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00" activeTab="2"/>
  </bookViews>
  <sheets>
    <sheet name="0561 Tarapaca" sheetId="2" r:id="rId1"/>
    <sheet name="0562 Antofagasta" sheetId="3" r:id="rId2"/>
    <sheet name="0563 Atacama" sheetId="4" r:id="rId3"/>
    <sheet name="0564 Coquimbo" sheetId="5" r:id="rId4"/>
    <sheet name="0565 Valparaiso" sheetId="6" r:id="rId5"/>
    <sheet name="0566 Ohiggins" sheetId="7" r:id="rId6"/>
    <sheet name="0567 Maule" sheetId="8" r:id="rId7"/>
    <sheet name="0568 BioBio" sheetId="9" r:id="rId8"/>
    <sheet name="0569 Araucania" sheetId="10" r:id="rId9"/>
    <sheet name="0570 Los Lagos" sheetId="11" r:id="rId10"/>
    <sheet name="0571 Aysen" sheetId="12" r:id="rId11"/>
    <sheet name="0572 Magallanes" sheetId="13" r:id="rId12"/>
    <sheet name="0573 RM" sheetId="14" r:id="rId13"/>
    <sheet name="0574 Los Rios" sheetId="15" r:id="rId14"/>
    <sheet name="0575 Arica" sheetId="1" r:id="rId15"/>
    <sheet name="0576 Ñuble" sheetId="16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2" hidden="1">'0563 Atacama'!$AM$1:$AM$1455</definedName>
    <definedName name="_xlnm._FilterDatabase" localSheetId="14" hidden="1">'0575 Arica'!$AA$1:$AA$159</definedName>
    <definedName name="_xlnm.Print_Area" localSheetId="14">'0575 Arica'!$B$12:$AY$135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69" i="16" l="1"/>
  <c r="AP166" i="16"/>
  <c r="AL166" i="16"/>
  <c r="AH166" i="16"/>
  <c r="AD166" i="16"/>
  <c r="Z166" i="16"/>
  <c r="X166" i="16"/>
  <c r="W166" i="16"/>
  <c r="V166" i="16"/>
  <c r="T166" i="16"/>
  <c r="M166" i="16"/>
  <c r="L166" i="16"/>
  <c r="K166" i="16"/>
  <c r="AU165" i="16"/>
  <c r="AT165" i="16"/>
  <c r="Y165" i="16"/>
  <c r="AU164" i="16"/>
  <c r="AT164" i="16"/>
  <c r="Y164" i="16"/>
  <c r="AU163" i="16"/>
  <c r="AT163" i="16"/>
  <c r="Y163" i="16"/>
  <c r="AT162" i="16"/>
  <c r="AU162" i="16" s="1"/>
  <c r="Y162" i="16"/>
  <c r="AT161" i="16"/>
  <c r="AU161" i="16" s="1"/>
  <c r="Y161" i="16"/>
  <c r="AU160" i="16"/>
  <c r="AT160" i="16"/>
  <c r="Y160" i="16"/>
  <c r="AT159" i="16"/>
  <c r="AU159" i="16" s="1"/>
  <c r="Y159" i="16"/>
  <c r="AT158" i="16"/>
  <c r="AU158" i="16" s="1"/>
  <c r="Y158" i="16"/>
  <c r="AU157" i="16"/>
  <c r="AT157" i="16"/>
  <c r="Y157" i="16"/>
  <c r="AU156" i="16"/>
  <c r="AT156" i="16"/>
  <c r="Y156" i="16"/>
  <c r="AU155" i="16"/>
  <c r="AT155" i="16"/>
  <c r="Y155" i="16"/>
  <c r="AT154" i="16"/>
  <c r="AU154" i="16" s="1"/>
  <c r="Y154" i="16"/>
  <c r="AT153" i="16"/>
  <c r="AU153" i="16" s="1"/>
  <c r="Y153" i="16"/>
  <c r="AU152" i="16"/>
  <c r="AT152" i="16"/>
  <c r="Y152" i="16"/>
  <c r="AT151" i="16"/>
  <c r="AU151" i="16" s="1"/>
  <c r="Y151" i="16"/>
  <c r="AT150" i="16"/>
  <c r="AU150" i="16" s="1"/>
  <c r="Y150" i="16"/>
  <c r="AU149" i="16"/>
  <c r="AT149" i="16"/>
  <c r="Y149" i="16"/>
  <c r="AU148" i="16"/>
  <c r="AT148" i="16"/>
  <c r="Y148" i="16"/>
  <c r="AU147" i="16"/>
  <c r="AT147" i="16"/>
  <c r="Y147" i="16"/>
  <c r="AT146" i="16"/>
  <c r="AU146" i="16" s="1"/>
  <c r="Y146" i="16"/>
  <c r="AT145" i="16"/>
  <c r="AU145" i="16" s="1"/>
  <c r="Y145" i="16"/>
  <c r="AU144" i="16"/>
  <c r="AT144" i="16"/>
  <c r="Y144" i="16"/>
  <c r="AT143" i="16"/>
  <c r="AU143" i="16" s="1"/>
  <c r="Y143" i="16"/>
  <c r="AT142" i="16"/>
  <c r="AU142" i="16" s="1"/>
  <c r="Y142" i="16"/>
  <c r="AU141" i="16"/>
  <c r="AT141" i="16"/>
  <c r="Y141" i="16"/>
  <c r="AU140" i="16"/>
  <c r="AT140" i="16"/>
  <c r="Y140" i="16"/>
  <c r="AU139" i="16"/>
  <c r="AT139" i="16"/>
  <c r="Y139" i="16"/>
  <c r="AT138" i="16"/>
  <c r="AU138" i="16" s="1"/>
  <c r="Y138" i="16"/>
  <c r="AT137" i="16"/>
  <c r="AU137" i="16" s="1"/>
  <c r="Y137" i="16"/>
  <c r="AU136" i="16"/>
  <c r="AT136" i="16"/>
  <c r="Y136" i="16"/>
  <c r="AT135" i="16"/>
  <c r="AU135" i="16" s="1"/>
  <c r="Y135" i="16"/>
  <c r="AT134" i="16"/>
  <c r="AU134" i="16" s="1"/>
  <c r="Y134" i="16"/>
  <c r="AU133" i="16"/>
  <c r="AT133" i="16"/>
  <c r="Y133" i="16"/>
  <c r="AU132" i="16"/>
  <c r="AT132" i="16"/>
  <c r="Y132" i="16"/>
  <c r="AU131" i="16"/>
  <c r="AT131" i="16"/>
  <c r="Y131" i="16"/>
  <c r="AT130" i="16"/>
  <c r="AU130" i="16" s="1"/>
  <c r="Y130" i="16"/>
  <c r="AT129" i="16"/>
  <c r="AU129" i="16" s="1"/>
  <c r="Y129" i="16"/>
  <c r="AU128" i="16"/>
  <c r="AT128" i="16"/>
  <c r="Y128" i="16"/>
  <c r="AT127" i="16"/>
  <c r="AU127" i="16" s="1"/>
  <c r="Y127" i="16"/>
  <c r="AT126" i="16"/>
  <c r="AU126" i="16" s="1"/>
  <c r="Y126" i="16"/>
  <c r="AU125" i="16"/>
  <c r="AT125" i="16"/>
  <c r="Y125" i="16"/>
  <c r="AU124" i="16"/>
  <c r="AT124" i="16"/>
  <c r="Y124" i="16"/>
  <c r="AU123" i="16"/>
  <c r="AT123" i="16"/>
  <c r="Y123" i="16"/>
  <c r="AT122" i="16"/>
  <c r="Y122" i="16"/>
  <c r="AU122" i="16" s="1"/>
  <c r="AT121" i="16"/>
  <c r="AU121" i="16" s="1"/>
  <c r="Y121" i="16"/>
  <c r="AU120" i="16"/>
  <c r="AT120" i="16"/>
  <c r="Y120" i="16"/>
  <c r="AT119" i="16"/>
  <c r="AU119" i="16" s="1"/>
  <c r="Y119" i="16"/>
  <c r="AT118" i="16"/>
  <c r="AU118" i="16" s="1"/>
  <c r="Y118" i="16"/>
  <c r="AU117" i="16"/>
  <c r="AT117" i="16"/>
  <c r="Y117" i="16"/>
  <c r="AU116" i="16"/>
  <c r="AT116" i="16"/>
  <c r="Y116" i="16"/>
  <c r="AU115" i="16"/>
  <c r="AT115" i="16"/>
  <c r="Y115" i="16"/>
  <c r="AT114" i="16"/>
  <c r="Y114" i="16"/>
  <c r="AU114" i="16" s="1"/>
  <c r="AT113" i="16"/>
  <c r="AU113" i="16" s="1"/>
  <c r="Y113" i="16"/>
  <c r="AU112" i="16"/>
  <c r="AT112" i="16"/>
  <c r="Y112" i="16"/>
  <c r="AT111" i="16"/>
  <c r="AU111" i="16" s="1"/>
  <c r="Y111" i="16"/>
  <c r="AT110" i="16"/>
  <c r="AU110" i="16" s="1"/>
  <c r="Y110" i="16"/>
  <c r="AU109" i="16"/>
  <c r="AT109" i="16"/>
  <c r="Y109" i="16"/>
  <c r="AU108" i="16"/>
  <c r="AT108" i="16"/>
  <c r="Y108" i="16"/>
  <c r="AU107" i="16"/>
  <c r="AT107" i="16"/>
  <c r="Y107" i="16"/>
  <c r="AT106" i="16"/>
  <c r="Y106" i="16"/>
  <c r="AU106" i="16" s="1"/>
  <c r="AT105" i="16"/>
  <c r="Y105" i="16"/>
  <c r="AU105" i="16" s="1"/>
  <c r="AU104" i="16"/>
  <c r="AT104" i="16"/>
  <c r="Y104" i="16"/>
  <c r="AT103" i="16"/>
  <c r="AU103" i="16" s="1"/>
  <c r="Y103" i="16"/>
  <c r="AT102" i="16"/>
  <c r="AU102" i="16" s="1"/>
  <c r="Y102" i="16"/>
  <c r="AU101" i="16"/>
  <c r="AT101" i="16"/>
  <c r="Y101" i="16"/>
  <c r="AU100" i="16"/>
  <c r="AT100" i="16"/>
  <c r="Y100" i="16"/>
  <c r="AU99" i="16"/>
  <c r="AT99" i="16"/>
  <c r="Y99" i="16"/>
  <c r="AT98" i="16"/>
  <c r="Y98" i="16"/>
  <c r="AU98" i="16" s="1"/>
  <c r="AT97" i="16"/>
  <c r="AU97" i="16" s="1"/>
  <c r="Y97" i="16"/>
  <c r="AU96" i="16"/>
  <c r="AT96" i="16"/>
  <c r="Y96" i="16"/>
  <c r="AT95" i="16"/>
  <c r="AU95" i="16" s="1"/>
  <c r="Y95" i="16"/>
  <c r="AT94" i="16"/>
  <c r="AU94" i="16" s="1"/>
  <c r="Y94" i="16"/>
  <c r="AU93" i="16"/>
  <c r="AT93" i="16"/>
  <c r="Y93" i="16"/>
  <c r="AU92" i="16"/>
  <c r="AT92" i="16"/>
  <c r="Y92" i="16"/>
  <c r="AU91" i="16"/>
  <c r="AT91" i="16"/>
  <c r="Y91" i="16"/>
  <c r="AT90" i="16"/>
  <c r="Y90" i="16"/>
  <c r="AU90" i="16" s="1"/>
  <c r="AT89" i="16"/>
  <c r="AU89" i="16" s="1"/>
  <c r="Y89" i="16"/>
  <c r="U89" i="16"/>
  <c r="AU88" i="16"/>
  <c r="AT88" i="16"/>
  <c r="Y88" i="16"/>
  <c r="AT87" i="16"/>
  <c r="S87" i="16"/>
  <c r="Y87" i="16" s="1"/>
  <c r="AU87" i="16" s="1"/>
  <c r="AU86" i="16"/>
  <c r="AT86" i="16"/>
  <c r="Y86" i="16"/>
  <c r="AT85" i="16"/>
  <c r="AU85" i="16" s="1"/>
  <c r="Y85" i="16"/>
  <c r="AT84" i="16"/>
  <c r="AU84" i="16" s="1"/>
  <c r="Y84" i="16"/>
  <c r="AU83" i="16"/>
  <c r="AT83" i="16"/>
  <c r="Y83" i="16"/>
  <c r="AU82" i="16"/>
  <c r="AT82" i="16"/>
  <c r="Y82" i="16"/>
  <c r="AU81" i="16"/>
  <c r="AT81" i="16"/>
  <c r="Y81" i="16"/>
  <c r="AT80" i="16"/>
  <c r="Y80" i="16"/>
  <c r="AU80" i="16" s="1"/>
  <c r="AT79" i="16"/>
  <c r="AU79" i="16" s="1"/>
  <c r="Y79" i="16"/>
  <c r="AU78" i="16"/>
  <c r="AT78" i="16"/>
  <c r="Y78" i="16"/>
  <c r="AT77" i="16"/>
  <c r="AU77" i="16" s="1"/>
  <c r="Y77" i="16"/>
  <c r="AT76" i="16"/>
  <c r="AU76" i="16" s="1"/>
  <c r="Y76" i="16"/>
  <c r="AU75" i="16"/>
  <c r="AT75" i="16"/>
  <c r="Y75" i="16"/>
  <c r="AU74" i="16"/>
  <c r="AT74" i="16"/>
  <c r="Y74" i="16"/>
  <c r="AU73" i="16"/>
  <c r="AT73" i="16"/>
  <c r="Y73" i="16"/>
  <c r="S73" i="16"/>
  <c r="AT72" i="16"/>
  <c r="AU72" i="16" s="1"/>
  <c r="Y72" i="16"/>
  <c r="AT71" i="16"/>
  <c r="AU71" i="16" s="1"/>
  <c r="Y71" i="16"/>
  <c r="AU70" i="16"/>
  <c r="AT70" i="16"/>
  <c r="Y70" i="16"/>
  <c r="AU69" i="16"/>
  <c r="AT69" i="16"/>
  <c r="Y69" i="16"/>
  <c r="AU68" i="16"/>
  <c r="AT68" i="16"/>
  <c r="Y68" i="16"/>
  <c r="AT67" i="16"/>
  <c r="Y67" i="16"/>
  <c r="AU67" i="16" s="1"/>
  <c r="AT66" i="16"/>
  <c r="AU66" i="16" s="1"/>
  <c r="Y66" i="16"/>
  <c r="AU65" i="16"/>
  <c r="AT65" i="16"/>
  <c r="Y65" i="16"/>
  <c r="AT64" i="16"/>
  <c r="AU64" i="16" s="1"/>
  <c r="Y64" i="16"/>
  <c r="AT63" i="16"/>
  <c r="AU63" i="16" s="1"/>
  <c r="Y63" i="16"/>
  <c r="AU62" i="16"/>
  <c r="AT62" i="16"/>
  <c r="Y62" i="16"/>
  <c r="AU61" i="16"/>
  <c r="AT61" i="16"/>
  <c r="Y61" i="16"/>
  <c r="AU60" i="16"/>
  <c r="AT60" i="16"/>
  <c r="Y60" i="16"/>
  <c r="AT59" i="16"/>
  <c r="Y59" i="16"/>
  <c r="AU59" i="16" s="1"/>
  <c r="AT58" i="16"/>
  <c r="Y58" i="16"/>
  <c r="AU58" i="16" s="1"/>
  <c r="AU57" i="16"/>
  <c r="AT57" i="16"/>
  <c r="Y57" i="16"/>
  <c r="AT56" i="16"/>
  <c r="T56" i="16"/>
  <c r="S56" i="16"/>
  <c r="Y56" i="16" s="1"/>
  <c r="AT55" i="16"/>
  <c r="S55" i="16"/>
  <c r="Y55" i="16" s="1"/>
  <c r="AU55" i="16" s="1"/>
  <c r="AU54" i="16"/>
  <c r="AT54" i="16"/>
  <c r="Y54" i="16"/>
  <c r="AU53" i="16"/>
  <c r="AT53" i="16"/>
  <c r="Y53" i="16"/>
  <c r="AT52" i="16"/>
  <c r="AU52" i="16" s="1"/>
  <c r="Y52" i="16"/>
  <c r="AT51" i="16"/>
  <c r="AU51" i="16" s="1"/>
  <c r="Y51" i="16"/>
  <c r="AU50" i="16"/>
  <c r="AT50" i="16"/>
  <c r="Y50" i="16"/>
  <c r="AT49" i="16"/>
  <c r="AU49" i="16" s="1"/>
  <c r="Y49" i="16"/>
  <c r="AT48" i="16"/>
  <c r="AU48" i="16" s="1"/>
  <c r="Y48" i="16"/>
  <c r="AT47" i="16"/>
  <c r="AU47" i="16" s="1"/>
  <c r="Y47" i="16"/>
  <c r="AU46" i="16"/>
  <c r="AT46" i="16"/>
  <c r="Y46" i="16"/>
  <c r="AU45" i="16"/>
  <c r="AT45" i="16"/>
  <c r="Y45" i="16"/>
  <c r="AT44" i="16"/>
  <c r="R44" i="16"/>
  <c r="P44" i="16"/>
  <c r="O44" i="16"/>
  <c r="N44" i="16"/>
  <c r="Y44" i="16" s="1"/>
  <c r="AU44" i="16" s="1"/>
  <c r="AT43" i="16"/>
  <c r="AU43" i="16" s="1"/>
  <c r="T43" i="16"/>
  <c r="Y43" i="16" s="1"/>
  <c r="AT42" i="16"/>
  <c r="AU42" i="16" s="1"/>
  <c r="Y42" i="16"/>
  <c r="AU41" i="16"/>
  <c r="AT41" i="16"/>
  <c r="Y41" i="16"/>
  <c r="Q41" i="16"/>
  <c r="AU40" i="16"/>
  <c r="AT40" i="16"/>
  <c r="Y40" i="16"/>
  <c r="AU39" i="16"/>
  <c r="AT39" i="16"/>
  <c r="Y39" i="16"/>
  <c r="AT38" i="16"/>
  <c r="AU38" i="16" s="1"/>
  <c r="Y38" i="16"/>
  <c r="AT37" i="16"/>
  <c r="AU37" i="16" s="1"/>
  <c r="Y37" i="16"/>
  <c r="P37" i="16"/>
  <c r="AT36" i="16"/>
  <c r="U36" i="16"/>
  <c r="Y36" i="16" s="1"/>
  <c r="AT35" i="16"/>
  <c r="AU35" i="16" s="1"/>
  <c r="Y35" i="16"/>
  <c r="AU34" i="16"/>
  <c r="AT34" i="16"/>
  <c r="Y34" i="16"/>
  <c r="AT33" i="16"/>
  <c r="N33" i="16"/>
  <c r="Y33" i="16" s="1"/>
  <c r="AU32" i="16"/>
  <c r="AT32" i="16"/>
  <c r="Y32" i="16"/>
  <c r="AT31" i="16"/>
  <c r="AU31" i="16" s="1"/>
  <c r="Y31" i="16"/>
  <c r="O31" i="16"/>
  <c r="N31" i="16"/>
  <c r="AU30" i="16"/>
  <c r="AT30" i="16"/>
  <c r="Y30" i="16"/>
  <c r="AT29" i="16"/>
  <c r="AU29" i="16" s="1"/>
  <c r="Y29" i="16"/>
  <c r="AT28" i="16"/>
  <c r="AU28" i="16" s="1"/>
  <c r="Y28" i="16"/>
  <c r="AU27" i="16"/>
  <c r="AT27" i="16"/>
  <c r="Y27" i="16"/>
  <c r="AT26" i="16"/>
  <c r="T26" i="16"/>
  <c r="S26" i="16"/>
  <c r="Q26" i="16"/>
  <c r="O26" i="16"/>
  <c r="N26" i="16"/>
  <c r="N166" i="16" s="1"/>
  <c r="AT25" i="16"/>
  <c r="AU25" i="16" s="1"/>
  <c r="Y25" i="16"/>
  <c r="AT24" i="16"/>
  <c r="AU24" i="16" s="1"/>
  <c r="Y24" i="16"/>
  <c r="AT23" i="16"/>
  <c r="S23" i="16"/>
  <c r="O23" i="16"/>
  <c r="Y23" i="16" s="1"/>
  <c r="AT22" i="16"/>
  <c r="AU22" i="16" s="1"/>
  <c r="Y22" i="16"/>
  <c r="AT21" i="16"/>
  <c r="AU21" i="16" s="1"/>
  <c r="Y21" i="16"/>
  <c r="AU20" i="16"/>
  <c r="AT20" i="16"/>
  <c r="Y20" i="16"/>
  <c r="AT19" i="16"/>
  <c r="S19" i="16"/>
  <c r="S166" i="16" s="1"/>
  <c r="R19" i="16"/>
  <c r="R166" i="16" s="1"/>
  <c r="Q19" i="16"/>
  <c r="Q166" i="16" s="1"/>
  <c r="P19" i="16"/>
  <c r="P166" i="16" s="1"/>
  <c r="O19" i="16"/>
  <c r="Y19" i="16" s="1"/>
  <c r="AU19" i="16" s="1"/>
  <c r="AU18" i="16"/>
  <c r="AT18" i="16"/>
  <c r="Y18" i="16"/>
  <c r="AT17" i="16"/>
  <c r="AU17" i="16" s="1"/>
  <c r="Y17" i="16"/>
  <c r="AT16" i="16"/>
  <c r="AT166" i="16" s="1"/>
  <c r="Y16" i="16"/>
  <c r="AU36" i="16" l="1"/>
  <c r="AU33" i="16"/>
  <c r="AU23" i="16"/>
  <c r="AU56" i="16"/>
  <c r="U166" i="16"/>
  <c r="AU16" i="16"/>
  <c r="Y26" i="16"/>
  <c r="AU26" i="16" s="1"/>
  <c r="O166" i="16"/>
  <c r="Y166" i="16" l="1"/>
  <c r="AU166" i="16"/>
  <c r="Y171" i="16" l="1"/>
  <c r="E13" i="16"/>
  <c r="AP156" i="15" l="1"/>
  <c r="AL156" i="15"/>
  <c r="AH156" i="15"/>
  <c r="AD156" i="15"/>
  <c r="Z156" i="15"/>
  <c r="X156" i="15"/>
  <c r="W156" i="15"/>
  <c r="V156" i="15"/>
  <c r="U156" i="15"/>
  <c r="T156" i="15"/>
  <c r="P156" i="15"/>
  <c r="O156" i="15"/>
  <c r="N156" i="15"/>
  <c r="M156" i="15"/>
  <c r="L156" i="15"/>
  <c r="K156" i="15"/>
  <c r="AT155" i="15"/>
  <c r="Y155" i="15"/>
  <c r="AU155" i="15" s="1"/>
  <c r="AU154" i="15"/>
  <c r="AT154" i="15"/>
  <c r="Y154" i="15"/>
  <c r="AT153" i="15"/>
  <c r="AU153" i="15" s="1"/>
  <c r="Y153" i="15"/>
  <c r="AT152" i="15"/>
  <c r="AU152" i="15" s="1"/>
  <c r="Y152" i="15"/>
  <c r="AU151" i="15"/>
  <c r="AT151" i="15"/>
  <c r="Y151" i="15"/>
  <c r="AT150" i="15"/>
  <c r="AU150" i="15" s="1"/>
  <c r="Y150" i="15"/>
  <c r="AU149" i="15"/>
  <c r="AT149" i="15"/>
  <c r="Y149" i="15"/>
  <c r="AT148" i="15"/>
  <c r="AU148" i="15" s="1"/>
  <c r="Y148" i="15"/>
  <c r="AT147" i="15"/>
  <c r="Y147" i="15"/>
  <c r="AU147" i="15" s="1"/>
  <c r="AU146" i="15"/>
  <c r="AT146" i="15"/>
  <c r="Y146" i="15"/>
  <c r="AT145" i="15"/>
  <c r="Y145" i="15"/>
  <c r="AU145" i="15" s="1"/>
  <c r="AT144" i="15"/>
  <c r="AU144" i="15" s="1"/>
  <c r="Y144" i="15"/>
  <c r="AU143" i="15"/>
  <c r="AT143" i="15"/>
  <c r="Y143" i="15"/>
  <c r="AT142" i="15"/>
  <c r="AU142" i="15" s="1"/>
  <c r="Y142" i="15"/>
  <c r="AU141" i="15"/>
  <c r="AT141" i="15"/>
  <c r="Y141" i="15"/>
  <c r="AT140" i="15"/>
  <c r="AU140" i="15" s="1"/>
  <c r="Y140" i="15"/>
  <c r="AT139" i="15"/>
  <c r="Y139" i="15"/>
  <c r="AU139" i="15" s="1"/>
  <c r="AU138" i="15"/>
  <c r="AT138" i="15"/>
  <c r="Y138" i="15"/>
  <c r="AT137" i="15"/>
  <c r="Y137" i="15"/>
  <c r="AU137" i="15" s="1"/>
  <c r="AT136" i="15"/>
  <c r="AU136" i="15" s="1"/>
  <c r="Y136" i="15"/>
  <c r="AU135" i="15"/>
  <c r="AT135" i="15"/>
  <c r="Y135" i="15"/>
  <c r="AT134" i="15"/>
  <c r="AU134" i="15" s="1"/>
  <c r="Y134" i="15"/>
  <c r="AU133" i="15"/>
  <c r="AT133" i="15"/>
  <c r="Y133" i="15"/>
  <c r="AT132" i="15"/>
  <c r="AU132" i="15" s="1"/>
  <c r="Y132" i="15"/>
  <c r="AT131" i="15"/>
  <c r="Y131" i="15"/>
  <c r="AU131" i="15" s="1"/>
  <c r="AU130" i="15"/>
  <c r="AT130" i="15"/>
  <c r="Y130" i="15"/>
  <c r="AT129" i="15"/>
  <c r="Y129" i="15"/>
  <c r="AU129" i="15" s="1"/>
  <c r="AT128" i="15"/>
  <c r="AU128" i="15" s="1"/>
  <c r="Y128" i="15"/>
  <c r="AU127" i="15"/>
  <c r="AT127" i="15"/>
  <c r="Y127" i="15"/>
  <c r="AT126" i="15"/>
  <c r="AU126" i="15" s="1"/>
  <c r="Y126" i="15"/>
  <c r="AU125" i="15"/>
  <c r="AT125" i="15"/>
  <c r="Y125" i="15"/>
  <c r="AT124" i="15"/>
  <c r="AU124" i="15" s="1"/>
  <c r="Y124" i="15"/>
  <c r="AT123" i="15"/>
  <c r="Y123" i="15"/>
  <c r="AU123" i="15" s="1"/>
  <c r="AU122" i="15"/>
  <c r="AT122" i="15"/>
  <c r="Y122" i="15"/>
  <c r="AT121" i="15"/>
  <c r="AU121" i="15" s="1"/>
  <c r="Y121" i="15"/>
  <c r="AT120" i="15"/>
  <c r="AU120" i="15" s="1"/>
  <c r="Y120" i="15"/>
  <c r="AU119" i="15"/>
  <c r="AT119" i="15"/>
  <c r="Y119" i="15"/>
  <c r="AT118" i="15"/>
  <c r="AU118" i="15" s="1"/>
  <c r="Y118" i="15"/>
  <c r="AU117" i="15"/>
  <c r="AT117" i="15"/>
  <c r="Y117" i="15"/>
  <c r="AT116" i="15"/>
  <c r="AU116" i="15" s="1"/>
  <c r="Y116" i="15"/>
  <c r="AT115" i="15"/>
  <c r="Y115" i="15"/>
  <c r="AU115" i="15" s="1"/>
  <c r="AU114" i="15"/>
  <c r="AT114" i="15"/>
  <c r="Y114" i="15"/>
  <c r="AT113" i="15"/>
  <c r="AU113" i="15" s="1"/>
  <c r="Y113" i="15"/>
  <c r="AT112" i="15"/>
  <c r="AU112" i="15" s="1"/>
  <c r="Y112" i="15"/>
  <c r="AU111" i="15"/>
  <c r="AT111" i="15"/>
  <c r="Y111" i="15"/>
  <c r="AT110" i="15"/>
  <c r="AU110" i="15" s="1"/>
  <c r="Y110" i="15"/>
  <c r="AU109" i="15"/>
  <c r="AT109" i="15"/>
  <c r="Y109" i="15"/>
  <c r="AT108" i="15"/>
  <c r="AU108" i="15" s="1"/>
  <c r="Y108" i="15"/>
  <c r="AT107" i="15"/>
  <c r="Y107" i="15"/>
  <c r="AU107" i="15" s="1"/>
  <c r="AU106" i="15"/>
  <c r="AT106" i="15"/>
  <c r="Y106" i="15"/>
  <c r="AT105" i="15"/>
  <c r="AU105" i="15" s="1"/>
  <c r="Y105" i="15"/>
  <c r="AT104" i="15"/>
  <c r="AU104" i="15" s="1"/>
  <c r="Y104" i="15"/>
  <c r="AU103" i="15"/>
  <c r="AT103" i="15"/>
  <c r="Y103" i="15"/>
  <c r="AT102" i="15"/>
  <c r="AU102" i="15" s="1"/>
  <c r="Y102" i="15"/>
  <c r="AU101" i="15"/>
  <c r="AT101" i="15"/>
  <c r="Y101" i="15"/>
  <c r="AT100" i="15"/>
  <c r="AU100" i="15" s="1"/>
  <c r="Y100" i="15"/>
  <c r="AT99" i="15"/>
  <c r="Y99" i="15"/>
  <c r="AU99" i="15" s="1"/>
  <c r="AU98" i="15"/>
  <c r="AT98" i="15"/>
  <c r="Y98" i="15"/>
  <c r="AT97" i="15"/>
  <c r="AU97" i="15" s="1"/>
  <c r="Y97" i="15"/>
  <c r="AT96" i="15"/>
  <c r="AU96" i="15" s="1"/>
  <c r="Y96" i="15"/>
  <c r="AU95" i="15"/>
  <c r="AT95" i="15"/>
  <c r="Y95" i="15"/>
  <c r="AT94" i="15"/>
  <c r="AU94" i="15" s="1"/>
  <c r="Y94" i="15"/>
  <c r="AU93" i="15"/>
  <c r="AT93" i="15"/>
  <c r="Y93" i="15"/>
  <c r="AT92" i="15"/>
  <c r="AU92" i="15" s="1"/>
  <c r="Y92" i="15"/>
  <c r="AT91" i="15"/>
  <c r="Y91" i="15"/>
  <c r="AU91" i="15" s="1"/>
  <c r="S91" i="15"/>
  <c r="R91" i="15"/>
  <c r="R156" i="15" s="1"/>
  <c r="AT90" i="15"/>
  <c r="AU90" i="15" s="1"/>
  <c r="Y90" i="15"/>
  <c r="AT89" i="15"/>
  <c r="Y89" i="15"/>
  <c r="AU89" i="15" s="1"/>
  <c r="AU88" i="15"/>
  <c r="AT88" i="15"/>
  <c r="Y88" i="15"/>
  <c r="AT87" i="15"/>
  <c r="Y87" i="15"/>
  <c r="AU87" i="15" s="1"/>
  <c r="AT86" i="15"/>
  <c r="AU86" i="15" s="1"/>
  <c r="Y86" i="15"/>
  <c r="AU85" i="15"/>
  <c r="AT85" i="15"/>
  <c r="Y85" i="15"/>
  <c r="AT84" i="15"/>
  <c r="AU84" i="15" s="1"/>
  <c r="Y84" i="15"/>
  <c r="AU83" i="15"/>
  <c r="AT83" i="15"/>
  <c r="Y83" i="15"/>
  <c r="AT82" i="15"/>
  <c r="AU82" i="15" s="1"/>
  <c r="Y82" i="15"/>
  <c r="AT81" i="15"/>
  <c r="Y81" i="15"/>
  <c r="AU81" i="15" s="1"/>
  <c r="AU80" i="15"/>
  <c r="AT80" i="15"/>
  <c r="Y80" i="15"/>
  <c r="AT79" i="15"/>
  <c r="Y79" i="15"/>
  <c r="AU79" i="15" s="1"/>
  <c r="AT78" i="15"/>
  <c r="AU78" i="15" s="1"/>
  <c r="Y78" i="15"/>
  <c r="AU77" i="15"/>
  <c r="AT77" i="15"/>
  <c r="Y77" i="15"/>
  <c r="AT76" i="15"/>
  <c r="AU76" i="15" s="1"/>
  <c r="Y76" i="15"/>
  <c r="AU75" i="15"/>
  <c r="AT75" i="15"/>
  <c r="Y75" i="15"/>
  <c r="AT74" i="15"/>
  <c r="AU74" i="15" s="1"/>
  <c r="Y74" i="15"/>
  <c r="AT73" i="15"/>
  <c r="Y73" i="15"/>
  <c r="AU73" i="15" s="1"/>
  <c r="AU72" i="15"/>
  <c r="AT72" i="15"/>
  <c r="Y72" i="15"/>
  <c r="AT71" i="15"/>
  <c r="AU71" i="15" s="1"/>
  <c r="Y71" i="15"/>
  <c r="AT70" i="15"/>
  <c r="AU70" i="15" s="1"/>
  <c r="Y70" i="15"/>
  <c r="AU69" i="15"/>
  <c r="AT69" i="15"/>
  <c r="Y69" i="15"/>
  <c r="AT68" i="15"/>
  <c r="AU68" i="15" s="1"/>
  <c r="Y68" i="15"/>
  <c r="AU67" i="15"/>
  <c r="AT67" i="15"/>
  <c r="Y67" i="15"/>
  <c r="AT66" i="15"/>
  <c r="AU66" i="15" s="1"/>
  <c r="Y66" i="15"/>
  <c r="AT65" i="15"/>
  <c r="Y65" i="15"/>
  <c r="AU65" i="15" s="1"/>
  <c r="AU64" i="15"/>
  <c r="AT64" i="15"/>
  <c r="Y64" i="15"/>
  <c r="AT63" i="15"/>
  <c r="AU63" i="15" s="1"/>
  <c r="Y63" i="15"/>
  <c r="AT62" i="15"/>
  <c r="AU62" i="15" s="1"/>
  <c r="Y62" i="15"/>
  <c r="AU61" i="15"/>
  <c r="AT61" i="15"/>
  <c r="Y61" i="15"/>
  <c r="AT60" i="15"/>
  <c r="AU60" i="15" s="1"/>
  <c r="Y60" i="15"/>
  <c r="AU59" i="15"/>
  <c r="AT59" i="15"/>
  <c r="Y59" i="15"/>
  <c r="AT58" i="15"/>
  <c r="Q58" i="15"/>
  <c r="Y58" i="15" s="1"/>
  <c r="AT57" i="15"/>
  <c r="AU57" i="15" s="1"/>
  <c r="Y57" i="15"/>
  <c r="AU56" i="15"/>
  <c r="AT56" i="15"/>
  <c r="Y56" i="15"/>
  <c r="AT55" i="15"/>
  <c r="AU55" i="15" s="1"/>
  <c r="Y55" i="15"/>
  <c r="AU54" i="15"/>
  <c r="AT54" i="15"/>
  <c r="Y54" i="15"/>
  <c r="AT53" i="15"/>
  <c r="AU53" i="15" s="1"/>
  <c r="Y53" i="15"/>
  <c r="AT52" i="15"/>
  <c r="Y52" i="15"/>
  <c r="AU52" i="15" s="1"/>
  <c r="AU51" i="15"/>
  <c r="AT51" i="15"/>
  <c r="Y51" i="15"/>
  <c r="AT50" i="15"/>
  <c r="AU50" i="15" s="1"/>
  <c r="Y50" i="15"/>
  <c r="AT49" i="15"/>
  <c r="AU49" i="15" s="1"/>
  <c r="Y49" i="15"/>
  <c r="AU48" i="15"/>
  <c r="AT48" i="15"/>
  <c r="Y48" i="15"/>
  <c r="AT47" i="15"/>
  <c r="AU47" i="15" s="1"/>
  <c r="Y47" i="15"/>
  <c r="AU46" i="15"/>
  <c r="AT46" i="15"/>
  <c r="Y46" i="15"/>
  <c r="AT45" i="15"/>
  <c r="AU45" i="15" s="1"/>
  <c r="Y45" i="15"/>
  <c r="AT44" i="15"/>
  <c r="Y44" i="15"/>
  <c r="AU44" i="15" s="1"/>
  <c r="AT43" i="15"/>
  <c r="S43" i="15"/>
  <c r="Y43" i="15" s="1"/>
  <c r="AU43" i="15" s="1"/>
  <c r="AT42" i="15"/>
  <c r="AU42" i="15" s="1"/>
  <c r="Y42" i="15"/>
  <c r="AU41" i="15"/>
  <c r="AT41" i="15"/>
  <c r="Y41" i="15"/>
  <c r="AT40" i="15"/>
  <c r="AU40" i="15" s="1"/>
  <c r="Y40" i="15"/>
  <c r="AT39" i="15"/>
  <c r="Y39" i="15"/>
  <c r="AU39" i="15" s="1"/>
  <c r="AU38" i="15"/>
  <c r="AT38" i="15"/>
  <c r="Y38" i="15"/>
  <c r="AT37" i="15"/>
  <c r="AU37" i="15" s="1"/>
  <c r="Y37" i="15"/>
  <c r="AT36" i="15"/>
  <c r="AU36" i="15" s="1"/>
  <c r="Y36" i="15"/>
  <c r="AU35" i="15"/>
  <c r="AT35" i="15"/>
  <c r="Y35" i="15"/>
  <c r="AT34" i="15"/>
  <c r="AU34" i="15" s="1"/>
  <c r="Y34" i="15"/>
  <c r="AT33" i="15"/>
  <c r="AU33" i="15" s="1"/>
  <c r="Y33" i="15"/>
  <c r="AT32" i="15"/>
  <c r="AU32" i="15" s="1"/>
  <c r="Y32" i="15"/>
  <c r="AT31" i="15"/>
  <c r="Y31" i="15"/>
  <c r="AU31" i="15" s="1"/>
  <c r="AU30" i="15"/>
  <c r="AT30" i="15"/>
  <c r="Y30" i="15"/>
  <c r="AT29" i="15"/>
  <c r="AU29" i="15" s="1"/>
  <c r="Y29" i="15"/>
  <c r="AT28" i="15"/>
  <c r="AU28" i="15" s="1"/>
  <c r="Y28" i="15"/>
  <c r="AU27" i="15"/>
  <c r="AT27" i="15"/>
  <c r="Y27" i="15"/>
  <c r="AT26" i="15"/>
  <c r="AU26" i="15" s="1"/>
  <c r="Y26" i="15"/>
  <c r="AT25" i="15"/>
  <c r="AU25" i="15" s="1"/>
  <c r="Y25" i="15"/>
  <c r="AT24" i="15"/>
  <c r="AU24" i="15" s="1"/>
  <c r="Y24" i="15"/>
  <c r="AT23" i="15"/>
  <c r="Y23" i="15"/>
  <c r="AU23" i="15" s="1"/>
  <c r="AU22" i="15"/>
  <c r="AT22" i="15"/>
  <c r="Y22" i="15"/>
  <c r="AT21" i="15"/>
  <c r="AU21" i="15" s="1"/>
  <c r="Y21" i="15"/>
  <c r="AT20" i="15"/>
  <c r="AU20" i="15" s="1"/>
  <c r="Y20" i="15"/>
  <c r="AU19" i="15"/>
  <c r="AT19" i="15"/>
  <c r="Y19" i="15"/>
  <c r="AT18" i="15"/>
  <c r="AU18" i="15" s="1"/>
  <c r="Y18" i="15"/>
  <c r="AT17" i="15"/>
  <c r="AU17" i="15" s="1"/>
  <c r="Y17" i="15"/>
  <c r="AT16" i="15"/>
  <c r="AT156" i="15" s="1"/>
  <c r="Y16" i="15"/>
  <c r="Y156" i="15" s="1"/>
  <c r="E13" i="15" s="1"/>
  <c r="AU58" i="15" l="1"/>
  <c r="Q156" i="15"/>
  <c r="S156" i="15"/>
  <c r="AU16" i="15"/>
  <c r="AU156" i="15" s="1"/>
  <c r="BB354" i="14" l="1"/>
  <c r="AX354" i="14"/>
  <c r="AT354" i="14"/>
  <c r="AP354" i="14"/>
  <c r="AL354" i="14"/>
  <c r="AH354" i="14"/>
  <c r="AD354" i="14"/>
  <c r="Z354" i="14"/>
  <c r="X354" i="14"/>
  <c r="W354" i="14"/>
  <c r="V354" i="14"/>
  <c r="U354" i="14"/>
  <c r="T354" i="14"/>
  <c r="S354" i="14"/>
  <c r="R354" i="14"/>
  <c r="Q354" i="14"/>
  <c r="P354" i="14"/>
  <c r="O354" i="14"/>
  <c r="N354" i="14"/>
  <c r="M354" i="14"/>
  <c r="L354" i="14"/>
  <c r="K354" i="14"/>
  <c r="BF348" i="14"/>
  <c r="BG348" i="14" s="1"/>
  <c r="Y348" i="14"/>
  <c r="BF347" i="14"/>
  <c r="BG347" i="14" s="1"/>
  <c r="Y347" i="14"/>
  <c r="BG346" i="14"/>
  <c r="BF346" i="14"/>
  <c r="Y346" i="14"/>
  <c r="BF345" i="14"/>
  <c r="BG345" i="14" s="1"/>
  <c r="Y345" i="14"/>
  <c r="BF344" i="14"/>
  <c r="BG344" i="14" s="1"/>
  <c r="Y344" i="14"/>
  <c r="BF343" i="14"/>
  <c r="BG343" i="14" s="1"/>
  <c r="Y343" i="14"/>
  <c r="BF342" i="14"/>
  <c r="Y342" i="14"/>
  <c r="BG342" i="14" s="1"/>
  <c r="BF341" i="14"/>
  <c r="Y341" i="14"/>
  <c r="BG341" i="14" s="1"/>
  <c r="BF340" i="14"/>
  <c r="Y340" i="14"/>
  <c r="BF339" i="14"/>
  <c r="BG339" i="14" s="1"/>
  <c r="Y339" i="14"/>
  <c r="BF338" i="14"/>
  <c r="BG338" i="14" s="1"/>
  <c r="Y338" i="14"/>
  <c r="BF337" i="14"/>
  <c r="BG337" i="14" s="1"/>
  <c r="Y337" i="14"/>
  <c r="BF336" i="14"/>
  <c r="BG336" i="14" s="1"/>
  <c r="Y336" i="14"/>
  <c r="BF335" i="14"/>
  <c r="Y335" i="14"/>
  <c r="BG335" i="14" s="1"/>
  <c r="BF334" i="14"/>
  <c r="Y334" i="14"/>
  <c r="BG334" i="14" s="1"/>
  <c r="BF333" i="14"/>
  <c r="BG333" i="14" s="1"/>
  <c r="Y333" i="14"/>
  <c r="BF332" i="14"/>
  <c r="Y332" i="14"/>
  <c r="BF331" i="14"/>
  <c r="BG331" i="14" s="1"/>
  <c r="Y331" i="14"/>
  <c r="BF330" i="14"/>
  <c r="BG330" i="14" s="1"/>
  <c r="Y330" i="14"/>
  <c r="BG329" i="14"/>
  <c r="BF329" i="14"/>
  <c r="Y329" i="14"/>
  <c r="BF328" i="14"/>
  <c r="BG328" i="14" s="1"/>
  <c r="Y328" i="14"/>
  <c r="BF327" i="14"/>
  <c r="Y327" i="14"/>
  <c r="BG327" i="14" s="1"/>
  <c r="BF326" i="14"/>
  <c r="Y326" i="14"/>
  <c r="BF325" i="14"/>
  <c r="BG325" i="14" s="1"/>
  <c r="Y325" i="14"/>
  <c r="BF324" i="14"/>
  <c r="Y324" i="14"/>
  <c r="BF323" i="14"/>
  <c r="Y323" i="14"/>
  <c r="BG322" i="14"/>
  <c r="BF322" i="14"/>
  <c r="Y322" i="14"/>
  <c r="BF321" i="14"/>
  <c r="Y321" i="14"/>
  <c r="BG321" i="14" s="1"/>
  <c r="BF320" i="14"/>
  <c r="Y320" i="14"/>
  <c r="BF319" i="14"/>
  <c r="Y319" i="14"/>
  <c r="BF318" i="14"/>
  <c r="Y318" i="14"/>
  <c r="BG318" i="14" s="1"/>
  <c r="BF317" i="14"/>
  <c r="BG317" i="14" s="1"/>
  <c r="Y317" i="14"/>
  <c r="BF316" i="14"/>
  <c r="BG316" i="14" s="1"/>
  <c r="Y316" i="14"/>
  <c r="BF315" i="14"/>
  <c r="BG315" i="14" s="1"/>
  <c r="Y315" i="14"/>
  <c r="BF314" i="14"/>
  <c r="Y314" i="14"/>
  <c r="BG314" i="14" s="1"/>
  <c r="BF313" i="14"/>
  <c r="BG313" i="14" s="1"/>
  <c r="Y313" i="14"/>
  <c r="BF312" i="14"/>
  <c r="BG312" i="14" s="1"/>
  <c r="Y312" i="14"/>
  <c r="BF311" i="14"/>
  <c r="Y311" i="14"/>
  <c r="BF310" i="14"/>
  <c r="Y310" i="14"/>
  <c r="BG310" i="14" s="1"/>
  <c r="BG309" i="14"/>
  <c r="BF309" i="14"/>
  <c r="Y309" i="14"/>
  <c r="BF308" i="14"/>
  <c r="Y308" i="14"/>
  <c r="BF307" i="14"/>
  <c r="Y307" i="14"/>
  <c r="BF306" i="14"/>
  <c r="BG306" i="14" s="1"/>
  <c r="Y306" i="14"/>
  <c r="BF305" i="14"/>
  <c r="BG305" i="14" s="1"/>
  <c r="Y305" i="14"/>
  <c r="BF304" i="14"/>
  <c r="Y304" i="14"/>
  <c r="BF303" i="14"/>
  <c r="Y303" i="14"/>
  <c r="BG303" i="14" s="1"/>
  <c r="BF302" i="14"/>
  <c r="Y302" i="14"/>
  <c r="BF301" i="14"/>
  <c r="BG301" i="14" s="1"/>
  <c r="Y301" i="14"/>
  <c r="BF300" i="14"/>
  <c r="Y300" i="14"/>
  <c r="BF299" i="14"/>
  <c r="BG299" i="14" s="1"/>
  <c r="Y299" i="14"/>
  <c r="BF298" i="14"/>
  <c r="Y298" i="14"/>
  <c r="BG298" i="14" s="1"/>
  <c r="BF297" i="14"/>
  <c r="BG297" i="14" s="1"/>
  <c r="Y297" i="14"/>
  <c r="BF296" i="14"/>
  <c r="BG296" i="14" s="1"/>
  <c r="Y296" i="14"/>
  <c r="BF295" i="14"/>
  <c r="Y295" i="14"/>
  <c r="BF294" i="14"/>
  <c r="Y294" i="14"/>
  <c r="BF293" i="14"/>
  <c r="BG293" i="14" s="1"/>
  <c r="Y293" i="14"/>
  <c r="BF292" i="14"/>
  <c r="BG292" i="14" s="1"/>
  <c r="Y292" i="14"/>
  <c r="BF291" i="14"/>
  <c r="Y291" i="14"/>
  <c r="BF290" i="14"/>
  <c r="BG290" i="14" s="1"/>
  <c r="Y290" i="14"/>
  <c r="BG289" i="14"/>
  <c r="BF289" i="14"/>
  <c r="Y289" i="14"/>
  <c r="BF288" i="14"/>
  <c r="Y288" i="14"/>
  <c r="BF287" i="14"/>
  <c r="Y287" i="14"/>
  <c r="BG287" i="14" s="1"/>
  <c r="BF286" i="14"/>
  <c r="Y286" i="14"/>
  <c r="BG286" i="14" s="1"/>
  <c r="BG285" i="14"/>
  <c r="BF285" i="14"/>
  <c r="Y285" i="14"/>
  <c r="BF284" i="14"/>
  <c r="BG284" i="14" s="1"/>
  <c r="Y284" i="14"/>
  <c r="BF283" i="14"/>
  <c r="Y283" i="14"/>
  <c r="BG282" i="14"/>
  <c r="BF282" i="14"/>
  <c r="Y282" i="14"/>
  <c r="BF281" i="14"/>
  <c r="BG281" i="14" s="1"/>
  <c r="Y281" i="14"/>
  <c r="BF280" i="14"/>
  <c r="Y280" i="14"/>
  <c r="BF279" i="14"/>
  <c r="Y279" i="14"/>
  <c r="BF278" i="14"/>
  <c r="Y278" i="14"/>
  <c r="BG278" i="14" s="1"/>
  <c r="BF277" i="14"/>
  <c r="Y277" i="14"/>
  <c r="BG277" i="14" s="1"/>
  <c r="BF276" i="14"/>
  <c r="Y276" i="14"/>
  <c r="BF275" i="14"/>
  <c r="BG275" i="14" s="1"/>
  <c r="Y275" i="14"/>
  <c r="BF274" i="14"/>
  <c r="BG274" i="14" s="1"/>
  <c r="Y274" i="14"/>
  <c r="BF273" i="14"/>
  <c r="BG273" i="14" s="1"/>
  <c r="Y273" i="14"/>
  <c r="BF272" i="14"/>
  <c r="BG272" i="14" s="1"/>
  <c r="Y272" i="14"/>
  <c r="BF271" i="14"/>
  <c r="Y271" i="14"/>
  <c r="BG271" i="14" s="1"/>
  <c r="BF270" i="14"/>
  <c r="Y270" i="14"/>
  <c r="BG270" i="14" s="1"/>
  <c r="BF269" i="14"/>
  <c r="BG269" i="14" s="1"/>
  <c r="Y269" i="14"/>
  <c r="BF268" i="14"/>
  <c r="Y268" i="14"/>
  <c r="BF267" i="14"/>
  <c r="BG267" i="14" s="1"/>
  <c r="Y267" i="14"/>
  <c r="BF266" i="14"/>
  <c r="BG266" i="14" s="1"/>
  <c r="Y266" i="14"/>
  <c r="BG265" i="14"/>
  <c r="BF265" i="14"/>
  <c r="Y265" i="14"/>
  <c r="BF264" i="14"/>
  <c r="BG264" i="14" s="1"/>
  <c r="Y264" i="14"/>
  <c r="BF263" i="14"/>
  <c r="Y263" i="14"/>
  <c r="BG263" i="14" s="1"/>
  <c r="BF262" i="14"/>
  <c r="Y262" i="14"/>
  <c r="BF261" i="14"/>
  <c r="BG261" i="14" s="1"/>
  <c r="Y261" i="14"/>
  <c r="BF260" i="14"/>
  <c r="Y260" i="14"/>
  <c r="BF259" i="14"/>
  <c r="Y259" i="14"/>
  <c r="BG258" i="14"/>
  <c r="BF258" i="14"/>
  <c r="Y258" i="14"/>
  <c r="BF257" i="14"/>
  <c r="Y257" i="14"/>
  <c r="BG257" i="14" s="1"/>
  <c r="BF256" i="14"/>
  <c r="Y256" i="14"/>
  <c r="BF255" i="14"/>
  <c r="Y255" i="14"/>
  <c r="BF254" i="14"/>
  <c r="Y254" i="14"/>
  <c r="BG254" i="14" s="1"/>
  <c r="BF253" i="14"/>
  <c r="BG253" i="14" s="1"/>
  <c r="Y253" i="14"/>
  <c r="BF252" i="14"/>
  <c r="BG252" i="14" s="1"/>
  <c r="Y252" i="14"/>
  <c r="BF251" i="14"/>
  <c r="Y251" i="14"/>
  <c r="BF250" i="14"/>
  <c r="Y250" i="14"/>
  <c r="BG250" i="14" s="1"/>
  <c r="BF249" i="14"/>
  <c r="BG249" i="14" s="1"/>
  <c r="Y249" i="14"/>
  <c r="BF248" i="14"/>
  <c r="BG248" i="14" s="1"/>
  <c r="Y248" i="14"/>
  <c r="BF247" i="14"/>
  <c r="Y247" i="14"/>
  <c r="BF246" i="14"/>
  <c r="Y246" i="14"/>
  <c r="BG246" i="14" s="1"/>
  <c r="BG245" i="14"/>
  <c r="BF245" i="14"/>
  <c r="Y245" i="14"/>
  <c r="BF244" i="14"/>
  <c r="Y244" i="14"/>
  <c r="BF243" i="14"/>
  <c r="Y243" i="14"/>
  <c r="BF242" i="14"/>
  <c r="BG242" i="14" s="1"/>
  <c r="Y242" i="14"/>
  <c r="BF241" i="14"/>
  <c r="BG241" i="14" s="1"/>
  <c r="Y241" i="14"/>
  <c r="BF240" i="14"/>
  <c r="Y240" i="14"/>
  <c r="BF239" i="14"/>
  <c r="Y239" i="14"/>
  <c r="BG239" i="14" s="1"/>
  <c r="BF238" i="14"/>
  <c r="Y238" i="14"/>
  <c r="BF237" i="14"/>
  <c r="BG237" i="14" s="1"/>
  <c r="Y237" i="14"/>
  <c r="BF236" i="14"/>
  <c r="Y236" i="14"/>
  <c r="BF235" i="14"/>
  <c r="BG235" i="14" s="1"/>
  <c r="Y235" i="14"/>
  <c r="BF234" i="14"/>
  <c r="BG234" i="14" s="1"/>
  <c r="Y234" i="14"/>
  <c r="BF233" i="14"/>
  <c r="Y233" i="14"/>
  <c r="BG233" i="14" s="1"/>
  <c r="BF232" i="14"/>
  <c r="Y232" i="14"/>
  <c r="BF231" i="14"/>
  <c r="Y231" i="14"/>
  <c r="BF230" i="14"/>
  <c r="Y230" i="14"/>
  <c r="BG230" i="14" s="1"/>
  <c r="BF229" i="14"/>
  <c r="BG229" i="14" s="1"/>
  <c r="Y229" i="14"/>
  <c r="BF228" i="14"/>
  <c r="BG228" i="14" s="1"/>
  <c r="Y228" i="14"/>
  <c r="BF227" i="14"/>
  <c r="BG227" i="14" s="1"/>
  <c r="Y227" i="14"/>
  <c r="BF226" i="14"/>
  <c r="BG226" i="14" s="1"/>
  <c r="Y226" i="14"/>
  <c r="BF225" i="14"/>
  <c r="BG225" i="14" s="1"/>
  <c r="Y225" i="14"/>
  <c r="BF224" i="14"/>
  <c r="BG224" i="14" s="1"/>
  <c r="Y224" i="14"/>
  <c r="BF223" i="14"/>
  <c r="BG223" i="14" s="1"/>
  <c r="Y223" i="14"/>
  <c r="BF222" i="14"/>
  <c r="Y222" i="14"/>
  <c r="BG221" i="14"/>
  <c r="BF221" i="14"/>
  <c r="Y221" i="14"/>
  <c r="BF220" i="14"/>
  <c r="Y220" i="14"/>
  <c r="BF219" i="14"/>
  <c r="Y219" i="14"/>
  <c r="BF218" i="14"/>
  <c r="Y218" i="14"/>
  <c r="BG217" i="14"/>
  <c r="BF217" i="14"/>
  <c r="Y217" i="14"/>
  <c r="BF216" i="14"/>
  <c r="BG216" i="14" s="1"/>
  <c r="Y216" i="14"/>
  <c r="BF215" i="14"/>
  <c r="BG215" i="14" s="1"/>
  <c r="Y215" i="14"/>
  <c r="BF214" i="14"/>
  <c r="Y214" i="14"/>
  <c r="BF213" i="14"/>
  <c r="BG213" i="14" s="1"/>
  <c r="Y213" i="14"/>
  <c r="BF212" i="14"/>
  <c r="Y212" i="14"/>
  <c r="BF211" i="14"/>
  <c r="BG211" i="14" s="1"/>
  <c r="Y211" i="14"/>
  <c r="BF210" i="14"/>
  <c r="BG210" i="14" s="1"/>
  <c r="Y210" i="14"/>
  <c r="BF209" i="14"/>
  <c r="Y209" i="14"/>
  <c r="BG209" i="14" s="1"/>
  <c r="BF208" i="14"/>
  <c r="Y208" i="14"/>
  <c r="BG207" i="14"/>
  <c r="BF207" i="14"/>
  <c r="Y207" i="14"/>
  <c r="BF206" i="14"/>
  <c r="Y206" i="14"/>
  <c r="BF205" i="14"/>
  <c r="BG205" i="14" s="1"/>
  <c r="Y205" i="14"/>
  <c r="BF204" i="14"/>
  <c r="BG204" i="14" s="1"/>
  <c r="Y204" i="14"/>
  <c r="BF203" i="14"/>
  <c r="Y203" i="14"/>
  <c r="BF202" i="14"/>
  <c r="Y202" i="14"/>
  <c r="BF201" i="14"/>
  <c r="BG201" i="14" s="1"/>
  <c r="Y201" i="14"/>
  <c r="BF200" i="14"/>
  <c r="BG200" i="14" s="1"/>
  <c r="Y200" i="14"/>
  <c r="BF199" i="14"/>
  <c r="Y199" i="14"/>
  <c r="BG199" i="14" s="1"/>
  <c r="BF198" i="14"/>
  <c r="Y198" i="14"/>
  <c r="BG198" i="14" s="1"/>
  <c r="BG197" i="14"/>
  <c r="BF197" i="14"/>
  <c r="Y197" i="14"/>
  <c r="BF196" i="14"/>
  <c r="BG196" i="14" s="1"/>
  <c r="Y196" i="14"/>
  <c r="BF195" i="14"/>
  <c r="Y195" i="14"/>
  <c r="BF194" i="14"/>
  <c r="BG194" i="14" s="1"/>
  <c r="Y194" i="14"/>
  <c r="BF193" i="14"/>
  <c r="Y193" i="14"/>
  <c r="BG193" i="14" s="1"/>
  <c r="BF192" i="14"/>
  <c r="Y192" i="14"/>
  <c r="BF191" i="14"/>
  <c r="BG191" i="14" s="1"/>
  <c r="Y191" i="14"/>
  <c r="BF190" i="14"/>
  <c r="Y190" i="14"/>
  <c r="BF189" i="14"/>
  <c r="Y189" i="14"/>
  <c r="BG189" i="14" s="1"/>
  <c r="BF188" i="14"/>
  <c r="Y188" i="14"/>
  <c r="BF187" i="14"/>
  <c r="BG187" i="14" s="1"/>
  <c r="Y187" i="14"/>
  <c r="BF186" i="14"/>
  <c r="Y186" i="14"/>
  <c r="BF185" i="14"/>
  <c r="BG185" i="14" s="1"/>
  <c r="Y185" i="14"/>
  <c r="BF184" i="14"/>
  <c r="BG184" i="14" s="1"/>
  <c r="Y184" i="14"/>
  <c r="BF183" i="14"/>
  <c r="BG183" i="14" s="1"/>
  <c r="Y183" i="14"/>
  <c r="BF182" i="14"/>
  <c r="Y182" i="14"/>
  <c r="BG182" i="14" s="1"/>
  <c r="BF181" i="14"/>
  <c r="BG181" i="14" s="1"/>
  <c r="Y181" i="14"/>
  <c r="BF180" i="14"/>
  <c r="Y180" i="14"/>
  <c r="BF179" i="14"/>
  <c r="BG179" i="14" s="1"/>
  <c r="Y179" i="14"/>
  <c r="BF178" i="14"/>
  <c r="Y178" i="14"/>
  <c r="BG177" i="14"/>
  <c r="BF177" i="14"/>
  <c r="Y177" i="14"/>
  <c r="BF176" i="14"/>
  <c r="Y176" i="14"/>
  <c r="BF175" i="14"/>
  <c r="BG175" i="14" s="1"/>
  <c r="Y175" i="14"/>
  <c r="BF174" i="14"/>
  <c r="Y174" i="14"/>
  <c r="BF173" i="14"/>
  <c r="BG173" i="14" s="1"/>
  <c r="Y173" i="14"/>
  <c r="BF172" i="14"/>
  <c r="Y172" i="14"/>
  <c r="BF171" i="14"/>
  <c r="Y171" i="14"/>
  <c r="BF170" i="14"/>
  <c r="BG170" i="14" s="1"/>
  <c r="Y170" i="14"/>
  <c r="BF169" i="14"/>
  <c r="BG169" i="14" s="1"/>
  <c r="Y169" i="14"/>
  <c r="BF168" i="14"/>
  <c r="Y168" i="14"/>
  <c r="BG167" i="14"/>
  <c r="BF167" i="14"/>
  <c r="Y167" i="14"/>
  <c r="BF166" i="14"/>
  <c r="Y166" i="14"/>
  <c r="BG166" i="14" s="1"/>
  <c r="BF165" i="14"/>
  <c r="BG165" i="14" s="1"/>
  <c r="Y165" i="14"/>
  <c r="BF164" i="14"/>
  <c r="BG164" i="14" s="1"/>
  <c r="Y164" i="14"/>
  <c r="BF163" i="14"/>
  <c r="BG163" i="14" s="1"/>
  <c r="Y163" i="14"/>
  <c r="BF162" i="14"/>
  <c r="BG162" i="14" s="1"/>
  <c r="Y162" i="14"/>
  <c r="BF161" i="14"/>
  <c r="Y161" i="14"/>
  <c r="BF160" i="14"/>
  <c r="BG160" i="14" s="1"/>
  <c r="Y160" i="14"/>
  <c r="BF159" i="14"/>
  <c r="BG159" i="14" s="1"/>
  <c r="Y159" i="14"/>
  <c r="BF158" i="14"/>
  <c r="Y158" i="14"/>
  <c r="BG158" i="14" s="1"/>
  <c r="BF157" i="14"/>
  <c r="BG157" i="14" s="1"/>
  <c r="Y157" i="14"/>
  <c r="BF156" i="14"/>
  <c r="BG156" i="14" s="1"/>
  <c r="Y156" i="14"/>
  <c r="BF155" i="14"/>
  <c r="BG155" i="14" s="1"/>
  <c r="Y155" i="14"/>
  <c r="BF154" i="14"/>
  <c r="Y154" i="14"/>
  <c r="BF153" i="14"/>
  <c r="BG153" i="14" s="1"/>
  <c r="Y153" i="14"/>
  <c r="BF152" i="14"/>
  <c r="BG152" i="14" s="1"/>
  <c r="Y152" i="14"/>
  <c r="BF151" i="14"/>
  <c r="Y151" i="14"/>
  <c r="BG151" i="14" s="1"/>
  <c r="BF150" i="14"/>
  <c r="Y150" i="14"/>
  <c r="BG150" i="14" s="1"/>
  <c r="BG149" i="14"/>
  <c r="BF149" i="14"/>
  <c r="Y149" i="14"/>
  <c r="BF148" i="14"/>
  <c r="BG148" i="14" s="1"/>
  <c r="Y148" i="14"/>
  <c r="BF147" i="14"/>
  <c r="Y147" i="14"/>
  <c r="BF146" i="14"/>
  <c r="BG146" i="14" s="1"/>
  <c r="Y146" i="14"/>
  <c r="BF145" i="14"/>
  <c r="BG145" i="14" s="1"/>
  <c r="Y145" i="14"/>
  <c r="BF144" i="14"/>
  <c r="BG144" i="14" s="1"/>
  <c r="Y144" i="14"/>
  <c r="BF143" i="14"/>
  <c r="BG143" i="14" s="1"/>
  <c r="Y143" i="14"/>
  <c r="BF142" i="14"/>
  <c r="Y142" i="14"/>
  <c r="BF141" i="14"/>
  <c r="BG141" i="14" s="1"/>
  <c r="Y141" i="14"/>
  <c r="BF140" i="14"/>
  <c r="Y140" i="14"/>
  <c r="BF139" i="14"/>
  <c r="BG139" i="14" s="1"/>
  <c r="Y139" i="14"/>
  <c r="BF138" i="14"/>
  <c r="BG138" i="14" s="1"/>
  <c r="Y138" i="14"/>
  <c r="BF137" i="14"/>
  <c r="BG137" i="14" s="1"/>
  <c r="Y137" i="14"/>
  <c r="BF136" i="14"/>
  <c r="BG136" i="14" s="1"/>
  <c r="Y136" i="14"/>
  <c r="BG135" i="14"/>
  <c r="BF135" i="14"/>
  <c r="Y135" i="14"/>
  <c r="BF134" i="14"/>
  <c r="Y134" i="14"/>
  <c r="BG134" i="14" s="1"/>
  <c r="BF133" i="14"/>
  <c r="BG133" i="14" s="1"/>
  <c r="Y133" i="14"/>
  <c r="BF132" i="14"/>
  <c r="BG132" i="14" s="1"/>
  <c r="Y132" i="14"/>
  <c r="BF131" i="14"/>
  <c r="BG131" i="14" s="1"/>
  <c r="Y131" i="14"/>
  <c r="BF130" i="14"/>
  <c r="BG130" i="14" s="1"/>
  <c r="Y130" i="14"/>
  <c r="BF129" i="14"/>
  <c r="BG129" i="14" s="1"/>
  <c r="Y129" i="14"/>
  <c r="BF128" i="14"/>
  <c r="BG128" i="14" s="1"/>
  <c r="Y128" i="14"/>
  <c r="BF127" i="14"/>
  <c r="BG127" i="14" s="1"/>
  <c r="Y127" i="14"/>
  <c r="BF126" i="14"/>
  <c r="Y126" i="14"/>
  <c r="BG126" i="14" s="1"/>
  <c r="BF125" i="14"/>
  <c r="BG125" i="14" s="1"/>
  <c r="Y125" i="14"/>
  <c r="BF124" i="14"/>
  <c r="BG124" i="14" s="1"/>
  <c r="Y124" i="14"/>
  <c r="BF123" i="14"/>
  <c r="BG123" i="14" s="1"/>
  <c r="Y123" i="14"/>
  <c r="BF122" i="14"/>
  <c r="BG122" i="14" s="1"/>
  <c r="Y122" i="14"/>
  <c r="BF121" i="14"/>
  <c r="BG121" i="14" s="1"/>
  <c r="Y121" i="14"/>
  <c r="BF120" i="14"/>
  <c r="BG120" i="14" s="1"/>
  <c r="Y120" i="14"/>
  <c r="BF119" i="14"/>
  <c r="Y119" i="14"/>
  <c r="BG119" i="14" s="1"/>
  <c r="BF118" i="14"/>
  <c r="Y118" i="14"/>
  <c r="BG118" i="14" s="1"/>
  <c r="BG117" i="14"/>
  <c r="BF117" i="14"/>
  <c r="Y117" i="14"/>
  <c r="BF116" i="14"/>
  <c r="BG116" i="14" s="1"/>
  <c r="Y116" i="14"/>
  <c r="BF115" i="14"/>
  <c r="BG115" i="14" s="1"/>
  <c r="Y115" i="14"/>
  <c r="BF114" i="14"/>
  <c r="BG114" i="14" s="1"/>
  <c r="Y114" i="14"/>
  <c r="BF113" i="14"/>
  <c r="BG113" i="14" s="1"/>
  <c r="Y113" i="14"/>
  <c r="BF112" i="14"/>
  <c r="BG112" i="14" s="1"/>
  <c r="Y112" i="14"/>
  <c r="BF111" i="14"/>
  <c r="Y111" i="14"/>
  <c r="BG111" i="14" s="1"/>
  <c r="BF110" i="14"/>
  <c r="Y110" i="14"/>
  <c r="BF109" i="14"/>
  <c r="BG109" i="14" s="1"/>
  <c r="Y109" i="14"/>
  <c r="BF108" i="14"/>
  <c r="BG108" i="14" s="1"/>
  <c r="Y108" i="14"/>
  <c r="BF107" i="14"/>
  <c r="BG107" i="14" s="1"/>
  <c r="Y107" i="14"/>
  <c r="BF106" i="14"/>
  <c r="BG106" i="14" s="1"/>
  <c r="Y106" i="14"/>
  <c r="BF105" i="14"/>
  <c r="BG105" i="14" s="1"/>
  <c r="Y105" i="14"/>
  <c r="BF104" i="14"/>
  <c r="BG104" i="14" s="1"/>
  <c r="Y104" i="14"/>
  <c r="BG103" i="14"/>
  <c r="BF103" i="14"/>
  <c r="Y103" i="14"/>
  <c r="BF102" i="14"/>
  <c r="Y102" i="14"/>
  <c r="BG102" i="14" s="1"/>
  <c r="BF101" i="14"/>
  <c r="BG101" i="14" s="1"/>
  <c r="Y101" i="14"/>
  <c r="BF100" i="14"/>
  <c r="BG100" i="14" s="1"/>
  <c r="Y100" i="14"/>
  <c r="BF99" i="14"/>
  <c r="BG99" i="14" s="1"/>
  <c r="Y99" i="14"/>
  <c r="BF98" i="14"/>
  <c r="BG98" i="14" s="1"/>
  <c r="Y98" i="14"/>
  <c r="BF97" i="14"/>
  <c r="BG97" i="14" s="1"/>
  <c r="Y97" i="14"/>
  <c r="BF96" i="14"/>
  <c r="BG96" i="14" s="1"/>
  <c r="Y96" i="14"/>
  <c r="BF95" i="14"/>
  <c r="BG95" i="14" s="1"/>
  <c r="Y95" i="14"/>
  <c r="BF94" i="14"/>
  <c r="Y94" i="14"/>
  <c r="BG94" i="14" s="1"/>
  <c r="BF93" i="14"/>
  <c r="BG93" i="14" s="1"/>
  <c r="Y93" i="14"/>
  <c r="BF92" i="14"/>
  <c r="BG92" i="14" s="1"/>
  <c r="Y92" i="14"/>
  <c r="BF91" i="14"/>
  <c r="BG91" i="14" s="1"/>
  <c r="Y91" i="14"/>
  <c r="BF90" i="14"/>
  <c r="BG90" i="14" s="1"/>
  <c r="Y90" i="14"/>
  <c r="BF89" i="14"/>
  <c r="BG89" i="14" s="1"/>
  <c r="Y89" i="14"/>
  <c r="BF88" i="14"/>
  <c r="BG88" i="14" s="1"/>
  <c r="Y88" i="14"/>
  <c r="BF87" i="14"/>
  <c r="Y87" i="14"/>
  <c r="BG87" i="14" s="1"/>
  <c r="BF86" i="14"/>
  <c r="Y86" i="14"/>
  <c r="BG86" i="14" s="1"/>
  <c r="BG85" i="14"/>
  <c r="BF85" i="14"/>
  <c r="Y85" i="14"/>
  <c r="BF84" i="14"/>
  <c r="BG84" i="14" s="1"/>
  <c r="Y84" i="14"/>
  <c r="BF83" i="14"/>
  <c r="BG83" i="14" s="1"/>
  <c r="Y83" i="14"/>
  <c r="BF82" i="14"/>
  <c r="BG82" i="14" s="1"/>
  <c r="Y82" i="14"/>
  <c r="BF81" i="14"/>
  <c r="BG81" i="14" s="1"/>
  <c r="Y81" i="14"/>
  <c r="BF80" i="14"/>
  <c r="BG80" i="14" s="1"/>
  <c r="Y80" i="14"/>
  <c r="BF79" i="14"/>
  <c r="Y79" i="14"/>
  <c r="BG79" i="14" s="1"/>
  <c r="BF78" i="14"/>
  <c r="Y78" i="14"/>
  <c r="BF77" i="14"/>
  <c r="BG77" i="14" s="1"/>
  <c r="Y77" i="14"/>
  <c r="BF76" i="14"/>
  <c r="BG76" i="14" s="1"/>
  <c r="Y76" i="14"/>
  <c r="BF75" i="14"/>
  <c r="BG75" i="14" s="1"/>
  <c r="Y75" i="14"/>
  <c r="BF74" i="14"/>
  <c r="BG74" i="14" s="1"/>
  <c r="Y74" i="14"/>
  <c r="BF73" i="14"/>
  <c r="BG73" i="14" s="1"/>
  <c r="Y73" i="14"/>
  <c r="BF72" i="14"/>
  <c r="BG72" i="14" s="1"/>
  <c r="Y72" i="14"/>
  <c r="BG71" i="14"/>
  <c r="BF71" i="14"/>
  <c r="Y71" i="14"/>
  <c r="BF70" i="14"/>
  <c r="Y70" i="14"/>
  <c r="BG70" i="14" s="1"/>
  <c r="BF69" i="14"/>
  <c r="BG69" i="14" s="1"/>
  <c r="Y69" i="14"/>
  <c r="BF68" i="14"/>
  <c r="BG68" i="14" s="1"/>
  <c r="Y68" i="14"/>
  <c r="BF67" i="14"/>
  <c r="Y67" i="14"/>
  <c r="BF66" i="14"/>
  <c r="BG66" i="14" s="1"/>
  <c r="Y66" i="14"/>
  <c r="BF65" i="14"/>
  <c r="BG65" i="14" s="1"/>
  <c r="Y65" i="14"/>
  <c r="BF64" i="14"/>
  <c r="BG64" i="14" s="1"/>
  <c r="Y64" i="14"/>
  <c r="BF63" i="14"/>
  <c r="BG63" i="14" s="1"/>
  <c r="Y63" i="14"/>
  <c r="BF62" i="14"/>
  <c r="Y62" i="14"/>
  <c r="BG62" i="14" s="1"/>
  <c r="BF61" i="14"/>
  <c r="BG61" i="14" s="1"/>
  <c r="Y61" i="14"/>
  <c r="BF60" i="14"/>
  <c r="BG60" i="14" s="1"/>
  <c r="Y60" i="14"/>
  <c r="BF59" i="14"/>
  <c r="BG59" i="14" s="1"/>
  <c r="Y59" i="14"/>
  <c r="BF58" i="14"/>
  <c r="BG58" i="14" s="1"/>
  <c r="Y58" i="14"/>
  <c r="BF57" i="14"/>
  <c r="BG57" i="14" s="1"/>
  <c r="Y57" i="14"/>
  <c r="BF56" i="14"/>
  <c r="BG56" i="14" s="1"/>
  <c r="Y56" i="14"/>
  <c r="BF55" i="14"/>
  <c r="Y55" i="14"/>
  <c r="BG55" i="14" s="1"/>
  <c r="BF54" i="14"/>
  <c r="Y54" i="14"/>
  <c r="BG54" i="14" s="1"/>
  <c r="BF53" i="14"/>
  <c r="BG53" i="14" s="1"/>
  <c r="Y53" i="14"/>
  <c r="BF52" i="14"/>
  <c r="BG52" i="14" s="1"/>
  <c r="Y52" i="14"/>
  <c r="BF51" i="14"/>
  <c r="BG51" i="14" s="1"/>
  <c r="Y51" i="14"/>
  <c r="BF50" i="14"/>
  <c r="BG50" i="14" s="1"/>
  <c r="Y50" i="14"/>
  <c r="BF49" i="14"/>
  <c r="BG49" i="14" s="1"/>
  <c r="Y49" i="14"/>
  <c r="BF48" i="14"/>
  <c r="BG48" i="14" s="1"/>
  <c r="Y48" i="14"/>
  <c r="BF47" i="14"/>
  <c r="Y47" i="14"/>
  <c r="BG47" i="14" s="1"/>
  <c r="BF46" i="14"/>
  <c r="Y46" i="14"/>
  <c r="BF45" i="14"/>
  <c r="BG45" i="14" s="1"/>
  <c r="Y45" i="14"/>
  <c r="BF44" i="14"/>
  <c r="BG44" i="14" s="1"/>
  <c r="Y44" i="14"/>
  <c r="BF43" i="14"/>
  <c r="BG43" i="14" s="1"/>
  <c r="Y43" i="14"/>
  <c r="BF42" i="14"/>
  <c r="BG42" i="14" s="1"/>
  <c r="Y42" i="14"/>
  <c r="BF41" i="14"/>
  <c r="BG41" i="14" s="1"/>
  <c r="Y41" i="14"/>
  <c r="BF40" i="14"/>
  <c r="BG40" i="14" s="1"/>
  <c r="Y40" i="14"/>
  <c r="BG39" i="14"/>
  <c r="BF39" i="14"/>
  <c r="Y39" i="14"/>
  <c r="BF38" i="14"/>
  <c r="Y38" i="14"/>
  <c r="BG38" i="14" s="1"/>
  <c r="BF37" i="14"/>
  <c r="BG37" i="14" s="1"/>
  <c r="Y37" i="14"/>
  <c r="BF36" i="14"/>
  <c r="BG36" i="14" s="1"/>
  <c r="Y36" i="14"/>
  <c r="BF35" i="14"/>
  <c r="BG35" i="14" s="1"/>
  <c r="Y35" i="14"/>
  <c r="BF34" i="14"/>
  <c r="BG34" i="14" s="1"/>
  <c r="Y34" i="14"/>
  <c r="BF33" i="14"/>
  <c r="BG33" i="14" s="1"/>
  <c r="Y33" i="14"/>
  <c r="BF32" i="14"/>
  <c r="BG32" i="14" s="1"/>
  <c r="Y32" i="14"/>
  <c r="BF31" i="14"/>
  <c r="BG31" i="14" s="1"/>
  <c r="Y31" i="14"/>
  <c r="BF30" i="14"/>
  <c r="Y30" i="14"/>
  <c r="BG30" i="14" s="1"/>
  <c r="BF29" i="14"/>
  <c r="BG29" i="14" s="1"/>
  <c r="Y29" i="14"/>
  <c r="BF28" i="14"/>
  <c r="BG28" i="14" s="1"/>
  <c r="Y28" i="14"/>
  <c r="BF27" i="14"/>
  <c r="BG27" i="14" s="1"/>
  <c r="Y27" i="14"/>
  <c r="BF26" i="14"/>
  <c r="BG26" i="14" s="1"/>
  <c r="Y26" i="14"/>
  <c r="BF25" i="14"/>
  <c r="BG25" i="14" s="1"/>
  <c r="Y25" i="14"/>
  <c r="BF24" i="14"/>
  <c r="BG24" i="14" s="1"/>
  <c r="Y24" i="14"/>
  <c r="BF23" i="14"/>
  <c r="Y23" i="14"/>
  <c r="BG23" i="14" s="1"/>
  <c r="BF22" i="14"/>
  <c r="Y22" i="14"/>
  <c r="BG22" i="14" s="1"/>
  <c r="BF21" i="14"/>
  <c r="BG21" i="14" s="1"/>
  <c r="Y21" i="14"/>
  <c r="BF20" i="14"/>
  <c r="BG20" i="14" s="1"/>
  <c r="Y20" i="14"/>
  <c r="BF19" i="14"/>
  <c r="BG19" i="14" s="1"/>
  <c r="Y19" i="14"/>
  <c r="BF18" i="14"/>
  <c r="BG18" i="14" s="1"/>
  <c r="Y18" i="14"/>
  <c r="BF17" i="14"/>
  <c r="BG17" i="14" s="1"/>
  <c r="Y17" i="14"/>
  <c r="BF16" i="14"/>
  <c r="Y16" i="14"/>
  <c r="Y354" i="14" l="1"/>
  <c r="BG172" i="14"/>
  <c r="BG192" i="14"/>
  <c r="BG202" i="14"/>
  <c r="BG206" i="14"/>
  <c r="BG219" i="14"/>
  <c r="BG240" i="14"/>
  <c r="BG243" i="14"/>
  <c r="BG247" i="14"/>
  <c r="BG260" i="14"/>
  <c r="BG294" i="14"/>
  <c r="BG304" i="14"/>
  <c r="BG307" i="14"/>
  <c r="BG311" i="14"/>
  <c r="BG324" i="14"/>
  <c r="BG176" i="14"/>
  <c r="BG186" i="14"/>
  <c r="BG190" i="14"/>
  <c r="BG203" i="14"/>
  <c r="BG220" i="14"/>
  <c r="BG244" i="14"/>
  <c r="BG288" i="14"/>
  <c r="BG291" i="14"/>
  <c r="BG295" i="14"/>
  <c r="BG308" i="14"/>
  <c r="BG46" i="14"/>
  <c r="BG67" i="14"/>
  <c r="BG78" i="14"/>
  <c r="BG110" i="14"/>
  <c r="BG142" i="14"/>
  <c r="BG180" i="14"/>
  <c r="BG214" i="14"/>
  <c r="BG231" i="14"/>
  <c r="BG238" i="14"/>
  <c r="BG251" i="14"/>
  <c r="BG255" i="14"/>
  <c r="BG268" i="14"/>
  <c r="BG302" i="14"/>
  <c r="BG319" i="14"/>
  <c r="BG332" i="14"/>
  <c r="BF354" i="14"/>
  <c r="BG174" i="14"/>
  <c r="BG262" i="14"/>
  <c r="BG279" i="14"/>
  <c r="BG326" i="14"/>
  <c r="BG171" i="14"/>
  <c r="BG188" i="14"/>
  <c r="BG208" i="14"/>
  <c r="BG218" i="14"/>
  <c r="BG232" i="14"/>
  <c r="BG256" i="14"/>
  <c r="BG259" i="14"/>
  <c r="BG276" i="14"/>
  <c r="BG320" i="14"/>
  <c r="BG323" i="14"/>
  <c r="BG340" i="14"/>
  <c r="BG140" i="14"/>
  <c r="BG147" i="14"/>
  <c r="BG154" i="14"/>
  <c r="BG161" i="14"/>
  <c r="BG168" i="14"/>
  <c r="BG178" i="14"/>
  <c r="BG195" i="14"/>
  <c r="BG212" i="14"/>
  <c r="BG222" i="14"/>
  <c r="BG236" i="14"/>
  <c r="BG280" i="14"/>
  <c r="BG283" i="14"/>
  <c r="BG300" i="14"/>
  <c r="BG16" i="14"/>
  <c r="BG354" i="14" l="1"/>
  <c r="Y151" i="13" l="1"/>
  <c r="DF148" i="13"/>
  <c r="DB148" i="13"/>
  <c r="CX148" i="13"/>
  <c r="CT148" i="13"/>
  <c r="CP148" i="13"/>
  <c r="CL148" i="13"/>
  <c r="CH148" i="13"/>
  <c r="CD148" i="13"/>
  <c r="BZ148" i="13"/>
  <c r="BV148" i="13"/>
  <c r="BR148" i="13"/>
  <c r="BN148" i="13"/>
  <c r="BJ148" i="13"/>
  <c r="BF148" i="13"/>
  <c r="BB148" i="13"/>
  <c r="AX148" i="13"/>
  <c r="AT148" i="13"/>
  <c r="AP148" i="13"/>
  <c r="AL148" i="13"/>
  <c r="AH148" i="13"/>
  <c r="AD148" i="13"/>
  <c r="X148" i="13"/>
  <c r="W148" i="13"/>
  <c r="V148" i="13"/>
  <c r="U148" i="13"/>
  <c r="T148" i="13"/>
  <c r="R148" i="13"/>
  <c r="Q148" i="13"/>
  <c r="P148" i="13"/>
  <c r="O148" i="13"/>
  <c r="N148" i="13"/>
  <c r="M148" i="13"/>
  <c r="L148" i="13"/>
  <c r="K148" i="13"/>
  <c r="J148" i="13"/>
  <c r="DJ147" i="13"/>
  <c r="DK147" i="13" s="1"/>
  <c r="Y147" i="13"/>
  <c r="DJ145" i="13"/>
  <c r="DK145" i="13" s="1"/>
  <c r="Y145" i="13"/>
  <c r="DJ144" i="13"/>
  <c r="DK144" i="13" s="1"/>
  <c r="Y144" i="13"/>
  <c r="DJ143" i="13"/>
  <c r="DK143" i="13" s="1"/>
  <c r="Y143" i="13"/>
  <c r="DK142" i="13"/>
  <c r="DJ142" i="13"/>
  <c r="Y142" i="13"/>
  <c r="DK141" i="13"/>
  <c r="DJ141" i="13"/>
  <c r="Y141" i="13"/>
  <c r="DJ140" i="13"/>
  <c r="DK140" i="13" s="1"/>
  <c r="Y140" i="13"/>
  <c r="DJ139" i="13"/>
  <c r="DK139" i="13" s="1"/>
  <c r="Y139" i="13"/>
  <c r="DJ138" i="13"/>
  <c r="DK138" i="13" s="1"/>
  <c r="Y138" i="13"/>
  <c r="DJ137" i="13"/>
  <c r="DK137" i="13" s="1"/>
  <c r="Y137" i="13"/>
  <c r="DK136" i="13"/>
  <c r="DJ136" i="13"/>
  <c r="Y136" i="13"/>
  <c r="DJ135" i="13"/>
  <c r="DK135" i="13" s="1"/>
  <c r="Y135" i="13"/>
  <c r="DK134" i="13"/>
  <c r="DJ134" i="13"/>
  <c r="Y134" i="13"/>
  <c r="DK133" i="13"/>
  <c r="DJ133" i="13"/>
  <c r="Y133" i="13"/>
  <c r="DJ132" i="13"/>
  <c r="DK132" i="13" s="1"/>
  <c r="Y132" i="13"/>
  <c r="DJ131" i="13"/>
  <c r="DK131" i="13" s="1"/>
  <c r="Y131" i="13"/>
  <c r="DJ130" i="13"/>
  <c r="DK130" i="13" s="1"/>
  <c r="Y130" i="13"/>
  <c r="DJ129" i="13"/>
  <c r="DK129" i="13" s="1"/>
  <c r="Y129" i="13"/>
  <c r="DK128" i="13"/>
  <c r="DJ128" i="13"/>
  <c r="Y128" i="13"/>
  <c r="DJ127" i="13"/>
  <c r="DK127" i="13" s="1"/>
  <c r="Y127" i="13"/>
  <c r="DK126" i="13"/>
  <c r="DJ126" i="13"/>
  <c r="Y126" i="13"/>
  <c r="DK125" i="13"/>
  <c r="DJ125" i="13"/>
  <c r="Y125" i="13"/>
  <c r="DJ124" i="13"/>
  <c r="DK124" i="13" s="1"/>
  <c r="Y124" i="13"/>
  <c r="DJ123" i="13"/>
  <c r="DK123" i="13" s="1"/>
  <c r="Y123" i="13"/>
  <c r="DJ122" i="13"/>
  <c r="DK122" i="13" s="1"/>
  <c r="Y122" i="13"/>
  <c r="DJ121" i="13"/>
  <c r="DK121" i="13" s="1"/>
  <c r="Y121" i="13"/>
  <c r="DK120" i="13"/>
  <c r="DJ120" i="13"/>
  <c r="Y120" i="13"/>
  <c r="DJ119" i="13"/>
  <c r="DK119" i="13" s="1"/>
  <c r="Y119" i="13"/>
  <c r="DK118" i="13"/>
  <c r="DJ118" i="13"/>
  <c r="Y118" i="13"/>
  <c r="Z117" i="13"/>
  <c r="DJ117" i="13" s="1"/>
  <c r="DK117" i="13" s="1"/>
  <c r="Y117" i="13"/>
  <c r="DJ116" i="13"/>
  <c r="DK116" i="13" s="1"/>
  <c r="Y116" i="13"/>
  <c r="DK115" i="13"/>
  <c r="DJ115" i="13"/>
  <c r="Y115" i="13"/>
  <c r="DJ114" i="13"/>
  <c r="DK114" i="13" s="1"/>
  <c r="Y114" i="13"/>
  <c r="DK113" i="13"/>
  <c r="DJ113" i="13"/>
  <c r="Y113" i="13"/>
  <c r="DK112" i="13"/>
  <c r="DJ112" i="13"/>
  <c r="Y112" i="13"/>
  <c r="DJ111" i="13"/>
  <c r="DK111" i="13" s="1"/>
  <c r="Y111" i="13"/>
  <c r="DJ110" i="13"/>
  <c r="DK110" i="13" s="1"/>
  <c r="Y110" i="13"/>
  <c r="DJ109" i="13"/>
  <c r="DK109" i="13" s="1"/>
  <c r="Y109" i="13"/>
  <c r="DJ108" i="13"/>
  <c r="DK108" i="13" s="1"/>
  <c r="Y108" i="13"/>
  <c r="DK107" i="13"/>
  <c r="DJ107" i="13"/>
  <c r="Y107" i="13"/>
  <c r="DJ106" i="13"/>
  <c r="DK106" i="13" s="1"/>
  <c r="Y106" i="13"/>
  <c r="DK105" i="13"/>
  <c r="DJ105" i="13"/>
  <c r="Y105" i="13"/>
  <c r="DJ104" i="13"/>
  <c r="DK104" i="13" s="1"/>
  <c r="Y104" i="13"/>
  <c r="DJ103" i="13"/>
  <c r="DK103" i="13" s="1"/>
  <c r="Y103" i="13"/>
  <c r="DJ102" i="13"/>
  <c r="DK102" i="13" s="1"/>
  <c r="Y102" i="13"/>
  <c r="DJ101" i="13"/>
  <c r="DK101" i="13" s="1"/>
  <c r="Y101" i="13"/>
  <c r="DJ100" i="13"/>
  <c r="DK100" i="13" s="1"/>
  <c r="Y100" i="13"/>
  <c r="DK99" i="13"/>
  <c r="DJ99" i="13"/>
  <c r="Y99" i="13"/>
  <c r="DJ98" i="13"/>
  <c r="DK98" i="13" s="1"/>
  <c r="Y98" i="13"/>
  <c r="Z97" i="13"/>
  <c r="DJ97" i="13" s="1"/>
  <c r="DK97" i="13" s="1"/>
  <c r="Y97" i="13"/>
  <c r="DJ96" i="13"/>
  <c r="DK96" i="13" s="1"/>
  <c r="Y96" i="13"/>
  <c r="DJ95" i="13"/>
  <c r="DK95" i="13" s="1"/>
  <c r="Z95" i="13"/>
  <c r="Y95" i="13"/>
  <c r="DJ94" i="13"/>
  <c r="DK94" i="13" s="1"/>
  <c r="Y94" i="13"/>
  <c r="DJ93" i="13"/>
  <c r="DK93" i="13" s="1"/>
  <c r="Y93" i="13"/>
  <c r="DJ92" i="13"/>
  <c r="S92" i="13"/>
  <c r="Y92" i="13" s="1"/>
  <c r="DJ91" i="13"/>
  <c r="DK91" i="13" s="1"/>
  <c r="Y91" i="13"/>
  <c r="DK90" i="13"/>
  <c r="DJ90" i="13"/>
  <c r="Y90" i="13"/>
  <c r="Z89" i="13"/>
  <c r="DJ89" i="13" s="1"/>
  <c r="DK89" i="13" s="1"/>
  <c r="Y89" i="13"/>
  <c r="DJ88" i="13"/>
  <c r="DK88" i="13" s="1"/>
  <c r="Y88" i="13"/>
  <c r="DK87" i="13"/>
  <c r="DJ87" i="13"/>
  <c r="Y87" i="13"/>
  <c r="DJ86" i="13"/>
  <c r="DK86" i="13" s="1"/>
  <c r="Y86" i="13"/>
  <c r="DK85" i="13"/>
  <c r="DJ85" i="13"/>
  <c r="Y85" i="13"/>
  <c r="DJ84" i="13"/>
  <c r="DK84" i="13" s="1"/>
  <c r="Y84" i="13"/>
  <c r="DJ83" i="13"/>
  <c r="DK83" i="13" s="1"/>
  <c r="Y83" i="13"/>
  <c r="DJ82" i="13"/>
  <c r="DK82" i="13" s="1"/>
  <c r="Y82" i="13"/>
  <c r="DJ81" i="13"/>
  <c r="DK81" i="13" s="1"/>
  <c r="Y81" i="13"/>
  <c r="DJ80" i="13"/>
  <c r="DK80" i="13" s="1"/>
  <c r="S80" i="13"/>
  <c r="Y80" i="13" s="1"/>
  <c r="DJ79" i="13"/>
  <c r="DK79" i="13" s="1"/>
  <c r="Y79" i="13"/>
  <c r="DJ78" i="13"/>
  <c r="DK78" i="13" s="1"/>
  <c r="Y78" i="13"/>
  <c r="DJ77" i="13"/>
  <c r="DK77" i="13" s="1"/>
  <c r="Y77" i="13"/>
  <c r="DJ76" i="13"/>
  <c r="DK76" i="13" s="1"/>
  <c r="Z76" i="13"/>
  <c r="Y76" i="13"/>
  <c r="Z75" i="13"/>
  <c r="DJ75" i="13" s="1"/>
  <c r="DK75" i="13" s="1"/>
  <c r="Y75" i="13"/>
  <c r="DJ74" i="13"/>
  <c r="DK74" i="13" s="1"/>
  <c r="Y74" i="13"/>
  <c r="DJ73" i="13"/>
  <c r="DK73" i="13" s="1"/>
  <c r="Y73" i="13"/>
  <c r="DK72" i="13"/>
  <c r="DJ72" i="13"/>
  <c r="Y72" i="13"/>
  <c r="DJ71" i="13"/>
  <c r="Y71" i="13"/>
  <c r="DK71" i="13" s="1"/>
  <c r="Z70" i="13"/>
  <c r="DJ70" i="13" s="1"/>
  <c r="DK70" i="13" s="1"/>
  <c r="Y70" i="13"/>
  <c r="DJ69" i="13"/>
  <c r="DK69" i="13" s="1"/>
  <c r="Y69" i="13"/>
  <c r="DJ68" i="13"/>
  <c r="DK68" i="13" s="1"/>
  <c r="Z68" i="13"/>
  <c r="Y68" i="13"/>
  <c r="DJ67" i="13"/>
  <c r="DK67" i="13" s="1"/>
  <c r="Y67" i="13"/>
  <c r="Z66" i="13"/>
  <c r="DJ66" i="13" s="1"/>
  <c r="DK66" i="13" s="1"/>
  <c r="Y66" i="13"/>
  <c r="DK65" i="13"/>
  <c r="DJ65" i="13"/>
  <c r="Y65" i="13"/>
  <c r="Z64" i="13"/>
  <c r="DJ64" i="13" s="1"/>
  <c r="DK64" i="13" s="1"/>
  <c r="Y64" i="13"/>
  <c r="DJ63" i="13"/>
  <c r="DK63" i="13" s="1"/>
  <c r="Y63" i="13"/>
  <c r="DJ62" i="13"/>
  <c r="DK62" i="13" s="1"/>
  <c r="Z62" i="13"/>
  <c r="Y62" i="13"/>
  <c r="DK61" i="13"/>
  <c r="DJ61" i="13"/>
  <c r="Y61" i="13"/>
  <c r="DJ60" i="13"/>
  <c r="DK60" i="13" s="1"/>
  <c r="Y60" i="13"/>
  <c r="DJ59" i="13"/>
  <c r="DK59" i="13" s="1"/>
  <c r="Y59" i="13"/>
  <c r="DJ58" i="13"/>
  <c r="DK58" i="13" s="1"/>
  <c r="Y58" i="13"/>
  <c r="DJ57" i="13"/>
  <c r="DK57" i="13" s="1"/>
  <c r="Y57" i="13"/>
  <c r="DJ56" i="13"/>
  <c r="DK56" i="13" s="1"/>
  <c r="Y56" i="13"/>
  <c r="DK55" i="13"/>
  <c r="DJ55" i="13"/>
  <c r="Y55" i="13"/>
  <c r="DJ54" i="13"/>
  <c r="Y54" i="13"/>
  <c r="DK54" i="13" s="1"/>
  <c r="DK53" i="13"/>
  <c r="DJ53" i="13"/>
  <c r="Y53" i="13"/>
  <c r="Z52" i="13"/>
  <c r="DJ52" i="13" s="1"/>
  <c r="DK52" i="13" s="1"/>
  <c r="Y52" i="13"/>
  <c r="DJ51" i="13"/>
  <c r="DK51" i="13" s="1"/>
  <c r="Z51" i="13"/>
  <c r="Y51" i="13"/>
  <c r="Z50" i="13"/>
  <c r="DJ50" i="13" s="1"/>
  <c r="DK50" i="13" s="1"/>
  <c r="Y50" i="13"/>
  <c r="DJ49" i="13"/>
  <c r="DK49" i="13" s="1"/>
  <c r="Y49" i="13"/>
  <c r="DK48" i="13"/>
  <c r="DJ48" i="13"/>
  <c r="Y48" i="13"/>
  <c r="DJ47" i="13"/>
  <c r="Y47" i="13"/>
  <c r="DK47" i="13" s="1"/>
  <c r="DK46" i="13"/>
  <c r="DJ46" i="13"/>
  <c r="Y46" i="13"/>
  <c r="Z45" i="13"/>
  <c r="DJ45" i="13" s="1"/>
  <c r="DK45" i="13" s="1"/>
  <c r="Y45" i="13"/>
  <c r="DJ44" i="13"/>
  <c r="DK44" i="13" s="1"/>
  <c r="Y44" i="13"/>
  <c r="DK43" i="13"/>
  <c r="DJ43" i="13"/>
  <c r="Y43" i="13"/>
  <c r="DJ42" i="13"/>
  <c r="Y42" i="13"/>
  <c r="DK42" i="13" s="1"/>
  <c r="DK41" i="13"/>
  <c r="DJ41" i="13"/>
  <c r="Y41" i="13"/>
  <c r="DJ40" i="13"/>
  <c r="DK40" i="13" s="1"/>
  <c r="Y40" i="13"/>
  <c r="DJ39" i="13"/>
  <c r="DK39" i="13" s="1"/>
  <c r="Y39" i="13"/>
  <c r="DJ38" i="13"/>
  <c r="DK38" i="13" s="1"/>
  <c r="Y38" i="13"/>
  <c r="DJ37" i="13"/>
  <c r="DK37" i="13" s="1"/>
  <c r="Y37" i="13"/>
  <c r="DJ36" i="13"/>
  <c r="DK36" i="13" s="1"/>
  <c r="Y36" i="13"/>
  <c r="DK35" i="13"/>
  <c r="DJ35" i="13"/>
  <c r="Y35" i="13"/>
  <c r="DJ34" i="13"/>
  <c r="Y34" i="13"/>
  <c r="DK34" i="13" s="1"/>
  <c r="DK33" i="13"/>
  <c r="DJ33" i="13"/>
  <c r="Y33" i="13"/>
  <c r="DJ32" i="13"/>
  <c r="DK32" i="13" s="1"/>
  <c r="Y32" i="13"/>
  <c r="DJ31" i="13"/>
  <c r="DK31" i="13" s="1"/>
  <c r="Y31" i="13"/>
  <c r="DJ30" i="13"/>
  <c r="DK30" i="13" s="1"/>
  <c r="Y30" i="13"/>
  <c r="DJ29" i="13"/>
  <c r="DK29" i="13" s="1"/>
  <c r="Z29" i="13"/>
  <c r="Y29" i="13"/>
  <c r="Z28" i="13"/>
  <c r="DJ28" i="13" s="1"/>
  <c r="DK28" i="13" s="1"/>
  <c r="Y28" i="13"/>
  <c r="DJ27" i="13"/>
  <c r="DK27" i="13" s="1"/>
  <c r="Y27" i="13"/>
  <c r="DJ26" i="13"/>
  <c r="DK26" i="13" s="1"/>
  <c r="Z26" i="13"/>
  <c r="Y26" i="13"/>
  <c r="S26" i="13"/>
  <c r="S148" i="13" s="1"/>
  <c r="DJ25" i="13"/>
  <c r="DK25" i="13" s="1"/>
  <c r="Y25" i="13"/>
  <c r="DJ24" i="13"/>
  <c r="DK24" i="13" s="1"/>
  <c r="Y24" i="13"/>
  <c r="DK23" i="13"/>
  <c r="DJ23" i="13"/>
  <c r="Y23" i="13"/>
  <c r="DJ22" i="13"/>
  <c r="Y22" i="13"/>
  <c r="DK22" i="13" s="1"/>
  <c r="DK21" i="13"/>
  <c r="DJ21" i="13"/>
  <c r="Y21" i="13"/>
  <c r="DJ20" i="13"/>
  <c r="DK20" i="13" s="1"/>
  <c r="Y20" i="13"/>
  <c r="Z19" i="13"/>
  <c r="DJ19" i="13" s="1"/>
  <c r="DK19" i="13" s="1"/>
  <c r="Y19" i="13"/>
  <c r="DK18" i="13"/>
  <c r="DJ18" i="13"/>
  <c r="Y18" i="13"/>
  <c r="DJ17" i="13"/>
  <c r="Y17" i="13"/>
  <c r="DK17" i="13" s="1"/>
  <c r="Z16" i="13"/>
  <c r="DJ16" i="13" s="1"/>
  <c r="Y16" i="13"/>
  <c r="Y148" i="13" s="1"/>
  <c r="E13" i="13" s="1"/>
  <c r="C13" i="13"/>
  <c r="B13" i="13"/>
  <c r="DJ148" i="13" l="1"/>
  <c r="DK16" i="13"/>
  <c r="DK148" i="13" s="1"/>
  <c r="DK92" i="13"/>
  <c r="Z148" i="13"/>
  <c r="AM99" i="12" l="1"/>
  <c r="AI99" i="12"/>
  <c r="AE99" i="12"/>
  <c r="AA99" i="12"/>
  <c r="W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V98" i="12"/>
  <c r="V97" i="12"/>
  <c r="AQ96" i="12"/>
  <c r="V96" i="12"/>
  <c r="AR96" i="12" s="1"/>
  <c r="AR95" i="12"/>
  <c r="AQ95" i="12"/>
  <c r="V95" i="12"/>
  <c r="AQ94" i="12"/>
  <c r="V94" i="12"/>
  <c r="AR94" i="12" s="1"/>
  <c r="AR93" i="12"/>
  <c r="AQ93" i="12"/>
  <c r="V93" i="12"/>
  <c r="AQ92" i="12"/>
  <c r="V92" i="12"/>
  <c r="AR92" i="12" s="1"/>
  <c r="AR91" i="12"/>
  <c r="AQ91" i="12"/>
  <c r="V91" i="12"/>
  <c r="AQ90" i="12"/>
  <c r="V90" i="12"/>
  <c r="AR90" i="12" s="1"/>
  <c r="AR89" i="12"/>
  <c r="AQ89" i="12"/>
  <c r="V89" i="12"/>
  <c r="AQ88" i="12"/>
  <c r="V88" i="12"/>
  <c r="AR88" i="12" s="1"/>
  <c r="AR87" i="12"/>
  <c r="AQ87" i="12"/>
  <c r="V87" i="12"/>
  <c r="AQ86" i="12"/>
  <c r="V86" i="12"/>
  <c r="AR86" i="12" s="1"/>
  <c r="AR85" i="12"/>
  <c r="AQ85" i="12"/>
  <c r="V85" i="12"/>
  <c r="AQ84" i="12"/>
  <c r="V84" i="12"/>
  <c r="AR84" i="12" s="1"/>
  <c r="AR83" i="12"/>
  <c r="AQ83" i="12"/>
  <c r="V83" i="12"/>
  <c r="AQ82" i="12"/>
  <c r="V82" i="12"/>
  <c r="AR82" i="12" s="1"/>
  <c r="AR81" i="12"/>
  <c r="AQ81" i="12"/>
  <c r="V81" i="12"/>
  <c r="AQ80" i="12"/>
  <c r="V80" i="12"/>
  <c r="AR80" i="12" s="1"/>
  <c r="AR79" i="12"/>
  <c r="AQ79" i="12"/>
  <c r="V79" i="12"/>
  <c r="AQ78" i="12"/>
  <c r="V78" i="12"/>
  <c r="AR78" i="12" s="1"/>
  <c r="AR77" i="12"/>
  <c r="AQ77" i="12"/>
  <c r="V77" i="12"/>
  <c r="AQ76" i="12"/>
  <c r="V76" i="12"/>
  <c r="AR76" i="12" s="1"/>
  <c r="AR75" i="12"/>
  <c r="AQ75" i="12"/>
  <c r="V75" i="12"/>
  <c r="AQ74" i="12"/>
  <c r="V74" i="12"/>
  <c r="AR74" i="12" s="1"/>
  <c r="AR73" i="12"/>
  <c r="AQ73" i="12"/>
  <c r="V73" i="12"/>
  <c r="AQ72" i="12"/>
  <c r="V72" i="12"/>
  <c r="AR72" i="12" s="1"/>
  <c r="AR71" i="12"/>
  <c r="AQ71" i="12"/>
  <c r="V71" i="12"/>
  <c r="AQ70" i="12"/>
  <c r="V70" i="12"/>
  <c r="AR70" i="12" s="1"/>
  <c r="AR69" i="12"/>
  <c r="AQ69" i="12"/>
  <c r="V69" i="12"/>
  <c r="AQ68" i="12"/>
  <c r="V68" i="12"/>
  <c r="AR68" i="12" s="1"/>
  <c r="AR67" i="12"/>
  <c r="AQ67" i="12"/>
  <c r="V67" i="12"/>
  <c r="AQ66" i="12"/>
  <c r="V66" i="12"/>
  <c r="AR66" i="12" s="1"/>
  <c r="AR65" i="12"/>
  <c r="AQ65" i="12"/>
  <c r="V65" i="12"/>
  <c r="AQ64" i="12"/>
  <c r="V64" i="12"/>
  <c r="AR64" i="12" s="1"/>
  <c r="AR63" i="12"/>
  <c r="AQ63" i="12"/>
  <c r="V63" i="12"/>
  <c r="AQ62" i="12"/>
  <c r="V62" i="12"/>
  <c r="AR62" i="12" s="1"/>
  <c r="AR61" i="12"/>
  <c r="AQ61" i="12"/>
  <c r="V61" i="12"/>
  <c r="AQ60" i="12"/>
  <c r="V60" i="12"/>
  <c r="AR60" i="12" s="1"/>
  <c r="AR59" i="12"/>
  <c r="AQ59" i="12"/>
  <c r="V59" i="12"/>
  <c r="AQ58" i="12"/>
  <c r="V58" i="12"/>
  <c r="AR58" i="12" s="1"/>
  <c r="AR57" i="12"/>
  <c r="AQ57" i="12"/>
  <c r="V57" i="12"/>
  <c r="AQ56" i="12"/>
  <c r="V56" i="12"/>
  <c r="AR56" i="12" s="1"/>
  <c r="AR55" i="12"/>
  <c r="AQ55" i="12"/>
  <c r="V55" i="12"/>
  <c r="AQ54" i="12"/>
  <c r="V54" i="12"/>
  <c r="AR54" i="12" s="1"/>
  <c r="AR53" i="12"/>
  <c r="AQ53" i="12"/>
  <c r="V53" i="12"/>
  <c r="AQ52" i="12"/>
  <c r="V52" i="12"/>
  <c r="AR52" i="12" s="1"/>
  <c r="AR51" i="12"/>
  <c r="AQ51" i="12"/>
  <c r="V51" i="12"/>
  <c r="AQ50" i="12"/>
  <c r="V50" i="12"/>
  <c r="AR50" i="12" s="1"/>
  <c r="AR49" i="12"/>
  <c r="AQ49" i="12"/>
  <c r="V49" i="12"/>
  <c r="AQ48" i="12"/>
  <c r="V48" i="12"/>
  <c r="AR48" i="12" s="1"/>
  <c r="AR47" i="12"/>
  <c r="AQ47" i="12"/>
  <c r="V47" i="12"/>
  <c r="AQ46" i="12"/>
  <c r="V46" i="12"/>
  <c r="AR46" i="12" s="1"/>
  <c r="AR45" i="12"/>
  <c r="AQ45" i="12"/>
  <c r="V45" i="12"/>
  <c r="AQ44" i="12"/>
  <c r="V44" i="12"/>
  <c r="AR44" i="12" s="1"/>
  <c r="AR43" i="12"/>
  <c r="AQ43" i="12"/>
  <c r="V43" i="12"/>
  <c r="AQ42" i="12"/>
  <c r="V42" i="12"/>
  <c r="AR42" i="12" s="1"/>
  <c r="AR41" i="12"/>
  <c r="AQ41" i="12"/>
  <c r="V41" i="12"/>
  <c r="AQ40" i="12"/>
  <c r="AR40" i="12" s="1"/>
  <c r="V40" i="12"/>
  <c r="AR39" i="12"/>
  <c r="AQ39" i="12"/>
  <c r="V39" i="12"/>
  <c r="AQ38" i="12"/>
  <c r="AR38" i="12" s="1"/>
  <c r="V38" i="12"/>
  <c r="AR37" i="12"/>
  <c r="AQ37" i="12"/>
  <c r="V37" i="12"/>
  <c r="AQ36" i="12"/>
  <c r="AR36" i="12" s="1"/>
  <c r="V36" i="12"/>
  <c r="AR35" i="12"/>
  <c r="AQ35" i="12"/>
  <c r="V35" i="12"/>
  <c r="AQ34" i="12"/>
  <c r="AR34" i="12" s="1"/>
  <c r="V34" i="12"/>
  <c r="AR33" i="12"/>
  <c r="AQ33" i="12"/>
  <c r="V33" i="12"/>
  <c r="AQ32" i="12"/>
  <c r="AR32" i="12" s="1"/>
  <c r="V32" i="12"/>
  <c r="AR31" i="12"/>
  <c r="AQ31" i="12"/>
  <c r="V31" i="12"/>
  <c r="AQ30" i="12"/>
  <c r="AR30" i="12" s="1"/>
  <c r="V30" i="12"/>
  <c r="AR29" i="12"/>
  <c r="AQ29" i="12"/>
  <c r="V29" i="12"/>
  <c r="AQ28" i="12"/>
  <c r="AR28" i="12" s="1"/>
  <c r="V28" i="12"/>
  <c r="AR27" i="12"/>
  <c r="AQ27" i="12"/>
  <c r="V27" i="12"/>
  <c r="K27" i="12"/>
  <c r="AQ26" i="12"/>
  <c r="AR26" i="12" s="1"/>
  <c r="V26" i="12"/>
  <c r="AR25" i="12"/>
  <c r="AQ25" i="12"/>
  <c r="V25" i="12"/>
  <c r="AQ24" i="12"/>
  <c r="AR24" i="12" s="1"/>
  <c r="V24" i="12"/>
  <c r="AR23" i="12"/>
  <c r="AQ23" i="12"/>
  <c r="V23" i="12"/>
  <c r="AQ22" i="12"/>
  <c r="AR22" i="12" s="1"/>
  <c r="V22" i="12"/>
  <c r="AR21" i="12"/>
  <c r="AQ21" i="12"/>
  <c r="V21" i="12"/>
  <c r="AQ20" i="12"/>
  <c r="AR20" i="12" s="1"/>
  <c r="V20" i="12"/>
  <c r="AR19" i="12"/>
  <c r="AQ19" i="12"/>
  <c r="V19" i="12"/>
  <c r="AQ18" i="12"/>
  <c r="AR18" i="12" s="1"/>
  <c r="V18" i="12"/>
  <c r="B18" i="12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AR17" i="12"/>
  <c r="AQ17" i="12"/>
  <c r="V17" i="12"/>
  <c r="AQ16" i="12"/>
  <c r="AQ99" i="12" s="1"/>
  <c r="V16" i="12"/>
  <c r="V99" i="12" s="1"/>
  <c r="E13" i="12" l="1"/>
  <c r="AR16" i="12"/>
  <c r="AR99" i="12" s="1"/>
  <c r="BC238" i="11" l="1"/>
  <c r="AY238" i="11"/>
  <c r="AU238" i="11"/>
  <c r="AQ238" i="11"/>
  <c r="AM238" i="11"/>
  <c r="AI238" i="11"/>
  <c r="AE238" i="11"/>
  <c r="AA238" i="11"/>
  <c r="W238" i="11"/>
  <c r="U238" i="11"/>
  <c r="T238" i="11"/>
  <c r="S238" i="11"/>
  <c r="R238" i="11"/>
  <c r="Q238" i="11"/>
  <c r="P238" i="11"/>
  <c r="L238" i="11"/>
  <c r="K238" i="11"/>
  <c r="J238" i="11"/>
  <c r="BG235" i="11"/>
  <c r="V235" i="11"/>
  <c r="BG234" i="11"/>
  <c r="V234" i="11"/>
  <c r="BH234" i="11" s="1"/>
  <c r="BG233" i="11"/>
  <c r="V233" i="11"/>
  <c r="BG232" i="11"/>
  <c r="BH232" i="11" s="1"/>
  <c r="V232" i="11"/>
  <c r="BG231" i="11"/>
  <c r="V231" i="11"/>
  <c r="BG230" i="11"/>
  <c r="BH230" i="11" s="1"/>
  <c r="V230" i="11"/>
  <c r="BG229" i="11"/>
  <c r="V229" i="11"/>
  <c r="BG228" i="11"/>
  <c r="V228" i="11"/>
  <c r="BH228" i="11" s="1"/>
  <c r="BG227" i="11"/>
  <c r="V227" i="11"/>
  <c r="BG226" i="11"/>
  <c r="V226" i="11"/>
  <c r="BH226" i="11" s="1"/>
  <c r="BG225" i="11"/>
  <c r="V225" i="11"/>
  <c r="BG224" i="11"/>
  <c r="V224" i="11"/>
  <c r="BG223" i="11"/>
  <c r="V223" i="11"/>
  <c r="BG222" i="11"/>
  <c r="BH222" i="11" s="1"/>
  <c r="V222" i="11"/>
  <c r="BG221" i="11"/>
  <c r="BH221" i="11" s="1"/>
  <c r="V221" i="11"/>
  <c r="BG220" i="11"/>
  <c r="BH220" i="11" s="1"/>
  <c r="V220" i="11"/>
  <c r="BG219" i="11"/>
  <c r="V219" i="11"/>
  <c r="BG218" i="11"/>
  <c r="V218" i="11"/>
  <c r="BG217" i="11"/>
  <c r="V217" i="11"/>
  <c r="BG216" i="11"/>
  <c r="V216" i="11"/>
  <c r="BG215" i="11"/>
  <c r="V215" i="11"/>
  <c r="BG214" i="11"/>
  <c r="BH214" i="11" s="1"/>
  <c r="V214" i="11"/>
  <c r="BG213" i="11"/>
  <c r="V213" i="11"/>
  <c r="BH212" i="11"/>
  <c r="BG212" i="11"/>
  <c r="V212" i="11"/>
  <c r="BG211" i="11"/>
  <c r="BH211" i="11" s="1"/>
  <c r="V211" i="11"/>
  <c r="BG210" i="11"/>
  <c r="V210" i="11"/>
  <c r="BH210" i="11" s="1"/>
  <c r="BG209" i="11"/>
  <c r="V209" i="11"/>
  <c r="BG208" i="11"/>
  <c r="V208" i="11"/>
  <c r="BG207" i="11"/>
  <c r="BH207" i="11" s="1"/>
  <c r="V207" i="11"/>
  <c r="BG206" i="11"/>
  <c r="BH206" i="11" s="1"/>
  <c r="V206" i="11"/>
  <c r="BG205" i="11"/>
  <c r="BH205" i="11" s="1"/>
  <c r="V205" i="11"/>
  <c r="BG204" i="11"/>
  <c r="BH204" i="11" s="1"/>
  <c r="V204" i="11"/>
  <c r="BG203" i="11"/>
  <c r="V203" i="11"/>
  <c r="BG202" i="11"/>
  <c r="V202" i="11"/>
  <c r="BH202" i="11" s="1"/>
  <c r="BG201" i="11"/>
  <c r="V201" i="11"/>
  <c r="BG200" i="11"/>
  <c r="BH200" i="11" s="1"/>
  <c r="V200" i="11"/>
  <c r="BG199" i="11"/>
  <c r="V199" i="11"/>
  <c r="BG198" i="11"/>
  <c r="BH198" i="11" s="1"/>
  <c r="V198" i="11"/>
  <c r="BG197" i="11"/>
  <c r="V197" i="11"/>
  <c r="BH196" i="11"/>
  <c r="BG196" i="11"/>
  <c r="V196" i="11"/>
  <c r="BG195" i="11"/>
  <c r="V195" i="11"/>
  <c r="BG194" i="11"/>
  <c r="V194" i="11"/>
  <c r="BH194" i="11" s="1"/>
  <c r="BG193" i="11"/>
  <c r="BH193" i="11" s="1"/>
  <c r="V193" i="11"/>
  <c r="BG192" i="11"/>
  <c r="V192" i="11"/>
  <c r="BG191" i="11"/>
  <c r="V191" i="11"/>
  <c r="BG190" i="11"/>
  <c r="BH190" i="11" s="1"/>
  <c r="V190" i="11"/>
  <c r="BG189" i="11"/>
  <c r="BH189" i="11" s="1"/>
  <c r="V189" i="11"/>
  <c r="BG188" i="11"/>
  <c r="BH188" i="11" s="1"/>
  <c r="V188" i="11"/>
  <c r="BG187" i="11"/>
  <c r="V187" i="11"/>
  <c r="BG186" i="11"/>
  <c r="V186" i="11"/>
  <c r="BG185" i="11"/>
  <c r="BH185" i="11" s="1"/>
  <c r="V185" i="11"/>
  <c r="BG184" i="11"/>
  <c r="V184" i="11"/>
  <c r="BG183" i="11"/>
  <c r="V183" i="11"/>
  <c r="BH182" i="11"/>
  <c r="BG182" i="11"/>
  <c r="V182" i="11"/>
  <c r="BG181" i="11"/>
  <c r="V181" i="11"/>
  <c r="BH180" i="11"/>
  <c r="BG180" i="11"/>
  <c r="V180" i="11"/>
  <c r="BG179" i="11"/>
  <c r="BH179" i="11" s="1"/>
  <c r="V179" i="11"/>
  <c r="BG178" i="11"/>
  <c r="O178" i="11"/>
  <c r="V178" i="11" s="1"/>
  <c r="BH178" i="11" s="1"/>
  <c r="BH177" i="11"/>
  <c r="BG177" i="11"/>
  <c r="V177" i="11"/>
  <c r="BG176" i="11"/>
  <c r="BH176" i="11" s="1"/>
  <c r="V176" i="11"/>
  <c r="BG175" i="11"/>
  <c r="BH175" i="11" s="1"/>
  <c r="V175" i="11"/>
  <c r="BG174" i="11"/>
  <c r="BH174" i="11" s="1"/>
  <c r="V174" i="11"/>
  <c r="BG173" i="11"/>
  <c r="V173" i="11"/>
  <c r="BH173" i="11" s="1"/>
  <c r="BG172" i="11"/>
  <c r="BH172" i="11" s="1"/>
  <c r="V172" i="11"/>
  <c r="BG171" i="11"/>
  <c r="V171" i="11"/>
  <c r="BG170" i="11"/>
  <c r="BH170" i="11" s="1"/>
  <c r="V170" i="11"/>
  <c r="BG169" i="11"/>
  <c r="BH169" i="11" s="1"/>
  <c r="V169" i="11"/>
  <c r="BG168" i="11"/>
  <c r="V168" i="11"/>
  <c r="BG167" i="11"/>
  <c r="BH167" i="11" s="1"/>
  <c r="V167" i="11"/>
  <c r="BG166" i="11"/>
  <c r="V166" i="11"/>
  <c r="BG165" i="11"/>
  <c r="V165" i="11"/>
  <c r="BG164" i="11"/>
  <c r="V164" i="11"/>
  <c r="BG163" i="11"/>
  <c r="O163" i="11"/>
  <c r="V163" i="11" s="1"/>
  <c r="BH162" i="11"/>
  <c r="BG162" i="11"/>
  <c r="V162" i="11"/>
  <c r="BG161" i="11"/>
  <c r="V161" i="11"/>
  <c r="BG160" i="11"/>
  <c r="V160" i="11"/>
  <c r="BG159" i="11"/>
  <c r="V159" i="11"/>
  <c r="BG158" i="11"/>
  <c r="BH158" i="11" s="1"/>
  <c r="V158" i="11"/>
  <c r="BG157" i="11"/>
  <c r="V157" i="11"/>
  <c r="BH156" i="11"/>
  <c r="BG156" i="11"/>
  <c r="V156" i="11"/>
  <c r="BG155" i="11"/>
  <c r="BH155" i="11" s="1"/>
  <c r="V155" i="11"/>
  <c r="BG154" i="11"/>
  <c r="BH154" i="11" s="1"/>
  <c r="V154" i="11"/>
  <c r="BG153" i="11"/>
  <c r="BH153" i="11" s="1"/>
  <c r="V153" i="11"/>
  <c r="BG152" i="11"/>
  <c r="V152" i="11"/>
  <c r="BH152" i="11" s="1"/>
  <c r="BG151" i="11"/>
  <c r="BH151" i="11" s="1"/>
  <c r="V151" i="11"/>
  <c r="BG150" i="11"/>
  <c r="V150" i="11"/>
  <c r="BG149" i="11"/>
  <c r="BH149" i="11" s="1"/>
  <c r="V149" i="11"/>
  <c r="BG148" i="11"/>
  <c r="BH148" i="11" s="1"/>
  <c r="V148" i="11"/>
  <c r="BG147" i="11"/>
  <c r="V147" i="11"/>
  <c r="BG146" i="11"/>
  <c r="BH146" i="11" s="1"/>
  <c r="V146" i="11"/>
  <c r="BG145" i="11"/>
  <c r="V145" i="11"/>
  <c r="BG144" i="11"/>
  <c r="V144" i="11"/>
  <c r="BG143" i="11"/>
  <c r="V143" i="11"/>
  <c r="BG142" i="11"/>
  <c r="BH142" i="11" s="1"/>
  <c r="V142" i="11"/>
  <c r="BG141" i="11"/>
  <c r="V141" i="11"/>
  <c r="BH140" i="11"/>
  <c r="BG140" i="11"/>
  <c r="V140" i="11"/>
  <c r="BG139" i="11"/>
  <c r="V139" i="11"/>
  <c r="BG138" i="11"/>
  <c r="BH138" i="11" s="1"/>
  <c r="V138" i="11"/>
  <c r="BG137" i="11"/>
  <c r="BH137" i="11" s="1"/>
  <c r="V137" i="11"/>
  <c r="BG136" i="11"/>
  <c r="V136" i="11"/>
  <c r="BH136" i="11" s="1"/>
  <c r="BG135" i="11"/>
  <c r="BH135" i="11" s="1"/>
  <c r="V135" i="11"/>
  <c r="BG134" i="11"/>
  <c r="V134" i="11"/>
  <c r="BG133" i="11"/>
  <c r="BH133" i="11" s="1"/>
  <c r="V133" i="11"/>
  <c r="BG132" i="11"/>
  <c r="BH132" i="11" s="1"/>
  <c r="V132" i="11"/>
  <c r="BG131" i="11"/>
  <c r="V131" i="11"/>
  <c r="BG130" i="11"/>
  <c r="O130" i="11"/>
  <c r="V130" i="11" s="1"/>
  <c r="BH130" i="11" s="1"/>
  <c r="BG129" i="11"/>
  <c r="V129" i="11"/>
  <c r="BG128" i="11"/>
  <c r="BH128" i="11" s="1"/>
  <c r="V128" i="11"/>
  <c r="BH127" i="11"/>
  <c r="BG127" i="11"/>
  <c r="V127" i="11"/>
  <c r="BG126" i="11"/>
  <c r="V126" i="11"/>
  <c r="BH125" i="11"/>
  <c r="BG125" i="11"/>
  <c r="V125" i="11"/>
  <c r="BG124" i="11"/>
  <c r="BH124" i="11" s="1"/>
  <c r="V124" i="11"/>
  <c r="BG123" i="11"/>
  <c r="V123" i="11"/>
  <c r="BH123" i="11" s="1"/>
  <c r="BG122" i="11"/>
  <c r="V122" i="11"/>
  <c r="BG121" i="11"/>
  <c r="BH121" i="11" s="1"/>
  <c r="V121" i="11"/>
  <c r="BG120" i="11"/>
  <c r="BH120" i="11" s="1"/>
  <c r="V120" i="11"/>
  <c r="BG119" i="11"/>
  <c r="BH119" i="11" s="1"/>
  <c r="V119" i="11"/>
  <c r="BG118" i="11"/>
  <c r="BH118" i="11" s="1"/>
  <c r="V118" i="11"/>
  <c r="BG117" i="11"/>
  <c r="BH117" i="11" s="1"/>
  <c r="V117" i="11"/>
  <c r="BG116" i="11"/>
  <c r="V116" i="11"/>
  <c r="BG115" i="11"/>
  <c r="V115" i="11"/>
  <c r="BH115" i="11" s="1"/>
  <c r="BG114" i="11"/>
  <c r="BH114" i="11" s="1"/>
  <c r="V114" i="11"/>
  <c r="BG113" i="11"/>
  <c r="BH113" i="11" s="1"/>
  <c r="V113" i="11"/>
  <c r="BG112" i="11"/>
  <c r="V112" i="11"/>
  <c r="BG111" i="11"/>
  <c r="BH111" i="11" s="1"/>
  <c r="V111" i="11"/>
  <c r="BG110" i="11"/>
  <c r="V110" i="11"/>
  <c r="BH109" i="11"/>
  <c r="BG109" i="11"/>
  <c r="V109" i="11"/>
  <c r="BG108" i="11"/>
  <c r="O108" i="11"/>
  <c r="N108" i="11"/>
  <c r="M108" i="11"/>
  <c r="BG107" i="11"/>
  <c r="BH107" i="11" s="1"/>
  <c r="V107" i="11"/>
  <c r="BG106" i="11"/>
  <c r="BH106" i="11" s="1"/>
  <c r="V106" i="11"/>
  <c r="BG105" i="11"/>
  <c r="M105" i="11"/>
  <c r="V105" i="11" s="1"/>
  <c r="BG104" i="11"/>
  <c r="BH104" i="11" s="1"/>
  <c r="V104" i="11"/>
  <c r="BG103" i="11"/>
  <c r="V103" i="11"/>
  <c r="BG102" i="11"/>
  <c r="BH102" i="11" s="1"/>
  <c r="V102" i="11"/>
  <c r="BG101" i="11"/>
  <c r="V101" i="11"/>
  <c r="BG100" i="11"/>
  <c r="BH100" i="11" s="1"/>
  <c r="V100" i="11"/>
  <c r="BH99" i="11"/>
  <c r="BG99" i="11"/>
  <c r="V99" i="11"/>
  <c r="BG98" i="11"/>
  <c r="V98" i="11"/>
  <c r="BH97" i="11"/>
  <c r="BG97" i="11"/>
  <c r="V97" i="11"/>
  <c r="BG96" i="11"/>
  <c r="BH96" i="11" s="1"/>
  <c r="V96" i="11"/>
  <c r="BG95" i="11"/>
  <c r="V95" i="11"/>
  <c r="BG94" i="11"/>
  <c r="V94" i="11"/>
  <c r="BG93" i="11"/>
  <c r="BH93" i="11" s="1"/>
  <c r="V93" i="11"/>
  <c r="BG92" i="11"/>
  <c r="BH92" i="11" s="1"/>
  <c r="V92" i="11"/>
  <c r="BG91" i="11"/>
  <c r="V91" i="11"/>
  <c r="BH91" i="11" s="1"/>
  <c r="BG90" i="11"/>
  <c r="BH90" i="11" s="1"/>
  <c r="V90" i="11"/>
  <c r="BG89" i="11"/>
  <c r="BH89" i="11" s="1"/>
  <c r="V89" i="11"/>
  <c r="BG88" i="11"/>
  <c r="BH88" i="11" s="1"/>
  <c r="V88" i="11"/>
  <c r="BG87" i="11"/>
  <c r="V87" i="11"/>
  <c r="BH87" i="11" s="1"/>
  <c r="BG86" i="11"/>
  <c r="BH86" i="11" s="1"/>
  <c r="V86" i="11"/>
  <c r="BG85" i="11"/>
  <c r="BH85" i="11" s="1"/>
  <c r="V85" i="11"/>
  <c r="BG84" i="11"/>
  <c r="BH84" i="11" s="1"/>
  <c r="V84" i="11"/>
  <c r="BG83" i="11"/>
  <c r="BH83" i="11" s="1"/>
  <c r="V83" i="11"/>
  <c r="BG82" i="11"/>
  <c r="V82" i="11"/>
  <c r="BG81" i="11"/>
  <c r="BH81" i="11" s="1"/>
  <c r="V81" i="11"/>
  <c r="BG80" i="11"/>
  <c r="N80" i="11"/>
  <c r="V80" i="11" s="1"/>
  <c r="BG79" i="11"/>
  <c r="BH79" i="11" s="1"/>
  <c r="V79" i="11"/>
  <c r="BG78" i="11"/>
  <c r="M78" i="11"/>
  <c r="V78" i="11" s="1"/>
  <c r="BG77" i="11"/>
  <c r="V77" i="11"/>
  <c r="BG76" i="11"/>
  <c r="V76" i="11"/>
  <c r="BG75" i="11"/>
  <c r="BH75" i="11" s="1"/>
  <c r="V75" i="11"/>
  <c r="BG74" i="11"/>
  <c r="BH74" i="11" s="1"/>
  <c r="V74" i="11"/>
  <c r="BG73" i="11"/>
  <c r="V73" i="11"/>
  <c r="BH73" i="11" s="1"/>
  <c r="BG72" i="11"/>
  <c r="BH72" i="11" s="1"/>
  <c r="V72" i="11"/>
  <c r="BG71" i="11"/>
  <c r="BH71" i="11" s="1"/>
  <c r="V71" i="11"/>
  <c r="BG70" i="11"/>
  <c r="BH70" i="11" s="1"/>
  <c r="V70" i="11"/>
  <c r="BG69" i="11"/>
  <c r="V69" i="11"/>
  <c r="BH69" i="11" s="1"/>
  <c r="BG68" i="11"/>
  <c r="M68" i="11"/>
  <c r="V68" i="11" s="1"/>
  <c r="BG67" i="11"/>
  <c r="O67" i="11"/>
  <c r="V67" i="11" s="1"/>
  <c r="BG66" i="11"/>
  <c r="O66" i="11"/>
  <c r="V66" i="11" s="1"/>
  <c r="BG65" i="11"/>
  <c r="V65" i="11"/>
  <c r="BG64" i="11"/>
  <c r="V64" i="11"/>
  <c r="BH64" i="11" s="1"/>
  <c r="M64" i="11"/>
  <c r="BG63" i="11"/>
  <c r="BH63" i="11" s="1"/>
  <c r="V63" i="11"/>
  <c r="BG62" i="11"/>
  <c r="O62" i="11"/>
  <c r="V62" i="11" s="1"/>
  <c r="M62" i="11"/>
  <c r="BG61" i="11"/>
  <c r="V61" i="11"/>
  <c r="BG60" i="11"/>
  <c r="V60" i="11"/>
  <c r="BG59" i="11"/>
  <c r="BH59" i="11" s="1"/>
  <c r="V59" i="11"/>
  <c r="BG58" i="11"/>
  <c r="BH58" i="11" s="1"/>
  <c r="V58" i="11"/>
  <c r="BH57" i="11"/>
  <c r="BG57" i="11"/>
  <c r="V57" i="11"/>
  <c r="BG56" i="11"/>
  <c r="V56" i="11"/>
  <c r="BG55" i="11"/>
  <c r="V55" i="11"/>
  <c r="BG54" i="11"/>
  <c r="V54" i="11"/>
  <c r="BG53" i="11"/>
  <c r="V53" i="11"/>
  <c r="BG52" i="11"/>
  <c r="M52" i="11"/>
  <c r="V52" i="11" s="1"/>
  <c r="BG51" i="11"/>
  <c r="BH51" i="11" s="1"/>
  <c r="O51" i="11"/>
  <c r="V51" i="11" s="1"/>
  <c r="BG50" i="11"/>
  <c r="O50" i="11"/>
  <c r="V50" i="11" s="1"/>
  <c r="M50" i="11"/>
  <c r="BG49" i="11"/>
  <c r="BH49" i="11" s="1"/>
  <c r="V49" i="11"/>
  <c r="BG48" i="11"/>
  <c r="V48" i="11"/>
  <c r="BG47" i="11"/>
  <c r="V47" i="11"/>
  <c r="BH47" i="11" s="1"/>
  <c r="BG46" i="11"/>
  <c r="V46" i="11"/>
  <c r="BG45" i="11"/>
  <c r="BH45" i="11" s="1"/>
  <c r="V45" i="11"/>
  <c r="BG44" i="11"/>
  <c r="BH44" i="11" s="1"/>
  <c r="V44" i="11"/>
  <c r="BG43" i="11"/>
  <c r="V43" i="11"/>
  <c r="BG42" i="11"/>
  <c r="BH42" i="11" s="1"/>
  <c r="V42" i="11"/>
  <c r="BG41" i="11"/>
  <c r="V41" i="11"/>
  <c r="BG40" i="11"/>
  <c r="BH40" i="11" s="1"/>
  <c r="V40" i="11"/>
  <c r="BH39" i="11"/>
  <c r="BG39" i="11"/>
  <c r="V39" i="11"/>
  <c r="BG38" i="11"/>
  <c r="V38" i="11"/>
  <c r="BH37" i="11"/>
  <c r="BG37" i="11"/>
  <c r="V37" i="11"/>
  <c r="BG36" i="11"/>
  <c r="BH36" i="11" s="1"/>
  <c r="V36" i="11"/>
  <c r="BG35" i="11"/>
  <c r="V35" i="11"/>
  <c r="BG34" i="11"/>
  <c r="N34" i="11"/>
  <c r="V34" i="11" s="1"/>
  <c r="BG33" i="11"/>
  <c r="BH33" i="11" s="1"/>
  <c r="V33" i="11"/>
  <c r="BH32" i="11"/>
  <c r="BG32" i="11"/>
  <c r="V32" i="11"/>
  <c r="BG31" i="11"/>
  <c r="V31" i="11"/>
  <c r="BG30" i="11"/>
  <c r="O30" i="11"/>
  <c r="M30" i="11"/>
  <c r="V30" i="11" s="1"/>
  <c r="BH30" i="11" s="1"/>
  <c r="BG29" i="11"/>
  <c r="BH29" i="11" s="1"/>
  <c r="V29" i="11"/>
  <c r="BG28" i="11"/>
  <c r="O28" i="11"/>
  <c r="V28" i="11" s="1"/>
  <c r="BH28" i="11" s="1"/>
  <c r="N28" i="11"/>
  <c r="BG27" i="11"/>
  <c r="V27" i="11"/>
  <c r="BG26" i="11"/>
  <c r="V26" i="11"/>
  <c r="BG25" i="11"/>
  <c r="N25" i="11"/>
  <c r="V25" i="11" s="1"/>
  <c r="BG24" i="11"/>
  <c r="BH24" i="11" s="1"/>
  <c r="V24" i="11"/>
  <c r="BG23" i="11"/>
  <c r="BH23" i="11" s="1"/>
  <c r="V23" i="11"/>
  <c r="BG22" i="11"/>
  <c r="BH22" i="11" s="1"/>
  <c r="V22" i="11"/>
  <c r="BG21" i="11"/>
  <c r="V21" i="11"/>
  <c r="BH21" i="11" s="1"/>
  <c r="BG20" i="11"/>
  <c r="V20" i="11"/>
  <c r="BG19" i="11"/>
  <c r="BH19" i="11" s="1"/>
  <c r="V19" i="11"/>
  <c r="BG18" i="11"/>
  <c r="O18" i="11"/>
  <c r="V18" i="11" s="1"/>
  <c r="BG17" i="11"/>
  <c r="V17" i="11"/>
  <c r="BG16" i="11"/>
  <c r="V16" i="11"/>
  <c r="BH16" i="11" s="1"/>
  <c r="BG15" i="11"/>
  <c r="BH15" i="11" s="1"/>
  <c r="V15" i="11"/>
  <c r="BG14" i="11"/>
  <c r="BH14" i="11" s="1"/>
  <c r="V14" i="11"/>
  <c r="BG13" i="11"/>
  <c r="V13" i="11"/>
  <c r="BG12" i="11"/>
  <c r="O12" i="11"/>
  <c r="V12" i="11" s="1"/>
  <c r="BH94" i="11" l="1"/>
  <c r="BH191" i="11"/>
  <c r="BH227" i="11"/>
  <c r="BG238" i="11"/>
  <c r="BH20" i="11"/>
  <c r="BH55" i="11"/>
  <c r="BH131" i="11"/>
  <c r="BH160" i="11"/>
  <c r="BH183" i="11"/>
  <c r="BH187" i="11"/>
  <c r="BH201" i="11"/>
  <c r="BH208" i="11"/>
  <c r="BH215" i="11"/>
  <c r="BH219" i="11"/>
  <c r="BH233" i="11"/>
  <c r="BH65" i="11"/>
  <c r="BH195" i="11"/>
  <c r="BH31" i="11"/>
  <c r="BH35" i="11"/>
  <c r="BH38" i="11"/>
  <c r="BH56" i="11"/>
  <c r="BH77" i="11"/>
  <c r="BH95" i="11"/>
  <c r="BH98" i="11"/>
  <c r="BH126" i="11"/>
  <c r="BH143" i="11"/>
  <c r="BH150" i="11"/>
  <c r="BH157" i="11"/>
  <c r="BH161" i="11"/>
  <c r="BH164" i="11"/>
  <c r="BH171" i="11"/>
  <c r="BH181" i="11"/>
  <c r="BH213" i="11"/>
  <c r="BH17" i="11"/>
  <c r="BH41" i="11"/>
  <c r="BH122" i="11"/>
  <c r="BH209" i="11"/>
  <c r="BH26" i="11"/>
  <c r="BH112" i="11"/>
  <c r="BH116" i="11"/>
  <c r="BH144" i="11"/>
  <c r="BH147" i="11"/>
  <c r="BH165" i="11"/>
  <c r="BH168" i="11"/>
  <c r="BH192" i="11"/>
  <c r="BH199" i="11"/>
  <c r="BH203" i="11"/>
  <c r="BH217" i="11"/>
  <c r="BH224" i="11"/>
  <c r="BH231" i="11"/>
  <c r="BH235" i="11"/>
  <c r="BH13" i="11"/>
  <c r="BH48" i="11"/>
  <c r="BH101" i="11"/>
  <c r="BH139" i="11"/>
  <c r="BH223" i="11"/>
  <c r="BH43" i="11"/>
  <c r="BH46" i="11"/>
  <c r="BH53" i="11"/>
  <c r="BH60" i="11"/>
  <c r="BH78" i="11"/>
  <c r="BH103" i="11"/>
  <c r="BH186" i="11"/>
  <c r="BH218" i="11"/>
  <c r="BH163" i="11"/>
  <c r="BH76" i="11"/>
  <c r="BH129" i="11"/>
  <c r="BH184" i="11"/>
  <c r="BH216" i="11"/>
  <c r="M238" i="11"/>
  <c r="BH225" i="11"/>
  <c r="BH27" i="11"/>
  <c r="BH54" i="11"/>
  <c r="BH61" i="11"/>
  <c r="BH82" i="11"/>
  <c r="V108" i="11"/>
  <c r="BH110" i="11"/>
  <c r="BH134" i="11"/>
  <c r="BH141" i="11"/>
  <c r="BH145" i="11"/>
  <c r="BH159" i="11"/>
  <c r="BH166" i="11"/>
  <c r="BH197" i="11"/>
  <c r="BH229" i="11"/>
  <c r="BH68" i="11"/>
  <c r="BH67" i="11"/>
  <c r="BH34" i="11"/>
  <c r="BH105" i="11"/>
  <c r="BH62" i="11"/>
  <c r="BH108" i="11"/>
  <c r="BH25" i="11"/>
  <c r="BH52" i="11"/>
  <c r="BH80" i="11"/>
  <c r="BH18" i="11"/>
  <c r="BH66" i="11"/>
  <c r="BH12" i="11"/>
  <c r="V238" i="11"/>
  <c r="E9" i="11" s="1"/>
  <c r="BH50" i="11"/>
  <c r="N238" i="11"/>
  <c r="O238" i="11"/>
  <c r="BH238" i="11" l="1"/>
  <c r="AQ295" i="10" l="1"/>
  <c r="AM295" i="10"/>
  <c r="AI295" i="10"/>
  <c r="AE295" i="10"/>
  <c r="AA295" i="10"/>
  <c r="Y295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AV265" i="10"/>
  <c r="AU265" i="10"/>
  <c r="Z265" i="10"/>
  <c r="AV264" i="10"/>
  <c r="AU264" i="10"/>
  <c r="AV263" i="10"/>
  <c r="AU263" i="10"/>
  <c r="AV262" i="10"/>
  <c r="AU262" i="10"/>
  <c r="AU261" i="10"/>
  <c r="AV261" i="10" s="1"/>
  <c r="AV260" i="10"/>
  <c r="AU260" i="10"/>
  <c r="AU259" i="10"/>
  <c r="AV259" i="10" s="1"/>
  <c r="Z259" i="10"/>
  <c r="AV258" i="10"/>
  <c r="AU258" i="10"/>
  <c r="Z258" i="10"/>
  <c r="AU257" i="10"/>
  <c r="AV257" i="10" s="1"/>
  <c r="AU256" i="10"/>
  <c r="AV256" i="10" s="1"/>
  <c r="Z256" i="10"/>
  <c r="AU255" i="10"/>
  <c r="Z255" i="10"/>
  <c r="AV255" i="10" s="1"/>
  <c r="AU254" i="10"/>
  <c r="AV254" i="10" s="1"/>
  <c r="Z254" i="10"/>
  <c r="AV253" i="10"/>
  <c r="AU253" i="10"/>
  <c r="AU252" i="10"/>
  <c r="AV252" i="10" s="1"/>
  <c r="Z252" i="10"/>
  <c r="AU251" i="10"/>
  <c r="AV251" i="10" s="1"/>
  <c r="Z251" i="10"/>
  <c r="AU250" i="10"/>
  <c r="AV250" i="10" s="1"/>
  <c r="Z250" i="10"/>
  <c r="AU249" i="10"/>
  <c r="AV249" i="10" s="1"/>
  <c r="Z249" i="10"/>
  <c r="AU248" i="10"/>
  <c r="AV248" i="10" s="1"/>
  <c r="AV247" i="10"/>
  <c r="AU247" i="10"/>
  <c r="AU246" i="10"/>
  <c r="AV246" i="10" s="1"/>
  <c r="Z246" i="10"/>
  <c r="AV245" i="10"/>
  <c r="AU245" i="10"/>
  <c r="Z245" i="10"/>
  <c r="AU244" i="10"/>
  <c r="AV244" i="10" s="1"/>
  <c r="AU243" i="10"/>
  <c r="AV243" i="10" s="1"/>
  <c r="Z243" i="10"/>
  <c r="AU242" i="10"/>
  <c r="Z242" i="10"/>
  <c r="AV242" i="10" s="1"/>
  <c r="AU241" i="10"/>
  <c r="AV241" i="10" s="1"/>
  <c r="Z241" i="10"/>
  <c r="AU240" i="10"/>
  <c r="Z240" i="10"/>
  <c r="AV240" i="10" s="1"/>
  <c r="AU239" i="10"/>
  <c r="AV239" i="10" s="1"/>
  <c r="Z239" i="10"/>
  <c r="AU238" i="10"/>
  <c r="AV238" i="10" s="1"/>
  <c r="Z238" i="10"/>
  <c r="AU237" i="10"/>
  <c r="AV237" i="10" s="1"/>
  <c r="Z237" i="10"/>
  <c r="AU236" i="10"/>
  <c r="AV236" i="10" s="1"/>
  <c r="Z236" i="10"/>
  <c r="AU235" i="10"/>
  <c r="AV235" i="10" s="1"/>
  <c r="Z235" i="10"/>
  <c r="AU234" i="10"/>
  <c r="AV234" i="10" s="1"/>
  <c r="Z234" i="10"/>
  <c r="AU233" i="10"/>
  <c r="AV233" i="10" s="1"/>
  <c r="Z233" i="10"/>
  <c r="AU232" i="10"/>
  <c r="AV232" i="10" s="1"/>
  <c r="Z232" i="10"/>
  <c r="AU231" i="10"/>
  <c r="AV231" i="10" s="1"/>
  <c r="Z231" i="10"/>
  <c r="AU230" i="10"/>
  <c r="AV230" i="10" s="1"/>
  <c r="Z230" i="10"/>
  <c r="AU229" i="10"/>
  <c r="AV229" i="10" s="1"/>
  <c r="Z229" i="10"/>
  <c r="AU228" i="10"/>
  <c r="AV228" i="10" s="1"/>
  <c r="Z228" i="10"/>
  <c r="AU227" i="10"/>
  <c r="AV227" i="10" s="1"/>
  <c r="Z227" i="10"/>
  <c r="AU226" i="10"/>
  <c r="AV226" i="10" s="1"/>
  <c r="Z226" i="10"/>
  <c r="AU225" i="10"/>
  <c r="AV225" i="10" s="1"/>
  <c r="Z225" i="10"/>
  <c r="AU224" i="10"/>
  <c r="AV224" i="10" s="1"/>
  <c r="Z224" i="10"/>
  <c r="AU223" i="10"/>
  <c r="AV223" i="10" s="1"/>
  <c r="Z223" i="10"/>
  <c r="AU222" i="10"/>
  <c r="AV222" i="10" s="1"/>
  <c r="Z222" i="10"/>
  <c r="AU221" i="10"/>
  <c r="AV221" i="10" s="1"/>
  <c r="Z221" i="10"/>
  <c r="AU220" i="10"/>
  <c r="AV220" i="10" s="1"/>
  <c r="AU219" i="10"/>
  <c r="AV219" i="10" s="1"/>
  <c r="Z219" i="10"/>
  <c r="AU218" i="10"/>
  <c r="AV218" i="10" s="1"/>
  <c r="Z218" i="10"/>
  <c r="AU217" i="10"/>
  <c r="AV217" i="10" s="1"/>
  <c r="Z217" i="10"/>
  <c r="AU216" i="10"/>
  <c r="AV216" i="10" s="1"/>
  <c r="Z216" i="10"/>
  <c r="AU215" i="10"/>
  <c r="AV215" i="10" s="1"/>
  <c r="Z215" i="10"/>
  <c r="AU214" i="10"/>
  <c r="AV214" i="10" s="1"/>
  <c r="Z214" i="10"/>
  <c r="AU213" i="10"/>
  <c r="AV213" i="10" s="1"/>
  <c r="AV212" i="10"/>
  <c r="AU212" i="10"/>
  <c r="Z212" i="10"/>
  <c r="AU211" i="10"/>
  <c r="Z211" i="10"/>
  <c r="AV211" i="10" s="1"/>
  <c r="AV210" i="10"/>
  <c r="AU210" i="10"/>
  <c r="Z210" i="10"/>
  <c r="AU209" i="10"/>
  <c r="Z209" i="10"/>
  <c r="AV209" i="10" s="1"/>
  <c r="AV208" i="10"/>
  <c r="AU208" i="10"/>
  <c r="Z208" i="10"/>
  <c r="AU207" i="10"/>
  <c r="Z207" i="10"/>
  <c r="AV207" i="10" s="1"/>
  <c r="AV206" i="10"/>
  <c r="AU206" i="10"/>
  <c r="Z206" i="10"/>
  <c r="AU205" i="10"/>
  <c r="Z205" i="10"/>
  <c r="AV205" i="10" s="1"/>
  <c r="AV204" i="10"/>
  <c r="AU204" i="10"/>
  <c r="Z204" i="10"/>
  <c r="AV203" i="10"/>
  <c r="AU203" i="10"/>
  <c r="AV202" i="10"/>
  <c r="AU202" i="10"/>
  <c r="Z202" i="10"/>
  <c r="AV201" i="10"/>
  <c r="AU201" i="10"/>
  <c r="Z201" i="10"/>
  <c r="AV200" i="10"/>
  <c r="AU200" i="10"/>
  <c r="Z200" i="10"/>
  <c r="AV199" i="10"/>
  <c r="AU199" i="10"/>
  <c r="Z199" i="10"/>
  <c r="AV198" i="10"/>
  <c r="AU198" i="10"/>
  <c r="Z198" i="10"/>
  <c r="AV197" i="10"/>
  <c r="AU197" i="10"/>
  <c r="Z197" i="10"/>
  <c r="AV196" i="10"/>
  <c r="AU196" i="10"/>
  <c r="Z196" i="10"/>
  <c r="AV195" i="10"/>
  <c r="AU195" i="10"/>
  <c r="Z195" i="10"/>
  <c r="AV194" i="10"/>
  <c r="AU194" i="10"/>
  <c r="Z194" i="10"/>
  <c r="AV193" i="10"/>
  <c r="AU193" i="10"/>
  <c r="Z193" i="10"/>
  <c r="AV192" i="10"/>
  <c r="AU192" i="10"/>
  <c r="Z192" i="10"/>
  <c r="AV191" i="10"/>
  <c r="AU191" i="10"/>
  <c r="AU190" i="10"/>
  <c r="AV190" i="10" s="1"/>
  <c r="Z190" i="10"/>
  <c r="AU189" i="10"/>
  <c r="AV189" i="10" s="1"/>
  <c r="Z189" i="10"/>
  <c r="AU188" i="10"/>
  <c r="AV188" i="10" s="1"/>
  <c r="AU187" i="10"/>
  <c r="AV187" i="10" s="1"/>
  <c r="AU186" i="10"/>
  <c r="Z186" i="10"/>
  <c r="AV186" i="10" s="1"/>
  <c r="AV185" i="10"/>
  <c r="AU185" i="10"/>
  <c r="Z185" i="10"/>
  <c r="AU184" i="10"/>
  <c r="Z184" i="10"/>
  <c r="AV184" i="10" s="1"/>
  <c r="AV183" i="10"/>
  <c r="AU183" i="10"/>
  <c r="Z183" i="10"/>
  <c r="AU182" i="10"/>
  <c r="Z182" i="10"/>
  <c r="AV182" i="10" s="1"/>
  <c r="AV181" i="10"/>
  <c r="AU181" i="10"/>
  <c r="Z181" i="10"/>
  <c r="AU180" i="10"/>
  <c r="Z180" i="10"/>
  <c r="AV180" i="10" s="1"/>
  <c r="AV179" i="10"/>
  <c r="AU179" i="10"/>
  <c r="Z179" i="10"/>
  <c r="AU178" i="10"/>
  <c r="Z178" i="10"/>
  <c r="AV178" i="10" s="1"/>
  <c r="AV177" i="10"/>
  <c r="AU177" i="10"/>
  <c r="Z177" i="10"/>
  <c r="AU176" i="10"/>
  <c r="Z176" i="10"/>
  <c r="AV176" i="10" s="1"/>
  <c r="AV175" i="10"/>
  <c r="AU175" i="10"/>
  <c r="Z175" i="10"/>
  <c r="AU174" i="10"/>
  <c r="Z174" i="10"/>
  <c r="AV174" i="10" s="1"/>
  <c r="AV173" i="10"/>
  <c r="AU173" i="10"/>
  <c r="Z173" i="10"/>
  <c r="AU172" i="10"/>
  <c r="Z172" i="10"/>
  <c r="AV172" i="10" s="1"/>
  <c r="AV171" i="10"/>
  <c r="AU171" i="10"/>
  <c r="Z171" i="10"/>
  <c r="AU170" i="10"/>
  <c r="Z170" i="10"/>
  <c r="AV170" i="10" s="1"/>
  <c r="AV169" i="10"/>
  <c r="AU169" i="10"/>
  <c r="Z169" i="10"/>
  <c r="AU168" i="10"/>
  <c r="Z168" i="10"/>
  <c r="AV168" i="10" s="1"/>
  <c r="AV167" i="10"/>
  <c r="AU167" i="10"/>
  <c r="Z167" i="10"/>
  <c r="AU166" i="10"/>
  <c r="Z166" i="10"/>
  <c r="AV166" i="10" s="1"/>
  <c r="AV165" i="10"/>
  <c r="AU165" i="10"/>
  <c r="Z165" i="10"/>
  <c r="AU164" i="10"/>
  <c r="Z164" i="10"/>
  <c r="AV164" i="10" s="1"/>
  <c r="AV163" i="10"/>
  <c r="AU163" i="10"/>
  <c r="Z163" i="10"/>
  <c r="AU162" i="10"/>
  <c r="Z162" i="10"/>
  <c r="AV162" i="10" s="1"/>
  <c r="AV161" i="10"/>
  <c r="AU161" i="10"/>
  <c r="Z161" i="10"/>
  <c r="AU160" i="10"/>
  <c r="Z160" i="10"/>
  <c r="AV160" i="10" s="1"/>
  <c r="AV159" i="10"/>
  <c r="AU159" i="10"/>
  <c r="Z159" i="10"/>
  <c r="AU158" i="10"/>
  <c r="Z158" i="10"/>
  <c r="AV158" i="10" s="1"/>
  <c r="AV157" i="10"/>
  <c r="AU157" i="10"/>
  <c r="Z157" i="10"/>
  <c r="AU156" i="10"/>
  <c r="Z156" i="10"/>
  <c r="AV156" i="10" s="1"/>
  <c r="AV155" i="10"/>
  <c r="AU155" i="10"/>
  <c r="Z155" i="10"/>
  <c r="AU154" i="10"/>
  <c r="Z154" i="10"/>
  <c r="AV154" i="10" s="1"/>
  <c r="AV153" i="10"/>
  <c r="AU153" i="10"/>
  <c r="Z153" i="10"/>
  <c r="AU152" i="10"/>
  <c r="Z152" i="10"/>
  <c r="AV152" i="10" s="1"/>
  <c r="AV151" i="10"/>
  <c r="AU151" i="10"/>
  <c r="Z151" i="10"/>
  <c r="AU150" i="10"/>
  <c r="Z150" i="10"/>
  <c r="AV150" i="10" s="1"/>
  <c r="AV149" i="10"/>
  <c r="AU149" i="10"/>
  <c r="Z149" i="10"/>
  <c r="AU148" i="10"/>
  <c r="AV148" i="10" s="1"/>
  <c r="Z148" i="10"/>
  <c r="AV147" i="10"/>
  <c r="AU147" i="10"/>
  <c r="Z147" i="10"/>
  <c r="AU146" i="10"/>
  <c r="AV146" i="10" s="1"/>
  <c r="AV145" i="10"/>
  <c r="AU145" i="10"/>
  <c r="Z145" i="10"/>
  <c r="AV144" i="10"/>
  <c r="AU144" i="10"/>
  <c r="Z144" i="10"/>
  <c r="AV143" i="10"/>
  <c r="AU143" i="10"/>
  <c r="Z143" i="10"/>
  <c r="AV142" i="10"/>
  <c r="AU142" i="10"/>
  <c r="Z142" i="10"/>
  <c r="AV141" i="10"/>
  <c r="AU141" i="10"/>
  <c r="Z141" i="10"/>
  <c r="AV140" i="10"/>
  <c r="AU140" i="10"/>
  <c r="Z140" i="10"/>
  <c r="AV139" i="10"/>
  <c r="AU139" i="10"/>
  <c r="Z139" i="10"/>
  <c r="AU138" i="10"/>
  <c r="AV138" i="10" s="1"/>
  <c r="Z138" i="10"/>
  <c r="AV137" i="10"/>
  <c r="AU137" i="10"/>
  <c r="Z137" i="10"/>
  <c r="AU136" i="10"/>
  <c r="AV136" i="10" s="1"/>
  <c r="Z136" i="10"/>
  <c r="AV135" i="10"/>
  <c r="AU135" i="10"/>
  <c r="Z135" i="10"/>
  <c r="AU134" i="10"/>
  <c r="AV134" i="10" s="1"/>
  <c r="Z134" i="10"/>
  <c r="AV133" i="10"/>
  <c r="AU133" i="10"/>
  <c r="Z133" i="10"/>
  <c r="AU132" i="10"/>
  <c r="AV132" i="10" s="1"/>
  <c r="Z132" i="10"/>
  <c r="AV131" i="10"/>
  <c r="AU131" i="10"/>
  <c r="Z131" i="10"/>
  <c r="AU130" i="10"/>
  <c r="AV130" i="10" s="1"/>
  <c r="Z130" i="10"/>
  <c r="AV129" i="10"/>
  <c r="AU129" i="10"/>
  <c r="Z129" i="10"/>
  <c r="AU128" i="10"/>
  <c r="AV128" i="10" s="1"/>
  <c r="Z128" i="10"/>
  <c r="AV127" i="10"/>
  <c r="AU127" i="10"/>
  <c r="Z127" i="10"/>
  <c r="AU126" i="10"/>
  <c r="AV126" i="10" s="1"/>
  <c r="Z126" i="10"/>
  <c r="AV125" i="10"/>
  <c r="AU125" i="10"/>
  <c r="Z125" i="10"/>
  <c r="AU124" i="10"/>
  <c r="AV124" i="10" s="1"/>
  <c r="Z124" i="10"/>
  <c r="AV123" i="10"/>
  <c r="AU123" i="10"/>
  <c r="Z123" i="10"/>
  <c r="AU122" i="10"/>
  <c r="AV122" i="10" s="1"/>
  <c r="Z122" i="10"/>
  <c r="AV121" i="10"/>
  <c r="AU121" i="10"/>
  <c r="Z121" i="10"/>
  <c r="AU120" i="10"/>
  <c r="AV120" i="10" s="1"/>
  <c r="Z120" i="10"/>
  <c r="AV119" i="10"/>
  <c r="AU119" i="10"/>
  <c r="Z119" i="10"/>
  <c r="AU118" i="10"/>
  <c r="AV118" i="10" s="1"/>
  <c r="Z118" i="10"/>
  <c r="AV117" i="10"/>
  <c r="AU117" i="10"/>
  <c r="Z117" i="10"/>
  <c r="AU116" i="10"/>
  <c r="AV116" i="10" s="1"/>
  <c r="Z116" i="10"/>
  <c r="AV115" i="10"/>
  <c r="AU115" i="10"/>
  <c r="Z115" i="10"/>
  <c r="AU114" i="10"/>
  <c r="AV114" i="10" s="1"/>
  <c r="Z114" i="10"/>
  <c r="AV113" i="10"/>
  <c r="AU113" i="10"/>
  <c r="Z113" i="10"/>
  <c r="AU112" i="10"/>
  <c r="AV112" i="10" s="1"/>
  <c r="Z112" i="10"/>
  <c r="AV111" i="10"/>
  <c r="AU111" i="10"/>
  <c r="Z111" i="10"/>
  <c r="AU110" i="10"/>
  <c r="AV110" i="10" s="1"/>
  <c r="Z110" i="10"/>
  <c r="AV109" i="10"/>
  <c r="AU109" i="10"/>
  <c r="Z109" i="10"/>
  <c r="AU108" i="10"/>
  <c r="AV108" i="10" s="1"/>
  <c r="Z108" i="10"/>
  <c r="AV107" i="10"/>
  <c r="AU107" i="10"/>
  <c r="Z107" i="10"/>
  <c r="AU106" i="10"/>
  <c r="AV106" i="10" s="1"/>
  <c r="Z106" i="10"/>
  <c r="AV105" i="10"/>
  <c r="AU105" i="10"/>
  <c r="Z105" i="10"/>
  <c r="AU104" i="10"/>
  <c r="AV104" i="10" s="1"/>
  <c r="Z104" i="10"/>
  <c r="AV103" i="10"/>
  <c r="AU103" i="10"/>
  <c r="Z103" i="10"/>
  <c r="AU102" i="10"/>
  <c r="AV102" i="10" s="1"/>
  <c r="Z102" i="10"/>
  <c r="AV101" i="10"/>
  <c r="AU101" i="10"/>
  <c r="Z101" i="10"/>
  <c r="AU100" i="10"/>
  <c r="AV100" i="10" s="1"/>
  <c r="Z100" i="10"/>
  <c r="AV99" i="10"/>
  <c r="AU99" i="10"/>
  <c r="Z99" i="10"/>
  <c r="AU98" i="10"/>
  <c r="AV98" i="10" s="1"/>
  <c r="AU97" i="10"/>
  <c r="AV97" i="10" s="1"/>
  <c r="Z97" i="10"/>
  <c r="AU96" i="10"/>
  <c r="AV96" i="10" s="1"/>
  <c r="Z96" i="10"/>
  <c r="AU95" i="10"/>
  <c r="AV95" i="10" s="1"/>
  <c r="Z95" i="10"/>
  <c r="AU94" i="10"/>
  <c r="AV94" i="10" s="1"/>
  <c r="Z94" i="10"/>
  <c r="AU93" i="10"/>
  <c r="AV93" i="10" s="1"/>
  <c r="Z93" i="10"/>
  <c r="AU92" i="10"/>
  <c r="AV92" i="10" s="1"/>
  <c r="Z92" i="10"/>
  <c r="AU91" i="10"/>
  <c r="AV91" i="10" s="1"/>
  <c r="Z91" i="10"/>
  <c r="AU90" i="10"/>
  <c r="AV90" i="10" s="1"/>
  <c r="Z90" i="10"/>
  <c r="AU89" i="10"/>
  <c r="AV89" i="10" s="1"/>
  <c r="Z89" i="10"/>
  <c r="AU88" i="10"/>
  <c r="AV88" i="10" s="1"/>
  <c r="Z88" i="10"/>
  <c r="AU87" i="10"/>
  <c r="AV87" i="10" s="1"/>
  <c r="Z87" i="10"/>
  <c r="AU86" i="10"/>
  <c r="AV86" i="10" s="1"/>
  <c r="Z86" i="10"/>
  <c r="AU85" i="10"/>
  <c r="AV85" i="10" s="1"/>
  <c r="Z85" i="10"/>
  <c r="AU84" i="10"/>
  <c r="AV84" i="10" s="1"/>
  <c r="Z84" i="10"/>
  <c r="AU83" i="10"/>
  <c r="AV83" i="10" s="1"/>
  <c r="Z83" i="10"/>
  <c r="AU82" i="10"/>
  <c r="AV82" i="10" s="1"/>
  <c r="Z82" i="10"/>
  <c r="AU81" i="10"/>
  <c r="AV81" i="10" s="1"/>
  <c r="Z81" i="10"/>
  <c r="AU80" i="10"/>
  <c r="AV80" i="10" s="1"/>
  <c r="Z80" i="10"/>
  <c r="AU79" i="10"/>
  <c r="AV79" i="10" s="1"/>
  <c r="Z79" i="10"/>
  <c r="AU78" i="10"/>
  <c r="AV78" i="10" s="1"/>
  <c r="Z78" i="10"/>
  <c r="AU77" i="10"/>
  <c r="AV77" i="10" s="1"/>
  <c r="Z77" i="10"/>
  <c r="AU76" i="10"/>
  <c r="AV76" i="10" s="1"/>
  <c r="Z76" i="10"/>
  <c r="AU75" i="10"/>
  <c r="AV75" i="10" s="1"/>
  <c r="Z75" i="10"/>
  <c r="AU74" i="10"/>
  <c r="AV74" i="10" s="1"/>
  <c r="Z74" i="10"/>
  <c r="AU73" i="10"/>
  <c r="AV73" i="10" s="1"/>
  <c r="Z73" i="10"/>
  <c r="AU72" i="10"/>
  <c r="AV72" i="10" s="1"/>
  <c r="Z72" i="10"/>
  <c r="AU71" i="10"/>
  <c r="AV71" i="10" s="1"/>
  <c r="Z71" i="10"/>
  <c r="AU70" i="10"/>
  <c r="AV70" i="10" s="1"/>
  <c r="Z70" i="10"/>
  <c r="AU69" i="10"/>
  <c r="AV69" i="10" s="1"/>
  <c r="Z69" i="10"/>
  <c r="AU68" i="10"/>
  <c r="AV68" i="10" s="1"/>
  <c r="Z68" i="10"/>
  <c r="AU67" i="10"/>
  <c r="AV67" i="10" s="1"/>
  <c r="Z67" i="10"/>
  <c r="AU66" i="10"/>
  <c r="AV66" i="10" s="1"/>
  <c r="Z66" i="10"/>
  <c r="AU65" i="10"/>
  <c r="AV65" i="10" s="1"/>
  <c r="Z65" i="10"/>
  <c r="AU64" i="10"/>
  <c r="AV64" i="10" s="1"/>
  <c r="Z64" i="10"/>
  <c r="AU63" i="10"/>
  <c r="AV63" i="10" s="1"/>
  <c r="Z63" i="10"/>
  <c r="AU62" i="10"/>
  <c r="AV62" i="10" s="1"/>
  <c r="Z62" i="10"/>
  <c r="AU61" i="10"/>
  <c r="AV61" i="10" s="1"/>
  <c r="Z61" i="10"/>
  <c r="AU60" i="10"/>
  <c r="Z60" i="10"/>
  <c r="AV60" i="10" s="1"/>
  <c r="AU59" i="10"/>
  <c r="Z59" i="10"/>
  <c r="AU58" i="10"/>
  <c r="Z58" i="10"/>
  <c r="AV58" i="10" s="1"/>
  <c r="AU57" i="10"/>
  <c r="AV57" i="10" s="1"/>
  <c r="Z57" i="10"/>
  <c r="AU56" i="10"/>
  <c r="Z56" i="10"/>
  <c r="AV56" i="10" s="1"/>
  <c r="AU55" i="10"/>
  <c r="Z55" i="10"/>
  <c r="AU54" i="10"/>
  <c r="Z54" i="10"/>
  <c r="AV54" i="10" s="1"/>
  <c r="AU53" i="10"/>
  <c r="AV53" i="10" s="1"/>
  <c r="Z53" i="10"/>
  <c r="AU52" i="10"/>
  <c r="Z52" i="10"/>
  <c r="AV52" i="10" s="1"/>
  <c r="AU51" i="10"/>
  <c r="Z51" i="10"/>
  <c r="AU50" i="10"/>
  <c r="Z50" i="10"/>
  <c r="AV50" i="10" s="1"/>
  <c r="AU49" i="10"/>
  <c r="AV49" i="10" s="1"/>
  <c r="Z49" i="10"/>
  <c r="AU48" i="10"/>
  <c r="Z48" i="10"/>
  <c r="AV48" i="10" s="1"/>
  <c r="AU47" i="10"/>
  <c r="Z47" i="10"/>
  <c r="AU46" i="10"/>
  <c r="Z46" i="10"/>
  <c r="AV46" i="10" s="1"/>
  <c r="AU45" i="10"/>
  <c r="AV45" i="10" s="1"/>
  <c r="AV44" i="10"/>
  <c r="AU44" i="10"/>
  <c r="Z44" i="10"/>
  <c r="AU43" i="10"/>
  <c r="Z43" i="10"/>
  <c r="AV43" i="10" s="1"/>
  <c r="AV42" i="10"/>
  <c r="AU42" i="10"/>
  <c r="Z42" i="10"/>
  <c r="AU41" i="10"/>
  <c r="Z41" i="10"/>
  <c r="AV41" i="10" s="1"/>
  <c r="AV40" i="10"/>
  <c r="AU40" i="10"/>
  <c r="Z40" i="10"/>
  <c r="AU39" i="10"/>
  <c r="Z39" i="10"/>
  <c r="AV39" i="10" s="1"/>
  <c r="AV38" i="10"/>
  <c r="AU38" i="10"/>
  <c r="Z38" i="10"/>
  <c r="AU37" i="10"/>
  <c r="Z37" i="10"/>
  <c r="AV37" i="10" s="1"/>
  <c r="AV36" i="10"/>
  <c r="AU36" i="10"/>
  <c r="Z36" i="10"/>
  <c r="AU35" i="10"/>
  <c r="Z35" i="10"/>
  <c r="AV35" i="10" s="1"/>
  <c r="AV34" i="10"/>
  <c r="AU34" i="10"/>
  <c r="Z34" i="10"/>
  <c r="AU33" i="10"/>
  <c r="Z33" i="10"/>
  <c r="AV33" i="10" s="1"/>
  <c r="AV32" i="10"/>
  <c r="AU32" i="10"/>
  <c r="Z32" i="10"/>
  <c r="AU31" i="10"/>
  <c r="Z31" i="10"/>
  <c r="AV31" i="10" s="1"/>
  <c r="AV30" i="10"/>
  <c r="AU30" i="10"/>
  <c r="Z30" i="10"/>
  <c r="AU29" i="10"/>
  <c r="Z29" i="10"/>
  <c r="AV29" i="10" s="1"/>
  <c r="AV28" i="10"/>
  <c r="AU28" i="10"/>
  <c r="Z28" i="10"/>
  <c r="AU27" i="10"/>
  <c r="Z27" i="10"/>
  <c r="AV27" i="10" s="1"/>
  <c r="AV26" i="10"/>
  <c r="AU26" i="10"/>
  <c r="Z26" i="10"/>
  <c r="AU25" i="10"/>
  <c r="Z25" i="10"/>
  <c r="AV25" i="10" s="1"/>
  <c r="AV24" i="10"/>
  <c r="AU24" i="10"/>
  <c r="Z24" i="10"/>
  <c r="AU23" i="10"/>
  <c r="Z23" i="10"/>
  <c r="AV23" i="10" s="1"/>
  <c r="AV22" i="10"/>
  <c r="AU22" i="10"/>
  <c r="Z22" i="10"/>
  <c r="AU21" i="10"/>
  <c r="Z21" i="10"/>
  <c r="AV21" i="10" s="1"/>
  <c r="AV20" i="10"/>
  <c r="AU20" i="10"/>
  <c r="Z20" i="10"/>
  <c r="AU19" i="10"/>
  <c r="Z19" i="10"/>
  <c r="AV19" i="10" s="1"/>
  <c r="AV18" i="10"/>
  <c r="AU18" i="10"/>
  <c r="Z18" i="10"/>
  <c r="AU17" i="10"/>
  <c r="Z17" i="10"/>
  <c r="AV17" i="10" s="1"/>
  <c r="B17" i="10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AV16" i="10"/>
  <c r="AU16" i="10"/>
  <c r="Z16" i="10"/>
  <c r="Z295" i="10" s="1"/>
  <c r="AV47" i="10" l="1"/>
  <c r="AV295" i="10" s="1"/>
  <c r="AV51" i="10"/>
  <c r="AV55" i="10"/>
  <c r="AV59" i="10"/>
  <c r="F13" i="10"/>
  <c r="AU295" i="10"/>
  <c r="BJ182" i="9" l="1"/>
  <c r="BJ180" i="9"/>
  <c r="BF178" i="9"/>
  <c r="BB178" i="9"/>
  <c r="AX178" i="9"/>
  <c r="AT178" i="9"/>
  <c r="AP178" i="9"/>
  <c r="AL178" i="9"/>
  <c r="AH178" i="9"/>
  <c r="AD178" i="9"/>
  <c r="Z178" i="9"/>
  <c r="X178" i="9"/>
  <c r="W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Y177" i="9"/>
  <c r="BJ175" i="9"/>
  <c r="BK175" i="9" s="1"/>
  <c r="Y175" i="9"/>
  <c r="BK174" i="9"/>
  <c r="BJ174" i="9"/>
  <c r="Y174" i="9"/>
  <c r="BJ173" i="9"/>
  <c r="BK173" i="9" s="1"/>
  <c r="Y173" i="9"/>
  <c r="BK172" i="9"/>
  <c r="BJ172" i="9"/>
  <c r="Y172" i="9"/>
  <c r="BK171" i="9"/>
  <c r="BJ171" i="9"/>
  <c r="Y171" i="9"/>
  <c r="BJ170" i="9"/>
  <c r="BK170" i="9" s="1"/>
  <c r="Y170" i="9"/>
  <c r="BJ169" i="9"/>
  <c r="BK169" i="9" s="1"/>
  <c r="Y169" i="9"/>
  <c r="BJ168" i="9"/>
  <c r="Y168" i="9"/>
  <c r="BK168" i="9" s="1"/>
  <c r="BJ167" i="9"/>
  <c r="BK167" i="9" s="1"/>
  <c r="Y167" i="9"/>
  <c r="BK166" i="9"/>
  <c r="BJ166" i="9"/>
  <c r="Y166" i="9"/>
  <c r="BJ165" i="9"/>
  <c r="BK165" i="9" s="1"/>
  <c r="Y165" i="9"/>
  <c r="BK164" i="9"/>
  <c r="BJ164" i="9"/>
  <c r="Y164" i="9"/>
  <c r="BK163" i="9"/>
  <c r="BJ163" i="9"/>
  <c r="Y163" i="9"/>
  <c r="BJ162" i="9"/>
  <c r="BK162" i="9" s="1"/>
  <c r="Y162" i="9"/>
  <c r="BJ161" i="9"/>
  <c r="BK161" i="9" s="1"/>
  <c r="Y161" i="9"/>
  <c r="BJ160" i="9"/>
  <c r="Y160" i="9"/>
  <c r="BK160" i="9" s="1"/>
  <c r="BJ159" i="9"/>
  <c r="BK159" i="9" s="1"/>
  <c r="Y159" i="9"/>
  <c r="BK158" i="9"/>
  <c r="BJ158" i="9"/>
  <c r="Y158" i="9"/>
  <c r="BJ157" i="9"/>
  <c r="BK157" i="9" s="1"/>
  <c r="Y157" i="9"/>
  <c r="BK156" i="9"/>
  <c r="BJ156" i="9"/>
  <c r="Y156" i="9"/>
  <c r="BK155" i="9"/>
  <c r="BJ155" i="9"/>
  <c r="Y155" i="9"/>
  <c r="BJ154" i="9"/>
  <c r="BK154" i="9" s="1"/>
  <c r="Y154" i="9"/>
  <c r="BJ153" i="9"/>
  <c r="BK153" i="9" s="1"/>
  <c r="Y153" i="9"/>
  <c r="BJ152" i="9"/>
  <c r="Y152" i="9"/>
  <c r="BK152" i="9" s="1"/>
  <c r="BJ151" i="9"/>
  <c r="BK151" i="9" s="1"/>
  <c r="Y151" i="9"/>
  <c r="BK150" i="9"/>
  <c r="BJ150" i="9"/>
  <c r="Y150" i="9"/>
  <c r="BJ149" i="9"/>
  <c r="BK149" i="9" s="1"/>
  <c r="Y149" i="9"/>
  <c r="BK148" i="9"/>
  <c r="BJ148" i="9"/>
  <c r="Y148" i="9"/>
  <c r="BK147" i="9"/>
  <c r="BJ147" i="9"/>
  <c r="Y147" i="9"/>
  <c r="BJ146" i="9"/>
  <c r="BK146" i="9" s="1"/>
  <c r="Y146" i="9"/>
  <c r="BJ145" i="9"/>
  <c r="BK145" i="9" s="1"/>
  <c r="Y145" i="9"/>
  <c r="BJ144" i="9"/>
  <c r="Y144" i="9"/>
  <c r="BK144" i="9" s="1"/>
  <c r="BJ143" i="9"/>
  <c r="BK143" i="9" s="1"/>
  <c r="Y143" i="9"/>
  <c r="BK142" i="9"/>
  <c r="BJ142" i="9"/>
  <c r="Y142" i="9"/>
  <c r="BJ141" i="9"/>
  <c r="BK141" i="9" s="1"/>
  <c r="Y141" i="9"/>
  <c r="BK140" i="9"/>
  <c r="BJ140" i="9"/>
  <c r="Y140" i="9"/>
  <c r="BK139" i="9"/>
  <c r="BJ139" i="9"/>
  <c r="Y139" i="9"/>
  <c r="BJ138" i="9"/>
  <c r="BK138" i="9" s="1"/>
  <c r="Y138" i="9"/>
  <c r="BJ137" i="9"/>
  <c r="BK137" i="9" s="1"/>
  <c r="Y137" i="9"/>
  <c r="BJ136" i="9"/>
  <c r="Y136" i="9"/>
  <c r="BK136" i="9" s="1"/>
  <c r="BJ135" i="9"/>
  <c r="BK135" i="9" s="1"/>
  <c r="Y135" i="9"/>
  <c r="BK134" i="9"/>
  <c r="BJ134" i="9"/>
  <c r="Y134" i="9"/>
  <c r="BJ133" i="9"/>
  <c r="BK133" i="9" s="1"/>
  <c r="Y133" i="9"/>
  <c r="BK132" i="9"/>
  <c r="BJ132" i="9"/>
  <c r="Y132" i="9"/>
  <c r="BK131" i="9"/>
  <c r="BJ131" i="9"/>
  <c r="Y131" i="9"/>
  <c r="BJ130" i="9"/>
  <c r="BK130" i="9" s="1"/>
  <c r="Y130" i="9"/>
  <c r="BJ129" i="9"/>
  <c r="BK129" i="9" s="1"/>
  <c r="Y129" i="9"/>
  <c r="BJ128" i="9"/>
  <c r="Y128" i="9"/>
  <c r="BK128" i="9" s="1"/>
  <c r="BJ127" i="9"/>
  <c r="BK127" i="9" s="1"/>
  <c r="Y127" i="9"/>
  <c r="BK126" i="9"/>
  <c r="BJ126" i="9"/>
  <c r="Y126" i="9"/>
  <c r="BJ125" i="9"/>
  <c r="BK125" i="9" s="1"/>
  <c r="Y125" i="9"/>
  <c r="BK124" i="9"/>
  <c r="BJ124" i="9"/>
  <c r="Y124" i="9"/>
  <c r="BK123" i="9"/>
  <c r="BJ123" i="9"/>
  <c r="Y123" i="9"/>
  <c r="BJ122" i="9"/>
  <c r="BK122" i="9" s="1"/>
  <c r="Y122" i="9"/>
  <c r="BJ121" i="9"/>
  <c r="BK121" i="9" s="1"/>
  <c r="Y121" i="9"/>
  <c r="BJ120" i="9"/>
  <c r="Y120" i="9"/>
  <c r="BK120" i="9" s="1"/>
  <c r="BJ119" i="9"/>
  <c r="BK119" i="9" s="1"/>
  <c r="Y119" i="9"/>
  <c r="BK118" i="9"/>
  <c r="BJ118" i="9"/>
  <c r="Y118" i="9"/>
  <c r="BJ117" i="9"/>
  <c r="BK117" i="9" s="1"/>
  <c r="Y117" i="9"/>
  <c r="BK116" i="9"/>
  <c r="BJ116" i="9"/>
  <c r="Y116" i="9"/>
  <c r="BJ115" i="9"/>
  <c r="BK115" i="9" s="1"/>
  <c r="Y115" i="9"/>
  <c r="BJ114" i="9"/>
  <c r="BK114" i="9" s="1"/>
  <c r="Y114" i="9"/>
  <c r="BJ113" i="9"/>
  <c r="BK113" i="9" s="1"/>
  <c r="Y113" i="9"/>
  <c r="BJ112" i="9"/>
  <c r="Y112" i="9"/>
  <c r="BK112" i="9" s="1"/>
  <c r="BJ111" i="9"/>
  <c r="BK111" i="9" s="1"/>
  <c r="Y111" i="9"/>
  <c r="BK110" i="9"/>
  <c r="BJ110" i="9"/>
  <c r="Y110" i="9"/>
  <c r="BJ109" i="9"/>
  <c r="BK109" i="9" s="1"/>
  <c r="Y109" i="9"/>
  <c r="BK108" i="9"/>
  <c r="BJ108" i="9"/>
  <c r="Y108" i="9"/>
  <c r="BJ107" i="9"/>
  <c r="BK107" i="9" s="1"/>
  <c r="Y107" i="9"/>
  <c r="BJ106" i="9"/>
  <c r="BK106" i="9" s="1"/>
  <c r="Y106" i="9"/>
  <c r="BJ105" i="9"/>
  <c r="BK105" i="9" s="1"/>
  <c r="Y105" i="9"/>
  <c r="BJ104" i="9"/>
  <c r="Y104" i="9"/>
  <c r="BK104" i="9" s="1"/>
  <c r="BJ103" i="9"/>
  <c r="BK103" i="9" s="1"/>
  <c r="Y103" i="9"/>
  <c r="BK102" i="9"/>
  <c r="BJ102" i="9"/>
  <c r="Y102" i="9"/>
  <c r="BJ101" i="9"/>
  <c r="BK101" i="9" s="1"/>
  <c r="Y101" i="9"/>
  <c r="BK100" i="9"/>
  <c r="BJ100" i="9"/>
  <c r="Y100" i="9"/>
  <c r="BJ99" i="9"/>
  <c r="BK99" i="9" s="1"/>
  <c r="Y99" i="9"/>
  <c r="BJ98" i="9"/>
  <c r="BK98" i="9" s="1"/>
  <c r="Y98" i="9"/>
  <c r="BJ97" i="9"/>
  <c r="BK97" i="9" s="1"/>
  <c r="Y97" i="9"/>
  <c r="BJ96" i="9"/>
  <c r="Y96" i="9"/>
  <c r="BK96" i="9" s="1"/>
  <c r="BJ95" i="9"/>
  <c r="BK95" i="9" s="1"/>
  <c r="Y95" i="9"/>
  <c r="BK94" i="9"/>
  <c r="BJ94" i="9"/>
  <c r="Y94" i="9"/>
  <c r="BJ93" i="9"/>
  <c r="BK93" i="9" s="1"/>
  <c r="Y93" i="9"/>
  <c r="BK92" i="9"/>
  <c r="BJ92" i="9"/>
  <c r="Y92" i="9"/>
  <c r="BJ91" i="9"/>
  <c r="BK91" i="9" s="1"/>
  <c r="Y91" i="9"/>
  <c r="BJ90" i="9"/>
  <c r="BK90" i="9" s="1"/>
  <c r="Y90" i="9"/>
  <c r="BJ89" i="9"/>
  <c r="BK89" i="9" s="1"/>
  <c r="Y89" i="9"/>
  <c r="BJ88" i="9"/>
  <c r="Y88" i="9"/>
  <c r="BK88" i="9" s="1"/>
  <c r="BJ87" i="9"/>
  <c r="BK87" i="9" s="1"/>
  <c r="Y87" i="9"/>
  <c r="BK86" i="9"/>
  <c r="BJ86" i="9"/>
  <c r="Y86" i="9"/>
  <c r="BJ85" i="9"/>
  <c r="BK85" i="9" s="1"/>
  <c r="Y85" i="9"/>
  <c r="BK84" i="9"/>
  <c r="BJ84" i="9"/>
  <c r="Y84" i="9"/>
  <c r="BJ83" i="9"/>
  <c r="BK83" i="9" s="1"/>
  <c r="Y83" i="9"/>
  <c r="BJ82" i="9"/>
  <c r="BK82" i="9" s="1"/>
  <c r="Y82" i="9"/>
  <c r="BJ81" i="9"/>
  <c r="BK81" i="9" s="1"/>
  <c r="Y81" i="9"/>
  <c r="BK80" i="9"/>
  <c r="BJ80" i="9"/>
  <c r="Y80" i="9"/>
  <c r="BJ79" i="9"/>
  <c r="BK79" i="9" s="1"/>
  <c r="Y79" i="9"/>
  <c r="BK78" i="9"/>
  <c r="BJ78" i="9"/>
  <c r="Y78" i="9"/>
  <c r="BJ77" i="9"/>
  <c r="BK77" i="9" s="1"/>
  <c r="Y77" i="9"/>
  <c r="BK76" i="9"/>
  <c r="BJ76" i="9"/>
  <c r="Y76" i="9"/>
  <c r="BJ75" i="9"/>
  <c r="BK75" i="9" s="1"/>
  <c r="Y75" i="9"/>
  <c r="BJ74" i="9"/>
  <c r="BK74" i="9" s="1"/>
  <c r="Y74" i="9"/>
  <c r="BJ73" i="9"/>
  <c r="BK73" i="9" s="1"/>
  <c r="Y73" i="9"/>
  <c r="BK72" i="9"/>
  <c r="BJ72" i="9"/>
  <c r="Y72" i="9"/>
  <c r="BJ71" i="9"/>
  <c r="BK71" i="9" s="1"/>
  <c r="Y71" i="9"/>
  <c r="BK70" i="9"/>
  <c r="BJ70" i="9"/>
  <c r="Y70" i="9"/>
  <c r="BJ69" i="9"/>
  <c r="BK69" i="9" s="1"/>
  <c r="Y69" i="9"/>
  <c r="BK68" i="9"/>
  <c r="BJ68" i="9"/>
  <c r="Y68" i="9"/>
  <c r="BJ67" i="9"/>
  <c r="BK67" i="9" s="1"/>
  <c r="Y67" i="9"/>
  <c r="BJ66" i="9"/>
  <c r="BK66" i="9" s="1"/>
  <c r="Y66" i="9"/>
  <c r="BJ65" i="9"/>
  <c r="BK65" i="9" s="1"/>
  <c r="Y65" i="9"/>
  <c r="BK64" i="9"/>
  <c r="BJ64" i="9"/>
  <c r="Y64" i="9"/>
  <c r="BJ63" i="9"/>
  <c r="BK63" i="9" s="1"/>
  <c r="Y63" i="9"/>
  <c r="BK62" i="9"/>
  <c r="BJ62" i="9"/>
  <c r="Y62" i="9"/>
  <c r="BJ61" i="9"/>
  <c r="BK61" i="9" s="1"/>
  <c r="Y61" i="9"/>
  <c r="BK60" i="9"/>
  <c r="BJ60" i="9"/>
  <c r="Y60" i="9"/>
  <c r="BJ59" i="9"/>
  <c r="BK59" i="9" s="1"/>
  <c r="Y59" i="9"/>
  <c r="BJ58" i="9"/>
  <c r="BK58" i="9" s="1"/>
  <c r="Y58" i="9"/>
  <c r="BJ57" i="9"/>
  <c r="BK57" i="9" s="1"/>
  <c r="Y57" i="9"/>
  <c r="BK56" i="9"/>
  <c r="BJ56" i="9"/>
  <c r="Y56" i="9"/>
  <c r="BJ55" i="9"/>
  <c r="BK55" i="9" s="1"/>
  <c r="Y55" i="9"/>
  <c r="BK54" i="9"/>
  <c r="BJ54" i="9"/>
  <c r="Y54" i="9"/>
  <c r="BJ53" i="9"/>
  <c r="BK53" i="9" s="1"/>
  <c r="Y53" i="9"/>
  <c r="BK52" i="9"/>
  <c r="BJ52" i="9"/>
  <c r="Y52" i="9"/>
  <c r="BJ51" i="9"/>
  <c r="BK51" i="9" s="1"/>
  <c r="Y51" i="9"/>
  <c r="BJ50" i="9"/>
  <c r="BK50" i="9" s="1"/>
  <c r="Y50" i="9"/>
  <c r="BJ49" i="9"/>
  <c r="BK49" i="9" s="1"/>
  <c r="Y49" i="9"/>
  <c r="BK48" i="9"/>
  <c r="BJ48" i="9"/>
  <c r="Y48" i="9"/>
  <c r="BJ47" i="9"/>
  <c r="BK47" i="9" s="1"/>
  <c r="Y47" i="9"/>
  <c r="BJ46" i="9"/>
  <c r="Y46" i="9"/>
  <c r="BK46" i="9" s="1"/>
  <c r="BJ45" i="9"/>
  <c r="BK45" i="9" s="1"/>
  <c r="Y45" i="9"/>
  <c r="BK44" i="9"/>
  <c r="BJ44" i="9"/>
  <c r="Y44" i="9"/>
  <c r="BJ43" i="9"/>
  <c r="BK43" i="9" s="1"/>
  <c r="Y43" i="9"/>
  <c r="BJ42" i="9"/>
  <c r="BK42" i="9" s="1"/>
  <c r="Y42" i="9"/>
  <c r="BJ41" i="9"/>
  <c r="BK41" i="9" s="1"/>
  <c r="Y41" i="9"/>
  <c r="BK40" i="9"/>
  <c r="BJ40" i="9"/>
  <c r="Y40" i="9"/>
  <c r="BJ39" i="9"/>
  <c r="BK39" i="9" s="1"/>
  <c r="Y39" i="9"/>
  <c r="BK38" i="9"/>
  <c r="BJ38" i="9"/>
  <c r="Y38" i="9"/>
  <c r="BJ37" i="9"/>
  <c r="BK37" i="9" s="1"/>
  <c r="Y37" i="9"/>
  <c r="BK36" i="9"/>
  <c r="BJ36" i="9"/>
  <c r="Y36" i="9"/>
  <c r="BJ35" i="9"/>
  <c r="BK35" i="9" s="1"/>
  <c r="Y35" i="9"/>
  <c r="BJ34" i="9"/>
  <c r="BK34" i="9" s="1"/>
  <c r="Y34" i="9"/>
  <c r="BJ33" i="9"/>
  <c r="BK33" i="9" s="1"/>
  <c r="Y33" i="9"/>
  <c r="BK32" i="9"/>
  <c r="BJ32" i="9"/>
  <c r="Y32" i="9"/>
  <c r="BJ31" i="9"/>
  <c r="BK31" i="9" s="1"/>
  <c r="Y31" i="9"/>
  <c r="BK30" i="9"/>
  <c r="BJ30" i="9"/>
  <c r="Y30" i="9"/>
  <c r="BJ29" i="9"/>
  <c r="BK29" i="9" s="1"/>
  <c r="Y29" i="9"/>
  <c r="BK28" i="9"/>
  <c r="BJ28" i="9"/>
  <c r="Y28" i="9"/>
  <c r="BJ27" i="9"/>
  <c r="BK27" i="9" s="1"/>
  <c r="Y27" i="9"/>
  <c r="BJ26" i="9"/>
  <c r="BK26" i="9" s="1"/>
  <c r="Y26" i="9"/>
  <c r="BJ25" i="9"/>
  <c r="BK25" i="9" s="1"/>
  <c r="Y25" i="9"/>
  <c r="BK24" i="9"/>
  <c r="BJ24" i="9"/>
  <c r="Y24" i="9"/>
  <c r="BJ23" i="9"/>
  <c r="BK23" i="9" s="1"/>
  <c r="Y23" i="9"/>
  <c r="BK22" i="9"/>
  <c r="BJ22" i="9"/>
  <c r="Y22" i="9"/>
  <c r="BJ21" i="9"/>
  <c r="BK21" i="9" s="1"/>
  <c r="Y21" i="9"/>
  <c r="BK20" i="9"/>
  <c r="BJ20" i="9"/>
  <c r="Y20" i="9"/>
  <c r="BJ19" i="9"/>
  <c r="BK19" i="9" s="1"/>
  <c r="Y19" i="9"/>
  <c r="BJ18" i="9"/>
  <c r="BK18" i="9" s="1"/>
  <c r="Y18" i="9"/>
  <c r="BJ17" i="9"/>
  <c r="BK17" i="9" s="1"/>
  <c r="Y17" i="9"/>
  <c r="BK16" i="9"/>
  <c r="BJ16" i="9"/>
  <c r="BJ178" i="9" s="1"/>
  <c r="Y16" i="9"/>
  <c r="Y178" i="9" s="1"/>
  <c r="BK178" i="9" l="1"/>
  <c r="E13" i="9"/>
  <c r="AP143" i="8" l="1"/>
  <c r="AL143" i="8"/>
  <c r="AH143" i="8"/>
  <c r="AD143" i="8"/>
  <c r="Z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K143" i="8"/>
  <c r="J143" i="8"/>
  <c r="Y140" i="8"/>
  <c r="Y139" i="8"/>
  <c r="Y138" i="8"/>
  <c r="Y137" i="8"/>
  <c r="Y136" i="8"/>
  <c r="Y135" i="8"/>
  <c r="Y134" i="8"/>
  <c r="Y133" i="8"/>
  <c r="Y132" i="8"/>
  <c r="L123" i="8"/>
  <c r="AU122" i="8"/>
  <c r="AT122" i="8"/>
  <c r="Y122" i="8"/>
  <c r="L122" i="8"/>
  <c r="AT121" i="8"/>
  <c r="AU121" i="8" s="1"/>
  <c r="Y121" i="8"/>
  <c r="L121" i="8"/>
  <c r="AU120" i="8"/>
  <c r="AT120" i="8"/>
  <c r="Y120" i="8"/>
  <c r="L120" i="8"/>
  <c r="AT119" i="8"/>
  <c r="AU119" i="8" s="1"/>
  <c r="Y119" i="8"/>
  <c r="L119" i="8"/>
  <c r="AU118" i="8"/>
  <c r="AT118" i="8"/>
  <c r="Y118" i="8"/>
  <c r="L118" i="8"/>
  <c r="AT117" i="8"/>
  <c r="AU117" i="8" s="1"/>
  <c r="Y117" i="8"/>
  <c r="L117" i="8"/>
  <c r="AU116" i="8"/>
  <c r="AT116" i="8"/>
  <c r="Y116" i="8"/>
  <c r="L116" i="8"/>
  <c r="AT115" i="8"/>
  <c r="AU115" i="8" s="1"/>
  <c r="Y115" i="8"/>
  <c r="L115" i="8"/>
  <c r="AU114" i="8"/>
  <c r="AT114" i="8"/>
  <c r="Y114" i="8"/>
  <c r="L114" i="8"/>
  <c r="AT113" i="8"/>
  <c r="AU113" i="8" s="1"/>
  <c r="Y113" i="8"/>
  <c r="L113" i="8"/>
  <c r="AU112" i="8"/>
  <c r="AT112" i="8"/>
  <c r="Y112" i="8"/>
  <c r="L112" i="8"/>
  <c r="AT111" i="8"/>
  <c r="AU111" i="8" s="1"/>
  <c r="Y111" i="8"/>
  <c r="L111" i="8"/>
  <c r="AU110" i="8"/>
  <c r="AT110" i="8"/>
  <c r="Y110" i="8"/>
  <c r="L110" i="8"/>
  <c r="AT109" i="8"/>
  <c r="AU109" i="8" s="1"/>
  <c r="Y109" i="8"/>
  <c r="L109" i="8"/>
  <c r="AU108" i="8"/>
  <c r="AT108" i="8"/>
  <c r="Y108" i="8"/>
  <c r="L108" i="8"/>
  <c r="AT107" i="8"/>
  <c r="AU107" i="8" s="1"/>
  <c r="Y107" i="8"/>
  <c r="L107" i="8"/>
  <c r="AU106" i="8"/>
  <c r="AT106" i="8"/>
  <c r="Y106" i="8"/>
  <c r="L106" i="8"/>
  <c r="AT105" i="8"/>
  <c r="AU105" i="8" s="1"/>
  <c r="Y105" i="8"/>
  <c r="L105" i="8"/>
  <c r="AU104" i="8"/>
  <c r="AT104" i="8"/>
  <c r="Y104" i="8"/>
  <c r="L104" i="8"/>
  <c r="AT103" i="8"/>
  <c r="AU103" i="8" s="1"/>
  <c r="Y103" i="8"/>
  <c r="L103" i="8"/>
  <c r="AT102" i="8"/>
  <c r="AU102" i="8" s="1"/>
  <c r="Y102" i="8"/>
  <c r="L102" i="8"/>
  <c r="AT101" i="8"/>
  <c r="AU101" i="8" s="1"/>
  <c r="Y101" i="8"/>
  <c r="L101" i="8"/>
  <c r="AT100" i="8"/>
  <c r="AU100" i="8" s="1"/>
  <c r="Y100" i="8"/>
  <c r="L100" i="8"/>
  <c r="AT99" i="8"/>
  <c r="AU99" i="8" s="1"/>
  <c r="Y99" i="8"/>
  <c r="L99" i="8"/>
  <c r="AT98" i="8"/>
  <c r="AU98" i="8" s="1"/>
  <c r="Y98" i="8"/>
  <c r="L98" i="8"/>
  <c r="AT97" i="8"/>
  <c r="AU97" i="8" s="1"/>
  <c r="Y97" i="8"/>
  <c r="L97" i="8"/>
  <c r="AT96" i="8"/>
  <c r="AU96" i="8" s="1"/>
  <c r="Y96" i="8"/>
  <c r="L96" i="8"/>
  <c r="AT95" i="8"/>
  <c r="AU95" i="8" s="1"/>
  <c r="Y95" i="8"/>
  <c r="L95" i="8"/>
  <c r="AT94" i="8"/>
  <c r="AU94" i="8" s="1"/>
  <c r="Y94" i="8"/>
  <c r="L94" i="8"/>
  <c r="AT93" i="8"/>
  <c r="AU93" i="8" s="1"/>
  <c r="Y93" i="8"/>
  <c r="L93" i="8"/>
  <c r="AT92" i="8"/>
  <c r="AU92" i="8" s="1"/>
  <c r="Y92" i="8"/>
  <c r="L92" i="8"/>
  <c r="AT91" i="8"/>
  <c r="AU91" i="8" s="1"/>
  <c r="Y91" i="8"/>
  <c r="L91" i="8"/>
  <c r="AT90" i="8"/>
  <c r="AU90" i="8" s="1"/>
  <c r="Y90" i="8"/>
  <c r="L90" i="8"/>
  <c r="AT89" i="8"/>
  <c r="AU89" i="8" s="1"/>
  <c r="Y89" i="8"/>
  <c r="L89" i="8"/>
  <c r="AT88" i="8"/>
  <c r="AU88" i="8" s="1"/>
  <c r="Y88" i="8"/>
  <c r="L88" i="8"/>
  <c r="AT87" i="8"/>
  <c r="AU87" i="8" s="1"/>
  <c r="Y87" i="8"/>
  <c r="L87" i="8"/>
  <c r="AT86" i="8"/>
  <c r="AU86" i="8" s="1"/>
  <c r="Y86" i="8"/>
  <c r="L86" i="8"/>
  <c r="AT85" i="8"/>
  <c r="AU85" i="8" s="1"/>
  <c r="Y85" i="8"/>
  <c r="L85" i="8"/>
  <c r="AT84" i="8"/>
  <c r="AU84" i="8" s="1"/>
  <c r="Y84" i="8"/>
  <c r="L84" i="8"/>
  <c r="AT83" i="8"/>
  <c r="AU83" i="8" s="1"/>
  <c r="Y83" i="8"/>
  <c r="L83" i="8"/>
  <c r="AT82" i="8"/>
  <c r="AU82" i="8" s="1"/>
  <c r="Y82" i="8"/>
  <c r="L82" i="8"/>
  <c r="AT81" i="8"/>
  <c r="AU81" i="8" s="1"/>
  <c r="Y81" i="8"/>
  <c r="L81" i="8"/>
  <c r="AT80" i="8"/>
  <c r="AU80" i="8" s="1"/>
  <c r="Y80" i="8"/>
  <c r="L80" i="8"/>
  <c r="AT79" i="8"/>
  <c r="AU79" i="8" s="1"/>
  <c r="Y79" i="8"/>
  <c r="L79" i="8"/>
  <c r="AT78" i="8"/>
  <c r="AU78" i="8" s="1"/>
  <c r="Y78" i="8"/>
  <c r="L78" i="8"/>
  <c r="AT77" i="8"/>
  <c r="AU77" i="8" s="1"/>
  <c r="Y77" i="8"/>
  <c r="L77" i="8"/>
  <c r="AT76" i="8"/>
  <c r="AU76" i="8" s="1"/>
  <c r="Y76" i="8"/>
  <c r="L76" i="8"/>
  <c r="AT75" i="8"/>
  <c r="AU75" i="8" s="1"/>
  <c r="Y75" i="8"/>
  <c r="L75" i="8"/>
  <c r="AT74" i="8"/>
  <c r="AU74" i="8" s="1"/>
  <c r="Y74" i="8"/>
  <c r="L74" i="8"/>
  <c r="AT73" i="8"/>
  <c r="AU73" i="8" s="1"/>
  <c r="Y73" i="8"/>
  <c r="L73" i="8"/>
  <c r="AT72" i="8"/>
  <c r="AU72" i="8" s="1"/>
  <c r="Y72" i="8"/>
  <c r="L72" i="8"/>
  <c r="AT71" i="8"/>
  <c r="AU71" i="8" s="1"/>
  <c r="Y71" i="8"/>
  <c r="L71" i="8"/>
  <c r="AT70" i="8"/>
  <c r="AU70" i="8" s="1"/>
  <c r="Y70" i="8"/>
  <c r="L70" i="8"/>
  <c r="AT69" i="8"/>
  <c r="AU69" i="8" s="1"/>
  <c r="Y69" i="8"/>
  <c r="L69" i="8"/>
  <c r="AT68" i="8"/>
  <c r="AU68" i="8" s="1"/>
  <c r="Y68" i="8"/>
  <c r="L68" i="8"/>
  <c r="AT67" i="8"/>
  <c r="AU67" i="8" s="1"/>
  <c r="Y67" i="8"/>
  <c r="L67" i="8"/>
  <c r="AT66" i="8"/>
  <c r="AU66" i="8" s="1"/>
  <c r="Y66" i="8"/>
  <c r="L66" i="8"/>
  <c r="AT65" i="8"/>
  <c r="AU65" i="8" s="1"/>
  <c r="Y65" i="8"/>
  <c r="L65" i="8"/>
  <c r="AT64" i="8"/>
  <c r="AU64" i="8" s="1"/>
  <c r="Y64" i="8"/>
  <c r="L64" i="8"/>
  <c r="AT63" i="8"/>
  <c r="AU63" i="8" s="1"/>
  <c r="Y63" i="8"/>
  <c r="L63" i="8"/>
  <c r="AT62" i="8"/>
  <c r="AU62" i="8" s="1"/>
  <c r="Y62" i="8"/>
  <c r="L62" i="8"/>
  <c r="AT61" i="8"/>
  <c r="AU61" i="8" s="1"/>
  <c r="Y61" i="8"/>
  <c r="L61" i="8"/>
  <c r="AT60" i="8"/>
  <c r="AU60" i="8" s="1"/>
  <c r="Y60" i="8"/>
  <c r="L60" i="8"/>
  <c r="AT59" i="8"/>
  <c r="AU59" i="8" s="1"/>
  <c r="Y59" i="8"/>
  <c r="L59" i="8"/>
  <c r="AT58" i="8"/>
  <c r="AU58" i="8" s="1"/>
  <c r="Y58" i="8"/>
  <c r="L58" i="8"/>
  <c r="AT57" i="8"/>
  <c r="AU57" i="8" s="1"/>
  <c r="Y57" i="8"/>
  <c r="L57" i="8"/>
  <c r="AT56" i="8"/>
  <c r="AU56" i="8" s="1"/>
  <c r="Y56" i="8"/>
  <c r="L56" i="8"/>
  <c r="AT55" i="8"/>
  <c r="AU55" i="8" s="1"/>
  <c r="Y55" i="8"/>
  <c r="L55" i="8"/>
  <c r="AT54" i="8"/>
  <c r="AU54" i="8" s="1"/>
  <c r="Y54" i="8"/>
  <c r="L54" i="8"/>
  <c r="AT53" i="8"/>
  <c r="AU53" i="8" s="1"/>
  <c r="Y53" i="8"/>
  <c r="L53" i="8"/>
  <c r="AT52" i="8"/>
  <c r="AU52" i="8" s="1"/>
  <c r="Y52" i="8"/>
  <c r="L52" i="8"/>
  <c r="AT51" i="8"/>
  <c r="AU51" i="8" s="1"/>
  <c r="Y51" i="8"/>
  <c r="L51" i="8"/>
  <c r="AT50" i="8"/>
  <c r="AU50" i="8" s="1"/>
  <c r="Y50" i="8"/>
  <c r="L50" i="8"/>
  <c r="AT49" i="8"/>
  <c r="AU49" i="8" s="1"/>
  <c r="Y49" i="8"/>
  <c r="L49" i="8"/>
  <c r="AT48" i="8"/>
  <c r="AU48" i="8" s="1"/>
  <c r="Y48" i="8"/>
  <c r="L48" i="8"/>
  <c r="AT47" i="8"/>
  <c r="AU47" i="8" s="1"/>
  <c r="Y47" i="8"/>
  <c r="L47" i="8"/>
  <c r="AT46" i="8"/>
  <c r="AU46" i="8" s="1"/>
  <c r="Y46" i="8"/>
  <c r="L46" i="8"/>
  <c r="AT45" i="8"/>
  <c r="AU45" i="8" s="1"/>
  <c r="Y45" i="8"/>
  <c r="L45" i="8"/>
  <c r="AT44" i="8"/>
  <c r="AU44" i="8" s="1"/>
  <c r="Y44" i="8"/>
  <c r="L44" i="8"/>
  <c r="AT43" i="8"/>
  <c r="AU43" i="8" s="1"/>
  <c r="Y43" i="8"/>
  <c r="L43" i="8"/>
  <c r="AT42" i="8"/>
  <c r="AU42" i="8" s="1"/>
  <c r="Y42" i="8"/>
  <c r="L42" i="8"/>
  <c r="AT41" i="8"/>
  <c r="AU41" i="8" s="1"/>
  <c r="Y41" i="8"/>
  <c r="L41" i="8"/>
  <c r="AT40" i="8"/>
  <c r="AU40" i="8" s="1"/>
  <c r="Y40" i="8"/>
  <c r="L40" i="8"/>
  <c r="AT39" i="8"/>
  <c r="AU39" i="8" s="1"/>
  <c r="Y39" i="8"/>
  <c r="L39" i="8"/>
  <c r="AT38" i="8"/>
  <c r="AU38" i="8" s="1"/>
  <c r="Y38" i="8"/>
  <c r="L38" i="8"/>
  <c r="AT37" i="8"/>
  <c r="AU37" i="8" s="1"/>
  <c r="Y37" i="8"/>
  <c r="L37" i="8"/>
  <c r="AT36" i="8"/>
  <c r="AU36" i="8" s="1"/>
  <c r="Y36" i="8"/>
  <c r="L36" i="8"/>
  <c r="AT35" i="8"/>
  <c r="AU35" i="8" s="1"/>
  <c r="Y35" i="8"/>
  <c r="L35" i="8"/>
  <c r="AT34" i="8"/>
  <c r="AU34" i="8" s="1"/>
  <c r="Y34" i="8"/>
  <c r="L34" i="8"/>
  <c r="AT33" i="8"/>
  <c r="AU33" i="8" s="1"/>
  <c r="Y33" i="8"/>
  <c r="L33" i="8"/>
  <c r="AT32" i="8"/>
  <c r="AU32" i="8" s="1"/>
  <c r="Y32" i="8"/>
  <c r="L32" i="8"/>
  <c r="AT31" i="8"/>
  <c r="AU31" i="8" s="1"/>
  <c r="Y31" i="8"/>
  <c r="L31" i="8"/>
  <c r="AT30" i="8"/>
  <c r="AU30" i="8" s="1"/>
  <c r="Y30" i="8"/>
  <c r="L30" i="8"/>
  <c r="AT29" i="8"/>
  <c r="AU29" i="8" s="1"/>
  <c r="Y29" i="8"/>
  <c r="L29" i="8"/>
  <c r="AT28" i="8"/>
  <c r="AU28" i="8" s="1"/>
  <c r="Y28" i="8"/>
  <c r="L28" i="8"/>
  <c r="AT27" i="8"/>
  <c r="AU27" i="8" s="1"/>
  <c r="Y27" i="8"/>
  <c r="L27" i="8"/>
  <c r="AT26" i="8"/>
  <c r="AU26" i="8" s="1"/>
  <c r="Y26" i="8"/>
  <c r="L26" i="8"/>
  <c r="AT25" i="8"/>
  <c r="AU25" i="8" s="1"/>
  <c r="Y25" i="8"/>
  <c r="L25" i="8"/>
  <c r="AT24" i="8"/>
  <c r="AU24" i="8" s="1"/>
  <c r="Y24" i="8"/>
  <c r="L24" i="8"/>
  <c r="AT23" i="8"/>
  <c r="AU23" i="8" s="1"/>
  <c r="Y23" i="8"/>
  <c r="L23" i="8"/>
  <c r="AT22" i="8"/>
  <c r="AU22" i="8" s="1"/>
  <c r="Y22" i="8"/>
  <c r="L22" i="8"/>
  <c r="AT21" i="8"/>
  <c r="AU21" i="8" s="1"/>
  <c r="Y21" i="8"/>
  <c r="L21" i="8"/>
  <c r="AT20" i="8"/>
  <c r="AU20" i="8" s="1"/>
  <c r="Y20" i="8"/>
  <c r="L20" i="8"/>
  <c r="AT19" i="8"/>
  <c r="AU19" i="8" s="1"/>
  <c r="Y19" i="8"/>
  <c r="L19" i="8"/>
  <c r="AT18" i="8"/>
  <c r="AU18" i="8" s="1"/>
  <c r="Y18" i="8"/>
  <c r="L18" i="8"/>
  <c r="AT17" i="8"/>
  <c r="AU17" i="8" s="1"/>
  <c r="Y17" i="8"/>
  <c r="L17" i="8"/>
  <c r="AT16" i="8"/>
  <c r="AT143" i="8" s="1"/>
  <c r="Y16" i="8"/>
  <c r="Y143" i="8" s="1"/>
  <c r="L16" i="8"/>
  <c r="L143" i="8" s="1"/>
  <c r="E13" i="8" l="1"/>
  <c r="AU16" i="8"/>
  <c r="AU143" i="8" s="1"/>
  <c r="AC166" i="7" l="1"/>
  <c r="AE164" i="7"/>
  <c r="AE163" i="7"/>
  <c r="AD162" i="7"/>
  <c r="AE162" i="7" s="1"/>
  <c r="AD161" i="7"/>
  <c r="AE161" i="7" s="1"/>
  <c r="AD160" i="7"/>
  <c r="AE160" i="7" s="1"/>
  <c r="AD159" i="7"/>
  <c r="AE159" i="7" s="1"/>
  <c r="AD158" i="7"/>
  <c r="AE158" i="7" s="1"/>
  <c r="AD157" i="7"/>
  <c r="AE157" i="7" s="1"/>
  <c r="AD156" i="7"/>
  <c r="AD166" i="7" s="1"/>
  <c r="AE155" i="7"/>
  <c r="AE154" i="7"/>
  <c r="AE153" i="7"/>
  <c r="AE152" i="7"/>
  <c r="AU149" i="7"/>
  <c r="AQ145" i="7"/>
  <c r="AM145" i="7"/>
  <c r="AI145" i="7"/>
  <c r="AE145" i="7"/>
  <c r="AA145" i="7"/>
  <c r="AA148" i="7" s="1"/>
  <c r="Y145" i="7"/>
  <c r="X145" i="7"/>
  <c r="W145" i="7"/>
  <c r="V145" i="7"/>
  <c r="U145" i="7"/>
  <c r="T145" i="7"/>
  <c r="P145" i="7"/>
  <c r="O145" i="7"/>
  <c r="N145" i="7"/>
  <c r="M145" i="7"/>
  <c r="L145" i="7"/>
  <c r="K145" i="7"/>
  <c r="J145" i="7"/>
  <c r="AU144" i="7"/>
  <c r="Z144" i="7"/>
  <c r="AV144" i="7" s="1"/>
  <c r="AU143" i="7"/>
  <c r="AV143" i="7" s="1"/>
  <c r="Z143" i="7"/>
  <c r="AV142" i="7"/>
  <c r="AU142" i="7"/>
  <c r="Z142" i="7"/>
  <c r="AU141" i="7"/>
  <c r="AV141" i="7" s="1"/>
  <c r="Z141" i="7"/>
  <c r="AV140" i="7"/>
  <c r="AU140" i="7"/>
  <c r="Z140" i="7"/>
  <c r="AU139" i="7"/>
  <c r="AV139" i="7" s="1"/>
  <c r="Z139" i="7"/>
  <c r="AU138" i="7"/>
  <c r="Z138" i="7"/>
  <c r="AV138" i="7" s="1"/>
  <c r="AU137" i="7"/>
  <c r="AV137" i="7" s="1"/>
  <c r="Z137" i="7"/>
  <c r="AU136" i="7"/>
  <c r="Z136" i="7"/>
  <c r="AV136" i="7" s="1"/>
  <c r="AU135" i="7"/>
  <c r="AV135" i="7" s="1"/>
  <c r="Z135" i="7"/>
  <c r="AV134" i="7"/>
  <c r="AU134" i="7"/>
  <c r="Z134" i="7"/>
  <c r="AU133" i="7"/>
  <c r="AV133" i="7" s="1"/>
  <c r="Z133" i="7"/>
  <c r="AV132" i="7"/>
  <c r="AU132" i="7"/>
  <c r="Z132" i="7"/>
  <c r="AU131" i="7"/>
  <c r="AV131" i="7" s="1"/>
  <c r="Z131" i="7"/>
  <c r="AU130" i="7"/>
  <c r="Z130" i="7"/>
  <c r="AV130" i="7" s="1"/>
  <c r="AU129" i="7"/>
  <c r="AV129" i="7" s="1"/>
  <c r="Z129" i="7"/>
  <c r="AU128" i="7"/>
  <c r="Z128" i="7"/>
  <c r="AV128" i="7" s="1"/>
  <c r="AU127" i="7"/>
  <c r="AV127" i="7" s="1"/>
  <c r="Z127" i="7"/>
  <c r="AV126" i="7"/>
  <c r="AU126" i="7"/>
  <c r="Z126" i="7"/>
  <c r="AU125" i="7"/>
  <c r="AV125" i="7" s="1"/>
  <c r="Z125" i="7"/>
  <c r="AV124" i="7"/>
  <c r="AU124" i="7"/>
  <c r="Z124" i="7"/>
  <c r="AU123" i="7"/>
  <c r="AV123" i="7" s="1"/>
  <c r="Z123" i="7"/>
  <c r="AU122" i="7"/>
  <c r="Z122" i="7"/>
  <c r="AV122" i="7" s="1"/>
  <c r="AU121" i="7"/>
  <c r="AV121" i="7" s="1"/>
  <c r="Z121" i="7"/>
  <c r="AU120" i="7"/>
  <c r="Z120" i="7"/>
  <c r="AV120" i="7" s="1"/>
  <c r="AU119" i="7"/>
  <c r="AV119" i="7" s="1"/>
  <c r="Z119" i="7"/>
  <c r="AV118" i="7"/>
  <c r="AU118" i="7"/>
  <c r="Z118" i="7"/>
  <c r="AU117" i="7"/>
  <c r="AV117" i="7" s="1"/>
  <c r="Z117" i="7"/>
  <c r="AV116" i="7"/>
  <c r="AU116" i="7"/>
  <c r="Z116" i="7"/>
  <c r="AU115" i="7"/>
  <c r="AV115" i="7" s="1"/>
  <c r="Z115" i="7"/>
  <c r="AU114" i="7"/>
  <c r="Z114" i="7"/>
  <c r="AV114" i="7" s="1"/>
  <c r="AU113" i="7"/>
  <c r="AV113" i="7" s="1"/>
  <c r="Z113" i="7"/>
  <c r="AU112" i="7"/>
  <c r="Z112" i="7"/>
  <c r="AV112" i="7" s="1"/>
  <c r="AU111" i="7"/>
  <c r="AV111" i="7" s="1"/>
  <c r="Z111" i="7"/>
  <c r="AV110" i="7"/>
  <c r="AU110" i="7"/>
  <c r="Z110" i="7"/>
  <c r="AU109" i="7"/>
  <c r="AV109" i="7" s="1"/>
  <c r="Z109" i="7"/>
  <c r="AV108" i="7"/>
  <c r="AU108" i="7"/>
  <c r="Z108" i="7"/>
  <c r="AU107" i="7"/>
  <c r="AV107" i="7" s="1"/>
  <c r="Z107" i="7"/>
  <c r="AU106" i="7"/>
  <c r="Z106" i="7"/>
  <c r="AV106" i="7" s="1"/>
  <c r="AU105" i="7"/>
  <c r="AV105" i="7" s="1"/>
  <c r="Z105" i="7"/>
  <c r="AU104" i="7"/>
  <c r="Z104" i="7"/>
  <c r="AV104" i="7" s="1"/>
  <c r="AU103" i="7"/>
  <c r="AV103" i="7" s="1"/>
  <c r="Z103" i="7"/>
  <c r="AV102" i="7"/>
  <c r="AU102" i="7"/>
  <c r="Z102" i="7"/>
  <c r="AU101" i="7"/>
  <c r="AV101" i="7" s="1"/>
  <c r="Z101" i="7"/>
  <c r="AV100" i="7"/>
  <c r="AU100" i="7"/>
  <c r="Z100" i="7"/>
  <c r="AU99" i="7"/>
  <c r="AV99" i="7" s="1"/>
  <c r="Z99" i="7"/>
  <c r="AU98" i="7"/>
  <c r="Z98" i="7"/>
  <c r="AV98" i="7" s="1"/>
  <c r="AU97" i="7"/>
  <c r="AV97" i="7" s="1"/>
  <c r="Z97" i="7"/>
  <c r="AU96" i="7"/>
  <c r="Z96" i="7"/>
  <c r="AV96" i="7" s="1"/>
  <c r="AU95" i="7"/>
  <c r="AV95" i="7" s="1"/>
  <c r="Z95" i="7"/>
  <c r="AV94" i="7"/>
  <c r="AU94" i="7"/>
  <c r="Z94" i="7"/>
  <c r="S94" i="7"/>
  <c r="AU93" i="7"/>
  <c r="Z93" i="7"/>
  <c r="AV93" i="7" s="1"/>
  <c r="AU92" i="7"/>
  <c r="AV92" i="7" s="1"/>
  <c r="Z92" i="7"/>
  <c r="AU91" i="7"/>
  <c r="Z91" i="7"/>
  <c r="AV91" i="7" s="1"/>
  <c r="AU90" i="7"/>
  <c r="AV90" i="7" s="1"/>
  <c r="Z90" i="7"/>
  <c r="AV89" i="7"/>
  <c r="AU89" i="7"/>
  <c r="Z89" i="7"/>
  <c r="AU88" i="7"/>
  <c r="AV88" i="7" s="1"/>
  <c r="Z88" i="7"/>
  <c r="AV87" i="7"/>
  <c r="AU87" i="7"/>
  <c r="Z87" i="7"/>
  <c r="AU86" i="7"/>
  <c r="AV86" i="7" s="1"/>
  <c r="Z86" i="7"/>
  <c r="AU85" i="7"/>
  <c r="Z85" i="7"/>
  <c r="AV85" i="7" s="1"/>
  <c r="AU84" i="7"/>
  <c r="AV84" i="7" s="1"/>
  <c r="Z84" i="7"/>
  <c r="AU83" i="7"/>
  <c r="Z83" i="7"/>
  <c r="AV83" i="7" s="1"/>
  <c r="AU82" i="7"/>
  <c r="AV82" i="7" s="1"/>
  <c r="S82" i="7"/>
  <c r="Z82" i="7" s="1"/>
  <c r="R82" i="7"/>
  <c r="AU81" i="7"/>
  <c r="Z81" i="7"/>
  <c r="AV81" i="7" s="1"/>
  <c r="S81" i="7"/>
  <c r="AV80" i="7"/>
  <c r="AU80" i="7"/>
  <c r="Z80" i="7"/>
  <c r="AU79" i="7"/>
  <c r="S79" i="7"/>
  <c r="Q79" i="7"/>
  <c r="Z79" i="7" s="1"/>
  <c r="AV78" i="7"/>
  <c r="AU78" i="7"/>
  <c r="Z78" i="7"/>
  <c r="R78" i="7"/>
  <c r="AU77" i="7"/>
  <c r="Z77" i="7"/>
  <c r="AV77" i="7" s="1"/>
  <c r="AU76" i="7"/>
  <c r="R76" i="7"/>
  <c r="Z76" i="7" s="1"/>
  <c r="AU75" i="7"/>
  <c r="AV75" i="7" s="1"/>
  <c r="Z75" i="7"/>
  <c r="AU74" i="7"/>
  <c r="Z74" i="7"/>
  <c r="AV74" i="7" s="1"/>
  <c r="AU73" i="7"/>
  <c r="AV73" i="7" s="1"/>
  <c r="Z73" i="7"/>
  <c r="AU72" i="7"/>
  <c r="Z72" i="7"/>
  <c r="AV72" i="7" s="1"/>
  <c r="AU71" i="7"/>
  <c r="AV71" i="7" s="1"/>
  <c r="Z71" i="7"/>
  <c r="AV70" i="7"/>
  <c r="AU70" i="7"/>
  <c r="Z70" i="7"/>
  <c r="AU69" i="7"/>
  <c r="AV69" i="7" s="1"/>
  <c r="Z69" i="7"/>
  <c r="AV68" i="7"/>
  <c r="AU68" i="7"/>
  <c r="Z68" i="7"/>
  <c r="AU67" i="7"/>
  <c r="AV67" i="7" s="1"/>
  <c r="S67" i="7"/>
  <c r="Z67" i="7" s="1"/>
  <c r="AU66" i="7"/>
  <c r="AV66" i="7" s="1"/>
  <c r="Z66" i="7"/>
  <c r="AV65" i="7"/>
  <c r="AU65" i="7"/>
  <c r="Z65" i="7"/>
  <c r="R65" i="7"/>
  <c r="AU64" i="7"/>
  <c r="Z64" i="7"/>
  <c r="AV64" i="7" s="1"/>
  <c r="AU63" i="7"/>
  <c r="AV63" i="7" s="1"/>
  <c r="Z63" i="7"/>
  <c r="AU62" i="7"/>
  <c r="Z62" i="7"/>
  <c r="AV62" i="7" s="1"/>
  <c r="AU61" i="7"/>
  <c r="AV61" i="7" s="1"/>
  <c r="Z61" i="7"/>
  <c r="AV60" i="7"/>
  <c r="AU60" i="7"/>
  <c r="Z60" i="7"/>
  <c r="AU59" i="7"/>
  <c r="AV59" i="7" s="1"/>
  <c r="Z59" i="7"/>
  <c r="AV58" i="7"/>
  <c r="AU58" i="7"/>
  <c r="Z58" i="7"/>
  <c r="AU57" i="7"/>
  <c r="AV57" i="7" s="1"/>
  <c r="Q57" i="7"/>
  <c r="Z57" i="7" s="1"/>
  <c r="AU56" i="7"/>
  <c r="AV56" i="7" s="1"/>
  <c r="Z56" i="7"/>
  <c r="AV55" i="7"/>
  <c r="AU55" i="7"/>
  <c r="Z55" i="7"/>
  <c r="AU54" i="7"/>
  <c r="S54" i="7"/>
  <c r="Z54" i="7" s="1"/>
  <c r="AU53" i="7"/>
  <c r="AV53" i="7" s="1"/>
  <c r="Z53" i="7"/>
  <c r="AU52" i="7"/>
  <c r="S52" i="7"/>
  <c r="R52" i="7"/>
  <c r="Q52" i="7"/>
  <c r="Z52" i="7" s="1"/>
  <c r="AV52" i="7" s="1"/>
  <c r="AV51" i="7"/>
  <c r="AU51" i="7"/>
  <c r="Z51" i="7"/>
  <c r="AU50" i="7"/>
  <c r="AV50" i="7" s="1"/>
  <c r="Z50" i="7"/>
  <c r="AV49" i="7"/>
  <c r="AU49" i="7"/>
  <c r="Z49" i="7"/>
  <c r="R49" i="7"/>
  <c r="AU48" i="7"/>
  <c r="Z48" i="7"/>
  <c r="AV48" i="7" s="1"/>
  <c r="AU47" i="7"/>
  <c r="AV47" i="7" s="1"/>
  <c r="Z47" i="7"/>
  <c r="AV46" i="7"/>
  <c r="AU46" i="7"/>
  <c r="Z46" i="7"/>
  <c r="AU45" i="7"/>
  <c r="S45" i="7"/>
  <c r="Q45" i="7"/>
  <c r="Z45" i="7" s="1"/>
  <c r="AV44" i="7"/>
  <c r="AU44" i="7"/>
  <c r="Z44" i="7"/>
  <c r="S44" i="7"/>
  <c r="AU43" i="7"/>
  <c r="Z43" i="7"/>
  <c r="AV43" i="7" s="1"/>
  <c r="AU42" i="7"/>
  <c r="AV42" i="7" s="1"/>
  <c r="Z42" i="7"/>
  <c r="AU41" i="7"/>
  <c r="S41" i="7"/>
  <c r="R41" i="7"/>
  <c r="Q41" i="7"/>
  <c r="Z41" i="7" s="1"/>
  <c r="AV41" i="7" s="1"/>
  <c r="AU40" i="7"/>
  <c r="S40" i="7"/>
  <c r="R40" i="7"/>
  <c r="Z40" i="7" s="1"/>
  <c r="AV40" i="7" s="1"/>
  <c r="Q40" i="7"/>
  <c r="AV39" i="7"/>
  <c r="AU39" i="7"/>
  <c r="Z39" i="7"/>
  <c r="S39" i="7"/>
  <c r="Q39" i="7"/>
  <c r="AU38" i="7"/>
  <c r="AV38" i="7" s="1"/>
  <c r="Z38" i="7"/>
  <c r="AU37" i="7"/>
  <c r="Z37" i="7"/>
  <c r="AV37" i="7" s="1"/>
  <c r="Q37" i="7"/>
  <c r="AU36" i="7"/>
  <c r="Z36" i="7"/>
  <c r="AV36" i="7" s="1"/>
  <c r="AU35" i="7"/>
  <c r="AV35" i="7" s="1"/>
  <c r="S35" i="7"/>
  <c r="Z35" i="7" s="1"/>
  <c r="AU34" i="7"/>
  <c r="AV34" i="7" s="1"/>
  <c r="Z34" i="7"/>
  <c r="AU33" i="7"/>
  <c r="Z33" i="7"/>
  <c r="AV33" i="7" s="1"/>
  <c r="AU32" i="7"/>
  <c r="AV32" i="7" s="1"/>
  <c r="Z32" i="7"/>
  <c r="AU31" i="7"/>
  <c r="Z31" i="7"/>
  <c r="AV31" i="7" s="1"/>
  <c r="AU30" i="7"/>
  <c r="AV30" i="7" s="1"/>
  <c r="Q30" i="7"/>
  <c r="Z30" i="7" s="1"/>
  <c r="AU29" i="7"/>
  <c r="AV29" i="7" s="1"/>
  <c r="R29" i="7"/>
  <c r="Z29" i="7" s="1"/>
  <c r="Q29" i="7"/>
  <c r="AU28" i="7"/>
  <c r="Z28" i="7"/>
  <c r="AV28" i="7" s="1"/>
  <c r="AU27" i="7"/>
  <c r="S27" i="7"/>
  <c r="S145" i="7" s="1"/>
  <c r="R27" i="7"/>
  <c r="Q27" i="7"/>
  <c r="Z27" i="7" s="1"/>
  <c r="AU26" i="7"/>
  <c r="AV26" i="7" s="1"/>
  <c r="Z26" i="7"/>
  <c r="AU25" i="7"/>
  <c r="Z25" i="7"/>
  <c r="AV25" i="7" s="1"/>
  <c r="AU24" i="7"/>
  <c r="Q24" i="7"/>
  <c r="Z24" i="7" s="1"/>
  <c r="AU23" i="7"/>
  <c r="Q23" i="7"/>
  <c r="Z23" i="7" s="1"/>
  <c r="AU22" i="7"/>
  <c r="AV22" i="7" s="1"/>
  <c r="Z22" i="7"/>
  <c r="AV21" i="7"/>
  <c r="AU21" i="7"/>
  <c r="Z21" i="7"/>
  <c r="Q21" i="7"/>
  <c r="AU20" i="7"/>
  <c r="R20" i="7"/>
  <c r="R145" i="7" s="1"/>
  <c r="Q20" i="7"/>
  <c r="Q145" i="7" s="1"/>
  <c r="AU19" i="7"/>
  <c r="AV19" i="7" s="1"/>
  <c r="Z19" i="7"/>
  <c r="AU18" i="7"/>
  <c r="Z18" i="7"/>
  <c r="AV18" i="7" s="1"/>
  <c r="AU17" i="7"/>
  <c r="AV17" i="7" s="1"/>
  <c r="Z17" i="7"/>
  <c r="AU16" i="7"/>
  <c r="AU145" i="7" s="1"/>
  <c r="Z16" i="7"/>
  <c r="AU150" i="7" l="1"/>
  <c r="AV76" i="7"/>
  <c r="Z145" i="7"/>
  <c r="AV79" i="7"/>
  <c r="AV23" i="7"/>
  <c r="AV24" i="7"/>
  <c r="AV27" i="7"/>
  <c r="AV45" i="7"/>
  <c r="AV54" i="7"/>
  <c r="Z20" i="7"/>
  <c r="AV20" i="7" s="1"/>
  <c r="AV16" i="7"/>
  <c r="AV145" i="7" s="1"/>
  <c r="AE156" i="7"/>
  <c r="Z148" i="7" l="1"/>
  <c r="Y152" i="7"/>
  <c r="E13" i="7"/>
  <c r="BB367" i="6" l="1"/>
  <c r="AX363" i="6"/>
  <c r="AT363" i="6"/>
  <c r="AP363" i="6"/>
  <c r="AL363" i="6"/>
  <c r="AH363" i="6"/>
  <c r="AD363" i="6"/>
  <c r="Z363" i="6"/>
  <c r="X363" i="6"/>
  <c r="W363" i="6"/>
  <c r="V363" i="6"/>
  <c r="O363" i="6"/>
  <c r="N363" i="6"/>
  <c r="M363" i="6"/>
  <c r="BB362" i="6"/>
  <c r="BC362" i="6" s="1"/>
  <c r="Y362" i="6"/>
  <c r="BB361" i="6"/>
  <c r="BC361" i="6" s="1"/>
  <c r="Y361" i="6"/>
  <c r="BB360" i="6"/>
  <c r="BC360" i="6" s="1"/>
  <c r="Y360" i="6"/>
  <c r="BB359" i="6"/>
  <c r="Y359" i="6"/>
  <c r="BC359" i="6" s="1"/>
  <c r="BC358" i="6"/>
  <c r="BB358" i="6"/>
  <c r="Y358" i="6"/>
  <c r="BB357" i="6"/>
  <c r="Y357" i="6"/>
  <c r="BC357" i="6" s="1"/>
  <c r="BB356" i="6"/>
  <c r="Y356" i="6"/>
  <c r="BB355" i="6"/>
  <c r="BC355" i="6" s="1"/>
  <c r="Y355" i="6"/>
  <c r="BB354" i="6"/>
  <c r="BC354" i="6" s="1"/>
  <c r="Y354" i="6"/>
  <c r="BC353" i="6"/>
  <c r="BB353" i="6"/>
  <c r="Y353" i="6"/>
  <c r="BB352" i="6"/>
  <c r="BC352" i="6" s="1"/>
  <c r="Y352" i="6"/>
  <c r="BC351" i="6"/>
  <c r="BB351" i="6"/>
  <c r="Y351" i="6"/>
  <c r="BB350" i="6"/>
  <c r="BC350" i="6" s="1"/>
  <c r="Y350" i="6"/>
  <c r="BC349" i="6"/>
  <c r="BB349" i="6"/>
  <c r="Y349" i="6"/>
  <c r="BB348" i="6"/>
  <c r="L348" i="6"/>
  <c r="BB347" i="6"/>
  <c r="BC347" i="6"/>
  <c r="L347" i="6"/>
  <c r="BB346" i="6"/>
  <c r="BC346" i="6"/>
  <c r="L346" i="6"/>
  <c r="BB345" i="6"/>
  <c r="L345" i="6"/>
  <c r="BB344" i="6"/>
  <c r="BC344" i="6" s="1"/>
  <c r="L344" i="6"/>
  <c r="BB343" i="6"/>
  <c r="BC343" i="6" s="1"/>
  <c r="L343" i="6"/>
  <c r="BB342" i="6"/>
  <c r="L342" i="6"/>
  <c r="BB341" i="6"/>
  <c r="L341" i="6"/>
  <c r="BB340" i="6"/>
  <c r="BC340" i="6" s="1"/>
  <c r="L340" i="6"/>
  <c r="BB339" i="6"/>
  <c r="L339" i="6"/>
  <c r="BB338" i="6"/>
  <c r="L338" i="6"/>
  <c r="BB337" i="6"/>
  <c r="L337" i="6"/>
  <c r="BB336" i="6"/>
  <c r="BC336" i="6" s="1"/>
  <c r="L336" i="6"/>
  <c r="BB335" i="6"/>
  <c r="BC335" i="6" s="1"/>
  <c r="L335" i="6"/>
  <c r="BB334" i="6"/>
  <c r="K334" i="6"/>
  <c r="L334" i="6" s="1"/>
  <c r="J334" i="6"/>
  <c r="I334" i="6"/>
  <c r="BB333" i="6"/>
  <c r="K333" i="6"/>
  <c r="J333" i="6"/>
  <c r="L333" i="6" s="1"/>
  <c r="I333" i="6"/>
  <c r="BC332" i="6"/>
  <c r="BB332" i="6"/>
  <c r="K332" i="6"/>
  <c r="J332" i="6"/>
  <c r="L332" i="6" s="1"/>
  <c r="I332" i="6"/>
  <c r="BB331" i="6"/>
  <c r="BC331" i="6"/>
  <c r="L331" i="6"/>
  <c r="K331" i="6"/>
  <c r="J331" i="6"/>
  <c r="I331" i="6"/>
  <c r="BB330" i="6"/>
  <c r="BC330" i="6"/>
  <c r="K330" i="6"/>
  <c r="J330" i="6"/>
  <c r="L330" i="6" s="1"/>
  <c r="I330" i="6"/>
  <c r="BB329" i="6"/>
  <c r="BC329" i="6"/>
  <c r="K329" i="6"/>
  <c r="J329" i="6"/>
  <c r="I329" i="6"/>
  <c r="BB328" i="6"/>
  <c r="K328" i="6"/>
  <c r="J328" i="6"/>
  <c r="L328" i="6" s="1"/>
  <c r="I328" i="6"/>
  <c r="BB327" i="6"/>
  <c r="BC327" i="6" s="1"/>
  <c r="K327" i="6"/>
  <c r="J327" i="6"/>
  <c r="L327" i="6" s="1"/>
  <c r="I327" i="6"/>
  <c r="BB326" i="6"/>
  <c r="K326" i="6"/>
  <c r="L326" i="6" s="1"/>
  <c r="J326" i="6"/>
  <c r="I326" i="6"/>
  <c r="BB325" i="6"/>
  <c r="L325" i="6"/>
  <c r="K325" i="6"/>
  <c r="J325" i="6"/>
  <c r="I325" i="6"/>
  <c r="BB324" i="6"/>
  <c r="BC324" i="6" s="1"/>
  <c r="K324" i="6"/>
  <c r="J324" i="6"/>
  <c r="L324" i="6" s="1"/>
  <c r="I324" i="6"/>
  <c r="BB323" i="6"/>
  <c r="BC323" i="6"/>
  <c r="L323" i="6"/>
  <c r="K323" i="6"/>
  <c r="J323" i="6"/>
  <c r="I323" i="6"/>
  <c r="BB322" i="6"/>
  <c r="BC322" i="6"/>
  <c r="K322" i="6"/>
  <c r="J322" i="6"/>
  <c r="L322" i="6" s="1"/>
  <c r="I322" i="6"/>
  <c r="BC321" i="6"/>
  <c r="BB321" i="6"/>
  <c r="K321" i="6"/>
  <c r="J321" i="6"/>
  <c r="L321" i="6" s="1"/>
  <c r="I321" i="6"/>
  <c r="BB320" i="6"/>
  <c r="K320" i="6"/>
  <c r="J320" i="6"/>
  <c r="L320" i="6" s="1"/>
  <c r="I320" i="6"/>
  <c r="BB319" i="6"/>
  <c r="BC319" i="6" s="1"/>
  <c r="K319" i="6"/>
  <c r="L319" i="6" s="1"/>
  <c r="J319" i="6"/>
  <c r="I319" i="6"/>
  <c r="BB318" i="6"/>
  <c r="BC318" i="6" s="1"/>
  <c r="L318" i="6"/>
  <c r="K318" i="6"/>
  <c r="J318" i="6"/>
  <c r="I318" i="6"/>
  <c r="BB317" i="6"/>
  <c r="K317" i="6"/>
  <c r="J317" i="6"/>
  <c r="L317" i="6" s="1"/>
  <c r="I317" i="6"/>
  <c r="BC316" i="6"/>
  <c r="BB316" i="6"/>
  <c r="L316" i="6"/>
  <c r="K316" i="6"/>
  <c r="J316" i="6"/>
  <c r="I316" i="6"/>
  <c r="BB315" i="6"/>
  <c r="K315" i="6"/>
  <c r="J315" i="6"/>
  <c r="L315" i="6" s="1"/>
  <c r="I315" i="6"/>
  <c r="BC314" i="6"/>
  <c r="BB314" i="6"/>
  <c r="K314" i="6"/>
  <c r="J314" i="6"/>
  <c r="I314" i="6"/>
  <c r="BB313" i="6"/>
  <c r="K313" i="6"/>
  <c r="J313" i="6"/>
  <c r="I313" i="6"/>
  <c r="BB312" i="6"/>
  <c r="K312" i="6"/>
  <c r="J312" i="6"/>
  <c r="L312" i="6" s="1"/>
  <c r="I312" i="6"/>
  <c r="BB311" i="6"/>
  <c r="L311" i="6"/>
  <c r="K311" i="6"/>
  <c r="J311" i="6"/>
  <c r="I311" i="6"/>
  <c r="BB310" i="6"/>
  <c r="L310" i="6"/>
  <c r="K310" i="6"/>
  <c r="J310" i="6"/>
  <c r="I310" i="6"/>
  <c r="BB309" i="6"/>
  <c r="BC309" i="6" s="1"/>
  <c r="K309" i="6"/>
  <c r="J309" i="6"/>
  <c r="L309" i="6" s="1"/>
  <c r="I309" i="6"/>
  <c r="BB308" i="6"/>
  <c r="BC308" i="6"/>
  <c r="K308" i="6"/>
  <c r="J308" i="6"/>
  <c r="L308" i="6" s="1"/>
  <c r="I308" i="6"/>
  <c r="BB307" i="6"/>
  <c r="BC307" i="6"/>
  <c r="K307" i="6"/>
  <c r="J307" i="6"/>
  <c r="L307" i="6" s="1"/>
  <c r="I307" i="6"/>
  <c r="BB306" i="6"/>
  <c r="BC306" i="6"/>
  <c r="K306" i="6"/>
  <c r="J306" i="6"/>
  <c r="L306" i="6" s="1"/>
  <c r="I306" i="6"/>
  <c r="BB305" i="6"/>
  <c r="K305" i="6"/>
  <c r="J305" i="6"/>
  <c r="I305" i="6"/>
  <c r="BB304" i="6"/>
  <c r="K304" i="6"/>
  <c r="J304" i="6"/>
  <c r="L304" i="6" s="1"/>
  <c r="I304" i="6"/>
  <c r="BB303" i="6"/>
  <c r="K303" i="6"/>
  <c r="L303" i="6" s="1"/>
  <c r="J303" i="6"/>
  <c r="I303" i="6"/>
  <c r="BB302" i="6"/>
  <c r="BC302" i="6" s="1"/>
  <c r="L302" i="6"/>
  <c r="K302" i="6"/>
  <c r="J302" i="6"/>
  <c r="I302" i="6"/>
  <c r="BB301" i="6"/>
  <c r="BC301" i="6"/>
  <c r="L301" i="6"/>
  <c r="K301" i="6"/>
  <c r="J301" i="6"/>
  <c r="I301" i="6"/>
  <c r="BB300" i="6"/>
  <c r="L300" i="6"/>
  <c r="K300" i="6"/>
  <c r="J300" i="6"/>
  <c r="I300" i="6"/>
  <c r="BB299" i="6"/>
  <c r="BC299" i="6" s="1"/>
  <c r="K299" i="6"/>
  <c r="J299" i="6"/>
  <c r="L299" i="6" s="1"/>
  <c r="I299" i="6"/>
  <c r="BB298" i="6"/>
  <c r="BC298" i="6"/>
  <c r="K298" i="6"/>
  <c r="J298" i="6"/>
  <c r="I298" i="6"/>
  <c r="BB297" i="6"/>
  <c r="K297" i="6"/>
  <c r="J297" i="6"/>
  <c r="L297" i="6" s="1"/>
  <c r="I297" i="6"/>
  <c r="BB296" i="6"/>
  <c r="BC296" i="6"/>
  <c r="K296" i="6"/>
  <c r="L296" i="6" s="1"/>
  <c r="J296" i="6"/>
  <c r="I296" i="6"/>
  <c r="BB295" i="6"/>
  <c r="K295" i="6"/>
  <c r="J295" i="6"/>
  <c r="I295" i="6"/>
  <c r="BB294" i="6"/>
  <c r="L294" i="6"/>
  <c r="BB293" i="6"/>
  <c r="L293" i="6"/>
  <c r="BB292" i="6"/>
  <c r="L292" i="6"/>
  <c r="BB291" i="6"/>
  <c r="L291" i="6"/>
  <c r="BB290" i="6"/>
  <c r="L290" i="6"/>
  <c r="BB289" i="6"/>
  <c r="L289" i="6"/>
  <c r="BB288" i="6"/>
  <c r="BC288" i="6" s="1"/>
  <c r="L288" i="6"/>
  <c r="BB287" i="6"/>
  <c r="L287" i="6"/>
  <c r="BB286" i="6"/>
  <c r="L286" i="6"/>
  <c r="BB285" i="6"/>
  <c r="L285" i="6"/>
  <c r="BB284" i="6"/>
  <c r="BC284" i="6" s="1"/>
  <c r="L284" i="6"/>
  <c r="BB283" i="6"/>
  <c r="L283" i="6"/>
  <c r="BB282" i="6"/>
  <c r="L282" i="6"/>
  <c r="BB281" i="6"/>
  <c r="L281" i="6"/>
  <c r="BB280" i="6"/>
  <c r="BC280" i="6" s="1"/>
  <c r="L280" i="6"/>
  <c r="BB279" i="6"/>
  <c r="L279" i="6"/>
  <c r="BB278" i="6"/>
  <c r="L278" i="6"/>
  <c r="BB277" i="6"/>
  <c r="L277" i="6"/>
  <c r="BB276" i="6"/>
  <c r="L276" i="6"/>
  <c r="BB275" i="6"/>
  <c r="L275" i="6"/>
  <c r="BB274" i="6"/>
  <c r="L274" i="6"/>
  <c r="BB273" i="6"/>
  <c r="L273" i="6"/>
  <c r="BB272" i="6"/>
  <c r="BC272" i="6" s="1"/>
  <c r="L272" i="6"/>
  <c r="BB271" i="6"/>
  <c r="L271" i="6"/>
  <c r="BB270" i="6"/>
  <c r="L270" i="6"/>
  <c r="BB269" i="6"/>
  <c r="L269" i="6"/>
  <c r="BB268" i="6"/>
  <c r="L268" i="6"/>
  <c r="BB267" i="6"/>
  <c r="L267" i="6"/>
  <c r="BB266" i="6"/>
  <c r="L266" i="6"/>
  <c r="BB265" i="6"/>
  <c r="L265" i="6"/>
  <c r="BB264" i="6"/>
  <c r="BC264" i="6" s="1"/>
  <c r="L264" i="6"/>
  <c r="BB263" i="6"/>
  <c r="L263" i="6"/>
  <c r="BB262" i="6"/>
  <c r="L262" i="6"/>
  <c r="BB261" i="6"/>
  <c r="L261" i="6"/>
  <c r="BB260" i="6"/>
  <c r="L260" i="6"/>
  <c r="BB259" i="6"/>
  <c r="L259" i="6"/>
  <c r="BB258" i="6"/>
  <c r="L258" i="6"/>
  <c r="BB257" i="6"/>
  <c r="L257" i="6"/>
  <c r="BB256" i="6"/>
  <c r="BC256" i="6" s="1"/>
  <c r="L256" i="6"/>
  <c r="BB255" i="6"/>
  <c r="L255" i="6"/>
  <c r="BB254" i="6"/>
  <c r="L254" i="6"/>
  <c r="BB253" i="6"/>
  <c r="L253" i="6"/>
  <c r="BB252" i="6"/>
  <c r="BC252" i="6" s="1"/>
  <c r="L252" i="6"/>
  <c r="BB251" i="6"/>
  <c r="BC251" i="6"/>
  <c r="L251" i="6"/>
  <c r="BB250" i="6"/>
  <c r="L250" i="6"/>
  <c r="BC249" i="6"/>
  <c r="BB249" i="6"/>
  <c r="L249" i="6"/>
  <c r="BC248" i="6"/>
  <c r="BB248" i="6"/>
  <c r="L248" i="6"/>
  <c r="BC247" i="6"/>
  <c r="BB247" i="6"/>
  <c r="L247" i="6"/>
  <c r="BB246" i="6"/>
  <c r="BC246" i="6"/>
  <c r="L246" i="6"/>
  <c r="BB245" i="6"/>
  <c r="BC245" i="6"/>
  <c r="L245" i="6"/>
  <c r="BB244" i="6"/>
  <c r="BC244" i="6"/>
  <c r="L244" i="6"/>
  <c r="BC243" i="6"/>
  <c r="BB243" i="6"/>
  <c r="L243" i="6"/>
  <c r="BB242" i="6"/>
  <c r="L242" i="6"/>
  <c r="BB241" i="6"/>
  <c r="L241" i="6"/>
  <c r="BC240" i="6"/>
  <c r="BB240" i="6"/>
  <c r="L240" i="6"/>
  <c r="BB239" i="6"/>
  <c r="BC239" i="6"/>
  <c r="L239" i="6"/>
  <c r="BB238" i="6"/>
  <c r="BC238" i="6"/>
  <c r="L238" i="6"/>
  <c r="BB237" i="6"/>
  <c r="BC237" i="6"/>
  <c r="L237" i="6"/>
  <c r="BB236" i="6"/>
  <c r="L236" i="6"/>
  <c r="BB235" i="6"/>
  <c r="BC235" i="6" s="1"/>
  <c r="L235" i="6"/>
  <c r="BB234" i="6"/>
  <c r="L234" i="6"/>
  <c r="BB233" i="6"/>
  <c r="L233" i="6"/>
  <c r="BB232" i="6"/>
  <c r="L232" i="6"/>
  <c r="BB231" i="6"/>
  <c r="L231" i="6"/>
  <c r="BB230" i="6"/>
  <c r="L230" i="6"/>
  <c r="BB229" i="6"/>
  <c r="L229" i="6"/>
  <c r="BB228" i="6"/>
  <c r="L228" i="6"/>
  <c r="BB227" i="6"/>
  <c r="L227" i="6"/>
  <c r="BC226" i="6"/>
  <c r="BB226" i="6"/>
  <c r="L226" i="6"/>
  <c r="BC225" i="6"/>
  <c r="BB225" i="6"/>
  <c r="L225" i="6"/>
  <c r="BB224" i="6"/>
  <c r="BC224" i="6" s="1"/>
  <c r="L224" i="6"/>
  <c r="BB223" i="6"/>
  <c r="BC223" i="6"/>
  <c r="L223" i="6"/>
  <c r="BC222" i="6"/>
  <c r="BB222" i="6"/>
  <c r="L222" i="6"/>
  <c r="BC221" i="6"/>
  <c r="BB221" i="6"/>
  <c r="L221" i="6"/>
  <c r="BB220" i="6"/>
  <c r="BC220" i="6"/>
  <c r="L220" i="6"/>
  <c r="BB219" i="6"/>
  <c r="BC219" i="6"/>
  <c r="L219" i="6"/>
  <c r="BB218" i="6"/>
  <c r="BC218" i="6"/>
  <c r="L218" i="6"/>
  <c r="BB217" i="6"/>
  <c r="BC217" i="6"/>
  <c r="L217" i="6"/>
  <c r="BC216" i="6"/>
  <c r="BB216" i="6"/>
  <c r="L216" i="6"/>
  <c r="BB215" i="6"/>
  <c r="BC215" i="6"/>
  <c r="L215" i="6"/>
  <c r="BC214" i="6"/>
  <c r="BB214" i="6"/>
  <c r="L214" i="6"/>
  <c r="BB213" i="6"/>
  <c r="BC213" i="6"/>
  <c r="L213" i="6"/>
  <c r="BB212" i="6"/>
  <c r="L212" i="6"/>
  <c r="BB211" i="6"/>
  <c r="L211" i="6"/>
  <c r="BB210" i="6"/>
  <c r="L210" i="6"/>
  <c r="BB209" i="6"/>
  <c r="L209" i="6"/>
  <c r="BB208" i="6"/>
  <c r="L208" i="6"/>
  <c r="BB207" i="6"/>
  <c r="L207" i="6"/>
  <c r="BB206" i="6"/>
  <c r="L206" i="6"/>
  <c r="BB205" i="6"/>
  <c r="BC205" i="6" s="1"/>
  <c r="L205" i="6"/>
  <c r="BB204" i="6"/>
  <c r="L204" i="6"/>
  <c r="BB203" i="6"/>
  <c r="BC203" i="6" s="1"/>
  <c r="L203" i="6"/>
  <c r="BB202" i="6"/>
  <c r="L202" i="6"/>
  <c r="BB201" i="6"/>
  <c r="L201" i="6"/>
  <c r="BB200" i="6"/>
  <c r="L200" i="6"/>
  <c r="BB199" i="6"/>
  <c r="BC199" i="6"/>
  <c r="L199" i="6"/>
  <c r="BB198" i="6"/>
  <c r="L198" i="6"/>
  <c r="BB197" i="6"/>
  <c r="L197" i="6"/>
  <c r="BB196" i="6"/>
  <c r="L196" i="6"/>
  <c r="BB195" i="6"/>
  <c r="L195" i="6"/>
  <c r="BB194" i="6"/>
  <c r="L194" i="6"/>
  <c r="BB193" i="6"/>
  <c r="L193" i="6"/>
  <c r="BB192" i="6"/>
  <c r="BC192" i="6" s="1"/>
  <c r="L192" i="6"/>
  <c r="BB191" i="6"/>
  <c r="BC191" i="6"/>
  <c r="L191" i="6"/>
  <c r="BB190" i="6"/>
  <c r="BC190" i="6"/>
  <c r="L190" i="6"/>
  <c r="BB189" i="6"/>
  <c r="BC189" i="6"/>
  <c r="L189" i="6"/>
  <c r="BC188" i="6"/>
  <c r="BB188" i="6"/>
  <c r="L188" i="6"/>
  <c r="BC187" i="6"/>
  <c r="BB187" i="6"/>
  <c r="L187" i="6"/>
  <c r="BB186" i="6"/>
  <c r="BC186" i="6"/>
  <c r="L186" i="6"/>
  <c r="BB185" i="6"/>
  <c r="BC185" i="6"/>
  <c r="L185" i="6"/>
  <c r="BB184" i="6"/>
  <c r="BC184" i="6"/>
  <c r="L184" i="6"/>
  <c r="BB183" i="6"/>
  <c r="BC183" i="6" s="1"/>
  <c r="L183" i="6"/>
  <c r="BB182" i="6"/>
  <c r="BC182" i="6" s="1"/>
  <c r="L182" i="6"/>
  <c r="BB181" i="6"/>
  <c r="BC181" i="6" s="1"/>
  <c r="L181" i="6"/>
  <c r="BB180" i="6"/>
  <c r="L180" i="6"/>
  <c r="BB179" i="6"/>
  <c r="BC179" i="6" s="1"/>
  <c r="L179" i="6"/>
  <c r="BB178" i="6"/>
  <c r="BC178" i="6"/>
  <c r="L178" i="6"/>
  <c r="BB177" i="6"/>
  <c r="L177" i="6"/>
  <c r="BC176" i="6"/>
  <c r="BB176" i="6"/>
  <c r="L176" i="6"/>
  <c r="BB175" i="6"/>
  <c r="L175" i="6"/>
  <c r="BB174" i="6"/>
  <c r="L174" i="6"/>
  <c r="BB173" i="6"/>
  <c r="L173" i="6"/>
  <c r="BB172" i="6"/>
  <c r="L172" i="6"/>
  <c r="BB171" i="6"/>
  <c r="L171" i="6"/>
  <c r="BB170" i="6"/>
  <c r="L170" i="6"/>
  <c r="BB169" i="6"/>
  <c r="L169" i="6"/>
  <c r="BB168" i="6"/>
  <c r="L168" i="6"/>
  <c r="BB167" i="6"/>
  <c r="L167" i="6"/>
  <c r="BB166" i="6"/>
  <c r="L166" i="6"/>
  <c r="BB165" i="6"/>
  <c r="L165" i="6"/>
  <c r="BB164" i="6"/>
  <c r="BC164" i="6" s="1"/>
  <c r="L164" i="6"/>
  <c r="BB163" i="6"/>
  <c r="BC163" i="6" s="1"/>
  <c r="L163" i="6"/>
  <c r="BC162" i="6"/>
  <c r="BB162" i="6"/>
  <c r="L162" i="6"/>
  <c r="BB161" i="6"/>
  <c r="BC161" i="6" s="1"/>
  <c r="L161" i="6"/>
  <c r="BB160" i="6"/>
  <c r="L160" i="6"/>
  <c r="BB159" i="6"/>
  <c r="BC159" i="6"/>
  <c r="L159" i="6"/>
  <c r="BB158" i="6"/>
  <c r="BC158" i="6"/>
  <c r="L158" i="6"/>
  <c r="BB157" i="6"/>
  <c r="L157" i="6"/>
  <c r="BB156" i="6"/>
  <c r="L156" i="6"/>
  <c r="BB155" i="6"/>
  <c r="L155" i="6"/>
  <c r="BB154" i="6"/>
  <c r="L154" i="6"/>
  <c r="BB153" i="6"/>
  <c r="L153" i="6"/>
  <c r="BB152" i="6"/>
  <c r="L152" i="6"/>
  <c r="BB151" i="6"/>
  <c r="L151" i="6"/>
  <c r="BB150" i="6"/>
  <c r="BC150" i="6"/>
  <c r="L150" i="6"/>
  <c r="BB149" i="6"/>
  <c r="L149" i="6"/>
  <c r="BC148" i="6"/>
  <c r="BB148" i="6"/>
  <c r="L148" i="6"/>
  <c r="BC147" i="6"/>
  <c r="BB147" i="6"/>
  <c r="L147" i="6"/>
  <c r="BB146" i="6"/>
  <c r="BC146" i="6"/>
  <c r="L146" i="6"/>
  <c r="BB145" i="6"/>
  <c r="L145" i="6"/>
  <c r="BB144" i="6"/>
  <c r="L144" i="6"/>
  <c r="BB143" i="6"/>
  <c r="BC143" i="6" s="1"/>
  <c r="L143" i="6"/>
  <c r="BB142" i="6"/>
  <c r="L142" i="6"/>
  <c r="BB141" i="6"/>
  <c r="L141" i="6"/>
  <c r="BB140" i="6"/>
  <c r="L140" i="6"/>
  <c r="BB139" i="6"/>
  <c r="BC139" i="6" s="1"/>
  <c r="L139" i="6"/>
  <c r="BB138" i="6"/>
  <c r="L138" i="6"/>
  <c r="BB137" i="6"/>
  <c r="L137" i="6"/>
  <c r="BB136" i="6"/>
  <c r="L136" i="6"/>
  <c r="BB135" i="6"/>
  <c r="L135" i="6"/>
  <c r="BB134" i="6"/>
  <c r="L134" i="6"/>
  <c r="BB133" i="6"/>
  <c r="L133" i="6"/>
  <c r="BB132" i="6"/>
  <c r="L132" i="6"/>
  <c r="BB131" i="6"/>
  <c r="L131" i="6"/>
  <c r="BB130" i="6"/>
  <c r="L130" i="6"/>
  <c r="BB129" i="6"/>
  <c r="L129" i="6"/>
  <c r="BB128" i="6"/>
  <c r="L128" i="6"/>
  <c r="BB127" i="6"/>
  <c r="L127" i="6"/>
  <c r="BB126" i="6"/>
  <c r="L126" i="6"/>
  <c r="BB125" i="6"/>
  <c r="L125" i="6"/>
  <c r="BB124" i="6"/>
  <c r="L124" i="6"/>
  <c r="BB123" i="6"/>
  <c r="L123" i="6"/>
  <c r="BB122" i="6"/>
  <c r="L122" i="6"/>
  <c r="BB121" i="6"/>
  <c r="L121" i="6"/>
  <c r="BB120" i="6"/>
  <c r="L120" i="6"/>
  <c r="BB119" i="6"/>
  <c r="L119" i="6"/>
  <c r="BB118" i="6"/>
  <c r="L118" i="6"/>
  <c r="BB117" i="6"/>
  <c r="L117" i="6"/>
  <c r="BB116" i="6"/>
  <c r="L116" i="6"/>
  <c r="BB115" i="6"/>
  <c r="L115" i="6"/>
  <c r="BB114" i="6"/>
  <c r="L114" i="6"/>
  <c r="BB113" i="6"/>
  <c r="BC113" i="6" s="1"/>
  <c r="L113" i="6"/>
  <c r="BC112" i="6"/>
  <c r="BB112" i="6"/>
  <c r="L112" i="6"/>
  <c r="BC111" i="6"/>
  <c r="BB111" i="6"/>
  <c r="L111" i="6"/>
  <c r="BC110" i="6"/>
  <c r="BB110" i="6"/>
  <c r="L110" i="6"/>
  <c r="BC109" i="6"/>
  <c r="BB109" i="6"/>
  <c r="L109" i="6"/>
  <c r="BB108" i="6"/>
  <c r="BC108" i="6"/>
  <c r="L108" i="6"/>
  <c r="BB107" i="6"/>
  <c r="L107" i="6"/>
  <c r="BB106" i="6"/>
  <c r="BC106" i="6" s="1"/>
  <c r="L106" i="6"/>
  <c r="BB105" i="6"/>
  <c r="L105" i="6"/>
  <c r="BB104" i="6"/>
  <c r="BC104" i="6" s="1"/>
  <c r="L104" i="6"/>
  <c r="BB103" i="6"/>
  <c r="L103" i="6"/>
  <c r="BB102" i="6"/>
  <c r="BC102" i="6" s="1"/>
  <c r="L102" i="6"/>
  <c r="BB101" i="6"/>
  <c r="L101" i="6"/>
  <c r="BB100" i="6"/>
  <c r="L100" i="6"/>
  <c r="BB99" i="6"/>
  <c r="BC99" i="6"/>
  <c r="L99" i="6"/>
  <c r="BB98" i="6"/>
  <c r="L98" i="6"/>
  <c r="BB97" i="6"/>
  <c r="BC97" i="6" s="1"/>
  <c r="L97" i="6"/>
  <c r="BB96" i="6"/>
  <c r="BC96" i="6"/>
  <c r="L96" i="6"/>
  <c r="BB95" i="6"/>
  <c r="BC95" i="6" s="1"/>
  <c r="L95" i="6"/>
  <c r="BB94" i="6"/>
  <c r="L94" i="6"/>
  <c r="BB93" i="6"/>
  <c r="BC93" i="6"/>
  <c r="L93" i="6"/>
  <c r="BB92" i="6"/>
  <c r="BC92" i="6" s="1"/>
  <c r="L92" i="6"/>
  <c r="BB91" i="6"/>
  <c r="BC91" i="6"/>
  <c r="L91" i="6"/>
  <c r="BB90" i="6"/>
  <c r="BC90" i="6" s="1"/>
  <c r="L90" i="6"/>
  <c r="BB89" i="6"/>
  <c r="L89" i="6"/>
  <c r="BB88" i="6"/>
  <c r="L88" i="6"/>
  <c r="BB87" i="6"/>
  <c r="BC87" i="6" s="1"/>
  <c r="L87" i="6"/>
  <c r="BB86" i="6"/>
  <c r="BC86" i="6" s="1"/>
  <c r="L86" i="6"/>
  <c r="BB85" i="6"/>
  <c r="BC85" i="6" s="1"/>
  <c r="L85" i="6"/>
  <c r="BB84" i="6"/>
  <c r="BC84" i="6"/>
  <c r="L84" i="6"/>
  <c r="BC83" i="6"/>
  <c r="BB83" i="6"/>
  <c r="L83" i="6"/>
  <c r="BB82" i="6"/>
  <c r="BC82" i="6"/>
  <c r="L82" i="6"/>
  <c r="BB81" i="6"/>
  <c r="L81" i="6"/>
  <c r="BB80" i="6"/>
  <c r="L80" i="6"/>
  <c r="BB79" i="6"/>
  <c r="BC79" i="6"/>
  <c r="L79" i="6"/>
  <c r="BB78" i="6"/>
  <c r="L78" i="6"/>
  <c r="BB77" i="6"/>
  <c r="L77" i="6"/>
  <c r="BB76" i="6"/>
  <c r="BC76" i="6"/>
  <c r="L76" i="6"/>
  <c r="BB75" i="6"/>
  <c r="L75" i="6"/>
  <c r="BB74" i="6"/>
  <c r="BC74" i="6"/>
  <c r="L74" i="6"/>
  <c r="BB73" i="6"/>
  <c r="BC73" i="6" s="1"/>
  <c r="L73" i="6"/>
  <c r="BB72" i="6"/>
  <c r="BC72" i="6"/>
  <c r="L72" i="6"/>
  <c r="BB71" i="6"/>
  <c r="BC71" i="6"/>
  <c r="L71" i="6"/>
  <c r="BC70" i="6"/>
  <c r="BB70" i="6"/>
  <c r="L70" i="6"/>
  <c r="BB69" i="6"/>
  <c r="BC69" i="6"/>
  <c r="L69" i="6"/>
  <c r="BB68" i="6"/>
  <c r="L68" i="6"/>
  <c r="BB67" i="6"/>
  <c r="L67" i="6"/>
  <c r="BB66" i="6"/>
  <c r="BC66" i="6"/>
  <c r="L66" i="6"/>
  <c r="BB65" i="6"/>
  <c r="L65" i="6"/>
  <c r="BB64" i="6"/>
  <c r="BC64" i="6"/>
  <c r="L64" i="6"/>
  <c r="BB63" i="6"/>
  <c r="BC63" i="6" s="1"/>
  <c r="L63" i="6"/>
  <c r="BB62" i="6"/>
  <c r="BC62" i="6"/>
  <c r="L62" i="6"/>
  <c r="BB61" i="6"/>
  <c r="L61" i="6"/>
  <c r="BB60" i="6"/>
  <c r="BC60" i="6"/>
  <c r="L60" i="6"/>
  <c r="BB59" i="6"/>
  <c r="L59" i="6"/>
  <c r="BB58" i="6"/>
  <c r="BC58" i="6" s="1"/>
  <c r="L58" i="6"/>
  <c r="BB57" i="6"/>
  <c r="L57" i="6"/>
  <c r="BB56" i="6"/>
  <c r="BC56" i="6" s="1"/>
  <c r="L56" i="6"/>
  <c r="BB55" i="6"/>
  <c r="BC55" i="6"/>
  <c r="L55" i="6"/>
  <c r="BB54" i="6"/>
  <c r="L54" i="6"/>
  <c r="BB53" i="6"/>
  <c r="BC53" i="6"/>
  <c r="L53" i="6"/>
  <c r="BB52" i="6"/>
  <c r="BC52" i="6"/>
  <c r="L52" i="6"/>
  <c r="BB51" i="6"/>
  <c r="BC51" i="6"/>
  <c r="L51" i="6"/>
  <c r="BB50" i="6"/>
  <c r="L50" i="6"/>
  <c r="BB49" i="6"/>
  <c r="BC49" i="6"/>
  <c r="L49" i="6"/>
  <c r="BB48" i="6"/>
  <c r="L48" i="6"/>
  <c r="BB47" i="6"/>
  <c r="BC47" i="6" s="1"/>
  <c r="L47" i="6"/>
  <c r="BB46" i="6"/>
  <c r="L46" i="6"/>
  <c r="BB45" i="6"/>
  <c r="BC45" i="6"/>
  <c r="L45" i="6"/>
  <c r="BB44" i="6"/>
  <c r="BC44" i="6" s="1"/>
  <c r="L44" i="6"/>
  <c r="BB43" i="6"/>
  <c r="L43" i="6"/>
  <c r="BB42" i="6"/>
  <c r="BC42" i="6"/>
  <c r="L42" i="6"/>
  <c r="BB41" i="6"/>
  <c r="BC41" i="6" s="1"/>
  <c r="L41" i="6"/>
  <c r="BB40" i="6"/>
  <c r="BC40" i="6"/>
  <c r="L40" i="6"/>
  <c r="BB39" i="6"/>
  <c r="L39" i="6"/>
  <c r="BB38" i="6"/>
  <c r="BC38" i="6" s="1"/>
  <c r="L38" i="6"/>
  <c r="BB37" i="6"/>
  <c r="L37" i="6"/>
  <c r="BB36" i="6"/>
  <c r="BC36" i="6" s="1"/>
  <c r="L36" i="6"/>
  <c r="BB35" i="6"/>
  <c r="BC35" i="6"/>
  <c r="L35" i="6"/>
  <c r="BB34" i="6"/>
  <c r="BC34" i="6"/>
  <c r="L34" i="6"/>
  <c r="BB33" i="6"/>
  <c r="BC33" i="6"/>
  <c r="L33" i="6"/>
  <c r="BB32" i="6"/>
  <c r="BC32" i="6"/>
  <c r="L32" i="6"/>
  <c r="BB31" i="6"/>
  <c r="L31" i="6"/>
  <c r="BB30" i="6"/>
  <c r="L30" i="6"/>
  <c r="BB29" i="6"/>
  <c r="BC29" i="6"/>
  <c r="L29" i="6"/>
  <c r="BB28" i="6"/>
  <c r="BC28" i="6" s="1"/>
  <c r="L28" i="6"/>
  <c r="BB27" i="6"/>
  <c r="BC27" i="6"/>
  <c r="L27" i="6"/>
  <c r="BB26" i="6"/>
  <c r="BC26" i="6" s="1"/>
  <c r="L26" i="6"/>
  <c r="BB25" i="6"/>
  <c r="BC25" i="6" s="1"/>
  <c r="L25" i="6"/>
  <c r="BB24" i="6"/>
  <c r="BC24" i="6"/>
  <c r="L24" i="6"/>
  <c r="BB23" i="6"/>
  <c r="BC23" i="6" s="1"/>
  <c r="L23" i="6"/>
  <c r="BB22" i="6"/>
  <c r="BC22" i="6"/>
  <c r="L22" i="6"/>
  <c r="BB21" i="6"/>
  <c r="L21" i="6"/>
  <c r="BB20" i="6"/>
  <c r="BC20" i="6" s="1"/>
  <c r="L20" i="6"/>
  <c r="BB19" i="6"/>
  <c r="L19" i="6"/>
  <c r="BB18" i="6"/>
  <c r="BC18" i="6" s="1"/>
  <c r="L18" i="6"/>
  <c r="B18" i="6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C17" i="6"/>
  <c r="BB17" i="6"/>
  <c r="L17" i="6"/>
  <c r="D14" i="6"/>
  <c r="BC75" i="6" l="1"/>
  <c r="BC61" i="6"/>
  <c r="BC101" i="6"/>
  <c r="BC31" i="6"/>
  <c r="BC118" i="6"/>
  <c r="BC122" i="6"/>
  <c r="BC134" i="6"/>
  <c r="BC138" i="6"/>
  <c r="L363" i="6"/>
  <c r="BC54" i="6"/>
  <c r="S363" i="6"/>
  <c r="P363" i="6"/>
  <c r="BC43" i="6"/>
  <c r="BC78" i="6"/>
  <c r="BC98" i="6"/>
  <c r="BC149" i="6"/>
  <c r="BC126" i="6"/>
  <c r="U363" i="6"/>
  <c r="R363" i="6"/>
  <c r="BC19" i="6"/>
  <c r="BC67" i="6"/>
  <c r="BC169" i="6"/>
  <c r="BC30" i="6"/>
  <c r="BC81" i="6"/>
  <c r="BC100" i="6"/>
  <c r="BC117" i="6"/>
  <c r="BC121" i="6"/>
  <c r="BC125" i="6"/>
  <c r="BC129" i="6"/>
  <c r="BC133" i="6"/>
  <c r="BC137" i="6"/>
  <c r="BC141" i="6"/>
  <c r="BC145" i="6"/>
  <c r="BC151" i="6"/>
  <c r="BC155" i="6"/>
  <c r="BC157" i="6"/>
  <c r="BC130" i="6"/>
  <c r="BC142" i="6"/>
  <c r="Y363" i="6"/>
  <c r="BC50" i="6"/>
  <c r="BB363" i="6"/>
  <c r="BC57" i="6"/>
  <c r="BC68" i="6"/>
  <c r="BC77" i="6"/>
  <c r="BC89" i="6"/>
  <c r="BC103" i="6"/>
  <c r="BC114" i="6"/>
  <c r="BC363" i="6"/>
  <c r="BC65" i="6"/>
  <c r="BC80" i="6"/>
  <c r="BC116" i="6"/>
  <c r="BC120" i="6"/>
  <c r="BC124" i="6"/>
  <c r="BC128" i="6"/>
  <c r="BC132" i="6"/>
  <c r="BC136" i="6"/>
  <c r="BC140" i="6"/>
  <c r="BC144" i="6"/>
  <c r="BC156" i="6"/>
  <c r="BC160" i="6"/>
  <c r="BC46" i="6"/>
  <c r="BC21" i="6"/>
  <c r="BC39" i="6"/>
  <c r="BC48" i="6"/>
  <c r="BC88" i="6"/>
  <c r="BC115" i="6"/>
  <c r="BC119" i="6"/>
  <c r="BC123" i="6"/>
  <c r="BC127" i="6"/>
  <c r="BC131" i="6"/>
  <c r="BC135" i="6"/>
  <c r="BC209" i="6"/>
  <c r="BC231" i="6"/>
  <c r="BC257" i="6"/>
  <c r="BC174" i="6"/>
  <c r="BC180" i="6"/>
  <c r="BC198" i="6"/>
  <c r="BC202" i="6"/>
  <c r="BC265" i="6"/>
  <c r="BC59" i="6"/>
  <c r="BC152" i="6"/>
  <c r="BC171" i="6"/>
  <c r="BC177" i="6"/>
  <c r="BC194" i="6"/>
  <c r="BC195" i="6"/>
  <c r="BC201" i="6"/>
  <c r="BC204" i="6"/>
  <c r="BC208" i="6"/>
  <c r="BC228" i="6"/>
  <c r="BC242" i="6"/>
  <c r="BC260" i="6"/>
  <c r="BC292" i="6"/>
  <c r="BC305" i="6"/>
  <c r="BC94" i="6"/>
  <c r="BC168" i="6"/>
  <c r="BC200" i="6"/>
  <c r="BC233" i="6"/>
  <c r="BC339" i="6"/>
  <c r="BC37" i="6"/>
  <c r="BC107" i="6"/>
  <c r="BC153" i="6"/>
  <c r="BC165" i="6"/>
  <c r="BC172" i="6"/>
  <c r="BC173" i="6"/>
  <c r="BC193" i="6"/>
  <c r="BC196" i="6"/>
  <c r="BC197" i="6"/>
  <c r="BC207" i="6"/>
  <c r="BC211" i="6"/>
  <c r="BC229" i="6"/>
  <c r="BC230" i="6"/>
  <c r="BC261" i="6"/>
  <c r="BC268" i="6"/>
  <c r="BC154" i="6"/>
  <c r="BC170" i="6"/>
  <c r="BC227" i="6"/>
  <c r="L298" i="6"/>
  <c r="BC105" i="6"/>
  <c r="BC166" i="6"/>
  <c r="BC167" i="6"/>
  <c r="BC175" i="6"/>
  <c r="BC206" i="6"/>
  <c r="BC210" i="6"/>
  <c r="BC212" i="6"/>
  <c r="BC232" i="6"/>
  <c r="BC234" i="6"/>
  <c r="BC236" i="6"/>
  <c r="BC269" i="6"/>
  <c r="BC276" i="6"/>
  <c r="J363" i="6"/>
  <c r="L295" i="6"/>
  <c r="BC295" i="6"/>
  <c r="BC300" i="6"/>
  <c r="BC320" i="6"/>
  <c r="BC255" i="6"/>
  <c r="BC259" i="6"/>
  <c r="BC263" i="6"/>
  <c r="BC267" i="6"/>
  <c r="BC271" i="6"/>
  <c r="BC275" i="6"/>
  <c r="BC279" i="6"/>
  <c r="BC283" i="6"/>
  <c r="BC287" i="6"/>
  <c r="BC291" i="6"/>
  <c r="K363" i="6"/>
  <c r="L305" i="6"/>
  <c r="BC310" i="6"/>
  <c r="BC356" i="6"/>
  <c r="BC254" i="6"/>
  <c r="BC258" i="6"/>
  <c r="BC262" i="6"/>
  <c r="BC266" i="6"/>
  <c r="BC270" i="6"/>
  <c r="BC274" i="6"/>
  <c r="BC278" i="6"/>
  <c r="BC282" i="6"/>
  <c r="BC286" i="6"/>
  <c r="BC290" i="6"/>
  <c r="BC311" i="6"/>
  <c r="BC313" i="6"/>
  <c r="BC317" i="6"/>
  <c r="BC348" i="6"/>
  <c r="T363" i="6"/>
  <c r="Q363" i="6"/>
  <c r="BC241" i="6"/>
  <c r="BC312" i="6"/>
  <c r="BC325" i="6"/>
  <c r="BC326" i="6"/>
  <c r="BC328" i="6"/>
  <c r="BC333" i="6"/>
  <c r="BC334" i="6"/>
  <c r="BC338" i="6"/>
  <c r="BC342" i="6"/>
  <c r="BC253" i="6"/>
  <c r="BC273" i="6"/>
  <c r="BC277" i="6"/>
  <c r="BC281" i="6"/>
  <c r="BC285" i="6"/>
  <c r="BC289" i="6"/>
  <c r="BC293" i="6"/>
  <c r="BC294" i="6"/>
  <c r="BC303" i="6"/>
  <c r="BC250" i="6"/>
  <c r="BC297" i="6"/>
  <c r="BC304" i="6"/>
  <c r="L313" i="6"/>
  <c r="L314" i="6"/>
  <c r="BC315" i="6"/>
  <c r="L329" i="6"/>
  <c r="BC337" i="6"/>
  <c r="BC341" i="6"/>
  <c r="BC345" i="6"/>
  <c r="Y369" i="6" l="1"/>
  <c r="AT148" i="5" l="1"/>
  <c r="AP148" i="5"/>
  <c r="X148" i="5"/>
  <c r="W148" i="5"/>
  <c r="V148" i="5"/>
  <c r="U148" i="5"/>
  <c r="T148" i="5"/>
  <c r="S148" i="5"/>
  <c r="R148" i="5"/>
  <c r="AX147" i="5"/>
  <c r="Y147" i="5"/>
  <c r="AX146" i="5"/>
  <c r="AY146" i="5" s="1"/>
  <c r="Y146" i="5"/>
  <c r="AX145" i="5"/>
  <c r="AY145" i="5" s="1"/>
  <c r="Y145" i="5"/>
  <c r="AX144" i="5"/>
  <c r="Y144" i="5"/>
  <c r="AX143" i="5"/>
  <c r="Y143" i="5"/>
  <c r="AX142" i="5"/>
  <c r="Y142" i="5"/>
  <c r="AY142" i="5" s="1"/>
  <c r="AX141" i="5"/>
  <c r="Y141" i="5"/>
  <c r="AY140" i="5"/>
  <c r="AX140" i="5"/>
  <c r="Y140" i="5"/>
  <c r="AX139" i="5"/>
  <c r="Y139" i="5"/>
  <c r="AX138" i="5"/>
  <c r="AY138" i="5" s="1"/>
  <c r="Y138" i="5"/>
  <c r="AX137" i="5"/>
  <c r="AY137" i="5" s="1"/>
  <c r="Y137" i="5"/>
  <c r="AX136" i="5"/>
  <c r="AY136" i="5" s="1"/>
  <c r="Y136" i="5"/>
  <c r="AX135" i="5"/>
  <c r="Y135" i="5"/>
  <c r="AX134" i="5"/>
  <c r="AY134" i="5" s="1"/>
  <c r="Y134" i="5"/>
  <c r="AX133" i="5"/>
  <c r="Y133" i="5"/>
  <c r="AX132" i="5"/>
  <c r="Y132" i="5"/>
  <c r="AY132" i="5" s="1"/>
  <c r="AX131" i="5"/>
  <c r="Y131" i="5"/>
  <c r="AY131" i="5" s="1"/>
  <c r="AX130" i="5"/>
  <c r="AY130" i="5" s="1"/>
  <c r="Y130" i="5"/>
  <c r="AX129" i="5"/>
  <c r="Z129" i="5"/>
  <c r="Y129" i="5"/>
  <c r="AY129" i="5" s="1"/>
  <c r="Z128" i="5"/>
  <c r="AX128" i="5" s="1"/>
  <c r="Y128" i="5"/>
  <c r="E128" i="5"/>
  <c r="Z127" i="5"/>
  <c r="AX127" i="5" s="1"/>
  <c r="Y127" i="5"/>
  <c r="AX126" i="5"/>
  <c r="AY126" i="5" s="1"/>
  <c r="AX125" i="5"/>
  <c r="AY125" i="5" s="1"/>
  <c r="Z125" i="5"/>
  <c r="AX124" i="5"/>
  <c r="AY124" i="5" s="1"/>
  <c r="AX123" i="5"/>
  <c r="AY123" i="5" s="1"/>
  <c r="AX122" i="5"/>
  <c r="AY122" i="5" s="1"/>
  <c r="AX121" i="5"/>
  <c r="AY121" i="5" s="1"/>
  <c r="AX120" i="5"/>
  <c r="AY120" i="5" s="1"/>
  <c r="AY119" i="5"/>
  <c r="AX119" i="5"/>
  <c r="AX118" i="5"/>
  <c r="AY118" i="5" s="1"/>
  <c r="AX117" i="5"/>
  <c r="Y117" i="5"/>
  <c r="AY117" i="5" s="1"/>
  <c r="AX116" i="5"/>
  <c r="Y116" i="5"/>
  <c r="Z115" i="5"/>
  <c r="AX115" i="5" s="1"/>
  <c r="Q115" i="5"/>
  <c r="P115" i="5"/>
  <c r="Y115" i="5" s="1"/>
  <c r="L115" i="5"/>
  <c r="K115" i="5"/>
  <c r="J115" i="5"/>
  <c r="Z114" i="5"/>
  <c r="AX114" i="5" s="1"/>
  <c r="Q114" i="5"/>
  <c r="P114" i="5"/>
  <c r="Y114" i="5" s="1"/>
  <c r="L114" i="5"/>
  <c r="K114" i="5"/>
  <c r="J114" i="5"/>
  <c r="AX113" i="5"/>
  <c r="Q113" i="5"/>
  <c r="P113" i="5"/>
  <c r="Y113" i="5" s="1"/>
  <c r="AY113" i="5" s="1"/>
  <c r="L113" i="5"/>
  <c r="K113" i="5"/>
  <c r="J113" i="5"/>
  <c r="Z112" i="5"/>
  <c r="AX112" i="5" s="1"/>
  <c r="Q112" i="5"/>
  <c r="P112" i="5"/>
  <c r="Y112" i="5" s="1"/>
  <c r="L112" i="5"/>
  <c r="K112" i="5"/>
  <c r="J112" i="5"/>
  <c r="AX111" i="5"/>
  <c r="AY111" i="5" s="1"/>
  <c r="Y111" i="5"/>
  <c r="Z110" i="5"/>
  <c r="AX110" i="5" s="1"/>
  <c r="AY110" i="5" s="1"/>
  <c r="Q110" i="5"/>
  <c r="Y110" i="5" s="1"/>
  <c r="L110" i="5"/>
  <c r="K110" i="5"/>
  <c r="J110" i="5"/>
  <c r="Z109" i="5"/>
  <c r="AX109" i="5" s="1"/>
  <c r="AY109" i="5" s="1"/>
  <c r="Q109" i="5"/>
  <c r="Y109" i="5" s="1"/>
  <c r="L109" i="5"/>
  <c r="K109" i="5"/>
  <c r="J109" i="5"/>
  <c r="Z108" i="5"/>
  <c r="AX108" i="5" s="1"/>
  <c r="Q108" i="5"/>
  <c r="Y108" i="5" s="1"/>
  <c r="L108" i="5"/>
  <c r="K108" i="5"/>
  <c r="J108" i="5"/>
  <c r="AD107" i="5"/>
  <c r="Z107" i="5"/>
  <c r="AX107" i="5" s="1"/>
  <c r="P107" i="5"/>
  <c r="Y107" i="5" s="1"/>
  <c r="L107" i="5"/>
  <c r="K107" i="5"/>
  <c r="J107" i="5"/>
  <c r="Z106" i="5"/>
  <c r="AX106" i="5" s="1"/>
  <c r="Q106" i="5"/>
  <c r="Y106" i="5" s="1"/>
  <c r="L106" i="5"/>
  <c r="K106" i="5"/>
  <c r="J106" i="5"/>
  <c r="Z105" i="5"/>
  <c r="AX105" i="5" s="1"/>
  <c r="Y105" i="5"/>
  <c r="Q105" i="5"/>
  <c r="L105" i="5"/>
  <c r="K105" i="5"/>
  <c r="J105" i="5"/>
  <c r="Z104" i="5"/>
  <c r="AX104" i="5" s="1"/>
  <c r="Y104" i="5"/>
  <c r="L104" i="5"/>
  <c r="K104" i="5"/>
  <c r="J104" i="5"/>
  <c r="Z103" i="5"/>
  <c r="AX103" i="5" s="1"/>
  <c r="Q103" i="5"/>
  <c r="Y103" i="5" s="1"/>
  <c r="L103" i="5"/>
  <c r="K103" i="5"/>
  <c r="AX102" i="5"/>
  <c r="Z102" i="5"/>
  <c r="Q102" i="5"/>
  <c r="Y102" i="5" s="1"/>
  <c r="L102" i="5"/>
  <c r="K102" i="5"/>
  <c r="J102" i="5"/>
  <c r="Z101" i="5"/>
  <c r="AX101" i="5" s="1"/>
  <c r="AY101" i="5" s="1"/>
  <c r="Q101" i="5"/>
  <c r="Y101" i="5" s="1"/>
  <c r="L101" i="5"/>
  <c r="K101" i="5"/>
  <c r="AX100" i="5"/>
  <c r="Q100" i="5"/>
  <c r="Y100" i="5" s="1"/>
  <c r="AY100" i="5" s="1"/>
  <c r="L100" i="5"/>
  <c r="K100" i="5"/>
  <c r="J100" i="5"/>
  <c r="AX99" i="5"/>
  <c r="Q99" i="5"/>
  <c r="Y99" i="5" s="1"/>
  <c r="L99" i="5"/>
  <c r="K99" i="5"/>
  <c r="J99" i="5"/>
  <c r="Z98" i="5"/>
  <c r="AX98" i="5" s="1"/>
  <c r="Q98" i="5"/>
  <c r="Y98" i="5" s="1"/>
  <c r="L98" i="5"/>
  <c r="K98" i="5"/>
  <c r="J98" i="5"/>
  <c r="Z97" i="5"/>
  <c r="AX97" i="5" s="1"/>
  <c r="P97" i="5"/>
  <c r="Y97" i="5" s="1"/>
  <c r="L97" i="5"/>
  <c r="K97" i="5"/>
  <c r="Z96" i="5"/>
  <c r="AX96" i="5" s="1"/>
  <c r="AY96" i="5" s="1"/>
  <c r="Q96" i="5"/>
  <c r="P96" i="5"/>
  <c r="Y96" i="5" s="1"/>
  <c r="O96" i="5"/>
  <c r="L96" i="5"/>
  <c r="AX95" i="5"/>
  <c r="Y95" i="5"/>
  <c r="Z94" i="5"/>
  <c r="AX94" i="5" s="1"/>
  <c r="AY94" i="5" s="1"/>
  <c r="O94" i="5"/>
  <c r="Y94" i="5" s="1"/>
  <c r="L94" i="5"/>
  <c r="K94" i="5"/>
  <c r="J94" i="5"/>
  <c r="Z93" i="5"/>
  <c r="AX93" i="5" s="1"/>
  <c r="AY93" i="5" s="1"/>
  <c r="O93" i="5"/>
  <c r="Y93" i="5" s="1"/>
  <c r="L93" i="5"/>
  <c r="K93" i="5"/>
  <c r="J93" i="5"/>
  <c r="Z92" i="5"/>
  <c r="AX92" i="5" s="1"/>
  <c r="AY92" i="5" s="1"/>
  <c r="O92" i="5"/>
  <c r="Y92" i="5" s="1"/>
  <c r="L92" i="5"/>
  <c r="K92" i="5"/>
  <c r="J92" i="5"/>
  <c r="Z91" i="5"/>
  <c r="AX91" i="5" s="1"/>
  <c r="O91" i="5"/>
  <c r="Y91" i="5" s="1"/>
  <c r="L91" i="5"/>
  <c r="K91" i="5"/>
  <c r="J91" i="5"/>
  <c r="Z90" i="5"/>
  <c r="AX90" i="5" s="1"/>
  <c r="O90" i="5"/>
  <c r="Y90" i="5" s="1"/>
  <c r="L90" i="5"/>
  <c r="K90" i="5"/>
  <c r="J90" i="5"/>
  <c r="Z89" i="5"/>
  <c r="AX89" i="5" s="1"/>
  <c r="O89" i="5"/>
  <c r="Y89" i="5" s="1"/>
  <c r="L89" i="5"/>
  <c r="K89" i="5"/>
  <c r="J89" i="5"/>
  <c r="Z88" i="5"/>
  <c r="AX88" i="5" s="1"/>
  <c r="O88" i="5"/>
  <c r="Y88" i="5" s="1"/>
  <c r="L88" i="5"/>
  <c r="K88" i="5"/>
  <c r="J88" i="5"/>
  <c r="Z87" i="5"/>
  <c r="AX87" i="5" s="1"/>
  <c r="Q87" i="5"/>
  <c r="O87" i="5"/>
  <c r="N87" i="5"/>
  <c r="L87" i="5"/>
  <c r="K87" i="5"/>
  <c r="J87" i="5"/>
  <c r="Z86" i="5"/>
  <c r="AX86" i="5" s="1"/>
  <c r="AY86" i="5" s="1"/>
  <c r="O86" i="5"/>
  <c r="Y86" i="5" s="1"/>
  <c r="L86" i="5"/>
  <c r="K86" i="5"/>
  <c r="Z85" i="5"/>
  <c r="AX85" i="5" s="1"/>
  <c r="AY85" i="5" s="1"/>
  <c r="N85" i="5"/>
  <c r="Y85" i="5" s="1"/>
  <c r="L85" i="5"/>
  <c r="K85" i="5"/>
  <c r="Z84" i="5"/>
  <c r="AX84" i="5" s="1"/>
  <c r="O84" i="5"/>
  <c r="N84" i="5"/>
  <c r="M84" i="5"/>
  <c r="L84" i="5"/>
  <c r="K84" i="5"/>
  <c r="J84" i="5"/>
  <c r="Z83" i="5"/>
  <c r="AX83" i="5" s="1"/>
  <c r="Q83" i="5"/>
  <c r="O83" i="5"/>
  <c r="N83" i="5"/>
  <c r="M83" i="5"/>
  <c r="L83" i="5"/>
  <c r="K83" i="5"/>
  <c r="J83" i="5"/>
  <c r="AX82" i="5"/>
  <c r="Z82" i="5"/>
  <c r="Q82" i="5"/>
  <c r="P82" i="5"/>
  <c r="O82" i="5"/>
  <c r="M82" i="5"/>
  <c r="L82" i="5"/>
  <c r="K82" i="5"/>
  <c r="J82" i="5"/>
  <c r="Z81" i="5"/>
  <c r="AX81" i="5" s="1"/>
  <c r="O81" i="5"/>
  <c r="M81" i="5"/>
  <c r="Y81" i="5" s="1"/>
  <c r="L81" i="5"/>
  <c r="K81" i="5"/>
  <c r="J81" i="5"/>
  <c r="Z80" i="5"/>
  <c r="AX80" i="5" s="1"/>
  <c r="Q80" i="5"/>
  <c r="P80" i="5"/>
  <c r="N80" i="5"/>
  <c r="M80" i="5"/>
  <c r="L80" i="5"/>
  <c r="K80" i="5"/>
  <c r="J80" i="5"/>
  <c r="Z79" i="5"/>
  <c r="AX79" i="5" s="1"/>
  <c r="O79" i="5"/>
  <c r="N79" i="5"/>
  <c r="M79" i="5"/>
  <c r="Y79" i="5" s="1"/>
  <c r="L79" i="5"/>
  <c r="K79" i="5"/>
  <c r="J79" i="5"/>
  <c r="AX78" i="5"/>
  <c r="O78" i="5"/>
  <c r="N78" i="5"/>
  <c r="M78" i="5"/>
  <c r="L78" i="5"/>
  <c r="K78" i="5"/>
  <c r="J78" i="5"/>
  <c r="AX77" i="5"/>
  <c r="Z77" i="5"/>
  <c r="O77" i="5"/>
  <c r="N77" i="5"/>
  <c r="M77" i="5"/>
  <c r="L77" i="5"/>
  <c r="K77" i="5"/>
  <c r="J77" i="5"/>
  <c r="AD76" i="5"/>
  <c r="Z76" i="5"/>
  <c r="Q76" i="5"/>
  <c r="P76" i="5"/>
  <c r="O76" i="5"/>
  <c r="N76" i="5"/>
  <c r="M76" i="5"/>
  <c r="L76" i="5"/>
  <c r="K76" i="5"/>
  <c r="J76" i="5"/>
  <c r="AD75" i="5"/>
  <c r="AX75" i="5" s="1"/>
  <c r="Z75" i="5"/>
  <c r="Q75" i="5"/>
  <c r="P75" i="5"/>
  <c r="O75" i="5"/>
  <c r="N75" i="5"/>
  <c r="M75" i="5"/>
  <c r="K75" i="5"/>
  <c r="J75" i="5"/>
  <c r="Z74" i="5"/>
  <c r="AX74" i="5" s="1"/>
  <c r="O74" i="5"/>
  <c r="N74" i="5"/>
  <c r="M74" i="5"/>
  <c r="L74" i="5"/>
  <c r="K74" i="5"/>
  <c r="J74" i="5"/>
  <c r="Z73" i="5"/>
  <c r="AX73" i="5" s="1"/>
  <c r="O73" i="5"/>
  <c r="N73" i="5"/>
  <c r="M73" i="5"/>
  <c r="Y73" i="5" s="1"/>
  <c r="L73" i="5"/>
  <c r="K73" i="5"/>
  <c r="J73" i="5"/>
  <c r="AX72" i="5"/>
  <c r="O72" i="5"/>
  <c r="N72" i="5"/>
  <c r="Y72" i="5" s="1"/>
  <c r="M72" i="5"/>
  <c r="L72" i="5"/>
  <c r="K72" i="5"/>
  <c r="J72" i="5"/>
  <c r="AX71" i="5"/>
  <c r="Z71" i="5"/>
  <c r="O71" i="5"/>
  <c r="N71" i="5"/>
  <c r="M71" i="5"/>
  <c r="L71" i="5"/>
  <c r="K71" i="5"/>
  <c r="J71" i="5"/>
  <c r="AX70" i="5"/>
  <c r="Z70" i="5"/>
  <c r="Q70" i="5"/>
  <c r="P70" i="5"/>
  <c r="O70" i="5"/>
  <c r="N70" i="5"/>
  <c r="M70" i="5"/>
  <c r="L70" i="5"/>
  <c r="K70" i="5"/>
  <c r="J70" i="5"/>
  <c r="AD69" i="5"/>
  <c r="Z69" i="5"/>
  <c r="AX69" i="5" s="1"/>
  <c r="Q69" i="5"/>
  <c r="P69" i="5"/>
  <c r="O69" i="5"/>
  <c r="N69" i="5"/>
  <c r="M69" i="5"/>
  <c r="L69" i="5"/>
  <c r="K69" i="5"/>
  <c r="J69" i="5"/>
  <c r="AD68" i="5"/>
  <c r="Z68" i="5"/>
  <c r="AX68" i="5" s="1"/>
  <c r="Q68" i="5"/>
  <c r="O68" i="5"/>
  <c r="N68" i="5"/>
  <c r="M68" i="5"/>
  <c r="Y68" i="5" s="1"/>
  <c r="L68" i="5"/>
  <c r="K68" i="5"/>
  <c r="J68" i="5"/>
  <c r="AD67" i="5"/>
  <c r="Z67" i="5"/>
  <c r="Q67" i="5"/>
  <c r="O67" i="5"/>
  <c r="N67" i="5"/>
  <c r="M67" i="5"/>
  <c r="L67" i="5"/>
  <c r="K67" i="5"/>
  <c r="J67" i="5"/>
  <c r="Z66" i="5"/>
  <c r="AX66" i="5" s="1"/>
  <c r="O66" i="5"/>
  <c r="N66" i="5"/>
  <c r="M66" i="5"/>
  <c r="L66" i="5"/>
  <c r="K66" i="5"/>
  <c r="J66" i="5"/>
  <c r="Z65" i="5"/>
  <c r="AX65" i="5" s="1"/>
  <c r="Q65" i="5"/>
  <c r="P65" i="5"/>
  <c r="N65" i="5"/>
  <c r="M65" i="5"/>
  <c r="L65" i="5"/>
  <c r="K65" i="5"/>
  <c r="J65" i="5"/>
  <c r="Z64" i="5"/>
  <c r="AX64" i="5" s="1"/>
  <c r="O64" i="5"/>
  <c r="M64" i="5"/>
  <c r="L64" i="5"/>
  <c r="K64" i="5"/>
  <c r="J64" i="5"/>
  <c r="Z63" i="5"/>
  <c r="AX63" i="5" s="1"/>
  <c r="O63" i="5"/>
  <c r="N63" i="5"/>
  <c r="M63" i="5"/>
  <c r="L63" i="5"/>
  <c r="K63" i="5"/>
  <c r="J63" i="5"/>
  <c r="Z62" i="5"/>
  <c r="AX62" i="5" s="1"/>
  <c r="O62" i="5"/>
  <c r="Y62" i="5" s="1"/>
  <c r="N62" i="5"/>
  <c r="M62" i="5"/>
  <c r="L62" i="5"/>
  <c r="K62" i="5"/>
  <c r="J62" i="5"/>
  <c r="Z61" i="5"/>
  <c r="AX61" i="5" s="1"/>
  <c r="Q61" i="5"/>
  <c r="P61" i="5"/>
  <c r="M61" i="5"/>
  <c r="L61" i="5"/>
  <c r="K61" i="5"/>
  <c r="J61" i="5"/>
  <c r="Z60" i="5"/>
  <c r="AX60" i="5" s="1"/>
  <c r="O60" i="5"/>
  <c r="N60" i="5"/>
  <c r="M60" i="5"/>
  <c r="Y60" i="5" s="1"/>
  <c r="L60" i="5"/>
  <c r="K60" i="5"/>
  <c r="J60" i="5"/>
  <c r="Z59" i="5"/>
  <c r="AX59" i="5" s="1"/>
  <c r="O59" i="5"/>
  <c r="N59" i="5"/>
  <c r="M59" i="5"/>
  <c r="L59" i="5"/>
  <c r="K59" i="5"/>
  <c r="J59" i="5"/>
  <c r="Z58" i="5"/>
  <c r="AX58" i="5" s="1"/>
  <c r="P58" i="5"/>
  <c r="O58" i="5"/>
  <c r="N58" i="5"/>
  <c r="M58" i="5"/>
  <c r="L58" i="5"/>
  <c r="K58" i="5"/>
  <c r="J58" i="5"/>
  <c r="AD57" i="5"/>
  <c r="Z57" i="5"/>
  <c r="AX57" i="5" s="1"/>
  <c r="Q57" i="5"/>
  <c r="P57" i="5"/>
  <c r="O57" i="5"/>
  <c r="M57" i="5"/>
  <c r="L57" i="5"/>
  <c r="K57" i="5"/>
  <c r="J57" i="5"/>
  <c r="AH56" i="5"/>
  <c r="AD56" i="5"/>
  <c r="Z56" i="5"/>
  <c r="Y56" i="5"/>
  <c r="Q56" i="5"/>
  <c r="P56" i="5"/>
  <c r="O56" i="5"/>
  <c r="N56" i="5"/>
  <c r="M56" i="5"/>
  <c r="L56" i="5"/>
  <c r="K56" i="5"/>
  <c r="J56" i="5"/>
  <c r="Z55" i="5"/>
  <c r="AX55" i="5" s="1"/>
  <c r="P55" i="5"/>
  <c r="N55" i="5"/>
  <c r="M55" i="5"/>
  <c r="Y55" i="5" s="1"/>
  <c r="L55" i="5"/>
  <c r="K55" i="5"/>
  <c r="J55" i="5"/>
  <c r="AD54" i="5"/>
  <c r="Z54" i="5"/>
  <c r="AX54" i="5" s="1"/>
  <c r="Q54" i="5"/>
  <c r="O54" i="5"/>
  <c r="M54" i="5"/>
  <c r="L54" i="5"/>
  <c r="K54" i="5"/>
  <c r="J54" i="5"/>
  <c r="Z53" i="5"/>
  <c r="AX53" i="5" s="1"/>
  <c r="P53" i="5"/>
  <c r="O53" i="5"/>
  <c r="N53" i="5"/>
  <c r="M53" i="5"/>
  <c r="L53" i="5"/>
  <c r="K53" i="5"/>
  <c r="J53" i="5"/>
  <c r="Z52" i="5"/>
  <c r="AX52" i="5" s="1"/>
  <c r="Q52" i="5"/>
  <c r="P52" i="5"/>
  <c r="O52" i="5"/>
  <c r="N52" i="5"/>
  <c r="M52" i="5"/>
  <c r="L52" i="5"/>
  <c r="K52" i="5"/>
  <c r="J52" i="5"/>
  <c r="AD51" i="5"/>
  <c r="Z51" i="5"/>
  <c r="Q51" i="5"/>
  <c r="P51" i="5"/>
  <c r="O51" i="5"/>
  <c r="N51" i="5"/>
  <c r="M51" i="5"/>
  <c r="L51" i="5"/>
  <c r="K51" i="5"/>
  <c r="J51" i="5"/>
  <c r="AD50" i="5"/>
  <c r="Z50" i="5"/>
  <c r="Q50" i="5"/>
  <c r="P50" i="5"/>
  <c r="Y50" i="5" s="1"/>
  <c r="O50" i="5"/>
  <c r="N50" i="5"/>
  <c r="M50" i="5"/>
  <c r="L50" i="5"/>
  <c r="K50" i="5"/>
  <c r="J50" i="5"/>
  <c r="Z49" i="5"/>
  <c r="AX49" i="5" s="1"/>
  <c r="Q49" i="5"/>
  <c r="O49" i="5"/>
  <c r="N49" i="5"/>
  <c r="M49" i="5"/>
  <c r="L49" i="5"/>
  <c r="K49" i="5"/>
  <c r="J49" i="5"/>
  <c r="Z48" i="5"/>
  <c r="AX48" i="5" s="1"/>
  <c r="Q48" i="5"/>
  <c r="P48" i="5"/>
  <c r="O48" i="5"/>
  <c r="N48" i="5"/>
  <c r="M48" i="5"/>
  <c r="Y48" i="5" s="1"/>
  <c r="L48" i="5"/>
  <c r="K48" i="5"/>
  <c r="J48" i="5"/>
  <c r="AD47" i="5"/>
  <c r="Z47" i="5"/>
  <c r="Q47" i="5"/>
  <c r="P47" i="5"/>
  <c r="O47" i="5"/>
  <c r="N47" i="5"/>
  <c r="M47" i="5"/>
  <c r="L47" i="5"/>
  <c r="K47" i="5"/>
  <c r="J47" i="5"/>
  <c r="AX46" i="5"/>
  <c r="Z46" i="5"/>
  <c r="Q46" i="5"/>
  <c r="P46" i="5"/>
  <c r="O46" i="5"/>
  <c r="N46" i="5"/>
  <c r="M46" i="5"/>
  <c r="L46" i="5"/>
  <c r="K46" i="5"/>
  <c r="J46" i="5"/>
  <c r="AX45" i="5"/>
  <c r="AD45" i="5"/>
  <c r="Z45" i="5"/>
  <c r="Q45" i="5"/>
  <c r="P45" i="5"/>
  <c r="N45" i="5"/>
  <c r="M45" i="5"/>
  <c r="L45" i="5"/>
  <c r="K45" i="5"/>
  <c r="J45" i="5"/>
  <c r="Z44" i="5"/>
  <c r="AX44" i="5" s="1"/>
  <c r="O44" i="5"/>
  <c r="M44" i="5"/>
  <c r="Y44" i="5" s="1"/>
  <c r="L44" i="5"/>
  <c r="K44" i="5"/>
  <c r="J44" i="5"/>
  <c r="Z43" i="5"/>
  <c r="AX43" i="5" s="1"/>
  <c r="O43" i="5"/>
  <c r="N43" i="5"/>
  <c r="M43" i="5"/>
  <c r="L43" i="5"/>
  <c r="K43" i="5"/>
  <c r="J43" i="5"/>
  <c r="Z42" i="5"/>
  <c r="AX42" i="5" s="1"/>
  <c r="Q42" i="5"/>
  <c r="P42" i="5"/>
  <c r="O42" i="5"/>
  <c r="N42" i="5"/>
  <c r="M42" i="5"/>
  <c r="L42" i="5"/>
  <c r="K42" i="5"/>
  <c r="J42" i="5"/>
  <c r="Z41" i="5"/>
  <c r="AX41" i="5" s="1"/>
  <c r="O41" i="5"/>
  <c r="N41" i="5"/>
  <c r="M41" i="5"/>
  <c r="L41" i="5"/>
  <c r="K41" i="5"/>
  <c r="J41" i="5"/>
  <c r="Z40" i="5"/>
  <c r="AX40" i="5" s="1"/>
  <c r="O40" i="5"/>
  <c r="N40" i="5"/>
  <c r="M40" i="5"/>
  <c r="L40" i="5"/>
  <c r="K40" i="5"/>
  <c r="J40" i="5"/>
  <c r="Z39" i="5"/>
  <c r="AX39" i="5" s="1"/>
  <c r="Q39" i="5"/>
  <c r="P39" i="5"/>
  <c r="O39" i="5"/>
  <c r="M39" i="5"/>
  <c r="L39" i="5"/>
  <c r="K39" i="5"/>
  <c r="J39" i="5"/>
  <c r="Z38" i="5"/>
  <c r="AX38" i="5" s="1"/>
  <c r="Q38" i="5"/>
  <c r="P38" i="5"/>
  <c r="O38" i="5"/>
  <c r="N38" i="5"/>
  <c r="M38" i="5"/>
  <c r="L38" i="5"/>
  <c r="K38" i="5"/>
  <c r="J38" i="5"/>
  <c r="Z37" i="5"/>
  <c r="AX37" i="5" s="1"/>
  <c r="O37" i="5"/>
  <c r="N37" i="5"/>
  <c r="M37" i="5"/>
  <c r="Y37" i="5" s="1"/>
  <c r="L37" i="5"/>
  <c r="K37" i="5"/>
  <c r="J37" i="5"/>
  <c r="Z36" i="5"/>
  <c r="AX36" i="5" s="1"/>
  <c r="Q36" i="5"/>
  <c r="P36" i="5"/>
  <c r="O36" i="5"/>
  <c r="M36" i="5"/>
  <c r="L36" i="5"/>
  <c r="K36" i="5"/>
  <c r="J36" i="5"/>
  <c r="Z35" i="5"/>
  <c r="AX35" i="5" s="1"/>
  <c r="O35" i="5"/>
  <c r="N35" i="5"/>
  <c r="M35" i="5"/>
  <c r="L35" i="5"/>
  <c r="K35" i="5"/>
  <c r="J35" i="5"/>
  <c r="Z34" i="5"/>
  <c r="AX34" i="5" s="1"/>
  <c r="Q34" i="5"/>
  <c r="P34" i="5"/>
  <c r="M34" i="5"/>
  <c r="L34" i="5"/>
  <c r="K34" i="5"/>
  <c r="J34" i="5"/>
  <c r="Z33" i="5"/>
  <c r="AX33" i="5" s="1"/>
  <c r="Q33" i="5"/>
  <c r="O33" i="5"/>
  <c r="N33" i="5"/>
  <c r="Y33" i="5" s="1"/>
  <c r="M33" i="5"/>
  <c r="L33" i="5"/>
  <c r="K33" i="5"/>
  <c r="J33" i="5"/>
  <c r="AX32" i="5"/>
  <c r="Z32" i="5"/>
  <c r="P32" i="5"/>
  <c r="O32" i="5"/>
  <c r="M32" i="5"/>
  <c r="L32" i="5"/>
  <c r="K32" i="5"/>
  <c r="J32" i="5"/>
  <c r="AX31" i="5"/>
  <c r="Z31" i="5"/>
  <c r="Q31" i="5"/>
  <c r="P31" i="5"/>
  <c r="Y31" i="5" s="1"/>
  <c r="N31" i="5"/>
  <c r="M31" i="5"/>
  <c r="L31" i="5"/>
  <c r="K31" i="5"/>
  <c r="J31" i="5"/>
  <c r="Z30" i="5"/>
  <c r="AX30" i="5" s="1"/>
  <c r="O30" i="5"/>
  <c r="N30" i="5"/>
  <c r="M30" i="5"/>
  <c r="L30" i="5"/>
  <c r="K30" i="5"/>
  <c r="J30" i="5"/>
  <c r="Z29" i="5"/>
  <c r="AX29" i="5" s="1"/>
  <c r="Q29" i="5"/>
  <c r="P29" i="5"/>
  <c r="N29" i="5"/>
  <c r="N148" i="5" s="1"/>
  <c r="M29" i="5"/>
  <c r="L29" i="5"/>
  <c r="K29" i="5"/>
  <c r="J29" i="5"/>
  <c r="AX28" i="5"/>
  <c r="Z28" i="5"/>
  <c r="O28" i="5"/>
  <c r="M28" i="5"/>
  <c r="Y28" i="5" s="1"/>
  <c r="L28" i="5"/>
  <c r="K28" i="5"/>
  <c r="J28" i="5"/>
  <c r="Z27" i="5"/>
  <c r="AX27" i="5" s="1"/>
  <c r="Q27" i="5"/>
  <c r="Y27" i="5" s="1"/>
  <c r="P27" i="5"/>
  <c r="M27" i="5"/>
  <c r="L27" i="5"/>
  <c r="K27" i="5"/>
  <c r="J27" i="5"/>
  <c r="Z26" i="5"/>
  <c r="AX26" i="5" s="1"/>
  <c r="O26" i="5"/>
  <c r="Y26" i="5" s="1"/>
  <c r="L26" i="5"/>
  <c r="K26" i="5"/>
  <c r="J26" i="5"/>
  <c r="AL25" i="5"/>
  <c r="AL148" i="5" s="1"/>
  <c r="AD25" i="5"/>
  <c r="Z25" i="5"/>
  <c r="Q25" i="5"/>
  <c r="Y25" i="5" s="1"/>
  <c r="L25" i="5"/>
  <c r="K25" i="5"/>
  <c r="J25" i="5"/>
  <c r="AL24" i="5"/>
  <c r="AD24" i="5"/>
  <c r="Z24" i="5"/>
  <c r="Q24" i="5"/>
  <c r="P24" i="5"/>
  <c r="L24" i="5"/>
  <c r="K24" i="5"/>
  <c r="J24" i="5"/>
  <c r="Z23" i="5"/>
  <c r="AX23" i="5" s="1"/>
  <c r="AY23" i="5" s="1"/>
  <c r="Y23" i="5"/>
  <c r="L23" i="5"/>
  <c r="K23" i="5"/>
  <c r="Z22" i="5"/>
  <c r="AX22" i="5" s="1"/>
  <c r="AY22" i="5" s="1"/>
  <c r="Q22" i="5"/>
  <c r="P22" i="5"/>
  <c r="Y22" i="5" s="1"/>
  <c r="L22" i="5"/>
  <c r="K22" i="5"/>
  <c r="J22" i="5"/>
  <c r="AD21" i="5"/>
  <c r="Z21" i="5"/>
  <c r="Y21" i="5"/>
  <c r="L21" i="5"/>
  <c r="K21" i="5"/>
  <c r="J21" i="5"/>
  <c r="Z20" i="5"/>
  <c r="AX20" i="5" s="1"/>
  <c r="Q20" i="5"/>
  <c r="P20" i="5"/>
  <c r="L20" i="5"/>
  <c r="K20" i="5"/>
  <c r="J20" i="5"/>
  <c r="Z19" i="5"/>
  <c r="AX19" i="5" s="1"/>
  <c r="AY19" i="5" s="1"/>
  <c r="Y19" i="5"/>
  <c r="L19" i="5"/>
  <c r="K19" i="5"/>
  <c r="J19" i="5"/>
  <c r="Z18" i="5"/>
  <c r="AX18" i="5" s="1"/>
  <c r="Q18" i="5"/>
  <c r="P18" i="5"/>
  <c r="O18" i="5"/>
  <c r="O148" i="5" s="1"/>
  <c r="L18" i="5"/>
  <c r="K18" i="5"/>
  <c r="J18" i="5"/>
  <c r="Z17" i="5"/>
  <c r="AX17" i="5" s="1"/>
  <c r="P17" i="5"/>
  <c r="Y17" i="5" s="1"/>
  <c r="L17" i="5"/>
  <c r="K17" i="5"/>
  <c r="J17" i="5"/>
  <c r="AH16" i="5"/>
  <c r="AD16" i="5"/>
  <c r="Z16" i="5"/>
  <c r="Q16" i="5"/>
  <c r="Y16" i="5" s="1"/>
  <c r="L16" i="5"/>
  <c r="K16" i="5"/>
  <c r="K148" i="5" s="1"/>
  <c r="J16" i="5"/>
  <c r="AY72" i="5" l="1"/>
  <c r="AY57" i="5"/>
  <c r="AY34" i="5"/>
  <c r="AY37" i="5"/>
  <c r="Y40" i="5"/>
  <c r="Y46" i="5"/>
  <c r="AX50" i="5"/>
  <c r="AY50" i="5" s="1"/>
  <c r="Y52" i="5"/>
  <c r="AY52" i="5" s="1"/>
  <c r="Y67" i="5"/>
  <c r="AY67" i="5" s="1"/>
  <c r="Y71" i="5"/>
  <c r="Y84" i="5"/>
  <c r="Y87" i="5"/>
  <c r="AY88" i="5"/>
  <c r="AY95" i="5"/>
  <c r="AY98" i="5"/>
  <c r="AY116" i="5"/>
  <c r="AY128" i="5"/>
  <c r="AY141" i="5"/>
  <c r="AY31" i="5"/>
  <c r="AY42" i="5"/>
  <c r="Y70" i="5"/>
  <c r="AX21" i="5"/>
  <c r="AY21" i="5" s="1"/>
  <c r="Y49" i="5"/>
  <c r="AY49" i="5" s="1"/>
  <c r="AX51" i="5"/>
  <c r="AY51" i="5" s="1"/>
  <c r="Y53" i="5"/>
  <c r="Y58" i="5"/>
  <c r="Y64" i="5"/>
  <c r="Y65" i="5"/>
  <c r="Y74" i="5"/>
  <c r="Y77" i="5"/>
  <c r="Y80" i="5"/>
  <c r="AY135" i="5"/>
  <c r="AY139" i="5"/>
  <c r="L148" i="5"/>
  <c r="AY60" i="5"/>
  <c r="AY107" i="5"/>
  <c r="Z148" i="5"/>
  <c r="Y20" i="5"/>
  <c r="Y24" i="5"/>
  <c r="Y36" i="5"/>
  <c r="AY36" i="5" s="1"/>
  <c r="Y45" i="5"/>
  <c r="Y54" i="5"/>
  <c r="AY54" i="5" s="1"/>
  <c r="Y63" i="5"/>
  <c r="Y66" i="5"/>
  <c r="AY66" i="5" s="1"/>
  <c r="Y69" i="5"/>
  <c r="AY69" i="5" s="1"/>
  <c r="Y78" i="5"/>
  <c r="AY78" i="5" s="1"/>
  <c r="Y83" i="5"/>
  <c r="AY106" i="5"/>
  <c r="AY127" i="5"/>
  <c r="AY28" i="5"/>
  <c r="AY33" i="5"/>
  <c r="AY45" i="5"/>
  <c r="Y35" i="5"/>
  <c r="AY35" i="5" s="1"/>
  <c r="AY75" i="5"/>
  <c r="Y76" i="5"/>
  <c r="AY83" i="5"/>
  <c r="AY40" i="5"/>
  <c r="AD148" i="5"/>
  <c r="Y42" i="5"/>
  <c r="AY71" i="5"/>
  <c r="AH148" i="5"/>
  <c r="AX24" i="5"/>
  <c r="Y29" i="5"/>
  <c r="Y148" i="5" s="1"/>
  <c r="Y30" i="5"/>
  <c r="AY30" i="5" s="1"/>
  <c r="Y32" i="5"/>
  <c r="AY32" i="5" s="1"/>
  <c r="Y38" i="5"/>
  <c r="AY38" i="5" s="1"/>
  <c r="Y41" i="5"/>
  <c r="AY41" i="5" s="1"/>
  <c r="AX47" i="5"/>
  <c r="AY47" i="5" s="1"/>
  <c r="Y51" i="5"/>
  <c r="Y57" i="5"/>
  <c r="Y61" i="5"/>
  <c r="AY61" i="5" s="1"/>
  <c r="AX67" i="5"/>
  <c r="AX76" i="5"/>
  <c r="AY105" i="5"/>
  <c r="AY133" i="5"/>
  <c r="AY143" i="5"/>
  <c r="AY147" i="5"/>
  <c r="AY68" i="5"/>
  <c r="AY115" i="5"/>
  <c r="Y34" i="5"/>
  <c r="Y39" i="5"/>
  <c r="AY39" i="5" s="1"/>
  <c r="Y43" i="5"/>
  <c r="AY43" i="5" s="1"/>
  <c r="Y47" i="5"/>
  <c r="AX56" i="5"/>
  <c r="AY56" i="5" s="1"/>
  <c r="Y59" i="5"/>
  <c r="AY59" i="5" s="1"/>
  <c r="Y75" i="5"/>
  <c r="Y82" i="5"/>
  <c r="AY82" i="5" s="1"/>
  <c r="AY104" i="5"/>
  <c r="AY112" i="5"/>
  <c r="AY144" i="5"/>
  <c r="AY17" i="5"/>
  <c r="AY90" i="5"/>
  <c r="AY103" i="5"/>
  <c r="AY26" i="5"/>
  <c r="AY46" i="5"/>
  <c r="AY58" i="5"/>
  <c r="AY74" i="5"/>
  <c r="AY81" i="5"/>
  <c r="AY84" i="5"/>
  <c r="AY87" i="5"/>
  <c r="AY97" i="5"/>
  <c r="AY27" i="5"/>
  <c r="AY70" i="5"/>
  <c r="AY79" i="5"/>
  <c r="AY20" i="5"/>
  <c r="AY24" i="5"/>
  <c r="AY53" i="5"/>
  <c r="AY55" i="5"/>
  <c r="AY64" i="5"/>
  <c r="AY65" i="5"/>
  <c r="AY76" i="5"/>
  <c r="AY80" i="5"/>
  <c r="AY89" i="5"/>
  <c r="AY99" i="5"/>
  <c r="AY73" i="5"/>
  <c r="AY48" i="5"/>
  <c r="AY63" i="5"/>
  <c r="AY77" i="5"/>
  <c r="AY102" i="5"/>
  <c r="AY44" i="5"/>
  <c r="AY62" i="5"/>
  <c r="AY91" i="5"/>
  <c r="AY108" i="5"/>
  <c r="AY114" i="5"/>
  <c r="M148" i="5"/>
  <c r="AX16" i="5"/>
  <c r="Y18" i="5"/>
  <c r="AY18" i="5" s="1"/>
  <c r="P148" i="5"/>
  <c r="AX25" i="5"/>
  <c r="AY25" i="5" s="1"/>
  <c r="Q148" i="5"/>
  <c r="AY29" i="5" l="1"/>
  <c r="E13" i="5"/>
  <c r="AX148" i="5"/>
  <c r="AY16" i="5"/>
  <c r="AY148" i="5" l="1"/>
  <c r="BF113" i="4" l="1"/>
  <c r="BB111" i="4"/>
  <c r="AX111" i="4"/>
  <c r="AT111" i="4"/>
  <c r="AP111" i="4"/>
  <c r="AL111" i="4"/>
  <c r="AH111" i="4"/>
  <c r="AD111" i="4"/>
  <c r="Z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BF110" i="4"/>
  <c r="BG110" i="4" s="1"/>
  <c r="Y110" i="4"/>
  <c r="BF109" i="4"/>
  <c r="BG109" i="4" s="1"/>
  <c r="Y109" i="4"/>
  <c r="BG108" i="4"/>
  <c r="BF108" i="4"/>
  <c r="Y108" i="4"/>
  <c r="BF107" i="4"/>
  <c r="BG107" i="4" s="1"/>
  <c r="Y107" i="4"/>
  <c r="BG106" i="4"/>
  <c r="BF106" i="4"/>
  <c r="Y106" i="4"/>
  <c r="BG105" i="4"/>
  <c r="BF105" i="4"/>
  <c r="Y105" i="4"/>
  <c r="BF104" i="4"/>
  <c r="Y104" i="4"/>
  <c r="BG104" i="4" s="1"/>
  <c r="BG103" i="4"/>
  <c r="BF103" i="4"/>
  <c r="Y103" i="4"/>
  <c r="BF102" i="4"/>
  <c r="Y102" i="4"/>
  <c r="BG102" i="4" s="1"/>
  <c r="BG101" i="4"/>
  <c r="BF101" i="4"/>
  <c r="Y101" i="4"/>
  <c r="BF100" i="4"/>
  <c r="Y100" i="4"/>
  <c r="BG100" i="4" s="1"/>
  <c r="BG99" i="4"/>
  <c r="BF99" i="4"/>
  <c r="Y99" i="4"/>
  <c r="BF98" i="4"/>
  <c r="Y98" i="4"/>
  <c r="BG98" i="4" s="1"/>
  <c r="BG97" i="4"/>
  <c r="BF97" i="4"/>
  <c r="Y97" i="4"/>
  <c r="BF96" i="4"/>
  <c r="Y96" i="4"/>
  <c r="BG96" i="4" s="1"/>
  <c r="BG95" i="4"/>
  <c r="BF95" i="4"/>
  <c r="Y95" i="4"/>
  <c r="BF94" i="4"/>
  <c r="Y94" i="4"/>
  <c r="BG94" i="4" s="1"/>
  <c r="BG93" i="4"/>
  <c r="BF93" i="4"/>
  <c r="Y93" i="4"/>
  <c r="BF92" i="4"/>
  <c r="Y92" i="4"/>
  <c r="BG92" i="4" s="1"/>
  <c r="BG91" i="4"/>
  <c r="BF91" i="4"/>
  <c r="Y91" i="4"/>
  <c r="BF90" i="4"/>
  <c r="Y90" i="4"/>
  <c r="BG90" i="4" s="1"/>
  <c r="BG89" i="4"/>
  <c r="BF89" i="4"/>
  <c r="Y89" i="4"/>
  <c r="BF88" i="4"/>
  <c r="Y88" i="4"/>
  <c r="BG88" i="4" s="1"/>
  <c r="BG87" i="4"/>
  <c r="BF87" i="4"/>
  <c r="Y87" i="4"/>
  <c r="BF86" i="4"/>
  <c r="Y86" i="4"/>
  <c r="BG86" i="4" s="1"/>
  <c r="BG85" i="4"/>
  <c r="BF85" i="4"/>
  <c r="Y85" i="4"/>
  <c r="BF84" i="4"/>
  <c r="Y84" i="4"/>
  <c r="BG84" i="4" s="1"/>
  <c r="BG83" i="4"/>
  <c r="BF83" i="4"/>
  <c r="Y83" i="4"/>
  <c r="BF82" i="4"/>
  <c r="Y82" i="4"/>
  <c r="BG82" i="4" s="1"/>
  <c r="BG81" i="4"/>
  <c r="BF81" i="4"/>
  <c r="Y81" i="4"/>
  <c r="BF80" i="4"/>
  <c r="BG80" i="4" s="1"/>
  <c r="Y80" i="4"/>
  <c r="BG79" i="4"/>
  <c r="BF79" i="4"/>
  <c r="Y79" i="4"/>
  <c r="BF78" i="4"/>
  <c r="BG78" i="4" s="1"/>
  <c r="Y78" i="4"/>
  <c r="BG77" i="4"/>
  <c r="BF77" i="4"/>
  <c r="Y77" i="4"/>
  <c r="BF76" i="4"/>
  <c r="BG76" i="4" s="1"/>
  <c r="Y76" i="4"/>
  <c r="BG75" i="4"/>
  <c r="BF75" i="4"/>
  <c r="Y75" i="4"/>
  <c r="BF74" i="4"/>
  <c r="BG74" i="4" s="1"/>
  <c r="Y74" i="4"/>
  <c r="BG73" i="4"/>
  <c r="BF73" i="4"/>
  <c r="Y73" i="4"/>
  <c r="BF72" i="4"/>
  <c r="BG72" i="4" s="1"/>
  <c r="Y72" i="4"/>
  <c r="BG71" i="4"/>
  <c r="BF71" i="4"/>
  <c r="Y71" i="4"/>
  <c r="BF70" i="4"/>
  <c r="BG70" i="4" s="1"/>
  <c r="Y70" i="4"/>
  <c r="BG69" i="4"/>
  <c r="BF69" i="4"/>
  <c r="Y69" i="4"/>
  <c r="BF68" i="4"/>
  <c r="BG68" i="4" s="1"/>
  <c r="Y68" i="4"/>
  <c r="BG67" i="4"/>
  <c r="BF67" i="4"/>
  <c r="Y67" i="4"/>
  <c r="BF66" i="4"/>
  <c r="BG66" i="4" s="1"/>
  <c r="Y66" i="4"/>
  <c r="BG65" i="4"/>
  <c r="BF65" i="4"/>
  <c r="Y65" i="4"/>
  <c r="BF64" i="4"/>
  <c r="BG64" i="4" s="1"/>
  <c r="Y64" i="4"/>
  <c r="BF63" i="4"/>
  <c r="BG63" i="4" s="1"/>
  <c r="Y63" i="4"/>
  <c r="BF62" i="4"/>
  <c r="BG62" i="4" s="1"/>
  <c r="Y62" i="4"/>
  <c r="BF61" i="4"/>
  <c r="BG61" i="4" s="1"/>
  <c r="Y61" i="4"/>
  <c r="BF60" i="4"/>
  <c r="BG60" i="4" s="1"/>
  <c r="Y60" i="4"/>
  <c r="BF59" i="4"/>
  <c r="BG59" i="4" s="1"/>
  <c r="Y59" i="4"/>
  <c r="BF58" i="4"/>
  <c r="BG58" i="4" s="1"/>
  <c r="Y58" i="4"/>
  <c r="BF57" i="4"/>
  <c r="BG57" i="4" s="1"/>
  <c r="Y57" i="4"/>
  <c r="BF56" i="4"/>
  <c r="BG56" i="4" s="1"/>
  <c r="Y56" i="4"/>
  <c r="BF55" i="4"/>
  <c r="BG55" i="4" s="1"/>
  <c r="Y55" i="4"/>
  <c r="BF54" i="4"/>
  <c r="BG54" i="4" s="1"/>
  <c r="Y54" i="4"/>
  <c r="BF53" i="4"/>
  <c r="BG53" i="4" s="1"/>
  <c r="Y53" i="4"/>
  <c r="BF52" i="4"/>
  <c r="BG52" i="4" s="1"/>
  <c r="Y52" i="4"/>
  <c r="BF51" i="4"/>
  <c r="BG51" i="4" s="1"/>
  <c r="Y51" i="4"/>
  <c r="BF50" i="4"/>
  <c r="BG50" i="4" s="1"/>
  <c r="Y50" i="4"/>
  <c r="BF49" i="4"/>
  <c r="BG49" i="4" s="1"/>
  <c r="Y49" i="4"/>
  <c r="BF48" i="4"/>
  <c r="BG48" i="4" s="1"/>
  <c r="Y48" i="4"/>
  <c r="BF47" i="4"/>
  <c r="BG47" i="4" s="1"/>
  <c r="Y47" i="4"/>
  <c r="BF46" i="4"/>
  <c r="BG46" i="4" s="1"/>
  <c r="Y46" i="4"/>
  <c r="BF45" i="4"/>
  <c r="BG45" i="4" s="1"/>
  <c r="Y45" i="4"/>
  <c r="BF44" i="4"/>
  <c r="BG44" i="4" s="1"/>
  <c r="Y44" i="4"/>
  <c r="BF43" i="4"/>
  <c r="BG43" i="4" s="1"/>
  <c r="Y43" i="4"/>
  <c r="BF42" i="4"/>
  <c r="BG42" i="4" s="1"/>
  <c r="Y42" i="4"/>
  <c r="BF41" i="4"/>
  <c r="BG41" i="4" s="1"/>
  <c r="Y41" i="4"/>
  <c r="BF40" i="4"/>
  <c r="BG40" i="4" s="1"/>
  <c r="Y40" i="4"/>
  <c r="BF39" i="4"/>
  <c r="BG39" i="4" s="1"/>
  <c r="Y39" i="4"/>
  <c r="BF38" i="4"/>
  <c r="BG38" i="4" s="1"/>
  <c r="Y38" i="4"/>
  <c r="BF37" i="4"/>
  <c r="BG37" i="4" s="1"/>
  <c r="Y37" i="4"/>
  <c r="BF36" i="4"/>
  <c r="BG36" i="4" s="1"/>
  <c r="Y36" i="4"/>
  <c r="BF35" i="4"/>
  <c r="BG35" i="4" s="1"/>
  <c r="Y35" i="4"/>
  <c r="BF34" i="4"/>
  <c r="BG34" i="4" s="1"/>
  <c r="Y34" i="4"/>
  <c r="BF33" i="4"/>
  <c r="BG33" i="4" s="1"/>
  <c r="Y33" i="4"/>
  <c r="BF32" i="4"/>
  <c r="BG32" i="4" s="1"/>
  <c r="Y32" i="4"/>
  <c r="BF31" i="4"/>
  <c r="BG31" i="4" s="1"/>
  <c r="Y31" i="4"/>
  <c r="BF30" i="4"/>
  <c r="BG30" i="4" s="1"/>
  <c r="Y30" i="4"/>
  <c r="BF29" i="4"/>
  <c r="BG29" i="4" s="1"/>
  <c r="Y29" i="4"/>
  <c r="BF28" i="4"/>
  <c r="BG28" i="4" s="1"/>
  <c r="Y28" i="4"/>
  <c r="BF27" i="4"/>
  <c r="BG27" i="4" s="1"/>
  <c r="Y27" i="4"/>
  <c r="BF26" i="4"/>
  <c r="BG26" i="4" s="1"/>
  <c r="Y26" i="4"/>
  <c r="BF25" i="4"/>
  <c r="BG25" i="4" s="1"/>
  <c r="Y25" i="4"/>
  <c r="BF24" i="4"/>
  <c r="BG24" i="4" s="1"/>
  <c r="Y24" i="4"/>
  <c r="BF23" i="4"/>
  <c r="BG23" i="4" s="1"/>
  <c r="Y23" i="4"/>
  <c r="BF22" i="4"/>
  <c r="BG22" i="4" s="1"/>
  <c r="Y22" i="4"/>
  <c r="BF21" i="4"/>
  <c r="BG21" i="4" s="1"/>
  <c r="Y21" i="4"/>
  <c r="BF20" i="4"/>
  <c r="BG20" i="4" s="1"/>
  <c r="Y20" i="4"/>
  <c r="BF19" i="4"/>
  <c r="BG19" i="4" s="1"/>
  <c r="Y19" i="4"/>
  <c r="BF18" i="4"/>
  <c r="BG18" i="4" s="1"/>
  <c r="Y18" i="4"/>
  <c r="BF17" i="4"/>
  <c r="BG17" i="4" s="1"/>
  <c r="Y17" i="4"/>
  <c r="B17" i="4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F16" i="4"/>
  <c r="BF111" i="4" s="1"/>
  <c r="Y16" i="4"/>
  <c r="Y111" i="4" s="1"/>
  <c r="E13" i="4" s="1"/>
  <c r="AP94" i="3"/>
  <c r="AL94" i="3"/>
  <c r="AH94" i="3"/>
  <c r="AD94" i="3"/>
  <c r="Z94" i="3"/>
  <c r="X94" i="3"/>
  <c r="W94" i="3"/>
  <c r="V94" i="3"/>
  <c r="U94" i="3"/>
  <c r="T94" i="3"/>
  <c r="S94" i="3"/>
  <c r="L94" i="3"/>
  <c r="K94" i="3"/>
  <c r="J94" i="3"/>
  <c r="AT93" i="3"/>
  <c r="AU93" i="3" s="1"/>
  <c r="AT92" i="3"/>
  <c r="AU92" i="3" s="1"/>
  <c r="AU91" i="3"/>
  <c r="AT91" i="3"/>
  <c r="AT90" i="3"/>
  <c r="AU90" i="3" s="1"/>
  <c r="AT89" i="3"/>
  <c r="AU89" i="3" s="1"/>
  <c r="Y89" i="3"/>
  <c r="AU88" i="3"/>
  <c r="AT88" i="3"/>
  <c r="Y88" i="3"/>
  <c r="AT87" i="3"/>
  <c r="AU87" i="3" s="1"/>
  <c r="Y87" i="3"/>
  <c r="AU86" i="3"/>
  <c r="AT86" i="3"/>
  <c r="Y86" i="3"/>
  <c r="AU85" i="3"/>
  <c r="AT85" i="3"/>
  <c r="Y85" i="3"/>
  <c r="AT84" i="3"/>
  <c r="Y84" i="3"/>
  <c r="AU84" i="3" s="1"/>
  <c r="AT83" i="3"/>
  <c r="AU83" i="3" s="1"/>
  <c r="Y83" i="3"/>
  <c r="AT82" i="3"/>
  <c r="AU82" i="3" s="1"/>
  <c r="Y82" i="3"/>
  <c r="AT81" i="3"/>
  <c r="AU81" i="3" s="1"/>
  <c r="Y81" i="3"/>
  <c r="AU80" i="3"/>
  <c r="AT80" i="3"/>
  <c r="Y80" i="3"/>
  <c r="AT79" i="3"/>
  <c r="AU79" i="3" s="1"/>
  <c r="Y79" i="3"/>
  <c r="AU78" i="3"/>
  <c r="AT78" i="3"/>
  <c r="Y78" i="3"/>
  <c r="AU77" i="3"/>
  <c r="AT77" i="3"/>
  <c r="Y77" i="3"/>
  <c r="AT76" i="3"/>
  <c r="AU76" i="3" s="1"/>
  <c r="Y76" i="3"/>
  <c r="AT75" i="3"/>
  <c r="AU75" i="3" s="1"/>
  <c r="Y75" i="3"/>
  <c r="AT74" i="3"/>
  <c r="AU74" i="3" s="1"/>
  <c r="Y74" i="3"/>
  <c r="AT73" i="3"/>
  <c r="AU73" i="3" s="1"/>
  <c r="Y73" i="3"/>
  <c r="AU72" i="3"/>
  <c r="AT72" i="3"/>
  <c r="Y72" i="3"/>
  <c r="AT71" i="3"/>
  <c r="AU71" i="3" s="1"/>
  <c r="Y71" i="3"/>
  <c r="AU70" i="3"/>
  <c r="AT70" i="3"/>
  <c r="Y70" i="3"/>
  <c r="AU69" i="3"/>
  <c r="AT69" i="3"/>
  <c r="Y69" i="3"/>
  <c r="AT68" i="3"/>
  <c r="AU68" i="3" s="1"/>
  <c r="Y68" i="3"/>
  <c r="AT67" i="3"/>
  <c r="AU67" i="3" s="1"/>
  <c r="Y67" i="3"/>
  <c r="AT66" i="3"/>
  <c r="AU66" i="3" s="1"/>
  <c r="Y66" i="3"/>
  <c r="AT65" i="3"/>
  <c r="AU65" i="3" s="1"/>
  <c r="Y65" i="3"/>
  <c r="AU64" i="3"/>
  <c r="AT64" i="3"/>
  <c r="Y64" i="3"/>
  <c r="AT63" i="3"/>
  <c r="AU63" i="3" s="1"/>
  <c r="P63" i="3"/>
  <c r="Y63" i="3" s="1"/>
  <c r="AT62" i="3"/>
  <c r="AU62" i="3" s="1"/>
  <c r="Y62" i="3"/>
  <c r="R62" i="3"/>
  <c r="Q62" i="3"/>
  <c r="P62" i="3"/>
  <c r="AT61" i="3"/>
  <c r="AU61" i="3" s="1"/>
  <c r="Y61" i="3"/>
  <c r="AT60" i="3"/>
  <c r="R60" i="3"/>
  <c r="Q60" i="3"/>
  <c r="O60" i="3"/>
  <c r="Y60" i="3" s="1"/>
  <c r="AU60" i="3" s="1"/>
  <c r="AU59" i="3"/>
  <c r="AT59" i="3"/>
  <c r="Y59" i="3"/>
  <c r="AU58" i="3"/>
  <c r="AT58" i="3"/>
  <c r="Y58" i="3"/>
  <c r="AT57" i="3"/>
  <c r="AU57" i="3" s="1"/>
  <c r="Y57" i="3"/>
  <c r="R57" i="3"/>
  <c r="Q57" i="3"/>
  <c r="P57" i="3"/>
  <c r="AT56" i="3"/>
  <c r="AU56" i="3" s="1"/>
  <c r="R56" i="3"/>
  <c r="O56" i="3"/>
  <c r="Y56" i="3" s="1"/>
  <c r="AT55" i="3"/>
  <c r="AU55" i="3" s="1"/>
  <c r="Y55" i="3"/>
  <c r="N55" i="3"/>
  <c r="M55" i="3"/>
  <c r="AT54" i="3"/>
  <c r="AU54" i="3" s="1"/>
  <c r="Y54" i="3"/>
  <c r="R54" i="3"/>
  <c r="O54" i="3"/>
  <c r="N54" i="3"/>
  <c r="M54" i="3"/>
  <c r="AT53" i="3"/>
  <c r="Q53" i="3"/>
  <c r="Y53" i="3" s="1"/>
  <c r="AT52" i="3"/>
  <c r="AU52" i="3" s="1"/>
  <c r="Y52" i="3"/>
  <c r="P52" i="3"/>
  <c r="O52" i="3"/>
  <c r="AT51" i="3"/>
  <c r="AU51" i="3" s="1"/>
  <c r="Y51" i="3"/>
  <c r="R51" i="3"/>
  <c r="Q51" i="3"/>
  <c r="P51" i="3"/>
  <c r="O51" i="3"/>
  <c r="M51" i="3"/>
  <c r="AT50" i="3"/>
  <c r="AU50" i="3" s="1"/>
  <c r="Y50" i="3"/>
  <c r="N50" i="3"/>
  <c r="AT49" i="3"/>
  <c r="Q49" i="3"/>
  <c r="M49" i="3"/>
  <c r="Y49" i="3" s="1"/>
  <c r="AU49" i="3" s="1"/>
  <c r="AT48" i="3"/>
  <c r="AU48" i="3" s="1"/>
  <c r="R48" i="3"/>
  <c r="Q48" i="3"/>
  <c r="P48" i="3"/>
  <c r="O48" i="3"/>
  <c r="N48" i="3"/>
  <c r="Y48" i="3" s="1"/>
  <c r="AT47" i="3"/>
  <c r="AU47" i="3" s="1"/>
  <c r="Y47" i="3"/>
  <c r="AU46" i="3"/>
  <c r="AT46" i="3"/>
  <c r="Y46" i="3"/>
  <c r="AT45" i="3"/>
  <c r="R45" i="3"/>
  <c r="R94" i="3" s="1"/>
  <c r="Q45" i="3"/>
  <c r="P45" i="3"/>
  <c r="O45" i="3"/>
  <c r="Y45" i="3" s="1"/>
  <c r="N45" i="3"/>
  <c r="AT44" i="3"/>
  <c r="AU44" i="3" s="1"/>
  <c r="Y44" i="3"/>
  <c r="AU43" i="3"/>
  <c r="AT43" i="3"/>
  <c r="Y43" i="3"/>
  <c r="Q43" i="3"/>
  <c r="AT42" i="3"/>
  <c r="AU42" i="3" s="1"/>
  <c r="Y42" i="3"/>
  <c r="AT41" i="3"/>
  <c r="AU41" i="3" s="1"/>
  <c r="Y41" i="3"/>
  <c r="AT40" i="3"/>
  <c r="O40" i="3"/>
  <c r="O94" i="3" s="1"/>
  <c r="N40" i="3"/>
  <c r="N94" i="3" s="1"/>
  <c r="AT39" i="3"/>
  <c r="AU39" i="3" s="1"/>
  <c r="Y39" i="3"/>
  <c r="AT38" i="3"/>
  <c r="N38" i="3"/>
  <c r="M38" i="3"/>
  <c r="Y38" i="3" s="1"/>
  <c r="AU38" i="3" s="1"/>
  <c r="AT37" i="3"/>
  <c r="AU37" i="3" s="1"/>
  <c r="Q37" i="3"/>
  <c r="Y37" i="3" s="1"/>
  <c r="AU36" i="3"/>
  <c r="AT36" i="3"/>
  <c r="Y36" i="3"/>
  <c r="AT35" i="3"/>
  <c r="AU35" i="3" s="1"/>
  <c r="Y35" i="3"/>
  <c r="Q35" i="3"/>
  <c r="AU34" i="3"/>
  <c r="AT34" i="3"/>
  <c r="Y34" i="3"/>
  <c r="AT33" i="3"/>
  <c r="AU33" i="3" s="1"/>
  <c r="Y33" i="3"/>
  <c r="AU32" i="3"/>
  <c r="AT32" i="3"/>
  <c r="Y32" i="3"/>
  <c r="AU31" i="3"/>
  <c r="AT31" i="3"/>
  <c r="Y31" i="3"/>
  <c r="AT30" i="3"/>
  <c r="AU30" i="3" s="1"/>
  <c r="Y30" i="3"/>
  <c r="AT29" i="3"/>
  <c r="AU29" i="3" s="1"/>
  <c r="Y29" i="3"/>
  <c r="R29" i="3"/>
  <c r="M29" i="3"/>
  <c r="AT28" i="3"/>
  <c r="AU28" i="3" s="1"/>
  <c r="Y28" i="3"/>
  <c r="AT27" i="3"/>
  <c r="AU27" i="3" s="1"/>
  <c r="Y27" i="3"/>
  <c r="R27" i="3"/>
  <c r="AT26" i="3"/>
  <c r="AU26" i="3" s="1"/>
  <c r="Y26" i="3"/>
  <c r="AU25" i="3"/>
  <c r="AT25" i="3"/>
  <c r="Y25" i="3"/>
  <c r="Q25" i="3"/>
  <c r="Q94" i="3" s="1"/>
  <c r="P25" i="3"/>
  <c r="N25" i="3"/>
  <c r="M25" i="3"/>
  <c r="M94" i="3" s="1"/>
  <c r="AT24" i="3"/>
  <c r="AU24" i="3" s="1"/>
  <c r="Y24" i="3"/>
  <c r="AU23" i="3"/>
  <c r="AT23" i="3"/>
  <c r="Y23" i="3"/>
  <c r="AT22" i="3"/>
  <c r="P22" i="3"/>
  <c r="P94" i="3" s="1"/>
  <c r="AT21" i="3"/>
  <c r="AU21" i="3" s="1"/>
  <c r="Y21" i="3"/>
  <c r="AT20" i="3"/>
  <c r="AU20" i="3" s="1"/>
  <c r="Y20" i="3"/>
  <c r="AT19" i="3"/>
  <c r="AU19" i="3" s="1"/>
  <c r="Y19" i="3"/>
  <c r="AU18" i="3"/>
  <c r="AT18" i="3"/>
  <c r="Y18" i="3"/>
  <c r="AT17" i="3"/>
  <c r="AU17" i="3" s="1"/>
  <c r="Y17" i="3"/>
  <c r="AU16" i="3"/>
  <c r="AT16" i="3"/>
  <c r="AT94" i="3" s="1"/>
  <c r="Y16" i="3"/>
  <c r="BF114" i="4" l="1"/>
  <c r="BG16" i="4"/>
  <c r="BG111" i="4" s="1"/>
  <c r="Y94" i="3"/>
  <c r="E13" i="3" s="1"/>
  <c r="AU53" i="3"/>
  <c r="AU45" i="3"/>
  <c r="Y22" i="3"/>
  <c r="AU22" i="3" s="1"/>
  <c r="AU94" i="3" s="1"/>
  <c r="Y40" i="3"/>
  <c r="AU40" i="3" s="1"/>
  <c r="BK90" i="2" l="1"/>
  <c r="AV94" i="2"/>
  <c r="BF90" i="2"/>
  <c r="BB90" i="2"/>
  <c r="AX90" i="2"/>
  <c r="AT90" i="2"/>
  <c r="AP90" i="2"/>
  <c r="AL90" i="2"/>
  <c r="AH90" i="2"/>
  <c r="AD90" i="2"/>
  <c r="Z90" i="2"/>
  <c r="X90" i="2"/>
  <c r="W90" i="2"/>
  <c r="V90" i="2"/>
  <c r="R90" i="2"/>
  <c r="Q90" i="2"/>
  <c r="O90" i="2"/>
  <c r="N90" i="2"/>
  <c r="M90" i="2"/>
  <c r="L90" i="2"/>
  <c r="K90" i="2"/>
  <c r="BJ89" i="2"/>
  <c r="BK89" i="2" s="1"/>
  <c r="Y89" i="2"/>
  <c r="BJ88" i="2"/>
  <c r="BK88" i="2" s="1"/>
  <c r="Y88" i="2"/>
  <c r="BJ87" i="2"/>
  <c r="BK87" i="2" s="1"/>
  <c r="Y87" i="2"/>
  <c r="BK86" i="2"/>
  <c r="BJ86" i="2"/>
  <c r="Y86" i="2"/>
  <c r="BK85" i="2"/>
  <c r="BJ85" i="2"/>
  <c r="Y85" i="2"/>
  <c r="BJ84" i="2"/>
  <c r="BK84" i="2" s="1"/>
  <c r="Y84" i="2"/>
  <c r="BJ83" i="2"/>
  <c r="BK83" i="2" s="1"/>
  <c r="Y83" i="2"/>
  <c r="BK82" i="2"/>
  <c r="BJ82" i="2"/>
  <c r="Y82" i="2"/>
  <c r="BJ81" i="2"/>
  <c r="BK81" i="2" s="1"/>
  <c r="Y81" i="2"/>
  <c r="BJ80" i="2"/>
  <c r="BK80" i="2" s="1"/>
  <c r="Y80" i="2"/>
  <c r="BJ79" i="2"/>
  <c r="BK79" i="2" s="1"/>
  <c r="Y79" i="2"/>
  <c r="BJ78" i="2"/>
  <c r="U78" i="2"/>
  <c r="Y78" i="2" s="1"/>
  <c r="BK78" i="2" s="1"/>
  <c r="T78" i="2"/>
  <c r="BJ77" i="2"/>
  <c r="BK77" i="2" s="1"/>
  <c r="Y77" i="2"/>
  <c r="BK76" i="2"/>
  <c r="BJ76" i="2"/>
  <c r="Y76" i="2"/>
  <c r="BK75" i="2"/>
  <c r="BJ75" i="2"/>
  <c r="Y75" i="2"/>
  <c r="BJ74" i="2"/>
  <c r="Y74" i="2"/>
  <c r="BK74" i="2" s="1"/>
  <c r="BJ73" i="2"/>
  <c r="BK73" i="2" s="1"/>
  <c r="Y73" i="2"/>
  <c r="BJ72" i="2"/>
  <c r="BK72" i="2" s="1"/>
  <c r="Y72" i="2"/>
  <c r="BJ71" i="2"/>
  <c r="BK71" i="2" s="1"/>
  <c r="Y71" i="2"/>
  <c r="BJ70" i="2"/>
  <c r="BK70" i="2" s="1"/>
  <c r="Y70" i="2"/>
  <c r="BJ69" i="2"/>
  <c r="BK69" i="2" s="1"/>
  <c r="Y69" i="2"/>
  <c r="BK68" i="2"/>
  <c r="BJ68" i="2"/>
  <c r="Y68" i="2"/>
  <c r="BJ67" i="2"/>
  <c r="U67" i="2"/>
  <c r="T67" i="2"/>
  <c r="S67" i="2"/>
  <c r="Y67" i="2" s="1"/>
  <c r="BK67" i="2" s="1"/>
  <c r="BJ66" i="2"/>
  <c r="BK66" i="2" s="1"/>
  <c r="Y66" i="2"/>
  <c r="BJ65" i="2"/>
  <c r="BK65" i="2" s="1"/>
  <c r="Y65" i="2"/>
  <c r="BJ64" i="2"/>
  <c r="P64" i="2"/>
  <c r="Y64" i="2" s="1"/>
  <c r="BK63" i="2"/>
  <c r="BJ63" i="2"/>
  <c r="Y63" i="2"/>
  <c r="BJ62" i="2"/>
  <c r="Y62" i="2"/>
  <c r="BK62" i="2" s="1"/>
  <c r="BJ61" i="2"/>
  <c r="BK61" i="2" s="1"/>
  <c r="Y61" i="2"/>
  <c r="BJ60" i="2"/>
  <c r="BK60" i="2" s="1"/>
  <c r="Y60" i="2"/>
  <c r="BJ59" i="2"/>
  <c r="BK59" i="2" s="1"/>
  <c r="Y59" i="2"/>
  <c r="BJ58" i="2"/>
  <c r="BK58" i="2" s="1"/>
  <c r="Y58" i="2"/>
  <c r="BJ57" i="2"/>
  <c r="BK57" i="2" s="1"/>
  <c r="Y57" i="2"/>
  <c r="BK56" i="2"/>
  <c r="BJ56" i="2"/>
  <c r="Y56" i="2"/>
  <c r="BK55" i="2"/>
  <c r="BJ55" i="2"/>
  <c r="Y55" i="2"/>
  <c r="BJ54" i="2"/>
  <c r="Y54" i="2"/>
  <c r="BK54" i="2" s="1"/>
  <c r="BJ53" i="2"/>
  <c r="BK53" i="2" s="1"/>
  <c r="Y53" i="2"/>
  <c r="BJ52" i="2"/>
  <c r="BK52" i="2" s="1"/>
  <c r="Y52" i="2"/>
  <c r="BJ51" i="2"/>
  <c r="P51" i="2"/>
  <c r="Y51" i="2" s="1"/>
  <c r="BK50" i="2"/>
  <c r="BJ50" i="2"/>
  <c r="Y50" i="2"/>
  <c r="BJ49" i="2"/>
  <c r="BK49" i="2" s="1"/>
  <c r="Y49" i="2"/>
  <c r="BJ48" i="2"/>
  <c r="BK48" i="2" s="1"/>
  <c r="Y48" i="2"/>
  <c r="BJ47" i="2"/>
  <c r="BK47" i="2" s="1"/>
  <c r="Y47" i="2"/>
  <c r="BJ46" i="2"/>
  <c r="BK46" i="2" s="1"/>
  <c r="Y46" i="2"/>
  <c r="BJ45" i="2"/>
  <c r="BK45" i="2" s="1"/>
  <c r="Y45" i="2"/>
  <c r="BK44" i="2"/>
  <c r="BJ44" i="2"/>
  <c r="Y44" i="2"/>
  <c r="BK43" i="2"/>
  <c r="BJ43" i="2"/>
  <c r="Y43" i="2"/>
  <c r="BK42" i="2"/>
  <c r="BJ42" i="2"/>
  <c r="Y42" i="2"/>
  <c r="BJ41" i="2"/>
  <c r="BK41" i="2" s="1"/>
  <c r="Y41" i="2"/>
  <c r="BJ40" i="2"/>
  <c r="BK40" i="2" s="1"/>
  <c r="Y40" i="2"/>
  <c r="U40" i="2"/>
  <c r="BJ39" i="2"/>
  <c r="BK39" i="2" s="1"/>
  <c r="Y39" i="2"/>
  <c r="BK38" i="2"/>
  <c r="BJ38" i="2"/>
  <c r="Y38" i="2"/>
  <c r="BJ37" i="2"/>
  <c r="P37" i="2"/>
  <c r="Y37" i="2" s="1"/>
  <c r="BK37" i="2" s="1"/>
  <c r="BJ36" i="2"/>
  <c r="U36" i="2"/>
  <c r="U90" i="2" s="1"/>
  <c r="T36" i="2"/>
  <c r="T90" i="2" s="1"/>
  <c r="S36" i="2"/>
  <c r="S90" i="2" s="1"/>
  <c r="BJ35" i="2"/>
  <c r="BK35" i="2" s="1"/>
  <c r="Y35" i="2"/>
  <c r="BK34" i="2"/>
  <c r="BJ34" i="2"/>
  <c r="Y34" i="2"/>
  <c r="BK33" i="2"/>
  <c r="BJ33" i="2"/>
  <c r="Y33" i="2"/>
  <c r="BJ32" i="2"/>
  <c r="Y32" i="2"/>
  <c r="BK32" i="2" s="1"/>
  <c r="BJ31" i="2"/>
  <c r="BK31" i="2" s="1"/>
  <c r="Y31" i="2"/>
  <c r="BJ30" i="2"/>
  <c r="BK30" i="2" s="1"/>
  <c r="Y30" i="2"/>
  <c r="BJ29" i="2"/>
  <c r="BK29" i="2" s="1"/>
  <c r="Y29" i="2"/>
  <c r="BJ28" i="2"/>
  <c r="BK28" i="2" s="1"/>
  <c r="Y28" i="2"/>
  <c r="BJ27" i="2"/>
  <c r="BK27" i="2" s="1"/>
  <c r="Y27" i="2"/>
  <c r="BK26" i="2"/>
  <c r="BJ26" i="2"/>
  <c r="Y26" i="2"/>
  <c r="BK25" i="2"/>
  <c r="BJ25" i="2"/>
  <c r="Y25" i="2"/>
  <c r="BJ24" i="2"/>
  <c r="Y24" i="2"/>
  <c r="BK24" i="2" s="1"/>
  <c r="BJ23" i="2"/>
  <c r="BK23" i="2" s="1"/>
  <c r="Y23" i="2"/>
  <c r="BJ22" i="2"/>
  <c r="BK22" i="2" s="1"/>
  <c r="Y22" i="2"/>
  <c r="BJ21" i="2"/>
  <c r="BK21" i="2" s="1"/>
  <c r="Y21" i="2"/>
  <c r="BJ20" i="2"/>
  <c r="BK20" i="2" s="1"/>
  <c r="Y20" i="2"/>
  <c r="BJ19" i="2"/>
  <c r="BK19" i="2" s="1"/>
  <c r="Y19" i="2"/>
  <c r="BK18" i="2"/>
  <c r="BJ18" i="2"/>
  <c r="Y18" i="2"/>
  <c r="BK17" i="2"/>
  <c r="BJ17" i="2"/>
  <c r="Y17" i="2"/>
  <c r="BJ16" i="2"/>
  <c r="BK16" i="2" s="1"/>
  <c r="Y16" i="2"/>
  <c r="BK64" i="2" l="1"/>
  <c r="BK51" i="2"/>
  <c r="Y36" i="2"/>
  <c r="BK36" i="2" s="1"/>
  <c r="P90" i="2"/>
  <c r="BJ90" i="2"/>
  <c r="Y90" i="2" l="1"/>
  <c r="E13" i="2" s="1"/>
  <c r="U95" i="1" l="1"/>
  <c r="Z95" i="1" l="1"/>
  <c r="X95" i="1"/>
  <c r="W95" i="1"/>
  <c r="V95" i="1"/>
  <c r="T95" i="1"/>
  <c r="S95" i="1"/>
  <c r="R95" i="1"/>
  <c r="Q95" i="1"/>
  <c r="P95" i="1"/>
  <c r="O95" i="1"/>
  <c r="N95" i="1"/>
  <c r="M95" i="1"/>
  <c r="L95" i="1"/>
  <c r="K95" i="1"/>
  <c r="J95" i="1"/>
  <c r="AX94" i="1"/>
  <c r="AX93" i="1"/>
  <c r="AX92" i="1"/>
  <c r="AY92" i="1" s="1"/>
  <c r="AX91" i="1"/>
  <c r="AY91" i="1" s="1"/>
  <c r="AX90" i="1"/>
  <c r="AY90" i="1" s="1"/>
  <c r="AX89" i="1"/>
  <c r="AY89" i="1" s="1"/>
  <c r="AX88" i="1"/>
  <c r="AY88" i="1" s="1"/>
  <c r="AX87" i="1"/>
  <c r="AY87" i="1" s="1"/>
  <c r="AX86" i="1"/>
  <c r="AY86" i="1" s="1"/>
  <c r="AX85" i="1"/>
  <c r="AY85" i="1" s="1"/>
  <c r="Y85" i="1"/>
  <c r="AX84" i="1"/>
  <c r="Y84" i="1"/>
  <c r="AX83" i="1"/>
  <c r="Y83" i="1"/>
  <c r="AX82" i="1"/>
  <c r="Y82" i="1"/>
  <c r="AD81" i="1"/>
  <c r="AX81" i="1" s="1"/>
  <c r="Y81" i="1"/>
  <c r="AH80" i="1"/>
  <c r="AD80" i="1"/>
  <c r="AX80" i="1" s="1"/>
  <c r="Y80" i="1"/>
  <c r="AD79" i="1"/>
  <c r="AX79" i="1" s="1"/>
  <c r="Y79" i="1"/>
  <c r="AX78" i="1"/>
  <c r="Y78" i="1"/>
  <c r="AX77" i="1"/>
  <c r="AY77" i="1" s="1"/>
  <c r="Y77" i="1"/>
  <c r="AD76" i="1"/>
  <c r="AX76" i="1" s="1"/>
  <c r="AY76" i="1" s="1"/>
  <c r="Y76" i="1"/>
  <c r="AH75" i="1"/>
  <c r="AD75" i="1"/>
  <c r="Y75" i="1"/>
  <c r="AX74" i="1"/>
  <c r="AY74" i="1" s="1"/>
  <c r="Y74" i="1"/>
  <c r="AD73" i="1"/>
  <c r="AX73" i="1" s="1"/>
  <c r="Y73" i="1"/>
  <c r="AX72" i="1"/>
  <c r="AY72" i="1" s="1"/>
  <c r="Y72" i="1"/>
  <c r="AX71" i="1"/>
  <c r="Y71" i="1"/>
  <c r="AX70" i="1"/>
  <c r="AY70" i="1" s="1"/>
  <c r="Y70" i="1"/>
  <c r="AX69" i="1"/>
  <c r="AY69" i="1" s="1"/>
  <c r="Y69" i="1"/>
  <c r="AX68" i="1"/>
  <c r="Y68" i="1"/>
  <c r="AX67" i="1"/>
  <c r="Y67" i="1"/>
  <c r="AX66" i="1"/>
  <c r="Y66" i="1"/>
  <c r="AX65" i="1"/>
  <c r="AY65" i="1" s="1"/>
  <c r="Y65" i="1"/>
  <c r="AX64" i="1"/>
  <c r="Y64" i="1"/>
  <c r="AX63" i="1"/>
  <c r="AY63" i="1" s="1"/>
  <c r="Y63" i="1"/>
  <c r="AX62" i="1"/>
  <c r="AY62" i="1" s="1"/>
  <c r="Y62" i="1"/>
  <c r="AX61" i="1"/>
  <c r="AY61" i="1" s="1"/>
  <c r="Y61" i="1"/>
  <c r="AX60" i="1"/>
  <c r="AY60" i="1" s="1"/>
  <c r="Y60" i="1"/>
  <c r="AD59" i="1"/>
  <c r="AX59" i="1" s="1"/>
  <c r="Y59" i="1"/>
  <c r="AX58" i="1"/>
  <c r="AY58" i="1" s="1"/>
  <c r="Y58" i="1"/>
  <c r="AP57" i="1"/>
  <c r="AP95" i="1" s="1"/>
  <c r="Y57" i="1"/>
  <c r="AL56" i="1"/>
  <c r="AX56" i="1" s="1"/>
  <c r="AY56" i="1" s="1"/>
  <c r="Y56" i="1"/>
  <c r="AL55" i="1"/>
  <c r="AX55" i="1" s="1"/>
  <c r="Y55" i="1"/>
  <c r="AX54" i="1"/>
  <c r="AY54" i="1" s="1"/>
  <c r="Y54" i="1"/>
  <c r="AX53" i="1"/>
  <c r="Y53" i="1"/>
  <c r="AL52" i="1"/>
  <c r="AH52" i="1"/>
  <c r="AD52" i="1"/>
  <c r="Y52" i="1"/>
  <c r="AY51" i="1"/>
  <c r="AX51" i="1"/>
  <c r="Y51" i="1"/>
  <c r="AX50" i="1"/>
  <c r="AY50" i="1" s="1"/>
  <c r="Y50" i="1"/>
  <c r="AX49" i="1"/>
  <c r="Y49" i="1"/>
  <c r="AH48" i="1"/>
  <c r="AX48" i="1" s="1"/>
  <c r="AY48" i="1" s="1"/>
  <c r="Y48" i="1"/>
  <c r="AX47" i="1"/>
  <c r="Y47" i="1"/>
  <c r="AX46" i="1"/>
  <c r="Y46" i="1"/>
  <c r="AX45" i="1"/>
  <c r="Y45" i="1"/>
  <c r="AX44" i="1"/>
  <c r="Y44" i="1"/>
  <c r="AX43" i="1"/>
  <c r="AY43" i="1" s="1"/>
  <c r="Y43" i="1"/>
  <c r="AX42" i="1"/>
  <c r="Y42" i="1"/>
  <c r="AD41" i="1"/>
  <c r="AX41" i="1" s="1"/>
  <c r="AY41" i="1" s="1"/>
  <c r="Y41" i="1"/>
  <c r="AX40" i="1"/>
  <c r="AY40" i="1" s="1"/>
  <c r="Y40" i="1"/>
  <c r="AX39" i="1"/>
  <c r="Y39" i="1"/>
  <c r="AX38" i="1"/>
  <c r="Y38" i="1"/>
  <c r="AX37" i="1"/>
  <c r="Y37" i="1"/>
  <c r="AX36" i="1"/>
  <c r="AT36" i="1"/>
  <c r="AT95" i="1" s="1"/>
  <c r="Y36" i="1"/>
  <c r="AX35" i="1"/>
  <c r="Y35" i="1"/>
  <c r="AX34" i="1"/>
  <c r="Y34" i="1"/>
  <c r="AD33" i="1"/>
  <c r="AX33" i="1" s="1"/>
  <c r="Y33" i="1"/>
  <c r="AD32" i="1"/>
  <c r="AX32" i="1" s="1"/>
  <c r="Y32" i="1"/>
  <c r="AX31" i="1"/>
  <c r="Y31" i="1"/>
  <c r="AX30" i="1"/>
  <c r="Y30" i="1"/>
  <c r="AX29" i="1"/>
  <c r="Y29" i="1"/>
  <c r="AX28" i="1"/>
  <c r="Y28" i="1"/>
  <c r="AX27" i="1"/>
  <c r="Y27" i="1"/>
  <c r="AX26" i="1"/>
  <c r="Y26" i="1"/>
  <c r="AX25" i="1"/>
  <c r="Y25" i="1"/>
  <c r="AX24" i="1"/>
  <c r="Y24" i="1"/>
  <c r="AX23" i="1"/>
  <c r="Y23" i="1"/>
  <c r="AX22" i="1"/>
  <c r="Y22" i="1"/>
  <c r="AH21" i="1"/>
  <c r="AX21" i="1" s="1"/>
  <c r="Y21" i="1"/>
  <c r="AL20" i="1"/>
  <c r="AX20" i="1" s="1"/>
  <c r="Y20" i="1"/>
  <c r="AX19" i="1"/>
  <c r="Y19" i="1"/>
  <c r="AX18" i="1"/>
  <c r="Y18" i="1"/>
  <c r="AD17" i="1"/>
  <c r="AX17" i="1" s="1"/>
  <c r="Y17" i="1"/>
  <c r="AX16" i="1"/>
  <c r="Y16" i="1"/>
  <c r="AX15" i="1"/>
  <c r="Y15" i="1"/>
  <c r="AX14" i="1"/>
  <c r="Y14" i="1"/>
  <c r="AX13" i="1"/>
  <c r="Y13" i="1"/>
  <c r="AY81" i="1" l="1"/>
  <c r="AY38" i="1"/>
  <c r="AY45" i="1"/>
  <c r="AX52" i="1"/>
  <c r="AY67" i="1"/>
  <c r="AY15" i="1"/>
  <c r="AY19" i="1"/>
  <c r="AY27" i="1"/>
  <c r="AY31" i="1"/>
  <c r="AY35" i="1"/>
  <c r="AY46" i="1"/>
  <c r="AY26" i="1"/>
  <c r="AY24" i="1"/>
  <c r="Y95" i="1"/>
  <c r="AY21" i="1"/>
  <c r="AY25" i="1"/>
  <c r="AY84" i="1"/>
  <c r="AY17" i="1"/>
  <c r="AY79" i="1"/>
  <c r="AY28" i="1"/>
  <c r="AY42" i="1"/>
  <c r="AY49" i="1"/>
  <c r="AY55" i="1"/>
  <c r="AY66" i="1"/>
  <c r="AY80" i="1"/>
  <c r="AY83" i="1"/>
  <c r="AY13" i="1"/>
  <c r="AY82" i="1"/>
  <c r="AY32" i="1"/>
  <c r="AY39" i="1"/>
  <c r="AY52" i="1"/>
  <c r="AY59" i="1"/>
  <c r="AY73" i="1"/>
  <c r="AY14" i="1"/>
  <c r="AY18" i="1"/>
  <c r="AY22" i="1"/>
  <c r="AY29" i="1"/>
  <c r="AY33" i="1"/>
  <c r="AY36" i="1"/>
  <c r="AY23" i="1"/>
  <c r="AY34" i="1"/>
  <c r="AY68" i="1"/>
  <c r="AY30" i="1"/>
  <c r="AY37" i="1"/>
  <c r="AY44" i="1"/>
  <c r="AY47" i="1"/>
  <c r="AY53" i="1"/>
  <c r="AY64" i="1"/>
  <c r="AY71" i="1"/>
  <c r="AY16" i="1"/>
  <c r="AY20" i="1"/>
  <c r="AY78" i="1"/>
  <c r="AH95" i="1"/>
  <c r="AX75" i="1"/>
  <c r="AY75" i="1" s="1"/>
  <c r="AX95" i="1"/>
  <c r="AX57" i="1"/>
  <c r="AY57" i="1" s="1"/>
  <c r="AD95" i="1"/>
  <c r="AL95" i="1"/>
  <c r="AY95" i="1" l="1"/>
</calcChain>
</file>

<file path=xl/comments1.xml><?xml version="1.0" encoding="utf-8"?>
<comments xmlns="http://schemas.openxmlformats.org/spreadsheetml/2006/main">
  <authors>
    <author>Peggy</author>
  </authors>
  <commentList>
    <comment ref="T36" authorId="0">
      <text>
        <r>
          <rPr>
            <b/>
            <sz val="9"/>
            <color indexed="81"/>
            <rFont val="Tahoma"/>
            <family val="2"/>
          </rPr>
          <t>Peggy:</t>
        </r>
        <r>
          <rPr>
            <sz val="9"/>
            <color indexed="81"/>
            <rFont val="Tahoma"/>
            <family val="2"/>
          </rPr>
          <t xml:space="preserve">
  9.810 No aplica
  1.667 Sigfe
  2.000 No aplica
51.615 No aplica
35.423 No aplica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Peggy:</t>
        </r>
        <r>
          <rPr>
            <sz val="9"/>
            <color indexed="81"/>
            <rFont val="Tahoma"/>
            <family val="2"/>
          </rPr>
          <t xml:space="preserve">
  2.000 Sigfe
34.909 Sigfe
     355 Sigfe
     333 No aplica
  1.667 No aplica</t>
        </r>
      </text>
    </comment>
    <comment ref="T78" authorId="0">
      <text>
        <r>
          <rPr>
            <b/>
            <sz val="9"/>
            <color indexed="81"/>
            <rFont val="Tahoma"/>
            <family val="2"/>
          </rPr>
          <t>Peggy:</t>
        </r>
        <r>
          <rPr>
            <sz val="9"/>
            <color indexed="81"/>
            <rFont val="Tahoma"/>
            <family val="2"/>
          </rPr>
          <t xml:space="preserve">
3.000 Sigfe
2.000 No aplica</t>
        </r>
      </text>
    </comment>
    <comment ref="U78" authorId="0">
      <text>
        <r>
          <rPr>
            <b/>
            <sz val="9"/>
            <color indexed="81"/>
            <rFont val="Tahoma"/>
            <family val="2"/>
          </rPr>
          <t>Peggy:</t>
        </r>
        <r>
          <rPr>
            <sz val="9"/>
            <color indexed="81"/>
            <rFont val="Tahoma"/>
            <family val="2"/>
          </rPr>
          <t xml:space="preserve">
1.500 Sigfe
2.000 No aplica</t>
        </r>
      </text>
    </comment>
  </commentList>
</comments>
</file>

<file path=xl/comments2.xml><?xml version="1.0" encoding="utf-8"?>
<comments xmlns="http://schemas.openxmlformats.org/spreadsheetml/2006/main">
  <authors>
    <author>Edgardo Saavedra Manzano</author>
  </authors>
  <commentList>
    <comment ref="N33" authorId="0">
      <text>
        <r>
          <rPr>
            <b/>
            <sz val="9"/>
            <color indexed="81"/>
            <rFont val="Tahoma"/>
            <family val="2"/>
          </rPr>
          <t>Edgardo Saavedra Manzano:
I</t>
        </r>
        <r>
          <rPr>
            <sz val="9"/>
            <color indexed="81"/>
            <rFont val="Tahoma"/>
            <family val="2"/>
          </rPr>
          <t>ngresado a sigfe como 00No Aplica, se ingresa a proyecto según Inf. De Gore Ñuble.</t>
        </r>
      </text>
    </comment>
  </commentList>
</comments>
</file>

<file path=xl/sharedStrings.xml><?xml version="1.0" encoding="utf-8"?>
<sst xmlns="http://schemas.openxmlformats.org/spreadsheetml/2006/main" count="15841" uniqueCount="3399">
  <si>
    <t>INFORMACIÓN RESOLUCIONES GORE ST 31 PROGRAMA INVERSIÓN REGIONAL</t>
  </si>
  <si>
    <t>Ley Inicial 2021</t>
  </si>
  <si>
    <t>Ley Vigente 2021</t>
  </si>
  <si>
    <t>Ley Vigente Medicion 2021</t>
  </si>
  <si>
    <t>Gasto Acumulado</t>
  </si>
  <si>
    <t>IDENTIFICACIÓN INICIAL</t>
  </si>
  <si>
    <t>MODIFICACIÓN</t>
  </si>
  <si>
    <t>Programa Financiero</t>
  </si>
  <si>
    <t>N°</t>
  </si>
  <si>
    <t>ST-Item</t>
  </si>
  <si>
    <t>Código BIP</t>
  </si>
  <si>
    <t xml:space="preserve">Nombre de proyecto </t>
  </si>
  <si>
    <t>Etapa</t>
  </si>
  <si>
    <t xml:space="preserve">  Región </t>
  </si>
  <si>
    <t>Comuna</t>
  </si>
  <si>
    <t>Tipo A=Arrastre , N= Nuevo</t>
  </si>
  <si>
    <t>Costo Total Ficha IDI</t>
  </si>
  <si>
    <t xml:space="preserve">    Ejecutado Años Anteriores FICHA IDI</t>
  </si>
  <si>
    <t>Saldo Proximos Años Ficha IDI</t>
  </si>
  <si>
    <t>Enero mensual SIGFE 2021</t>
  </si>
  <si>
    <t>Febrero mensual SIGFE 2021</t>
  </si>
  <si>
    <t>Marzo mensual SIGFE 2021</t>
  </si>
  <si>
    <t>Abril mensual SIGFE 2021</t>
  </si>
  <si>
    <t>Mayo mensual SIGFE 2021</t>
  </si>
  <si>
    <t>Junio mensual SIGFE 2021</t>
  </si>
  <si>
    <t>Julio mensual SIGFE 2021</t>
  </si>
  <si>
    <t>Agosto mensual SIGFE 2021</t>
  </si>
  <si>
    <t>Septiembre mensual SIGFE 2021</t>
  </si>
  <si>
    <t>Octubre mensual SIGFE 2021</t>
  </si>
  <si>
    <t>Noviembre mensual SIGFE 2021</t>
  </si>
  <si>
    <t>Diciembre mensual SIGFE 2021</t>
  </si>
  <si>
    <t>Total Ejecución acumulada 2021</t>
  </si>
  <si>
    <t>Monto Identificado Año 2021</t>
  </si>
  <si>
    <t xml:space="preserve">N° Resolución
</t>
  </si>
  <si>
    <t>Fecha Resolución</t>
  </si>
  <si>
    <t>Fecha de Toma de Razón</t>
  </si>
  <si>
    <t>Monto Modificado 2021</t>
  </si>
  <si>
    <t>Total Identificado</t>
  </si>
  <si>
    <t>Saldo  por
Ejecutar</t>
  </si>
  <si>
    <t>31.02</t>
  </si>
  <si>
    <t>CONSTRUCCION PUENTE LAS ACACIAS Y VIAS DE EMPALME, ARICA.</t>
  </si>
  <si>
    <t xml:space="preserve">EJECUCIÓN </t>
  </si>
  <si>
    <t>Arica y parinacota</t>
  </si>
  <si>
    <t>Arica</t>
  </si>
  <si>
    <t>A</t>
  </si>
  <si>
    <t xml:space="preserve">CONSTRUCCIÓN CENTRO DE SALUD FAMILIAR SECTOR SUR, COMUNA ARICA </t>
  </si>
  <si>
    <t xml:space="preserve">RESTAURACIÓN Y HABILIATACIÓN BIBLIOTECA REGIONAL EX FFCC ARICA LA PAZ </t>
  </si>
  <si>
    <t>DISEÑO</t>
  </si>
  <si>
    <t>CONSERVACIÓN DE INSTALACIONES SANITARIAS DEL COMPLEJO PENITENCIARIO DE ARICA</t>
  </si>
  <si>
    <t>NORMALIZACIÓN DE INFRAESTRUCTURA LICEO OCTAVIO PALMA PEREZ, ARICA</t>
  </si>
  <si>
    <t>CONSTRUCCION COMPLEJO DEPORTIVO CARDENAL SILVA HENRIQUEZ, ARICA</t>
  </si>
  <si>
    <t>EJECUCIÓN</t>
  </si>
  <si>
    <t>N</t>
  </si>
  <si>
    <t>CONSTRUCCION DE CUATRO SEDES SOCIALES EN LA COMUNA DE ARICA</t>
  </si>
  <si>
    <t>CONSTRUCCION PLAZA SEGURA POCONCHILE URBANO,ARICA</t>
  </si>
  <si>
    <t>CONSTRUCCION PARQUE PUERTA NORTE DE CHILE ARICA</t>
  </si>
  <si>
    <t>CONSTRUCCIÓN SISTEMA TRATAMIENTO AGUAS SERVIDAS STA. ROSA POCONCHILE</t>
  </si>
  <si>
    <t xml:space="preserve">CONSTRUCCIÓN RELLENO SANITARIO COMUNA DE ARICA </t>
  </si>
  <si>
    <t>CONSTRUCCIÓN PLAZA INTEGRADA LLACOLEN ,ARICA</t>
  </si>
  <si>
    <t xml:space="preserve">CONSTRUCCIÓN PLAZA INTEGRADA SANTIAGO ARATA, ARICA </t>
  </si>
  <si>
    <t>MEJORAMIENTO BORDE COSTERO PLAYA ARENILLAS NEGRAS ARICA</t>
  </si>
  <si>
    <t>CONSERVACION DE VIAS  2014- 2018 - ARICA</t>
  </si>
  <si>
    <t>CONSTRUCCIÓN SOL AP LOCALIDADES SUBTERRITORIO CAMARONES 1</t>
  </si>
  <si>
    <t xml:space="preserve">FACTIBILIDAD </t>
  </si>
  <si>
    <t>Camarones</t>
  </si>
  <si>
    <t>31.01</t>
  </si>
  <si>
    <t>DIAGNOSTICO ESTRUCTURAL Y GEOTECNICO VIVIENDAS GUAÑACAGUA II, ARICA</t>
  </si>
  <si>
    <t xml:space="preserve">CONSTRUCCIÓN DE VENUSTERIOS PARA UNIDADES PENALES COM. PENINT. ARICA </t>
  </si>
  <si>
    <t xml:space="preserve">MEJORAMIENTO DE SERVICIOS ESTUDIANTES UNIVERSITARIOS REGION DE ARICA Y PARINACOTA </t>
  </si>
  <si>
    <t>MEJORAMIENTO PARQUE CENTENARIO ETAPA 2 -SKATE PARK, ARICA</t>
  </si>
  <si>
    <t xml:space="preserve">CONSTRUCCIÓN ESPACIO PÚBLICO, MIRAMAR SUR II, ARICA </t>
  </si>
  <si>
    <t>CONSERVACION DE ACERAS, SECTOR CENTRO DE LA CIUDAD DE ARICA</t>
  </si>
  <si>
    <t>EJECUCION CIRC. 33</t>
  </si>
  <si>
    <t>MEJORAMIENTO EE.PP LOS INDUSTRIALES I , ARICA</t>
  </si>
  <si>
    <t xml:space="preserve">MEJORAMIENTO PARQUE HEROES DE LA CONCEPCIÓN POBL. EDUARDO FREI ARICA </t>
  </si>
  <si>
    <t>REPOSICIÓN SEDE SOCIAL LOS INDUSTRIALES III, ARICA</t>
  </si>
  <si>
    <t>CONSTRUCIÓN ELECTRIFICACIÓN VALLE DE VITOR, COMUNA DE ARICA</t>
  </si>
  <si>
    <t>MEJORAMIENTO CANCHA DEPORTIVA de ESCUELA D-91 CENTENARIO, ARICA</t>
  </si>
  <si>
    <t xml:space="preserve">CONSERVACIÓN CENTRO CERRADO DE ARICA,  SENAME </t>
  </si>
  <si>
    <t xml:space="preserve">CONSTRUCCIÓN CENTRO DE ATENCIÓN A DISCAPACITADOS UMPADE ARICA </t>
  </si>
  <si>
    <t>CONSTRUCCIÓN MUSEO ANTROPOLOGICO SAN MIGUEL DE AZAPA REG A Y P</t>
  </si>
  <si>
    <t>CONSTRUCCION PARQUE PUNTA NORTE SEGUNDA ETAPA LOTE 8 ARICA</t>
  </si>
  <si>
    <t>CONSTRUCCION CENTRO DE LAS CULTURAS Y LAS ARTES DE ARICA</t>
  </si>
  <si>
    <t>PREFACTIBILIDAD</t>
  </si>
  <si>
    <t xml:space="preserve">MEJORAMIENTO CALLE BOLOGNESI (EL MORRO 7 DE JUNIO) ARICA </t>
  </si>
  <si>
    <t xml:space="preserve">EJECUCÓN </t>
  </si>
  <si>
    <t xml:space="preserve">REPOSICIÓN TOTAL DEL JARDIN INFANTIL CON SALAS CUNA PIOLIN </t>
  </si>
  <si>
    <t xml:space="preserve">MEJORAMIENTO CALLE EL MORRO, ARICA </t>
  </si>
  <si>
    <t xml:space="preserve">AMPLIACIÓN Y MEJORAMIENTO INSTITUTO TELETÓN </t>
  </si>
  <si>
    <t>CONSTRUCCIÓN EEPP PLAZA LAS TERRAZAS ARICA</t>
  </si>
  <si>
    <t>REPOSICIÓN TOTAL JARDIN INFANTIL Y SALAS CUNA CAPERUCITA</t>
  </si>
  <si>
    <t xml:space="preserve">CONSTRUCCIÓN COMPLEJO DEPORTIVO COMUNAL DE PUTRE, ETAPA I </t>
  </si>
  <si>
    <t>Putre</t>
  </si>
  <si>
    <t>DIAGNOSTICO ESTADO CONSERVACION PAVIMENTOS ARICA</t>
  </si>
  <si>
    <t>CONSERVACION CAMINO BASICO RUTAS PROVINCIA DE PARINACOTA</t>
  </si>
  <si>
    <t>EJECUCIÓN      CIRC. 33</t>
  </si>
  <si>
    <t>Parinacota</t>
  </si>
  <si>
    <t>CONSTRUCCION PASEO PEATONAL CAMINO TROPERO MARKAPATA, PUTRE</t>
  </si>
  <si>
    <t>NORMALIZACION ESCUELA IGNACIO CARRERA PINTO G-27</t>
  </si>
  <si>
    <t>CONSTRUCCION PLAZA CULTURA CHINCHORRO LOCALIDAD DE CUYA</t>
  </si>
  <si>
    <t>CONSERVACION DE RIVERAS CAUCES NATURALES VARIOS SECTORES DE LA REGION DE ARICA Y PARINACOTA</t>
  </si>
  <si>
    <t>DIAGNOSTICO DEL PATRIMONIO CULTURAL DE ARICA Y PATRIMONIO - PLAN DE ORDENAMIENTO PATRIMONIAL</t>
  </si>
  <si>
    <t>MEJORAMIENTO BORDE COSTERO BALNEARIO CHINCHORRO</t>
  </si>
  <si>
    <t>CONSTRUCCION CENTRO DE DIAGNOSTICO TERAPEUTICO REGION DE ARICA Y PARINACOTA</t>
  </si>
  <si>
    <t>CONSTRUCCION JARDIN INFANTIL CON SALAS CUNA EL ALTO, ARICA</t>
  </si>
  <si>
    <t>EJECUCCION</t>
  </si>
  <si>
    <t>NORMALIZACION Y MEJORAMIENTO DE LA ESCUELA D-16 SUBTTE LUIS CRUZ MARTINEZ, ARICA</t>
  </si>
  <si>
    <t>CONSTRUCCION CENTRO DE RECICLAJE Y PUNTOS LIMPIOS DEL COMPLEJO PENITENCIARIO DE ARICA</t>
  </si>
  <si>
    <t>CONSERVACION CUARTEL ANGAMOS ARICA PDI</t>
  </si>
  <si>
    <t>CONSTRUCCION PLAZA TAMBO QUEMADO PANAMERICANA SUR, ARICA</t>
  </si>
  <si>
    <t>MEJORAMIENTO ESPACIOS PUBLICOS POBLACION RADIO EL MORRO, ARICA</t>
  </si>
  <si>
    <t>MEJORAMIENTO EEPP SECTOR PUNTA NORTE, 6 VILLAS (LOS ANDES-VILLARRICA-ZAPIGA-LINDEROS), ARICA</t>
  </si>
  <si>
    <t>MEJORAMIENTO ESPACIO PUBLICOS, POBLACION TUCAPEL, ARICA</t>
  </si>
  <si>
    <t>MEJORAMIENTO ESPACIOS PUBLICOS POBLACION EMPART, COMUNA DE ARICA</t>
  </si>
  <si>
    <t>RESTAURACION MONUMENTO NACIONAL EX ISLA DEL ALACRAN, ARICA</t>
  </si>
  <si>
    <t>REPOSICION RETEN CARABINEROS CHILCAYA (F)</t>
  </si>
  <si>
    <t>CONSERVACION DE RIBERAS CAUCES NATURALES VARIOS SECTORES REG A Y P</t>
  </si>
  <si>
    <t>EJECUCCION CIRC. 33</t>
  </si>
  <si>
    <t>RESTAURACION PUESTA VALOR SITIOS ARQUEOLOGICO PUKARA DE COPAQUILLA</t>
  </si>
  <si>
    <t>10-6-212</t>
  </si>
  <si>
    <t>CONSTRUCCION OBRAS DE RELOCALIZACION CALETA PESQUERA</t>
  </si>
  <si>
    <t>RESTAURACION IGLESIA SAGRADO CORAZON ARICA</t>
  </si>
  <si>
    <t>CONSTRUCCION PLAZA FUERTE BULNES, POBL. RAUL SILVA HENRIQUEZ, ARICA</t>
  </si>
  <si>
    <t>DIAGNOSTICO PMDT SUB TERRITORIO ARICA</t>
  </si>
  <si>
    <t>ANALISIS PARA DEFINIR EL IMPACTO AMBIENTAL DE LINEA SOTERRADA DEL SING GENERAL LAGOS</t>
  </si>
  <si>
    <t>General Lagos</t>
  </si>
  <si>
    <t>HABILITACION ARCHIVO HISTORICO DEL REGISTRO CIVIL DE ARICA</t>
  </si>
  <si>
    <t>CONSERVACION CICLOVIA ARICA</t>
  </si>
  <si>
    <t>CONSERVACION CENTRO DE LA MUJER DE ARICA Y PARINACOTA</t>
  </si>
  <si>
    <t>ANALISIS PELIGRO DE REMOCION EN MASA</t>
  </si>
  <si>
    <t>CONSTRUCCION PLAZA DE LA MOVILIDAD FLOR DEL INCA</t>
  </si>
  <si>
    <t>31.03</t>
  </si>
  <si>
    <t>DIFUSION E INCLUSION A PERSONAS CON CAPACIDAD AUDITIVA, ARICA</t>
  </si>
  <si>
    <t>PROTECCION DE PERSONAS MAYORES EN CENTRO DIA, COMUNA DE ARICA</t>
  </si>
  <si>
    <t xml:space="preserve">Total M$ </t>
  </si>
  <si>
    <t>GORE</t>
  </si>
  <si>
    <t>URS</t>
  </si>
  <si>
    <t>DIFERENCIA</t>
  </si>
  <si>
    <t>Res N°7</t>
  </si>
  <si>
    <t>Res N°11</t>
  </si>
  <si>
    <t>Res N°13</t>
  </si>
  <si>
    <t>Res N°14</t>
  </si>
  <si>
    <t>Res N°15</t>
  </si>
  <si>
    <t>Res N°27</t>
  </si>
  <si>
    <t>Res N°29</t>
  </si>
  <si>
    <t>ACTUALIZACION PLANO REGULADOR COMUNA IQUIQUE</t>
  </si>
  <si>
    <t>Ejecución</t>
  </si>
  <si>
    <t>Tarapacá</t>
  </si>
  <si>
    <t>IQUIQUE</t>
  </si>
  <si>
    <t>ANALISIS RIESGOS ALUVIONALES SECTOR ALTOS DE PLAYA BLANCA, COMUNA DE IQUIQUE</t>
  </si>
  <si>
    <t>REGIONAL</t>
  </si>
  <si>
    <t>CONSTRUCCION RED ELECTRICA A LA COMUNA DE COLCHANE</t>
  </si>
  <si>
    <t>COLCHANE</t>
  </si>
  <si>
    <t>CONSTRUCCION ALCANTARILLADO CALETA CHANAVAYITA, IQUIQUE</t>
  </si>
  <si>
    <t>CONSTRUCCION CEMENTERIO MUNICIPAL, ALTO HOSPICIO, I REGION</t>
  </si>
  <si>
    <t>ALTO HOSPICIO</t>
  </si>
  <si>
    <t>CONSERVACION ACERAS Y SOLERAS EN COMUNA DE IQUIQUE, SECTOR SUR</t>
  </si>
  <si>
    <t>CONSTRUCCION COLEGIO MUNICIPAL, LA PAMPA, COMUNA  DE ALTO HOSPICIO</t>
  </si>
  <si>
    <t>Diseño</t>
  </si>
  <si>
    <t>CONSERVACION ACERAS Y SOLERAS COMUNA IQUIQUE, SECTOR NORTE, ETAPA I</t>
  </si>
  <si>
    <t>CONSERVACION ACERAS Y SOLERAS EN COMUNA DE IQUIQUE, SECTOR NORTE, ETAPA II</t>
  </si>
  <si>
    <t>RESTAURACION FACHADAS CALLE BAQUEDANO, ZONA TIPICA DE IQUIQUE</t>
  </si>
  <si>
    <t>RESTAURACION IGLESIA SAN ANTONIO DE PADUA Y CONVENTO FRANCISCANO</t>
  </si>
  <si>
    <t>CONSTRUCCION TERMAS DE CHUSMIZA, COMUNA DE HUARA</t>
  </si>
  <si>
    <t>CONSERVACION CENTRO CERRADO IQUIQUE</t>
  </si>
  <si>
    <t>RESTAURACION EDIFICIO SOCIEDAD PROTECTORA DE EMPLEADOS DE TARAPACA, MHN</t>
  </si>
  <si>
    <t>RESTAURACION EX CARCEL DE PISAGUA, PARA EL CENTRO DE INTERPRETACION HISTORICA</t>
  </si>
  <si>
    <t>CONSTRUCCION SISTEMA DE CAMARAS DE TELEVIGILANCIA COMUNA DE ALTO HOSPICIO</t>
  </si>
  <si>
    <t>CONSTRUCCION BORDE COSTERO CALETA CHANAVAYITA, IQUIQUE</t>
  </si>
  <si>
    <t>MEJORAMIENTO PSICINA CENTRO DEPORTIVO LA PAMPA</t>
  </si>
  <si>
    <t>CONSTRUCCION RED ELECTRICA VARIAS LOCALIDADES DE LA COMUNA DE HUARA</t>
  </si>
  <si>
    <t xml:space="preserve">HUARA </t>
  </si>
  <si>
    <t>CONSTRUCCION CENTRO COMUNITARIO  COMUNA IQUIQUE</t>
  </si>
  <si>
    <t>CONSTRUCCION POSTA DE SALUD RURAL DE CARIQUIMA, COMUNA DE COLCHANE</t>
  </si>
  <si>
    <t>REPOSICION POSTA SALUD RURAL DE LA TIRANA, COMUNA DE POZO ALMONTE</t>
  </si>
  <si>
    <t>POZO ALMONTE</t>
  </si>
  <si>
    <t>CONSTRUCCION RED ALCANTARILLADO SECTOR EL BORO PONIENTE</t>
  </si>
  <si>
    <t>CONSTRUCCION RED AGUA POTABLE, SECTOR BORO PONIENTE</t>
  </si>
  <si>
    <t>RESTAURACION ARQUITECTONICA EX ADUANA DE IQUIQUE</t>
  </si>
  <si>
    <t>CONSERVACION PLAN DE CCBB RUTA A-475 YA-475, PROVINCIA DEL TAMARUGAL, REGION DE TARAPACA</t>
  </si>
  <si>
    <t>CONSTRUCCION ARCHIVO REGIONAL DE TARAPACA</t>
  </si>
  <si>
    <t>CONSTRUCCION NUEVO RELLENO SANITARIO MANCOMUNADO</t>
  </si>
  <si>
    <t>CONSERVACION PLAN DE CCBB RUTAS A-855 Y A-412</t>
  </si>
  <si>
    <t>CONSTRUCCION CENTRO SALUD FAMILIAR COMUNA IQUIQUE</t>
  </si>
  <si>
    <t>REPOSICION SALA MULTIUSO DE CAMIÑA</t>
  </si>
  <si>
    <t>CAMIÑA</t>
  </si>
  <si>
    <t>REPOSICION CASAS DE HUESPEDES PARA FUNCIONARIOS  MUNICIPALES, DE LA SALUD Y EDUCACION</t>
  </si>
  <si>
    <t>REPOSICION ASCENSORES DEL HOSPITAL ERNESTO TO18ES G.</t>
  </si>
  <si>
    <t>CONSTRUCCION ILUMINACION SOLAR PARA MEJORAR SEGURIDAD RUTA A-469</t>
  </si>
  <si>
    <t>RESTAURACION ARQUITECTONICA TEATRO MUNICIPAL, IQUIQUE</t>
  </si>
  <si>
    <t>SANEAMIENTO CONTROL DE PLAGAS SECTOR EL BORO, ALTO HOSPICIO</t>
  </si>
  <si>
    <t>CAPACITACION TNENCIA RESPONSABLE DE MASCOTAS, REGION DE TARAPACA</t>
  </si>
  <si>
    <t>CAPACITACION EN SEPARACION DE RESIDUOS SOLIDOS DOMICILIARIOS INORGANICOS, COMUNA</t>
  </si>
  <si>
    <t>CONTROL DE LA POBLACION DE CANINOS SIN DUEÑO, REGION DE TARAPACA</t>
  </si>
  <si>
    <t>CONSTRUCCION CENTRO DE CONTROL DE TRANSITO-SCAT REGION DE TARAPACA</t>
  </si>
  <si>
    <t>REPOSICION ALUMBRADO PUBLICO CON TECNOLOGIA LED COMUNA DE COLCHANE</t>
  </si>
  <si>
    <t>MEJORAMIENTO DEPENDENCIAS MUNICIPALES POZO ALMONTE</t>
  </si>
  <si>
    <t>CONSERVACION RED VIAL, OBRAS DE EMERGENCIA RUTA A-475, S. ARIQUILDA-S.C RUTA A-457</t>
  </si>
  <si>
    <t>AMPLIACION DEL RELLENO SANITARIO DE PICA</t>
  </si>
  <si>
    <t>PICA</t>
  </si>
  <si>
    <t>REPOSICION ASCENSOR EDIFICIO INTENDENCIA REGIONAL DE TARAPACA, IQUIQUE</t>
  </si>
  <si>
    <t>MEJORAMIENTO ACCESIBILIDAD Y CONECTIVIDAD EN LA CIUDAD DE IQUIQUE</t>
  </si>
  <si>
    <t>CONSTRUCCION HOSPITAL ALTO HOSPICIO</t>
  </si>
  <si>
    <t>REPOSICION AREAS DAÑADAS CENTRO CULTURAL, ALTO HOSPICIO</t>
  </si>
  <si>
    <t xml:space="preserve">REPOSICION SEDE SOCIAL PARA LA LOCALIDAD DE POROMA, COMUNA DE HUARA </t>
  </si>
  <si>
    <t>RESTAURACION 2 MONUMENTOS NACIONALES DE PISAGUA</t>
  </si>
  <si>
    <t>CONSERVACION CUARTEL BARROS ARANA, PDI IQUIQUE</t>
  </si>
  <si>
    <t>RESTAURACION VIVIENDA ZONA TIPICA DE BAQUEDANO, EN ANIBAL PINTO DEL 770 AL 792, IQUIQUE</t>
  </si>
  <si>
    <t>REPOSICION INFRAESTRUCTURA DEPORTIVA Y SOCIAL COMPLEJO HERNAN VILLANUEVA, IQUQUE}</t>
  </si>
  <si>
    <t>DIAGNOSTICO PROVISION ACS JARDINES INFANTILES ADMINISTRADOS POR JUNJI, REGION</t>
  </si>
  <si>
    <t>DIAGNOSTICO PROVISION ACS CENTROS SALUD Y EDUCACION PUBLICA RURAL, TARAPACA</t>
  </si>
  <si>
    <t>DIAGNOSTICO Y CATASTRO DE LA PROPIEDAD REGULAR E IRREGULAR DEL SUBTERRITORIO DE</t>
  </si>
  <si>
    <t>DIAGNOSTICO BIODEVERSIDAD COSTERA DE TARAPACA</t>
  </si>
  <si>
    <t>ACTUALIZACION PLAN REGULADOR COMUNAL DE ALTO HOSPICIO</t>
  </si>
  <si>
    <t>CONSTRUCCION PLAZA ESMERALDA, COMUNA DE PICA</t>
  </si>
  <si>
    <t>CONSTRUCCION MUROS DE CONTENCION SECTORES CAMPING, TRONCALES Y ALTO CAMIÑA, CAMIÑA</t>
  </si>
  <si>
    <t>REPOSICION SEDE SOCIAL LOCALIDAD DE PACHICA</t>
  </si>
  <si>
    <t>NORMALIZACION REDES DE AGUA POTABLE, SECTOR ELENA CAFFARENA - IQUIQUE</t>
  </si>
  <si>
    <t>CONSERVACION EDIFICIO INTENDENCIA REGIONAL DE TARAPACÁ Y GOBERNACION PROVINCIAL DE IQUIQUE</t>
  </si>
  <si>
    <t>DIAGNOSTICO DE SOLUCIONES DE ELECTRIFICACION PARA HUARA, COLCHANE, PICA Y POZO ALMONTE</t>
  </si>
  <si>
    <t>CONSTRUCCION RED DE PUNTOS LIMPIOS REGION DE TARAPACA</t>
  </si>
  <si>
    <t>REPOSICION EDIFICIO JUNAEB REGIONAL TARAPACA. IQUIQUE</t>
  </si>
  <si>
    <t>CONSERVACION EDIF. INTENDENCIA REGIONAL Y GOB. REGIONAL DE TARAPACA</t>
  </si>
  <si>
    <t>MEJORAMIENTO INTEGRAL CANCHA DE FUTBOL EXVERTEDERO, ALTO HOSPICIO</t>
  </si>
  <si>
    <t>CONSERVACION CENTRO DE LA MUJER, COMUNA DE IQUIQUE</t>
  </si>
  <si>
    <t>CONSTRUCCION SISITEMA DE BIGILANCIA COMUNAL DE POZO ALMONTE</t>
  </si>
  <si>
    <t>REPOSICION ESTADIO TIERRA DE CAMPEONES, IQUIQUE</t>
  </si>
  <si>
    <t>MEJORAMIENTO AV. EJERCITO ENTRE H. AVILA Y RUTA 28, ANTOFAGASTA</t>
  </si>
  <si>
    <t xml:space="preserve">ANTOFAGASTA </t>
  </si>
  <si>
    <t>ANTOFAGASTA</t>
  </si>
  <si>
    <t>NORMALIZACION HOSPITAL 21 DE MAYO DE TALTAL (PREFACTIBILIDAD)</t>
  </si>
  <si>
    <t>Prefactibilidad</t>
  </si>
  <si>
    <t>TALTAL</t>
  </si>
  <si>
    <t>NORMALIZACIÓN DEL HOSPITAL DE MEJILLONES (PREFACTIBILIDAD)</t>
  </si>
  <si>
    <t>MEJILLONES</t>
  </si>
  <si>
    <t>REPOSICION DIAMANTE DE BEISBOL TOCOPILLA</t>
  </si>
  <si>
    <t>TOCOPILLA</t>
  </si>
  <si>
    <t>CONSTRUCCION CUARTEL DE BOMBEROS Y AREAS VERDES ARTURO PEREZ</t>
  </si>
  <si>
    <t>REPOSICIÓN VIVERO MUNICIPAL, ANTOFAGASTA</t>
  </si>
  <si>
    <t>REPOSICION JARDIN INFANTIL DE TOCONAO COMUNA S.P.A.</t>
  </si>
  <si>
    <t>SAN PEDRO DE ATACAMA</t>
  </si>
  <si>
    <t>REPOSICION POSTA RURAL PEINE COMUNA DE SAN PEDRO DE ATACAMA</t>
  </si>
  <si>
    <t>REPOSICION POSTA TOCONAO, COMUNA SAN PEDRO DE ATACAMA</t>
  </si>
  <si>
    <t>CONSTRUCCION PARQUE COMUNITARIO RENE SCHNEIDER</t>
  </si>
  <si>
    <t>CONSTRUCCIÓN COMPLEJO DEPORTIVO ESCOLAR CORVALLIS</t>
  </si>
  <si>
    <t>CONSTRUCCION COMPLEJO DEPORTIVO ESCOLAR MUNICIPAL</t>
  </si>
  <si>
    <t>CONSTRUCCION MEMORIAL TOPATER CALAMA</t>
  </si>
  <si>
    <t>CALAMA</t>
  </si>
  <si>
    <t>MEJORAMIENTO PLAZA DE ARMAS DE MARIA ELENA</t>
  </si>
  <si>
    <t>MARIA ELENA</t>
  </si>
  <si>
    <t>CONSTRUCCION CUARTEL DE BOMBEROS Y EQUIP. ANEXOS, LAS PALMERAS</t>
  </si>
  <si>
    <t>AMPLIACION CEMENTERIO GENERAL DE ANTOFAGASTA</t>
  </si>
  <si>
    <t xml:space="preserve">CONSTRUCCION RELLENO SANITARIO, COMUNA DE SIERRA GORDA </t>
  </si>
  <si>
    <t>SIERRA GORDA</t>
  </si>
  <si>
    <t>MEJORAMIENTO DE LAS DEPENDENCIAS DE LA ASOCIACION DE MUNICPALIDADES</t>
  </si>
  <si>
    <t>AMPLIACION Y RELOCALIZACION PARVULO ESCUELA E-26 SAN PEDRO DE ATACAMA</t>
  </si>
  <si>
    <t>REPOSICION AVDA. TENIENTE MERINO DE CHORRILLOS A TENIENTE URIBE, TOCOPILLA</t>
  </si>
  <si>
    <t>CONSTRUCCION CONSULTORIO GENERAL RURAL. DE SIERRA GORDA</t>
  </si>
  <si>
    <t>CONSTRUCCION DISPOSITIVO DE SALUD SAN PEDRO DE ATACAMA</t>
  </si>
  <si>
    <t>NORMALIZACION CENTRO ONCOLOGICO AMBULATORIO DE ANTOFAGASTA (COA)</t>
  </si>
  <si>
    <t xml:space="preserve">CONSTRUCCION BODEGA FARMACIA CENTRO ATENCION DEL NORTE </t>
  </si>
  <si>
    <t>CONSTRUCCION CUBIERTAS LIVIANAS EN MULTICANCHAS, CALAMA</t>
  </si>
  <si>
    <t>CONSTRUCCION CENTRO DE SALUD, REHABILITACIÓN DROGAS CALAMA (DISEÑO)</t>
  </si>
  <si>
    <t>CONSTRUCCION UNIDAD DE APOYO DIAGNOSTICO MEDICINA NUCLEAR EN COA</t>
  </si>
  <si>
    <t>CONSTRUCCION PLAZAS BARRIO DIEGO PORTALES PROGAMA QUIERO MI BARRIO</t>
  </si>
  <si>
    <t>CONSERVACION SOMBREADEROS PLAZAS CALAMA</t>
  </si>
  <si>
    <t>REPOSICION UNIDAD DE SALUD MENTAL DEL HOSPITAL DE TALTAL</t>
  </si>
  <si>
    <t>CONSTRUCCION NUEVO CEMENTERIO MUNICIPAL, CALAMA</t>
  </si>
  <si>
    <t>ACTUALIZACION PLAN DE DESARROLLO COMUNAL COMUNA DE TOCOPILLA</t>
  </si>
  <si>
    <t>REPOSICION POSTA RURAL CALETA PAPOSO</t>
  </si>
  <si>
    <t>REPOSICION GIMNASIO OHIGGINS COMUNA DE TOCOPILLA</t>
  </si>
  <si>
    <t xml:space="preserve">HABILITACION INMUEBLES MONUMENTOS NACIONALES (TEATRO Y EX FFCC) COMUNA DE TATAL </t>
  </si>
  <si>
    <t>AMPLIACION AVDA. P.AGUIRRE CERDA TRAMO LOS TAMARUGOS-ROTONDA, ANTOFAGASTA</t>
  </si>
  <si>
    <t>RESTAURACION BASILICA CORAZON DE MARIA DE ANTOFAGASTA</t>
  </si>
  <si>
    <t>CONSTRUCCION OBRAS DE MITIGACION SECTOR VILLA CHICA ANTOFAGASTA</t>
  </si>
  <si>
    <t>CONSERVACION CAMINO BASICO RUTA1, S: PAPOSO-CALETA EL COBRE, TALTAL</t>
  </si>
  <si>
    <t>MEJORAMIENTO CALLE 1 ALTOS LA CHIMBA, ANTOFAGASTA</t>
  </si>
  <si>
    <t>REPOSICION CALLE JAIME GUZMAN, LOCALIDAD DE BAQUEDANO</t>
  </si>
  <si>
    <t>CONSERVACION VIALIDAD CALLES LUIS CRUZ MARTINEZ Y LOS LEONES, ANTOFAGASTA</t>
  </si>
  <si>
    <t>CONSTRUCCION OBRAS DE VIALIDAD CONEXIÓN TOPATER-EJE BALMACEDA CALAMA</t>
  </si>
  <si>
    <t>REPOSICION JARDIN INFANTIL COMUNA MARIA ELENA</t>
  </si>
  <si>
    <t>CONSTRUCCION PASEO PEATONAL INDEPENDENCIA CALAMA</t>
  </si>
  <si>
    <t>AMPLIACION RED DE AGUA POTABLE LA CHIMBA ALTA, ANTOFAGASTA</t>
  </si>
  <si>
    <t>CONSTRUCCION VIAS ALUVIONALES CALLES O'HIGGINS Y COLON, TOCOPILLA</t>
  </si>
  <si>
    <t>CONSERVACION CAMINO BASICO POR CONSERVACION, RUTA B-161</t>
  </si>
  <si>
    <t>ANALISIS ZONIFICACION AREAS EXPUESTAS A PELIGROS DE REMOSION DE MASA</t>
  </si>
  <si>
    <t>ACTUALIZACION PLAN DE DESARROLLO COMUNAL COMUNA MEJILLONES</t>
  </si>
  <si>
    <t>CONSTRUCCION CUARTEL PREFECTURA PROVINCIAL TOCOPILLA - PDI</t>
  </si>
  <si>
    <t>RESTAURACION TEATRO PEDRO DE LA BARRA, ANTOFAGASTA</t>
  </si>
  <si>
    <t>RESTAURACION MUSEO MUNICIPAL DE MEJILLONES</t>
  </si>
  <si>
    <t>REPOSICION HOSPEDERIA HOGAR DE CRISTO CALAMA</t>
  </si>
  <si>
    <t>CONSTRUCCION HANGAR BRIGADA AEROPOLICIAL ANTOFAGASTA</t>
  </si>
  <si>
    <t>CONSERVACION CAMINO BASICO POR CONSERVACION, RUTA B-898, KM 24,640 AL KM 42,379, REG AFTA</t>
  </si>
  <si>
    <t>ADQUISICION LETREROS DE MENSAJERIA VARIABLE PARA EL CENTRO DE CONTROL DE TRANSITO ANTOFAGASTA</t>
  </si>
  <si>
    <t>CONSERVACION CARPETA PASTO SINTETICO ESTADIO BELMOR ROJAS TALTAL</t>
  </si>
  <si>
    <t>REPOSICION RED ELECTRICA LOCALIDAD DE QUILLAGUA</t>
  </si>
  <si>
    <t>REPOSICION Y RELOCALIZACION COMPLEJO EDUCATIVO, LOCALIDAD SIERRA GORDA</t>
  </si>
  <si>
    <t>CONSERVACION CAMINO BASICO RUTA B-245. KM 90,800 AL KM 113,100</t>
  </si>
  <si>
    <t>CONSERVACION CANCHA DE FUTBOL Y MULTICANCHAS PARQUE LOS PINARES</t>
  </si>
  <si>
    <t>REPOSICION CUARTA COMPAÑÍA DE BOMBEROS CALAMA DISEÑO</t>
  </si>
  <si>
    <t>REPOSICION MUSEO ARQUEOLÓGICO GUSTAVO LE PAIGE SAN PEDRO DE ATACAMA</t>
  </si>
  <si>
    <t>CONSERVACION CAMINO BÁSICO, RUTA B-245, KM 0,750 AL KM.22,100, SAN PEDRO DE ATACAMA</t>
  </si>
  <si>
    <t>CONSERVACION MONUMENTO NACIONAL CASA ABAROA DE ANTOFAGASTA</t>
  </si>
  <si>
    <t>MEJORAMIENTO BORDE COSTERO ANTOFAGASTA, SECTOR LOS PINARES-TROCADERO</t>
  </si>
  <si>
    <t>DIAGNOSTICO DE OCUPACION TERRENOS BORDE CERRO ANTOFAGASTA</t>
  </si>
  <si>
    <t>CONSTRUCCION 4TA COMPAÑÍA DE BOMBEROS DE LA COMUNA DE TOCOPILLA</t>
  </si>
  <si>
    <t>CONSERVACION MULTICANCHA SEDE SOCIAL BONILLA BAJO, ANTOFAGASTA</t>
  </si>
  <si>
    <t>31.04</t>
  </si>
  <si>
    <t>CONSERVACION PASTO SINTETICO CANCHA DE FUTBOL POLIDEPORTIVO CENTENARIO ANTOFAGASTA</t>
  </si>
  <si>
    <t>31.05</t>
  </si>
  <si>
    <t>CONSERVACION SEGURIDAD VIAL RUTA 1 Y B-710</t>
  </si>
  <si>
    <t>31.06</t>
  </si>
  <si>
    <t>MEJORAMIENTO BORDE COSTERO SECTOR LAS ALMEJAS COMUNA DE ANTOFAGASTA</t>
  </si>
  <si>
    <t>31.07</t>
  </si>
  <si>
    <t>REPARACION TENDIDO ELECTRICO SALAR PEINE LOCALIDAD DE PEINE COMUNA SPA</t>
  </si>
  <si>
    <t>Res N°1</t>
  </si>
  <si>
    <t>Construcción Estadio Municipal de Huasco</t>
  </si>
  <si>
    <t>EJECUCION</t>
  </si>
  <si>
    <t>ATACAMA</t>
  </si>
  <si>
    <t>HUASCO</t>
  </si>
  <si>
    <t>Reposición Infraestructura Portuaria Caleta Chañaral de Aceituno, Freirina</t>
  </si>
  <si>
    <t>FREIRINA</t>
  </si>
  <si>
    <t>Reposición Hospital Comunitario de Huasco</t>
  </si>
  <si>
    <t>Reposición Cesfam Bernardo Mellibovsky</t>
  </si>
  <si>
    <t>COPIAPO</t>
  </si>
  <si>
    <t>Construcción Subcomisaría Pedro León Gallo, Copiapó</t>
  </si>
  <si>
    <t>Reposición Hospital Comunitario Diego de Almagro</t>
  </si>
  <si>
    <t>DIEGO DE ALMAGRO</t>
  </si>
  <si>
    <t>Reposición Paseo Arturo Prat, Chañaral</t>
  </si>
  <si>
    <t>CHAÑARAL</t>
  </si>
  <si>
    <t>Mejoramiento Borde Costero Playa Brava y del Jefe, Caldera</t>
  </si>
  <si>
    <t>CALDERA</t>
  </si>
  <si>
    <t>Construcción Pista de Atletismo Copiapó</t>
  </si>
  <si>
    <t>Mejoramiento Borde Costero Huasco</t>
  </si>
  <si>
    <t>Reposición Escuela F-35 Fundición Paipote, Copiapó</t>
  </si>
  <si>
    <t>Reposición Edificio Consistorial Tierra Amarilla</t>
  </si>
  <si>
    <t>TIERRA AMARILLA</t>
  </si>
  <si>
    <t>Reposición Subcomisaría Huasco (M), Comuna de Huasco</t>
  </si>
  <si>
    <t>Construcción Parque Recreativo Huasco Bajo, Huasco</t>
  </si>
  <si>
    <t>Reposición Escalinatas Altiplano Norte, II Etapa, Vallenar</t>
  </si>
  <si>
    <t>VALLENAR</t>
  </si>
  <si>
    <t>Mejoramiento Sist. Radiocomunicación Parques Nacionales Atacama</t>
  </si>
  <si>
    <t>INTERCOMUNAL</t>
  </si>
  <si>
    <t>Construcción Piscina Temperada de la Comuna de Copiapó</t>
  </si>
  <si>
    <t>Construcción Nuevo Cementerio Municipal, Vallenar</t>
  </si>
  <si>
    <t>Construcción Polideportivo El Tránsito Alto del Carmen</t>
  </si>
  <si>
    <t>ALTO DEL CARMEN</t>
  </si>
  <si>
    <t>Construcción Casetas Sanit y Sist. Alcant La Arena, Comuna de Huasco</t>
  </si>
  <si>
    <t>Restauración Villa Viña de Cristo, Copiapó</t>
  </si>
  <si>
    <t>Construcción Polideportivo, Comuna de Tierra Amarilla</t>
  </si>
  <si>
    <t>Construcción Soluciones Sanitaria Localidad de Cachiyuyo, Vallenar</t>
  </si>
  <si>
    <t>Construcción Soluciones Sanitarias Localidad de Incahuasi, Vallenar</t>
  </si>
  <si>
    <t>Mejoramiento Plaza Manutara, Sector Aeropuerto, Chañaral</t>
  </si>
  <si>
    <t>Ampliación y Adecuaciones Biblioteca Municipal de Caldera</t>
  </si>
  <si>
    <t>Conservación Ruta Costera C-10, Sector: Caldera - Barranquilla</t>
  </si>
  <si>
    <t>Conservación Caminos Básicos Región de Atacama 2019-2020, Provincia de Chañaral</t>
  </si>
  <si>
    <t>Conservación Caminos Básicos Región de Atacama 2019-2020</t>
  </si>
  <si>
    <t>Conservación de Caminos Básicos, 2016 - 2018, Provincia de Chañaral</t>
  </si>
  <si>
    <t>PROVINCIA CHAÑARAL</t>
  </si>
  <si>
    <t>Conservación de Caminos Básicos, 2016 - 2019, Provincia de Copiapó</t>
  </si>
  <si>
    <t>PROVINCIA COPIAPO</t>
  </si>
  <si>
    <t>Conservación de Caminos Básicos, 2016 - 2019, Provincia de Huasco</t>
  </si>
  <si>
    <t>PROVINCIA HUASCO</t>
  </si>
  <si>
    <t>Construcción Museo Regional de Atacama, Copiapó</t>
  </si>
  <si>
    <t>Mejoramiento Eje Cívico Río de Janeiro, Freirina</t>
  </si>
  <si>
    <t>Construcción Parque Río de Oro, Población Canto de Agua, Huasco</t>
  </si>
  <si>
    <t>Construcción Soluciones Sanit y Obras Complementarias Carrizal Bajo</t>
  </si>
  <si>
    <t>Reposición Infraestructura de Semáforos Copiapó</t>
  </si>
  <si>
    <t>Mejoramiento Cancha de Fútbol Chanchoquin Grande Alto del Carmen</t>
  </si>
  <si>
    <t>Mejoramiento Cancha de Fútbol, La Pampa, Alto del Carmen</t>
  </si>
  <si>
    <t>Mejoramiento Plaza Aeropuerto, Chañaral</t>
  </si>
  <si>
    <t>Normalización Posta Rural Localidad Carrizalillo, Freirina</t>
  </si>
  <si>
    <t>Construcción Electrificación Llanos del Lagarto Comuna de Huasco</t>
  </si>
  <si>
    <t>337553</t>
  </si>
  <si>
    <t>Reposición Biblioteca Pública, Chañaral</t>
  </si>
  <si>
    <t>Reparación Estadio Techado Orlando Guaita, Copiapó</t>
  </si>
  <si>
    <t>Conservación Centro Cultural Copiapó</t>
  </si>
  <si>
    <t>Reposición Pav. Pob. José Miguel Carrera, Diego de Almagro</t>
  </si>
  <si>
    <t>Reposición Alumbrado Comuna de Diego de Almagro</t>
  </si>
  <si>
    <t>Reposición Cierre Perimetral Estadio Eladio Rojas Tierra Amarilla</t>
  </si>
  <si>
    <t>Construcción Muros de Contención, Area Comercial Calle Pedro Luján, El Salado, Chañaral</t>
  </si>
  <si>
    <t xml:space="preserve">Reposición Plaza Ignacio Carrera Pinto </t>
  </si>
  <si>
    <t xml:space="preserve">Construcción Segunda Compañía de Bomberos de Caldera  </t>
  </si>
  <si>
    <t>1070529</t>
  </si>
  <si>
    <t>Construcción Centro de Almacenaje y Emergencias, Alto Del Carmen</t>
  </si>
  <si>
    <t>Reposición Capilla y Comedor Social San Lorenzo, El Salado, Chañaral</t>
  </si>
  <si>
    <t>Instalación Semáforos en Intersección Jorge Rivera Con Dagoberto Godoy,Aeropuerto, Chañaral</t>
  </si>
  <si>
    <t>Reposición Parque Recreativo y Cultural Rancho Atacama, Comuna de Freirina, Etapa I</t>
  </si>
  <si>
    <t>2965767</t>
  </si>
  <si>
    <t>Mejoramiento Parque El Pretil I Etapa, Copiapó</t>
  </si>
  <si>
    <t>Reposición Sede Social José Miguel Carrera, Diego de Almagro</t>
  </si>
  <si>
    <t>Reposición Sede Social Villa Potrerillos, Diego de Almagro</t>
  </si>
  <si>
    <t>Ampliación Red de Agua Potable Huasco Bajo Sur, Huasco</t>
  </si>
  <si>
    <t>1782313</t>
  </si>
  <si>
    <t>Reposición Sede Vecinal José Santos Ossa, Comuna de Freirina</t>
  </si>
  <si>
    <t>Reposición Carpeta de Fútbol Estadio Huasco Bajo Sur</t>
  </si>
  <si>
    <t>Reposición Plaza María Cangana, Diego de Almagro</t>
  </si>
  <si>
    <t>Reposición Pavimentos Calle Lastaria, Diego de Almagro</t>
  </si>
  <si>
    <t>Construción Cancha de Fútbol y Camarines, Las Tablas, Freirina</t>
  </si>
  <si>
    <t>Construcción Relleno Sanitario de Diego de Almagro</t>
  </si>
  <si>
    <t>Reposición Plaza Nueva Esperanza Pob. Portal del Inca, Diego de Almagro</t>
  </si>
  <si>
    <t>Mejoramiento Puente Amolanas En Ruta C-447, Comuna De Tierra Amarilla 4</t>
  </si>
  <si>
    <t>Mejoramiento Puente Tirado, Localidad De Pabellón, Comuna De Tierra Amarilla</t>
  </si>
  <si>
    <t>Construcción Puente y Accesos, Localidad de Los Loros, Comuna de Freirina</t>
  </si>
  <si>
    <t>Construcción Espacio Público Mirador Cerro La Cruz, Estación Paipote Copiapó</t>
  </si>
  <si>
    <t>Mejoramiento Taludes Avenida Los Canales, Vallenar</t>
  </si>
  <si>
    <t>Reposición Skate Park Paseo Ribereño, vallenar</t>
  </si>
  <si>
    <t>Construcción Plaza Corazón, Chañaral</t>
  </si>
  <si>
    <t>Conservación Escuelas y Liceos Copiapó</t>
  </si>
  <si>
    <t>Conservación Escuelas y Liceos Provincia del Huasco</t>
  </si>
  <si>
    <t>Construcción Centro Oncológico de la Región de Atacama</t>
  </si>
  <si>
    <t>Conservación Calles y Vías II Etapa, Copiapó</t>
  </si>
  <si>
    <t>Conservación Oficina Copiapó y Dirección Regional del Registro Civil de Atacama</t>
  </si>
  <si>
    <t>Reposición Pavimentos Calle Latorre, Diego de Almagro</t>
  </si>
  <si>
    <t>Construcción Plaza Villa 4 de Octubre, Diego de Almagro</t>
  </si>
  <si>
    <t>Construcción Paseo San Francisco, Freirina</t>
  </si>
  <si>
    <t xml:space="preserve">Mejoramiento Pasaje Lippe, Chañaral </t>
  </si>
  <si>
    <t>Reposición Plaza de Armas Manuel Antonio Matta, Chañaral</t>
  </si>
  <si>
    <t>Construcción Pista Patinaje Tierra Viva, Copiapó</t>
  </si>
  <si>
    <t>Reposición Espacios Públicos, Estación Paipote Copiapó</t>
  </si>
  <si>
    <t>Reposición Jardín Infantil Pulgarcito, Estación Paipote, Copiapó</t>
  </si>
  <si>
    <t>Reposición Edificio Consistorial I. Municipalidad de Copiapó</t>
  </si>
  <si>
    <t>Construcción Centro de Servicios Estación Paipote, Copiapó</t>
  </si>
  <si>
    <t>Construcción cancha de Fútbol y camarines Las Tablas, Freirina</t>
  </si>
  <si>
    <t>20169586-0</t>
  </si>
  <si>
    <t>CONSTRUCCION EDIFICIO CONSISTORIAL DE COQUIMBO</t>
  </si>
  <si>
    <t>COQUIMBO</t>
  </si>
  <si>
    <t>01</t>
  </si>
  <si>
    <t>30123628-0</t>
  </si>
  <si>
    <t>MEJORAMIENTO CALLE EL ESFUERZO DE PICHIDANGUI, COMUNA DE LOS VILOS</t>
  </si>
  <si>
    <t>LOS VILOS</t>
  </si>
  <si>
    <t>30134340-0</t>
  </si>
  <si>
    <t>CONSTRUCCIÓN  PARQUE URBANO SECTOR EL BOSQUE, LOS VILOS</t>
  </si>
  <si>
    <t>40002659-0</t>
  </si>
  <si>
    <t>HABILITACIÓN UNIDAD DE MEDICINA HIPERBÁRICA, HOSPITAL DE COQUIMBO</t>
  </si>
  <si>
    <t>Ejecucion</t>
  </si>
  <si>
    <t>30460171-0</t>
  </si>
  <si>
    <t>REPOSICIÓN PLAZA DE ACCESO, LOS VILOS</t>
  </si>
  <si>
    <t>30483947-0</t>
  </si>
  <si>
    <t>MEJORAMIENTO PLAZA SERGIO SILVA, LOS VILOS</t>
  </si>
  <si>
    <t>05</t>
  </si>
  <si>
    <t>30070093-0</t>
  </si>
  <si>
    <t>NORMALIZACIÓN HOSPITAL DR HUMBERTO ELORZA CORTÉS, ILLAPEL</t>
  </si>
  <si>
    <t>ILLAPEL</t>
  </si>
  <si>
    <t>40003818-0</t>
  </si>
  <si>
    <t>RESTAURACIÓN IGLESIA DE SOTAQUÍ, COMUNA DE OVALLE</t>
  </si>
  <si>
    <t>OVALLE</t>
  </si>
  <si>
    <t>30124513-0</t>
  </si>
  <si>
    <t>AMPLIACIÓN EDIFICIO CONSISTORIAL, ANDACOLLO</t>
  </si>
  <si>
    <t>ANDACOLLO</t>
  </si>
  <si>
    <t>30085388-0</t>
  </si>
  <si>
    <t>REPOSICIÓN TENENCIA PAIHUANO COMUNA PAIHUANO</t>
  </si>
  <si>
    <t>PAIHUANO</t>
  </si>
  <si>
    <t>30097621-0</t>
  </si>
  <si>
    <t>HABILITACIÓN CASA DE LA MEMORIA COMUNA DE COQUIMBO</t>
  </si>
  <si>
    <t>40006352-0</t>
  </si>
  <si>
    <t>REPOSICIÓN CENTRO COMUNITARIO DE REHABILITACIÓN, COMUNA DE MONTE PATRIA</t>
  </si>
  <si>
    <t>MONTE PATRIA</t>
  </si>
  <si>
    <t>30001032-0</t>
  </si>
  <si>
    <t>REPOSICIÓN CONSULTORIO GENERAL URBANO DE SAN JUAN</t>
  </si>
  <si>
    <t>30066098-0</t>
  </si>
  <si>
    <t>CONSTRUCCIÓN CESFAM II EN SECTOR TIERRAS BLANCAS, COQUIMBO</t>
  </si>
  <si>
    <t>30045318-0</t>
  </si>
  <si>
    <t>CONSTRUCCIÓN III CESFAM URBANO OVALLE</t>
  </si>
  <si>
    <t>30098093-0</t>
  </si>
  <si>
    <t>CONSTRUCCIÓN INFR.PESQUERA CALETA PUERTO MANSO, CANELA</t>
  </si>
  <si>
    <t>CANELA</t>
  </si>
  <si>
    <t>30044384-0</t>
  </si>
  <si>
    <t>REPOSICIÓN CES FAMILIAR, RÍO HURTADO</t>
  </si>
  <si>
    <t>RÍO HURTADO</t>
  </si>
  <si>
    <t>30076274-0</t>
  </si>
  <si>
    <t>RESTAURACIÓN CASA GABRIELA MISTRAL EN LAS COMPAÑÍAS, LA SERENA</t>
  </si>
  <si>
    <t>LA SERENA</t>
  </si>
  <si>
    <t>40011860-0</t>
  </si>
  <si>
    <t>CONSTRUCCIÓN ESTADIO EL PUEBLO DE CHAÑARAL ALTO, MONTE PATRIA</t>
  </si>
  <si>
    <t>40007901-0</t>
  </si>
  <si>
    <t>MEJORAMIENTO ESTADIO MUNICIPAL DE PAIHUANO</t>
  </si>
  <si>
    <t>30109140-0</t>
  </si>
  <si>
    <t>AMPLIACIÓN SERVICIO MÉDICO LEGAL DE LA SERENA</t>
  </si>
  <si>
    <t>30481995-0</t>
  </si>
  <si>
    <t>RESTAURACIÓN MONUMENTO HISTÓRICO CASA PIÑERA, LA SERENA</t>
  </si>
  <si>
    <t>30131804-0</t>
  </si>
  <si>
    <t>CONSTRUCCIÓN PASEO MIRADOR LARRAÍN ALCALDE, COMUNA DE LA SERENA</t>
  </si>
  <si>
    <t>30108069-0</t>
  </si>
  <si>
    <t>CONSTRUCCIÓN COMPLEJO DEPORTIVO Y OBRAS COMPLEMENTARIAS - VEGAS SUR</t>
  </si>
  <si>
    <t>30100263-0</t>
  </si>
  <si>
    <t>REPOSICIÓN CUARTEL BICRIM COQUIMBO</t>
  </si>
  <si>
    <t>30109787-0</t>
  </si>
  <si>
    <t>REPÓSICIÓN CUARTEL DE BOMBEROS DE CERRILLOS DE TAMAYA, OVALLE</t>
  </si>
  <si>
    <t>30486418-0</t>
  </si>
  <si>
    <t>REPOSICIÓN INSTITUTO DE REHABILITACIÓN, TELETÓN, DE COQUIMBO</t>
  </si>
  <si>
    <t>30064663-0</t>
  </si>
  <si>
    <t>MEJORAMIENTO EDIFICIO CONSISTORIAL, OVALLE</t>
  </si>
  <si>
    <t>30100599-0</t>
  </si>
  <si>
    <t>REPOSICIÓN HOGAR MASCULINO, PUNITAQUI</t>
  </si>
  <si>
    <t>PUNITAQUI</t>
  </si>
  <si>
    <t>30484157-0</t>
  </si>
  <si>
    <t>MEJORAMIENTO ESPACIO PÚBLICO SECTOR ALTO ILLAPEL, COMUNA DE ILLAPEL</t>
  </si>
  <si>
    <t>30484216-0</t>
  </si>
  <si>
    <t>CONSERVACIÓN PAVIMENTOS AÑO 2017, REGIÓN DE COQUIMBO</t>
  </si>
  <si>
    <t>30409422-0</t>
  </si>
  <si>
    <t>CONSTRUCCIÓN CUBIERTA AREA DE EJERCICIOS Y EQUIPAMIENTO PARA RECREACIÓN COLEGIO PICHASCA</t>
  </si>
  <si>
    <t>40003225-0</t>
  </si>
  <si>
    <t>MEJORAMIENTO CAMINO ILLAPEL - CUZ CUZ, COMUNA DE ILLAPEL</t>
  </si>
  <si>
    <t>30431172-0</t>
  </si>
  <si>
    <t>CONSTRUCCIÓN URBANIZACIÓN BÁSICA LOCALIDAD DE ALTOVALSOL, COMUNA DE LA SERENA</t>
  </si>
  <si>
    <t>30484211-0</t>
  </si>
  <si>
    <t>REPOSICIÓN CUARTEL 1° COMPAÑÍA DE BOMBEROS, SINDEMPART, COQUIMBO</t>
  </si>
  <si>
    <t>30109832-0</t>
  </si>
  <si>
    <t>REPOSICIÓN COLEGIO YUNGAY DE EDUCACIÓN ESPECIAL, OVALLE</t>
  </si>
  <si>
    <t>30073178-0</t>
  </si>
  <si>
    <t>CONSTRUCCIÓN EDIFICIO CONSISTORIAL MUNICIPALIDAD DE LOS VILOS</t>
  </si>
  <si>
    <t>30484182-0</t>
  </si>
  <si>
    <t>CONSTRUCCIÓN CUARTEL DE BOMBEROS CUARTA COMPAÑÍA, OVALLE</t>
  </si>
  <si>
    <t>30293822-0</t>
  </si>
  <si>
    <t>REPOSICIÓN ESTADIO MUNICIPAL DE COMBARBNALÁ</t>
  </si>
  <si>
    <t>COMBARBALÁ</t>
  </si>
  <si>
    <t>30176022-0</t>
  </si>
  <si>
    <t>REPOSICIÓN POSTA DE SALUD RURAL CALETA LOS HORNOS, LA HIGUERA</t>
  </si>
  <si>
    <t>LA HIGUERA</t>
  </si>
  <si>
    <t>30369072-0</t>
  </si>
  <si>
    <t>REPOSICIÓN POSTA DE SALUD PISCO ELQUI, PAIHUANO</t>
  </si>
  <si>
    <t>40013536-0</t>
  </si>
  <si>
    <t>CONSTRUCCIÓN CENTRO DE ESTIMULACIÓN TEMPRANA PARA NIÑOS CON SINDROME DE DOWN, LA SERENA</t>
  </si>
  <si>
    <t>40007564-0</t>
  </si>
  <si>
    <t>CONSERVACIÓN CBC RUTA D-510, SECTOR HUAYANAY - EL TANGUE, COMUNA DE COQUIMBO</t>
  </si>
  <si>
    <t>40007666-0</t>
  </si>
  <si>
    <t>CONSERVACIÓN CBC RUTA D-540, S.PUNILLA - FRAY JORGE, COMUNA DE OVALLE, REGIÓN DE COQUIMBO</t>
  </si>
  <si>
    <t>30477535-0</t>
  </si>
  <si>
    <t>CONSTRUCCIÓN CANCHA SINTÉTICA COMPLEJO DEPORTIVO LAS ROSAS, COQIMBO</t>
  </si>
  <si>
    <t>30037147-0</t>
  </si>
  <si>
    <t>MEJORAMIENTO CALLE CAUPOLICÁN, SECTOR CENTRO CÍVICO, PUNITAQUI</t>
  </si>
  <si>
    <t>30483251-0</t>
  </si>
  <si>
    <t>HABILITACIÓN CENTRO DE EXTENSIÓN CULTURAL PARA EL PATRIMONIO, COMUNA DE LA SERENA</t>
  </si>
  <si>
    <t>30081585-0</t>
  </si>
  <si>
    <t>REPOSICIÓN RETÉN DE CARABINEROS CHAÑARAL ALTO, MONTE PATRIA.</t>
  </si>
  <si>
    <t>40006947-0</t>
  </si>
  <si>
    <t>CONSTRUCCIÓN POLIDEPORTIVO CIUDAD DE MONTE PATRIA, MONTE PATRIA</t>
  </si>
  <si>
    <t>40006948-0</t>
  </si>
  <si>
    <t>CONSTRUCCIÓN ESTRUCTURA TECHADA VARIOS ESTABLECIMIENTOS EDUCACIONALES, MONTE PATRIA</t>
  </si>
  <si>
    <t>30150676-0</t>
  </si>
  <si>
    <t>MEJORAMIENTO COMPLEJO DEPORTIVO DE PICHASCA, RIO HURTADO</t>
  </si>
  <si>
    <t>RIO HURTADO</t>
  </si>
  <si>
    <t>30473496-0</t>
  </si>
  <si>
    <t>MEJORAMIENTO MULTICANCHA FUNDINA, RÍO HURTADO</t>
  </si>
  <si>
    <t>30109398-0</t>
  </si>
  <si>
    <t>REPOSICIÓN PLAZA VILLA LOS LAGOS LOCALIDAD LAS RAMADAS PUNITAQUI</t>
  </si>
  <si>
    <t>30149176-0</t>
  </si>
  <si>
    <t>REPOSICIÓN RESIDENCIA DISCAPACIDAD SENAME COQUIMBO</t>
  </si>
  <si>
    <t>30086926-0</t>
  </si>
  <si>
    <t>CONSTRUCCIÓN ESTADIO MUNICIPAL DE CANELA</t>
  </si>
  <si>
    <t>30139823-0</t>
  </si>
  <si>
    <t>REPOSICIÓN POSTA DE SALUD RURAL CUNCUMEN, COMUNA DE SALAMANCA</t>
  </si>
  <si>
    <t>SALAMANCA</t>
  </si>
  <si>
    <t>30275183-0</t>
  </si>
  <si>
    <t>CONSTRUCCIÓN PASEO PEATONAL QUEBRADA EL CONSUELO, COMUNA DE SALMANCA</t>
  </si>
  <si>
    <t>30479844-0</t>
  </si>
  <si>
    <t>REPOSICIÓN POSTA DE TAHUINCO, COMUNA DE SALAMANCA</t>
  </si>
  <si>
    <t>40010119-0</t>
  </si>
  <si>
    <t>CONSTRUCCIÓN CENTRO DE DIALISIS LOS VILOS</t>
  </si>
  <si>
    <t>30106198-0</t>
  </si>
  <si>
    <t>CONSTRUCCIÓN VÍAS DE EVACUACIÓN ZONA COSTERA LA SERENA COQUIMBO</t>
  </si>
  <si>
    <t>40009903-0</t>
  </si>
  <si>
    <t>CONSERVACIÓN CBC RUTA D-190, S. CRUCE RUTA 5 - CHUNGUNGO, TRAMO 1, COMUNA LA HIGUERA</t>
  </si>
  <si>
    <t>30375950-0</t>
  </si>
  <si>
    <t>REPOSICIÓN CUARTEL BICRIM OVALLE</t>
  </si>
  <si>
    <t>OVALLLE</t>
  </si>
  <si>
    <t>30139872-0</t>
  </si>
  <si>
    <t>REPOSICIÓN POSTA SALUD RURAL DE LLIMPO, COMUNA DE SALAMANCA</t>
  </si>
  <si>
    <t>30109834-0</t>
  </si>
  <si>
    <t>REPOSICIÓN ESCUELA BÁSICA EL CRISOL, OVALLE</t>
  </si>
  <si>
    <t>40003078-0</t>
  </si>
  <si>
    <t>CONSTRUCCIÓN MACRO DEPÓSITO ARQUEOLÓGICO REGIONAL, REGIÓN DE COQUIMBO</t>
  </si>
  <si>
    <t>30139673-0</t>
  </si>
  <si>
    <t>MEJORAMIENTO CALLE MUNDO NUEVO, COMUNA DE SALAMANCA</t>
  </si>
  <si>
    <t>30124206-0</t>
  </si>
  <si>
    <t>CONSTRUCCIÓN TECHADO MULTICANCHA COLEGIO NUESTRA SEÑORA DEL ROSARIO, ANDACOLLO</t>
  </si>
  <si>
    <t>30100544-0</t>
  </si>
  <si>
    <t>CONSTRUCCIÓN ELECTRIFICACIÓN RURAL, VALLE DE CAMISAS, SALAMANCA</t>
  </si>
  <si>
    <t>30077750-0</t>
  </si>
  <si>
    <t>CONSTRUCCIÓN CASA DE ACOGIDA DE COMBARBALÁ - COMBARBALÁ</t>
  </si>
  <si>
    <t>COMBARBALA</t>
  </si>
  <si>
    <t>30098095-0</t>
  </si>
  <si>
    <t>CONSTRUCCIÓN INFR.PESQUERA CALETA  HUENTELAUQUEN, CANELA</t>
  </si>
  <si>
    <t>04</t>
  </si>
  <si>
    <t>40000508-0</t>
  </si>
  <si>
    <t>DIAGNÓSTICO TRANSPORTE PÚBLICO CONURBACIÓN COQUIMBO-LA SERENA</t>
  </si>
  <si>
    <t>COQUIMBO-LA SERENA</t>
  </si>
  <si>
    <t>30485976-0</t>
  </si>
  <si>
    <t>CONSTRUCCIÓN INTERCONEXIÓN VIAL RUTA 41 CH - BORDE COSTERO.PROV.ELQUI</t>
  </si>
  <si>
    <t>PROV.ELQUI</t>
  </si>
  <si>
    <t>40015360-0</t>
  </si>
  <si>
    <t>REPOSICIÓN JARDÍN NFANTIL MI PEQUEÑO TESORO ILLAPEL, COMUNA DE ILLAPEL</t>
  </si>
  <si>
    <t>40016415-0</t>
  </si>
  <si>
    <t>REPOSICIÓN POSTA DE SALUD RURAL HUINTIL, COMUNA DE ILLAPEL</t>
  </si>
  <si>
    <t>30078529-0</t>
  </si>
  <si>
    <t>CONSTRUCCIÓN CASA DE LA CULTURA, LOS VILOS</t>
  </si>
  <si>
    <t>30484185-0</t>
  </si>
  <si>
    <t>CONSTRUCCIÓN P.T.A.S Y RED DE ALCANTARILLADO DE CAREN, COMUNA DE MONTE PATRIA</t>
  </si>
  <si>
    <t>Factibilidad</t>
  </si>
  <si>
    <t>30484187-0</t>
  </si>
  <si>
    <t>CONSTRUCCIÓN P.T.A.S.Y RED ALCANTARILLADO DE RAPEL, COMUNA MONTE PATRIA</t>
  </si>
  <si>
    <t>30484184-0</t>
  </si>
  <si>
    <t>CONSTRUCCIÓN P.T.A.S.Y RED ALCANTARILLADO EL TOMÉ, COMUNA MONTE PATRIA</t>
  </si>
  <si>
    <t>30150774-0</t>
  </si>
  <si>
    <t>CONSTRUCCIÓN ELECTRIFICACIÓN LOCALIDAD RURAL LA CORTADERA, ANDACOLLO</t>
  </si>
  <si>
    <t>30124440-0</t>
  </si>
  <si>
    <t>AMPLIACIÓN PASEO PEATONAL CALLE J.T. URMENETA, ANDACOLLO</t>
  </si>
  <si>
    <t>10</t>
  </si>
  <si>
    <t>40014111-0</t>
  </si>
  <si>
    <t>REPOSICIÓN SERVICIO DE ESTERILIZACIÓN HOSPITAL SAN PABLO DE COQUIMBO</t>
  </si>
  <si>
    <t>30100596-0</t>
  </si>
  <si>
    <t>CONSTRUCCIÓN SISTEMA DE ELECTRIF.RURAL AJIAL DE QUILES PUNITAQUI</t>
  </si>
  <si>
    <t>30010979-0</t>
  </si>
  <si>
    <t>CONSTRUCCIÓN RED ELÉCTRICA DE CENTINELA ll - CARRIZAL, COMBARBALÁ</t>
  </si>
  <si>
    <t>20169732-0</t>
  </si>
  <si>
    <t>CONSTRUCCIÓN ELECTRIFICACIÓN RURAL LAS CAÑAS, CANELA</t>
  </si>
  <si>
    <t>30064400-0</t>
  </si>
  <si>
    <t>CONSTRUCCIÓN ELECTRIFICACIÓN RURAL HUINCHIGUALLEGO, CANELA</t>
  </si>
  <si>
    <t>40016397-0</t>
  </si>
  <si>
    <t>CONSTRUCCIÓN OBRAS DE URBANIZACIÓN, CHAÑARAL DE CARÉN, MONTE PATRIA</t>
  </si>
  <si>
    <t>40016396-0</t>
  </si>
  <si>
    <t>CONSTRUCCIÓN OBRAS DE URBANIZACIÓN, LOCALIDAD LOS MORALES, MONTE PATRIA</t>
  </si>
  <si>
    <t>30484167-0</t>
  </si>
  <si>
    <t>CONSTRUCCIÓN PARQUE URBANO DEL ENCUENTRO COMUNITARIO, PUNITAQUI</t>
  </si>
  <si>
    <t>40012802-0</t>
  </si>
  <si>
    <t>CONSTRUCCIÓN TECHADOS VARIOS ESTABLECIMIENTOS EDUCACIONALES, COMUNA DE PUNITAQUI</t>
  </si>
  <si>
    <t>30465392-0</t>
  </si>
  <si>
    <t>CONSERVACIÓN CAMINO BÁSICO RUTA D-457, SAMO ALTO-ANDACOLLO,TR-ELQUI</t>
  </si>
  <si>
    <t>PROVINCIA DE ELQUI</t>
  </si>
  <si>
    <t>30457897-0</t>
  </si>
  <si>
    <t>MEJORAMENTO COMPLEJO DEPORTIVO JUAN SOLDADO, COMUNA DE LA SERENA</t>
  </si>
  <si>
    <t>30124186-0</t>
  </si>
  <si>
    <t>MEJORAMIENTO CANCHA DE FUTBOL DE SERÓN, RÍO HURTADO</t>
  </si>
  <si>
    <t>30150673-0</t>
  </si>
  <si>
    <t>MEJORAMIENTO CANCHA DE FUTBOL DE HURTADO</t>
  </si>
  <si>
    <t>30393924-0</t>
  </si>
  <si>
    <t>MEJORAMIENTO PLAZA DE ARMAS DE PICHASCA, COMUNA DE RÍO HURTADO</t>
  </si>
  <si>
    <t>40009212-0</t>
  </si>
  <si>
    <t>HABILITACIÓN SALA PARA RESONADOR MAGNÉTICO Y ADECUACIONES EN U IMAGENOLOGÍA.H. COQUIMBO</t>
  </si>
  <si>
    <t>11</t>
  </si>
  <si>
    <t>30147622-0</t>
  </si>
  <si>
    <t>MEJORAMIENTO ESPACIO PÚBLICO AVENIDA BELTRÁN AMENÁBAR , ANDACOLLO</t>
  </si>
  <si>
    <t>40018067-0</t>
  </si>
  <si>
    <t>CONSERVACIÓN CABAÑA PDI JUNTAS DEL TORO</t>
  </si>
  <si>
    <t>40003156-0</t>
  </si>
  <si>
    <t>CONSTRUCCIÓN PLAZA DE ABASTOS VILLA LAMBERT, SECTOR LAS COMPAÑÍAS, LA SERENA</t>
  </si>
  <si>
    <t>30100126-0</t>
  </si>
  <si>
    <t>CONSTRUCCIÓN CESFAM SAN ISIDRO- CALINGASTA,VICUÑA</t>
  </si>
  <si>
    <t>VICUÑA</t>
  </si>
  <si>
    <t>24</t>
  </si>
  <si>
    <t>30130485-0</t>
  </si>
  <si>
    <t>MEJORAMIENTO ESPACIOS PUBLICOS SECTOR HUAMPULLA</t>
  </si>
  <si>
    <t>25</t>
  </si>
  <si>
    <t>30091815-0</t>
  </si>
  <si>
    <t>MEJORAMIENTO PARQUE URBANO AVENIDA SUR, COMBARBALÁ</t>
  </si>
  <si>
    <t>30432172-0</t>
  </si>
  <si>
    <t>CONSTRUCCIÓN PARQUE RECREATIVO SAN JOAQUÍN, LA SERENA</t>
  </si>
  <si>
    <t>40012771-0</t>
  </si>
  <si>
    <t>MEJORAMIENTO CANCHA N° 1,Comuna de Salamanca</t>
  </si>
  <si>
    <t>40009552-0</t>
  </si>
  <si>
    <t>RESTAURACIÓN DEL CONJUNTO TORRE BAUER, VICUÑA</t>
  </si>
  <si>
    <t>40012018-0</t>
  </si>
  <si>
    <t>HABILITACIÓN CENTRO DE ARTE Y CULTURA "ESPACIO ESTACIÓN", VICUÑA</t>
  </si>
  <si>
    <t>30484186-0</t>
  </si>
  <si>
    <t>CONSTRUCCIÓN DE OBRAS DE URBANIZACIÓN LOCALIDAD DE PEDREGAL</t>
  </si>
  <si>
    <t>40013598-0</t>
  </si>
  <si>
    <t>HABILITACION BASE SAMU INTERVENTORA SALAMANCA</t>
  </si>
  <si>
    <t>40009344-0</t>
  </si>
  <si>
    <t>CONSERVACIÓN EDIFICIO CONSISTORIAL COMBARBALÁ</t>
  </si>
  <si>
    <t>30447522-0</t>
  </si>
  <si>
    <t>CONSTRUCCIÓN PARQUE CHAÑARAL ALTO, COMUNA DE MONTE PATRIA</t>
  </si>
  <si>
    <t>34</t>
  </si>
  <si>
    <t>40013615-0</t>
  </si>
  <si>
    <t>40006217-0</t>
  </si>
  <si>
    <t>CONSERVACION EDIFICIO BICRIM LOS VILOS</t>
  </si>
  <si>
    <t>30086690-0</t>
  </si>
  <si>
    <t>MEJORAMIENTO ESTADIO MUNICIPAL, VICUÑA</t>
  </si>
  <si>
    <t>40000697-0</t>
  </si>
  <si>
    <t>CONSERVACIÓN CBC RUTA D-701, SECTOR  : LAS RAMADAS - EL CIÉNAGO, PUNITAQUI</t>
  </si>
  <si>
    <t>38</t>
  </si>
  <si>
    <t>Gasto Acumulado a Junio</t>
  </si>
  <si>
    <t>CONSTRUCCION SUBCOMISARÍA EL BELLOTO, COMUNA DE QUILPUÉ</t>
  </si>
  <si>
    <t>VALPARAISO</t>
  </si>
  <si>
    <t>QUILPUÉ</t>
  </si>
  <si>
    <t>REPOSICION PAVIM. CIRCUITO DE SAN JOSE A AMUNATEGUI, RECREO, VIÑA</t>
  </si>
  <si>
    <t>VIÑA DEL MAR</t>
  </si>
  <si>
    <t>CONSTRUCCION CENTRO DE SALUD RURAL SECTOR OCOA, HIJUELAS</t>
  </si>
  <si>
    <t>HIJUELAS</t>
  </si>
  <si>
    <t>CONSTRUCCION CENTRO DE PRODUCTOS TIPICOS, HIJUELAS</t>
  </si>
  <si>
    <t>ACTUALIZACION PLAN DE REGULADOR COMUNAL DE PAPUDO</t>
  </si>
  <si>
    <t>PAPUDO</t>
  </si>
  <si>
    <t xml:space="preserve">CONSERVACION CESFAM EDUARDO FREI, COMUNA VILLA ALEMANA </t>
  </si>
  <si>
    <t>VILLA ALEMANA</t>
  </si>
  <si>
    <t>MEJORAMIENTO PLAZA DE ARMAS, COMUNA DE PETORCA</t>
  </si>
  <si>
    <t>PETORCA</t>
  </si>
  <si>
    <t>CONSTRUCCION BY PASS RUTA E-85, TRAMO URBANO CUIDAD DE LOS ANDES (PREFACTIBILIDAD)</t>
  </si>
  <si>
    <t>MEJORAMIENTO AV.ARTURO PHILLIPS - GRAN AV. DEL MAR, SANTO DOMINGO</t>
  </si>
  <si>
    <t>SANTO DOMINGO</t>
  </si>
  <si>
    <t>REPOSICION CUARTEL DE INVESTIGACIÓN CRIMINAL LIMACHE (DISEÑO)</t>
  </si>
  <si>
    <t xml:space="preserve">DISEÑO </t>
  </si>
  <si>
    <t>LIMACHE</t>
  </si>
  <si>
    <t>CONSERVACION CONSERVACIÓN VIAL CALLES DE PLAYA ANCHA, ETAPA 2, VALPARAÍSO</t>
  </si>
  <si>
    <t>REPOSICION CUARTEL 5ª CIA DE BOMBEROS CURIMON, SAN FELIPE</t>
  </si>
  <si>
    <t>SAN FELIPE</t>
  </si>
  <si>
    <t>CONSTRUCCION CENTRO COMUNITARIO ADULTO MAYOR ALGARROBO</t>
  </si>
  <si>
    <t>ALGARROBO</t>
  </si>
  <si>
    <t>CONSERVACION ESCUELA JOHN KENNEDY, VIÑA DEL MAR</t>
  </si>
  <si>
    <t>REPOSICION SEDE SOCIAL U.V. N°88, VIÑA DEL MAR</t>
  </si>
  <si>
    <t>CONSERVACION BAÑOS Y DUCHAS ESCUELA E-124, VIÑA DEL MAR</t>
  </si>
  <si>
    <t>REPOSICION DE PAVIMENTACIÓN AVENIDA CARLOS ALESSANDRI, COMUNA DE ALGARROBO</t>
  </si>
  <si>
    <t xml:space="preserve">MEJORAMIENTO PAVIMENTACION AVDA LAS SALINAS DE PULLALLY, ETAPA 1, COMUNA DE PAPUDO </t>
  </si>
  <si>
    <t>CONSTRUCCION SANEAMIENTO SANITARIO CAMPAMENTO MANUEL BUSTOS ETAPA 1A, VIÑA DEL MAR</t>
  </si>
  <si>
    <t>CONSTRUCCION MURO DE CONTENCIÓN EN CALLE LAS HERAS, VIÑA DEL MAR</t>
  </si>
  <si>
    <t>MEJORAMIENTO PAVIMENTO AVENIDA GENERAL BULNES REA¿ACA VIÑA DEL MAR</t>
  </si>
  <si>
    <t>REPOSICION PAVIMENTO CALLE VICUÑA MACKENNA, ZAPALLAR</t>
  </si>
  <si>
    <t>ZAPALLAR</t>
  </si>
  <si>
    <t xml:space="preserve">CONSTRUCCION CENTRO COMUNITARIO UNION COMUNAL ADULTO MAYOR, COMUNA DE CABILDO </t>
  </si>
  <si>
    <t>CABILDO</t>
  </si>
  <si>
    <t>REPOSICION PAVIMENTO CALLE ARTURO PRAT, ZAPALLAR</t>
  </si>
  <si>
    <t xml:space="preserve">MEJORAMIENTO BORDE COSTERO PASEO DEL MAR, SANTO DOMINGO (DISEÑO) </t>
  </si>
  <si>
    <t>CONSTRUCCION PARADEROS RURALES COMUNA DE CABILDO</t>
  </si>
  <si>
    <t>MEJORAMIENTO PAVIMENTACION DE CALLE DE LAS ROCAS, COMUNA DE SANTO DOMINGO</t>
  </si>
  <si>
    <t>DIAGNOSTICO PLAN GESTIÓN RESERVA BIOSFERA LA CAMPANA-PEÑUELAS,R. VALPARAISO</t>
  </si>
  <si>
    <t>AMPLIACION RED AGUA POTABE CALLE CUATRO ESQUINAS, HIJUELAS</t>
  </si>
  <si>
    <t xml:space="preserve">REPOSICION PRIMERA COMPAÑÍA DE BOMBEROS, COMUNA DE ALGARROBO </t>
  </si>
  <si>
    <t>DIAGNOSTICO PLAN DE MANEJO DEL HUMEDAL RIO MAIPO, COMUNA DE SANTO DOMINGO</t>
  </si>
  <si>
    <t xml:space="preserve">REPOSICION ESCUELA LIMACHITO F-377, COMUNA DE LIMACHE </t>
  </si>
  <si>
    <t>CONSERVACION VIAL Y REPARACIÓN ESP. PÚBLICOS AV. MATTA ETAPA 1 VALPO</t>
  </si>
  <si>
    <t>21/09/221</t>
  </si>
  <si>
    <t>CONSTRUCCION ALCANTARILLADO DE AGUAS SERVIDAS LA TROYA, SAN FELIPE</t>
  </si>
  <si>
    <t xml:space="preserve">CONSTRUCCION ALCANTARILLADO NUEVO RENACER, VALLE DEL REAL LOS ANDES </t>
  </si>
  <si>
    <t>LOS ANDES</t>
  </si>
  <si>
    <t>REPOSICION ESTADIO CENTENARIO COMUNA DE LOS ANDES</t>
  </si>
  <si>
    <t xml:space="preserve">REPOSICION PAVIMENTO TRASLAVIÑA ORIENTAL Y ETCHEVERS, VIÑA DEL MAR </t>
  </si>
  <si>
    <t>REPOSICION CUARTEL TERCERA COMPAÑIA DE BOMBEROS DE LIMACHE</t>
  </si>
  <si>
    <t xml:space="preserve">MEJORAMIENTO PAVIMENTO CALLE EL MOLINO, COMUNA SAN ESTEBAN </t>
  </si>
  <si>
    <t>SAN ESTEBAN</t>
  </si>
  <si>
    <t xml:space="preserve">REPOSICION PAVIMENTOS CALLE BAQUEDANO, COMUNA DE LIMACHE </t>
  </si>
  <si>
    <t>MEJORAMIENTO CIRCUITO DE CALLES VILLA EL SOL Y LA CONCEPCION, CATEMU</t>
  </si>
  <si>
    <t>CATEMU</t>
  </si>
  <si>
    <t>MEJORAMIENTO ALUMBRADO PÚBLICO RURAL PUTAENDO</t>
  </si>
  <si>
    <t>PUTAENDO</t>
  </si>
  <si>
    <t>REPOSICION CUARTEL DE BOMBEROS 2° COMPAÑIA LOS ANDES</t>
  </si>
  <si>
    <t>MEJORAMIENTO PAVIMENTACIÓN AV. EL PERAL, COMUNA EL TABO</t>
  </si>
  <si>
    <t>EL TABO</t>
  </si>
  <si>
    <t>CONSERVACION EDIFICIO ESCUELA DE DERECHO UNIVERSIDAD DE VALPARAÍSO</t>
  </si>
  <si>
    <t>VALPARAÍSO</t>
  </si>
  <si>
    <t>CONSTRUCCION CENTRO PLANETARIO COMUNA DE CALLE LARGA</t>
  </si>
  <si>
    <t>CALLE LARGA</t>
  </si>
  <si>
    <t>CONSTRUCCION SISTEMA ALCANTARILLADO SECTOR EL SAUCE LOS ANDES</t>
  </si>
  <si>
    <t>CONSERVACION COMPLEJO DEPORTIVO JUAN VERA VELASQUEZ, COMUNA DE SANTO DOMINGO</t>
  </si>
  <si>
    <t>REPOSICION LUMINARIAS PUBLICAS DE LA COMUNA DE NOGALES</t>
  </si>
  <si>
    <t>NOGALES</t>
  </si>
  <si>
    <t>AMPLIACION SERVICIO DE AGUA POTABLE RURAL HUALCAPO LAS PALMAS, HIJUELAS</t>
  </si>
  <si>
    <t>MEJORAMIENTO CALLE AVIADOR ACEVEDO, BELLOTO. QUILPUÉ</t>
  </si>
  <si>
    <t>QUILPUE</t>
  </si>
  <si>
    <t>CONSTRUCCION SEDE JUNTA VECINAL NUEVA RPC Y OBRAS C. CONCON</t>
  </si>
  <si>
    <t>CONCON</t>
  </si>
  <si>
    <t>CONSTRUCCION ALCANTARILLADO Y P.E.A.S. SECTOR CALLE ANCHA COMUNA DE SANTA MARIA</t>
  </si>
  <si>
    <t>SANTA MARIA</t>
  </si>
  <si>
    <t>MEJORAMIENTO CIRCUITO CALLE PEDRO MONTT, WENCESLAO VIDAL Y ALBERTO NAVARRO. QUILPUÉ</t>
  </si>
  <si>
    <t>CONSTRUCCION CUARTEL PRIMERA COMPAÑIA DE BOMBEROS DE EL QUISCO</t>
  </si>
  <si>
    <t>EL QUISCO</t>
  </si>
  <si>
    <t>CONSTRUCCION TALLER MONTAJE INDUSTRIAL LICEO SAN ESTEBAN</t>
  </si>
  <si>
    <t>REPOSICION SEDE ADMINISTRATIVA PARQUE NACIONAL LA CAMPANA OLMUE</t>
  </si>
  <si>
    <t>MEJORAMIENTO CALLE PABLO RAMIREZ. QUILPUÉ</t>
  </si>
  <si>
    <t>CONSTRUCCION PAVIMENTACIÓN Y AGUAS LLUVIAS CONEXIÓN QUEBRADA LAS CASAS, COMUNA DE ALGARROBO</t>
  </si>
  <si>
    <t>CONSTRUCCIÓN REDES DE ALCANTARILLADO SECTOR EL PIMIENTO, CALLE LARGA</t>
  </si>
  <si>
    <t>MEJORAMIENTO PAVIMENTACION AVENIDA COSTANERA, SECTOR SAN SEBASTIAN, COMUNA DE CARTAGENA</t>
  </si>
  <si>
    <t>CARTAGENA</t>
  </si>
  <si>
    <t>ACTUALIZACION PLAN DE DESARROLLO COMUNA COMUNA LLAY- LLAY</t>
  </si>
  <si>
    <t>LLAY LLAY</t>
  </si>
  <si>
    <t xml:space="preserve">NORMALIZACION CUARTEL PRIMERA COMPAÑÍA. DE BOMBEROS, LLAY - LLAY </t>
  </si>
  <si>
    <t>NORMALIZACION LICEO POLITÉCNICO COMUNA LLAY LLAY</t>
  </si>
  <si>
    <t>CONSTRUCCION REDES DE ALCANTARILLADO CURIMÓN CENTRO, SAN FELIPE</t>
  </si>
  <si>
    <t>MEJORAMIENTO SEDE SOCIAL JJ.VV POBLACION MORANDE, LLAY-LLAY</t>
  </si>
  <si>
    <t>AMPLIACION ALUMBRADO PUBLICO VARIOS SECTORES RURALES COMUNA DE SAN FELIPE</t>
  </si>
  <si>
    <t>MEJORAMIENTO PAVIMENTACIÓN AVENIDA ALGARROBO, COMUNA DE ALGARROBO</t>
  </si>
  <si>
    <t>DIAGNOSTICO PLAN DE DESARROLLO TURISTICO PROVINCIA MARGA MARGA</t>
  </si>
  <si>
    <t>ACTUALIZACION PLAN REGULADOR COMUNAL, COMUNA LA LIGUA</t>
  </si>
  <si>
    <t>LA LIGUA</t>
  </si>
  <si>
    <t>MEJORAMIENTO ALUMBRADO PUBLICO URBANO PUTAENDO</t>
  </si>
  <si>
    <t>CONSTRUCCION RETÉN PLAYA ANCHA, VALPARAISO</t>
  </si>
  <si>
    <t>CONSTRUCCION EXTENSIÓN RED ALCANTARILLADO CRUCE SAN JUAN, SAN ANTON.</t>
  </si>
  <si>
    <t>SAN ANTONIO</t>
  </si>
  <si>
    <t>CONSTRUCCION CENTRO INTERDISCIPLINARIO DE NEUROCIENCIA, VALPARAISO</t>
  </si>
  <si>
    <t>DIFUSION Y DESARROLLO DE ESCUELAS DEPORTIVAS PARA NIÁ¿OS Y ADOLESCENTES DE VILLA ALEMANA</t>
  </si>
  <si>
    <t>CONSTRUCCION PARQUE DEPORTIVO VELODOROMO REGIONAL VILLA ALEMANA (DISEÑO)</t>
  </si>
  <si>
    <t>CONSTRUCCION RED ALCANTARILLADO CALLE BULNES, OLMUÉ</t>
  </si>
  <si>
    <t>OLMUÉ</t>
  </si>
  <si>
    <t>CONSTRUCCION CENTRO CULTURAL COMUNA DE CONCON</t>
  </si>
  <si>
    <t>CONCÓN</t>
  </si>
  <si>
    <t xml:space="preserve">CONSTRUCCION MURO DE CONTENCIÓN CALLE LOS LIRIOS, VIÑA DEL MAR </t>
  </si>
  <si>
    <t>REPOSICION CUARTEL CUERPO BOMBEROS DE RINCONADA (DISEÑO)</t>
  </si>
  <si>
    <t>RINCONADA</t>
  </si>
  <si>
    <t>AMPLIACION RED DE ALCANTARILLADO VALLE LOS OLMOS, PETORCA (DISEÑO)</t>
  </si>
  <si>
    <t>REPOSICION CUARTEL 8 CÍA. BOMBEROS, VIÑA DEL MAR</t>
  </si>
  <si>
    <t>CONSTRUCCION RED DE ALCANTARILLADO CALLE PORTALES, OLMUE</t>
  </si>
  <si>
    <t>CONSTRUCCION RED DE ALCANTARILLADO SECTOR LO SALAS ALTO, OLMUE</t>
  </si>
  <si>
    <t>MEJORAMIENTO EJE CINCO ORIENTE-QUILLOTA, VIÑA DEL MAR (PREFACTIBILIDAD)</t>
  </si>
  <si>
    <t>CONSTRUCCION MURO DE CONTENCIÓN ESQUINA CALLE UNO - LIBERTAD, VIÑA DEL MAR</t>
  </si>
  <si>
    <t>MEJORAMIENTO ESPACIO PUBLICO BOULEVARD AVENIDA JOSÉ TOMAS URMENETA (DISEÑO)</t>
  </si>
  <si>
    <t>MEJORAMIENTO CALLE CUARTEL, COMUNA DE PETORCA</t>
  </si>
  <si>
    <t>CONSTRUCCION RED ALCANTARILLADO SECTOR CAI CAI ALTO, OLMUE</t>
  </si>
  <si>
    <t>REPOSICION CESFAM VALLE LOS LIBERTADORES, PUTAENDO (DISEÑO)</t>
  </si>
  <si>
    <t>CONSTRUCCION SISTEMA DE AGUA POTABLE RURAL CAMINO VIEJO LO CAMPO, (DISEÑO)</t>
  </si>
  <si>
    <t>PANQUEHUE</t>
  </si>
  <si>
    <t>CONSTRUCCION SUBCOMISARIA FORESTAL ALTO, COMUNA DE VIÑA DEL MAR (DISEÑO)</t>
  </si>
  <si>
    <t>CONSTRUCCION ALCANTARILLADO SECTOR GRANALLAS, PUTAENDO (DISEÑO)</t>
  </si>
  <si>
    <t>CONSTRUCCION PLAZA ALTOS DEL BOSQUE, COMUNA VIÑA DEL MAR (DISEÑO)</t>
  </si>
  <si>
    <t xml:space="preserve">REPOSICION DE SISTEMA DE REDES ELECTRICAS SASIPA SECTOR VAITEA - ISLA DE </t>
  </si>
  <si>
    <t>ISLA DE PASCUA</t>
  </si>
  <si>
    <t>CONSTRUCCION SISTEMA ALCANTARILLADO SECTORES VILCUYA-BOCATOMA, LOS ANDES (DISEÑO)</t>
  </si>
  <si>
    <t>CONSTRUCCION SISTEMA ALCANTARILLADO EL ALGARROBO TERRAPLEN LOS ANDES</t>
  </si>
  <si>
    <t xml:space="preserve">CONSTRUCCION SISTEMA ALCANTARILLADO PARTICULAR VILLA ACONCAGUA LOS ANDES </t>
  </si>
  <si>
    <t xml:space="preserve">CONSTRUCCION SISTEMA ALCANTARILLADO PARTICULAR LOS PEUMOS LOS ANDES </t>
  </si>
  <si>
    <t>MEJORAMIENTO PAVIMENTO EJE VIAL AVDA. ALESSANDRI - AVDA. STA. TERESA COMUNA DE SAN ESTEBAN (DISEÑO)</t>
  </si>
  <si>
    <t>ACTUALIZACION PLADECO COMUNA DE OLMUE</t>
  </si>
  <si>
    <t>MEJORAMIENTO CALLE CONSTITUCION, COMUNA DE QUILPUE</t>
  </si>
  <si>
    <t>CONSTRUCCION EXTENSION REDES ALCANTARILLADO Y AGUA POTABLE, CALLE LOS ARRAYANES, V ALEMANA (DISEÑO)</t>
  </si>
  <si>
    <t>CONSTRUCCION ALCANTARILLADO Y AGUA POTABLE, CALLE LOS EUCALIPTUS, VILLA ALEMANA</t>
  </si>
  <si>
    <t>MEJORAMIENTO PAVIMENTO CALLE HUANHUALI ENTRE CALLE NIEBLA Y TRONCAL SUR, VILLA ALEMANA (DISEÑO)</t>
  </si>
  <si>
    <t xml:space="preserve">REPOSICION DE LA 1RA COMPAÑÍA DE BOMBEROS DE VILLA ALEMANA </t>
  </si>
  <si>
    <t>ACTUALIZACION PLAN DE DESARROLLO COMUNAL LA CALERA 2021-2024</t>
  </si>
  <si>
    <t>LA CALERA</t>
  </si>
  <si>
    <t>ANALISIS PLAN DE DESARROLLO TURISTICO COMUNA DE LA CALERA</t>
  </si>
  <si>
    <t>NORMALIZACION ESCUELA BASICA LA VIÑA, CABILDO (DISEÑO)</t>
  </si>
  <si>
    <t>REPOSICION LUMINARIAS EN QUINQUIMO, PLACILLA Y LA CHIMBA, COMUNA DE LA LIGUA</t>
  </si>
  <si>
    <t>CONSTRUCCION ALCANTARILLADO Y AGUA POTABLE SECTOR LAS CATITAS, COMUNA PUCHUNCAVI</t>
  </si>
  <si>
    <t>PUCHUNCAVÍ</t>
  </si>
  <si>
    <t>MEJORAMIENTO PAVIMENTACIÓN Y AGUAS LLUVIAS ISLA TEJA; CONDELL; SANTA.FILOMENA, QUINTERO</t>
  </si>
  <si>
    <t>QUINTERO</t>
  </si>
  <si>
    <t>CONSERVACION REPARACIONES DE EMERGENCIA ETAPA 3, VARIOS CERROS, VALPARAISO</t>
  </si>
  <si>
    <t>CONSERVACION CESFAM QUEBRADA VERDE PLAYA ANCHA VALPARAISO</t>
  </si>
  <si>
    <t xml:space="preserve">MEJORAMIENTO PAVIMENTACIÓN AVENIDA PRINCIPAL, SECTOR LAGUNA VERDE, COMUNA DE VALPARAISO </t>
  </si>
  <si>
    <t>REPOSICION PAVIMENTACION CALLE INGENIERO HYATT, CERRO CORDILLERA VALPARAISO</t>
  </si>
  <si>
    <t>CONSTRUCCION ARCHIVO REGIONAL DE VALPARAISO (DISEÑO)</t>
  </si>
  <si>
    <t>ACTUALIZACION PLADETUR Y DEFINICION ZOIT COMUNA DE VIÑA DEL MAR</t>
  </si>
  <si>
    <t xml:space="preserve">CONSTRUCCION CUARTEL USAR FT-1 CUERPO DE BOMBEROS DE VIÑA DEL MAR </t>
  </si>
  <si>
    <t>MEJORAMIENTO PASEO CALLE VALPARAISO PONIENTE DE VIÑA DEL MAR</t>
  </si>
  <si>
    <t xml:space="preserve">REPOSICION CIRCUITO CALLE LOS AROMOS  - EL BOLDO VIÑA DE MAR </t>
  </si>
  <si>
    <t>CONSTRUCCION SISTEMA DE AGUA POTABLE RURAL ARTURO PRAT, PANQUEHUE (DISEÑO)</t>
  </si>
  <si>
    <t>RESTAURACION IGLESIA, CONVENTO Y MUSEO COLONIAL SAN FRANCISCO DE CURIMON, SAN FELIPE (DISEÑO)</t>
  </si>
  <si>
    <t>REPOSICION AVDA. YUNGAY Y CALLE ARTEMON CIFUENTES, SAN FELIPE</t>
  </si>
  <si>
    <t>CONSTRUCCION SISTEMA DE ILUMINACION RECINTO CD BOCA JUNIORS, COMUNA DE SANTA MARIA</t>
  </si>
  <si>
    <t xml:space="preserve">CONSTRUCCION SISTEMA DE ILUMINACION RECINTO CD ALIANZA CATOLICA, COMUNA DE SANTA MARIA </t>
  </si>
  <si>
    <t>ACTUALIZACION PLADECO 2021 2025 COMUNA DE PUTAENDO</t>
  </si>
  <si>
    <t>CONSTRUCCION PARQUE URBANO SECTOR EL LITRE , COMUNA DE ALGARROBO</t>
  </si>
  <si>
    <t>MEJORAMIENTO PAVIMENTACION AVENIDA DE LA PLAZA, COMUNA DE CARTAGENA</t>
  </si>
  <si>
    <t>CONSTRUCCION ALCANTAR Y AA.PP LOS PERALES LAURO BARROS SAN ANTONIO</t>
  </si>
  <si>
    <t>MEJORAMIENTO INTEGRAL AERÓDROMO RODELILLO REGION DE VALPARAISO (DISEÑO)</t>
  </si>
  <si>
    <t xml:space="preserve">CONSTRUCCION SISTEMA DE ALCANTARILLADO SECTOR RIECILLO LOS ANDES </t>
  </si>
  <si>
    <t xml:space="preserve">CONSTRUCCION SISTEMA DE ALCANTARILLADO PARTICULAR LAS VIZCACHAS II LOS ANDES </t>
  </si>
  <si>
    <t>INSTALACION DE SISTEMA DE AGUA POTABLE RURAL VILLA DISPUTADA, COMUNA DE NOGALES</t>
  </si>
  <si>
    <t>CONSTRUCCION EXTENSION DE REDES AGUA POTABLE Y ALCANTARILLADO LA LAGUNA, COMUNA DE ZAPALLAR</t>
  </si>
  <si>
    <t>CONSTRUCCION SISTEMA ALCANTARILLADO EL ALGARROBO TERRAPLEN LOS ANDES (DISEÑO)</t>
  </si>
  <si>
    <t>CONSTRUCCION ESTACION DE TRANSFERENCIA DE RESIDUOS SOLIDOS COMUNA DE CABILDO (DISEÑO)</t>
  </si>
  <si>
    <t>CONSTRUCCION SISTEMA ALCANTARILLADO SECTOR GUZMANES, PUTAENDO (DISEÑO)</t>
  </si>
  <si>
    <t>CONSTRUCCION RED DE ALCANTARILLADO PASAJE ARANCIBIA, OLMUE</t>
  </si>
  <si>
    <t>CONSERVACION VIAL Y REPARACIÓN ESP. PÚBLICOS AV. MATTA ETAPA 2 VALPO</t>
  </si>
  <si>
    <t>REPOSICION OFICINA REGISTRO CIVIL DE QUIPUÉ</t>
  </si>
  <si>
    <t>CONSTRUCCION RED DE ALCANTARILLADO DEL SECTOR PLACILLA/LA CHIMBA, COMUNA DE LA LIGUA (DISEÑO)</t>
  </si>
  <si>
    <t>CONSTRUCCION ALCANTARILLADO Y AGUA POTABLE CHINCOLCO CENTRO, PETORCA (DISEÑO)</t>
  </si>
  <si>
    <t xml:space="preserve">DIAGNOSTICO PLAN MARCO DE DESARROLLO TERRITORIAL VALLES DE CABILDO Y PETORCA </t>
  </si>
  <si>
    <t>CONSTRUCCION CENTRO ARTÍSTICO CULTURAL Y PATRIMONIAL PUTAENDO (DISEÑO)</t>
  </si>
  <si>
    <t>CONSTRUCCION GIMNASIO COMUNAL PANQUEHUE (DISEÑO)</t>
  </si>
  <si>
    <t>RESTAURACION SEGUNDO TRAMO CALLE COMERCIO PUTAENDO (DISEÑO)</t>
  </si>
  <si>
    <t>CONSTRUCCION SISTEMA DE ALCANTARILLADO PARTICULAR LAS VIZCACHAS II LOS ANDES (DISEÑO)</t>
  </si>
  <si>
    <t>MEJORAMIENTO INFRAESTRUCTURA DEPORTIVA CLUB NEW CRUSADERS VALPARAISO (DISEÑO)</t>
  </si>
  <si>
    <t>MEJORAMIENTO SISTEMA DE AGUA POTABLE RURAL PALOMAR INTERIOR, PANQUEHUE (DISEÑO)</t>
  </si>
  <si>
    <t>REPOSICION SISTEMA DE AGUA POTABLE RURAL POBLACION BULNES, PANQUEHUE (DISEÑO)</t>
  </si>
  <si>
    <t>MEJORAMIENTO SISTEMA DE AGUA POTABLE RURAL VILLA LO CAMPO, PANQUEHUE (DISEÑO)</t>
  </si>
  <si>
    <t>MEJORAMIENTO SISTEMA DE AGUA POTABLE RURAL POBLACION 9 DE OCTUBRE, PANQUEHUE (DISEÑO)</t>
  </si>
  <si>
    <t>RESTAURACION CAPILLA LO VICUÑA, COMUNA DE PUTAENDO.</t>
  </si>
  <si>
    <t>CONSTRUCCION COMPLEJO DE PISCINAS MUNICIPALES VILLA OLIMPICA, QUILPUÉ</t>
  </si>
  <si>
    <t>REPOSICION ESTADIO MUNICIPAL DE MIRAFLORES, VIÑA DEL MAR</t>
  </si>
  <si>
    <t>HABILITACION MUSEO UNIVERSITARIO DEL GRABADO, VALPARAÍSO</t>
  </si>
  <si>
    <t>CONSTRUCCION ALCANTARILLADO Y AGUA POTABLE VARIOS SECTORES, PETORCA</t>
  </si>
  <si>
    <t>MEJORAMIENTO ESPACIO PUBLICO AVENIDA BRASIL, COMUNA DE VALPARAISO (DISEÑO)</t>
  </si>
  <si>
    <t>MEJORAMIENTO  ,ESPACIOS PÚBLICOS II ETAPA CENTRO NOGALES</t>
  </si>
  <si>
    <t>CONSERVACION Y REPARACION EDIFICIO ESMERALDA VALPARAISO</t>
  </si>
  <si>
    <t>MEJORAMIENTO SISTEMA DE AGUA POTABLE RURAL LOS LIBERTADORES, PANQUEHUE (DISEÑO)</t>
  </si>
  <si>
    <t>CONSTRUCCION DE POLIDEPORTIVO LIMACHE (DISEÑO)</t>
  </si>
  <si>
    <t>MEJORAMIENTO CALLE MADRID, BELLOTO SUR. QUILPUE</t>
  </si>
  <si>
    <t>CONSTRUCCION PAVIMENTO CALLE CARCEL PARQUE CULTURAL VALPO</t>
  </si>
  <si>
    <t>MEJORAMIENTO PLAZA LAS MARAVILLAS, VIÑA DEL MAR (DISEÑO)</t>
  </si>
  <si>
    <t>CONSTRUCCION MURO DE CONTENCIÓN EN CALLE DARWIN, VIÑA DEL MAR</t>
  </si>
  <si>
    <t>CONSTRUCCION TUNEL LA GRUPA 2 PROV. PETORCA (DISEÑO)</t>
  </si>
  <si>
    <t>NORMALIZACION CONEXIÓN SCAT SAN ANTONIO</t>
  </si>
  <si>
    <t>CONSTRUCCION PLANTA DE GENERACIÓN FOTOVOLTAICA PARA SECTOR VAI A REPA, RAPA NUI</t>
  </si>
  <si>
    <t>MEJORAMIENTO PAVIMENTACIÓN CALLE PERFECTO DE LA FUENTE, RINCONADA</t>
  </si>
  <si>
    <t>REPOSICION CENTRO DE FORMACIÓN ACADÉMICA PERFECTO DE LA FUENTE, RINCONADA (DISEÑO)</t>
  </si>
  <si>
    <t>CONSTRUCCION EXTENSIÓN REDES PÚBLICAS DE ALCANTARILLADO Y EEAS, VILLA RINCONADA, RINCONADA</t>
  </si>
  <si>
    <t>MEJORAMIENTO CALLE COOPERACIÓN (FLAMARIÓN - SAN FRANCISCO DE ASÍS). QUILPUÉ</t>
  </si>
  <si>
    <t>MEJORAMIENTO CIRCUITO CALLES DEL NOGAL, EL LITRE Y DEL PLATERO, POB. ESPERANZA. QUILPUE</t>
  </si>
  <si>
    <t xml:space="preserve">MEJORAMIENTO Y HABILITACIÓN CALLE EL OCASO, BELLOTO SUR. QUILPUÉ </t>
  </si>
  <si>
    <t>REPOSICION PAVIMENTOS CALLE CONDELL, COMUNA DE LIMACHE</t>
  </si>
  <si>
    <t>MEJORAMIENTO PAVIMENTO CALLE NUEVA HIPÓDROMO, VILLA ALEMANA (DISEÑO)</t>
  </si>
  <si>
    <t xml:space="preserve">NORMALIZACION ESCUELA BASICA VALLE DE ARTIFICIO, CABILDO. (DISEÑO) </t>
  </si>
  <si>
    <t>REPOSICION DE LUMINARIAS PUBLICAS SECTOR VALLE HERMOSO, COMUNA DE LA LIGUA</t>
  </si>
  <si>
    <t>REPOSICION LUMINARIAS PUBLICAS VIAS COLECTORAS, COMUNA DE QUILLOTA</t>
  </si>
  <si>
    <t>QUILLOTA</t>
  </si>
  <si>
    <t>CONSTRUCCION CENTRO INTEGRAL DE VALORIZACIÓN DE RSD, COMUNA DE NOGALES (DISEÑO)</t>
  </si>
  <si>
    <t>CONSTRUCCION ALCANTARILLADO PUBLICO SECTOR SAN CARLOS, COMUNA DE NOGALES</t>
  </si>
  <si>
    <t xml:space="preserve">MEJORAMIENTO PAVIMENTACION CIRCUITO LINCOLN, ARGENTINA, F. EDMANS Y STO DOMIGO, EL TABO </t>
  </si>
  <si>
    <t>ACTUALIZACION PLAN REGULADOR, COMUNA DE PUCHUNCAVI</t>
  </si>
  <si>
    <t>MEJORAMIENTO PAVIMENTACION AVENIDA PEDRO AGUIRRE CERDA, COMUNA DE CARTAGENA</t>
  </si>
  <si>
    <t>MEJORAMIENTO CALLES BALMACEDA, J.J. DEL CANTO E IRARRAZABAL, CATEMU</t>
  </si>
  <si>
    <t>CONSTRUCCION PAVIMENTO CALLE SEPTIMO DE LINEA, CATEMU</t>
  </si>
  <si>
    <t>MEJORAMIENTO PAVIMENTO Y ATRAVIESOS CALLE I.CARRERA PINTO, LLAY -LLAY</t>
  </si>
  <si>
    <t>REPOSICION RECINTO CENTRO COMUNITARIO ESCUADRA II, COMUNA DE SAN FELIPE.</t>
  </si>
  <si>
    <t>REPOSICION SEDE COMUNITARIA EL TAMBO, COMUNA SAN FELIPE</t>
  </si>
  <si>
    <t>REPOSICION PAVIMENTO CALLE BELISARIO MONTENEGRO, SAN FELIPE (DISEÑO)</t>
  </si>
  <si>
    <t xml:space="preserve">REPOSICION MUTICANCHA ESCUELA BUCALEMU, SAN FELIPE </t>
  </si>
  <si>
    <t>MEJORAMIENTO RECINTO CLUB DEPORTIVO LOS HUSARES, COMUNA DE SANTA MARIA</t>
  </si>
  <si>
    <t>CONSTRUCCION POLIDEPORTIVO MUNICIPAL DE CASABLANCA</t>
  </si>
  <si>
    <t>CASABLANCA</t>
  </si>
  <si>
    <t>CONSTRUCCION PAVIMENTACIÓN CALLE SALAS, QUINTERO</t>
  </si>
  <si>
    <t>CONSTRUCCION PAVIMENTACIÓN CALLE JOSE BRITO, QUINTERO</t>
  </si>
  <si>
    <t>CONSTRUCCION SEDE SOCIAL UV 10 ROCUANT, VALPARAISO</t>
  </si>
  <si>
    <t>REPOSICION CUARTEL DUODECIMA COMPAÑÍA DE BOMBEROS VALPARAISO</t>
  </si>
  <si>
    <t>CONSTRUCCION CENTRO OPERATIVO DE VEHÍCULOS DE EMERGENCIA DE INCENDIOS FORESTALES, VALPARAÍSO (DISEÑO)</t>
  </si>
  <si>
    <t>MEJORAMIENTO PAVIMENTACION CIRCUITO LOMAS LATORRE - ACHUPALLAS VIÑA DEL</t>
  </si>
  <si>
    <t>CONSTRUCCION SEDE SOCIAL ASOCIACIÓN DE FÚTBOL GÓMEZ CARREÑO, VIÑA DEL MAR.</t>
  </si>
  <si>
    <t xml:space="preserve">REPOSICION CUARTEL DE BOMBEROS 10 COMPAÑIA, MIRAFLORES DE VIÑA DEL MAR </t>
  </si>
  <si>
    <t>REPOSICION TENENCIA REÑACA, COMUNA DE VIÑA DEL MAR (DISEÑO)</t>
  </si>
  <si>
    <t>REPOSICION CESFAM DE PUCHUNCAVI</t>
  </si>
  <si>
    <t>MEJORAMIENTO PAVIMENTO CIRCUITO LOS ROMEROS COMUNA DE CONCÓN</t>
  </si>
  <si>
    <t xml:space="preserve">CONSTRUCCION PLANTA DE COMPOSTAJE, CASABLANCA </t>
  </si>
  <si>
    <t>CONSTRUCCION SISTEMA DE ALCANTARILLADO SECTOR RIECILLO LOS ANDES (DISEÑO)</t>
  </si>
  <si>
    <t>HABILITACION CASA MUSEO Y CULTURA GABRIELA MISTRAL, LOS ANDES (DISEÑO)</t>
  </si>
  <si>
    <t>RESTAURACION DEL EDIFICIO PONTIFICIA UNIVERSIDAD CATOLICA DE VALPARAISO</t>
  </si>
  <si>
    <t>HABILITACION IMAGENOLOGIA COMPLEJA HOSPITAL EDUARDO PEREIRA, VALPO</t>
  </si>
  <si>
    <t>ANALISIS DIAGNOSTICO ESTRUCTURAL PUENTES VIÑA DEL MAR</t>
  </si>
  <si>
    <t>MEJORAMIENTO PAVIMENTO CALLE SEXTA ENTRE LIMA Y OCTAVA, VILLA ALEMANA</t>
  </si>
  <si>
    <t>CONSTRUCCION ALCANTARILLADO Y AGUA POT.,LA GRUTA, PETORCA</t>
  </si>
  <si>
    <t>CONSTRUCCION PARQUE MIRAVALLE VILLA ALEMANA (DISEÑO)</t>
  </si>
  <si>
    <t>REPOSICION CUARTEL PREFECTURA PROVINCIAL LOS ANDES</t>
  </si>
  <si>
    <t>CONSTRUCCION SISTEMA ALCANTARILLADO RURAL LO CAMPO PANQUEHUE (DISEÑO)</t>
  </si>
  <si>
    <t>RESTAURACION IGLESIA Y CONVENTO SAN FRANCISCO DEL BARÓN, VALPARAÍSO</t>
  </si>
  <si>
    <t xml:space="preserve">CONSTRUCCION CENTRO INTEGRAL DEL ADULTO MAYOR, QUILPUÉ </t>
  </si>
  <si>
    <t>REPOSICION ACELERADOR LINEAL Y BUNKER HCVB</t>
  </si>
  <si>
    <t>MEJORAMIENTO PAVIMENTACIÓN A.V. ERRAZURIZ, COMUNA EL TABO</t>
  </si>
  <si>
    <t>MEJORAMIENTO PAVIMENTACIÓN CIRCUITO VIAL AERÓDROMO, COMUNA DE SANTO DOMINGO</t>
  </si>
  <si>
    <t>MEJORAMIENTO MIRADOR O´HIGGINS, COMUNA DE VALPARAÍSO (DISEÑO)</t>
  </si>
  <si>
    <t>CONSTRUCCION CENTRO COMUNITARIO AGRUPACION JJ.VV. SAN PEDRO. QUILLOTA</t>
  </si>
  <si>
    <t xml:space="preserve">CONSTRUCCCION DE RED DE ALCANTARILLADO Y AGUA POTABLE CALLE SANTA ANA, VILLA ALEMANA  </t>
  </si>
  <si>
    <t xml:space="preserve">CONSTRUCCION RECINTO COMUNITARIO LOS CIPRESES VILLA ALEMANA </t>
  </si>
  <si>
    <t>REPOSICION PAVIMENTO CALLE GERMAN RIESCO, ZAPALLAR</t>
  </si>
  <si>
    <t>CONSTRUCCION ALCANTARILLADO SECTOR LAS PARCELAS - CALLE YUNGAY, COMUNA CARTAGENA</t>
  </si>
  <si>
    <t>CONSTRUCCION ALCANTARILLADO Y AGUA POTABLE SECTOR EL MÉDANO, COMUNA PUCHUNCAVÍ</t>
  </si>
  <si>
    <t xml:space="preserve">CONSTRUCCION RED AGUA POTABLE CALLEJÓN LOS JIMENEZ SAN ESTEBAN </t>
  </si>
  <si>
    <t>HABILITACION CENTRO CULTURAL LA CALERA</t>
  </si>
  <si>
    <t>CONSTRUCCION MUROS DE CONTENCIÓN AV. LOS CARRERA. QUILPUÉ.</t>
  </si>
  <si>
    <t>ACTUALIZACION PLAN REGULADOR COMUNAL, VILLA ALEMANA</t>
  </si>
  <si>
    <t>MEJORAMIENTO PAVIMENTACIÓN CALLE ENRIQUE LAGOS, COMUNA EL TABO</t>
  </si>
  <si>
    <t>REPOSICION CESFAM CURIMON, SAN FELIPE (DISEÑO)</t>
  </si>
  <si>
    <t>REPOSICION ESTADIO MUNICIPAL EL TABO</t>
  </si>
  <si>
    <t xml:space="preserve">CONSTRUCCION CENTRO COMUNITARIO, VILLA EL MIRADOR, QUILPUE  </t>
  </si>
  <si>
    <t>ACTUALIZACION PLAN DE DESARROLLO COMUNAL SAN ESTEBAN</t>
  </si>
  <si>
    <t>REPOSICION PAVIMENTO CALLE PETORQUITA, COMUNA DE HIJUELAS</t>
  </si>
  <si>
    <t xml:space="preserve">CONSTRUCCION CUARTEL DE BOMBEROS 3a COMPAÑÍA, EL RETIRO, QUILPUE. </t>
  </si>
  <si>
    <t>MEJORAMIENTO PUENTE COPIAPO, COMUNA DE HIJUELAS (DISEÑO)</t>
  </si>
  <si>
    <t>MEJORAMIENTO PAVIMENTO Y ATRAVIESOS AV. FERROCARRIL, LLAY-LLAY</t>
  </si>
  <si>
    <t>REPOSICION ESTADIO FISCAL COMUNA PUTAENDO (DISEÑO)</t>
  </si>
  <si>
    <t>CONSTRUCCION MULTICANCHA VILLA PEDRO DE VALDIVIA, COMUNA DE SAN FELIPE</t>
  </si>
  <si>
    <t>REPOSICION SEDE COMUNITARIA VILLA CORDILLERA, COMUNA DE SAN FELIPE</t>
  </si>
  <si>
    <t>REPOSICION LUMINARIAS PÚBLICAS DIVERSOS SECTORES COMUNA DE ALGARROBO</t>
  </si>
  <si>
    <t>REPOSICION CUARTEL 6° COMPAÑÍA DE BOMBEROS DE PANQUEHUE</t>
  </si>
  <si>
    <t>CONSTRUCCION RECINTO COMUNITARIO ASOCIACION DE FUTBOL UNION PEÑA BLANCA, VILLA ALEMANA</t>
  </si>
  <si>
    <t>REPOSICION BIBLIOTECA MUNICIPAL N° 126 DE SAN FELIPE</t>
  </si>
  <si>
    <t>MEJORAMIENTO MIRADORES Y VEREDAS CALLE DINAMARCA, VALPARAISO (DISEÑO)</t>
  </si>
  <si>
    <t>REPOSICION INSTALACIONES DEPORTIVAS PARQUE VISTA AL MAR, COMUNA CONCON</t>
  </si>
  <si>
    <t>CONSTRUCCION COMPLEJO DEPORTIVO MUNICIPAL, COMUNA DE LA CRUZ</t>
  </si>
  <si>
    <t>LA CRUZ</t>
  </si>
  <si>
    <t>REPOSICION PAVIMENTOS LOS PENSAMIENTOS (QUEBR. EXISTENTE-LAGO VILLARICA, REÑACA ALTO, VIÑA</t>
  </si>
  <si>
    <t>REPOSICION PAVIMENTOS CALLE INDEPENDENCIA, COMUNA DE LIMACHE</t>
  </si>
  <si>
    <t>CONSTRUCCION SEDE VECINAL MARIA LUISA BOMBAL, VIÑA DEL MAR</t>
  </si>
  <si>
    <t>MEJORAMIENTO TEATRO MUNICIPAL, LLAY-LLAY</t>
  </si>
  <si>
    <t>REPOSICION CENTRO DEPORTIVO FORTIN FERROVIARIO, COMUNA DE LLAY-LLAY</t>
  </si>
  <si>
    <t>MEJORAMIENTO PAVIMENTACION AVENIDA PEÑABLANCA, COMUNA DE ALGARROBO (DISEÑO)</t>
  </si>
  <si>
    <t>MEJORAMIENTO CALLE SAN FRANCISCO DE ASÍS (ORTIZ VEGA - SOLIDARIDAD). QUILPUÉ</t>
  </si>
  <si>
    <t xml:space="preserve">QUILPUE </t>
  </si>
  <si>
    <t>MEJORAMIENTO PAVIMENTACION AVENIDA SANTA TERESITA, COMUNA DE ALGARROBO (DISEÑO)</t>
  </si>
  <si>
    <t>MEJORAMIENTO CIRCUITO AV. COSTANERA Y CALLE VICENTE PEREZ ROSALES, COMUNA DE ALGARROBO</t>
  </si>
  <si>
    <t>MEJORAMIENTO ESPACIO PUBLICO LONGITUDINAL AVENIDA CURAUMA, VALPARAISO (DISEÑO)</t>
  </si>
  <si>
    <t>MEJORAMIENTO PAVIMENTACIÓN CALLE LA MUNICIPALIDAD COMUNA DE ALGARROBO</t>
  </si>
  <si>
    <t>REPOSICION PAVIMENTO CALLE ANTONIO VARAS, LLAY-LLAY</t>
  </si>
  <si>
    <t>CONSTRUCCION EXTENSIÓN RED ALCANTARILLADO SECTOR EL CANELO, COMUNA DE ALGARROBO</t>
  </si>
  <si>
    <t>MEJORAMIENTO PAVIMENTACIÓN CALLE BERLIN, COMUNA DE CARTAGENA</t>
  </si>
  <si>
    <t>REPOSICION ACERAS CALLE ARLEGUI PONIENTE COMUNA DE VIÑA DEL MAR</t>
  </si>
  <si>
    <t>CONSTRUCCION MURO DE CONTENCIÓN EN CALLE PADRE HURTADO, VIÑA DEL MAR</t>
  </si>
  <si>
    <t>ACTUALIZACION PLADECO 2021-2026 COMUNA DE CARTAGENA</t>
  </si>
  <si>
    <t>ACTUALIZACION PLAN REGULADOR COMUNA DE OLMUE</t>
  </si>
  <si>
    <t>ACTUALIZACION PLAN REGULADOR COMUNAL, COMUNA EL TABO</t>
  </si>
  <si>
    <t>CONSERVACION PAVIMENTOS EN CALLES Y PASAJES DAMERO CENTRAL COMUNA SAN ESTEBAN</t>
  </si>
  <si>
    <t>CONSERVACION VIAL CALLES DE PLAYA ANCHA, ETAPA 1, VALPARAÍSO</t>
  </si>
  <si>
    <t>CONSERVACION INTEGRAL PISCINA MUNICIPAL, CALLE LARGA</t>
  </si>
  <si>
    <t>CONSERVACION JARDIN INFANTIL-SALA CUNA CONCONCITO Y PUENTE COLMO</t>
  </si>
  <si>
    <t>ACTUALIZACION Y DESARROLLO PLAN REGULADOR COMUNAL DE LLAY-LLAY</t>
  </si>
  <si>
    <t>REPOSICION GIMNASIO MUNICIPAL LA CALERA (DISEÑO)</t>
  </si>
  <si>
    <t>REPOSICION PARQUE DEPORTIVO Y RECREATIVO DEL PACÍFICO SAN ANTONIO (DISEÑO)</t>
  </si>
  <si>
    <t xml:space="preserve">CONSTRUCCION SISTEMA ALCANTARILLADO SECTOR GUZMANES, PUTAENDO </t>
  </si>
  <si>
    <t xml:space="preserve">NORMALIZACION ESCUELA RAMON BARROS LUCO, VALPARAISO </t>
  </si>
  <si>
    <t>ANALISIS DESARROLLO ECONÓMICO, COMUNA DE SAN ANTONIO</t>
  </si>
  <si>
    <t>DIAGNOSTICO DEFICIT SANEAMIENTO COMUNAL ZAPALLAR</t>
  </si>
  <si>
    <t>DIAGNOSTICO PLAN DESARROLLO TURISTICO COMUNA PUTAENDO</t>
  </si>
  <si>
    <t>ACTUALIZACION PLAN REGULADOR DE LA COMUNA DE ALGARROBO</t>
  </si>
  <si>
    <t>ACTUALIZACION PLAN DE DESARROLLO COMUNAL QUILLOTA</t>
  </si>
  <si>
    <t>CONSTRUCCION PUENTE LOS CASTAÑOS, ESTERO MARGA MARGA, VIÑA DEL MAR</t>
  </si>
  <si>
    <t>CONSTRUCCION SAR SEGISMUNDO ITURRA, SAN FELIPE (DISEÑO)</t>
  </si>
  <si>
    <t>REPOSICION OFICINA PROVINCIAL CONAF ISLA DE PASCUA</t>
  </si>
  <si>
    <t>MEJORAMIENTO PAVIMENTACIÓN Y AGUAS LLUVIAS CALLE DAGOBERTO GODOY, QUINTERO</t>
  </si>
  <si>
    <t>REPOSICION CESFAM EL TABO</t>
  </si>
  <si>
    <t xml:space="preserve">CONSTRUCCION CIERRE VERTEDERO MUNICIPAL, PUCHUNCAVI </t>
  </si>
  <si>
    <t>CONSTRUCCION COLECTORES AGUAS LLUVIAS, CALLE ARTURO PRAT, LOS ANDES</t>
  </si>
  <si>
    <t>CONSTRUCCION SEDE ADULTO MAYOR - DISCAPACIDAD Y OBRAS COMPLEMEN CONCÓN</t>
  </si>
  <si>
    <t>CONSTRUCCION SEDE SOCIAL PARA LA JUVENTUD Y OBRAS COMPL. CONCON</t>
  </si>
  <si>
    <t>MEJORAMIENTO RECINTO DEPORTIVO LA FEBRE , HIJUELAS</t>
  </si>
  <si>
    <t>REPOSICION DE LUMINARIAS CON EXTENSION DE A.P. CALLE ESMERALDA, COMUNA DE LA LIGUA</t>
  </si>
  <si>
    <t>REPOSICION DE LUMINARIAS PÚBLICAS SECTOR COSTERO LOS MOLLES, COMUNA DE LA LIGUA</t>
  </si>
  <si>
    <t>NORMALIZACION HOSPITAL EDUARDO PEREIRA, VALPARAISO (PREFACTIBILIDAD)</t>
  </si>
  <si>
    <t>AMPLIACION SEDE SOCIAL ALTOS DEL BOSQUE UV N°164, VIÑA DEL MAR.</t>
  </si>
  <si>
    <t>CONSTRUCCION CENTRO COMUNITARIO CASA LÓPEZ, CABILDO</t>
  </si>
  <si>
    <t>REPOSICION CLUB SOCIAL Y DEPORTIVO ESPAÑOL, COMUNA SAN ANTONIO</t>
  </si>
  <si>
    <t>AMPLIACION ALUMBRADO PÚBLICO DIVERSOS CAMINOS PÚBLICOS, PUCHUNCAVÍ</t>
  </si>
  <si>
    <t>MEJORAMIENTO PAVIMENTO SALVADOR VERGARA, ENTRE O HIGGINS Y FRESIA, REÑACA, VIÑA DEL MAR</t>
  </si>
  <si>
    <t>CONSERVACION CIERRE PERIMETRAL Y CIERRE OLIMPICO COMPLEJO DEPORTIVO MUNICIPAL  PUCHUNCAVI</t>
  </si>
  <si>
    <t>MEJORAMIENTO INTEGRAL CLUB DEPORTIVO DEFENSOR CRISTO REY SAN ANTONIO</t>
  </si>
  <si>
    <t>REPOSICION CUARTEL BICRIM PDI, VILLA ALEMANA (DISEÑO)</t>
  </si>
  <si>
    <t>MEJORAMIENTO PAVIMENTO CIRCUITO CIRCUNVALACION SAN IGNACIO-CALLE SAN IGNACIO, LLAY - LLAY</t>
  </si>
  <si>
    <t>MEJORAMIENTO PLANTA DE TRATAMIENTO SECTOR RIO BLANCO LOS ANDES</t>
  </si>
  <si>
    <t>ACTUALIZACION PLAN REGULADOR COMUNAL DE PUTAENDO</t>
  </si>
  <si>
    <t>CONSTRUCCION SISTEMA DE ALCANTARILLADO QUEBRADA HERRERA, PUTAENDO (DISEÑO)</t>
  </si>
  <si>
    <t>CONSTRUCCION ALCANTARILLADO SECTOR RINCONADA DE SILVA, PUTAENDO (DISEÑO)</t>
  </si>
  <si>
    <t>CONSTRUCCION DE APR DE MOSTAZAL, COMUNA SANTO DOMINGO (PREFACTIBILIDAD)</t>
  </si>
  <si>
    <t>CONSTRUCCION POLIDEPORTIVO CENTRO ELIGE VIVIR SANO, COMUNA DE LOS ANDES</t>
  </si>
  <si>
    <t>CONSTRUCCION POLIDEPORTIVO CENTRO ELIGE VIVIR SANO, COMUNA DE QUINTERO</t>
  </si>
  <si>
    <t>MEJORAMIENTO PAVIMENTO CIRCUITO AVDA 12 DE FEBRERO, CALLE DUCO, CALLE DARDIGNAC, SAN FELIPE (DISEÑO)</t>
  </si>
  <si>
    <t>MEJORAMIENTO AVENIDA ALESSANDRI, PUTAENDO</t>
  </si>
  <si>
    <t>REPOSICION CUARTEL SEXTA COMPAÑÍA BOMBEROS CONCÓN (DISEÑO)</t>
  </si>
  <si>
    <t>MEJORAMIENTO INTEGRAL INTERCONEXION VIAL AV. EASTMAN (OLMUE-LIMACHE), PREFACTIBILIDAD</t>
  </si>
  <si>
    <t>CONSTRUCCION EDIFICIO INSTITUCIONAL SAG QUILLOTA (DISEÑO)</t>
  </si>
  <si>
    <t>REPOSICION DE LUMINARIAS CON EXTENSIÓN ALUMB PÚBLICO DIVER SECTORES RURALES, QUINTERO</t>
  </si>
  <si>
    <t>CONSTRUCCION CIRCUITO: CALLE YUNGAY, HUAYLAS Y BORDE COSTERO.COMUNA DE QUINTERO</t>
  </si>
  <si>
    <t>ACTUALIZACION PLAN DE DESARROLLO COMUNAL DE CABILDO</t>
  </si>
  <si>
    <t>ACTUALIZACION PLADECO SAN FELIPE 2021-2025</t>
  </si>
  <si>
    <t>MEJORAMIENTO CALLE ALMIRANTE GERKEN, POBLACIÓN TENIENTE SERRANO. QUILPUÉ</t>
  </si>
  <si>
    <t xml:space="preserve">CONSTRUCCION ALCANTARILLADO SECTOR LAS COIMAS, PUTAENDO </t>
  </si>
  <si>
    <t>CONSTRUCCION BIBLIOTECA PUBLICA PUTAENDO (DISEÑO)</t>
  </si>
  <si>
    <t>REPOSICION CUARTEL PRIMERA COMPAÑÍA DE BOMBEROS DE QUINTERO</t>
  </si>
  <si>
    <t>REPOSICIÓN BIBLIOTECA MUNICIPAL, COMUNA SAN ANTONIO</t>
  </si>
  <si>
    <t>CONSTRUCCION RED AGUA POT. Y ALC. POB P. AGUIRRE CERDA VILLA ALEMANA, DISEÑO</t>
  </si>
  <si>
    <t>MEJORAMIENTO MIRADORES PEDRO MONTT Y CONDELL, VIÑA DEL MAR (DISEÑO)</t>
  </si>
  <si>
    <t>CONSTRUCCION EXTENSIÓN RED ALCANTARILLADO SECTOR FONCEA, SAN ESTEBAN (DISEÑO)</t>
  </si>
  <si>
    <t>CONSTRUCCION ALCANTARILLADO  SECTOR SAN CARLOS, COMUNA EL TABO</t>
  </si>
  <si>
    <t>Saldo Proximos Años Resolución</t>
  </si>
  <si>
    <t>ACTUALIZACION PLAN REGULADOR COMUNAL DE SAN FERNANDO</t>
  </si>
  <si>
    <t>OHIGGINS</t>
  </si>
  <si>
    <t>SAN FERNANDO</t>
  </si>
  <si>
    <t>ACTUALIZACION PLAN REGULADOR INTERCOMUNAL RIO CLARO</t>
  </si>
  <si>
    <t>REPOSICION GIMNASIO MUNICIPAL, SAN VICENTE DE TAGUA TAGUA</t>
  </si>
  <si>
    <t>SAN VICENTE</t>
  </si>
  <si>
    <t>REPOSICIÓN CUARTEL 5ª CÍA DE BOMBEROS DE CUNACO, NANCAGUA</t>
  </si>
  <si>
    <t>NANCAGUA</t>
  </si>
  <si>
    <t>CONSTRUCCION HOGAR DE ANCIANOS COMUNA DE PICHILEMU</t>
  </si>
  <si>
    <t>PICHILEMU</t>
  </si>
  <si>
    <t>MEJORAMIENTO PISTA ATLÉTICA COMUNA SAN FERNANDO</t>
  </si>
  <si>
    <t>MEJORAMIENTO INSTALACIONES MEDIALUNA RANCAGUA</t>
  </si>
  <si>
    <t>RANCAGUA</t>
  </si>
  <si>
    <t xml:space="preserve">REPOSICION CUARTEL DE BOMBEROS DE PLACILLA </t>
  </si>
  <si>
    <t>PLACILLA</t>
  </si>
  <si>
    <t>CONSTRUCCIÓN APERTURA CALLE LA VICTORIA, COMUNA DE RANCAGUA</t>
  </si>
  <si>
    <t>REPOSICION CUARTEL 1CIA Y CUERPO DE BOMBEROS COINCO</t>
  </si>
  <si>
    <t>COINCO</t>
  </si>
  <si>
    <t>REPOSICION CUARTEL 3ERA COMPAÑÍA DE BOMBEROS DE APALTA, SANTA CRUZ</t>
  </si>
  <si>
    <t>SANTA CRUZ</t>
  </si>
  <si>
    <t>MEJORAMIENTO SISTEMA APR CASAS DE PEUCO MOSTAZAL</t>
  </si>
  <si>
    <t>MOSTAZAL</t>
  </si>
  <si>
    <t>MEJORAMIENTO SISTEMA APR NILAHUE ALTO DE LOLOL</t>
  </si>
  <si>
    <t>LOLOL</t>
  </si>
  <si>
    <t>CONSTRUCCION CIERRE VERTEDERO SECTOR PUEBLO DE INDIOS, SAN VICENTE</t>
  </si>
  <si>
    <t>CONSTRUCCION BASE RESPUESTA RAPIDA CONAF (PLAN REGIONAL) MOSTAZAL</t>
  </si>
  <si>
    <t>CONSTRUCCION BASE RESPUESTA RAPIDA CONAF (PLAN REGIONAL) COLTAUCO</t>
  </si>
  <si>
    <t>COLTAUCO</t>
  </si>
  <si>
    <t>MEJORAMIENTO SISTEMA APR CRUZ DE CHILLEHUE, COINCO</t>
  </si>
  <si>
    <t>REPOSICIÓN EDIFICIO DIRECCIÓN SERVICIO SALUD SEXTA REGIÓN</t>
  </si>
  <si>
    <t>CONSTRUCCION BASE RESPUESTA RAPIDA CONAF (PLAN REGIONAL) SANTA CRUZ</t>
  </si>
  <si>
    <t>CONSERVACION VÍAS URBANAS PROCESO 2016 (EJECUCION 2019), VI REGION</t>
  </si>
  <si>
    <t>MEJORAMIENTO DE ACERAS CASCO HISTÓRICO URBANO, COMUNA DE MACHALI</t>
  </si>
  <si>
    <t>MACHALI</t>
  </si>
  <si>
    <t>MEJORAMIENTO SISTEMA APR SAN PEDRO LA PUNTILLA MALLOA</t>
  </si>
  <si>
    <t>MALLOA</t>
  </si>
  <si>
    <t>CONSTRUCCIÓN TÚNEL INTERNACIONAL PASO LAS LEÑAS</t>
  </si>
  <si>
    <t>FACTIBILIDAD</t>
  </si>
  <si>
    <t>CONSERVACION DE CAMINOS BASICOS GLOSA 6 GRUPO 7, PROVINCIA DE COLCHAGUA</t>
  </si>
  <si>
    <t>COLCHAGUA</t>
  </si>
  <si>
    <t>REPOSICION CUARTEL PRIMERA COMPAÑÍA DE BOMBEROS DE PAREDONES</t>
  </si>
  <si>
    <t>PAREDONES</t>
  </si>
  <si>
    <t>CONSTRUCCION SEGUNDA COMPAÑÍA DE BOMBEROS POBLACION PERALILLO</t>
  </si>
  <si>
    <t>PERALILLO</t>
  </si>
  <si>
    <t>REPOSICION ALUMBRADO PUBLICO COMUNA LA ESTRELLA</t>
  </si>
  <si>
    <t>LA ESTRELLA</t>
  </si>
  <si>
    <t>CONSTRUCCION BASE TACTICA PARA EMERGENCIA REGIONALES (CONAF) PUMANQUE</t>
  </si>
  <si>
    <t>PUMANQUE</t>
  </si>
  <si>
    <t>REPOSICION LICEO SAN JOSE DEL CARMEN PALMILLA</t>
  </si>
  <si>
    <t>PALMILLA</t>
  </si>
  <si>
    <t>MEJORAMIENTO LUMINARIAS DEL ALUMBRADO PÚBLICO DEL SECTOR NORTE, CH Y CENTRO PONIENTE DE RANCAGUA</t>
  </si>
  <si>
    <t>MEJORAMIENTO INTERCONEXION VIAL EJE M.E.BALAGUER-REPUBLICA-MACHALI</t>
  </si>
  <si>
    <t>MEJORAMIENTO PLAZA DE ARMAS DE PEUMO, PEUMO</t>
  </si>
  <si>
    <t>PEUMO</t>
  </si>
  <si>
    <t>MEJORAMIENTO ESPACIO PUBLICO PATRIMONIAL AV. 18 SEPTIEMBRE, CHEPICA</t>
  </si>
  <si>
    <t>CHEPICA</t>
  </si>
  <si>
    <t>REPOSICIÓN DEL CUARTEL DEL GOPE O'HIGGINS</t>
  </si>
  <si>
    <t>OLIVAR</t>
  </si>
  <si>
    <t>MEJORAMIENTO ACERAS CALLE HERMANOS CARRERA COMUNA DE LITUECHE</t>
  </si>
  <si>
    <t>LITUECHE</t>
  </si>
  <si>
    <t>CONSTRUCCION VIA PEATONAL VALDIVIA Y PLAZOLETA M.RODRÍGUEZ, SN. FDO</t>
  </si>
  <si>
    <t xml:space="preserve">MEJORAMIENTO PARQUE CAMPESINO LOLOL </t>
  </si>
  <si>
    <t>RESTAURACION CENTRO CULTURAL, EX ESTACION DE FFCC, PEUMO</t>
  </si>
  <si>
    <t>REPOSICIÓN ESCUELA UNIÓN MUJERES AMERICANAS BUCALEMU</t>
  </si>
  <si>
    <t>CONSERVACIÓN INFRAESTRUCTURA HOSPITAL DE COINCO</t>
  </si>
  <si>
    <t>NORMALIZACIÓN E INTEGRACIÓN DE SEMÁFOROS SCAT RANCAGUA V ETAPA</t>
  </si>
  <si>
    <t>RESTAURACION CENTRO CULTURAL CASA HODKINSON GRANEROS</t>
  </si>
  <si>
    <t>GRANEROS</t>
  </si>
  <si>
    <t>CONSERVACION CAMINOS BASICOS GRUPO 20, PALMILLA Y CHÉPICA</t>
  </si>
  <si>
    <t>PALMILLA Y CHEPICA</t>
  </si>
  <si>
    <t>CONSTRUCCION PLAZA CONJUNTO LOS MERCEDARIOS, CHIMBARONGO</t>
  </si>
  <si>
    <t>CHIMBARONGO</t>
  </si>
  <si>
    <t>MEJORAMIENTO ESPACIOS PÚBLICOS AV. LA COMPAÑIA ENTRE RUTA H-10 Y ESTERO BENITO, GRANEROS</t>
  </si>
  <si>
    <t>REPOSICION CENTRO DE SALUD FAMILIAR URBANO CHEPICA</t>
  </si>
  <si>
    <t>MEJORAMIENTO PARQUE CERRO EL MANZANO DE LA COMUNA DE QUINTA DE TILCOCO</t>
  </si>
  <si>
    <t>QUINTA DE TILCOCO</t>
  </si>
  <si>
    <t>REPOSICION POSTA RURAL DE CORCOLÉN COMUNA DE MALLOA</t>
  </si>
  <si>
    <t>CONSTRUCCION FACULTAD DE INGENIERÍA UNIVERSIDAD REGIONAL DE O'HIGGINS, CAMPUS RENGO</t>
  </si>
  <si>
    <t>RENGO</t>
  </si>
  <si>
    <t>MEJORAMIENTO AVENIDA DOCTOR MOORE COMUNA DE PAREDONES</t>
  </si>
  <si>
    <t>CONSTRUCCION BASE RESPUESTA RAPIDA CONAF (PLAN REGIONAL) LAS CABRAS</t>
  </si>
  <si>
    <t>LAS CABRAS</t>
  </si>
  <si>
    <t>RESTAURACION IGLESIA NUESTRA SEÑORA DE LA MERCED, COMUNA CODEGUA</t>
  </si>
  <si>
    <t>CODEGUA</t>
  </si>
  <si>
    <t>RESTAURACION PARROQUIA DE SAN NICODEMO DE COINCO</t>
  </si>
  <si>
    <t>REPOSICIÓN LICEO MUNICIPAL - PICHILEMU</t>
  </si>
  <si>
    <t>REPOSICIÓN LICEO CLAUDIO ARRAU LEÓN, DOÑIHUE</t>
  </si>
  <si>
    <t>DOÑIHUE</t>
  </si>
  <si>
    <t>CONSERVACION DE CAMINOS BASICOS GRUPO 29, VARIAS COMUNAS, PROVINCIA DE CARDENAL CARO</t>
  </si>
  <si>
    <t>CARDENAL CARO</t>
  </si>
  <si>
    <t>REPOSICION ESCUELA BASICA DE PORTEZUELO, LARMAHUE, PICHIDEGUA</t>
  </si>
  <si>
    <t>PICHIDEGUA</t>
  </si>
  <si>
    <t>REPOSICION Y AMPLIACION ESCUELA ROMILIO ARELLANO LAS CABRAS</t>
  </si>
  <si>
    <t>CONSERVACIÓN DE CAMINOS BÁSICOS GRUPO 27, VARIAS COMUNAS, PROVINCIA DE CACHAPOAL</t>
  </si>
  <si>
    <t>CACHAPOAL</t>
  </si>
  <si>
    <t>CONSERVACIÓN DE CAMINOS BÁSICOS GRUPO 28, VARIAS COMUNAS, PROVINCIA DE COLCHAGUA</t>
  </si>
  <si>
    <t>CONSERVACION DE CAMINOS BASICOS GLOSA 6 GRUPO 2, VARIAS COMUNAS DE CACHAPOAL</t>
  </si>
  <si>
    <t>CONSERVACION DE CAMINOS BASICOS GLOSA 6 GRUPO 4, VARIAS COMUNAS PROVINCIA DE CARDENAL CARO</t>
  </si>
  <si>
    <t>REPOSICIÓN CUARTEL DE BOMBEROS, 2DA COMPAÑÍA DE ALCONES, MARCHIGUE</t>
  </si>
  <si>
    <t>MARCHIGUE</t>
  </si>
  <si>
    <t>CONSERVACION DE CAMINOS BASICOS GLOSA 6 GRUPO 3, VARIAS COMUNAS PROVINCIA DE COLCHAGUA</t>
  </si>
  <si>
    <t>REPOSICION CESFAM COMUNA PERALILLO</t>
  </si>
  <si>
    <t>REPOSICION CUARTEL CUERPO DE BOMBEROS DE LAS ESTRELLA</t>
  </si>
  <si>
    <t>CONSERVACION DE CAMINOS BASICOS GLOSA 6 GRUPO 5, PROVINCIA CACHAPOAL</t>
  </si>
  <si>
    <t>MEJORAMIENTO Y AMPLIACIÓN SISTEMA APR MEMBRILLO LOS TRICAHUES, LOLOL</t>
  </si>
  <si>
    <t>REPOSICION CON RELOCALIZACIÓN 5TA. COMISARÍA PEUMO</t>
  </si>
  <si>
    <t>NORMALIZACÓN 1ERA COMPAÑÍA BOMBEROS, SAN VICENTE DE TAGUA TAGUA</t>
  </si>
  <si>
    <t>MEJORAMIENTO AVDA ALONSO DE ERCILLA, COMUNA DE RENGO</t>
  </si>
  <si>
    <t>MEJORAMIENTO PAVIMENTOS VARIAS CALLES COMUNA DE PEUMO</t>
  </si>
  <si>
    <t>CONSTRUCCION OFICINA CONJUNTA SERVICIOS DEL TRABAJO EN PICHILEMU</t>
  </si>
  <si>
    <t>MEJORAMIENTO VEREDAS AVENIDA ARTURO PRAT MARCHIGUE</t>
  </si>
  <si>
    <t>ADQUISICIÓN CUARTEL 3era.CIA. CUERPO DE BOMBEROS, NAVIDAD PUPUYA</t>
  </si>
  <si>
    <t>NAVIDAD</t>
  </si>
  <si>
    <t>MEJORAMIENTO PAVIMENTO AVENIDA OHIGGINS, CODEGUA</t>
  </si>
  <si>
    <t>REPOSICIÓN OFICINA REGISTRO CIVIL COMUNA DE LAS CABRAS</t>
  </si>
  <si>
    <t>INSTALACION SEMAFOROS PEATONALES SAN FERNANDO</t>
  </si>
  <si>
    <t>REPOSICION DEL ALUMBRADO PUBLICO RURAL, COMUNA DE MARCHIGUE</t>
  </si>
  <si>
    <t>REPOSICIÒN 8VA COMPAÑÍA DE BOMBEROS, RANCAGUA</t>
  </si>
  <si>
    <t>REPOSICION Y RELOCALIZACION DEL CUARTEL 3ª CIA DE BOMBEROS DE MACHALI</t>
  </si>
  <si>
    <t>CONSERVACION VÍAS URBANAS PROCESO 2017 (EJECUCIÓN 2021)</t>
  </si>
  <si>
    <t>MEJORAMIENTO PAVIMENTO CALLE ESTANCILLA, COMUNA DE CODEGUA</t>
  </si>
  <si>
    <t>CONSTRUCCIÓN PISCINA CENTRO ELIGE VIVIR SANO, COMUNA RANCAGUA</t>
  </si>
  <si>
    <t>CONSTRUCCIÓN POLIDEPORTIVO CENTRO ELIGE VIVIR SANO, COMUNA SANTA CRUZ</t>
  </si>
  <si>
    <t>NORMALIZACION HOSPITAL REGIONAL RANCAGUA</t>
  </si>
  <si>
    <t>CONSTRUCCION CRUCE BAJO NIVEL AV. REPUBLICA DE CHILE - LINEA FERREA</t>
  </si>
  <si>
    <t>MEJORAMIENTO PLAZA DE ARMAS Y ENTORNO COINCO</t>
  </si>
  <si>
    <t xml:space="preserve">NORMALIZACIÓN DE SEMAFOROS REGION DE OHIGGINS IV ETAPA SAN VICENTE </t>
  </si>
  <si>
    <t>MEJORAMIENTO GESTIÓN VIAL Y PEATONAL RENGO</t>
  </si>
  <si>
    <t>REPOSICION ESPACIO PUBLICO DE ZONA DE CONSERVACION HISTORICA, COMUNA DE PUMANQUE</t>
  </si>
  <si>
    <t>MEJORAMIENTO CENTRO CÍVICO COMUNA SANTA CRUZ</t>
  </si>
  <si>
    <t>AMPLIACION RUTA H-27 CARRETERA EL COBRE , RANCAGUA MACHALI</t>
  </si>
  <si>
    <t>RANCAGUA-MACHALI</t>
  </si>
  <si>
    <t>MEJORAMIENTO CALLE RANCAGUA SAN FERNANDO</t>
  </si>
  <si>
    <t>CONSTRUCCION PASEO MIRADOR DEL PACIFICO SECTOR LA BOCA, NAVIDAD</t>
  </si>
  <si>
    <t>CONSERVACION DEFENSAS FLUVIALES RÍO TINGUIRIRICA AÑO 2020, VI REGION FNDR</t>
  </si>
  <si>
    <t>VARIAS</t>
  </si>
  <si>
    <t>MEJORAMIENTO CALLES Y PASAJE VILLA CONVENTO VIEJO, COMUNA DE CHIMBARONGO</t>
  </si>
  <si>
    <t>NORMALIZACION HOSPITAL SAN VICENTE</t>
  </si>
  <si>
    <t>MEJORAMIENTO PARQUE URBANO DE RAPEL, COMUNA DE NAVIDAD</t>
  </si>
  <si>
    <t>MEJORAMIENTO GIMNASIO MUNICIPAL RANQUILHUE -COMUNA PUMANQUE</t>
  </si>
  <si>
    <t>CONSTRUCCION CUARTEL BOMBEROS SEGUNDA COMPAÑÍA CHIMBARONGO</t>
  </si>
  <si>
    <t>REPOSICION TENENCIA DE CARABINEROS PERALILLO, COMUNA DE PERALILLO</t>
  </si>
  <si>
    <t>CONSERVACION CUARTEL POLICIAL RENGO</t>
  </si>
  <si>
    <t>OFERTA Y DEMANDA DE PASAJEROS PARA SERVICIOS FERROVIARIOS REGIONALES</t>
  </si>
  <si>
    <t>DIAGNOSTICO RECARGA DE ACUÍFEROS GESTIONADA, REGIÓN DE O’HIGGINS</t>
  </si>
  <si>
    <t>REPOSICION DE ALUMBRADO PUBLICO INTERIOR, COMUNA DE PICHILEMU</t>
  </si>
  <si>
    <t>CONSERVACION OFICINAS SAG, O'HIGGINS</t>
  </si>
  <si>
    <t xml:space="preserve">ACTUALIZACION PLANES REGULADORES DE ONCE COMUNAS DE REG DE OHIGGINS </t>
  </si>
  <si>
    <t>MEJORAMIENTO CALLE EL PEDRERO SECTOR LOS MARCOS COMUNA MOSTAZAL</t>
  </si>
  <si>
    <t>AMPLIACION LABORATORIO HOSPITAL SANTA CRUZ</t>
  </si>
  <si>
    <t>CONSTRUCCION PARQUE COLCHAGUA, SANTA CRUZ.</t>
  </si>
  <si>
    <t>CONSTRUCCION PARQUE RECREATIVO MÁXIMO VALDES, COMUNA DE CHIMBARONGO</t>
  </si>
  <si>
    <t>MEJORAMIENTO PARQUE COMUNAL PAMPA LIMA DE CHEPICA</t>
  </si>
  <si>
    <t>CONSTRUCCION CESFAM COMUNA DE GRANEROS</t>
  </si>
  <si>
    <t>REPOSICION TOTAL COLEGIO ARTÍSTICO SANTA TERESA DE MACHALÍ</t>
  </si>
  <si>
    <t>ESTE INFORME DEBE CONTENER INFORMACIÓN DE LAS RESLUCIONES TOMADAS RAZÓN AL 30/09/2021</t>
  </si>
  <si>
    <t>Ejecución URS</t>
  </si>
  <si>
    <t>Ejecución Sigfe</t>
  </si>
  <si>
    <t>diferencia</t>
  </si>
  <si>
    <t>Res N°2</t>
  </si>
  <si>
    <t>Res N°3</t>
  </si>
  <si>
    <t>Res N°4</t>
  </si>
  <si>
    <t>Res N°26</t>
  </si>
  <si>
    <t>Res N°34</t>
  </si>
  <si>
    <t>31-01</t>
  </si>
  <si>
    <t>ANALISIS Y DESARRO DEL PLAN MAEST DE GESTIÓN DE TTO. SAN JAVIER</t>
  </si>
  <si>
    <t>REGION DEL MAULE</t>
  </si>
  <si>
    <t>SAN JAVIER</t>
  </si>
  <si>
    <t>31-02</t>
  </si>
  <si>
    <t>MEJORAMIENTO PAR VIAL 1 ORIENTE - 2 PONIENTE Y RED CENTRO EN TALCA</t>
  </si>
  <si>
    <t>TALCA</t>
  </si>
  <si>
    <t>REPOSICION C.G.R YERBAS BUENAS.</t>
  </si>
  <si>
    <t>YERBAS BUENAS</t>
  </si>
  <si>
    <t>HABILITACION TEATRO MUNICIPAL CAUQUENES</t>
  </si>
  <si>
    <t>CAUQUENES</t>
  </si>
  <si>
    <t>MEJORAMIENTO EJE MAIPU , J. ESPINOZA Y CARMEN DE LINARES</t>
  </si>
  <si>
    <t>LINARES</t>
  </si>
  <si>
    <t>RESTAURACION PARROQUIA SAN IGNACIO EMPEDRADO</t>
  </si>
  <si>
    <t>EMPEDRADO</t>
  </si>
  <si>
    <t>REPOSICION Y EQUIPAMIENTO SERVICIO MEDICO LEGAL TALCA</t>
  </si>
  <si>
    <t>PROV. TALCA</t>
  </si>
  <si>
    <t xml:space="preserve">                                 </t>
  </si>
  <si>
    <t>MEJORAMIENTO EJES AV.LIRCAY / 9 NORTE TALCA</t>
  </si>
  <si>
    <t>REPOSICION DIRECCION REGIONAL DEL IND REGION MAULE</t>
  </si>
  <si>
    <t xml:space="preserve">CONSTRUCCION CENTRO CULTURAL Y SOCIAL DEPORTISTA MAYOR </t>
  </si>
  <si>
    <t>MEJORAMIENTO INTEGRAL DE ACERAS SECTOR 1, TALCA</t>
  </si>
  <si>
    <t>MEJORAMIENTO INTEGRAL DE ACERAS SECTOR 9, TALCA</t>
  </si>
  <si>
    <t>RESTAURACION ESCUELA PRESIDENTE JOSÉ MANUEL BALMACEDA CURICO</t>
  </si>
  <si>
    <t>CURICO</t>
  </si>
  <si>
    <t>RESTAURACION Y PUESTA EN VALOR VILLA CULTURAL HUILQUILEMU. TALCA</t>
  </si>
  <si>
    <t>RESTAURACION Y PUESTA EN VALOR INTENDENCIA REGIONAL DEL MAULE-TALCA</t>
  </si>
  <si>
    <t>MEJORAMIENTO GIMNASIO MUNICIPAL, EMPEDRADO</t>
  </si>
  <si>
    <t>REPOSICION TEATRO MUNICIPAL,CONSTITUCION</t>
  </si>
  <si>
    <t>CONSTITUCION</t>
  </si>
  <si>
    <t>30-06-202</t>
  </si>
  <si>
    <t>CONSTRUCCION PISCINA TEMPERADA DE TALCA</t>
  </si>
  <si>
    <t>CONSTRUCCION POLIDEPORTIVO PARA LA COMUNA DE TENO</t>
  </si>
  <si>
    <t>TENO</t>
  </si>
  <si>
    <t>CONSTRUCCION ESTACIÓN TRANSFERENCIA RESIDUOS SÓLIDOS,CONSTITUCION.</t>
  </si>
  <si>
    <t>REPARACION MAYOR SANTUARIO EL CARMEN CURICO</t>
  </si>
  <si>
    <t>REPOSICION Y AMPLIACION HOGAR DE ANCIANOS SAN CAMILO, LINARES</t>
  </si>
  <si>
    <t>CONSTRUCCION CAMPAMENTOS INVERNALES DE VIALIDAD PASO PEHUENCHE</t>
  </si>
  <si>
    <t>CONSTRUCCION POLIDEPORTIVO COMUNA YERBAS BUENAS</t>
  </si>
  <si>
    <t>RESTAURACION Y PUESTA EN VALOR LICEO VIEJO DE TENO</t>
  </si>
  <si>
    <t>REPOSICION CONSULTORIO RURAL DE PENCAHUE</t>
  </si>
  <si>
    <t>PENCAHUE</t>
  </si>
  <si>
    <t>MEJORAMIENTO MANUEL RODRÍGUEZ Y CALLE EL BOSQUE, LINARES</t>
  </si>
  <si>
    <t>MEJORAMIENTO EJE AVENIDA DIEGO PORTALES 2° ETAPA, CURICO</t>
  </si>
  <si>
    <t>MEJORAMIENTO Y AMPLIACIÓN SERVICIO APR LA CHIRIPA, COLBUN</t>
  </si>
  <si>
    <t>COLBUN</t>
  </si>
  <si>
    <t>MEJORAMIENTO ACCESIBILIDAD SECTOR CAMINO A ZAPALLAR, CURICO</t>
  </si>
  <si>
    <t>NORMALIZACION CON EQUIPAMIENTO ESCUELA CARLOS SALINAS LAGOS, TALCA</t>
  </si>
  <si>
    <t>NORMALIZACION CON EQUIP ESC. JOSE MANUEL BALMACEDA Y FERNÁNDEZ, TALCA</t>
  </si>
  <si>
    <t>CONSTRUCCION SISTEMA APR EL PEÑASCO-LLEPO, LINARES</t>
  </si>
  <si>
    <t>REPOSICION ALUMBRADO PUBLICO, COMUNA VICHUQUEN</t>
  </si>
  <si>
    <t>VICHUQUEN</t>
  </si>
  <si>
    <t>31-06-2021</t>
  </si>
  <si>
    <t>CONSTRUCCION CIERRE VERTEDERO MUNICIPAL COMUNA DE RIO CLARO</t>
  </si>
  <si>
    <t>RIO CLARO</t>
  </si>
  <si>
    <t>CONSERVACION EDIFICIO SECREDUC REGIÓN DEL MAULE</t>
  </si>
  <si>
    <t>RESTAURACION MERCADO CENTRAL MUNICIPAL DE TALCA</t>
  </si>
  <si>
    <t>CONSTRUCCION CENTRO DE SALUD FAMILIAR MOLINA</t>
  </si>
  <si>
    <t>MOLINA</t>
  </si>
  <si>
    <t>AMPLIACION Y NORMALIZACION  CEMENTERIO MUNICIPAL COLIN,  MAULE</t>
  </si>
  <si>
    <t>MAULE</t>
  </si>
  <si>
    <t>CONSTRUCCION POSTA DE SALUD RURAL SEMILLERO, COMUNA DE YERBAS BUENAS</t>
  </si>
  <si>
    <t>CONSTRUCCION POSTA DE SALUD RURAL PALMA ROSA, COMUNA DE PARRAL</t>
  </si>
  <si>
    <t>PARRAL</t>
  </si>
  <si>
    <t>REPOSICION CON RELOCALIZACION PSR SAN ALEJO, COMUNA DE PARRAL</t>
  </si>
  <si>
    <t>REPOSICION CON AMPLIACIÓN LICEO ENTRE RIOS, SAN CLEMENTE</t>
  </si>
  <si>
    <t>SAN CLEMENTE</t>
  </si>
  <si>
    <t>CONSTRUCCION SISTEMA DE EVAC, DE A.LL. COLECTOR CHOAPA-LOA, CURICÓ</t>
  </si>
  <si>
    <t>CONSTRUCCION PASO BAJO NIVEL 6 SUR Y OBRAS COMPL PAR VIAL TALCA</t>
  </si>
  <si>
    <t>CONSTRUCCION ESTADIO PAHUIL COMUNA DE CHANCO</t>
  </si>
  <si>
    <t>CHANCO</t>
  </si>
  <si>
    <t>REPOSICION ALUMBRADO PUBLICO COMUNA DE PARRAL</t>
  </si>
  <si>
    <t>CONSERVACION CCBB RUTAS L-409 y L-335, COMUNAS DE LINARES Y COLBUN</t>
  </si>
  <si>
    <t>PROV. LINARES</t>
  </si>
  <si>
    <t>CONSERVACION CCBB RUTA J-680, TRAMO KM. 16,0 AL KM. 21,1, COMUNA DE RAUCO</t>
  </si>
  <si>
    <t>RAUCO</t>
  </si>
  <si>
    <t>MEJORAMIENTO PLAZA POBLACION ARRAU MENDEZ, PARRAL</t>
  </si>
  <si>
    <t>CONSERVACION DE VÍAS URBANAS, VARIOS SECTORES COMUNA DE LICANTEN</t>
  </si>
  <si>
    <t>LICANTEN</t>
  </si>
  <si>
    <t>CONSERVACION DE VÍAS URBANAS, VARIOS SECTORES COMUNA CURICO, LINEA 1</t>
  </si>
  <si>
    <t>CONSERVACION DE VÍAS URBANAS, VARIOS SECTORES COMUNA DE MOLINA</t>
  </si>
  <si>
    <t>CONSERVACION DE VIAS URBANAS, VARIOS SECTORES COMUNA TALCA, LINEA 1</t>
  </si>
  <si>
    <t>CONSERVACION DE VÍAS URBANAS, VARIOS SECTORES COMUNA DE RÍO CLARO</t>
  </si>
  <si>
    <t>CONSERVACION DE VIAS URBANAS, COMITE ABATE MOLINA Nº 14, COMUNA DE TALCA</t>
  </si>
  <si>
    <t>MEJORAMIENTO ACCESO NORTE Y CENTRO, SAN CLEMENTE</t>
  </si>
  <si>
    <t>MEJORAMIENTO PAVIMENTO CALZADA CALLE CIRO BOETTO, LICANTÉN</t>
  </si>
  <si>
    <t>17-06-202</t>
  </si>
  <si>
    <t>REPOSICION COMPLEJO POLICIAL PDI CURICO</t>
  </si>
  <si>
    <t>CONSTRUCCION PAVIMENTOS EN VILLA SAN DOMINGO DE SAN MANUEL</t>
  </si>
  <si>
    <t>CONSERVACION CCBB RUTAS K-420, K-540, SK-279 Y K-260, COMUNA DE PENCAHUE</t>
  </si>
  <si>
    <t>CONSERVACION RUTA L-621, TRAMO KM. 0.0 AL KM. 9.45, COMUNA DE RETIRO</t>
  </si>
  <si>
    <t>RETIRO</t>
  </si>
  <si>
    <t>CONSTRUCCION DE CALZADAS Y ACERAS  EN NIRIVILO URBANO, COMUNA DE SAN JAVIER</t>
  </si>
  <si>
    <t>MEJORAMIENTO BANDEJÓN CENTRAL AVENIDA  LEÓN BUSTOS, LINARES</t>
  </si>
  <si>
    <t>CONSTRUCCION Y HABILITACIÓN  SALA CUNA Y JARDÍN INFANTIL LOS CHIQUITINES, TALCA.</t>
  </si>
  <si>
    <t>CONSERVACION CCBB RUTAS J-546, SR019 Y J-699, COMUNA DE CURICO</t>
  </si>
  <si>
    <t>CONSERVACION CCBB RUTA L-830, TRAMO KM. 0,0 AL KM. 11,244, COMUNA DE PARRAL</t>
  </si>
  <si>
    <t>REPOSICION CUARTEL 7º COMPAÑIA DE BOMBEROS DE TALCA</t>
  </si>
  <si>
    <t>CONSERVACION CCBB RUTAS K-579 Y K-551, COMUNA DE SAN CLEMENTE</t>
  </si>
  <si>
    <t>CONSTRUCCION SISTEMA ALUMBRADO PÚBLICO VARIOS SECTORES, SAN CLEMENTE</t>
  </si>
  <si>
    <t>CONSERVACION RUTA SK-475, MAITENES INTERIOR, COMUNA DE RIO CLARO</t>
  </si>
  <si>
    <t>AMPLIACION CENTRO DE REINSERCIÓN SOCIAL DE  TALCA</t>
  </si>
  <si>
    <t>CONSERVACION RUTA L-810, TRAMO KM. 9.70 AL KM. 19.40, COMUNA DE PARRAL</t>
  </si>
  <si>
    <t>CONSERVACION RUTA L-870, TRAMO KM. 0.00 AL KM. 5.50, COMUNA DE PARRAL</t>
  </si>
  <si>
    <t>MEJORAMIENTO CALLE SILVESTRE URIZAR, SAN CLEMENTE</t>
  </si>
  <si>
    <t>CONSERVACION DIVERSOS CALLEJONES DE LA COMUNA DE COLBUN</t>
  </si>
  <si>
    <t>CONSERVACION UNIDAD ONCOLOGÍA AMBULATORIA HOSPITAL REGIONAL DE TALCA, SSMAULE</t>
  </si>
  <si>
    <t>CONSTRUCCION PAVIMENTOS VILLA SAN LUIS DE ALQUIHUE, COMUNA DE SAN JAVIER</t>
  </si>
  <si>
    <t>MEJORAMIENTO BANDEJON 30 ORIENTE ENTRE CALLES 4 Y 8 SUR, TALCA.</t>
  </si>
  <si>
    <t>CONSTRUCCION SEDE ORGANIZACIONES COMUNITARIAS DE PENCAHUE</t>
  </si>
  <si>
    <t>CONSERVACION PAVIMENTO CALZADAS Y VEREDAS SECTOR RODOVIARIO, TALCA</t>
  </si>
  <si>
    <t>MEJORAMIENTO CALLE N°14, PELLUHUE</t>
  </si>
  <si>
    <t>PELLUHUE</t>
  </si>
  <si>
    <t>MEJORAMIENTO CALLE DE SERVICIO COSTANERA DE PELLUHUE</t>
  </si>
  <si>
    <t>CONSERVACION ESTADIO FISCAL MANUEL MOYA MEDEL, CAUQUENES</t>
  </si>
  <si>
    <t>CONSTRUCCION MUELLE CANOTAJE CONSTITUCION</t>
  </si>
  <si>
    <t>CONSERVACION DE VÍAS URBANAS, SECTOR ABATE MOLINA, COMUNA DE TALCA</t>
  </si>
  <si>
    <t>CONSERVACION CALLEJONES SECTOR NORTE DE LA COMUNA DE COLBÚN</t>
  </si>
  <si>
    <t>MEJORAMIENTO CBI RUTA J-850, SECTOR VILLA LOS CULENES, KM. 0,0 AL 0,547; COMUNA DE VICHUQUEN</t>
  </si>
  <si>
    <t>CONSERVACION DE VÍAS URBANAS, SECTOR SUR ORIENTE, COMUNA DE  TALCA</t>
  </si>
  <si>
    <t>CONSERVACION DE VÍAS URBANAS, SECTOR SUR PONIENTE, COMUNA DE  TALCA</t>
  </si>
  <si>
    <t>MEJORAMIENTO RUTA J-25, SECTOR EL MANZANO, TRAMO KM. 18,77 AL KM. 23,77; PROVINCIA DE CURICO</t>
  </si>
  <si>
    <t>MEJORAMIENTO INTEGRAL DE ACERAS SECTOR 12-A, TALCA</t>
  </si>
  <si>
    <t>RESTAURACION TEMPLO CENTENARIO CORAZÓN DE MARÍA DE LINARES</t>
  </si>
  <si>
    <t>CONSTRUCCION PISCINA TEMPERADA, SAN CLEMENTE</t>
  </si>
  <si>
    <t>CONSTRUCCION SOLUCIONES SANITARIAS SECTOR CATILLO, PARRAL</t>
  </si>
  <si>
    <t>CONSTRUCCION PARQUE URBANO B. OHIGGINS RETIRO</t>
  </si>
  <si>
    <t>REPOSICION CON RELOCALIZACIÓN TENENCIA SARMIENTO, COMUNA CURICÓ</t>
  </si>
  <si>
    <t>CONSTRUCCION CUARTEL SEGUNDA COMPAÑIA DE BOMBEROS CONSTITUCION</t>
  </si>
  <si>
    <t>RESTAURACION PARROQUIA SAN LUIS DE GONZAGA DE SAUZAL</t>
  </si>
  <si>
    <t>MEJORAMIENTO INTEGRAL DE ACERAS SECTOR 12-B, TALCA</t>
  </si>
  <si>
    <t>CONSTRUCCION CENTRO COMUNITARIO UNION COMUNAL ADULTO MAYOR, MAULE</t>
  </si>
  <si>
    <t>AMPLIACION Y NORMALIZACION ESTADIO LA GRANJA, CURICÓ</t>
  </si>
  <si>
    <t>CONSERVACION DE VIAS URBANAS, VARIOS SECTORES COMUNA DE CHANCO, LINEA 2</t>
  </si>
  <si>
    <t>CONSERVACION CALLEJONES STA ISABEL, LOS ROBLES Y AJIAL MANZANO, RETIRO</t>
  </si>
  <si>
    <t>CONSERVACION DE VIAS URBANAS, VARIOS SECTORES, COMUNA DE SAN JAVIER</t>
  </si>
  <si>
    <t>CONSERVACION DE ViAS URBANAS, VARIOS SECTORES COMUNA SAGRADA FAMILIA</t>
  </si>
  <si>
    <t>SAGRADA FAMILIA</t>
  </si>
  <si>
    <t>ANALISIS OFERTA Y DEMANDA DE PASAJEROS PARA SERVICIOS FERROVIARIOS REGIONALES ZONA CENTRO</t>
  </si>
  <si>
    <t>MEJORAMIENTO Y AMPLIACIÓN SISTEMA APR LA CUARTA MESAMÁVIDA, LONGAVÍ</t>
  </si>
  <si>
    <t>LONGAVI</t>
  </si>
  <si>
    <t>CONSERVACION DE VÍAS URBANAS, VARIOS SECTORES COMUNA DE VILLA ALEGRE</t>
  </si>
  <si>
    <t>VILLA ALEGRE</t>
  </si>
  <si>
    <t xml:space="preserve">MEJORAMIENTO ACERAS 13 SUR A 31 SUR-AVENIDA COLÍN A 25 PONIENTE, COMUNA DE TALCA. </t>
  </si>
  <si>
    <t>REPOSICION CON EQUIPAMIENTO LICEO T-P PEDRO AGUIRRE CERDA RBD 3540 CAUQUENES</t>
  </si>
  <si>
    <t>CONSTRUCCION MERCADO MUNICIPAL ARAUCO</t>
  </si>
  <si>
    <t>BIOBIO</t>
  </si>
  <si>
    <t>ARAUCO</t>
  </si>
  <si>
    <t>MEJORAMIENTO ESTADIO PROVINCIAL DE ATLETISMO, COMUNA DE LEBU</t>
  </si>
  <si>
    <t>LEBU</t>
  </si>
  <si>
    <t>REPOSICION PUENTE DUQUECO, PROVINCIA DE BIOBIO</t>
  </si>
  <si>
    <t>INTERPROVINCIAL</t>
  </si>
  <si>
    <t>REPOSICION CESFAM YUMBEL ESTACION</t>
  </si>
  <si>
    <t>YUMBEL</t>
  </si>
  <si>
    <t xml:space="preserve">REPOSICION CENTRO DE SALUD FAMILIAR Y SAR D. TRUJILLO SAN CARLOS </t>
  </si>
  <si>
    <t>ITERPROVINCIAL</t>
  </si>
  <si>
    <t>MEJORAMIENTO AVENIDA COLIUMO, COMUNA DE TOME</t>
  </si>
  <si>
    <t>TOME</t>
  </si>
  <si>
    <t>HABILITACION CENTRO DE DIALISIS HOSPITAL CURANILAHUE</t>
  </si>
  <si>
    <t>CURANILAHUE</t>
  </si>
  <si>
    <t>CONSTRUCCION SERVICIO MEDICO LEGAL DE CAÑETE</t>
  </si>
  <si>
    <t>CAÑETE</t>
  </si>
  <si>
    <t>REPOSICION LABORATORIO HOSPITAL DE BULNES</t>
  </si>
  <si>
    <t>BULNES</t>
  </si>
  <si>
    <t>CONSTRUCCION APR SAN ANTONIO, SANTA BARBARA</t>
  </si>
  <si>
    <t>SANTA BARBARA</t>
  </si>
  <si>
    <t>REPOSICION TEATRO MUNICIPAL COMUNA DE SANTA JUANA</t>
  </si>
  <si>
    <t>SANTA JUANA</t>
  </si>
  <si>
    <t>REPOSICION EDIFICIO CONSISTORIAL COMUNA DE TUCAPEL</t>
  </si>
  <si>
    <t>TUCAPEL</t>
  </si>
  <si>
    <t>REPOSICION ACERAS HUERTOS FAMILIARES SAN PEDRO DE LA PAZ</t>
  </si>
  <si>
    <t>SAN PEDRO E LA PAZ</t>
  </si>
  <si>
    <t>CONSTRUCCION COSTANERA QUILQUE ORIENTE, LOS ANGELES</t>
  </si>
  <si>
    <t>LOS ANGELES</t>
  </si>
  <si>
    <t>REPOSICION CONSULTORIO GENERAL RURAL PUEBLO SECO, SAN IGNACIO</t>
  </si>
  <si>
    <t>SAN IGNACIO</t>
  </si>
  <si>
    <t>REPOSICION ESCUELA MAPUDUNGUN G-857, SAN RAMON TIRUA</t>
  </si>
  <si>
    <t>TIRUA</t>
  </si>
  <si>
    <t>RESTAURACION Y HABILITACIÓN EX DEPORTIVO Y CINE BELLAVISTA DE TOMÉ</t>
  </si>
  <si>
    <t>CONSTRUCCION POLIDEPORTIVO, CAÑETE</t>
  </si>
  <si>
    <t>REPOSICION LICEO FRESIA MULLER, LEBU</t>
  </si>
  <si>
    <t>CONSTRUCCION CICLOVIA CARAMPANGUE-LA MESETA, COMUNA DE ARAUCO</t>
  </si>
  <si>
    <t>CONSTRUCCION PASEO COSTANERA SUR LAGUNA SEÑORAZA, LAJA</t>
  </si>
  <si>
    <t>LAJA</t>
  </si>
  <si>
    <t>CONSTRUCCION VEREDAS URBANAS, COMUNAS ASOCIACION PUNILLA</t>
  </si>
  <si>
    <t>MEJORAMIENTO DIVERSAS CALLES SECTOR URBANO CHARRUA, CABRERO</t>
  </si>
  <si>
    <t>CABRERO</t>
  </si>
  <si>
    <t>DIAGNOSTICO PLAN MAESTRO AGUAS LLUVIAS CUATRO COMUNAS PROV. ARAUCO</t>
  </si>
  <si>
    <t>CONSTRUCCION CENTRO DE INNOVACIÓN UNIVERSIDAD DEL BÍO-BÍO</t>
  </si>
  <si>
    <t>CONSTRUCCION CENTRO POLIDEPORTIVO DEL BIOBIO</t>
  </si>
  <si>
    <t>MEJORAMIENTO ESPACIO PUBLICO CALLE CHIGUAY, CHIGUAYANTE</t>
  </si>
  <si>
    <t>CHIGUAYANTE</t>
  </si>
  <si>
    <t>MEJORAMIENTO CANCHA CAUPOLICÁN 1, CHIGUAYANTE</t>
  </si>
  <si>
    <t>CONSERVACION CAMINO BASICO RUTA O-350,COMUNA DE TOME,PROV.CONCEPCION</t>
  </si>
  <si>
    <t>CONCEPCIONJ</t>
  </si>
  <si>
    <t>CONSERVACION CAMINOS BÁSICOS RUTAS P-520, P-550 Y OTRA, PROV. ARAUCO</t>
  </si>
  <si>
    <t>CONSERVACION CAMINO BASICO A CURAPAILLACO,RUTA S/R,KM 5.0 A KM 10.17</t>
  </si>
  <si>
    <t>CONSERVACION CAMINOS BASICOS RUTAS N-545 N-595 N-666 PROV. ÑUBLE</t>
  </si>
  <si>
    <t>INTERPTOVINCIAL</t>
  </si>
  <si>
    <t>REPOSICION EDIFICIO CONSISTORIAL SAN PEDRO DE LA PAZ</t>
  </si>
  <si>
    <t>MEJORAMIENTO AVENIDA LIBERTAD, COMUNA DE CHILLAN</t>
  </si>
  <si>
    <t>CHILLAN</t>
  </si>
  <si>
    <t xml:space="preserve">REPOSICION CON RELOCALIZACIÓN Y EQUIPAMIENTO CUARTEL PDI LOTA </t>
  </si>
  <si>
    <t>LOTA</t>
  </si>
  <si>
    <t>CONSTRUCCION MERCADO MUNICIPAL DE SANTA BARBARA</t>
  </si>
  <si>
    <t>CONSERVACION ESTADIO MUNICIPAL COMPLEJO DEPORTIVO, CABRERO</t>
  </si>
  <si>
    <t>MEJORAMIENTO PLAZA VICTORIA SECTOR CANDELARIA SAN PEDRO DE LA PAZ</t>
  </si>
  <si>
    <t>MEJORAMIENTO ACERAS SECTOR PONIENTE CASCO CENTRAL DE HUALQUI</t>
  </si>
  <si>
    <t>HUALQUI</t>
  </si>
  <si>
    <t>CONSTRUCCION SUBCOMISARÍA NONGUÉN, COMUNA DE CONCEPCIÓN</t>
  </si>
  <si>
    <t>HABILITACION CASA PRAIS PROVINCIA DE ARAUCO</t>
  </si>
  <si>
    <t xml:space="preserve">CONSERVACION CAMINO BASICO RUTA Q-105 CRUCE 177-SANTA CLARA-CRUCE Q-119, LOS ANGELES </t>
  </si>
  <si>
    <t>CONSTRUCCION CUARTEL TERCERA COMPAÑÍA DE BOMBEROS, SECTOR ALTOS DEL LAJA</t>
  </si>
  <si>
    <t>REPOSICION ESTADIO MUNICIPAL DE CONTULMO</t>
  </si>
  <si>
    <t>CONTULMO</t>
  </si>
  <si>
    <t>CONSTRUCCION DE ACERAS E ILUMINACIÓN Y ACCESO EN AV. LOS RIOS, LAJA</t>
  </si>
  <si>
    <t>CONSTRUCCION SUBCOMISARÍA SOBERANÍA, COMUNA DE TALCAHUANO</t>
  </si>
  <si>
    <t>TALCAHUANO</t>
  </si>
  <si>
    <t>REPOSICION EDIFICIO CONSISTORIAL DE HUALPEN</t>
  </si>
  <si>
    <t>HUALPEN</t>
  </si>
  <si>
    <t>RESTAURACION Y PUESTA EN VALOR FUERTE DE SANTA JUANA DE GUADALCAZAR</t>
  </si>
  <si>
    <t>CONSTRUCCION AUDITORIO CENTRO CULTURAL DE HUALPEN</t>
  </si>
  <si>
    <t>MEJORAMIENTO TEATRO MUNICIPAL DE TUCAPEL</t>
  </si>
  <si>
    <t>REPOSICION BIBLIOTECA MUNICIPAL CABRERO</t>
  </si>
  <si>
    <t>MEJORAMIENTO RUTA Q-30, LA MONA-ALAMO HUACHO, LOS ANGELES</t>
  </si>
  <si>
    <t>AMPLIACION CONEXIÓN VIAL CONCEPCIÓN-CHIGUAYANTE, ETAPA 2</t>
  </si>
  <si>
    <t>32.02</t>
  </si>
  <si>
    <t>MEJORAMIENTO RUTAS Q-75 - MULCHEN - QUILACO</t>
  </si>
  <si>
    <t>QUILACO</t>
  </si>
  <si>
    <t>HABILITACION CIRCUNVALACION ORIENTE DE CHILLAN</t>
  </si>
  <si>
    <t>CONSTRUCCION PUENTE EN RIO BIOBIO, SECTOR: CHIGUAYANTE-LAJA VIII REG</t>
  </si>
  <si>
    <t>INTERREGIONAL</t>
  </si>
  <si>
    <t>RESTAURACION TEATRO LICEO ENRIQUE MOLINA, CONCEPCIÓN</t>
  </si>
  <si>
    <t>REPOSICION OFICINA REGISTRO CIVIL DE SANTA FE, LOS ÁNGELES</t>
  </si>
  <si>
    <t>REPOSICION CESFAM ELEUTERIO RAMIREZ CURANILAHUE</t>
  </si>
  <si>
    <t>CONSTRUCCION COMPLEJO DEPORTIVO, CHIGUAYANTE</t>
  </si>
  <si>
    <t>REPOSICION Y EQUIPAMIENTO SERVICIO MÉDICO LEGAL DE CHILLÁN</t>
  </si>
  <si>
    <t>CONSTRUCCION PARQUE URBANO ESCOCIA ENTRE BUCAREST Y GENOVA, HUALPEN</t>
  </si>
  <si>
    <t>MEJORAMIENTO ACCESO NORTE, COMUNA DE MULCHEN</t>
  </si>
  <si>
    <t>MULCHEN</t>
  </si>
  <si>
    <t>MEJORAMIENTO ESTADIO MUNICIPAL CURANILAHUE</t>
  </si>
  <si>
    <t>MEJORAMIENTO Y CONSTRUCCION EJE CIVICO CURANILAHUE</t>
  </si>
  <si>
    <t>REPOSICION ACERAS E ILUMINACION CALLE CHACABUCO, CONCEPCION</t>
  </si>
  <si>
    <t>CONTROL HIDATIDOSIS OVINA MEDIANTE VACUNACION, ALTO BIO BIO</t>
  </si>
  <si>
    <t>ALTO BIOBIO</t>
  </si>
  <si>
    <t>MEJORAMIENTO ACCES. UNIVERSAL Y ACERAS CENTRO NORPONIENTE,CONCEPCIÓN</t>
  </si>
  <si>
    <t>REPOSICION PARCIAL INSTITUTO INDUSTRIAL SUPERIOR DE CHILLAN</t>
  </si>
  <si>
    <t>ANALISIS DESARROLLO DE SISTEMA DE ALERTA DE CRECIDAS RÍO BIOBÍO</t>
  </si>
  <si>
    <t>ACTUALIZACION PLAN DESARROLLO COMUNAL, CHILLAN VIEJO</t>
  </si>
  <si>
    <t>CHILLAN VIEJO</t>
  </si>
  <si>
    <t>ACTUALIZACION PLAN DE DESARROLLO COMUNAL CORONEL 2018 2022</t>
  </si>
  <si>
    <t>CORONEL</t>
  </si>
  <si>
    <t>REPOSICION POSTA DE SALUD RURAL EL DURAZNO, LOS ANGELES</t>
  </si>
  <si>
    <t>CONSERVACION ACERAS SECTOR URBANO, COMUNA DE CABRERO</t>
  </si>
  <si>
    <t>MEJORAMIENTO GESTION DE TRANSITO RUTA 160, SECTOR MICHAIHUE-EL ROSARIO, SAN PEDRO DE LA PAZ</t>
  </si>
  <si>
    <t>SAN PADRO DE LA PAZ</t>
  </si>
  <si>
    <t>ACTUALIZACION PLAN DESARROLLO COMUNAL, SAN ROSENDO</t>
  </si>
  <si>
    <t>SAN ROSENDO</t>
  </si>
  <si>
    <t>SANEAMIENTO TITULOS DE DERECHOS DE AGUA COMUNA DE CAÑETE</t>
  </si>
  <si>
    <t>SANEAMIENTO TITULOS DERECHOS DE AGUA COMUNA DE LEBU</t>
  </si>
  <si>
    <t>REPOSICION CENTRO DE SALUD FAMILIAR LARAQUETE, COMUNA DE ARAUCO</t>
  </si>
  <si>
    <t>CONSTRUCCION PARQUE CIENTÍFICO TECNOLÓGICO REGION DEL BÍO BÍO</t>
  </si>
  <si>
    <t>iNTERPROVINCIAL</t>
  </si>
  <si>
    <t>REPOSICION COMPLEJO POLICIAL PDI CONCEPCIÓN</t>
  </si>
  <si>
    <t>REPOSICION ESTADIO MUNICIPAL DE SAN GREGORIO, COMUNA DE ÑIQUEN</t>
  </si>
  <si>
    <t>ÑIQUEN</t>
  </si>
  <si>
    <t>CONSTRUCCION SISTEMA FOTOVOLTAICOS INDIVIDUALES COMUNA DE CURANILAHUE</t>
  </si>
  <si>
    <t>REPOSICION EDIFICIO CONSISTORIAL COMUNA DE YUMBEL</t>
  </si>
  <si>
    <t>CONSTRUCCION CORREDOR TRANSP. PUBLICO COLON: PERALES - ALESSANDRI</t>
  </si>
  <si>
    <t>CONSTRUCCION APR INDIV. LA CALLE, ATEUCO, SAN ONOFRE Y OTROS,HUALQUI</t>
  </si>
  <si>
    <t>CONSTRUCCION GIMNASIO MUNICIPAL DE YUNGAY</t>
  </si>
  <si>
    <t>YUNGAY</t>
  </si>
  <si>
    <t>RESTAURACION Y PUESTA EN VALOR CAPILLA SAN SEBASTIÁN DE LOS ÁNGELES</t>
  </si>
  <si>
    <t>RESTAURACION CASONA EYHERAMENDY DE LOS ÁLAMOS</t>
  </si>
  <si>
    <t>LOS ALAMOS</t>
  </si>
  <si>
    <t>HABILITACION CENTRO CULTURAL LOS ÁNGELES</t>
  </si>
  <si>
    <t>CONSTRUCCION PARQUE URBANO FINLANDIA, ENTRE AVDA COSTANERA Y GENOVA</t>
  </si>
  <si>
    <t>NORMALIZACION Y CONEXIÓN SEMÁFOROS AL SCAT GRAN CONCEPCIÓN 1 ETAPA</t>
  </si>
  <si>
    <t>CONCEPCION</t>
  </si>
  <si>
    <t>REPOSICION CON RELOCALIZACION GIMNASIO MUNICIPAL DE YUMBEL, YUMBEL</t>
  </si>
  <si>
    <t>REPOSICION BASE BRIGADA INCENDIOS FORESTALES DUQUECO - LOS ANGELES</t>
  </si>
  <si>
    <t>REPOSICION ALUMBRADO PUBLICO DIVERSOS SECTORES, ARAUCO.</t>
  </si>
  <si>
    <t>MEJORAMIENTO PAVIMENTOS POBLACION LIBERTAD, II ETAPA, TALCAHUANO</t>
  </si>
  <si>
    <t>REPOSICION CESFAM OHIGGINS DE CONCEPCION</t>
  </si>
  <si>
    <t>MEJORAMIENTO CANCHA DE FUTBOL ÑIPAS, COMUNA DE RANQUIL</t>
  </si>
  <si>
    <t>RANQUIL</t>
  </si>
  <si>
    <t>CONSTRUCCION POLIDEPORTIVO PUEBLO SECO, COMUNA DE SAN IGNACIO</t>
  </si>
  <si>
    <t>REPOSICION FERIA TECHADA, COMUNA DE LEBU</t>
  </si>
  <si>
    <t>CONSTRUCCION SIST SANEAMIENTO SANITARIO ANTIHUALA Y OTROS,LOS ALAMOS</t>
  </si>
  <si>
    <t>REPOSICION DECIMA COMPAÑÍA DE BOMBEROS, CONCEPCION</t>
  </si>
  <si>
    <t>NORMALIZACION SANEAMIENTO SANITARIO SECTOR LA PAZ-FLORIDA</t>
  </si>
  <si>
    <t>FLORIDA</t>
  </si>
  <si>
    <t>CONSTRUCCION PLAZA DE ARMAS PUEBLO SECO COMUNA DE SAN IGNACIO</t>
  </si>
  <si>
    <t xml:space="preserve">CONSTRUCCION ESTADIO COMUNA DE LOS ÁNGELES </t>
  </si>
  <si>
    <t>AMPLIACION REDES A.P Y A. SERVIDAS SECTOR EL BAJO, CHILLAN VIEJO</t>
  </si>
  <si>
    <t>MEJORAMIENTO CEMENTERIO MUNICIPAL, CORONEL</t>
  </si>
  <si>
    <t>REPOSICION CUARTEL SEGUNDA COMPAÑIA DE BOMBEROS COIGUE COMUNA DE NEGRETE</t>
  </si>
  <si>
    <t>NEGRETE</t>
  </si>
  <si>
    <t>CONSTRUCCION TEATRO REGIONAL DEL BIOBIO</t>
  </si>
  <si>
    <t>CONSTRUCCION EDIFICIO COALIVI, CONCEPCIÓN</t>
  </si>
  <si>
    <t>CONSTRUCCION CRUCE FERROVIARIO DESNIVELADO SANTA SOFIA - CHIGUAYANTE</t>
  </si>
  <si>
    <t>CONSTRUCCION CENTRO CULTURAL, COMUNA DE CONTULMO</t>
  </si>
  <si>
    <t>REPOSICION BASE BRIGADA INCENDIOS FORESTALES TRANCALCO - LEBU</t>
  </si>
  <si>
    <t>CONSERVACION CAMINOS VECINALES QUIEBRAFRENOS, LAJA-PIRDT</t>
  </si>
  <si>
    <t>CONSTRUCCION Y EQUIPAMIENTO CUARTEL PDI CORONEL</t>
  </si>
  <si>
    <t>CONSTRUCCION ESPACIO PÚBLICO URBANO LA CORUÑA, HUALPÉN</t>
  </si>
  <si>
    <t>REPOSICION Y AMPLIACION PLAZA DE ARMAS DE NEGRETE</t>
  </si>
  <si>
    <t>REPOSICION Y REUBICACION CUARTEL BOMBEROS 2DA COMPAÑÍA CABRERO</t>
  </si>
  <si>
    <t>CONSERVACION MURO PERIMETRAL DEL CENTRO DE CUMPLIMIENTO PENITENCIARIO CORONEL</t>
  </si>
  <si>
    <t>REPOSICION Y MEJORAMIENTO HOGAR DE ANCIANOS SAN FRANCISCO DE A, LEBU</t>
  </si>
  <si>
    <t>ACTUALIZACION PLAN REGULADOR COMUNA SAN ROSENDO</t>
  </si>
  <si>
    <t>MEJORAMIENTO Y HERMOSEAMIENTO CALLE WALKER MARTINEZ HUEPIL, TUCAPEL</t>
  </si>
  <si>
    <t>ACTUALIZACION PLAN REGULADOR COMUNAL DE MULCHÉN</t>
  </si>
  <si>
    <t>CONSTRUCCION AREA VERDE LAGUNILLAS NORTE, CORONEL</t>
  </si>
  <si>
    <t>EXPLORACION DE LA CAPACIDAD DE EXPLOTACIÓN AGUAS SUBTERRÁNEAS EN SECTOR PRODUCTIVO BIOBÍO</t>
  </si>
  <si>
    <t>REPOSICION CUARTEL CUERPO DE BOMBEROS MULCHÉN</t>
  </si>
  <si>
    <t>REPOSICION CUARTEL QUINTA COMPAÑÍA DE BOMBEROS, TOMÉ</t>
  </si>
  <si>
    <t>CONSTRUCCION CENTRO CULTURAL CURANILAHUE</t>
  </si>
  <si>
    <t>MEJORAMIENTO ESPACIO PUBLICO CERRO AMARILLO, HUALPEN</t>
  </si>
  <si>
    <t>CONSTRUCCION PMB SECTOR TRES ESQUINAS COMUNA DE BULNES</t>
  </si>
  <si>
    <t>CONSTRUCCION CENTRO BIOTECNOLOGIA DE ALIMENTOS U.DEL BIO-BIO CHILLAN</t>
  </si>
  <si>
    <t>CONSTRUCCION ALCANTARILLADO Y URBANIZACION DE QUIDICO, TIRUA</t>
  </si>
  <si>
    <t>ACTUALIZACION PLAN REGULADOR COMUNA DE LEBU</t>
  </si>
  <si>
    <t>CONSTRUCCION PISCINA MUNICIPAL DE FLORIDA</t>
  </si>
  <si>
    <t>AMPLIACION RED DE GASES CLINICOS Y ELECTRICAS MONOBLOCK HGGB</t>
  </si>
  <si>
    <t>AMPLIACION POTENCIA ELECTRICA SUBESTACION TPC -MNB, HGGB</t>
  </si>
  <si>
    <t>CONSTRUCCION PARQUE CULTURAL MAPUCHE CERRO COLO COLO</t>
  </si>
  <si>
    <t>MEJORAMIENTO INTEGRAL AERODROMO LAS MISIONES DE CAÑETE</t>
  </si>
  <si>
    <t>MEJORAMIENTO AREAS VERDES, CHILLAN VIEJO</t>
  </si>
  <si>
    <t>REPOSICION CENTRO COMUNITARIO ESPACIO HIGUERAS, TALCAHUANO</t>
  </si>
  <si>
    <t>SANEAMIENTO TITULOS DE DERECHOS DE AGUA COMUNA DE ARAUCO</t>
  </si>
  <si>
    <t>REPOSICION LICEO JOSÉ DE LA CRUZ MIRANDA, CAÑETE</t>
  </si>
  <si>
    <t>CONSTRUCCION PARQUE URBANO PRICE, HUALPEN</t>
  </si>
  <si>
    <t>REPOSICION CON RELOCALIZACIÓN Y EQUIP. PREFECTURA PDI ARAUCO</t>
  </si>
  <si>
    <t>REPOSICION ESCUELA G 666 ESCUADRON, CORONEL</t>
  </si>
  <si>
    <t>REPOSICION CUARTEL DE BOMBEROS PEHUEN, LEBU</t>
  </si>
  <si>
    <t>REPOSICION Y EQUIPAMIENTO CUARTEL PDI CHIGUAYANTE</t>
  </si>
  <si>
    <t>SANEAMIENTO DERECHOS DE AGUAS DE PEQUEÑOS AGRICULTORES, SAN ROSENDO</t>
  </si>
  <si>
    <t>CONSTRUCCION CEMENTERIO MUNICIPAL, COMUNA DE PENCO</t>
  </si>
  <si>
    <t>PENCO</t>
  </si>
  <si>
    <t xml:space="preserve">  31.03</t>
  </si>
  <si>
    <t>CONTROL DE TERMITAS SUBTERRÁNEAS EN SECTOR ORIENTE, COMUNA NACIMIENTO</t>
  </si>
  <si>
    <t>NACIMIENTO</t>
  </si>
  <si>
    <t>HABILITACION BIBLIOTECA MUNICIPAL, CHIGUAYANTE</t>
  </si>
  <si>
    <t>30349123-E</t>
  </si>
  <si>
    <t>REPOSICION TENENCIA FLORIDA, COMUNA DE FLORIDA</t>
  </si>
  <si>
    <t>MEJORAMIENTO CANCHA DE FÚTBOL SECTOR SUR, CAÑETE</t>
  </si>
  <si>
    <t>REPOSICION HOSPITAL SANTA JUANA,COMUNA SANTA JUANA</t>
  </si>
  <si>
    <t>CONSERVACION RUTA 0-474 BIFURCACIÓN DESEMBOCADURA-CALETA CHOME, TRAMO II KM 0,02 AL KM 9,350</t>
  </si>
  <si>
    <t>CONSTRUCCION PLANTA DE HIDROGENO VERDE PARA APLICACIONES INDUSTRIALES EN LA REGION DEL BIOBIO</t>
  </si>
  <si>
    <t>ACTUALIZACION PLAN REGULADOR COMUNAL SANTA BÁRBARA</t>
  </si>
  <si>
    <t>DIAGNOSTICO PLAN DE DESARROLLO TURISTICO COMUNA DE ARAUCO</t>
  </si>
  <si>
    <t>NORMALIZACION ELECTRIFICACION SECTOR VALLE ELICURA Y OTROS , CONTULMO</t>
  </si>
  <si>
    <t>SIGFE</t>
  </si>
  <si>
    <t>Monto Modificado 2022</t>
  </si>
  <si>
    <t>Monto Modificado 2023</t>
  </si>
  <si>
    <t>Monto Modificado 2024</t>
  </si>
  <si>
    <t>CONSTRUCCION SISTEMA AGUA POTABLE RURAL LLAGUEY QUIFO, SAAVEDRA</t>
  </si>
  <si>
    <t>La Araucanía</t>
  </si>
  <si>
    <t>Saavedra</t>
  </si>
  <si>
    <t>INSTALACION SISTEMA AGUA POTABLE RURAL COLICO, CARAHUE</t>
  </si>
  <si>
    <t>LA ARAUCANÍA</t>
  </si>
  <si>
    <t>CARAHUE</t>
  </si>
  <si>
    <t>REPOSICION EDIFICIO CONSISTORIAL, CUNCO</t>
  </si>
  <si>
    <t>CUNCO</t>
  </si>
  <si>
    <t>REPOSICION EDIFICIIO CONSISTORIAL COMUNA DE TOLTEN</t>
  </si>
  <si>
    <t>TOLTEN</t>
  </si>
  <si>
    <t>INSTALACION SISTEMA AGUA POTABLE RURAL QUINTRILPE, VILCUN</t>
  </si>
  <si>
    <t>Vilcún</t>
  </si>
  <si>
    <t>INSTALACION SISTEMA AGUA POTABLE RURAL STA CELIA, CAMARONES Y EL MANZANO, CARAHUE</t>
  </si>
  <si>
    <t>Carahue</t>
  </si>
  <si>
    <t>REPOSICION BIBLIOTECA MUNICIPAL TEODORO SCHMIDT</t>
  </si>
  <si>
    <t>T. SCHMIDT</t>
  </si>
  <si>
    <t>INSTALACION SERVICIO AGUA POTABLE CATRIRREHUE, SAAVEDRA</t>
  </si>
  <si>
    <t>INSTALACION SISTEMA AGUA POTABLE RURAL CHIVILCOYAN, IMPERIAL</t>
  </si>
  <si>
    <t>Imperial</t>
  </si>
  <si>
    <t>INSTALACION SISTEMA AGUA POTABLE DALCAHUE, CUNCO</t>
  </si>
  <si>
    <t>Cunco</t>
  </si>
  <si>
    <t>REPOSICION PLAZA ARTURO PRAT de PUERTO SAAVEDRA, COMUNA DE SAAVEDRA</t>
  </si>
  <si>
    <t>SAAVEDRA</t>
  </si>
  <si>
    <t>INSTALACION SISTEMA AGUA POTABLE RURAL LEFUN, VILLARRICA</t>
  </si>
  <si>
    <t>Villarrica</t>
  </si>
  <si>
    <t>REPOSICION CONSULTORIO GENERAL URBANO VILLARRICA Y ADECUACIÓN CESFAM</t>
  </si>
  <si>
    <t>VILLARRICA</t>
  </si>
  <si>
    <t>INSTALACION SISTEMA AGUA POTABLE RURAL CAIVICO, VILCUN</t>
  </si>
  <si>
    <t>VILCUN</t>
  </si>
  <si>
    <t>MEJORAMIENTO CAMINO CUDICO-PINO HUACHO, VILLARRICA</t>
  </si>
  <si>
    <t>INSTALACION AGUA POTABLE RURAL STA. JUANA LOS ACACIOS, GORBEA</t>
  </si>
  <si>
    <t>GORBEA</t>
  </si>
  <si>
    <t>REPOSICION EDIFICIO CONSISTORIAL DE LONQUIMAY</t>
  </si>
  <si>
    <t>LONQUIMAY</t>
  </si>
  <si>
    <t>INSTALACION SISTEMA AGUA POTABLE MITRAUQUEN (ALTA Y BAJO), LONQUIMAY</t>
  </si>
  <si>
    <t>Lonquimay</t>
  </si>
  <si>
    <t>INSTALACION SISTEMA AGUA POTABLE RURAL CHACAICO.ANGOL</t>
  </si>
  <si>
    <t>ANGOL</t>
  </si>
  <si>
    <t>INSTALACION SISTEMA DE APR DE PAILACOYAN, RUCATARO Y COYANCO, CARAHUE</t>
  </si>
  <si>
    <t>INSTALACION A.P.R.CHAPO,ROBLE RICON,CHACAY(BAJO Y ALTO), CARAHUE</t>
  </si>
  <si>
    <t>INSTALACION SISTEMA AGUA POTABLE PAILLAO MAPU TROMEMALLIN, TEMUCO</t>
  </si>
  <si>
    <t>Temuco</t>
  </si>
  <si>
    <t>INSTALACION A.P.R. QUILLEM BAJO, ALTO Y QUEBRADA MOLINO, CARAHUE</t>
  </si>
  <si>
    <t>CONSTRUCCION CENTRO DE SALUD RURAL PUERTO DOMINGUEZ - SAAVEDRA</t>
  </si>
  <si>
    <t>MEJORAMIENTO AV. PINTO ENTRE C. TUCAPEL Y AV. CAUPOLICAN, TEMUCO</t>
  </si>
  <si>
    <t>TEMUCO</t>
  </si>
  <si>
    <t>MEJORAMIENTO AV BALMACEDA ENTRE PEDRO DE VALDIVIA/BULNES-LONCOCHE</t>
  </si>
  <si>
    <t>LONCOCHE</t>
  </si>
  <si>
    <t>INSTALACION SISTEMA AGUA POTABLE RURAL DEHUEPILLE, PADRE LAS CASAS</t>
  </si>
  <si>
    <t>P. Las Casas</t>
  </si>
  <si>
    <t>INSTALACION SISTEMA AGUA POTABLE RURAL CENTRAL ALHUECO, LAUTARO</t>
  </si>
  <si>
    <t>Lautaro</t>
  </si>
  <si>
    <t>REPOSICION BIBLIOTECA PUBLICA, CURARREHUE</t>
  </si>
  <si>
    <t>CURARREHUE</t>
  </si>
  <si>
    <t>NORMALIZACION CONSULTORIO GENERAL PERQUENCO Y ADECUACIÓN A CESFAM</t>
  </si>
  <si>
    <t>PERQUENCO</t>
  </si>
  <si>
    <t>REPOSICION PARCIAL EDIFICIO CONSISTORIAL, ANGOL</t>
  </si>
  <si>
    <t>REPOSICION POSTA SALUD RURAL PICHIPELLAHUEN - LUMACO</t>
  </si>
  <si>
    <t>LUMACO</t>
  </si>
  <si>
    <t>REPOSICION PARCIAL LICEO DOMINGO SANTA MARIA, RENAICO</t>
  </si>
  <si>
    <t>RENAICO</t>
  </si>
  <si>
    <t>REPOSICION CUARTEL PRIMERA COMPAÑÍA DE BOMBEROS, MELIPEUCO</t>
  </si>
  <si>
    <t>MELIPEUCO</t>
  </si>
  <si>
    <t>INSTALACION SISTEMA AGUA POTABLE QUEUPUE, COIHUE Y LLANCAN, T. SCHMIDT</t>
  </si>
  <si>
    <t>T.Schmidt</t>
  </si>
  <si>
    <t>NORMALIZACION HOSPITAL COMUNITARIO Y FAM DR. EDUARDO GONZALEZ G. CUNCO</t>
  </si>
  <si>
    <t>NORMALIZACION HOSPITAL COMUNITARIO Y FAMILIAR VILCUN</t>
  </si>
  <si>
    <t>CONSTRUCCION HOGAR DE ANCIANOS, VICTORIA</t>
  </si>
  <si>
    <t>VICTORIA</t>
  </si>
  <si>
    <t>INSTALACION SISTEMA AGUA POTABLE RURAL LLIU LLIU 7MA. FAJA, LONCOCHE</t>
  </si>
  <si>
    <t>Loncoche</t>
  </si>
  <si>
    <t>INSTALACION SISTEMA AGUA POTABLE RURAL EL ESCORIAL, MELIPEUCO</t>
  </si>
  <si>
    <t>Melipeuco</t>
  </si>
  <si>
    <t>INSTALACION SISTEMA AGUA POTABLE JOSE MIGUEL CARRERA, COLLIPULLI</t>
  </si>
  <si>
    <t>Collipulli</t>
  </si>
  <si>
    <t>MEJORAMIENTO AVENIDA BERNARDO O" HIGGINS CIUDAD DE LAUTARO</t>
  </si>
  <si>
    <t>LAUTARO</t>
  </si>
  <si>
    <t>INSTALACION SISTEMA AGUA POTABLE DOLLINCO ALHUECO, LAUTARO</t>
  </si>
  <si>
    <t>MEJORAMIENTO RUTA S-422 PTO.SAAVEDRA - EL ALMA - EL TEMO, SAAVEDRA</t>
  </si>
  <si>
    <t>CONSTRUCCION ESCUELA ESPECIAL TULIO MORA - PUREN</t>
  </si>
  <si>
    <t>PUREN</t>
  </si>
  <si>
    <t>REPOSICION LICEO CIENCIAS Y HUMANIDADES PITRUFQUEN</t>
  </si>
  <si>
    <t>PITRUFQUEN</t>
  </si>
  <si>
    <t>MEJORAMIENTO RUTAS S-464 Y S-488; ALMAGRO - BARROS ARANA</t>
  </si>
  <si>
    <t>CAUTIN</t>
  </si>
  <si>
    <t>INSTALACION SISTEMA AGUA POTABLE RURAL LLANGUI, SAAVEDRA</t>
  </si>
  <si>
    <t>INSTALACION SISTEMA AGUA POTABLE DOLLINCO LLARQUENCO, SAAVEDRA</t>
  </si>
  <si>
    <t>INSTALACION SISTEMA AGUA POTABLE RURAL ALMA CUDILEUFU, SAAVEDRA</t>
  </si>
  <si>
    <t>INSTALACION SISTEMA AGUA POTABLE MILLAHUECO ROLONCHE, SAAVEDRA</t>
  </si>
  <si>
    <t>NORMALIZACION CESFAM CONSULTORIO GENERAL DE TROVOLHUE</t>
  </si>
  <si>
    <t>INSTALACION AGUA POTABLE CALLE DEL MEDIO SECTOR LOS TEMOS, LAUTARO</t>
  </si>
  <si>
    <t>RESTAURACION TEATRO MUNICIPAL DE COLLIPULLI</t>
  </si>
  <si>
    <t>COLLIPULLI</t>
  </si>
  <si>
    <t>INSTALACION SISTEMA AGUA POTABLE RURAL, SECTOR ALTO Y BAJO LONCOYAMO, CARAHUE</t>
  </si>
  <si>
    <t>MEJORAMIENTO BIBLIOTECA PUBLICA MUNICIPAL LAUTARO</t>
  </si>
  <si>
    <t>INSTALACION AGUA POTABLE CINCO LAURELES, TROMEN BAJO Y ALTO, TEMUCO</t>
  </si>
  <si>
    <t>CONSTRUCCION CENTRO DE SALUD FAMILIAR - PUCON</t>
  </si>
  <si>
    <t>PUCON</t>
  </si>
  <si>
    <t>REPOSICION CALLE TACNA ENTRE LATORRE Y SGTO. ALDEA - VICTORIA</t>
  </si>
  <si>
    <t>CONSTRUCCION SISTEMA DE AGUA POTABLE RURAL PEHUENCO, VICTORIA</t>
  </si>
  <si>
    <t>Victoria</t>
  </si>
  <si>
    <t>MEJORAMIENTO AV. P. DE VALDIVIA ENTRE AV. EL ORBITAL Y PRIETO NORTE</t>
  </si>
  <si>
    <t>CONSTRUCCION SISTEMA AGUA POTABLE CUDICO ALTO Y BAJO, VILLARRICA</t>
  </si>
  <si>
    <t>MEJORAMIENTO RUTA S-222 HUALACURA LOS BOLDOS</t>
  </si>
  <si>
    <t>IMPERIAL</t>
  </si>
  <si>
    <t>CONSTRUCCION SISTEMA AGUA POTABLE LLIULLIUCURA, LAUTARO</t>
  </si>
  <si>
    <t>RESTAURACION TEATRO MUNICIPAL DE RENAICO</t>
  </si>
  <si>
    <t xml:space="preserve">REPOSICION POSTA SALUD RURAL DEL SECTOR DE RULO, NUEVA IMPERIAL </t>
  </si>
  <si>
    <t>NUEVA IMPERIAL</t>
  </si>
  <si>
    <t>CONSTRUCCION SISTEMA AGUA POTABLE RURAL EL SOL Y GUACOLDA, PERQUENCO</t>
  </si>
  <si>
    <t>Perquenco</t>
  </si>
  <si>
    <t>MEJORAMIENTO RUTA S-689 SEXTA FAJA, GORBEA</t>
  </si>
  <si>
    <t>CONSTRUCCION SISTEMA AGUA POTABLE RURAL PIEDRA ALTA, SAAVEDRA</t>
  </si>
  <si>
    <t>CONSTRUCCION SISTEMA AGUA POTABLE RURAL PUAUCHO, SAVEDRA</t>
  </si>
  <si>
    <t>CONSTRUCCION SISTEMA AGUA POTABLE CUNCO CHICO, PADRE LAS CASAS</t>
  </si>
  <si>
    <t>CONSTRUCCION SISTEMA AGUA POTABLE RURAL YAUYAGUEN, P. LAS CASAS</t>
  </si>
  <si>
    <t>PADRE LAS CASAS</t>
  </si>
  <si>
    <t>HABILITACION ESTADIO MUNICIPAL DE PUREN</t>
  </si>
  <si>
    <t>CONSTRUCCION SISTEMA AGUA POTABLE MONOPAINE CHAPOD, PADRE LAS CASAS</t>
  </si>
  <si>
    <t>TRANSFERENCIA PRODUCCION OVINA PARA 120 AGRICULTORES, P. LAS CASAS</t>
  </si>
  <si>
    <t>CONSTRUCCION SISTEMA AGUA POTABLE MOLONHUE ALTO Y BAJO, T. SCHMIDT</t>
  </si>
  <si>
    <t>NORMALIZACION POSTA SALUD RURAL COYANCAHUIN - PUREN</t>
  </si>
  <si>
    <t>REPOSICION ESTADIO DE TROVOLHUE, CARAHUE</t>
  </si>
  <si>
    <t>REPOSICION POSTA SALUD RURAL TEMULEMU - TRAIGUEN</t>
  </si>
  <si>
    <t>TRAIGUEN</t>
  </si>
  <si>
    <t>NORMALIZACION POSTA SALUD RURAL LA HERRADURA - LUMACO</t>
  </si>
  <si>
    <t>AMPLIACION RED AGUAS SERVIDAS LABRANZA CENTRO, TEMUCO</t>
  </si>
  <si>
    <t>CONSTRUCCION MERCADO INTERCULTURAL WE MONGEN NUEVA IMPERIAL</t>
  </si>
  <si>
    <t>MEJORAMIENTO CALLE 3 PONIENTE ENTRE 1 NORTE Y PASAJE EL PINAR-TEMUCO</t>
  </si>
  <si>
    <t>MEJORAMIENTO CALLE UNION NORTE ENTRE R. ORTEGA Y T. DE MOLINA -TEMUCO</t>
  </si>
  <si>
    <t>REPOSICION LICEO ATENEA, CUNCO</t>
  </si>
  <si>
    <t>CONSERVACION INFRAESTRUCTURA HOSPITAL PUREN</t>
  </si>
  <si>
    <t>MEJORAMIENTO AV. LUIS DURAND ENTRE AV. ANDES - EL CARMEN, TEMUCO</t>
  </si>
  <si>
    <t>REPOSICION ESCUELA ESPECIAL ÑIELOL DE TEMUCO</t>
  </si>
  <si>
    <t>MEJORAMIENTO CAMINO MAQUEHUE - ZANJA, PADRE LAS CASAS</t>
  </si>
  <si>
    <t>P. LAS CASAS</t>
  </si>
  <si>
    <t>AMPLIACION SISTEMA APR HUALLEPENCO A QUINTRILEO Y OTROS, PERQUENCO</t>
  </si>
  <si>
    <t>CONSTRUCCION POSTA SALUD RURAL HUALLEN MAPU, LONQUIMAY</t>
  </si>
  <si>
    <t>REPOSICION CENTRO SALUD FAMILIAR, VICTORIA</t>
  </si>
  <si>
    <t>REPOSICION POSTA SALUD RURAL QUECHEREGUAS, TRAIGUEN</t>
  </si>
  <si>
    <t>CONSTRUCCION SIS. AGUA POTABLE HUINCACARA SUR VOIPIR SECO, VILLARRICA</t>
  </si>
  <si>
    <t>MEJORAMIENTO INTEGRAL ZONA DE USO PUBLICO PARQUE NAC. VILLARRICA</t>
  </si>
  <si>
    <t>CONSERVACION CAMINO HUAMAQUI LOS CHILCOS, KM 0,0 AL 15,5; CHOL CHOL</t>
  </si>
  <si>
    <t>CHOL CHOL</t>
  </si>
  <si>
    <t>CONSTRUCCION SISTEMA AGUA POTABLE RURAL PICHIQUEPE, PADRE LAS CASAS</t>
  </si>
  <si>
    <t>CONSTRUCCION RED DE COLECTORES DE AGUAS LLUVIA DE FREIRE</t>
  </si>
  <si>
    <t>Freire</t>
  </si>
  <si>
    <t>MEJORAMIENTO BORDE COSTERO, QUEULE, TOLTEN</t>
  </si>
  <si>
    <t>Prefact.</t>
  </si>
  <si>
    <t>MEJORAMIENTO CALLE MOLLULCO, ENTRE CALLE EL BOSQUE Y COMPLEJO DEPORTIVO LABRANZA, TEMUCO.</t>
  </si>
  <si>
    <t>DIAGNOSTICO PMDT MALLECO NORTE</t>
  </si>
  <si>
    <t>MALLECO</t>
  </si>
  <si>
    <t>REPOSICION FERIA ABASTO MUNICIPAL, CURACAUTIN</t>
  </si>
  <si>
    <t>CURACAUTIN</t>
  </si>
  <si>
    <t>REPOSICION IGLESIA SAN JUAN EVANGELISTA, PITRUFQUEN</t>
  </si>
  <si>
    <t>CONSTRUCCION SISTEMA AGUA POTABLE RURAL, ÑANCUL NORTE, VILLARRICA</t>
  </si>
  <si>
    <t>CONSTRUCCION SISTEMA AGUA POTABLE VOIPIR, RAYENCO CALFUTUE, VILLARRICA</t>
  </si>
  <si>
    <t>CONSTRUCCION SISTEMA DE AGUA POTABLE RURAL MOLCO MEDIO, VILLARRICA</t>
  </si>
  <si>
    <t>MEJORAMIENTO CAMINO BASICO INTERMEDIO CAMINO ANTIGUO TRAIGUEN</t>
  </si>
  <si>
    <t>REPOSICION EDIFICIO CONSISTORIAL, COMUNA DE GORBEA</t>
  </si>
  <si>
    <t>CONSTRUCCION CUARTEL DE BOMBEROS BRIGADA DE METRENCO, PLC</t>
  </si>
  <si>
    <t>REPOSICION INTEGRAL ESTADIO MUNICIPAL, COMUNA DE COLLIPULLI</t>
  </si>
  <si>
    <t>REPOSICION POSTA DE SALUD RURAL AÑILCO, VILLARRICA</t>
  </si>
  <si>
    <t>CONSTRUCCION ESPACIO PÚBLICO VILLA EL BOSQUE, PADRE LAS CASAS</t>
  </si>
  <si>
    <t>CONSTRUCCION CUARTEL BRIGADA FUNDO EL CARMEN, TEMUCO.</t>
  </si>
  <si>
    <t>REPOSICION CANCHA DE FUTBOL LICEO PABLO NERUDA, TEMUCO</t>
  </si>
  <si>
    <t>REPOSICION ESCUELA COLLIN ALTO, VILCUN</t>
  </si>
  <si>
    <t>CONSTRUCCION APR FOLILCO, QUETROCO, RUCAHUE, RUCATRARO, HUENTE, FREIRE</t>
  </si>
  <si>
    <t>CONSTRUCCION SISTEMA AGUA POTABLE RURAL ARAUCO, CHUMPULLI, GUIÑIMO, FREIRE</t>
  </si>
  <si>
    <t>REPOSICION CUARTEL DE BOMBEROS QUINTA COMPAÑÍA DE NEHUENTUE</t>
  </si>
  <si>
    <t>REPOSICION GIMNASIO MUNICIPAL, PUCON</t>
  </si>
  <si>
    <t>REPOSICION CESFAM HUEQUEN, ANGOL</t>
  </si>
  <si>
    <t>CONSTRUCCION CUARTEL DE BOMBEROS PRIMERA COMPAÑÍA CARAHUE</t>
  </si>
  <si>
    <t>REPOSICION CECOSF EL RETIRO, ANGOL</t>
  </si>
  <si>
    <t>REPOSICION BALSA NEHUENTUE, RIO IMPERIAL</t>
  </si>
  <si>
    <t>REPOSICION CENTRO SALUD FAMILIAR METODISTA (MILLARAY), TEMUCO</t>
  </si>
  <si>
    <t>INSTALACION SISTEMA APR, LAFKENCHE HUEÑALIHUEN</t>
  </si>
  <si>
    <t>CONSTRUCCION POSTA DE SALUD RURAL GUINDO CHICO, LOS SAUCES</t>
  </si>
  <si>
    <t>LOS SAUCES</t>
  </si>
  <si>
    <t>REPOSICION POSTA DE SALUD RURAL TRINTRE, LOS SAUCES</t>
  </si>
  <si>
    <t>NORMALIZACION URGENCIA HOSPITAL HERNAN HENRIQUEZ ARAVENA, TEMUCO</t>
  </si>
  <si>
    <t>REPOSICION POSTA DE SALUD RURAL MAICA, COLLIPULLI</t>
  </si>
  <si>
    <t>CONSTRUCCION 3° COMPAÑÍA DE BOMBEROS DE PUERTO DOMINGUEZ - SAAVEDRA</t>
  </si>
  <si>
    <t>CONSTRUCCION ELECTRIFICACION RURAL CURACO Y OTROS, COLLIPULLI</t>
  </si>
  <si>
    <t>CONSTRUCCION SISTEMA AGUA POTABLE PUENTE NEGRO, IMPERIAL</t>
  </si>
  <si>
    <t>CONSTRUCCION SIST. AGUA POTABLE BUDI LOS TRONCOS PIDENCO, T. SCHMIDT</t>
  </si>
  <si>
    <t>CONSTRUCCION SISTEMA DE AGUA POTABLE CHESQUE BAJO, VILLARRICA</t>
  </si>
  <si>
    <t>CONSTRUCCION BIBLIOTECA REGIONAL DE LA ARAUCANIA</t>
  </si>
  <si>
    <t>REGION</t>
  </si>
  <si>
    <t>CONSTRUCCION POSTA DE SALUD RURAL VILLA ESPERANZA, COLLIPULLI</t>
  </si>
  <si>
    <t>REPOSICION CENTRO DE SALUD INTERCULTURAL BOROA FILULAWEN, NUEVA IMPERIAL</t>
  </si>
  <si>
    <t>CONSTRUCCION SIST. AGUA POTABLE CHUCAUCO, SANTA PAULA Y NUEVE DE JULIO, FREIRE</t>
  </si>
  <si>
    <t>REPOSICION ESCUELA BASICA LICANCURA, CURARREHUE</t>
  </si>
  <si>
    <t>CONSTRUCCION A.P.R. RUCACURA, PORMA CHAICHAYEN, FILULAFQUEN, T. SCHMIDT</t>
  </si>
  <si>
    <t>REPOSICION CONSULTORIO GENERAL RURAL CHOLCHOL Y ADECUACIÓN A CESFAM, CHOLCHOL</t>
  </si>
  <si>
    <t>MEJORAMIENTO CAMINOS BASICOS INTERMEDIOS PROVINCIA CAUTIN 2016 - 2018</t>
  </si>
  <si>
    <t>REPOSICION ESCUELA MALALCHE BAJO G-383, CHOLCHOL</t>
  </si>
  <si>
    <t>MEJORAMIENTO PLAZA PABLO NERUDA SECT. EL MIRADOR - ANGOL</t>
  </si>
  <si>
    <t>REPOSICION POSTA SALUD RURAL ANIÑIR - TRAIGUEN</t>
  </si>
  <si>
    <t>CONSTRUCCION APR COIHUECO, PELEHUE, PUNTA RIEL, PONHUITO, T. SCHMIDT</t>
  </si>
  <si>
    <t>REPOSICION ESTADIO MUNICIPAL LASTARRIA</t>
  </si>
  <si>
    <t>CONSTRUCCION SISTEMA DE AGUA POTABLE RURAL JUAN COLIPE, TEMUCO</t>
  </si>
  <si>
    <t>INSTALACION SISTEMA AGUA POTABLE RURAL HUECHOPUDO, MITARRUCAHUE, RELUN, VILLARRICA</t>
  </si>
  <si>
    <t>CONSERVACION CC BB CHUCAUCO SCHLEYER - VIDA NUEVA COM VILLARRICA</t>
  </si>
  <si>
    <t>CONSERVACION CAMINO BASICO CUARTA FAJA, GORBEA</t>
  </si>
  <si>
    <t>CONSERVACION CAMINOS ACCESO A COMUNIDADES INDIGENAS CUNCO 2016</t>
  </si>
  <si>
    <t>CONSERVACION CAMINO ACCESO COMUNIDADES INDIGENAS FREIRE 2016</t>
  </si>
  <si>
    <t>FREIRE</t>
  </si>
  <si>
    <t>CONSERVACION CAMINOS, ACCESOS COMUNIDADES INDIGENAS FREIRE 12</t>
  </si>
  <si>
    <t>CONSERVACION CAMINO ACCESO COMUNIDADES INDIGENAS GALVARINO</t>
  </si>
  <si>
    <t>GALVARINO</t>
  </si>
  <si>
    <t>CONSERVACION CAMINO ACCESO COMUNIDADES INDIGENAS CHOL CHOL</t>
  </si>
  <si>
    <t>CONSERVACION CAMINO ACCESO COMUNIDADES INDIGENAS MELIPEUCO</t>
  </si>
  <si>
    <t>CONSERVACION CAMINO ACCESO COMUNIDADES INDIGENAS FREIRE N° 14</t>
  </si>
  <si>
    <t>CONSERVACION CAMINO ACCESO COMUNIDADES INDIGENAS LAUTARO</t>
  </si>
  <si>
    <t>CONSERVACION CAMINO ACCESO COMUNIDADES INDIGENAS CURARREHUE</t>
  </si>
  <si>
    <t>CONSERVACION CAMINO ACCESO COMUNIDADES INDIGENAS PITRUFQUEN</t>
  </si>
  <si>
    <t>CONSERVACION CAMINO ACCESO COMUNIDADES INDIGENAS PUERTO SAAVEDRA</t>
  </si>
  <si>
    <t>CONSERVACION CAMINO ACCESO COMUNIDADES INDIGENAS VILLARRICA</t>
  </si>
  <si>
    <t>CONSTRUCCION CUARTEL TERCERA COMPAÑÍA DE BOMBEROS TIJERAL, RENAICO</t>
  </si>
  <si>
    <t>CONSERVACION CAMINO ACCESO COMUNIDADES INDIGENAS COLLIPULLI</t>
  </si>
  <si>
    <t>REPOSICION POSTA SALUD RURAL TROYO</t>
  </si>
  <si>
    <t>MEJORAMIENTO CBI RUTA S-464 QUEPE-BOROA, FREIRE</t>
  </si>
  <si>
    <t>CONSTRUCCION OBRAS LACUSTRES RIVERA LAGO VILLARRICA</t>
  </si>
  <si>
    <t>CONSERVACION CC.BB LOS GALPONES QUINQUE COMUY, PITRUFQUEN</t>
  </si>
  <si>
    <t>CONSERVACION CAMINOS ACCESO A COMUNIDADES INDIGENAS DE ERCILLA</t>
  </si>
  <si>
    <t>ERCILLA</t>
  </si>
  <si>
    <t>CONSTRUCCION CUARTEL DE BOMBEROS SEGUNDA FAJA, VILLARRICA</t>
  </si>
  <si>
    <t>CONSTRUCCION ELECTRIFICACION RURAL SECTOR FELIX CATRILAF Y OTROS, LONCOCHE</t>
  </si>
  <si>
    <t>REPOSICION PARQUE ESTADIO MUNICIPAL DE LAUTARO</t>
  </si>
  <si>
    <t>REPOSICION ESTACIONES COMUNITARIAS DE SALUD RURAL.</t>
  </si>
  <si>
    <t>REPOSICION ESTACIONES COMUNITARIAS DE SALUD RURAL, COLLIPULLI</t>
  </si>
  <si>
    <t>REPOSICION DE 5 ESTACIONES COMUNITARIAS DE SALUD RURAL, COMUNA LONQUIMAY</t>
  </si>
  <si>
    <t>REPOSICION CALZADA AVDA. B. O H"HIGGINS (ENTRE CARRERA-JEQUIER) LAUTARO</t>
  </si>
  <si>
    <t>CONSTRUCCION SISTEMA AGUA POTABLE RURAL LIUMALLA, HUALAPULLI, COLLICO, VILLARRICA</t>
  </si>
  <si>
    <t>RESTAURACION COMPLEJO IGLESIA PERPETUO SOCORRO, TEMUCO</t>
  </si>
  <si>
    <t>REPOSICION INFRAESTRUCTURA PUBLICA Y ADMINISTRATIVA DEL MONUMENTO NATURAL CERRO ÑIELOL</t>
  </si>
  <si>
    <t>REPOSICION ESCUELA F-308 GUACOLDA LAUTARO</t>
  </si>
  <si>
    <t>CONSTRUCCION CIRCUITO LINEAL URBANO (FAJA EFE), ANGOL</t>
  </si>
  <si>
    <t>HABILITACION ANTIGUO HOSPITAL DE ANGOL PARA BIBLIOTECA MUNICIPAL</t>
  </si>
  <si>
    <t>CONSTRUCCION SISTEMA AGUA POTABLE RURAL MELIRREHUE Y LAS 500, GORBEA</t>
  </si>
  <si>
    <t>Gorbea</t>
  </si>
  <si>
    <t>CONSTRUCCION SISTEMA AGUA POTABLE RURAL MONTRE LLANCAMIL, PERQUENCO</t>
  </si>
  <si>
    <t>REPOSICION BANDEJONES AVDA. CARRERA, CURACAUTIN</t>
  </si>
  <si>
    <t>CURACAUTÍN</t>
  </si>
  <si>
    <t>REPOSICION POSTA SALUD RURAL RADALCO, COMUNA DE CURACAUTIN</t>
  </si>
  <si>
    <t>CONSTRUCCION CIRCUITO PATRIMONIAL, COLLIPULLI</t>
  </si>
  <si>
    <t>CONSTRUCCION SISTEMA AGUA POTABLE RURAL ROMOPULLI, SAAVEDRA</t>
  </si>
  <si>
    <t>CONSTRUCCION DE PUNTOS LIMPIOS EN LA REGION DE LA ARAUCANIA</t>
  </si>
  <si>
    <t>CONSTRUCCION SISTEMA DE AGUA POTABLE RURAL BOQUIPULLI ALTO Y BAJO, VILLARRICA</t>
  </si>
  <si>
    <t>MEJORAMIENTO CBI EL NARANJO - MALLIN DEL TRAILE, LONQUIMAY.</t>
  </si>
  <si>
    <t>REPOSICION CUARTEL SEGUNDA COMPAÑIA DE BOMBEROS, NUEVA IMPERIAL</t>
  </si>
  <si>
    <t>HABILITACION TERMINAL DE BUSES INTERURBANOS CIUDAD DE CURACAUTIN</t>
  </si>
  <si>
    <t>CONSTRUCCION PARQUE BARRIO MANUEL RODRIGUEZ, CURACAUTIN</t>
  </si>
  <si>
    <t>CONSERVACION CAMINOS SECTOR FIN FIN - ALTO BOROA COMUNA NUEVA IMPERIAL</t>
  </si>
  <si>
    <t>CONSTRUCCION SISTEMA AGUA POTABLE RURAL LA SIERRA, SAAVEDRA</t>
  </si>
  <si>
    <t>MEJORAMIENTO CALLE PITRANTU ENTRE AV. P. DE VALDIVIA Y YAUPI, TEMUCO</t>
  </si>
  <si>
    <t>CONSTRUCCION GIMNASIO ESCUELA LOS TRIGALES, TEMUCO</t>
  </si>
  <si>
    <t>MEJORAMIENTO GIMNASIO LICEO LOS ANDES, MELIPEUCO</t>
  </si>
  <si>
    <t>REPOSICION CALZADA AV. OHIGGINS, VICTORIA</t>
  </si>
  <si>
    <t>REPOSICION ESCUELA NICOLAS PEREZ, COLLIPULLI</t>
  </si>
  <si>
    <t>MEJORAMIENTO CALLE LAS ROSAS ORIENTE ENTRE HEROES DE LA CONCEPCION Y VIA PAVIMENTADA, ANGOL</t>
  </si>
  <si>
    <t>MEJORAMIENTO INTERSECCIÓN AV. GRAL. BONILLA CON LOS CONFINES, ANGOL</t>
  </si>
  <si>
    <t>CONSTRUCCION UNIDAD DE ONCOLOGÍA INTEGRAL REGIÓN DE LA ARAUCANÍA</t>
  </si>
  <si>
    <t>ANALISIS DEL ESTUDIO REGIONAL DE LA RED ASISTENCIAL DE SALUD</t>
  </si>
  <si>
    <t>CONSERVACION CAMINO BASICO PATA DE GALLO - TEMUCO 5 MANZANOS, NUEVA IMPERIAL</t>
  </si>
  <si>
    <t>CONSERVACION CAMINO BASICO ALMAGRO PANCUL CARAHUE, COMUNA DE CARAHUE</t>
  </si>
  <si>
    <t>CONSERVACION CAMINO BASICO ACCESO REDUCCION TRARULEMU, ANGOL</t>
  </si>
  <si>
    <t>CONSERVACION CAMINO BASICO ANGOL MANZANAR FUNDO ITRAQUE, ANGOL</t>
  </si>
  <si>
    <t>CONSERVACION CAMINO BASICO PUENTE PEULE - VILLA BOLDOS, TOLTEN</t>
  </si>
  <si>
    <t>CONSERVACION CAMINO MONTEBELLO CHAPO CRUCE OÑOICO, CARAHUE</t>
  </si>
  <si>
    <t>REPOSICION ESCUELA ERICO HORNUNG, COLLIPULLI</t>
  </si>
  <si>
    <t>CONSERVACION CAMINO BASICO LAUREL OÑOICO EL ALMA, SAAVEDRA</t>
  </si>
  <si>
    <t>CONSERVACION CAMINO BASICO CALOF POSTA ESCUELA, COMUNA DE SAAVEDRA</t>
  </si>
  <si>
    <t>CONSERVACION CAMINO BASICO RANCO POSTA ESCUELA COMUNA DE SAAVEDRA</t>
  </si>
  <si>
    <t>CONSERVACION ALUMBRADO PUBLICO COMUNA DE LONCOCHE</t>
  </si>
  <si>
    <t>MEJORAMIENTO CAMINOS BASICOS INTERMEDIOS SUR Y OESTE, REGION DE LA ARAUCANIA</t>
  </si>
  <si>
    <t>MEJORAMIENTO CAMINOS BASICOS INTERMEDIOS NORTE Y ESTE, REGION DE LA ARAUCANIA</t>
  </si>
  <si>
    <t>CONSTRUCCION ELECTRIFICACIÓN RURAL SECTOR RINCONADA, PERQUENCO</t>
  </si>
  <si>
    <t>CONSTRUCCION ELECTRIFICACION RURAL SECTOR PERQUENCO SUR, PERQUENCO</t>
  </si>
  <si>
    <t xml:space="preserve">CONSTRUCCION ELECTRIFICACIÓN RURAL SECTOR SANTIAGO LINCOÑIR - NECHIFCUE, PADRE LAS CASAS </t>
  </si>
  <si>
    <t>CONSTRUCCION ELECTRIFICACION RURAL SECTOR MILLAHUIN, PADRE LAS CASAS</t>
  </si>
  <si>
    <t>MEJORAMIENTO BANDEJONES AVENIDA SUIZA, SEGUNDA ETAPA, TRAIGUÉN</t>
  </si>
  <si>
    <t>TRAIGUÉN</t>
  </si>
  <si>
    <t>CONSTRUCCION ELECTRIFICACION RURAL SECTOR PAILLAHUE Y OTROS, GALVARINO</t>
  </si>
  <si>
    <t>CONSTRUCCION ELECTRIFICACION RURAL SECTOR SANTA ROSA Y OTROS, LOS SAUCES</t>
  </si>
  <si>
    <t>CONSTRUCCION ELECTRIFICACION RURAL SECTOR SAN RAMON Y OTROS, LOS SAUCES</t>
  </si>
  <si>
    <t>REPOSICION RETEN TROVOLHUE, COMUNA DE CARAHUE</t>
  </si>
  <si>
    <t>CONSTRUCCION ELECTRIFICACION RURAL SECTOR CHUMIL, LAUTARO</t>
  </si>
  <si>
    <t>MEJORAMIENTO CAMINO BASICO INTERMEDIO CHUFQUEN QUINO R-850</t>
  </si>
  <si>
    <t>CONSTRUCCION ELECTRIFICACION RURAL SECTOR REDUCCION CONTRERAS, MOLCO Y EL TESORO, TRAIGUEN</t>
  </si>
  <si>
    <t>CONSTRUCCION ELECTRIFICACION RURAL SECTOR PERQUENCO NORTE, PERQUENCO</t>
  </si>
  <si>
    <t>CONSTRUCCION ELECTRIFICACION RURAL SECTOR MAICA ALTO, ÑANCUL PAILA Y OTROS, COLLIPULLI</t>
  </si>
  <si>
    <t>CONSTRUCCION ELECTRIFICACION RURAL SECTOR TROMEN BAJO ROMOPULLI, TEMUCO</t>
  </si>
  <si>
    <t>CONSTRUCCION ELECTRIFICACION RURAL EL CANELO LAUREL HUACHO Y OTROS, P. LAS CASAS</t>
  </si>
  <si>
    <t>MEJORAMIENTO PLAZA LAS RAICES, COMUNA DE CARAHUE</t>
  </si>
  <si>
    <t>CONSTRUCCION ELECTRIFICACION RURAL SECTOR LA FONTANA, RUCAPELLAN Y OTROS, ANGOL</t>
  </si>
  <si>
    <t>CONSTRUCCION ELECTRIFICACION RURAL SECTOR COLONIA MENDOZA, BAJO LLEUQUE Y OTROS, VILCUN</t>
  </si>
  <si>
    <t>CONSTRUCCION ELECTRIFICACION RURAL VARIOS SECTORES SUR PAILAN Y OTROS, PUREN</t>
  </si>
  <si>
    <t>CONSTRUCCION ELECTRIFICACION RURAL SANTA INES TOQUIHUE, VICTORIA</t>
  </si>
  <si>
    <t>CONSTRUCCION GIMNASIO OLIMPICO MUNICIPAL</t>
  </si>
  <si>
    <t>MEJORAMIENTO DE LA ESCUELA E-77 GUSTAVO VASQUEZ DIAZ, LOS SAUCES</t>
  </si>
  <si>
    <t>CONSTRUCCION ELECTRIFICACION RURAL SECTOR CERRO EL AGUILA Y OTROS, LOS SAUCES</t>
  </si>
  <si>
    <t>CONSERVACION DE CALZADAS VARIAS CALLES, ANGOL</t>
  </si>
  <si>
    <t>CONSTRUCCION ELECTRIFICACION RURAL COMUNIDAD MANUEL LEVINAO II, LAUTARO</t>
  </si>
  <si>
    <t>CONSTRUCCION ELECTRIFICACION RURAL COMUNIDAD TRARO SANCHEZ, VICTORIA</t>
  </si>
  <si>
    <t>CONSTRUCCION ELECTRIFICACION RURAL SECTOR BAJO HUIÑILHUE, TRAIGUEN</t>
  </si>
  <si>
    <t>CONSTRUCCION ELECTRIFICACION RURAL SECTOR BRUSELAS Y PERASCO, COLLIPULLI</t>
  </si>
  <si>
    <t>CONSTRUCCION ELECTRIFICACION RURAL SECTOR LIUKENCO, POZO DE ORO QUILQUEN Y OTROS, TRAIGUEN</t>
  </si>
  <si>
    <t>CONSERVACION GIMNASIO MUNICIPAL, CARAHUE</t>
  </si>
  <si>
    <t>JUNIO mensual SIGFE 2021</t>
  </si>
  <si>
    <t>JULIO mensual SIGFE 2021</t>
  </si>
  <si>
    <t>AGOSTO mensual SIGFE 2021</t>
  </si>
  <si>
    <t>SEPTIEMBRE mensual SIGFE 2021</t>
  </si>
  <si>
    <t>30134836-0</t>
  </si>
  <si>
    <t>REPOSICION ESCUELA RURAL WALTERIO MEYER RUSCA,  AGUA BUENA, OSORNO</t>
  </si>
  <si>
    <t>Los Lagos</t>
  </si>
  <si>
    <t>Osorno</t>
  </si>
  <si>
    <t>30043744-0</t>
  </si>
  <si>
    <t>MEJORAMIENTO AVENIDA REPUBLICA, OSORNO.</t>
  </si>
  <si>
    <t>40004690-0</t>
  </si>
  <si>
    <t>MEJORAMIENTO INSTALACIONES ATLÉTICAS VILLA OLÍMPICA, OSORNO</t>
  </si>
  <si>
    <t>30070862-0</t>
  </si>
  <si>
    <t>REPOSICION LICEO CARMELA CARVAJAL DE PRAT, OSORNO.</t>
  </si>
  <si>
    <t>30088194-0</t>
  </si>
  <si>
    <t>REPOSICION ESCUELAS ANDREW JACKSON Y RÍO NEGRO, COMUNA RÍO NEGRO</t>
  </si>
  <si>
    <t>Río Negro</t>
  </si>
  <si>
    <t>30110580-0</t>
  </si>
  <si>
    <t>REPOSICION LICEO E INTERNADO ANTULAFKEN DE PUAUCHO, SAN JUAN COSTA</t>
  </si>
  <si>
    <t>San Juan de La Costa</t>
  </si>
  <si>
    <t>30341232-0</t>
  </si>
  <si>
    <t>AMPLIACION SERV. APR BAHIA LINAO HACIA HUAPILINAO Y R.NEGRO,ANCUD</t>
  </si>
  <si>
    <t>Ancud</t>
  </si>
  <si>
    <t>30109898-0</t>
  </si>
  <si>
    <t>CONSTRUCCION SISTEMA DE APR SECTOR CAULIN LA CUMBRE, ANCUD</t>
  </si>
  <si>
    <t>20140221-0</t>
  </si>
  <si>
    <t>REPOSICION POSTA DE SALUD RURAL DE LA ISLA CHELÍN, CASTRO</t>
  </si>
  <si>
    <t>Castro</t>
  </si>
  <si>
    <t>30485152-0</t>
  </si>
  <si>
    <t>CONSTRUCCION REDES DE AP Y ALCANT. DIVERSOS SECTORES CIUDAD DALCAHUE</t>
  </si>
  <si>
    <t>Dalcahue</t>
  </si>
  <si>
    <t>30134014-0</t>
  </si>
  <si>
    <t>CONSTRUCCION GIMNASIO TENAUN COMUNA DE DALCAHUE</t>
  </si>
  <si>
    <t>30125850-0</t>
  </si>
  <si>
    <t>CONSTRUCCION MULTICANCHA CERRADA FRANCISCO COLOANE COMUNA DE QUELLON</t>
  </si>
  <si>
    <t>Quellón</t>
  </si>
  <si>
    <t>30476688-0</t>
  </si>
  <si>
    <t>REPOSICION POSTA SALUD RURAL CUCAO, COMUNA CHONCHI</t>
  </si>
  <si>
    <t>Chonchi</t>
  </si>
  <si>
    <t>40009233-0</t>
  </si>
  <si>
    <t>CONSTRUCCION REDES DE AP Y ALC. DE AGUAS SERVIDAS DIVERSOS SECTORES CIUDAD DE ANCUD</t>
  </si>
  <si>
    <t>40005578-0</t>
  </si>
  <si>
    <t>MEJORAMIENTO CALLE TERRAPLEN, PUERTO VARAS</t>
  </si>
  <si>
    <t>Puerto Varas</t>
  </si>
  <si>
    <t>40001254-0</t>
  </si>
  <si>
    <t>MEJORAMIENTO CALLE SAN MARTÍN, PUERTO VARAS</t>
  </si>
  <si>
    <t>30204522-0</t>
  </si>
  <si>
    <t>REPOSICION CUARTEL SEXTA COMPAÑIA DE BOMBEROS, PUERTO VARAS</t>
  </si>
  <si>
    <t>40014647-0</t>
  </si>
  <si>
    <t>MEJORAMIENTO SENDERO SALTOS DEL PETROHUÉ, P. NACIONAL VIC. PEREZ ROSALES, PUERTO VARAS</t>
  </si>
  <si>
    <t>30104476-0</t>
  </si>
  <si>
    <t>CONSTRUCCION CIERRE VERTEDERO MUNICIPAL COMUNA DE PUERTO MONTT</t>
  </si>
  <si>
    <t>Puerto Montt</t>
  </si>
  <si>
    <t>40005337-0</t>
  </si>
  <si>
    <t>REPOSICION POSTA TRAPEN, PUERTO MONTT</t>
  </si>
  <si>
    <t>30080921-0</t>
  </si>
  <si>
    <t>REPOSICION POSTA  RURAL DE PIEDRA  AZUL, PUERTO MONTT</t>
  </si>
  <si>
    <t>30361529-0</t>
  </si>
  <si>
    <t>MEJORAMIENTO SISTEMA APR CAÑITAS-RIO FRIO, LOS MUERMOS</t>
  </si>
  <si>
    <t>Los Muermos</t>
  </si>
  <si>
    <t>30422722-0</t>
  </si>
  <si>
    <t>CONSTRUCCION SERVICIO APR SANTA AMANDA, LOS MUERMOS</t>
  </si>
  <si>
    <t>30463128-0</t>
  </si>
  <si>
    <t>MEJORAMIENTO   INFRAESTRUCTURA PEATONAL CALLE MANUEL MONTT, COMUNA DE LOS MUERMOS</t>
  </si>
  <si>
    <t>30328431-0</t>
  </si>
  <si>
    <t>CONSTRUCCION GIMNASIO MUNICIPAL DE LLANADA GRANDE, COCHAMO</t>
  </si>
  <si>
    <t>40006863-0</t>
  </si>
  <si>
    <t>REPOSICION ESCUELA JUAN SOLER MANFREDINI, COCHAMO</t>
  </si>
  <si>
    <t>Cochamo</t>
  </si>
  <si>
    <t>30326322-0</t>
  </si>
  <si>
    <t>REPOSICION ESCUELA BERNARDO O'HIGGINS, CALBUCO</t>
  </si>
  <si>
    <t>Calbuco</t>
  </si>
  <si>
    <t>30282773-0</t>
  </si>
  <si>
    <t>REPOSICION POSTA DE SALUD RURAL EL TRAIGUEN, FRESIA</t>
  </si>
  <si>
    <t>Fresia</t>
  </si>
  <si>
    <t>40007476-0</t>
  </si>
  <si>
    <t>CONSTRUCCION AGUA POTABLE RURAL COLEGUAL ESPERANZA, COMUNA LLANQUIHUE</t>
  </si>
  <si>
    <t>Llanquihue</t>
  </si>
  <si>
    <t>30103541-0</t>
  </si>
  <si>
    <t>REPOSICION EDIFICIO MUNICIPAL DE CHAITEN</t>
  </si>
  <si>
    <t>Chaiten</t>
  </si>
  <si>
    <t>30072372-0</t>
  </si>
  <si>
    <t>AMPLIACION ESCUELA BÁSICA FUTALEUFÚ PARA ENSEÑANZA MEDIA</t>
  </si>
  <si>
    <t>Futaleufú</t>
  </si>
  <si>
    <t>30086361-0</t>
  </si>
  <si>
    <t>REPOSICION GIMNASIO MUNICIPAL DE FUTALEUFÚ</t>
  </si>
  <si>
    <t>30102779-0</t>
  </si>
  <si>
    <t>CONSTRUCCION TERMINAL DE BUSES COMUNA DE FUTALEUFÚ</t>
  </si>
  <si>
    <t>30311722-0</t>
  </si>
  <si>
    <t>REPOSICION POSTA DE SALUD RURAL AULEN, COMUNA HUALAIHUE.</t>
  </si>
  <si>
    <t>Hualaihue</t>
  </si>
  <si>
    <t>30065600-0</t>
  </si>
  <si>
    <t>CONSTRUCCION SISTEMA AGUA POTABLE RURAL EL MANZANO, HUALAIHUE</t>
  </si>
  <si>
    <t>Perfil</t>
  </si>
  <si>
    <t>30342673-0</t>
  </si>
  <si>
    <t>CONSTRUCCION CAMINO RUTA W-807,SECTOR:PTE.NEGRO-PTE.AQUELLAS,CHAITEN</t>
  </si>
  <si>
    <t>30384677-0</t>
  </si>
  <si>
    <t>MEJORAMIENTO RUTA 235-CH SECTOR V. S. LUCIA-P. RAMIREZ, PROV. PALENA</t>
  </si>
  <si>
    <t>Palena</t>
  </si>
  <si>
    <t>30186523-0</t>
  </si>
  <si>
    <t>CONSTRUCCION CONEXION VIAL ISLA TALCAN ARCH. DESERTORES,CHAITEN</t>
  </si>
  <si>
    <t>30135233-0</t>
  </si>
  <si>
    <t xml:space="preserve">MEJORAMIENTO CIRCUITO PEATONAL HISTÓRICO, COMUNA DE PALENA </t>
  </si>
  <si>
    <t>30072731-0</t>
  </si>
  <si>
    <t>MEJORAMIENTO CALLE  ANTONIO VARAS, PUERTO MONTT</t>
  </si>
  <si>
    <t>30364305-0</t>
  </si>
  <si>
    <t>AMPLIACION Y MEJORAMIENTO INSTITUTO TELETON, PUERTO MONTT</t>
  </si>
  <si>
    <t>30115395-0</t>
  </si>
  <si>
    <t>CONSTRUCCION CUARTEL OCTAVA COMPAÑIA DE BOMBEROS, PUERTO MONTT</t>
  </si>
  <si>
    <t>30429872-0</t>
  </si>
  <si>
    <t>CONSTRUCCION REDES A POTABLE Y ALCANT. V. LOS PINOS ALTOS, P. MONTT</t>
  </si>
  <si>
    <t>30127010-0</t>
  </si>
  <si>
    <t>MEJORAMIENTO CALLE EL TENIENTE, BARRIO INDUSTRIAL DE PUERTO MONTT</t>
  </si>
  <si>
    <t>30125824-0</t>
  </si>
  <si>
    <t>AMPLIACION Y REMODELACION INTEGRAL CONSISTORIAL LOS MUERMOS</t>
  </si>
  <si>
    <t>30088011-0</t>
  </si>
  <si>
    <t>CONSTRUCCION PLANTA DE TRATAMIENTO LOCALIDAD DE PARGA, COMUNA FRESIA</t>
  </si>
  <si>
    <t>30397144-0</t>
  </si>
  <si>
    <t>CONSTRUCCION SISTEMA APR SECTOR LAS CRUCES, COMUNA DE FRESIA</t>
  </si>
  <si>
    <t>40006229-0</t>
  </si>
  <si>
    <t xml:space="preserve">MEJORAMIENTO DIVERSAS CALLES, COMUNA DE FRESIA </t>
  </si>
  <si>
    <t>30134714-0</t>
  </si>
  <si>
    <t>CONSTRUCCION ESTADIO MUNICIPAL ANFUR, COMUNA DE FRESIA</t>
  </si>
  <si>
    <t>30485141-0</t>
  </si>
  <si>
    <t>CONSTRUCCION SISTEMA DE APR  SECT. LOS RADALES, COMUNA FRUTILLAR</t>
  </si>
  <si>
    <t>Frutillar</t>
  </si>
  <si>
    <t>30085259-0</t>
  </si>
  <si>
    <t>REPOSICION ESCUELA ARTURO ALESSANDRI PALMA FRUTILLAR</t>
  </si>
  <si>
    <t>30248522-0</t>
  </si>
  <si>
    <t>CONSTRUCCION ESTADIO MUNICIPAL COMUNA DE COCHAMO</t>
  </si>
  <si>
    <t>30342773-0</t>
  </si>
  <si>
    <t>MEJORAMIENTO RUTA V-69, SECTOR RALUN - COCHAMO, COMUNA COCHAMO</t>
  </si>
  <si>
    <t>30077481-0</t>
  </si>
  <si>
    <t>RESTAURACION IGLESIA N. S. DE LA CANDELARIA DE CARELMAPU, MAULLIN</t>
  </si>
  <si>
    <t>Maullin</t>
  </si>
  <si>
    <t>20086686-0</t>
  </si>
  <si>
    <t>REPOSICION PARCIAL LICEO POLITECNICO ,  CALBUCO</t>
  </si>
  <si>
    <t>30087299-0</t>
  </si>
  <si>
    <t>CONSTRUCCION CEMENTERIO MUNICIPAL DE CALBUCO</t>
  </si>
  <si>
    <t>40010719-0</t>
  </si>
  <si>
    <t>MEJORAMIENTO CALLE   LA QUEBRADA, PUERTO VARAS</t>
  </si>
  <si>
    <t>30091074-0</t>
  </si>
  <si>
    <t>CONSTRUCCION BIBLIOTECA REGIONAL  LOS LAGOS, PUERTO MONTT</t>
  </si>
  <si>
    <t>30093349-0</t>
  </si>
  <si>
    <t>REPOSICIÓN POSTA SALUD RURAL DE MANAO, COMUNA DE ANCUD</t>
  </si>
  <si>
    <t>40011005-0</t>
  </si>
  <si>
    <t>CONSERVACION VEREDAS SECTOR CANITAS Y RIO FRIO</t>
  </si>
  <si>
    <t>30342679-0</t>
  </si>
  <si>
    <t>CONSERVACION PERIÓDICA, CAMINO BÁSICO ROL W-813 Y ROL W-815</t>
  </si>
  <si>
    <t>30487244-0</t>
  </si>
  <si>
    <t>CONSERVACION VEREDAS CALLES DE PALENA</t>
  </si>
  <si>
    <t>30077490-0</t>
  </si>
  <si>
    <t>CONSERVACION CASA PAULY PUERTO MONTT</t>
  </si>
  <si>
    <t>40005278-0</t>
  </si>
  <si>
    <t>CONSERVACION VIAS URBANAS PUERTO VARAS</t>
  </si>
  <si>
    <t>30460140-0</t>
  </si>
  <si>
    <t>CONSERVACION FACHADAS Y CIRCULACIONES CENTRO ADMINISTRATIVO REGIONAL</t>
  </si>
  <si>
    <t>Regional</t>
  </si>
  <si>
    <t>30485368-0</t>
  </si>
  <si>
    <t>REPOSICION CENTRO REHABILITACION  CLUB DE LEONES COMUNA DE ANCUD</t>
  </si>
  <si>
    <t>30381175-0</t>
  </si>
  <si>
    <t>CONSTRUCCION CANCHA Y PISTA ATLETICA CANCHA RAYADA DE CASTRO</t>
  </si>
  <si>
    <t>30076949-0</t>
  </si>
  <si>
    <t>REPOSICION ESCUELA DE LA CULTURA, FRIDOLINA BARRIENTOS, CASTRO</t>
  </si>
  <si>
    <t>40004659-0</t>
  </si>
  <si>
    <t>CONSTRUCCION SISTEMA APR SECTOR BUTALCURA, PRIMERA ETAPA, DALCAHUE</t>
  </si>
  <si>
    <t>40001662-0</t>
  </si>
  <si>
    <t>CONSTRUCCION RECINTO DEPORTIVO SECTOR MOCOPULLI, COMUNA DE DALCAHUE</t>
  </si>
  <si>
    <t>40012136-0</t>
  </si>
  <si>
    <t>HABILITACION  Y SUMINISTRO ENERGÍA ELÉCTRICA SECTOR  KM 26 Y 27, COMUNA DE ANCUD</t>
  </si>
  <si>
    <t>30485255-0</t>
  </si>
  <si>
    <t>HABILITACION SUMINISTRO DE ENERGIA ELECTRICA SECTOR QUEMAS DE CHUYAQUEN, MAULLIN</t>
  </si>
  <si>
    <t>40011698-0</t>
  </si>
  <si>
    <t>HABILITACION SUMINISTRO ENERGIA ELECTRICA VARIOS SECTORES, LOS MUERMOS</t>
  </si>
  <si>
    <t>40012912-0</t>
  </si>
  <si>
    <t>HABILITACION SUMINISTRO ENERGIA ELECTRICA SECTOR EL TIGRE, PALENA</t>
  </si>
  <si>
    <t>30485115-0</t>
  </si>
  <si>
    <t>CONSTRUCCION SERVICIO DE APR SECTOR BALMACEDA-PARAGUAY, FRUTILLAR</t>
  </si>
  <si>
    <t>30257472-0</t>
  </si>
  <si>
    <t>CONSTRUCCION RED DE ALCANTARILLADO Y PLANTA DE TRATAMIENTO SECTOR PICHIL, OSORNO</t>
  </si>
  <si>
    <t>40019022-0</t>
  </si>
  <si>
    <t>REPOSICION VEREDAS POBLACIÓN ANGULO COMUNA OSORNO</t>
  </si>
  <si>
    <t>30463800-0</t>
  </si>
  <si>
    <t>REPOSICION HOSPEDERIA HOGAR DE CRISTO, OSORNO</t>
  </si>
  <si>
    <t>40019026-0</t>
  </si>
  <si>
    <t>REPOSICION DE VEREDAS SECTOR CENTRO NORTE, OSORNO</t>
  </si>
  <si>
    <t>40015396-0</t>
  </si>
  <si>
    <t>REPOSICION JUZGADOS DE POLICÍA LOCAL, OSORNO</t>
  </si>
  <si>
    <t>30405773-0</t>
  </si>
  <si>
    <t>REPOSICION POSTA RURAL LA POZA, COMUNA DE SAN PABLO</t>
  </si>
  <si>
    <t>San Pablo</t>
  </si>
  <si>
    <t>30247072-0</t>
  </si>
  <si>
    <t>MEJORAMIENTO ACCESO NORTE A SAN PABLO</t>
  </si>
  <si>
    <t>30126943-0</t>
  </si>
  <si>
    <t>MEJORAMIENTO HOSPITAL DE RIO NEGRO</t>
  </si>
  <si>
    <t>Rio Negro</t>
  </si>
  <si>
    <t>30397335-0</t>
  </si>
  <si>
    <t>CONSTRUCCION SERVICIO AGUA POTABLE RURAL COLONIA PONCE, PURRANQUE</t>
  </si>
  <si>
    <t>Purranque</t>
  </si>
  <si>
    <t>30134930-0</t>
  </si>
  <si>
    <t>CONSTRUCCION ESTADIO CORTE-ALTO, PURRANQUE</t>
  </si>
  <si>
    <t>30071878-0</t>
  </si>
  <si>
    <t>REPOSICION  CONSULTORIO DE SALUD RURAL BAHIA MANSA</t>
  </si>
  <si>
    <t>San Juan de Costa</t>
  </si>
  <si>
    <t>30478036-0</t>
  </si>
  <si>
    <t>REPOSICION ESCUELA RURAL EL ISLOTE RUPANCO, PUERTO OCTAY</t>
  </si>
  <si>
    <t>Puerto Octay</t>
  </si>
  <si>
    <t>40007052-0</t>
  </si>
  <si>
    <t>REPOSICION CECOSF EL ENCANTO, COMUNA DE PUYEHUE</t>
  </si>
  <si>
    <t>Puyehue</t>
  </si>
  <si>
    <t>30284622-0</t>
  </si>
  <si>
    <t>REPOSICION PLAZA DE ARMAS DE RIO NEGRO</t>
  </si>
  <si>
    <t>40010103-0</t>
  </si>
  <si>
    <t>CONSTRUCCION CECOSF URBANO CHIFIN, COMUNA DE RIO NEGRO</t>
  </si>
  <si>
    <t>40015603-0</t>
  </si>
  <si>
    <t>HABILITACION ESTRUCTURA MODULAR MAQUINA RX CF CARDENAL SAMORE, PUYEHUE</t>
  </si>
  <si>
    <t>30485135-0</t>
  </si>
  <si>
    <t>CONSERVACION VEREDAS CASTRO ALTO, COMUNA DE CASTRO</t>
  </si>
  <si>
    <t>30076663-0</t>
  </si>
  <si>
    <t>CONSERVACION FERIA LILLO  COMUNA CASTRO</t>
  </si>
  <si>
    <t>30480757-0</t>
  </si>
  <si>
    <t>CONSERVACION  GIMNASIO MUNICIPAL COMUNA DE QUEILEN</t>
  </si>
  <si>
    <t>Queilen</t>
  </si>
  <si>
    <t>30165522-0</t>
  </si>
  <si>
    <t>CONSERVACION Y EQUIP. EDIF. CIAS. BOMBEROS 4TA.,5TA Y CUARTEL GRAL.</t>
  </si>
  <si>
    <t>40019354-0</t>
  </si>
  <si>
    <t>CONSERVACION CAMINOS NO ENROLADOS SECTOR  COLONIA PONCE Y OTROS</t>
  </si>
  <si>
    <t>40013401-0</t>
  </si>
  <si>
    <t>CONSERVACION CAMINOS NO ENROLADOS 6 SECTORES RURALES DE LA COMUNA DE PUERTO OCTAY</t>
  </si>
  <si>
    <t>30448275-0</t>
  </si>
  <si>
    <t>CONSERVACION CNOS. VECINALES POR GLOSA 7, ETAPA 1, PROVINCIA OSORNO</t>
  </si>
  <si>
    <t>30133755-0</t>
  </si>
  <si>
    <t>CONSERVACION RED VIAL DE VARIOS CAMINOS PAVIMENTADOS AÑO 2013</t>
  </si>
  <si>
    <t>40022424-0</t>
  </si>
  <si>
    <t>CONSERVACION DIVERSOS CAMINOS DE RIPIO, REGIÓN DE LOS LAGOS, AÑO 2020-2021</t>
  </si>
  <si>
    <t>30077182-0</t>
  </si>
  <si>
    <t>REPOSICION CUARTEL INVESTIGACIONES PUERTO VARAS</t>
  </si>
  <si>
    <t>30135630-0</t>
  </si>
  <si>
    <t>REPOSICION ESCUELA RURAL DE COMPU, COMUNA DE QUELLON</t>
  </si>
  <si>
    <t>Quellon</t>
  </si>
  <si>
    <t>40016735-0</t>
  </si>
  <si>
    <t>RESTAURACION CENTRO CULTURAL SOFÍA HOTT, OSORNO</t>
  </si>
  <si>
    <t>30106468-0</t>
  </si>
  <si>
    <t>REPOSICION ESCUELA RURAL LAGUNITAS COMUNA DE PUERTO MONTT</t>
  </si>
  <si>
    <t>30371674-0</t>
  </si>
  <si>
    <t>REPOSICION TERMINAL PORTUARIO DE CHAITEN</t>
  </si>
  <si>
    <t>30115466-0</t>
  </si>
  <si>
    <t>CONSTRUCCION SISTEMA ALCANT. Y TRATAM. AGUAS SERVIDAS DE LOLCURA, MAULLIN</t>
  </si>
  <si>
    <t>30380331-0</t>
  </si>
  <si>
    <t>CONSTRUCCION  Y HABILITACION CENTRO DE DIALISIS HOSPITAL CALBUCO</t>
  </si>
  <si>
    <t>30289475-0</t>
  </si>
  <si>
    <t>CONSTRUCCION SERVICIO APR SAN CARLOS, LOS MUERMOS</t>
  </si>
  <si>
    <t>30076574-0</t>
  </si>
  <si>
    <t>REPOSICION EDIFICIO CONSISTORIAL, LLANQUIHUE</t>
  </si>
  <si>
    <t>30087497-0</t>
  </si>
  <si>
    <t>REPOSICION CUARTEL  POLICIAL PREFECTURA  PROVINCIAL  OSORNO</t>
  </si>
  <si>
    <t>40003992-0</t>
  </si>
  <si>
    <t>CONSTRUCCION SUMINISTRO E. ELECTRICA FOTOVOLTAICA LOC. DE QUIACA-ISLA LLANCAHUE, HUALAIHUE</t>
  </si>
  <si>
    <t>40019107-0</t>
  </si>
  <si>
    <t>CONSTRUCCION SUM. ENERGIA FOTOVOLTAICA  EL MANSO-L V GORMAZ-L T. TAGUA-LOS GUINDOS, COCHAMO</t>
  </si>
  <si>
    <t>30134013-0</t>
  </si>
  <si>
    <t>REPOSICION ESCUELA TEHUACO - QUETALCO COMUNA DE DALCAHUE</t>
  </si>
  <si>
    <t>30060589-0</t>
  </si>
  <si>
    <t>MEJORAMIENTO HOSPITAL DE CHAITEN.</t>
  </si>
  <si>
    <t>30466394-0</t>
  </si>
  <si>
    <t>CONSTRUCCION SISTEMA AGUA POTABLE RURAL DE TARAHUIN, CHONCHI</t>
  </si>
  <si>
    <t>30484959-0</t>
  </si>
  <si>
    <t>CONSTRUCCION CENTRO DEPORTIVO MUNICIPAL COMUNA DE CHONCHI</t>
  </si>
  <si>
    <t>30126487-0</t>
  </si>
  <si>
    <t>REPOSICION ESCUELA RURAL DE HUILLINCO COMUNA DE CHONCHI</t>
  </si>
  <si>
    <t>30462595-0</t>
  </si>
  <si>
    <t>MEJORAMIENTO AREAS EXTERIORES Y OBRAS COMPLEMENTARIAS CENTRO ADM. REGIONAL, PUERTO MONTT</t>
  </si>
  <si>
    <t>40002877-0</t>
  </si>
  <si>
    <t>MEJORAMIENTO URBANISTICO AVENIDA O´HIGGINS Y AVENIDA SAN MARTIN CASTRO</t>
  </si>
  <si>
    <t>40008282-0</t>
  </si>
  <si>
    <t>REPOSICION SEXTA COMPAÑÍA DE BOMBEROS DE OSORNO</t>
  </si>
  <si>
    <t>40012751-0</t>
  </si>
  <si>
    <t>MEJORAMIENTO ESPACIO PÚBLICO 21 DE MAYO, PURRANQUE</t>
  </si>
  <si>
    <t>40018773-0</t>
  </si>
  <si>
    <t>AMPLIACION SISTEMA AGUA POTABLE RURAL ÑADI PICHIDAMAS, PUYEHUE</t>
  </si>
  <si>
    <t>30280673-0</t>
  </si>
  <si>
    <t>CONSTRUCCION POSTA SALUD RURAL CHAN CHAN, RIO NEGRO</t>
  </si>
  <si>
    <t>30291073-0</t>
  </si>
  <si>
    <t>CONSTRUCCION POSTA DE SALUD RURAL PUCATRIHUE, SAN JUAN DE LA COSTA</t>
  </si>
  <si>
    <t>40015774-0</t>
  </si>
  <si>
    <t>MEJORAMIENTO PAVIMENTO CALLES VILLA SAN ANDRÉS Y LOS TULIPANES, CALBUCO</t>
  </si>
  <si>
    <t>40015770-0</t>
  </si>
  <si>
    <t>MEJORAMIENTO PAVIMENTOS CALLES CARLOS CONDELL, FRAGATA COCHRANE Y LAS VERTIENTES, CALBUCO</t>
  </si>
  <si>
    <t>30479286-0</t>
  </si>
  <si>
    <t>CONSTRUCCION SERVICIO AGUA POTABLE RURAL ISLA QUENU, COMUNA DE CALBUCO.</t>
  </si>
  <si>
    <t>30480526-0</t>
  </si>
  <si>
    <t>CONSTRUCCION SERVICIO AGUA POTABLE RURAL LA CAMPANA, COMUNA DE CALBUCO</t>
  </si>
  <si>
    <t>40015528-0</t>
  </si>
  <si>
    <t>REPOSICION POSTA DE SALUD RURAL LLANADA GRANDE, COMUNA COCHAMO</t>
  </si>
  <si>
    <t>40005745-0</t>
  </si>
  <si>
    <t>REPOSICION CUARTEL PRIMERA COMPAÑÍA DE BOMBEROS DE RIO PUELO, COMUNA DE COCHAMÓ.</t>
  </si>
  <si>
    <t>40021313-0</t>
  </si>
  <si>
    <t>MEJORAMIENTO DIVERSAS CALLES DE FRESIA (EL RINCON-RIO LLICO-TEODORO SCHAFER)</t>
  </si>
  <si>
    <t>30485157-0</t>
  </si>
  <si>
    <t>AMPLIACION SISTEMA APR CASMA HACIA EL ENCANTO Y CALLEJON SIN SALIDA, FRUTILLAR</t>
  </si>
  <si>
    <t>40018868-0</t>
  </si>
  <si>
    <t>REPOSICION CUARTEL GENERAL Y PRIMERA COMPAÑIA DE BOMBEROS LOS MUERMOS</t>
  </si>
  <si>
    <t>40007573-0</t>
  </si>
  <si>
    <t>REPOSICION ESCUELA JOSE ABELARDO NUÑEZ, COMUNA DE MAULLIN</t>
  </si>
  <si>
    <t>30395422-0</t>
  </si>
  <si>
    <t>REPOSICION CANCHA LEPIHUE, COMUNA DE MAULLIN</t>
  </si>
  <si>
    <t>30485331-0</t>
  </si>
  <si>
    <t>MEJORAMIENTO PARQUE CERRO PHILIPPI PUERTO VARAS</t>
  </si>
  <si>
    <t>40005957-0</t>
  </si>
  <si>
    <t>REPOSICION MUSEO MUNICIPAL Y BIBLIOTECA PUBLICA, CASTRO</t>
  </si>
  <si>
    <t>40019386-0</t>
  </si>
  <si>
    <t>REPOSICION E ILUMINACION DE GARITAS EN DIVERSOS SECTORES DE LA COMUNA DE CHONCHI</t>
  </si>
  <si>
    <t>40005352-0</t>
  </si>
  <si>
    <t>REPOSICION POSTA DE SALUD RURAL DE TENAÚN, COMUNA DE DALCAHUE</t>
  </si>
  <si>
    <t>40002386-0</t>
  </si>
  <si>
    <t>MEJORAMIENTO INTEGRAL ESTADIO MUNICIPAL DE QUEILEN</t>
  </si>
  <si>
    <t>30069919-0</t>
  </si>
  <si>
    <t>CONSTRUCCION GIMNASIO ESCUELA ORIENTE DE QUELLÓN</t>
  </si>
  <si>
    <t>40000178-0</t>
  </si>
  <si>
    <t>INSTALACION SISTEMA APR SECTORES CHAILDAD-CHANCO-YATEHUE, QUELLÓN</t>
  </si>
  <si>
    <t>30384235-0</t>
  </si>
  <si>
    <t>CONSTRUCCION CONEXIÓN VIAL SECTOR:PALENA - LAGO PALENA,COMUNA PALENA</t>
  </si>
  <si>
    <t>30270222-0</t>
  </si>
  <si>
    <t>REPOSICION POSTA RURAL DE CORRENTOSO, PUERTO MONTT</t>
  </si>
  <si>
    <t>30080922-0</t>
  </si>
  <si>
    <t>REPOSICION POSTA DE SALUD RURAL DE HUELMO, PUERTO MONTT</t>
  </si>
  <si>
    <t>40012877-0</t>
  </si>
  <si>
    <t>MEJORAMIENTO CALLE ESPAÑA, ENTRE CALLE QUEPE Y AVENIDA JUAN SOLER MANFREDINI, PUERTO MONTT</t>
  </si>
  <si>
    <t>30134234-0</t>
  </si>
  <si>
    <t>CONSTRUCCION GIMNASIO TEN - TEN, COMUNA DE MAULLIN</t>
  </si>
  <si>
    <t>40013905-0</t>
  </si>
  <si>
    <t>MEJORAMIENTO 5 VIAS DE LA CIUDAD DE DALCAHUE</t>
  </si>
  <si>
    <t>40009684-0</t>
  </si>
  <si>
    <t>AMPLIACION DE RED PUBLICA SIST DE AGUA POTABLE Y ALC SECTOR ALCÁZAR COMUNA DE QUELLON</t>
  </si>
  <si>
    <t>30116479-0</t>
  </si>
  <si>
    <t>CONSTRUCCION SISTEMA DE AGUA POTABLE RURAL SECTOR LLAGUEPE, COCHAMO</t>
  </si>
  <si>
    <t>40015801-0</t>
  </si>
  <si>
    <t>REPOSICION ESCUELA RURAL CAPITAN DE BANDADA CARLOS RODRIGUEZ PARIS, LLANADA GRANDE, COCHAMO</t>
  </si>
  <si>
    <t>30135967-0</t>
  </si>
  <si>
    <t>CONSTRUCCION ESTACION DE TRANSFERENCIA LA CAMPANA, CALBUCO</t>
  </si>
  <si>
    <t>30485133-0</t>
  </si>
  <si>
    <t>CONSTRUCCION SISTEMA DE AGUA POTABLE RURAL SECTOR PEDERNAL, FRUTILLAR</t>
  </si>
  <si>
    <t>30485139-0</t>
  </si>
  <si>
    <t>CONSTRUCCION SERVICIO DE APR SECTOR PICHILOPEZ, FRUTILLAR</t>
  </si>
  <si>
    <t>40005289-0</t>
  </si>
  <si>
    <t>MEJORAMIENTO ESPACIO PÚBLICO HUMEDAL EL LOTO, LLANQUIHUE</t>
  </si>
  <si>
    <t>40019095-0</t>
  </si>
  <si>
    <t>CONSERVACION VEREDAS SECTOR CENTRO SUR</t>
  </si>
  <si>
    <t>40019355-0</t>
  </si>
  <si>
    <t>CONSERVACION VEREDAS LOCALIDAD DE CORTE ALTO, COMUNA DE PURRANQUE</t>
  </si>
  <si>
    <t>40014732-0</t>
  </si>
  <si>
    <t>CONSERVACION CAMINOS RURALES Y URBANOS SECTOR TEN TEN Y LA CHACRA PABLO NERUDA</t>
  </si>
  <si>
    <t>40022435-0</t>
  </si>
  <si>
    <t>CONSERVACION PER. CAM. VEC., C. DE CALBUCO, HUALAIHUÉ Y PALENA, REG. DE LOS LAGOS, 2020-2021</t>
  </si>
  <si>
    <t>30359222-0</t>
  </si>
  <si>
    <t>CONSERVACION CAMINOS NO ENROLADOS EN 7 SECTORES DE LA COMUNA DE PUYEHUE</t>
  </si>
  <si>
    <t>40015147-0</t>
  </si>
  <si>
    <t>CONSERVACION ACERAS DIVERSOS SECTORES DE PUERTO VARAS</t>
  </si>
  <si>
    <t>40027009-0</t>
  </si>
  <si>
    <t>CONSERVACION PER. CAM. VEC., C. DE CALBUCO Y MAULLÍN, REG. DE LOS LAGOS, 2020-2021</t>
  </si>
  <si>
    <t>40014315-0</t>
  </si>
  <si>
    <t>CONSERVACION CAMINOS ISLA CAUCAHUE, COMUNA DE QUEMCHI</t>
  </si>
  <si>
    <t>Quemchi</t>
  </si>
  <si>
    <t>40005972-0</t>
  </si>
  <si>
    <t>CONSERVACION CAMINOS NO ENROLADOS 5 SECTORES RURALES DE LA COMUNA DE FRUTILLAR</t>
  </si>
  <si>
    <t>30396424-0</t>
  </si>
  <si>
    <t>CONSERVACION CAMINOS NO ENROLADOS, DIVERSOS SECTORES DE FRESIA</t>
  </si>
  <si>
    <t>40017416-0</t>
  </si>
  <si>
    <t>CONSTRUCCIÓN RED DE AGUA POTABLE Y ALCANTARILLADO CALLE EL CERRO Y PASAJE 1 CAICUMEO</t>
  </si>
  <si>
    <t>30116708-0</t>
  </si>
  <si>
    <t>CONSTRUCCIÓN SISTEMA DE AGUA POTABLE RURAL PUMANZANO</t>
  </si>
  <si>
    <t>40003369-0</t>
  </si>
  <si>
    <t>CONSERVACIÓN CAMINOS RURALES ISLA QUEHUI COMUNA DE CASTRO</t>
  </si>
  <si>
    <t>30080460-0</t>
  </si>
  <si>
    <t>CONSTRUCCIÓN PUENTE EL SARGAZO DE PTO MONTT</t>
  </si>
  <si>
    <t>30453827-0</t>
  </si>
  <si>
    <t>CONSERVACIÓN CNOS VECINALES, GLOSA 7 ETAPA 1, PROVINCIA DE CHILOE</t>
  </si>
  <si>
    <t>30095333-0</t>
  </si>
  <si>
    <t>REPOSICION ESTADIO MUNICIPAL DE CURACO DE VÉLEZ</t>
  </si>
  <si>
    <t>Curaco de Velez</t>
  </si>
  <si>
    <t>30135739-0</t>
  </si>
  <si>
    <t>REPOSICION POSTA DE SALUD RURAL PALQUI, CURACO DE VELEZ</t>
  </si>
  <si>
    <t>30376573-0</t>
  </si>
  <si>
    <t>ACTUALIZACION PLAN MAESTRO AGUAS LLUVIAS OSORNO</t>
  </si>
  <si>
    <t>30376572-0</t>
  </si>
  <si>
    <t>ACTUALIZACION PLAN MAESTRO AGUAS LLUVIAS PUERTO MONTT</t>
  </si>
  <si>
    <t>30083781-0</t>
  </si>
  <si>
    <t>DIAGNOSTICO DEL SISTEMA DE FORTIFICACIONES DE ANCUD</t>
  </si>
  <si>
    <t>40027131-0</t>
  </si>
  <si>
    <t>ANALISIS Y DETERMINACIÓN DE BRECHAS DISPOSICION DE A.P. Y ALC. PROV. OSORNO Y LLANQUIHUE</t>
  </si>
  <si>
    <t>40023990-0</t>
  </si>
  <si>
    <t>DIAGNOSTICO SISTEMA DE TRANSPORTE URBANO CIUDAD DE PUERTO VARAS, ETAPA I</t>
  </si>
  <si>
    <t>30419547-0</t>
  </si>
  <si>
    <t>MEJORAMIENTO INTEGRAL ESCUELA BÁSICA DE DALCAHUE</t>
  </si>
  <si>
    <t>30352430-0</t>
  </si>
  <si>
    <t>CONSTRUCCION PARQUE MUNICIPAL DE FUTALEUFU</t>
  </si>
  <si>
    <t>30488426-0</t>
  </si>
  <si>
    <t>INSTALACION SISTEMA AGUA POTABLE RURAL ISLA LAITEC, QUELLON</t>
  </si>
  <si>
    <t>30465403-0</t>
  </si>
  <si>
    <t>CONSTRUCCION APR SECTORES CUESTA LA VACA Y HUAUTRUNES, LOS MUERMOS</t>
  </si>
  <si>
    <t>40001823-0</t>
  </si>
  <si>
    <t>MEJORAMIENTO AULA PSICOMOTRIZ Y HÁBITOS FÍSICOS ESC. DIFERENCIAL SAN CARLOS, ANCUD</t>
  </si>
  <si>
    <t>40008054-0</t>
  </si>
  <si>
    <t>CONSERVACIÓN DE VEREDAS SECTOR CENTRO DE ACHAO</t>
  </si>
  <si>
    <t>Achao</t>
  </si>
  <si>
    <t>30071598-0</t>
  </si>
  <si>
    <t>REPOSICIÓN POSTA DE SALUD RURAL VOIGUE</t>
  </si>
  <si>
    <t>30103323-0</t>
  </si>
  <si>
    <t>CONSTRUCCION CIERRE EX VERTEDERO MUNICIPAL DE LOS MUERMOS</t>
  </si>
  <si>
    <t>30083335-0</t>
  </si>
  <si>
    <t>NORMALIZACIÓN HOSPITAL DE QUELLON, PROVINCIA DE CHILOE</t>
  </si>
  <si>
    <t>30123182-0</t>
  </si>
  <si>
    <t>CONSTRUCCIÓN PARQUE HOTT DE OSPRNO</t>
  </si>
  <si>
    <t>30402378-0</t>
  </si>
  <si>
    <t>DIAGNOSTICO INFRAESTRUCTURA PSR DE LA RED ASISTENCIAL DE OSORNO</t>
  </si>
  <si>
    <t>30412923-0</t>
  </si>
  <si>
    <t>CONSTRUCCION POSTA DE SALUD RURAL EL PONCHO COMUNA DE PTO OCTAY</t>
  </si>
  <si>
    <t>30171924-0</t>
  </si>
  <si>
    <t>REPOSICION POSTA RURAL COLONIA PONCE, PURRANQUE</t>
  </si>
  <si>
    <t xml:space="preserve"> Purranque</t>
  </si>
  <si>
    <t>30171875-0</t>
  </si>
  <si>
    <t>REPOSICION POSTA DE SALUD RURAL COLIGUAL, PURRANQUE</t>
  </si>
  <si>
    <t>30171923-0</t>
  </si>
  <si>
    <t>REPOSICION POSTA DE SALUD RURAL HUEYUSCA, PURRANQUE</t>
  </si>
  <si>
    <t>30212472-0</t>
  </si>
  <si>
    <t>CONSTRUCCION SERVICIO APR SECTOR RURAL EL MAÑIO, FRESIA</t>
  </si>
  <si>
    <t>30126506-0</t>
  </si>
  <si>
    <t>CONSTRUCCION CUARTEL 2° COMPAÑIA BOMBEROS DE LA COMUNA DE CHONCHI</t>
  </si>
  <si>
    <t>30129912-0</t>
  </si>
  <si>
    <t>CONSTRUCCION CENTRO CIVICO DALCAHUE</t>
  </si>
  <si>
    <t>30078798-0</t>
  </si>
  <si>
    <t>REPOSICION POSTA DE SALUD RURAL DE PIO PIO, COMUNA DE QUEILEN</t>
  </si>
  <si>
    <t>Comuna De Queilen</t>
  </si>
  <si>
    <t>30116040-0</t>
  </si>
  <si>
    <t>REPOSICION BODEGA Y GALPON MUNICIPAL, PALENA</t>
  </si>
  <si>
    <t>30115295-0</t>
  </si>
  <si>
    <t>REPOSICION Y AMPLIACION CUARTEL 1° COMPAÑIA DE BOMBEROS DE PALENA</t>
  </si>
  <si>
    <t>40013068-0</t>
  </si>
  <si>
    <t>REPOSICION POSTA DE SALUD RURAL VILLA CHAULINEC, ISLA CHAULINEC - QUINCHAO</t>
  </si>
  <si>
    <t>Isla Chaulinec - Quinchao</t>
  </si>
  <si>
    <t>40008370-0</t>
  </si>
  <si>
    <t>CONSTRUCCION POSTA DE SALUD RURAL COSTA RIO BLANCO, COMUNA DE RIO NEGRO</t>
  </si>
  <si>
    <t xml:space="preserve"> Rio Negro</t>
  </si>
  <si>
    <t>30472589-0</t>
  </si>
  <si>
    <t>REPOSICION ESCUELA RURAL DE COINCO COMUNA DE QUELLON</t>
  </si>
  <si>
    <t>30102235-0</t>
  </si>
  <si>
    <t>CONSERVACIÓN GIMNASIO FISCAL RIO NEGRO</t>
  </si>
  <si>
    <t>30277425-0</t>
  </si>
  <si>
    <t>CONSERVACIÓN GIMNASIO ESCUELA SEMILLERO DE ROLECHA</t>
  </si>
  <si>
    <t>30064230-0</t>
  </si>
  <si>
    <t>REPOSICION ESTADIO EWALDO KLEIN DE PUERTO VARAS</t>
  </si>
  <si>
    <t>40019001-0</t>
  </si>
  <si>
    <t>CONSTRUCCION RED ALC. Y AGUA POTABLE PJ.ROSARIO Y ERWIN ESCOBAR, POB MOYANO, OSORNO</t>
  </si>
  <si>
    <t>40014444-0</t>
  </si>
  <si>
    <t>CONSERVACION VIAS URBANAS DISTINTOS SECTORES, PUERTO MONTT</t>
  </si>
  <si>
    <t>30183123-0</t>
  </si>
  <si>
    <t>REPOSICION POSTA SALUD RURAL DE NEPUE, ISLA TRANQUI, COMUNA DE QUEILEN</t>
  </si>
  <si>
    <t>20157700-0</t>
  </si>
  <si>
    <t>REPOSICION ESCUELA RURAL DE QUITRIPULLI COMUNA DE CHOCHI</t>
  </si>
  <si>
    <t>40025619-0</t>
  </si>
  <si>
    <t>AMPLIACION RED DE AGUA POTABLE Y ALCANTARILLADO VILLA LOS AROMOS Y RIO PUDETO, ANCUD</t>
  </si>
  <si>
    <t>40012083-0</t>
  </si>
  <si>
    <t>CONSTRUCCION CESFAM NUEVA BRAUNAU, PUERTO VARAS</t>
  </si>
  <si>
    <t>30068433-0</t>
  </si>
  <si>
    <t>CONSTRUCCION POSTA RURAL MANQUEMAPU, PURRANQUE</t>
  </si>
  <si>
    <t>40028442-0</t>
  </si>
  <si>
    <t>REPOSICION POSTA DE SALUD RURAL DE DETIF, PUQUELDON</t>
  </si>
  <si>
    <t>Puqueldon</t>
  </si>
  <si>
    <t>40023336-0</t>
  </si>
  <si>
    <t>REPOSICION CON RELOCALIZACION CESFAM RENE TAPIA, CASTRO</t>
  </si>
  <si>
    <t>40019576-0</t>
  </si>
  <si>
    <t>MEJORAMIENTO COSTANERA JUAN SOLER, TRAMO COPIAPO – CHORRILLOS, PUERTO MONTT</t>
  </si>
  <si>
    <t xml:space="preserve">40019376-0 </t>
  </si>
  <si>
    <t>DIAGNOSTICO PLAN MAESTRO AGUAS LLUVIAS COMUNA DE LLANQUIHUE</t>
  </si>
  <si>
    <t>30042613-0</t>
  </si>
  <si>
    <t>NORMALIZACIÓN CONSULTORIO PUQUELDON</t>
  </si>
  <si>
    <t>40005930-0</t>
  </si>
  <si>
    <t>CONSTRUCCION SERVICIO AGUA POTABLE RURAL AVELLANAL, CALBUCO</t>
  </si>
  <si>
    <t>30338523-0</t>
  </si>
  <si>
    <t>CONSTRUCCION SISTEMA AGUA POTABLE RURAL SECTOR CHOLGO, HUALAIHUE</t>
  </si>
  <si>
    <t>30338024-0</t>
  </si>
  <si>
    <t>CONSTRUCCION SISTEMA DE APR PUNTILLA PICHICOLO,HUALAIHUE</t>
  </si>
  <si>
    <t>40033297-0</t>
  </si>
  <si>
    <t>CONSERVACION PERIODICA,RUTA V-829 LA VARA-SENDA SUR KM 7,5,COMUNA DE PUERTO MONTT</t>
  </si>
  <si>
    <t>30095440-0</t>
  </si>
  <si>
    <t>REPOSICION POSTA DE SALUD RURAL DE YALDAD,QUELLON</t>
  </si>
  <si>
    <t>30428675-0</t>
  </si>
  <si>
    <t>HABILITACIÓN Y EXTENSIÓN DE RED ELÉCTRICA ESTUARIO SUR,COCHAMÓ</t>
  </si>
  <si>
    <t>Cochamó</t>
  </si>
  <si>
    <t>40005715-0</t>
  </si>
  <si>
    <t>MEJORAMIENTO INTERCONEXION VIAL CENTRO DE OSORNO CON EL SECTOR FRANCKE, OSORNO</t>
  </si>
  <si>
    <t>40019999-0</t>
  </si>
  <si>
    <t>MEJORAMIENTO AVDA. GALVARINO RIVEROS NORTE DE CASTRO</t>
  </si>
  <si>
    <t>DIAGNOSTICO PLAN MARCO DESARROLLO TERRITORIAL PALENA QUEULAT</t>
  </si>
  <si>
    <t>ESTUDIO</t>
  </si>
  <si>
    <t>AYSEN DEL GENERAL CARLOS IBAÑEZ DEL CAMPO</t>
  </si>
  <si>
    <t>CISNES</t>
  </si>
  <si>
    <t>DIAGNOSTICO -PMDT- LITORAL COMUNA CISNES</t>
  </si>
  <si>
    <t>RESTAURACION MONUMENTO NACIONAL BODEGAS PORTUARIAS, PUERTO IBAÑEZ</t>
  </si>
  <si>
    <t>RIO IBAÑEZ</t>
  </si>
  <si>
    <t>CONSTRUCCION ALCANTARILLADO Y TRATAMIENTOS AGUAS SERVIDAS EN TORTEL</t>
  </si>
  <si>
    <t>TORTEL</t>
  </si>
  <si>
    <t>RESTAURACION MONUMENTO NACIONAL CONSTRUCCIONES SOC. INDUSTRIAL AYSEN</t>
  </si>
  <si>
    <t>COYHAIQUE</t>
  </si>
  <si>
    <t>CONSTRUCCION RELLENO SANITARIO CHILE CHICO</t>
  </si>
  <si>
    <t>CHILE CHICO</t>
  </si>
  <si>
    <t>REPOSICION EDIFICIO CONSISTORIAL DE RIO IBAÑEZ</t>
  </si>
  <si>
    <t>REPOSICION CENTRO REHABILITACIÓN CLUB LEONES</t>
  </si>
  <si>
    <t>CONSTRUCCION CENTRO DE MANEJO RESIDUOS SÓLIDOS ISLA LAS HUICHAS</t>
  </si>
  <si>
    <t>AYSEN</t>
  </si>
  <si>
    <t>REPOSICION GIMNACIO PUERTO AGUIRRE</t>
  </si>
  <si>
    <t>MEJORAMIENTO RUTA 265 SECTOR ACCESOBAHIAJARA - CHILE CHICO</t>
  </si>
  <si>
    <t>MEJORAMIENTO RUTA 7 SUR: SECTOR  CERRO CASTILLO-ALCANTARILLA CASCADA</t>
  </si>
  <si>
    <t>REPOSION POSTA SALUD RURAL DE CALETA ANDRADE, AYSEN</t>
  </si>
  <si>
    <t>CONSTRUC.OBRAS DE CIERRE SITIO DISPOSICION RESIDUOS DE TORTEL</t>
  </si>
  <si>
    <t>CONSTRUCCION OBRAS DE CIERRE PROGRESIVO VERTEDERO DE COCHRANE</t>
  </si>
  <si>
    <t>COCHRANE</t>
  </si>
  <si>
    <t>REPOSICION ESTADIO ATLÉTICO DE COYHAIQUE</t>
  </si>
  <si>
    <t>CONSTRUCCION SOLUCIONES SANITARIAS PUERTO RAÚL MARÍN BALMACEDA</t>
  </si>
  <si>
    <t>REPOSICION PSR BAHIA MURTA, IBAÑEZ</t>
  </si>
  <si>
    <t>REPOSICION POSTA DE SALUD RURAL LA TAPERA, LAGO VERDE</t>
  </si>
  <si>
    <t>LAGO VERDE</t>
  </si>
  <si>
    <t>CONSTRUCCION ENROCADO Y AREAS VERDES COSTANERA CONDELL, PUERTO AYSEN</t>
  </si>
  <si>
    <t>CONSTRUCCION MIRADORES DE LA REGION</t>
  </si>
  <si>
    <t>REPOSICION ESCUELA DIFERENCIAL DESPERTAR, COMUNA DE AYSEN</t>
  </si>
  <si>
    <t xml:space="preserve">REPOSICION PARCIAL ESCUELA VICTOR DOMINGO SILVA, COYHAIQUE </t>
  </si>
  <si>
    <t>CONSTRUCCION CENTRO DE FAENAMIENTO PARA AUTOCONSUMO, VILLA OHIGGINS</t>
  </si>
  <si>
    <t>REPOSICION PLAZA DEPORTIVA RAÚL BECKER DE PUERTO CISNES</t>
  </si>
  <si>
    <t>HABILITACION UNIDAD DE RESONANCIA MAGNÉTICA HR COYHAIQUE</t>
  </si>
  <si>
    <t>REPOSICION CUARTEL DE BOMBEROS CHILE CHICO</t>
  </si>
  <si>
    <t>MEJORAMIENTO ESTADIO ANFA PUERTO AYSÉN- COMUNA DE AYSÉN</t>
  </si>
  <si>
    <t>MEJORAMIENTO MULTICANCHA CAMILO HENRIQUEZ DE LA JUNTA, CISNES</t>
  </si>
  <si>
    <t>MEJORAMIENTO MULTICANCHA LOS COLONOS, PUERTO CISNES</t>
  </si>
  <si>
    <t>CONSTRUCCION INFRAESTRUCTURA FUNDACIONAL UNIVERSIDAD DE AYSÉN</t>
  </si>
  <si>
    <t>CONSTRUCCION CANCHA CLUB CERRO PORTEÑO</t>
  </si>
  <si>
    <t>MEJORAMIENTO CANCHA CLUB DEPORTIVO EL SALTO, COYHAIQUE</t>
  </si>
  <si>
    <t>CONSTRUCCION SOLUCIONES ELECTRICAS FOTOVOLTAICAS SECTOR VALLELAGUNAS, COMUNA DE AYSEN</t>
  </si>
  <si>
    <t>CONSTRUCCION ELECTRIFICACION RURAL PICAFLOR 2, MAÑIHUALES, COMUNA DE AYSEN</t>
  </si>
  <si>
    <t>CONSTRUCCION EXTENSIÓN RED ELÉCTRICA RURAL SECTOR LAGUNA ESMERALDA</t>
  </si>
  <si>
    <t>PERFIL</t>
  </si>
  <si>
    <t>ACTUALIZACION PLAN MAESTRO DE GESTIÓN DE TRÁNSITO PUERTO AYSEN</t>
  </si>
  <si>
    <t>CONSTRUCION RED DE ALCANTARILLADO Y PLANTA DE TRATAMIENTO DE AGUAS SEREVIDAS LAGO VERDE</t>
  </si>
  <si>
    <t>REPOSICION EDIFICIO CONSISTORIAL MUNICIPALIDAD DE OHIGGINS</t>
  </si>
  <si>
    <t>MEJORAMIENTO RUTA 7 NORTE, SECTOR PANGUE-LAGO RISOPATRÓN-PUYUHUAPI, REGION DE AYSEN</t>
  </si>
  <si>
    <t>CONST.CENTRO ARTESANAL DE COYHAIQUE</t>
  </si>
  <si>
    <t>CONSERVACION SISTEMA DE RECOLECCION Y TRATAMIENTO DE AGUAS SERVIDAS VILA MAÑIHUALES (Circ.23)</t>
  </si>
  <si>
    <t>MEJORAMIENTO RUTA 7 NORTE, FIORDO QUEULAT-PTE CHUCAO, COMUNA DE CISNES</t>
  </si>
  <si>
    <t>CONSERVACION VIAS URBANAS CAMINO LAGO ATRAVESADO Y CAMINO LOS ALAMOS CERRO NEGRO</t>
  </si>
  <si>
    <t>CONSERVACION GIMNACIO ESCUELA GABRIELA MISTRAL, PUERTO RIO TRANQUILO</t>
  </si>
  <si>
    <t xml:space="preserve">CONSERVACION ESCUELA AYSEN, PUERTO AYSEN,COMUNA DE AYSEN </t>
  </si>
  <si>
    <t>CONSERVACION CASA DE ACOGIDA PACIENTES TRASLADADOS HOSPITAL DE COYHAIQUE</t>
  </si>
  <si>
    <t>CONSERVACION ESCUELA JOSE ANTOLIN SILVA ORMEÑO DE BALMACEDA</t>
  </si>
  <si>
    <t>CONSERVACIO DIVERSAS VIAS URBANAS DE LA CIUDAD DE COYHAIQUE, SECTOR CENTRO</t>
  </si>
  <si>
    <t>REPOSICION HOSPITAL COCHRANE, XI REGION</t>
  </si>
  <si>
    <t>CONSTRUC.ALCANTARILLADO Y CASETAS SANITARIAS PTO.BERTRAND</t>
  </si>
  <si>
    <t>CONSTRUCCION CENTRO GESTION DE RESIDUOS SOLIDOS COCHRANE-TORTEL</t>
  </si>
  <si>
    <t>REPOSICION POSTA DE SALUD RURAL EL GATO, COYHAIQUE</t>
  </si>
  <si>
    <t>REPOSICION POSTA DE SALUD RURAL CERRO CASTILLO, RIO IBAÑEZ</t>
  </si>
  <si>
    <t>CONSTRUCCION CENTRO DE REHABILITACIÓN VILLA MAÑIHUALES</t>
  </si>
  <si>
    <t>CONSTRUCCION CENTRO DE GESTIÓN DE RES.SOLIDOS, CUENCA GRAL. CARRERA,CHILE CHICO-RÍO IBÁÑEZ</t>
  </si>
  <si>
    <t>AMPLIACION ALCANTARILLADO DE AGUAS SERVIDAS COSTANERA CONDELL, PUERTO AYSEN</t>
  </si>
  <si>
    <t>REPOSICION CUARTEL PRIMERA COMPAÑÍA CUERPO DE BOMBEROS COYHAIQUE</t>
  </si>
  <si>
    <t>CONSTRUCCION ALCANTARILLADO Y A.P, MALLIN GRANDE, COMUNA DE CHILE CHICO</t>
  </si>
  <si>
    <t>DIAGNOSTICO PARA EMPLAZAMIENTO DE OBRAS CIVILES DE RIEGO EN AYSEN</t>
  </si>
  <si>
    <t>CONSTRUCCION INFRAESTRUCTURA CUEVA DE LAS MANOS SECTOR JEINIMENI P. N. PATAGONIA</t>
  </si>
  <si>
    <t>REPOSICION CUARTEL GENERAL Y PRIMERA COMPANIA DE BOMBEROS DE PUERTO CISNES</t>
  </si>
  <si>
    <t>NORMALIZACION HOSPITAL REGIONAL DE COYHAIQUE</t>
  </si>
  <si>
    <t>CONSTRUCCION PILOTO CALEFACCIÓN DISTRITAL EN EL SECTOR ESCUELA AGRÍCOLA DE COYHAIQUE.</t>
  </si>
  <si>
    <t>REPOSICION Y AMPLIACION DE ALUMBRADO PUBLICO LOCALIDADES DE ISLA LAS HUICHAS</t>
  </si>
  <si>
    <t>MEJORAMIENTO CALLE JUAN JOSE LATORRE, PUERTO CHACABUCO</t>
  </si>
  <si>
    <t>CONSTRUCCION SOLUCIONES ELECTRICAS FOTOVOLTAICAS SECTOR EL CEBALLO, FACHINAL Y AVELLANO</t>
  </si>
  <si>
    <t>REPOSICION PUENTE MATRERO PUERTO TRANQUILO, COMUNA DE RÍO IBÁÑEZ</t>
  </si>
  <si>
    <t>MEJORAMIENTO CALLE JOSE SILVA ORMEÑO, COYHAIQUE</t>
  </si>
  <si>
    <t xml:space="preserve">AMPLIACION RED DE SERVICIOS BÁSICOS CALLES PANGAL Y O’HIGGINS DE PUERTO </t>
  </si>
  <si>
    <t>REPOSICION HOGAR DE ANCIANOS PADRE ANTONIO RONCHI, COYHAIQUE</t>
  </si>
  <si>
    <t>REPOSICION ALUMBRADO PUBLICO DE PUERTO PUYUHUAPI, COMUNA DE CISNES</t>
  </si>
  <si>
    <t>CONSTRUCCION INFRAESTRUCTURA DE USO PUBLICO PARQUE NACIONAL QUEULAT- REGION DE AYSEN</t>
  </si>
  <si>
    <t>RESTAURACION MONUMENTO NACIONAL CASONA FUNDACIONAL ALTO RÍO CISNES, COMUNA DE LAGO VERDE</t>
  </si>
  <si>
    <t>CONSERVACION DE CALLES DE RIPIO DE LA COMUNA DE AYSEN (Circ. 23)</t>
  </si>
  <si>
    <t>REPOSICION RETEN PUERTO AGUIRRE, COMUNA DE AYSEN</t>
  </si>
  <si>
    <t>REPOSICION RETEN DE CARABINEROS RIO TRANQUILO, COMUNA RIO IBÁÑEZ</t>
  </si>
  <si>
    <t>CONSERVACION CALLES DE RIPIO COMUNA DE RIO IBÁÑEZ (Cir.23)</t>
  </si>
  <si>
    <t>REPOSICION POSTA SALUD RURAL DE PUERTO GUADAL, COMUNA CHILE CHICO</t>
  </si>
  <si>
    <t>CONSERVACION PASARELA PIEDRA DEL INDIO, COYHAIQUE (Circ.23)</t>
  </si>
  <si>
    <t>N° Resolución
003</t>
  </si>
  <si>
    <t>Fecha Resolución     21 01 2021</t>
  </si>
  <si>
    <t>Fecha de Toma de Razón            25 01 2021</t>
  </si>
  <si>
    <t>N° Resolución
009</t>
  </si>
  <si>
    <t>Fecha Resolución     17 02 2021</t>
  </si>
  <si>
    <t>Fecha de Toma de Razón       22 02 2021</t>
  </si>
  <si>
    <t>N° Resolución
013</t>
  </si>
  <si>
    <t>Fecha Resolución     22 03 2021</t>
  </si>
  <si>
    <t>Fecha de Toma de Razón            26 03 2021</t>
  </si>
  <si>
    <t>N° Resolución
011</t>
  </si>
  <si>
    <t>Fecha Resolución 15 03 2021</t>
  </si>
  <si>
    <t>Fecha de Toma de Razón 22 03 2021</t>
  </si>
  <si>
    <t>N° Resolución
014</t>
  </si>
  <si>
    <t>Fecha Resolución 24 03 2021</t>
  </si>
  <si>
    <t>Fecha de Toma de Razón 31 03 2021</t>
  </si>
  <si>
    <t>N° Resolución
018</t>
  </si>
  <si>
    <t>Fecha Resolución   22 04 2021</t>
  </si>
  <si>
    <t>Fecha de Toma de Razón   28 04 2021</t>
  </si>
  <si>
    <t>N° Resolución
023</t>
  </si>
  <si>
    <t>Fecha Resolución  05 05 2021</t>
  </si>
  <si>
    <t>Fecha de Toma de Razón  10 05 2021</t>
  </si>
  <si>
    <t>N° Resolución
025</t>
  </si>
  <si>
    <t>Fecha Resolución   13 05 2021</t>
  </si>
  <si>
    <t>Fecha de Toma de Razón  19 05 2021</t>
  </si>
  <si>
    <t>N° Resolución
026</t>
  </si>
  <si>
    <t>Fecha Resolución   28 05 2021</t>
  </si>
  <si>
    <t>Fecha de Toma de Razón   07 06 2021</t>
  </si>
  <si>
    <t>N° Resolución
028</t>
  </si>
  <si>
    <t>Fecha Resolución   16 06 2021</t>
  </si>
  <si>
    <t xml:space="preserve">Fecha de Toma de Razón   </t>
  </si>
  <si>
    <t>N° Resolución
17</t>
  </si>
  <si>
    <t>Fecha Resolución   15 04/2021</t>
  </si>
  <si>
    <t>Fecha de Toma de Razón    26 04 2021</t>
  </si>
  <si>
    <t>N° Resolución
 27</t>
  </si>
  <si>
    <t>Fecha Resolución   03 06 2021</t>
  </si>
  <si>
    <t>Fecha de Toma de Razón   08 06 2021</t>
  </si>
  <si>
    <t>N° Resolución
 31</t>
  </si>
  <si>
    <t>Fecha Resolución   07 07 2021</t>
  </si>
  <si>
    <t>N° Resolución
 32</t>
  </si>
  <si>
    <t>Fecha Resolución    12 07 2021</t>
  </si>
  <si>
    <t>Fecha de Toma de Razón    20 07 2021</t>
  </si>
  <si>
    <t>N° Resolución
 34</t>
  </si>
  <si>
    <t>Fecha Resolución   21 07 2021</t>
  </si>
  <si>
    <t>Fecha de Toma de Razón   26 07 2021</t>
  </si>
  <si>
    <t>N° Resolución
 36</t>
  </si>
  <si>
    <t>Fecha Resolución   04 08 2021</t>
  </si>
  <si>
    <t>Fecha de Toma de Razón   09 08 2021</t>
  </si>
  <si>
    <t>N° Resolución
 37</t>
  </si>
  <si>
    <t>Fecha Resolución   10 08 2021</t>
  </si>
  <si>
    <t>Fecha de Toma de Razón   18 08 2021</t>
  </si>
  <si>
    <t>N° Resolución
 39</t>
  </si>
  <si>
    <t>Fecha Resolución   23 08 2021</t>
  </si>
  <si>
    <t>Fecha de Toma de Razón   27 08 2021</t>
  </si>
  <si>
    <t>N° Resolución
 40</t>
  </si>
  <si>
    <t>Fecha Resolución   13 09 2021</t>
  </si>
  <si>
    <t>Fecha de Toma de Razón    21 09 2021</t>
  </si>
  <si>
    <t>N° Resolución
 38</t>
  </si>
  <si>
    <t>Fecha Resolución   17 08 2021</t>
  </si>
  <si>
    <t>Fecha de Toma de Razón   20 08 2021</t>
  </si>
  <si>
    <t xml:space="preserve">N° Resolución
 </t>
  </si>
  <si>
    <t xml:space="preserve">Fecha Resolución   </t>
  </si>
  <si>
    <t>ACTUALIZACION PLAN REGULADOR COMUNA DE SAN GREGORIO, REGIÓN DE MAGALLANES YANTÁRTICA CHILENA</t>
  </si>
  <si>
    <t>MAGALLANES</t>
  </si>
  <si>
    <t>SAN GREGORIO</t>
  </si>
  <si>
    <t>Arrastre</t>
  </si>
  <si>
    <t>DIAGNOSTICO DISEÑO SENDERO MONTE TARN, UBICADO EN BNP CABO FROWARD.</t>
  </si>
  <si>
    <t>PUNTA ARENAS</t>
  </si>
  <si>
    <t>Nuevo</t>
  </si>
  <si>
    <t>ACTUALIZACION PLADECO COMUNA DE NATALES 2017-2025</t>
  </si>
  <si>
    <t>ÚLTIMA ESPERANZA</t>
  </si>
  <si>
    <t>NATALES</t>
  </si>
  <si>
    <t>ACTUALIZACION PROSECUCIÓN Y TRAMITACIÓN PLAN REGULADOR COMUNA DE PORVENIR</t>
  </si>
  <si>
    <t>TIERRA DEL FUEGO</t>
  </si>
  <si>
    <t>PORVENIR</t>
  </si>
  <si>
    <t>MEJORAMIENTO RUTA COSTERA VILLA UKIKA-AEROPUERTO, PTO. WILLIAMS</t>
  </si>
  <si>
    <t>ANTARTICA CHILENA</t>
  </si>
  <si>
    <t>CABO DE HORNOS</t>
  </si>
  <si>
    <t>CONSTRUCCION INFRAESTRUCTURA PORTUARIA BAHIA FILDES, ANTART CHILENA</t>
  </si>
  <si>
    <t>CONSTRUCCION CENTRO SUBANTÁRTICO CABO DE HORNOS (EJECUCIÓN)</t>
  </si>
  <si>
    <t>x</t>
  </si>
  <si>
    <t>AMPLIACION Y REMODELACION SEDE CLUB ESMERALDA, NATALES</t>
  </si>
  <si>
    <t>MEJORAMIENTO ESTANDAR URBANO CALLE 21 DE MAYO (MAGALLANES), P.ARENAS</t>
  </si>
  <si>
    <t>MEJORAMIENTO Y CONSERVACION PLAZA BENJA MUÑOZ GAMERO,PUNTA ARENAS</t>
  </si>
  <si>
    <t>CONSTRUCCION INFRAEST. PORTUARIA MULTIPROPOSITO PUERTO WILLIAMS</t>
  </si>
  <si>
    <t>CONSTRUCCION PISCINA TERAPEUT. CRUZ DEL SUR PORVENIR</t>
  </si>
  <si>
    <t>CONSTRUCCION SEDE SOCIAL JUNTA DE VECINOS LLAU LLAU, PUNTA ARENAS</t>
  </si>
  <si>
    <t>REPOSICION BIBLIOTECA MUNICIPAL N° 114 COMUNA DE PUNTA ARENAS</t>
  </si>
  <si>
    <t>MEJORAMIENTO RUTA Y-65, PORVENIR-MANANTIALES, ETAPA I, T.DEL FUEGO</t>
  </si>
  <si>
    <t>CONSTRUCCION CANCHA DE PASTO SINTÉTICO DE FÚTBOL INFANTIL, NATALES</t>
  </si>
  <si>
    <t>MEJORAMIENTO CALLE LAS HERAS (VERGARA-COSTANERA), PUNTA ARENAS</t>
  </si>
  <si>
    <t>MEJORAMIENTO RUTA DE NAVEGACION CANAL KIRKE, ULTIMA ESPERANZA (DISEÑO)</t>
  </si>
  <si>
    <t>CONSTRUCCION MONUMENTO PILOTO PARDO, PUNTA ARENAS</t>
  </si>
  <si>
    <t>CONSTRUCCION ENERGIZACION RURAL, SECTOR ANDINO, PUNTA ARENAS</t>
  </si>
  <si>
    <t>MEJORAMIENTO Y AMPL. ESC. DIFERENCIAL NICOLAS MLADINIC , NATALES</t>
  </si>
  <si>
    <t>MEJORAMIENTO R. Y-71, PORVENIR-ONAISSIN, TRAMO I, PROV. T. DEL FUEGO</t>
  </si>
  <si>
    <t>CONSTRUCCION CALLE EL OVEJERO, PTA. ARENAS.  (DISEÑO)</t>
  </si>
  <si>
    <t>MEJORAMIENTO CALLE DUBLE ALMEYDA, COMUNA PORVENIR. XII REGIÓN</t>
  </si>
  <si>
    <t>CONSTRUCCIÓN COLECTOR AGUAS LLUVIAS CALLE PILOTO PARDO, NATALES</t>
  </si>
  <si>
    <t>CONSTRUCCION CALLE JOSÉ GONZÁLEZ PUNTA ARENAS</t>
  </si>
  <si>
    <t>CONSTRUCCION CALLE MIRAFLORES, PUNTA ARENAS.  (DISEÑO)</t>
  </si>
  <si>
    <t>CONSTRUCCION SALA CUNA Y JARDÍN INFANTIL PUERTO WILLIAMS</t>
  </si>
  <si>
    <t>MEJORAMIENTO 12 ZONAS DE JUEGOS INFANTILES Y UNA PISTA DE PATINAJE, COMUNA NATALES</t>
  </si>
  <si>
    <t>CONSTRUCCION AVDA. DALCAHUE, PUNTA ARENAS, XII REGION</t>
  </si>
  <si>
    <t>CONSTRUCCION PLAZA TEMATICA DE TRANSITO, NATALES</t>
  </si>
  <si>
    <t>CONSTRUCCION SISTEMA DE AUTOGENERACIÓN EÓLICO DIÉSEL, RÍO VERDE</t>
  </si>
  <si>
    <t>RÍO VERDE</t>
  </si>
  <si>
    <t>AMPLIACION Y REPOSICION PARCIAL ESCUELA J. LADRILLERO, NATALES</t>
  </si>
  <si>
    <t>MEJORAMIENTO VARIAS VIAS SECTOR RÍO DE LA MANO, PUNTA ARENAS.  (DISEÑO)</t>
  </si>
  <si>
    <t>REPOSICION CESFAM THOMAS FENTON, PUNTA ARENAS</t>
  </si>
  <si>
    <t>CONSTRUCCION LOTEOS HABITACIONALES SECTOR ORIENTE NATALES, ETAPAS 2 Y 3.</t>
  </si>
  <si>
    <t>CONSTRUCCION Y AMPLIACIÓN INSTALACIONES CORRAL MUNICIPAL, PUNTA ARENAS</t>
  </si>
  <si>
    <t>CONSTRUCCION MODIFICACIÓN DE CAUCE NATURAL CHORRILLO SIN NOMBRE, PUNTA ARENAS</t>
  </si>
  <si>
    <t>MEJORAMIENTO DIVERSAS VÍAS SECTOR DOMINGO ESPIÑEIRA, PUNTA ARENAS</t>
  </si>
  <si>
    <t>CONSTRUCCION LOMAS DE BAQUEDANO 3ª ETAPA, PORVENIR</t>
  </si>
  <si>
    <t>MEJORAMIENTO CALLE MANUEL MENÉNDEZ, PUNTA ARENAS</t>
  </si>
  <si>
    <t>MEJORAMIENTO CALLE JOSÉ ASENCIO VERA, PUNTA ARENAS</t>
  </si>
  <si>
    <t>MEJORAMIENTO CALLE JOSE DIAZ BARRIA, PUNTA ARENAS</t>
  </si>
  <si>
    <t>CONSTRUCCIÓN RED DE GAS NATURAL, LOTEO VARILLAS, PUNTA ARENAS</t>
  </si>
  <si>
    <t>MEJORAMIENTO DIVERSAS VÍAS SECTOR RÍO DE LA MANO ETAPA II, PUNTA ARENAS</t>
  </si>
  <si>
    <t>MEJORAMIENTO DIVERSAS VÍAS UNIDAD VECINAL MAURICIO BRAUN, PUNTA ARENAS</t>
  </si>
  <si>
    <t>CONSTRUCCION SALA CUNA Y JARDÍN INFANTIL CERRO CASTILLO</t>
  </si>
  <si>
    <t>TORRES DEL PAINE</t>
  </si>
  <si>
    <t>CONSTRUCCION SALUD MENTAL Y GERIATRÍA, COMUNA PUNTA ARENAS</t>
  </si>
  <si>
    <t>REPOSICION RED ALCANTARILLADO Y CONSTRUCCIÓN P.T.A.S., VILLA PUNTA DELGADA</t>
  </si>
  <si>
    <t>CONSTRUCCION SISTEMA DE AGUA POTABLE RURAL LOTEO VRSALOVIC Y OJO BUENO, PUNTA ARENAS</t>
  </si>
  <si>
    <t>HABILITACION residencial para jóvenes, PUNTA ARENAS</t>
  </si>
  <si>
    <t>REPOSICION SISTEMA DE ABASTECIMIENTO AGUA POTABLE RURAL VILLA CAMERON, TIMAUKEL</t>
  </si>
  <si>
    <t>TIMAUKEL</t>
  </si>
  <si>
    <t>REPOSICION DIVERSAS VEREDAS BARRIO SAN MIGUEL Y BARRIO SUR, PUNTA ARENAS</t>
  </si>
  <si>
    <t>CONSTRUCCION RED DE SEMAFOROS Y SINCRONISMOS CIUDAD DE PUNTA ARENAS</t>
  </si>
  <si>
    <t>MEJORAMIENTO DIVERSAS CALLES SECTOR CENTRO-SUR, PUNTA ARENAS</t>
  </si>
  <si>
    <t>CONSTRUCCION URBANIZACION LOTEOS FSEV 2017 SECTOR SUR PUNTA ARENAS</t>
  </si>
  <si>
    <t>REPOSICION VEREDAS UNIDAD VECINAL Nº 28 CERRO DE LA CRUZ PUNTA ARENAS</t>
  </si>
  <si>
    <t>MEJORAMIENTO CALLE ENRIQUE ABELLO, COMUNA PUNTA ARENAS.</t>
  </si>
  <si>
    <t>AMPLIACION Y MEJORAMIENTO GIMNASIO NATALES</t>
  </si>
  <si>
    <t>ACTUALIZACION PLAN DE DESARROLLO COMUNAL DE TORRES DEL PAINE</t>
  </si>
  <si>
    <t>ACTUALIZACION PLAN SECCIONAL SERRANO Y CASTILLO, COMUNA TORRES DEL PAYNE</t>
  </si>
  <si>
    <t>MEJORAMIENTO PLAZOLETAS SECTOR SUR 2 PONIENTE, PUNTA ARENAS</t>
  </si>
  <si>
    <t>CONSTRUCCION SALON DE USOS MULTIPLES J.V.N°18, PTA. ARENAS</t>
  </si>
  <si>
    <t>MEJORAMIENTO AVENIDA ESPAÑA, PUERTO NATALES</t>
  </si>
  <si>
    <t>NORMALIZACION Y MEJOR. INTEGRAL JARDINES INFANTILES INTEGRA REG. MAG</t>
  </si>
  <si>
    <t>RESTAURACION Y NORMALIZACIÓN PRIMERA COMPAÑÍA DE BOMBEROS, PUNTA ARENAS</t>
  </si>
  <si>
    <t>NORMALIZACION CESFAM 18 DE SEPTIEMBRE PUNTA ARENAS</t>
  </si>
  <si>
    <t>CONSTRUCCIÓN RELLENO SANITARIO, NATALES</t>
  </si>
  <si>
    <t>CONSTRUCCION CENTRO ASISTENCIAL DOCENTE E INVESTIGACIÓN UMAG, XII REGIÓN</t>
  </si>
  <si>
    <t>04 08 2021</t>
  </si>
  <si>
    <t>09 08 2021</t>
  </si>
  <si>
    <t>CONSTRUCCION INFRAESTRUCTURA PORTUARIA EN PUERTO TORO,CABO DE HORNOS</t>
  </si>
  <si>
    <t>CONSTRUCCION JUZGADOS DE POLICIA LOCAL, PUNTA ARENAS</t>
  </si>
  <si>
    <t>MEJORAMIENTO Y REPOSICION VEREDAS BARRIO CROATA, PUNTA ARENAS</t>
  </si>
  <si>
    <t>RESTAURACION Y HABILITACIÓN MUSEO M. A. EN PALACIO J. M., P. ARENAS.  (DISEÑO)</t>
  </si>
  <si>
    <t>CONSTRUCCION PASEO URBANO CALLE CAPITÁN GUILLERMO, PUNTA ARENAS</t>
  </si>
  <si>
    <t>MEJORAMIENTO CALLE EUSEBIO PIZARRO, COMUNA PUNTA ARENAS, XII REGIÓN</t>
  </si>
  <si>
    <t>CONSTRUCCIÓN SEDE ASOC. DEP. REGIONAL MAXIBÁSQUETBOL DE MAGALLANES</t>
  </si>
  <si>
    <t>REPOSICION GIMNASIO Y MEJOR. ANEXOS COMPLEJO DEP. 18 SEP. P. ARENAS</t>
  </si>
  <si>
    <t>MEJORAMIENTO INTEGRAL CENTRO COSTUMBRISTA LAGUNA BLANCA</t>
  </si>
  <si>
    <t>LAGUNA BLANCA</t>
  </si>
  <si>
    <t>CONSERVACIÓN ACERAS CALLE CARLOS CONDELL Y OTRAS, NATALES</t>
  </si>
  <si>
    <t>MEJORAMIENTO PLAZOLETA CACIQUE PAPON, PUNTA ARENAS</t>
  </si>
  <si>
    <t>CONSERVACION VÍAS URBANAS XII REGIÓN AÑO 2017-2020</t>
  </si>
  <si>
    <t>MEJORAMIENTO PLAZOLETA AV. BULNES U.V. N°27, PUNTA ARENAS</t>
  </si>
  <si>
    <t>REPOSICION PRIMERA COMPAÑÍA DE BOMBEROS, PUERTO NATALES (DISEÑO)</t>
  </si>
  <si>
    <t>CONSTRUCCION PUENTE RANCAGUA - C. VIDELA, PUNTA ARENAS. XII REGIÓN</t>
  </si>
  <si>
    <t>MEJORAMIENTO PLAZOLETAS SECTOR SUR I, PUNTA ARENAS</t>
  </si>
  <si>
    <t>CONSTRUCCION MACRO INFRAESTRUCTURA URBANA TERRENOS SERVIU 2018, CABO DE HORNOS (PREFACTIBILIDAD</t>
  </si>
  <si>
    <t>REPOSICION VEREDAS POBLACION 18 SEPTIEMBRE, PUNTA ARENAS</t>
  </si>
  <si>
    <t>CONSERVACION SISTEMA DE CALEFACCIÓN Y OTRAS CASA DE LOS INTENDENTES, PUNTA ARENAS</t>
  </si>
  <si>
    <t>CONSTRUCCION ALCANTARILLADO Y TRATAMIENTO AGUAS SERVIDAS VILLA CAMERON, TIMAUKEL</t>
  </si>
  <si>
    <t>CONSTRUCCION RED CONTRAINCENDIO CDP DE PORVENIR</t>
  </si>
  <si>
    <t>MEJORAMIENTO ESTANDAR URBANO AREAS VERDES BARRIO CARDENAL RAUL SILVA HENRIQUEZ, NATALES</t>
  </si>
  <si>
    <t>CONSTRUCCION CENTRO DE GESTIÓN DE RESIDUOS SÓLIDOS, TIERRA DEL FUEGO.  (DISEÑO)</t>
  </si>
  <si>
    <t>CONSTRUCCION CENTRO DE GESTIÓN RESIDUOS SÓLIDOS, MAGALLANES.  (DISEÑO)</t>
  </si>
  <si>
    <t>RESTAURACION Y CONSERVACION INTERIOR PALACIO BRAUN MENENDEZ, P. ARENAS.  (DISEÑO)</t>
  </si>
  <si>
    <t>CONSTRUCCIÓN PISCINA SEMIOLIMPICA TEMPERADA COMUNA PORVENIR. (DISEÑO)</t>
  </si>
  <si>
    <t>CONSTRUCCION SEDE JUNTA DE VECINOS Nº 5 TORRES DEL PAINE P ARENAS</t>
  </si>
  <si>
    <t>AMPLIACION CEMENTERIO MUNICIPAL PABELLON NICHOS 28 CUARTEL 9 SUR P ARENAS</t>
  </si>
  <si>
    <t>HABILITACION CONSTRUCCIÓN ARCHIVO Y BIBLIOTECA REGIONAL PUNTA ARENAS</t>
  </si>
  <si>
    <t>CONSTRUCCION MUROS DE CONT. BERNARDO DE VERA Y PINTADO P. ARENAS</t>
  </si>
  <si>
    <t>CONSTRUCCION SISTEMA DE RECOLECCION DE AGUAS SERVIDAS SECTOR SUR , PUNTA ARENAS</t>
  </si>
  <si>
    <t>CONSTRUCCION PARQUE EOLICO CABO NEGRO</t>
  </si>
  <si>
    <t>CONSTRUCCION CAMINO RIO HOLLEMBERG - RIO PEREZ, ETAPA II, RÍO VERDE,XII REGIÓN</t>
  </si>
  <si>
    <t>MEJORAMIENTO Y REPOSICIÓN ESC. BERNARDO OHIGGINS, PORVENIR DISEÑO</t>
  </si>
  <si>
    <t>REPOSICION SEDE VECINAL Nº 12 MANUEL CHAPARRO PUNTA ARENAS DISEÑO</t>
  </si>
  <si>
    <t>HABILITACION SERVICIOS PÚBLICOS PROVINCIALES EN EX HOSPITAL, PUERTO NATALES</t>
  </si>
  <si>
    <t>CONSTRUCCION LOTEOS HABITACIONALES FSEV 2014, PUNTA ARENAS.  (DISEÑO)</t>
  </si>
  <si>
    <t>CONTROL DE MASCOTAS, FOMENTO TENENCIA RESPONSABLE EN LA COMUNA DE PORVENIR</t>
  </si>
  <si>
    <t>MEJORAMIENTO PLAZA DE ARMAS DE PORVENIR</t>
  </si>
  <si>
    <t>CONSTRUCCIÓN INFRAESTRUCTURA PORTUARIA EN PUERTO TORO, CABO DE HORNOS.(DISEÑO)</t>
  </si>
  <si>
    <t>ANTÁRTICA CHILENA</t>
  </si>
  <si>
    <t>CONSTRUCCION CUARTA ETAPA COSTANERA, PORVENIR</t>
  </si>
  <si>
    <t>MEJORAMIENTO INFRAESTRUCTURA HABITACIONAL DE MONTAÑA EN PNTP</t>
  </si>
  <si>
    <t>ÚLTIMA ESPERANA</t>
  </si>
  <si>
    <t>TORRES DEL PAYNE</t>
  </si>
  <si>
    <t>CONSTRUCCION SISTEMA AGUA POTABLE RURAL LOTEOS SELKNAM Y LOTEO LOS CISNES, PORVENIR</t>
  </si>
  <si>
    <t>CONSTRUCCION GIMNASIO ZAVATTARO, PORVENIR, TIERRA DEL FUEGO</t>
  </si>
  <si>
    <t>REPOSICION CENTRO DE ATENCION PUERTO NATALES</t>
  </si>
  <si>
    <t>CONSTRUCCION CENTRO CULTURAL, PORVENIR</t>
  </si>
  <si>
    <t>AMPLIACION Y MEJORAMIENTO PUEBLO ARTESANAL, NATALES</t>
  </si>
  <si>
    <t>MEJORAMIENTO CALLE EUSEBIO LILLO SUR, COMUNA PUNTA ARENAS</t>
  </si>
  <si>
    <t>CONSTRUCCION URBANIZACION 125 VIVIENDAS LOTEO LAS FLORES, RIO SECO, PUNTA ARENAS</t>
  </si>
  <si>
    <t>CONTROL SOBREPOBLACION CANINA Y EDUCACION TENENCIA RESPONSABLE, PUNTA ARENAS</t>
  </si>
  <si>
    <t>CONSERVACION DE CAUCES RÍO LAS MINAS PUNTA ARENAS</t>
  </si>
  <si>
    <t>MEJORAMIENTO VEREDAS Y SOTERRAMIENTO ELECTRIF. CALLE BORIES,TRAMO COLONSARMIENTO, P.ARENAS</t>
  </si>
  <si>
    <t>MEJORAMIENTO RED CUATRO MIRADORES TURISTICOS PUNTA ARENAS</t>
  </si>
  <si>
    <t xml:space="preserve">MEJORAMIENTO Y AMPLIACION VARADERO CALETA BCO AMARILLO, PTA ARENAS.  </t>
  </si>
  <si>
    <t>DIAGNOSTICO PMDT - COMUNA TORRES DEL PAINE</t>
  </si>
  <si>
    <t>DIAGNOSTICO PMDT SUBTERRITORIO COMUNA DE TIMAUKEL</t>
  </si>
  <si>
    <t>CONSTRUCCION PROYECTO ELECTRICO PERIURBANO PONIENTE SECTOR ANDINO, PUNTA ARENAS</t>
  </si>
  <si>
    <t>REPOSICION Y MEJORAMIENTO SEDE SOCIAL JUNTA DE VECINOS GOBERNADOR PHILIPPI, PUNTA ARENAS</t>
  </si>
  <si>
    <t>NORMALIZACION CONSTRUCCION Y REHABILITACION DE MODULOS SECCION FEMENINA CP, PUNTA ARENAS</t>
  </si>
  <si>
    <t>ACTUALIZACION PROSECUCIÓN Y TRAMITACIÓN PLAN REGULADOR DE LA COMUNA DE TIMAUKEL</t>
  </si>
  <si>
    <t>AMPLIACION Y MEJORAMIENTO POSTA ATENCIÓN PRIMARIA PUERTO EDÉN, NATALES</t>
  </si>
  <si>
    <t>CONSTRUCCION ALCANTARILLADO SECTOR PONIENTE DE LAMPA</t>
  </si>
  <si>
    <t>Metropolitana</t>
  </si>
  <si>
    <t>MUNICIPALIDAD DE LAMPA</t>
  </si>
  <si>
    <t>MEJORAMIENTO DE SERVICIO AGUA POTABLE RURAL SAN VICENTE DE NALTAGUA, ISLA DE MAIPO</t>
  </si>
  <si>
    <t>MUNICIPALIDAD DE ISLA DE MAIPO</t>
  </si>
  <si>
    <t>REPOSICIÓN ESCUELA REPÚBLICA MEXICANA 478 PAC</t>
  </si>
  <si>
    <t>MUNICIPALIDAD DE PEDRO A. CERDA</t>
  </si>
  <si>
    <t>CONSTRUCCION URBANIZACIÓN Y LOTEO VILLORRIO HOSPITAL 2000, PAINE</t>
  </si>
  <si>
    <t>MUNICIPALIDAD DE PAINE</t>
  </si>
  <si>
    <t>REPOSICION EDIFICIO CONSISTORIAL DE COMUNA DE EL BOSQUE, ETAPA II</t>
  </si>
  <si>
    <t>MUNICIPALIDAD DE EL BOSQUE</t>
  </si>
  <si>
    <t>CONSTRUCCION CIRCUITO POLIDEPORTIVO URBANO DE CERRILLOS</t>
  </si>
  <si>
    <t>MUNICIPALIDAD DE CERRILLOS</t>
  </si>
  <si>
    <t>AMPLIACION CASA DE LA MUJER EMPRENDEDORA DE HUAMACHUCO RENCA</t>
  </si>
  <si>
    <t>GOBIERNO REGIONAL - REGION METROPOLITANA DE SANTIAGO</t>
  </si>
  <si>
    <t>CONSTRUCCION PARQUE CULTURAL INDÍGENA PUCARA DE CHENA</t>
  </si>
  <si>
    <t>ARQUITECTURA MOP REGION METROPOLITANA DE SANTIAGO</t>
  </si>
  <si>
    <t>AMPLIACION Y REMODELACION CENTRO PENITENCIARIO FEMENINO, SANTIAGO</t>
  </si>
  <si>
    <t>GENDARMERIA REGION METROPOLITANA DE SANTIAGO</t>
  </si>
  <si>
    <t>CONSTRUCCION CENTRO DE SALUD FAMILIAR LA REINA, COLINA</t>
  </si>
  <si>
    <t>MUNICIPALIDAD DE COLINA</t>
  </si>
  <si>
    <t>AMPLIACION DE OFICINA REGISTRO CIVIL DE CERRO NAVIA</t>
  </si>
  <si>
    <t>REGISTRO CIVIL REGION METROPOLITANA DE SANTIAGO</t>
  </si>
  <si>
    <t>CONSERVACION GRADAS REDUCTORAS DE AGUAS</t>
  </si>
  <si>
    <t>MUNICIPALIDAD DE BARNECHEA</t>
  </si>
  <si>
    <t>REPOSICION RELOCALIZACION CESFAM JM BALMACEDA PIRQUE</t>
  </si>
  <si>
    <t>MUNICIPALIDAD DE PIRQUE</t>
  </si>
  <si>
    <t>CONSTRUCCION COMPLEJO DEPORTIVO COMUNA DE PIRQUE</t>
  </si>
  <si>
    <t>CONSTRUCCION PISCINA TEMPERADA COSTANERA SUR CERRO NAVIA</t>
  </si>
  <si>
    <t>MUNICIPALIDAD DE CERRO NAVIA</t>
  </si>
  <si>
    <t>CONSTRUCCION SEGUNDA ETAPA ESTADIO LO PRADO</t>
  </si>
  <si>
    <t>MUNICIPALIDAD DE LO PRADO</t>
  </si>
  <si>
    <t>REPOSICION CUARTEL 2DA. COMPAÑIA DE BOMBEROS DE LA COMUNA DE BUIN</t>
  </si>
  <si>
    <t>MUNICIPALIDAD DE BUIN</t>
  </si>
  <si>
    <t>REPOSICION CENTRO DE SALUD RECOLETA, RECOLETA</t>
  </si>
  <si>
    <t>MUNICIPALIDAD DE RECOLETA</t>
  </si>
  <si>
    <t>REPOSICION EDIFICIO CONSISTORIAL DE SAN JOSÉ DE MAIPO</t>
  </si>
  <si>
    <t>MUNICIPALIDAD DE SAN JOSE DE MAIPO</t>
  </si>
  <si>
    <t>MEJORAMIENTO COMPLEJO DEPORTIVO ESTADIO MUNICIPAL SAN JOSE DE MAIPO</t>
  </si>
  <si>
    <t>REPOSICION CUARTEL PRIMERA COMPAÑÍA DE BOMBEROS DE LA GRANJA</t>
  </si>
  <si>
    <t>MUNICIPALIDAD DE LA GRANJA</t>
  </si>
  <si>
    <t>CONSERVACION VEREDAS PARA DIFERENTES CALLES DE ESTACION CENTRAL</t>
  </si>
  <si>
    <t>MUNICIPALIDAD DE ESTACION CENTRAL</t>
  </si>
  <si>
    <t>MEJORAMIENTO AV. PRESIDENTE SALVADOR ALLENDE, 1A ETAPA, SAN JOAQUÍN</t>
  </si>
  <si>
    <t>MUNICIPALIDAD DE SAN JOAQUIN</t>
  </si>
  <si>
    <t>CONSTRUCCION PISCINA TEMPERADA SEMIOLIMPICA COMUNA DE SAN JOAQUIN</t>
  </si>
  <si>
    <t>RESTAURACION MONUMENTO HISTÓRICO IGLESIA LA VIÑITA, RECOLETA</t>
  </si>
  <si>
    <t>CONSTRUCCION CENTRO INTEGRAL DE SALUD SUR COMUNA DE SANTIAGO</t>
  </si>
  <si>
    <t>MUNICIPALIDAD DE SANTIAGO</t>
  </si>
  <si>
    <t>MEJORAMIENTO DE ACERAS PEATONALES Y ESPACIOS PUBLICOS DE LA CISTERNA</t>
  </si>
  <si>
    <t>MUNICIPALIDAD DE LA CISTERNA</t>
  </si>
  <si>
    <t>CONSTRUCCION COLECTOR AGUAS LLUVIAS AV.SANTA RAQUEL, LA FLORIDA</t>
  </si>
  <si>
    <t>MUNICIPALIDAD DE LA FLORIDA</t>
  </si>
  <si>
    <t>CONSERVACION VIAL AVENIDAS PRINCIPALES DE LAMPA ETAPA 2: SECTOR SUR</t>
  </si>
  <si>
    <t>CONSTRUCCION COMPLEJO POLICIA DE INVESTIGACIONES OCCIDENTE, PUDAHUEL</t>
  </si>
  <si>
    <t>POLICIA DE INVESTIGACIONES DE CHILE</t>
  </si>
  <si>
    <t>CONSERVACION OFICINA REGISTRO CIVIL DE LA PINTANA</t>
  </si>
  <si>
    <t>CONSTRUCCION RED SECUNDARIA ALCANTARILLADO PUBLICO, ISLA DE MAIPO</t>
  </si>
  <si>
    <t>CONSERVACION DE ACERAS CALLE MANUEL RODRIGUEZ, COMUNA DE TALAGANTE</t>
  </si>
  <si>
    <t>MUNICIPALIDAD DE TALAGANTE</t>
  </si>
  <si>
    <t>REPOSICION CANCHAS BERNARDO OHIGGINS Y ESPARTA, QUINTA NORMAL</t>
  </si>
  <si>
    <t>MUNICIPALIDAD DE QUINTA NORMAL</t>
  </si>
  <si>
    <t>REPOSICION Y MEJORAMIENTO DE VEREDAS EN SAN MIGUEL</t>
  </si>
  <si>
    <t>MUNICIPALIDAD DE SAN MIGUEL</t>
  </si>
  <si>
    <t>MEJORAMIENTO VEREDAS SECTOR SOL DE SEPTIEMBRE LAMPA</t>
  </si>
  <si>
    <t>CONSTRUCCION CENTRO CULTURAL DE BUIN SEGUNDA ETAPA</t>
  </si>
  <si>
    <t>CONSTRUCCION CESFAM ORIENTE, COMUNA DE TALAGANTE</t>
  </si>
  <si>
    <t>CONSTRUCCION CESFAM MALLOCO, COMUNA DE PENAFLOR</t>
  </si>
  <si>
    <t>MUNICIPALIDAD DE PEÑAFLOR</t>
  </si>
  <si>
    <t>MEJORAMIENTO ESPACIOS PUBLICOS 09 NODOS,COMUNA DE LA FLORIDA</t>
  </si>
  <si>
    <t>MEJORAMIENTO PARQUE COLON 2°ETAPA, COMUNA SAN BERNARDO</t>
  </si>
  <si>
    <t>MUNICIPALIDAD DE SAN BERNARDO</t>
  </si>
  <si>
    <t>REPOSICION Y CONSTRUCCION DE VEREDAS SECTOR 1, SAN MIGUEL</t>
  </si>
  <si>
    <t>MEJORAMIENTO PLAZA TOCORNAL DE TALAGANTE</t>
  </si>
  <si>
    <t xml:space="preserve"> 
CONSTRUCCION RED DE AGUA POTABLE PARA LOTEO LOS ARENEROS DE BUIN</t>
  </si>
  <si>
    <t>RESTAURACION CASA COLORADA 2DA ETAPA COMUNA DE SANTIAGO</t>
  </si>
  <si>
    <t>CAPACITACION EN EMPRENDIMIENTO INDÍGENA MAPUCHE, COMUNA EL BOSQUE</t>
  </si>
  <si>
    <t>CONSERVACION DE CALZADAS U.V. B2 Y B4, COMUNA DE LO BARNECHEA</t>
  </si>
  <si>
    <t>CONSERVACION DE VEREDAS UV 6, 12, 13 Y 14, RECOLETA</t>
  </si>
  <si>
    <t>MEJORAMIENTO CALZADA Y VEREDAS AV. ESMERALDA, COMUNA DE COLINA</t>
  </si>
  <si>
    <t>CONSERVACION VIAL AV. INM. CONCEPCIÓN, COMUNA DE COLINA</t>
  </si>
  <si>
    <t>REPOSICION ESPACIO PUBLICOS PLAZA HALLEY, MACUL</t>
  </si>
  <si>
    <t>SEREMI VIVIENDA REGION METROPOLITANA DE SANTIAGO</t>
  </si>
  <si>
    <t>REPOSICION BANDEJÓN AV. ALMTE. LATORRE, PLAZA RECREATIVA SAN RAMÓN</t>
  </si>
  <si>
    <t>MEJORAMIENTO RECORRIDO PATRIMONIAL PEDRO FONTOVA, CONCHALI</t>
  </si>
  <si>
    <t>MUNICIPALIDAD DE CONCHALI</t>
  </si>
  <si>
    <t>CONSTRUCCION RED Y EMPALMES AGUA POTABLE SECTOR SAN MIGUEL, PAINE</t>
  </si>
  <si>
    <t>MEJORAMIENTO PISTA ATLÉTICA ESTADIO LUCAS PACHECO. TALAGANTE.</t>
  </si>
  <si>
    <t>CONSERVACION CORPORACION CONIN REGION METROPOLITANA</t>
  </si>
  <si>
    <t>MUNICIPALIDAD DE PROVIDENCIA</t>
  </si>
  <si>
    <t>CONSERVACION VEREDAS DIVERSOS SECTORES, COMUNA DE LA FLORIDA</t>
  </si>
  <si>
    <t>CONSERVACIÓN VEREDAS EN DIVERSOS SECTORES DE LA COMUNA DE MACUL</t>
  </si>
  <si>
    <t>MUNICIPALIDAD DE MACUL</t>
  </si>
  <si>
    <t>MEJORAMIENTO PLATABANDA AVENIDA LA BANDERA SAN RAMÓN</t>
  </si>
  <si>
    <t>MUNICIPALIDAD DE SAN RAMON</t>
  </si>
  <si>
    <t>CONSTRUCCION CENTRO CULTURAL DE HUECHURABA</t>
  </si>
  <si>
    <t>MUNICIPALIDAD DE HUECHURABA</t>
  </si>
  <si>
    <t>RESTAURACION TEMPLO VOTIVO MAIPU</t>
  </si>
  <si>
    <t>DIRECCION DE ARQUITECTURA MOP</t>
  </si>
  <si>
    <t>CONSTRUCCION CUARTEL POLICIAL PDI, HUECHURABA</t>
  </si>
  <si>
    <t>CONSTRUCCION PLAZA LIBERTAD COMUNA DE MELIPILLA</t>
  </si>
  <si>
    <t>MUNICIPALIDAD DE MELIPILLA</t>
  </si>
  <si>
    <t>MEJORAMIENTO COMPLEJO DEPORTIVO VILLA LO ARRIETA, PEÑALOLÉN</t>
  </si>
  <si>
    <t>MUNICIPALIDAD DE PEÑALOLEN</t>
  </si>
  <si>
    <t>CONSERVACION CALZADAS Y VEREDAS DE LO PRADO, 2° ETAPA, LO PRADO</t>
  </si>
  <si>
    <t>MEJORAMIENTO BALNEARIO MUNICIPAL PARQUE TEGUALDA II ETAPA TALAGANTE</t>
  </si>
  <si>
    <t>CONSTRUCCION COMPLEJO DEPORTIVO SAN GREGORIO ETAPA 1, COMUNA DE LA GRANJA</t>
  </si>
  <si>
    <t xml:space="preserve">CONSTRUCCION PARQUE MARATHON COMUNA DE MACUL </t>
  </si>
  <si>
    <t>MEJORAMIENTO CANCHAS DE FÚTBOL COMPLEJO DEPORTIVO, LA CISTERNA</t>
  </si>
  <si>
    <t>CONSERVACION VEREDAS DIVERSOS SECTORES COMUNA INDEPENDENCIA ETAPA 2</t>
  </si>
  <si>
    <t>MUNICIPALIDAD DE INDEPENDENCIA</t>
  </si>
  <si>
    <t>CONSTRUCCION CICLOVIA RUTA INFANCIA DESDE LA GRANJA A RECOLETA</t>
  </si>
  <si>
    <t>CONSTRUCCION PAVIMENTACIÓN DIVERSAS VÍAS SECTOR LA MANANA. PEÑAFLOR</t>
  </si>
  <si>
    <t>REPOSICION BIBLIOTECA 415 LA FAENA, COMUNA DE PEÑALOLEN</t>
  </si>
  <si>
    <t>CONSERVACION VEREDAS POBLACIÓN BUZETA U.V. N°10, COMUNA DE CERRILLOS</t>
  </si>
  <si>
    <t>MEJORAMIENTO ACERAS AV. ALCALDE LUIS ARAYA CERECEDA, PEÑAFLOR</t>
  </si>
  <si>
    <t>CONSTRUCCION CENTRO DEL FOLCLORE CHILENO, PEÑALOLEN</t>
  </si>
  <si>
    <t>MEJORAMIENTO EJE MANUEL RODRIGUEZ - CORTES ISLA CENTRO.ISLA DE MAIPO</t>
  </si>
  <si>
    <t>MEJORAMIENTO EJE LO GUERRA, ISLA CENTRO, ISLA DE MAIPO</t>
  </si>
  <si>
    <t>REPOSICION Y RELOCALIZACION CENTRO DE LA DISCAPACIDAD DE MAIPÚ</t>
  </si>
  <si>
    <t>MUNICIPALIDAD DE MAIPU</t>
  </si>
  <si>
    <t>MEJORAMIENTO MULTICANCHAS DIVERSOS SECTORES COMUNA DE MACUL</t>
  </si>
  <si>
    <t>CONSTRUCCION PASEO PEATONAL LINDEROS, COMUNA DE BUIN</t>
  </si>
  <si>
    <t>REPOSICION DE ESTADIO LA MONTURA, COMUNA DE SAN MIGUEL</t>
  </si>
  <si>
    <t>MEJORAMIENTO DE PLAZAS DE CONCHALI, I ETAPA</t>
  </si>
  <si>
    <t>CONSERVACION AREAS VERDES PASAJE QUILLAGUA COMUNA DE SAN JOAQUIN</t>
  </si>
  <si>
    <t>CONSERVACION DE VEREDAS POBLACIÓN GERMAN RIESCO COMUNA SAN JOAQUIN</t>
  </si>
  <si>
    <t xml:space="preserve">CONSERVACION DE VEREDAS DE  CONCHALÍ, III ETAPA </t>
  </si>
  <si>
    <t>AMPLIACION SISTEMA DE ALCANTARILLADO PATAGÜILLA INTERIOR, CURACAVI</t>
  </si>
  <si>
    <t>MUNICIPALIDAD DE CURACAVI</t>
  </si>
  <si>
    <t>MEJORAMIENTO Y AMPLIACIÓN PARQUE METROPOLITANO CERRO CHENA, ETAPA 1</t>
  </si>
  <si>
    <t>MEJORAMIENTO BANDEJON SANTA ROSA CENTRO, LA PINTANA</t>
  </si>
  <si>
    <t>MUNICIPALIDAD DE LA PINTANA</t>
  </si>
  <si>
    <t>CONSERVACION ESCUELA SAN GABRIEL, comuna de SAN JOSÉ DE MAIPO</t>
  </si>
  <si>
    <t>CONSERVACION INFRAESTRUCTURA ESCUELA JULIETA BECERRA, SAN JOSÉ DE MAIPO</t>
  </si>
  <si>
    <t>CONSTRUCCION RED DE CICLOVIAS EJES MALLOQUITO-LOS ROSALES-BILBAO, PEÑAFLOR</t>
  </si>
  <si>
    <t>CONSERVACION DE VEREDAS II ETAPA COMUNA DE PEÑALOLEN</t>
  </si>
  <si>
    <t>CONSERVACION ESCUELA D139 ARAUCARIAS DE CHILE, CONCHALI</t>
  </si>
  <si>
    <t>CONSERVACION VEREDAS UNIDADES VECINALES 14 Y 25, COMUNA DE LA FLORIDA</t>
  </si>
  <si>
    <t>CONSERVACION VEREDAS POB J.E BELLO S Y J GOULART COMUNA SAN JOAQUIN</t>
  </si>
  <si>
    <t>CONSERVACION DE VEREDAS QUINTA NORMAL, ETAPA VI</t>
  </si>
  <si>
    <t>CONSERVACION DE SEIS MULTICANCHAS, COMUNA DE RECOLETA</t>
  </si>
  <si>
    <t>REPOSICION CUARTEL DE BOMBEROS DE HUERTOS FAMILIARES, TIL TIL</t>
  </si>
  <si>
    <t>MUNICIPALIDAD DE TIL TIL</t>
  </si>
  <si>
    <t>CONSTRUCCION RED AGUA POTABLE CAMINO LOS PAJARITOS, PAINE</t>
  </si>
  <si>
    <t>MEJORAMIENTO RECINTOS DEPORTIVOS DIVERSOS SECTORES COMUNA DE TIL TIL</t>
  </si>
  <si>
    <t>MEJORAMIENTO DE ACERAS DE DISTINTAS CALLES DE PADRE HURTADO</t>
  </si>
  <si>
    <t>MUNICIPALIDAD DE PADRE HURTADO</t>
  </si>
  <si>
    <t>CONSERVACION DE VEREDAS UNIDAD VECINAL 1 PUDAHUEL</t>
  </si>
  <si>
    <t>MUNICIPALIDAD DE PUDAHUEL</t>
  </si>
  <si>
    <t>CONSERVACION DE VEREDAS UNIDAD VECINAL 2 PUDAHUEL</t>
  </si>
  <si>
    <t>CONSERVACION DE VEREDAS UNIDADES VECINALES 14 Y 17 PUDAHUEL</t>
  </si>
  <si>
    <t>CONSERVACION DE VEREDAS UNIDAD VECINAL 19 PUDAHUEL</t>
  </si>
  <si>
    <t>REPOSICION BIBLIOTECA 416, COMUNA DE PEÑALOLEN</t>
  </si>
  <si>
    <t>MEJORAMIENTO PARQUE MONUMENTO MANUEL RODRÍGUEZ, TILTIL</t>
  </si>
  <si>
    <t>REPOSICION ESCUELA REINO DE NORUEGA, QUINTA NORMAL</t>
  </si>
  <si>
    <t>RESTAURACION Y MUSEOGRAFIA LONDRES 38, CASA DE LA MEMORIA, SANTIAGO</t>
  </si>
  <si>
    <t>CONSTRUCCION COMPLEJO DEPORTIVO, COMUNA DE LO BARNECHEA</t>
  </si>
  <si>
    <t>CONSTRUCCION ESPACIO MUJER, COMUNA DE CONCHALI</t>
  </si>
  <si>
    <t>REPOSICION DE ACERAS ETAPA IV, COMUNA DE SAN JOAQUIN</t>
  </si>
  <si>
    <t>CONSERVACION VEREDAS DIVERSOS SECTORES DE LA COMUNA DE COLINA</t>
  </si>
  <si>
    <t>CONSERVACION CALZADA AVDA EL BOSQUE COMUNA DE PROVIDENCIA</t>
  </si>
  <si>
    <t>CONSERVACION CALZADA AVDA ELIODORO YAÑEZ COMUNA DE PROVIDENCIA</t>
  </si>
  <si>
    <t>CONSERVACION CALZADA AVDA RANCAGUA COMUNA DE PROVIDENCIA</t>
  </si>
  <si>
    <t>CONSERVACION CALZADA AVDA LOS CONQUISTADORES COMUNA DE PROVIDENCIA</t>
  </si>
  <si>
    <t>CONSTRUCCION DE UNA RED DE PUNTOS LIMPIOS EN LA RM</t>
  </si>
  <si>
    <t>SEREMI DE MEDIO AMBIENTE REGION METROPOLITANA DE SANTIAGO</t>
  </si>
  <si>
    <t>REPOSICION CANCHA DE FÚTBOL Nº2 ESTADIO MUNICIPAL, SAN BERNARDO</t>
  </si>
  <si>
    <t>MEJORAMIENTO SERVICIO DE URGENCIA HOSPITAL SAN LUIS, COMUNA BUIN</t>
  </si>
  <si>
    <t>SERVICIO SALUD METROP. SUR</t>
  </si>
  <si>
    <t>CONSERVACION DE CALZADA ETAPA III, COMUNA DE LO ESPEJO</t>
  </si>
  <si>
    <t>MUNICIPALIDAD DE LO ESPEJO</t>
  </si>
  <si>
    <t>NORMALIZACION ESTADIO ZAMBRANO ETAPA I, COMUNA DE LO PRADO</t>
  </si>
  <si>
    <t>CONSERVACION VEREDAS UNIDADES VECINALES 7 Y 10, COMUNA DE HUECHURABA</t>
  </si>
  <si>
    <t>CONSERVACION DE VEREDAS ETAPA III, COMUNA DE LA GRANJA</t>
  </si>
  <si>
    <t>REPOSICION DE PLAZAS EN DIVERSOS SECTORES, COMUNA DE MARÍA PINTO</t>
  </si>
  <si>
    <t>MUNICIPALIDAD DE MARIA PINTO</t>
  </si>
  <si>
    <t>CONSERVACION DE VEREDAS U.V. 3A, 3B, 16 Y 17, COMUNA DE LA CISTERNA</t>
  </si>
  <si>
    <t>CONSERVACION DE VEREDAS LO VALLEDOR, COMUNA DE LO ESPEJO</t>
  </si>
  <si>
    <t>CONSERVACION VEREDAS CERRO NAVIA ETAPA 1</t>
  </si>
  <si>
    <t>CONSERVACION PARQUES URBANOS COMUNA DE LO ESPEJO</t>
  </si>
  <si>
    <t>AMPLIACION DE RECINTO DEPORTIVO LAS REJAS, COMUNA DE ESTACION CENTRAL</t>
  </si>
  <si>
    <t>REPOSICION PAVIMENTOS CASCO HISTORICO UV 10-11 Y 12, HUECHURABA</t>
  </si>
  <si>
    <t>CONSTRUCCION PARQUE MUNICIPAL COMUNA DE MARÍA PINTO</t>
  </si>
  <si>
    <t>CONSTRUCCION SISTEMA CAMARAS TELEVIGILANCIA QUINTA NORMAL</t>
  </si>
  <si>
    <t>REPOSICION CON RELOCALIZACIÓN CUARTEL 2° COMPAÑÍA DE BOMBEROS, SAN PEDRO</t>
  </si>
  <si>
    <t>MUNICIPALIDAD DE SAN PEDRO</t>
  </si>
  <si>
    <t>CONSERVACION VEREDAS U.V . Nº27, CERRILLOS</t>
  </si>
  <si>
    <t>REPOSICION SEÑALETICA VIAL Y PEATONAL, COMUNA DE QUINTA NORMAL</t>
  </si>
  <si>
    <t>CONSTRUCCION RED AGUA POTABLE CAMINO LO INFANTE SAN BERNARDO</t>
  </si>
  <si>
    <t>REPOSICION ACERAS Y ESPACIO PUBLICO EJE SUR-PONIENTE AV. ARRIETA, PEÑALOLEN</t>
  </si>
  <si>
    <t>MEJORAMIENTO ACERAS PUEBLO HISTORICO DE MAIPO, COMUNA DE BUIN</t>
  </si>
  <si>
    <t>REPOSICION CON RELOCALIZACION BRIGADA DE INVESTIGACION CRIMINAL PDI, SAN RAMON</t>
  </si>
  <si>
    <t>REPOSICION CON RELOCALIZACIÓN CESFAM BAEZA GOÑI COMUNA DE SAN JOAQUIN</t>
  </si>
  <si>
    <t>CONSERVACION PLAZAS Y MIRADORES, CERROS DE RENCA</t>
  </si>
  <si>
    <t>MUNICIPALIDAD DE RENCA</t>
  </si>
  <si>
    <t>MEJORAMIENTO PLAZA PEDRO AGUIRRE CERDA UNIDAD VECINAL Nº10, COMUNA CERRILLOS</t>
  </si>
  <si>
    <t>MEJORAMIENTO PLAZA GABRIELA MISTRAL UNIDAD VECINAL Nº31, CERRILLOS</t>
  </si>
  <si>
    <t>MEJORAMIENTO ESPACIO PUBLICO, PARQUE CAMPUS, COMUNA MACUL</t>
  </si>
  <si>
    <t>CONSERVACION 22 MULTICANCHAS DIVERSOS SECTORES DE LA COMUNA DE MAIPÚ</t>
  </si>
  <si>
    <t>CONSTRUCCION DE ESPACIO PUBLICO CALLE 2 PONIENTE, U.V. 1, COMUNA MACUL</t>
  </si>
  <si>
    <t>CONSERVACION VEREDAS U. VECINAL Nº26 VILLA MEXICO, COMUNA DE CERRILLOS</t>
  </si>
  <si>
    <t>CONSERVACION DE CALZADA DE AVENIDA MACUL, COMUNA DE MACUL</t>
  </si>
  <si>
    <t>CONSERVACION DE VEREDAS UV 24, 25, 34, 35, 50 y 51 SAN BERNARDO</t>
  </si>
  <si>
    <t>MEJORAMIENTO DE VEREDAS SECTOR NORORIENTE DE SAN BERNARDO</t>
  </si>
  <si>
    <t>MEJORAMIENTO VEREDAS Y AREAS VERDES BANDEJON CENTRAL AV. BERNARDO O`HIGGINS, COMUNA TALAGANTE</t>
  </si>
  <si>
    <t>REPOSICION DE LAS PLAZAS UV N°24-14 Y 7 COMUNA PAC</t>
  </si>
  <si>
    <t>CONSERVACION GIMNASIO MUNICIPAL DE LO ESPEJO, COMUNA DE LO ESPEJO</t>
  </si>
  <si>
    <t>CONSERVACION VEREDAS SANTA ANITA Y JOSE MARÍA CARO ETAPA II COMUNA DE LO ESPEJO</t>
  </si>
  <si>
    <t>REPOSICION VEREDAS E INSTALACION DE ILUMINACION PEATONAL DIVERSOS SECTORES, LA PINTANA</t>
  </si>
  <si>
    <t>CONSTRUCCION V CESFAM COMUNA DE RENCA</t>
  </si>
  <si>
    <t>CONSERVACION VEREDAS SECTOR PLADECO N°4, COMUNA EL BOSQUE</t>
  </si>
  <si>
    <t>FORESTACION Y RECUPERACIÓN ARBOLADO URBANO, LA REINA</t>
  </si>
  <si>
    <t>MUNICIPALIDAD DE LA REINA</t>
  </si>
  <si>
    <t>CONSTRUCCION PLAZA CIVICA COMUNA P.A.C</t>
  </si>
  <si>
    <t>CONSERVACION CESFAM Rosita Renard Comuna de Ñuñoa</t>
  </si>
  <si>
    <t>MUNICIPALIDAD DE ÑUÑOA</t>
  </si>
  <si>
    <t>CONSERVACION DE RECINTOS DEPORTIVOS EN LA REGIÓN METROPOLITANA ETAPA 2</t>
  </si>
  <si>
    <t>CONSERVACION VEREDAS UV 10, 13,14, 14B,33,34 Y 39, RENCA</t>
  </si>
  <si>
    <t>CONSERVACION DIVERSAS CALZADAS Y VEREDAS, COMUNA DE LO PRADO</t>
  </si>
  <si>
    <t>CONSERVACION TEATRO MUNICIPAL COMUNA DE MAIPU</t>
  </si>
  <si>
    <t>MEJORAMIENTO SISTEMA DE TELEVIGILANCIA COMUNA DE SAN JOAQUIN</t>
  </si>
  <si>
    <t>CONSERVACION VEREDAS DIVERSAS POBLACIONES COMUNA DE MELIPILLA</t>
  </si>
  <si>
    <t>MEJORAMIENTO CALLE PUANGUE SUR, SEGUNDA ETAPA, CURACAVÍ</t>
  </si>
  <si>
    <t>MEJORAMIENTO VÍAS LOCALES CONJUNTO HABITACIONAL AIRES DEL MAIPO, ISLA DE MAIPO</t>
  </si>
  <si>
    <t>CONTROL PREVENCIÓN Y REUBICACIÓN DE CANINOS CALLEJEROS EN LA RMS</t>
  </si>
  <si>
    <t>CONSERVACION DE VEREDAS SECTOR PLADECO N° 3, EL BOSQUE 2017</t>
  </si>
  <si>
    <t>CONSERVACION CUARTEL GRUPOS MICROTRAFICO CERO REGION METROPOLITANA - PDI</t>
  </si>
  <si>
    <t>MEJORAMIENTO CALLE CANCHA DE CARRERAS, COMUNA DE ALHUE</t>
  </si>
  <si>
    <t>MUNICIPALIDAD DE ALHUE</t>
  </si>
  <si>
    <t>MEJORAMIENTO PAVIMENTACIÓN CALLE MANUEL RODRIGUEZ, COMUNA DE TIL TIL</t>
  </si>
  <si>
    <t>CONSERVACION VEREDAS BARRIOS BLANQUEADO Y LAUTARO COMUNA DE LO PRADO</t>
  </si>
  <si>
    <t>CONSERVACION PROYECTO DE CONSERVACIÓN DE VEREDAS, U. V. 19,20 Y 23,COMUNA LA FLORIDA</t>
  </si>
  <si>
    <t>CONSTRUCCION CICLOVÍA CAMINO EL TORO, RUTA G-760, COMUNA DE CURACAVÍ</t>
  </si>
  <si>
    <t>CONSTRUCCION CICLOVÍA SANTA INÉS, RUTA G-200, COMUNA DE CURACAVÍ</t>
  </si>
  <si>
    <t>CONSTRUCCION CICLOVÍA RUTA LA CHIMBA, COMUNAS RENCA, INDEPENDENCIA Y RECOLETA</t>
  </si>
  <si>
    <t>REPOSICION ESTADIO MUNICIPAL DE SAN PEDRO</t>
  </si>
  <si>
    <t>CONSERVACION VEREDAS UNIDAD VECINAL Nº28 Y VILLA SANTA ADELA, COMUNA DE CERRILLOS</t>
  </si>
  <si>
    <t>MEJORAMIENTO PLAZAS COMUNALES PARA LA INCLUSIÓN - LA REINA</t>
  </si>
  <si>
    <t>CONSERVACION DE VEREDAS AGRUPACIÓN VECINAL 9, U. VECINAL 6 Y 7, COMUNA DE SANTIAGO</t>
  </si>
  <si>
    <t>REPOSICION CESFAM PABLO DE ROKHA, LA PINTANA</t>
  </si>
  <si>
    <t>CONSERVACION PUENTE LOS CARROS, COMUNA DE SANTIAGO</t>
  </si>
  <si>
    <t>CONSERVACION VEREDAS CERRO NAVIA ETAPA 2</t>
  </si>
  <si>
    <t>MEJORAMIENTO ESTADIO MUNICIPAL ROBERTO BRAVO SANTIBAÑEZ, MELIPILLA</t>
  </si>
  <si>
    <t>CONSERVACION CALZADAS AGRUPACIÓN VECINAL N°9, COMUNA DE SANTIAGO</t>
  </si>
  <si>
    <t>MEJORAMIENTO Y AMPLIACIÓN SISTEMA ALUMBRADO PUBLICO DE ESTACIÓN CENTRAL</t>
  </si>
  <si>
    <t>CONSERVACION VIAL DE LA ZONA 5, SECTOR SUR PONIENTE DE LA COMUNA DE SAN BERNARDO</t>
  </si>
  <si>
    <t>REPOSICION DE CUARTEL DE BOMBEROS CON RELOCALIZACION DE LA 1ª CIA DE MELIPILLA</t>
  </si>
  <si>
    <t>CONSERVACION VEREDAS POBLACION JARDIN LO PRADO</t>
  </si>
  <si>
    <t>CONSERVACION DE MULTICANCHAS EN COMUNA DE LO BARNECHEA</t>
  </si>
  <si>
    <t>CONSERVACION DE VEREDAS POBLACIONES SANTA OLGA Y CLARA ESTRELLA COMUNA DE LO ESPEJO</t>
  </si>
  <si>
    <t>CONSTRUCCION POLIDEPORTIVO, COMUNA DE LA PINTANA</t>
  </si>
  <si>
    <t>REPOSICION DE PAVIMENTOS CALLE COLON NORTE, SAN BERNARDO</t>
  </si>
  <si>
    <t>REPOSICION PLAZA EL PINAR, BARRIO EL PINAR, COMUNA DE SAN JOAQUIN</t>
  </si>
  <si>
    <t>CONSERVACION DE VEREDAS DE CONCHALÍ, ETAPA IV</t>
  </si>
  <si>
    <t>REPOSICION CON RELOCALIZACION DEL CONSULTORIO OSSANDON COMUNA DE LA REINA</t>
  </si>
  <si>
    <t>CONSERVACION EDIFICIO GOBIERNO REGIONAL REGION METROPOLITANA</t>
  </si>
  <si>
    <t>HABILITACION PASEO URBANO FLUVIAL LECHO RIO MAPOCHO, COMUNA DE SANTIAGO Y PROVIDENCIA</t>
  </si>
  <si>
    <t>MEJORAMIENTO Y AMPLIACIÓN DEL SISTEMA DE ALUMBRADO PÚBLICO COMUNA DE SAN MIGUEL</t>
  </si>
  <si>
    <t>MEJORAMIENTO Y AMPLIACIÓN PARQUE LO ERRAZURIZ, ESTACION CENTRAL</t>
  </si>
  <si>
    <t>CONSERVACION PISCINA TEMPERADA LICEO NÂ°1 JAVIERA CARRERA, COMUNA DE SANTIAGO</t>
  </si>
  <si>
    <t>CONSERVACION LICEO MIGUEL LUIS AMUNATEGUI, COMUNA DE SANTIAGO</t>
  </si>
  <si>
    <t>MEJORAMIENTO SISTEMA DE SEÑALETICA VIAL Y PEATONAL , COMUNA DE LO ESPEJO</t>
  </si>
  <si>
    <t>CONSERVACION ESCUELA PEDRO MARIN ALEMANY COMUNA DE MELIPILLA</t>
  </si>
  <si>
    <t>CONSERVACION LICEO EL BOLLENAR COMUNA DE MELIPILLA</t>
  </si>
  <si>
    <t>CONSERVACION CUBIERTA ESCUELA GUSTAVO LE PAIGE, RENCA</t>
  </si>
  <si>
    <t>CONSERVACION ESCUELA ESPECIAL ANNE SULLIVAN, COMUNA DE EL BOSQUE</t>
  </si>
  <si>
    <t>CONSERVACION ESCUELA GRAL. BERNARDO O’HIGGINS COMUNA DE MAIPU</t>
  </si>
  <si>
    <t>CONSERVACION ESCUELA SAN JUAN, COMUNA DE PIRQUE</t>
  </si>
  <si>
    <t>CONSERVACION ESCUELA TERRITORIO ANTARTICO DE SAN MIGUEL</t>
  </si>
  <si>
    <t>CONSERVACION ESCUELA SANTA FE DE SAN MIGUEL</t>
  </si>
  <si>
    <t>CONSERVACION INFRAESTRUCTURA ESCUELA BÁSICA ESPAÑA., SAN BERNARDO</t>
  </si>
  <si>
    <t>CONSERVACION INFRAESTRUCTURA EDUCACIONAL LICEO TECNICO PROFESIONAL, COMUNA BUIN</t>
  </si>
  <si>
    <t>CONSERVACION INFRAESTRUCTURA ESCUELA GENERAL RENE SCHNEIDER CHEREAU, SAN BERNARDO</t>
  </si>
  <si>
    <t>CONSERVACION LICEO REPÚBLICA DE ITALIA. COMUNA DE ISLA DE MAIPO</t>
  </si>
  <si>
    <t>CONSERVACION DEL LICEO ANDRES BELLO , COMUNA DE LA FLORIDA</t>
  </si>
  <si>
    <t>CONSERVACION ESCUELA BASICA PLATON, QUINTA NORMAL</t>
  </si>
  <si>
    <t>CONSERVACION DE INFRAESTRUCTURA ESCUELA VALLE DE PUANGUE,CURACAVI</t>
  </si>
  <si>
    <t>CONSERVACION ESCUELA MANUEL RODRIGUEZ. COMUNA DE TALAGANTE.</t>
  </si>
  <si>
    <t>CONSERVACION ESCUELA BASICA CHOROMBO ALTO F-732, COMUNA DE MARIA PINTO</t>
  </si>
  <si>
    <t>CONSERVACION ESCUELA BASICA SANTA EMILIA G737, COMUNA DE MARIA PINTO</t>
  </si>
  <si>
    <t>CONSTRUCCION NUEVA RED DE ALCANTARILLADO Y PTAS PARA POLPAICO, TIL TIL</t>
  </si>
  <si>
    <t>AMPLIACION RED DE ALCANTARILLADO Y CONSTRUCCIÓN NUEVA PTAS PARA RUNGUE, TIL TIL</t>
  </si>
  <si>
    <t>CONSTRUCCION RED DE ALCANTARILLADO Y PTAS PARA HUERTOS FAMILIARES Y SANTA MATILDE, TIL TIL</t>
  </si>
  <si>
    <t>CONSTRUCCION RED DE ALCANTARILLADO Y PTAS PARA MONTENEGRO, TIL TIL</t>
  </si>
  <si>
    <t>CONSTRUCCION FERIA MUNICIPAL DE PRODUCTORES LOCALES, COMUNA DE PIRQUE</t>
  </si>
  <si>
    <t>CONSERVACION DE LICEO PAUL HARRIS, COMUNA DE PADRE HURTADO</t>
  </si>
  <si>
    <t>CONSERVACION ESCUELA LA ESPERANZA, COMUNA DE PADRE HURTADO</t>
  </si>
  <si>
    <t>CONSERVACION CUBIERTAS INTERNADO NACIONAL BARROS ARANA, COMUNA DE SANTIAGO</t>
  </si>
  <si>
    <t>CONSERVACION VEREDAS DIVERSOS SECTORES ETAPA III, COMUNA DE INDEPENDENCIA</t>
  </si>
  <si>
    <t>CONSERVACION VEREDAS VILLA EL DIAMANTE, COMUNA DE BUIN</t>
  </si>
  <si>
    <t>REPOSICION ACERAS ETAPA VI COMUNA DE SAN JOAQUIN</t>
  </si>
  <si>
    <t>CONSERVACION PAVIMENTO DE CALZADAS AV. QUILIN, COMUNA MACUL</t>
  </si>
  <si>
    <t>NORMALIZACION CANCHA SANTA LUISA, COMUNA DE MARIA PINTO</t>
  </si>
  <si>
    <t>CONSTRUCCION CUARTEL DE BOMBEROS SEGUNDA COMPAÑIA DE LA COMUNA DE TALAGANTE</t>
  </si>
  <si>
    <t>MEJORAMIENTO BARRIO COMERCIAL PATRONATO, ETAPA I COMUNA DE RECOLETA</t>
  </si>
  <si>
    <t>CONSTRUCCION RED DE AGUA POTABLE SECTOR EL COPIHUE, CALERA DE TANGO</t>
  </si>
  <si>
    <t>MUNICIPALIDAD DE CALERA DE TANGO</t>
  </si>
  <si>
    <t>CONSERVACION DE 02 CANCHAS DE FÚTBOL Y 03 CANCHAS DE FUTBOLITO, COMUNA DE ESTACIÓN CENTRAL</t>
  </si>
  <si>
    <t>CONSERVACION ESCUELA LOS COPIHUES, FUNDACION COANIL, REGION METROPOLITANA</t>
  </si>
  <si>
    <t>AMPLIACION SISTEMA DE ALUMBRADO PÚBLICO PEATONAL DE DIVERSAS VÍAS, COMUNA DE LA FLORIDA</t>
  </si>
  <si>
    <t>CONSTRUCCION PLANTA TRATAMIENTO AGUAS SERVIDAS Y RED DE ALCANTARILLADO EL HUINGÁN, COMUNA DE PIRQUE</t>
  </si>
  <si>
    <t>CONSERVACION CALZADA AV. VICUÑA MACKENNA ENTRE P.CORREA Y CANAL CASTILLO. COMUNA DE PEÑAFLOR</t>
  </si>
  <si>
    <t>REPOSICION E INSTALACIÓN DE LUMINARIAS PÚBLICAS. COMUNA DE TALAGANTE.</t>
  </si>
  <si>
    <t>MEJORAMIENTO SEÑALETICA Y DEMARCACION DE SEGURIDAD VIAL Y PEATONAL, COMUNA DE SAN JOAQUIN</t>
  </si>
  <si>
    <t>AMPLIACION SISTEMA DE ALUMBRADO PÚBLICO, COMUNA EL MONTE</t>
  </si>
  <si>
    <t>MUNICIPALIDAD DE EL MONTE</t>
  </si>
  <si>
    <t>CONSERVACION DE VEREDAS EN LAS U.V 1-B, 2-B, 3-B, 5-B,10-B, 11-B, COMUNA EL BOSQUE</t>
  </si>
  <si>
    <t>CONSERVACION DE CALLE LOS PRADOS.COMUNA DE PADRE HURTADO</t>
  </si>
  <si>
    <t>MEJORAMIENTO DE VEREDAS Y ESPACIO PUBLICO CRUCE CHOROMBO ALTO, COMUNA DE MARIA PINTO</t>
  </si>
  <si>
    <t>MEJORAMIENTO DE VEREDAS Y ESPACIO PUBLICO CRUCE EL REDIL, COMUNA DE MARIA PINTO</t>
  </si>
  <si>
    <t>CONSERVACION DE ACERAS PEATONALES DIVERSAS UNIDADES VECINALES, LA CISTERNA</t>
  </si>
  <si>
    <t>CONSERVACION CALZADAS AGRUPACIÓN VECINAL N°2, COMUNA DE SANTIAGO</t>
  </si>
  <si>
    <t>CONSERVACION VEREDAS AV9 UV0, UV2, UV4 Y AV10 UV14, COMUNA DE SANTIAGO</t>
  </si>
  <si>
    <t>CONSTRUCCION PARQUE COMUNAL PAINE</t>
  </si>
  <si>
    <t>REPOSICION E INSTALACIÓN DE LUMINARIAS PUBLICAS. COMUNA DE ISLA DE MAIPO</t>
  </si>
  <si>
    <t>CONSTRUCCION CESFAM COMUNA DE INDEPENDENCIA</t>
  </si>
  <si>
    <t>CONSERVACION PAVIMENTOS PASAJES Y CALZADAS EN DIVERSOS SECTORES. COMUNA DE PUENTE ALTO.</t>
  </si>
  <si>
    <t>MUNICIPALIDAD DE PUENTE ALTO</t>
  </si>
  <si>
    <t>MEJORAMIENTO SISTEMA LUMINARIAS PÚBLICAS COMUNA DE PEDRO AGUIRRE CERDA</t>
  </si>
  <si>
    <t>MEJORAMIENTO SISTEMA DE LUMINARIAS PUBLICAS COMUNA DE PADRE HURTADO</t>
  </si>
  <si>
    <t>CONSERVACION AREA DE MOVIMIENTO AERÓDROMO EULOGIO SÁNCHEZ - COMUNA DE LA REINA</t>
  </si>
  <si>
    <t>DIRECCION DE AEROPUERTOS</t>
  </si>
  <si>
    <t>REPOSICION Y RELOCALIZACIÓN CESFAM ISLA DE MAIPO</t>
  </si>
  <si>
    <t>MEJORAMIENTO CANCHAS DE FUTBOL LIGA DEPORTIVA LIDEINSENOBA, COMUNA DE CERRO NAVIA</t>
  </si>
  <si>
    <t>CONSERVACION DE VEREDAS DE LA COMUNA DE CONCHALI, V ETAPA</t>
  </si>
  <si>
    <t>CONSERVACION DE VEREDAS EN DIVERSOS TRAMOS DE LA COMUNA DE SAN RAMON</t>
  </si>
  <si>
    <t>CONSERVACION DE MULTICANCHAS DIVERSOS SECTORES DE LA COMUNA DE SAN RAMÓN</t>
  </si>
  <si>
    <t>CONSERVACION DE VEREDAS QUINTA NORMAL, ETAPA VII</t>
  </si>
  <si>
    <t>CONSERVACION RECINTOS DEPORTIVOS DE LA REGIÓN METROPOLITANA DE SANTIAGO, ETAPA3</t>
  </si>
  <si>
    <t>CONSERVACION DE EMERGENCIA DE ASFALTO EN CASCO HISTÒRICO, HUECHURABA</t>
  </si>
  <si>
    <t>CONSERVACION INFRAESTRUCTURA DIVERSOS SEMAFOROS, LA CISTERNA</t>
  </si>
  <si>
    <t>CONSERVACION DE REFUGIOS PEATONALES, COMUNA DE ÑUÑOA</t>
  </si>
  <si>
    <t>CONSERVACION DEL SISTEMA DE CALEFACCION CAMARINES ESTADIO DAVILA COMUNA PEDRO AGUIRRE CERDA</t>
  </si>
  <si>
    <t>CONSERVACION PINTURA EDIFICIO CONSISTORIAL Y PERÍMETRO CASA DE LA CULTURA, COMUNA DE ÑUÑOA</t>
  </si>
  <si>
    <t>CONSERVACION CANCHA FUTBOL CLUB DEPORTIVO LOS PERALES, COMUNA DE ALHUÉ</t>
  </si>
  <si>
    <t>CONSERVACION SEDE DEPORTIVA SAN ALFONSO, COMUNA DE ALHUÉ</t>
  </si>
  <si>
    <t>CONSERVACION ESCUELA RURAL G-122 BARRANCAS DE PICHI COMUNA DE ALHUE</t>
  </si>
  <si>
    <t>CONSERVACION ESCUELA G-497 HACIENDA ALHUÉ, COMUNA DE ALHUÉ.</t>
  </si>
  <si>
    <t>CONSERVACION ESCUELA RURAL G-123 SAN ALFONSO COMUNA DE ALHUE</t>
  </si>
  <si>
    <t>MEJORAMIENTO CUARTEL DE BOMBEROS. 21° COMPAÑIA, BOMBEROS RENCA</t>
  </si>
  <si>
    <t>CONSERVACION VEREDAS SECTOR NORTE, COMUNA CURACAVÍ</t>
  </si>
  <si>
    <t>CONSERVACION SEDE DEPORTIVA EL RESTO, COMUNA DE ALHUÉ</t>
  </si>
  <si>
    <t>CONSTRUCCION ALCANTARILLADO Y PLANTA DE TRATAMIENTO PARA VILLA LORETO, TALAGANTE.</t>
  </si>
  <si>
    <t>MEJORAMIENTO DEL ESPACIO PUBLICO PARQUE CASTILLO URIZAR, COMUNA DE MACUL</t>
  </si>
  <si>
    <t>CONSTRUCCION PARQUE CERRO LA BALLENA COMUNA DE PUENTE ALTO</t>
  </si>
  <si>
    <t>MEJORAMIENTO PLAZA GUARELLO, SAN BERNARDO</t>
  </si>
  <si>
    <t>CONSERVACION DE VEREDAS JOSE MARIA CARO Y VILLA SUR COMUNA DE LO ESPEJO</t>
  </si>
  <si>
    <t>MEJORAMIENTO CANCHAS DE FÚTBOL ASOCIACIÓN HISTÓRICA DE FÚTBOL DE RENCA</t>
  </si>
  <si>
    <t>CONSTRUCCION CENTRO INTEGRAL PARA EL ADULTO MAYOR,CURACAVI</t>
  </si>
  <si>
    <t>CONSTRUCCION HOGAR SANTA CLARA EN COMUNA DE SANTIAGO</t>
  </si>
  <si>
    <t>CONSERVACION DE CALZADAS ZONA 3, SECTOR CENTRO DE LA COMUNA DE SAN BERNARDO</t>
  </si>
  <si>
    <t>CONSTRUCCION CICLOVIA RUTA G -76, SECTOR EL AJIAL, COMUNA DE CURACAVÍ</t>
  </si>
  <si>
    <t>AMPLIACION INSTITUTO DE REHABILITACIÓN TELETON DE LA RM</t>
  </si>
  <si>
    <t>AMPLIACION RED DE AGUA POTABLE, SECTOR POMAIRITO, COMUNA EL MONTE</t>
  </si>
  <si>
    <t>REPOSICION PARCIAL BODEGA MUNICIPAL COMUNA DE MAIPU</t>
  </si>
  <si>
    <t>REPOSICION DE ACERAS ETAPA V, COMUNA DE SAN JOAQUIN</t>
  </si>
  <si>
    <t>MEJORAMIENTO COMPLEJO DEPORTIVO CANCHA 4 LO HERMIDA, PEÑALOLEN</t>
  </si>
  <si>
    <t>MEJORAMIENTO AVENIDA LA MONTAÑA, COMUNA DE LAMPA</t>
  </si>
  <si>
    <t>CONSERVACION DE VEREDAS EN LAS U.V 10, 11, 12-C, 19-B DE LA COMUNA DE EL BOSQUE</t>
  </si>
  <si>
    <t>MEJORAMIENTO ESPACIO PUBLICO Y ACEQUIAS DEL CASCO HISTORICO DE BUIN</t>
  </si>
  <si>
    <t>REPOSICION SEÑALETICAS Y DEMARCACIÓN VIAL, COMUNA DE PUENTE ALTO.</t>
  </si>
  <si>
    <t>CONSTRUCCION RED DE ALC. Y PTAS - SECTORES LAS MERCEDES, EL ROSARIO Y EL REDIL, MARIA</t>
  </si>
  <si>
    <t>CONSTRUCCION POLIDEPORTIVO CENTRO ELIGE VIVIR SANO, COMUNA DE BUIN</t>
  </si>
  <si>
    <t>Buin</t>
  </si>
  <si>
    <t>18 y 22</t>
  </si>
  <si>
    <t>CONSTRUCCION SEDE FUNDACION DEPORTISTAS POR UN SUEÑO, COMUNA DE LA FLORIDA</t>
  </si>
  <si>
    <t>La Florida</t>
  </si>
  <si>
    <t>REPOSICION VEREDAS E INSTALACION DE ILUMINACION PEATONAL, ETAPA II, LA PINTANA</t>
  </si>
  <si>
    <t>CONSERVACION DE LAS CALLES DOÑIHUE E ISMAEL TOCORNAL DE LA COMUNA DE SAN RAMON</t>
  </si>
  <si>
    <t>HABILITACION TERRENO PARA URBANIZACION CAMPAMENTO JP II LO BARNECHEA</t>
  </si>
  <si>
    <t>CONSERVACION DE VEREDAS U. VECINAL Nº 33 SECTOR 1, COMUNA DE CERRILLOS</t>
  </si>
  <si>
    <t>CONSERVACION LICEO POLIVALENTE DOCTOR LUIS VARGAS SALCEDO, COMUNA DE CERRILLOS</t>
  </si>
  <si>
    <t>CONSERVACION ESCUELA BÁSICA ANGELMÓ. COMUNA DE QUINTA NORMAL</t>
  </si>
  <si>
    <t>CONSERVACION ESCUELA BÁSICA GRENOBLE. COMUNA DE QUINTA NORMAL</t>
  </si>
  <si>
    <t>CONSERVACION ESCUELA BÁSICA INGLATERRA. COMUNA DE QUINTA NORMAL</t>
  </si>
  <si>
    <t>CONSERVACION ESCUELA BÁSICA CALICANTO. COMUNA DE QUINTA NORMAL</t>
  </si>
  <si>
    <t>CONSERVACION LICEO TALAGANTE. COMUNA DE TALAGANTE.</t>
  </si>
  <si>
    <t>CONSERVACION ESCUELA PINO VIEJO COMUNA DE TALAGANTE</t>
  </si>
  <si>
    <t>CONSERVACION ESCUELA EL ROTO CHILENO COMUNA DE TALAGANTE</t>
  </si>
  <si>
    <t>REPOSICION SEDE SOCIAL LOS CLAVELES III, COMUNA DE MAIPU</t>
  </si>
  <si>
    <t>MEJORAMIENTO SISTEMA DE ILUMINACIÓN DE CANCHA PRINCIPAL ESTADIO DE MALLOCO. PEÑAFLOR</t>
  </si>
  <si>
    <t>MEJORAMIENTO PAVIMENTO CALLE LOS PINOS, COMUNA DE TIL TIL</t>
  </si>
  <si>
    <t>CONSERVACION VEREDAS SECTOR CENTRO NORTE DE LA COMUNA DE COLINA</t>
  </si>
  <si>
    <t>REPOSICION CALZADAS VIALIDAD LOCAL UV 10, 17 Y 18, COMUNA DE PEÑALOLÉN</t>
  </si>
  <si>
    <t>REPOSICION DE PAVIMENTOS CALLE LAS ACACIAS, SAN BERNARDO</t>
  </si>
  <si>
    <t>MEJORAMIENTO Y REPOSICION DE REFUGIOS PEATONALES EN DIVERSOS SECTORES – CALERA DE TANGO</t>
  </si>
  <si>
    <t>REPOSICION CUARTEL DE BOMBEROS TERCERA COMPAÑIA COMUNA DE TALAGANTE</t>
  </si>
  <si>
    <t>CONSERVACION CANCHA Nº 2 ESTADIO MUNICIPAL LUCAS PACHECO. COMUNA DE TALAGANTE.</t>
  </si>
  <si>
    <t>MEJORAMIENTO PLAZAS COMUNALES COMUNA DE LA REINA</t>
  </si>
  <si>
    <t>CONSTRUCCION CENTRO DE VALORIZACIÓN DE RESIDUOS VEGETALES COMUNA PEÑALOLEN</t>
  </si>
  <si>
    <t>REPOSICION PLANTA DE TRATAMIENTO DE AGUAS SERVIDAS CHOROMBO, MARIA PINTO</t>
  </si>
  <si>
    <t>MEJORAMIENTO PLAZA CENTENARIO COMUNA DE MELIPILLA</t>
  </si>
  <si>
    <t>CONSTRUCCION COLECTOR BARON DE JURAS REALES TRAMO III CONCHALI</t>
  </si>
  <si>
    <t>DIRECCION DE OBRAS HIDRAULICAS</t>
  </si>
  <si>
    <t>CONSTRUCCION CUARTEL POLICÍA DE INVESTIGACIONES QUILICURA</t>
  </si>
  <si>
    <t>REPOSICION DE AREAS VERDES VILLA LOS PROFESORES,COMUNA DE PENAFLOR</t>
  </si>
  <si>
    <t>DIAGNOSTICO PLAN MAESTRO DE AGUAS LLUVIAS CIUDAD DE LA UNION Y RIO BUENO</t>
  </si>
  <si>
    <t>LOS RÍOS</t>
  </si>
  <si>
    <t>DIAGNOSTICO CONDICIONES NATURALES EN BORDES COSTEROS DE MAR Y RIOS, REGION DE LOS RIOS</t>
  </si>
  <si>
    <t>MEJORAMIENTO CALETA DE PESCADORES LOS MOLINOS COMUNA DE VALDIVIA</t>
  </si>
  <si>
    <t>VALDIVIA</t>
  </si>
  <si>
    <t>CONSTRUCCION ALCANTARILLADO DE ANTILHUE, LOS LAGOS</t>
  </si>
  <si>
    <t>LOS LAGOS</t>
  </si>
  <si>
    <t>REPOSICION ESCUELA FUSIONADA LOS LAGOS</t>
  </si>
  <si>
    <t>6745494</t>
  </si>
  <si>
    <t>CONSTRUCCION CANCHA SINTETICA ESTADIO MUNICIPAL DE LANCO</t>
  </si>
  <si>
    <t>LANCO</t>
  </si>
  <si>
    <t>MEJORAMIENTO GIMNASIO LICEO POLITECNICO PESQUERO DE MEHUIN, MARIQUINA</t>
  </si>
  <si>
    <t>MARIQUINA</t>
  </si>
  <si>
    <t>REPOSICION TENECIA DE CARABINEROS SAN JOSE DE LA MARIQUINA</t>
  </si>
  <si>
    <t>1628263</t>
  </si>
  <si>
    <t>REPOSICION ESCUELA JOSE ARNOLDO BILBAO P. DE PELCHUQUIN, MARIQUINA</t>
  </si>
  <si>
    <t>CONSTRUCCION INFRAESTRUCTURA SANITARIA, PANGUIPULLI ALTO</t>
  </si>
  <si>
    <t>PANGUIPULLI</t>
  </si>
  <si>
    <t>CONSTRUCCION GIMNASIO COMUNITARIO NELTUME, COMUNA DE PANGUIPULLI</t>
  </si>
  <si>
    <t>CONSTRUCCION SEDE SOCIAL INDIGENA COMUNA DE LA UNION</t>
  </si>
  <si>
    <t>LA UNION</t>
  </si>
  <si>
    <t>MEJORAMIENTO AVENIDA ECUADOR Y BALMACEDA - VALDIVIA</t>
  </si>
  <si>
    <t>CONSTRUCCION ESTADIO MUNICIPAL DE SANTA FILOMENA, PAILLACO</t>
  </si>
  <si>
    <t>PAILLACO</t>
  </si>
  <si>
    <t>837842</t>
  </si>
  <si>
    <t>MEJORAMIENTO CALLE MANUEL VARAS, MARIQUINA</t>
  </si>
  <si>
    <t>CONSTRUCCION GIMNASIO LOCALIDAD DE RIÑINAHUE COMUNA DE LAGO RANCO</t>
  </si>
  <si>
    <t>LAGO RANCO</t>
  </si>
  <si>
    <t>REPOSICION MUSEO TRINGLO COMUNA DE LAGO RANCO</t>
  </si>
  <si>
    <t>MEJORAMIENTO CALLE EL MOLINO, COMUNA DE LAGO RANCO</t>
  </si>
  <si>
    <t>343421</t>
  </si>
  <si>
    <t>CONSTRUCCION POSTA PUQUIÑE, COMUNA DE LANCO</t>
  </si>
  <si>
    <t>REPOSICION POSTA DE SALUD RURAL DE RUPUMEICA BAJO, LAGO RANCO</t>
  </si>
  <si>
    <t>REPOSICION POSTA DE ALEPUE, COMUNA DE MARIQUINA</t>
  </si>
  <si>
    <t>CONSERVACION CBC RUTA 203 CH PUERTO PIREHUEICO - PASO HUAHUM</t>
  </si>
  <si>
    <t>REPOSICION MURO Y FUERTE DE CORRAL</t>
  </si>
  <si>
    <t>CORRAL</t>
  </si>
  <si>
    <t>HABILITACION ESTACION COLLILELFU, LOS LAGOS</t>
  </si>
  <si>
    <t>MEJORAMIENTO CALLE LAS ROSAS DE MALALHUE, LANCO</t>
  </si>
  <si>
    <t>REPOSICION EDIFICIO CONSISTORIAL DE LANCO</t>
  </si>
  <si>
    <t>MEJORAMIENTO Y AMPLIACION SISTEMA DE APR PUERTO NUEVO, LA UNION</t>
  </si>
  <si>
    <t>MEJORAMIENTO CALLE LOS CIPRESES FUTRONO</t>
  </si>
  <si>
    <t>FUTRONO</t>
  </si>
  <si>
    <t>REPOSICION CALLE COMERCIO RIO BUENO</t>
  </si>
  <si>
    <t>RIO BUENO</t>
  </si>
  <si>
    <t>REPOSICION CALLE PEDRO LAGOS, COMUNA DE RIO BUENO</t>
  </si>
  <si>
    <t>REPOSICION PLAZA BERNARDO O´HIGGINS COMUNA DE LAGO RANCO</t>
  </si>
  <si>
    <t>REPOSICION HOSPITAL DE RIO BUENO</t>
  </si>
  <si>
    <t>REPOSICION PABELLON PREBASICA ESCUELA PROYECTO DE FUTURO, PAILLACO</t>
  </si>
  <si>
    <t>REPOSICION BIBLIOTECA MUNICIPAL DE MAFIL</t>
  </si>
  <si>
    <t>MAFIL</t>
  </si>
  <si>
    <t>CONSTRUCCION SERVICIO APR FOLLECO, LA UNION</t>
  </si>
  <si>
    <t>CONSTRUCCION TERMINAL DE BUSES DE LAGO RANCO</t>
  </si>
  <si>
    <t>CONSTRUCCION TERMINAL DE BUSES, COMUNA DE FUTRONO</t>
  </si>
  <si>
    <t>CONSTRUCCION EMBARCADERO PISHUINCO, COMUNA DE VALDIVIA</t>
  </si>
  <si>
    <t>CONSTRUCCION EMBARCADEROS MENORES DE ISLA DEL REY COMUNA DE CORRAL</t>
  </si>
  <si>
    <t>REPOSICION POSTA RURAL RIÑIHUE, LOS LAGOS</t>
  </si>
  <si>
    <t>REPOSICION DE POSTA SALUD RURAL ISLA DEL REY</t>
  </si>
  <si>
    <t>CONSTRUCCION POSTA DE SALUD RURRAL CHAIHUIN</t>
  </si>
  <si>
    <t>RESTAURACION Y AMPLIACION DEL MUSEO DE ARTE CONTEMPORANEO VALDIVIA</t>
  </si>
  <si>
    <t>6930660</t>
  </si>
  <si>
    <t>RESTAURACION ADQUISICION CASTILLO DE SAN LUIS DE ALBA, MARIQUINA</t>
  </si>
  <si>
    <t>RESTAURACION Y MUSEOGRAFIA CASA ANWANDTER VALDIVIA</t>
  </si>
  <si>
    <t>RESTAURACION Y PUESTA EN VALOR TORREONES DE FORTIFICACION VALDIVIA</t>
  </si>
  <si>
    <t>CONSTRUCCION SERVICIO DE APR DE LOS PELLINES, VALDIVIA</t>
  </si>
  <si>
    <t>CONSTRUCCION FERIA COSTUMBRISTA, COMUNA DE LAGO RANCO</t>
  </si>
  <si>
    <t>MEJORAMIENTO AV. BALMACEDA, ENTRE CALLES CHORRILLOS Y FRAY BENITO DELGADO, RIO BUENO</t>
  </si>
  <si>
    <t>CONSTRUCCION CENTRO RECREATIVO PARA EL ADULTO MAYOR, VALDIVIA</t>
  </si>
  <si>
    <t>REPOSICION POSTA ISLA HUAPI COMUNA FUTRONO</t>
  </si>
  <si>
    <t>642837</t>
  </si>
  <si>
    <t>REPOSICION CUARTEL DE BOMBEROS DE CURRIÑE COMUNA DE FUTRONO</t>
  </si>
  <si>
    <t>CONSTRUCCION ESTADIO NIEBLA, VALDIVIA</t>
  </si>
  <si>
    <t>CONSTRUCCION POLIDEPORTIVO, PAILLACO</t>
  </si>
  <si>
    <t>NORMALIZACION SISTEMA TRATAMIENTO AGUAS SERVIDAS DE MALALHUE, LANCO</t>
  </si>
  <si>
    <t>REPOSICION ESTADIO MUNICIPAL LOS AROMOS, MAFIL</t>
  </si>
  <si>
    <t>MEJORAMIENTO CANCHA DE FUTBOL COMPLEJO BICENTENARIO, RIO BUENO</t>
  </si>
  <si>
    <t>CONSTRUCCION SISTEMA AUTOGENERACION ELECTRICO, QUITAQUI, VALDIVIA</t>
  </si>
  <si>
    <t>AMPLIACION Y MEJORAMIENTO SAPR DE PICHIRROPULLI, COMUNA DE PAILLACO</t>
  </si>
  <si>
    <t>REPOSICION EDIFICIO CONSISTORIAL MUNICIPALIDAD DE MARIQUINA</t>
  </si>
  <si>
    <t>CONSTRUCCION PLANTA REGIONAL DE RECICLAJE, LOS RIOS</t>
  </si>
  <si>
    <t>MEJORAMIENTO PLAZA PEDRO DE VALDIVIA Y PLAZA CHILE, VALDIVIA</t>
  </si>
  <si>
    <t>CONSTRUCCION CENTRO INFORMACION AMBIENTAL Y CULTURAL CONAF, PUNUCAPA VALDIVIA</t>
  </si>
  <si>
    <t>1367130</t>
  </si>
  <si>
    <t>CONSTRUCCION SANEAMIENTO SANITARIO DOMICILIARIO DE DIVERSOS SECTORES DE LA CIUDAD DE VALDIVIA</t>
  </si>
  <si>
    <t>CONSERVACION EDIFICACION PUBLICA - HOSPITAL DE PAILLACO</t>
  </si>
  <si>
    <t>AMPLIACION CEMENTERIO MUNICIPAL, PAILLACO</t>
  </si>
  <si>
    <t>1536100</t>
  </si>
  <si>
    <t>REPOSICION COLEGIO JOSE MANUEL BALMACEDA</t>
  </si>
  <si>
    <t>CONSERVACION GIMNASIO FISCAL, COMUNA DE LA UNION</t>
  </si>
  <si>
    <t>HABILITACION CASA DUHALDE PARA CENTRO CULTURAL COMUNA DE LA UNION</t>
  </si>
  <si>
    <t>INSTALACION DEL SERVICIO DE APR EN CALCURRUPE ALTO, COMUNA DE LAGO RANCO</t>
  </si>
  <si>
    <t>CONSTRUCCIÓN POSTA RURAL EL LLOLLY, PAILLACO</t>
  </si>
  <si>
    <t>CONSTRUCCION CESFAN LAUTARO CARO RIOS, PAILLACO</t>
  </si>
  <si>
    <t>REPOSICION POSTA SALUD RURRAL PUNUCAPA</t>
  </si>
  <si>
    <t>CONSERVACION VIAS URBANAS REGION DE LOS RIOS_AÑO 2020</t>
  </si>
  <si>
    <t>PREVENCION Y ATENCION A MUJERES VICTIMAS DE VIOLENCIA, LOS LAGOS</t>
  </si>
  <si>
    <t>RESTAURACION Y PUESTA EN VALOR TEATRO GALIA DE LANCO</t>
  </si>
  <si>
    <t>MEJORAMIENTO PAVIMENTACION AVENIDA COSTANERA, PANGUIPULLI</t>
  </si>
  <si>
    <t>CONSTRUCCION INFRAESTRUCTURA SANITARIA CAUPOLICAN ALTO, LA UNION</t>
  </si>
  <si>
    <t>CONSTRUCCION INFRAESTRUCTURA SANITARIA RIÑINAHUE - LAGO RANCO</t>
  </si>
  <si>
    <t>CONSTRUCCION CIRCUNVALACION VALDIVIA Y PTE. STA. ELVIRA</t>
  </si>
  <si>
    <t>3850140</t>
  </si>
  <si>
    <t>CONSTRUCCION FERIA CENTRAL DE VALDIVA</t>
  </si>
  <si>
    <t>MEJORAMIENTO CANCHA SINTETICA Y ESTADIO ANFA, COMUNA DE MARIQUINA</t>
  </si>
  <si>
    <t>CONSTRUCION TERMINAL DE BUSES SAN JOSE DE MARIQUINA</t>
  </si>
  <si>
    <t>REPOSICION BIBLIOTECA MUNICIPAL SAN JOSE, COMUNA DE MARIQUINA</t>
  </si>
  <si>
    <t>CONSTRUCCION INFRAESTRUCTURA SANITARIA NELTUME, PANGUIPULLI</t>
  </si>
  <si>
    <t>CONSTRUCCION CENTRO DE FERIAS PANGUIPULLI</t>
  </si>
  <si>
    <t>CONSTRUCCION ESTADIO CONDOR PANGUIPULLI</t>
  </si>
  <si>
    <t>REPOSICION GIMNACIO LICEO VICENTE PEREZ ROSALES, RIO BUENO</t>
  </si>
  <si>
    <t>REPOSICION POSTA DE SALUD RURAL LOS ESTEROS, LA UNIÓN</t>
  </si>
  <si>
    <t>REPOSICION CESFAM NIEBLA, VALDIVIA</t>
  </si>
  <si>
    <t>CONSTRUCCION CENTRO ATENCION ESPECIALIDADES, HOSPITAL DE LA UNION</t>
  </si>
  <si>
    <t>ANALISIS IMPLEMENTACION DE UNA PLATAFORMA LOGISTICA EN LA CIUDAD DE VALDIVIA</t>
  </si>
  <si>
    <t>ANALISIS PELIGROSO DE REMOCION EN MASA, REGION  DE LOS RIOS</t>
  </si>
  <si>
    <t>MEJORAMIENTO CALLE LAS ZINNIAS-VALDIVIA</t>
  </si>
  <si>
    <t>CONSTRUCCION ELECTRIFICACION FOTOVOLTAICA LUMACO, CANCAGUAL, TRES CHIFLONES Y CADILLAL</t>
  </si>
  <si>
    <t>INSTALACION SISTEMA SOLAR AGUA CALIENTE SANITARIA INTERNADO LICEO RURAL LLIFEN, FUTRONO</t>
  </si>
  <si>
    <t>CONSTRUCCION SANEAMIENTO SANITARIO SECTOR IGNAO, LAGO RANCO</t>
  </si>
  <si>
    <t>4605789</t>
  </si>
  <si>
    <t>REPOSICION BRIGADA INCENDIOS FORESTALES SAN JOSE DE LA MARIQUINA</t>
  </si>
  <si>
    <t>CONSTRUCCION TORRE DE DETECCION - VIVIENDA DE TORREONES, LA UNION</t>
  </si>
  <si>
    <t>MEJORAMIENTO CANCHA SINTETICA Y ESTADIO DE CIRUELOS, COMUNA MARIQUINA</t>
  </si>
  <si>
    <t>CONSTRUCCION ALCANTARILLADO Y P.T.A.S DE MEHUIN - MARIQUINA</t>
  </si>
  <si>
    <t>REPOSICION PRIMERA CIA. DE BOMBEROS DE CRUCERO COMUNA DE RIO BUENO</t>
  </si>
  <si>
    <t>CONSTRUCCION INFRAESTRUCTURA SANITARIA DE PTO. NUEVO, LA UNION</t>
  </si>
  <si>
    <t>2641372</t>
  </si>
  <si>
    <t>CONSTRUCCION INFRAESTRUCTURA SANITARIA LOCALIDAD DE VIVANCO, RIO BUENO</t>
  </si>
  <si>
    <t>REPOSICION CUARTEL DE BOMBEROS MALALHUE</t>
  </si>
  <si>
    <t>MEJORAMIENTO RECINTO DEPORTIVO ESTADIO MANTILHUE, COMUNA DE RIO BUENO</t>
  </si>
  <si>
    <t>REPOSICION PUESTA EN VALOR CENTRO CULTURAL CASA FURNIEL RIO BUENO</t>
  </si>
  <si>
    <t>REPOSICION CUARTEL SEGUNDA COMPAÑÍA DE BOMBEROS DE RIO BUENO</t>
  </si>
  <si>
    <t>CONSERVACION RED VIAL BASICA CBC RUTA T-390 MULPUN</t>
  </si>
  <si>
    <t>CONSERVACION CBC RUTA T-455 LONCOPAN BAJO LONCOPAN ALTO, COMUNA DE FUTRONO</t>
  </si>
  <si>
    <t>CONSTRUCCION INFRAESTRUCTURA SANITARIA SECTORES IÑAQUI-HUILLON, MAFIL</t>
  </si>
  <si>
    <t>CONSTRUCCION INFRAESTRUCCTURA SANITARIA ESTACION MARIQUINA</t>
  </si>
  <si>
    <t>MEJORAMIENTO ESTABILIZACION TALUD CALLE BEAUCHEF ENTRE AV PRAT Y PUENTE CONTRA</t>
  </si>
  <si>
    <t>CONSTRUCCIÓN RELLENO SANITARIO, REGIÓN DE LOS RÍOS</t>
  </si>
  <si>
    <t>HABILITACION SUMINISTRO ENERGIA ELECTRICA SECTOR HUERQUEHUE V Y OTROS, PANGUIPULLI</t>
  </si>
  <si>
    <t>PREVENCION Y ATENCION A MUJERES VICTIMAS DE VIOLENCIA, MARIQUINA</t>
  </si>
  <si>
    <t>HABILITACION SUMINISTRO ENERGIA ELECTRICA SECTOR COIHUECO II Y OTROS, PANGUIPULLI</t>
  </si>
  <si>
    <t>HABILITACION SUMINISTRO ENERGIA ELECTRICA SECTOR COÑARIPE II Y OTROS, PANGUIPULLI</t>
  </si>
  <si>
    <t>HABILITACION SUMINISTRO ENERGIA ELECTRICA RIÑINAHUE 6, LAGO RANCO</t>
  </si>
  <si>
    <t>HABILITACION SUMINISTRO ENERGIA ELECTRICA MANTILHUE Y OTROS ETAPA II, COMUNA DE RIO BUENO</t>
  </si>
  <si>
    <t>REPOSICION CUARTEL DE BOMBEROS 2DA COMPAÑÍA, COMUNA DE VALDIVIA</t>
  </si>
  <si>
    <t>CONSTRUCCION CASETAS SANITARIAS LOCALIDAD DE MANTILHUE RIO BUENO</t>
  </si>
  <si>
    <t>1574330</t>
  </si>
  <si>
    <t>CONSTRUCCION INFRAESTRUCCTURA SANITARIA CHOSHUENCO, PANGUIPULLI</t>
  </si>
  <si>
    <t>2691375</t>
  </si>
  <si>
    <t>CONSTRUCCION CUARTEL DE BOMBEROS 2° COMPAÑÍA, LOS LAGOS</t>
  </si>
  <si>
    <t>MEJORAMIENTO CALLE DOS ORIENTE, COMUNA DE LOS LAGOS</t>
  </si>
  <si>
    <t>REPOSICION POSTA DE MISSISSIPI, COMUNA DE MARIQUINA</t>
  </si>
  <si>
    <t>CONSTRUCCION COMPLEJO DEPORTIVO LAUREANO ROSALES, COMUNA DE FUTRONO</t>
  </si>
  <si>
    <t>CONSTRUCCION POSTA DE SALUD RURAL DE CURRIÑE, COMUNA DE FUTRONO</t>
  </si>
  <si>
    <t>HABILITACIÓN SUMINISTRO ELÉCTRICO SECTOR LOMAS DEL SOL - VALDIVIA</t>
  </si>
  <si>
    <t>RESTAURACION Y PUESTA EN VALOR IGLESIA NUESTRA SEÑORA DE LOURDES DE REUMEN, PAILLACO</t>
  </si>
  <si>
    <t>HABILITACION SUMINISTRO ENERGIA ELECTRICA SECTOR CUDICO EL ARENAL, COMUNA DE VALDIVIA</t>
  </si>
  <si>
    <t>HABILITACION SUMINISTRO ENERGIA ELECTRICA SECTOR LLASCAHUE, LOS LAGOS</t>
  </si>
  <si>
    <t>RESTAURACIÓN HABILITACIÓN ECO MUSEO ISLA MANCERA</t>
  </si>
  <si>
    <t>ACTUALIZACION PLAN REGULADOR COMUNA DE QUIRIHUE</t>
  </si>
  <si>
    <t>Ñuble</t>
  </si>
  <si>
    <t>Quirihue</t>
  </si>
  <si>
    <t>149.114</t>
  </si>
  <si>
    <t>ACTUALIZACION PLAN DE DESARROLLO COMUNAL COMUNA DE NINHUE</t>
  </si>
  <si>
    <t>Ninhue</t>
  </si>
  <si>
    <t>31.945</t>
  </si>
  <si>
    <t>CONSTRUCCION HOGAR DE ANCIANOS COMUNA DE SAN IGNACIO</t>
  </si>
  <si>
    <t>San Ignacio</t>
  </si>
  <si>
    <t>43.950</t>
  </si>
  <si>
    <t>REPOSICION GIMNASIO MUNICIPAL DE COIHUECO</t>
  </si>
  <si>
    <t>Coihueco</t>
  </si>
  <si>
    <t>2.504.025</t>
  </si>
  <si>
    <t>REPOSICIÓN CENTRO DE SALUD FAMILIAR SAN FABIÁN DE ALICO</t>
  </si>
  <si>
    <t xml:space="preserve">San Fabián </t>
  </si>
  <si>
    <t>199.807</t>
  </si>
  <si>
    <t xml:space="preserve">CONSTRUCCIÓN CUARTEL DE BOMBEROS, COMUNA DE SAN NICOLÁS </t>
  </si>
  <si>
    <t>San Nicolás</t>
  </si>
  <si>
    <t>1.064.303</t>
  </si>
  <si>
    <t>CONSTRUCCION POLIDEPORTIVO MUNICIPAL SAN CARLOS</t>
  </si>
  <si>
    <t>Carlos</t>
  </si>
  <si>
    <t>2.599.119</t>
  </si>
  <si>
    <t>REPOSICION PISTA BMX QUILAMAPU, CHILLÁN</t>
  </si>
  <si>
    <t>Chillán</t>
  </si>
  <si>
    <t>1.141.064</t>
  </si>
  <si>
    <t>HABILITACION PLAZA Y FERIA LIBRE EMILIO BASTIAS, SAN CARLOS</t>
  </si>
  <si>
    <t>San Carlos</t>
  </si>
  <si>
    <t>1.958.473</t>
  </si>
  <si>
    <t>MEJORAMIENTO PARQUE SARITA GAJARDO, CHILLÁN</t>
  </si>
  <si>
    <t>128.290</t>
  </si>
  <si>
    <t>MEJORAMIENTO PLANTA DE TRATAMIENTO AGUAS SERVIDAS SAN NICOLAS</t>
  </si>
  <si>
    <t>San Nicolas</t>
  </si>
  <si>
    <t>1.647.015</t>
  </si>
  <si>
    <t>CONSTRUCCION PUENTE Y CALZADA PONIENTE EN AV. BRASIL, CHILLAN</t>
  </si>
  <si>
    <t>58.236</t>
  </si>
  <si>
    <t>REPOSICION DE CENTRO DE SALUD FAMILIAR (CESFAM) DE SAN GREGORIO, COMUNA ÑIQUEN</t>
  </si>
  <si>
    <t>Ñiquen</t>
  </si>
  <si>
    <t>238.524</t>
  </si>
  <si>
    <t>MEJORAMIENTO CAMINOS BÁSICOS INTERMEDIOS CONEXIÓN RUTA N-335, N-447 A N-31, ÑUBLE</t>
  </si>
  <si>
    <t>Intercomunal</t>
  </si>
  <si>
    <t>1.025.997</t>
  </si>
  <si>
    <t>MEJORAMIENTO CAMINO BÃSICO INTERMEDIO RUTA N-773 DEL KM 0.3 AL KM 23.4, ÑUBLE</t>
  </si>
  <si>
    <t>1.333.795</t>
  </si>
  <si>
    <t>CONSTRUCCION CENDYR NAUTICO, QUILLÓN</t>
  </si>
  <si>
    <t>Quillón</t>
  </si>
  <si>
    <t>874.126</t>
  </si>
  <si>
    <t>MEJORAMIENTO CANCHA DE FUTBOL Y GRADERIAS ESTADIO MUNICIPAL DE PORTEZUELO</t>
  </si>
  <si>
    <t>Portezuelo</t>
  </si>
  <si>
    <t>378.451</t>
  </si>
  <si>
    <t>REPOSICION CUARTEL DE 2º COMPAÑIA DE BOMBEROS DE PINTO</t>
  </si>
  <si>
    <t>Pinto</t>
  </si>
  <si>
    <t>400.670</t>
  </si>
  <si>
    <t>REPOSICION CENTRO DE SALUD FAMILIAR, COMUNA DE PINTO</t>
  </si>
  <si>
    <t>73.066</t>
  </si>
  <si>
    <t>REPOSICIÓN COMPLEJO REGIÓN POLICIAL DE ÑUBLE - PDI</t>
  </si>
  <si>
    <t>595.657</t>
  </si>
  <si>
    <t>CONSTRUCCION ESPACIOS PÚBLICOS INCLUSIVOS EN AVENIDA NUESTRA SEÑORA DEL ROSARIO, NINHUE</t>
  </si>
  <si>
    <t>985.660</t>
  </si>
  <si>
    <t>MEJORAMIENTO CALLE SAN IGNACIO, COMUNA DE CHILLÁN</t>
  </si>
  <si>
    <t>332.758</t>
  </si>
  <si>
    <t>CONSERVACION CAMINO A LAS MARIPOSAS</t>
  </si>
  <si>
    <t>Mariposas</t>
  </si>
  <si>
    <t>1.645.695</t>
  </si>
  <si>
    <t>CONSERVACION PAVIMENTO AV. SEPULVEDA BUSTOS, CHILLAN</t>
  </si>
  <si>
    <t>1.798.286</t>
  </si>
  <si>
    <t>CONSERVACION CAMINO BÁSICO SAN CARLOS – TRAPICHE - CRUCE N-730-M (POCILLAS)</t>
  </si>
  <si>
    <t>842.895</t>
  </si>
  <si>
    <t>REPOSICION TENENCIA DE CARABINEROS PINTO</t>
  </si>
  <si>
    <t>834.043</t>
  </si>
  <si>
    <t>REPOSICION RETEN DE CARABINEROS CATO, COMUNA DE COIHUECO</t>
  </si>
  <si>
    <t>921.182</t>
  </si>
  <si>
    <t>REPOSICION SUBCOMISARÍA HUAMBALÍ</t>
  </si>
  <si>
    <t>2.587.156</t>
  </si>
  <si>
    <t>MEJORAMIENTO DIVERSAS CALLES VILLA PRIMAVERA I Y II, PUEBLO SECO, COMUNA DE SAN IGNACIO</t>
  </si>
  <si>
    <t>1.021.971</t>
  </si>
  <si>
    <t>ACTUALIZACION PLAN DE DESARROLLO DE TURISMO, SAN FABIAN</t>
  </si>
  <si>
    <t>31005</t>
  </si>
  <si>
    <t>02</t>
  </si>
  <si>
    <t>ACTUALIZACION PLAN REGULADOR DE LA COMUNA DE YUNGAY</t>
  </si>
  <si>
    <t>Yungay</t>
  </si>
  <si>
    <t>193.815</t>
  </si>
  <si>
    <t>ACTUALIZACION ESTUDIO ELABORACIÓN PLADETUR COMUNA DE PINTO</t>
  </si>
  <si>
    <t>57.464</t>
  </si>
  <si>
    <t>ANALISIS PLAN DE DESARROLLO TURISTICO COMUNA DE NINHUE</t>
  </si>
  <si>
    <t>22.705</t>
  </si>
  <si>
    <t>ANALISIS Y CARACTERIZACIÓN DEL ACUIFERO DE LA CUENCA DEL RIO ITATA</t>
  </si>
  <si>
    <t>2.167.314</t>
  </si>
  <si>
    <t>ANALISIS Y DESARROLLO DEL PLAN MAESTRO DE GESTION DE TTO EN EL SECTOR ORIENTE DE CHILLÁN</t>
  </si>
  <si>
    <t>157.362</t>
  </si>
  <si>
    <t>DIAGNOSTICO PLAN MAESTRO DE ÁREAS VERDES Y ARBORIZACIÓN, COMUNA DE CHILLÁN</t>
  </si>
  <si>
    <t>110.991</t>
  </si>
  <si>
    <t>DIAGNOSTICO DISEÑO DE LA ARQUITECTURA DE LAS TIC PARA RED DE SALUD ÑUBLE</t>
  </si>
  <si>
    <t>87.704</t>
  </si>
  <si>
    <t>REPOSICION CESFAM FEDERICO PUGA BORNE, CHILLAN VIEJO</t>
  </si>
  <si>
    <t>Chillán Viejo</t>
  </si>
  <si>
    <t>4.785.125</t>
  </si>
  <si>
    <t>REPOSICION CON RELOCALIZACION CESFAM DE SANTA CLARA, BULNES</t>
  </si>
  <si>
    <t>Bulnes</t>
  </si>
  <si>
    <t>85.275</t>
  </si>
  <si>
    <t>MEJORAMIENTO ACERAS SECTOR CENTRO, CHILLAN</t>
  </si>
  <si>
    <t xml:space="preserve">Chillán </t>
  </si>
  <si>
    <t>4.048.037</t>
  </si>
  <si>
    <t xml:space="preserve"> 30318924 </t>
  </si>
  <si>
    <t>MEJORAMIENTO ACERAS AV. OHIGGINS COMUNA SAN NICOLAS</t>
  </si>
  <si>
    <t>1.140.912</t>
  </si>
  <si>
    <t>REPOSICION LICEO A-17 COMUNA DE YUNGAY</t>
  </si>
  <si>
    <t xml:space="preserve"> Yungay</t>
  </si>
  <si>
    <t>198.744</t>
  </si>
  <si>
    <t>MEJORAMIENTO APR CAPILLA COX, CHILLAN</t>
  </si>
  <si>
    <t>42.291</t>
  </si>
  <si>
    <t>CONSTRUCCION APERTURA Y PAVIMENTACIÓN CALLE SCHLEYER, CHILLÁN</t>
  </si>
  <si>
    <t>538.957</t>
  </si>
  <si>
    <t>REPOSICION CESFAM COMUNA DE PORTEZUELO</t>
  </si>
  <si>
    <t>246.041</t>
  </si>
  <si>
    <t>NORMALIZACION ELECTRIFICACIÓN DOMIC. DIVERSOS SECTORES SAN CARLOS</t>
  </si>
  <si>
    <t>49.586</t>
  </si>
  <si>
    <t> MEJORAMIENTO ESPACIO PUBLICO, BANDEJON CENTRAL AVENIDA COLLIN, CHILLAN</t>
  </si>
  <si>
    <t>710.334</t>
  </si>
  <si>
    <t>MEJORAMIENTO CANCHA 16 DE JULIO SECTOR SANTA ELVIRA, EL CARMEN</t>
  </si>
  <si>
    <t>El Carmen</t>
  </si>
  <si>
    <t>394.910</t>
  </si>
  <si>
    <t>CONSTRUCCION LABORATORIO REGIONAL SAG REGIÓN DE ÑUBLE</t>
  </si>
  <si>
    <t>79.831</t>
  </si>
  <si>
    <t>CONSTRUCCION CENTRO COMUNITARIO DOÑA ROSA, CHILLAN</t>
  </si>
  <si>
    <t>Chillan</t>
  </si>
  <si>
    <t>61.350</t>
  </si>
  <si>
    <t>CONSERVACION CAMINO BÁSICO CRUCE RUTA 5 (SAN GREGORIO) – ÑIQUEN - CRUCE - M-750 (SAN PEDRO)</t>
  </si>
  <si>
    <t>1.066.796</t>
  </si>
  <si>
    <t>CONSERVACION CAMINO BÁSICO CRUCE N-643 (TRES ESQUINAS) - LOS MARCOS - CRUCE N-773 (LOS TILOS)</t>
  </si>
  <si>
    <t>1.276.066</t>
  </si>
  <si>
    <t>CONSTRUCCION PARQUE INTERCOMUNAL ULTRAESTACIÓN, CHILLÁN</t>
  </si>
  <si>
    <t>3.139.889</t>
  </si>
  <si>
    <t>CONSTRUCCION CEMENTERIO MUNICIPAL DE COIHUECO</t>
  </si>
  <si>
    <t>75.966</t>
  </si>
  <si>
    <t>MEJORAMIENTO Y AMPLIACIÓN APR RINCONADA DE CATO, CHILLÁN</t>
  </si>
  <si>
    <t>48.403</t>
  </si>
  <si>
    <t>HABILITACION CENTRO PENITENCIARIO FEMENINO DE BULNES</t>
  </si>
  <si>
    <t>1.440.986</t>
  </si>
  <si>
    <t>CONSERVACION UNIDAD DE EMERGENCIA DEL HCHM</t>
  </si>
  <si>
    <t>465.184</t>
  </si>
  <si>
    <t>CONSERVACION RUTA N-684, CRUCE RUTA 5 (LOS COLIHUES)- PELEHUITO</t>
  </si>
  <si>
    <t>501.799</t>
  </si>
  <si>
    <t>CONSERVACION RUTA N-884, CRUCE RUTA 5 (SANTA CLARA) -PUENTE PAL PAL- BALSA CERRO NEGRO</t>
  </si>
  <si>
    <t>918.029</t>
  </si>
  <si>
    <t>CONSERVACION RUTA N-70-M CAUQUENES – TORRECILLAS – SAN CARLOS, COMUNA DE SAN CARLOS</t>
  </si>
  <si>
    <t>1.676.113</t>
  </si>
  <si>
    <t> 40014260</t>
  </si>
  <si>
    <t>CONSTRUCCION PUENTE SARGENTO ALDEA, COMUNA DE COIHUECO</t>
  </si>
  <si>
    <t>188.835</t>
  </si>
  <si>
    <t>40019524</t>
  </si>
  <si>
    <t>CONSTRUCCION INFRAESTRUCTURA BRIGADA HELITRANSPORTADA, AERÓDROMO
BERNARDO O´HIGGINS, CHILLÁN</t>
  </si>
  <si>
    <t>CONSTRUCCION VEREDAS URBANAS DIVERSOS SECTORES, COMUNAS ASOCIACION PUNILLA</t>
  </si>
  <si>
    <t>Provincial</t>
  </si>
  <si>
    <t>REPOSICION OFICINA REGISTRO CIVIL DE SAN NICOLAS</t>
  </si>
  <si>
    <t>Nicolas</t>
  </si>
  <si>
    <t>REPOSICION REGISTRO CIVIL DE SAN FABIÁN</t>
  </si>
  <si>
    <t>CONSERVACION CAMINOS BÁSICOS DIVERSAS COMUNAS DE LA REGIÓN DE ÑUBLE, ETAPA I.</t>
  </si>
  <si>
    <t>ANALISIS OFERTA Y DEMANDA DE PASAJEROS PARA SERVICIOS FERROVIARIOS REGIONALES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</si>
</sst>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 * #,##0_ ;_ * \-#,##0_ ;_ * &quot;-&quot;_ ;_ @_ "/>
    <numFmt numFmtId="165" formatCode="_-* #,##0_-;\-* #,##0_-;_-* &quot;-&quot;??_-;_-@_-"/>
    <numFmt numFmtId="166" formatCode="_-* #,##0.00\ _€_-;\-* #,##0.00\ _€_-;_-* &quot;-&quot;??\ _€_-;_-@_-"/>
    <numFmt numFmtId="167" formatCode="_-* #,##0\ _€_-;\-* #,##0\ _€_-;_-* &quot;-&quot;??\ _€_-;_-@_-"/>
    <numFmt numFmtId="168" formatCode="0.00_)"/>
    <numFmt numFmtId="169" formatCode="0_)"/>
    <numFmt numFmtId="170" formatCode="dd/mm/yyyy;@"/>
    <numFmt numFmtId="171" formatCode="_ * #,##0_ ;_ * \-#,##0_ ;_ * &quot;-&quot;??_ ;_ @_ "/>
    <numFmt numFmtId="172" formatCode="#,##0;\(#,##0\)"/>
    <numFmt numFmtId="173" formatCode="#,##0_ ;\-#,##0\ "/>
    <numFmt numFmtId="174" formatCode="#,##0_ ;[Red]\-#,##0\ "/>
    <numFmt numFmtId="175" formatCode="_(* #,##0_);_(* \(#,##0\);_(* &quot;-&quot;??_);_(@_)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  <scheme val="minor"/>
    </font>
    <font>
      <sz val="8"/>
      <name val="Arial"/>
      <family val="2"/>
    </font>
    <font>
      <b/>
      <sz val="8"/>
      <name val="Calibri"/>
      <family val="2"/>
      <scheme val="minor"/>
    </font>
    <font>
      <b/>
      <sz val="11"/>
      <color rgb="FF9C6500"/>
      <name val="Calibri"/>
      <family val="2"/>
      <scheme val="minor"/>
    </font>
    <font>
      <b/>
      <sz val="9"/>
      <color rgb="FF000000"/>
      <name val="Calibri"/>
      <family val="2"/>
    </font>
    <font>
      <sz val="12"/>
      <name val="Arial"/>
      <family val="2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sz val="7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name val="Calibri"/>
      <family val="2"/>
    </font>
    <font>
      <sz val="8"/>
      <color rgb="FFFF0000"/>
      <name val="Calibri"/>
      <family val="2"/>
      <scheme val="minor"/>
    </font>
    <font>
      <sz val="7"/>
      <name val="Trebuchet MS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Futura Lt BT"/>
      <family val="2"/>
    </font>
    <font>
      <sz val="8"/>
      <color indexed="8"/>
      <name val="Arial"/>
      <family val="2"/>
    </font>
    <font>
      <sz val="7"/>
      <color theme="1" tint="4.9989318521683403E-2"/>
      <name val="Trebuchet MS"/>
      <family val="2"/>
    </font>
    <font>
      <sz val="8"/>
      <color theme="1"/>
      <name val="Arial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9"/>
      <color theme="1"/>
      <name val="Calibri"/>
      <family val="2"/>
    </font>
    <font>
      <b/>
      <sz val="9"/>
      <color rgb="FF9C6500"/>
      <name val="Calibri"/>
      <family val="2"/>
    </font>
    <font>
      <sz val="9"/>
      <color rgb="FFFF0000"/>
      <name val="Calibri"/>
      <family val="2"/>
    </font>
    <font>
      <sz val="8"/>
      <color rgb="FF000000"/>
      <name val="Calibri"/>
      <family val="2"/>
      <scheme val="minor"/>
    </font>
    <font>
      <b/>
      <sz val="8"/>
      <color rgb="FF9C650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Arial Narrow"/>
      <family val="2"/>
    </font>
    <font>
      <sz val="14"/>
      <name val="Calibri"/>
      <family val="2"/>
      <scheme val="minor"/>
    </font>
    <font>
      <sz val="9"/>
      <name val="Arial"/>
      <family val="2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9C65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FFFFFF"/>
      </patternFill>
    </fill>
  </fills>
  <borders count="2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1" applyNumberForma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166" fontId="1" fillId="0" borderId="0" applyFont="0" applyFill="0" applyBorder="0" applyAlignment="0" applyProtection="0"/>
    <xf numFmtId="168" fontId="17" fillId="0" borderId="0"/>
    <xf numFmtId="0" fontId="27" fillId="0" borderId="0"/>
    <xf numFmtId="0" fontId="27" fillId="0" borderId="0"/>
    <xf numFmtId="0" fontId="27" fillId="0" borderId="0"/>
  </cellStyleXfs>
  <cellXfs count="792">
    <xf numFmtId="0" fontId="0" fillId="0" borderId="0" xfId="0"/>
    <xf numFmtId="0" fontId="6" fillId="0" borderId="0" xfId="0" applyFont="1" applyAlignment="1">
      <alignment horizontal="left" vertical="top" wrapText="1"/>
    </xf>
    <xf numFmtId="3" fontId="6" fillId="0" borderId="0" xfId="0" applyNumberFormat="1" applyFont="1" applyAlignment="1">
      <alignment horizontal="left" vertical="top" wrapText="1"/>
    </xf>
    <xf numFmtId="1" fontId="6" fillId="0" borderId="0" xfId="0" applyNumberFormat="1" applyFont="1" applyAlignment="1">
      <alignment horizontal="left" vertical="top" wrapText="1"/>
    </xf>
    <xf numFmtId="0" fontId="7" fillId="6" borderId="2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7" fillId="6" borderId="8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 wrapText="1"/>
    </xf>
    <xf numFmtId="0" fontId="1" fillId="4" borderId="8" xfId="5" applyBorder="1" applyAlignment="1">
      <alignment horizontal="center" vertical="center" wrapText="1"/>
    </xf>
    <xf numFmtId="0" fontId="0" fillId="4" borderId="8" xfId="5" applyFont="1" applyBorder="1" applyAlignment="1">
      <alignment horizontal="center" vertical="center" wrapText="1"/>
    </xf>
    <xf numFmtId="0" fontId="4" fillId="4" borderId="8" xfId="5" applyFont="1" applyBorder="1" applyAlignment="1">
      <alignment horizontal="center" vertical="center" wrapText="1"/>
    </xf>
    <xf numFmtId="0" fontId="7" fillId="8" borderId="8" xfId="0" applyFont="1" applyFill="1" applyBorder="1" applyAlignment="1">
      <alignment horizontal="center" vertical="center" wrapText="1"/>
    </xf>
    <xf numFmtId="1" fontId="7" fillId="8" borderId="8" xfId="0" applyNumberFormat="1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 wrapText="1"/>
    </xf>
    <xf numFmtId="3" fontId="7" fillId="9" borderId="8" xfId="0" applyNumberFormat="1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center" vertical="center" wrapText="1"/>
    </xf>
    <xf numFmtId="0" fontId="0" fillId="7" borderId="0" xfId="0" applyFill="1"/>
    <xf numFmtId="0" fontId="11" fillId="7" borderId="9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left" vertical="center"/>
    </xf>
    <xf numFmtId="0" fontId="13" fillId="7" borderId="4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left" vertical="center" wrapText="1"/>
    </xf>
    <xf numFmtId="0" fontId="6" fillId="7" borderId="4" xfId="0" applyFont="1" applyFill="1" applyBorder="1" applyAlignment="1">
      <alignment horizontal="center" vertical="center" wrapText="1"/>
    </xf>
    <xf numFmtId="2" fontId="13" fillId="7" borderId="4" xfId="0" applyNumberFormat="1" applyFont="1" applyFill="1" applyBorder="1" applyAlignment="1">
      <alignment horizontal="center" vertical="center"/>
    </xf>
    <xf numFmtId="165" fontId="13" fillId="7" borderId="4" xfId="1" applyNumberFormat="1" applyFont="1" applyFill="1" applyBorder="1" applyAlignment="1">
      <alignment horizontal="center" vertical="center"/>
    </xf>
    <xf numFmtId="165" fontId="12" fillId="7" borderId="4" xfId="1" applyNumberFormat="1" applyFont="1" applyFill="1" applyBorder="1" applyAlignment="1">
      <alignment vertical="center" wrapText="1"/>
    </xf>
    <xf numFmtId="3" fontId="14" fillId="7" borderId="4" xfId="0" applyNumberFormat="1" applyFont="1" applyFill="1" applyBorder="1" applyAlignment="1">
      <alignment vertical="center" wrapText="1"/>
    </xf>
    <xf numFmtId="1" fontId="6" fillId="7" borderId="4" xfId="0" applyNumberFormat="1" applyFont="1" applyFill="1" applyBorder="1" applyAlignment="1">
      <alignment horizontal="center" vertical="center" wrapText="1"/>
    </xf>
    <xf numFmtId="14" fontId="6" fillId="7" borderId="4" xfId="0" applyNumberFormat="1" applyFont="1" applyFill="1" applyBorder="1" applyAlignment="1">
      <alignment horizontal="center" vertical="center" wrapText="1"/>
    </xf>
    <xf numFmtId="3" fontId="12" fillId="7" borderId="4" xfId="0" applyNumberFormat="1" applyFont="1" applyFill="1" applyBorder="1" applyAlignment="1">
      <alignment vertical="center" wrapText="1"/>
    </xf>
    <xf numFmtId="3" fontId="6" fillId="7" borderId="4" xfId="0" applyNumberFormat="1" applyFont="1" applyFill="1" applyBorder="1" applyAlignment="1">
      <alignment horizontal="center" vertical="center" wrapText="1"/>
    </xf>
    <xf numFmtId="14" fontId="6" fillId="7" borderId="4" xfId="0" applyNumberFormat="1" applyFont="1" applyFill="1" applyBorder="1" applyAlignment="1">
      <alignment horizontal="left" vertical="center" wrapText="1"/>
    </xf>
    <xf numFmtId="3" fontId="7" fillId="7" borderId="4" xfId="0" applyNumberFormat="1" applyFont="1" applyFill="1" applyBorder="1" applyAlignment="1">
      <alignment vertical="center"/>
    </xf>
    <xf numFmtId="3" fontId="14" fillId="7" borderId="4" xfId="0" applyNumberFormat="1" applyFont="1" applyFill="1" applyBorder="1" applyAlignment="1">
      <alignment horizontal="right" vertical="center"/>
    </xf>
    <xf numFmtId="0" fontId="6" fillId="7" borderId="0" xfId="0" applyFont="1" applyFill="1" applyAlignment="1">
      <alignment vertical="center" wrapText="1"/>
    </xf>
    <xf numFmtId="0" fontId="12" fillId="7" borderId="4" xfId="0" applyFont="1" applyFill="1" applyBorder="1" applyAlignment="1">
      <alignment horizontal="left" vertical="center" wrapText="1"/>
    </xf>
    <xf numFmtId="3" fontId="6" fillId="7" borderId="0" xfId="0" applyNumberFormat="1" applyFont="1" applyFill="1" applyAlignment="1">
      <alignment vertical="center" wrapText="1"/>
    </xf>
    <xf numFmtId="0" fontId="12" fillId="0" borderId="4" xfId="0" applyFont="1" applyFill="1" applyBorder="1" applyAlignment="1">
      <alignment horizontal="center" vertical="center"/>
    </xf>
    <xf numFmtId="3" fontId="14" fillId="0" borderId="4" xfId="0" applyNumberFormat="1" applyFont="1" applyFill="1" applyBorder="1" applyAlignment="1">
      <alignment horizontal="right" vertical="center"/>
    </xf>
    <xf numFmtId="165" fontId="12" fillId="7" borderId="4" xfId="1" applyNumberFormat="1" applyFont="1" applyFill="1" applyBorder="1" applyAlignment="1">
      <alignment horizontal="center" vertical="center" wrapText="1"/>
    </xf>
    <xf numFmtId="164" fontId="6" fillId="7" borderId="4" xfId="2" applyFont="1" applyFill="1" applyBorder="1" applyAlignment="1">
      <alignment horizontal="left" vertical="center" wrapText="1"/>
    </xf>
    <xf numFmtId="0" fontId="6" fillId="7" borderId="4" xfId="1" applyNumberFormat="1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left" vertical="center" wrapText="1"/>
    </xf>
    <xf numFmtId="0" fontId="13" fillId="7" borderId="4" xfId="0" applyFont="1" applyFill="1" applyBorder="1" applyAlignment="1">
      <alignment vertical="center" wrapText="1"/>
    </xf>
    <xf numFmtId="49" fontId="13" fillId="7" borderId="4" xfId="0" applyNumberFormat="1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3" fillId="0" borderId="4" xfId="0" applyFont="1" applyFill="1" applyBorder="1" applyAlignment="1">
      <alignment vertical="center" wrapText="1"/>
    </xf>
    <xf numFmtId="49" fontId="13" fillId="0" borderId="4" xfId="0" applyNumberFormat="1" applyFont="1" applyFill="1" applyBorder="1" applyAlignment="1">
      <alignment horizontal="center" vertical="center"/>
    </xf>
    <xf numFmtId="3" fontId="12" fillId="0" borderId="4" xfId="0" applyNumberFormat="1" applyFont="1" applyBorder="1" applyAlignment="1">
      <alignment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/>
    </xf>
    <xf numFmtId="167" fontId="15" fillId="2" borderId="4" xfId="7" applyNumberFormat="1" applyFont="1" applyFill="1" applyBorder="1" applyAlignment="1">
      <alignment vertical="center"/>
    </xf>
    <xf numFmtId="3" fontId="15" fillId="2" borderId="4" xfId="3" applyNumberFormat="1" applyFont="1" applyBorder="1" applyAlignment="1">
      <alignment vertical="center"/>
    </xf>
    <xf numFmtId="1" fontId="6" fillId="0" borderId="0" xfId="0" applyNumberFormat="1" applyFont="1" applyAlignment="1">
      <alignment wrapText="1"/>
    </xf>
    <xf numFmtId="0" fontId="6" fillId="7" borderId="0" xfId="0" applyFont="1" applyFill="1" applyAlignment="1">
      <alignment horizontal="left" vertical="top" wrapText="1"/>
    </xf>
    <xf numFmtId="3" fontId="6" fillId="7" borderId="0" xfId="0" applyNumberFormat="1" applyFont="1" applyFill="1" applyAlignment="1">
      <alignment horizontal="left" vertical="top" wrapText="1"/>
    </xf>
    <xf numFmtId="1" fontId="6" fillId="7" borderId="0" xfId="0" applyNumberFormat="1" applyFont="1" applyFill="1" applyAlignment="1">
      <alignment horizontal="left" vertical="top" wrapText="1"/>
    </xf>
    <xf numFmtId="0" fontId="5" fillId="7" borderId="0" xfId="0" applyFont="1" applyFill="1" applyAlignment="1">
      <alignment vertical="center" wrapText="1"/>
    </xf>
    <xf numFmtId="0" fontId="5" fillId="7" borderId="0" xfId="0" applyFont="1" applyFill="1" applyAlignment="1">
      <alignment horizontal="center" vertical="center" wrapText="1"/>
    </xf>
    <xf numFmtId="3" fontId="8" fillId="7" borderId="4" xfId="0" applyNumberFormat="1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7" borderId="0" xfId="0" applyFont="1" applyFill="1" applyAlignment="1">
      <alignment wrapText="1"/>
    </xf>
    <xf numFmtId="0" fontId="8" fillId="7" borderId="0" xfId="0" applyFont="1" applyFill="1" applyAlignment="1">
      <alignment horizont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left" vertical="center" wrapText="1"/>
    </xf>
    <xf numFmtId="1" fontId="6" fillId="7" borderId="0" xfId="0" applyNumberFormat="1" applyFont="1" applyFill="1" applyAlignment="1">
      <alignment wrapText="1"/>
    </xf>
    <xf numFmtId="167" fontId="0" fillId="7" borderId="0" xfId="0" applyNumberFormat="1" applyFill="1"/>
    <xf numFmtId="164" fontId="0" fillId="7" borderId="0" xfId="0" applyNumberFormat="1" applyFill="1"/>
    <xf numFmtId="165" fontId="0" fillId="7" borderId="0" xfId="1" applyNumberFormat="1" applyFont="1" applyFill="1"/>
    <xf numFmtId="3" fontId="0" fillId="7" borderId="0" xfId="0" applyNumberFormat="1" applyFill="1"/>
    <xf numFmtId="0" fontId="15" fillId="2" borderId="7" xfId="3" applyFont="1" applyBorder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wrapText="1"/>
    </xf>
    <xf numFmtId="3" fontId="6" fillId="0" borderId="0" xfId="0" applyNumberFormat="1" applyFont="1" applyAlignment="1">
      <alignment wrapText="1"/>
    </xf>
    <xf numFmtId="0" fontId="7" fillId="7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7" fillId="6" borderId="4" xfId="0" applyFont="1" applyFill="1" applyBorder="1" applyAlignment="1">
      <alignment horizontal="center" vertical="center"/>
    </xf>
    <xf numFmtId="0" fontId="1" fillId="4" borderId="4" xfId="5" applyBorder="1" applyAlignment="1">
      <alignment horizontal="center" vertical="center" wrapText="1"/>
    </xf>
    <xf numFmtId="0" fontId="0" fillId="4" borderId="4" xfId="5" applyFont="1" applyBorder="1" applyAlignment="1">
      <alignment horizontal="center" vertical="center" wrapText="1"/>
    </xf>
    <xf numFmtId="0" fontId="4" fillId="4" borderId="5" xfId="5" applyFont="1" applyBorder="1" applyAlignment="1">
      <alignment horizontal="center" vertical="center" wrapText="1"/>
    </xf>
    <xf numFmtId="1" fontId="7" fillId="8" borderId="4" xfId="0" applyNumberFormat="1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3" fontId="7" fillId="9" borderId="4" xfId="0" applyNumberFormat="1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center" vertical="center" wrapText="1"/>
    </xf>
    <xf numFmtId="0" fontId="10" fillId="9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11" fillId="7" borderId="4" xfId="0" applyFont="1" applyFill="1" applyBorder="1" applyAlignment="1">
      <alignment horizontal="center" vertical="center"/>
    </xf>
    <xf numFmtId="1" fontId="12" fillId="7" borderId="4" xfId="8" applyNumberFormat="1" applyFont="1" applyFill="1" applyBorder="1" applyAlignment="1">
      <alignment horizontal="center" vertical="center"/>
    </xf>
    <xf numFmtId="168" fontId="12" fillId="7" borderId="4" xfId="8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center" vertical="center" wrapText="1"/>
    </xf>
    <xf numFmtId="14" fontId="6" fillId="7" borderId="5" xfId="0" applyNumberFormat="1" applyFont="1" applyFill="1" applyBorder="1" applyAlignment="1">
      <alignment horizontal="left" vertical="center" wrapText="1"/>
    </xf>
    <xf numFmtId="1" fontId="18" fillId="7" borderId="4" xfId="8" applyNumberFormat="1" applyFont="1" applyFill="1" applyBorder="1" applyAlignment="1">
      <alignment horizontal="center" vertical="center" wrapText="1"/>
    </xf>
    <xf numFmtId="168" fontId="18" fillId="7" borderId="4" xfId="8" applyFont="1" applyFill="1" applyBorder="1" applyAlignment="1">
      <alignment horizontal="left" vertical="center" wrapText="1"/>
    </xf>
    <xf numFmtId="169" fontId="18" fillId="7" borderId="4" xfId="8" applyNumberFormat="1" applyFont="1" applyFill="1" applyBorder="1" applyAlignment="1">
      <alignment horizontal="center" vertical="center" wrapText="1"/>
    </xf>
    <xf numFmtId="3" fontId="12" fillId="11" borderId="4" xfId="0" applyNumberFormat="1" applyFont="1" applyFill="1" applyBorder="1" applyAlignment="1">
      <alignment vertical="center" wrapText="1"/>
    </xf>
    <xf numFmtId="1" fontId="18" fillId="7" borderId="4" xfId="8" applyNumberFormat="1" applyFont="1" applyFill="1" applyBorder="1" applyAlignment="1">
      <alignment horizontal="center" vertical="center"/>
    </xf>
    <xf numFmtId="169" fontId="18" fillId="7" borderId="4" xfId="8" applyNumberFormat="1" applyFont="1" applyFill="1" applyBorder="1" applyAlignment="1">
      <alignment horizontal="center" vertical="center"/>
    </xf>
    <xf numFmtId="168" fontId="18" fillId="7" borderId="4" xfId="8" applyFont="1" applyFill="1" applyBorder="1" applyAlignment="1">
      <alignment horizontal="left" vertical="center"/>
    </xf>
    <xf numFmtId="168" fontId="18" fillId="7" borderId="4" xfId="8" applyFont="1" applyFill="1" applyBorder="1" applyAlignment="1">
      <alignment horizontal="left" wrapText="1"/>
    </xf>
    <xf numFmtId="168" fontId="19" fillId="7" borderId="4" xfId="8" applyFont="1" applyFill="1" applyBorder="1" applyAlignment="1">
      <alignment horizontal="left" vertical="center"/>
    </xf>
    <xf numFmtId="0" fontId="18" fillId="7" borderId="4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vertical="center" wrapText="1"/>
    </xf>
    <xf numFmtId="0" fontId="12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 wrapText="1"/>
    </xf>
    <xf numFmtId="14" fontId="6" fillId="0" borderId="4" xfId="0" applyNumberFormat="1" applyFont="1" applyBorder="1" applyAlignment="1">
      <alignment horizontal="left" vertical="center" wrapText="1"/>
    </xf>
    <xf numFmtId="3" fontId="14" fillId="0" borderId="4" xfId="0" applyNumberFormat="1" applyFont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0" fontId="15" fillId="2" borderId="4" xfId="3" applyFont="1" applyBorder="1" applyAlignment="1">
      <alignment horizontal="center" wrapText="1"/>
    </xf>
    <xf numFmtId="3" fontId="5" fillId="7" borderId="0" xfId="0" applyNumberFormat="1" applyFont="1" applyFill="1" applyAlignment="1">
      <alignment horizontal="center" vertical="center" wrapText="1"/>
    </xf>
    <xf numFmtId="0" fontId="6" fillId="7" borderId="0" xfId="0" applyFont="1" applyFill="1" applyAlignment="1">
      <alignment wrapText="1"/>
    </xf>
    <xf numFmtId="3" fontId="6" fillId="7" borderId="0" xfId="0" applyNumberFormat="1" applyFont="1" applyFill="1" applyAlignment="1">
      <alignment wrapText="1"/>
    </xf>
    <xf numFmtId="0" fontId="6" fillId="7" borderId="0" xfId="0" applyFont="1" applyFill="1" applyAlignment="1">
      <alignment horizontal="center" wrapText="1"/>
    </xf>
    <xf numFmtId="0" fontId="8" fillId="7" borderId="0" xfId="0" applyFont="1" applyFill="1" applyAlignment="1">
      <alignment horizontal="center" vertical="center" wrapText="1"/>
    </xf>
    <xf numFmtId="3" fontId="6" fillId="7" borderId="0" xfId="0" applyNumberFormat="1" applyFont="1" applyFill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1" fontId="6" fillId="7" borderId="0" xfId="0" applyNumberFormat="1" applyFont="1" applyFill="1" applyAlignment="1">
      <alignment horizontal="center" vertical="center" wrapText="1"/>
    </xf>
    <xf numFmtId="0" fontId="4" fillId="4" borderId="4" xfId="5" applyFont="1" applyBorder="1" applyAlignment="1">
      <alignment horizontal="center" vertical="center" wrapText="1"/>
    </xf>
    <xf numFmtId="14" fontId="6" fillId="7" borderId="4" xfId="0" applyNumberFormat="1" applyFont="1" applyFill="1" applyBorder="1" applyAlignment="1">
      <alignment horizontal="right" vertical="center" wrapText="1"/>
    </xf>
    <xf numFmtId="3" fontId="9" fillId="7" borderId="4" xfId="0" applyNumberFormat="1" applyFont="1" applyFill="1" applyBorder="1" applyAlignment="1">
      <alignment vertical="center" wrapText="1"/>
    </xf>
    <xf numFmtId="3" fontId="14" fillId="11" borderId="4" xfId="0" applyNumberFormat="1" applyFont="1" applyFill="1" applyBorder="1" applyAlignment="1">
      <alignment vertical="center" wrapText="1"/>
    </xf>
    <xf numFmtId="168" fontId="20" fillId="7" borderId="4" xfId="8" applyFont="1" applyFill="1" applyBorder="1" applyAlignment="1">
      <alignment horizontal="left" vertical="center"/>
    </xf>
    <xf numFmtId="3" fontId="14" fillId="0" borderId="4" xfId="0" applyNumberFormat="1" applyFont="1" applyBorder="1" applyAlignment="1">
      <alignment vertical="center" wrapText="1"/>
    </xf>
    <xf numFmtId="14" fontId="6" fillId="0" borderId="4" xfId="0" applyNumberFormat="1" applyFont="1" applyBorder="1" applyAlignment="1">
      <alignment horizontal="center" vertical="center" wrapText="1"/>
    </xf>
    <xf numFmtId="3" fontId="7" fillId="0" borderId="4" xfId="0" applyNumberFormat="1" applyFont="1" applyBorder="1" applyAlignment="1">
      <alignment vertical="center"/>
    </xf>
    <xf numFmtId="0" fontId="11" fillId="7" borderId="0" xfId="0" applyFont="1" applyFill="1" applyBorder="1" applyAlignment="1">
      <alignment horizontal="center" vertical="center"/>
    </xf>
    <xf numFmtId="3" fontId="12" fillId="7" borderId="0" xfId="0" applyNumberFormat="1" applyFont="1" applyFill="1" applyBorder="1" applyAlignment="1">
      <alignment vertical="center" wrapText="1"/>
    </xf>
    <xf numFmtId="0" fontId="6" fillId="7" borderId="0" xfId="0" applyFont="1" applyFill="1" applyBorder="1" applyAlignment="1">
      <alignment horizontal="center" wrapText="1"/>
    </xf>
    <xf numFmtId="0" fontId="6" fillId="7" borderId="0" xfId="0" applyFont="1" applyFill="1" applyBorder="1" applyAlignment="1">
      <alignment wrapText="1"/>
    </xf>
    <xf numFmtId="164" fontId="6" fillId="7" borderId="0" xfId="0" applyNumberFormat="1" applyFont="1" applyFill="1" applyAlignment="1">
      <alignment wrapText="1"/>
    </xf>
    <xf numFmtId="0" fontId="14" fillId="7" borderId="0" xfId="0" applyFont="1" applyFill="1" applyAlignment="1" applyProtection="1">
      <alignment horizontal="center" vertical="center" wrapText="1"/>
      <protection locked="0"/>
    </xf>
    <xf numFmtId="0" fontId="6" fillId="7" borderId="0" xfId="0" applyFont="1" applyFill="1" applyAlignment="1" applyProtection="1">
      <alignment horizontal="center" vertical="center" wrapText="1"/>
      <protection locked="0"/>
    </xf>
    <xf numFmtId="3" fontId="6" fillId="7" borderId="0" xfId="0" applyNumberFormat="1" applyFont="1" applyFill="1" applyAlignment="1" applyProtection="1">
      <alignment horizontal="center" vertical="center" wrapText="1"/>
      <protection locked="0"/>
    </xf>
    <xf numFmtId="1" fontId="6" fillId="7" borderId="0" xfId="0" applyNumberFormat="1" applyFont="1" applyFill="1" applyAlignment="1" applyProtection="1">
      <alignment horizontal="center" vertical="center" wrapText="1"/>
      <protection locked="0"/>
    </xf>
    <xf numFmtId="0" fontId="6" fillId="7" borderId="0" xfId="0" applyFont="1" applyFill="1" applyAlignment="1" applyProtection="1">
      <alignment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3" fontId="6" fillId="7" borderId="0" xfId="0" applyNumberFormat="1" applyFont="1" applyFill="1" applyAlignment="1" applyProtection="1">
      <alignment horizontal="left" vertical="top" wrapText="1"/>
      <protection locked="0"/>
    </xf>
    <xf numFmtId="1" fontId="6" fillId="7" borderId="0" xfId="0" applyNumberFormat="1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center" vertical="center" wrapText="1"/>
      <protection locked="0"/>
    </xf>
    <xf numFmtId="3" fontId="6" fillId="7" borderId="0" xfId="0" applyNumberFormat="1" applyFont="1" applyFill="1" applyAlignment="1" applyProtection="1">
      <alignment wrapText="1"/>
      <protection locked="0"/>
    </xf>
    <xf numFmtId="1" fontId="6" fillId="7" borderId="0" xfId="0" applyNumberFormat="1" applyFont="1" applyFill="1" applyAlignment="1" applyProtection="1">
      <alignment wrapText="1"/>
      <protection locked="0"/>
    </xf>
    <xf numFmtId="0" fontId="7" fillId="7" borderId="0" xfId="0" applyFont="1" applyFill="1" applyBorder="1" applyAlignment="1" applyProtection="1">
      <alignment horizontal="center" vertical="center" wrapText="1"/>
      <protection locked="0"/>
    </xf>
    <xf numFmtId="0" fontId="8" fillId="7" borderId="0" xfId="0" applyFont="1" applyFill="1" applyBorder="1" applyAlignment="1" applyProtection="1">
      <alignment horizontal="center" vertical="center" wrapText="1"/>
      <protection locked="0"/>
    </xf>
    <xf numFmtId="3" fontId="5" fillId="7" borderId="0" xfId="0" applyNumberFormat="1" applyFont="1" applyFill="1" applyAlignment="1" applyProtection="1">
      <alignment horizontal="center" vertic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0" fontId="8" fillId="7" borderId="0" xfId="0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 wrapText="1"/>
    </xf>
    <xf numFmtId="0" fontId="1" fillId="6" borderId="8" xfId="5" applyFill="1" applyBorder="1" applyAlignment="1">
      <alignment horizontal="center" vertical="center" wrapText="1"/>
    </xf>
    <xf numFmtId="0" fontId="6" fillId="7" borderId="0" xfId="0" applyFont="1" applyFill="1" applyAlignment="1" applyProtection="1">
      <alignment vertical="center" wrapText="1"/>
      <protection locked="0"/>
    </xf>
    <xf numFmtId="0" fontId="11" fillId="7" borderId="9" xfId="0" applyFont="1" applyFill="1" applyBorder="1" applyAlignment="1" applyProtection="1">
      <alignment horizontal="center" vertical="center"/>
      <protection locked="0"/>
    </xf>
    <xf numFmtId="0" fontId="12" fillId="7" borderId="4" xfId="0" applyFont="1" applyFill="1" applyBorder="1" applyAlignment="1" applyProtection="1">
      <alignment horizontal="center" vertical="center"/>
      <protection locked="0"/>
    </xf>
    <xf numFmtId="0" fontId="13" fillId="7" borderId="4" xfId="0" applyFont="1" applyFill="1" applyBorder="1" applyAlignment="1" applyProtection="1">
      <alignment vertical="center" wrapText="1"/>
      <protection locked="0"/>
    </xf>
    <xf numFmtId="0" fontId="6" fillId="7" borderId="4" xfId="0" applyFont="1" applyFill="1" applyBorder="1" applyAlignment="1" applyProtection="1">
      <alignment horizontal="left" vertical="center" wrapText="1"/>
      <protection locked="0"/>
    </xf>
    <xf numFmtId="49" fontId="13" fillId="7" borderId="4" xfId="0" applyNumberFormat="1" applyFont="1" applyFill="1" applyBorder="1" applyAlignment="1" applyProtection="1">
      <alignment horizontal="center" vertical="center"/>
      <protection locked="0"/>
    </xf>
    <xf numFmtId="164" fontId="13" fillId="7" borderId="4" xfId="2" applyFont="1" applyFill="1" applyBorder="1" applyAlignment="1" applyProtection="1">
      <alignment horizontal="center" vertical="center"/>
      <protection locked="0"/>
    </xf>
    <xf numFmtId="3" fontId="12" fillId="7" borderId="4" xfId="0" applyNumberFormat="1" applyFont="1" applyFill="1" applyBorder="1" applyAlignment="1" applyProtection="1">
      <alignment vertical="center" wrapText="1"/>
      <protection locked="0"/>
    </xf>
    <xf numFmtId="3" fontId="14" fillId="7" borderId="4" xfId="0" applyNumberFormat="1" applyFont="1" applyFill="1" applyBorder="1" applyAlignment="1" applyProtection="1">
      <alignment vertical="center" wrapText="1"/>
      <protection locked="0"/>
    </xf>
    <xf numFmtId="1" fontId="6" fillId="7" borderId="4" xfId="0" applyNumberFormat="1" applyFont="1" applyFill="1" applyBorder="1" applyAlignment="1" applyProtection="1">
      <alignment horizontal="center" vertical="center" wrapText="1"/>
      <protection locked="0"/>
    </xf>
    <xf numFmtId="14" fontId="6" fillId="7" borderId="4" xfId="0" applyNumberFormat="1" applyFont="1" applyFill="1" applyBorder="1" applyAlignment="1" applyProtection="1">
      <alignment horizontal="center" vertical="center" wrapText="1"/>
      <protection locked="0"/>
    </xf>
    <xf numFmtId="14" fontId="6" fillId="7" borderId="4" xfId="0" applyNumberFormat="1" applyFont="1" applyFill="1" applyBorder="1" applyAlignment="1" applyProtection="1">
      <alignment horizontal="left" vertical="center" wrapText="1"/>
      <protection locked="0"/>
    </xf>
    <xf numFmtId="3" fontId="6" fillId="7" borderId="4" xfId="0" applyNumberFormat="1" applyFont="1" applyFill="1" applyBorder="1" applyAlignment="1" applyProtection="1">
      <alignment horizontal="center" vertical="center" wrapText="1"/>
      <protection locked="0"/>
    </xf>
    <xf numFmtId="0" fontId="6" fillId="7" borderId="4" xfId="0" applyFont="1" applyFill="1" applyBorder="1" applyAlignment="1" applyProtection="1">
      <alignment horizontal="center" vertical="center" wrapText="1"/>
      <protection locked="0"/>
    </xf>
    <xf numFmtId="3" fontId="7" fillId="7" borderId="4" xfId="0" applyNumberFormat="1" applyFont="1" applyFill="1" applyBorder="1" applyAlignment="1" applyProtection="1">
      <alignment vertical="center"/>
      <protection locked="0"/>
    </xf>
    <xf numFmtId="3" fontId="14" fillId="7" borderId="4" xfId="0" applyNumberFormat="1" applyFont="1" applyFill="1" applyBorder="1" applyAlignment="1" applyProtection="1">
      <alignment horizontal="right" vertical="center"/>
      <protection locked="0"/>
    </xf>
    <xf numFmtId="3" fontId="9" fillId="7" borderId="0" xfId="0" applyNumberFormat="1" applyFont="1" applyFill="1" applyBorder="1" applyAlignment="1" applyProtection="1">
      <alignment vertical="center" wrapText="1"/>
      <protection locked="0"/>
    </xf>
    <xf numFmtId="0" fontId="6" fillId="7" borderId="10" xfId="0" applyFont="1" applyFill="1" applyBorder="1" applyAlignment="1" applyProtection="1">
      <alignment horizontal="left" vertical="center" wrapText="1"/>
      <protection locked="0"/>
    </xf>
    <xf numFmtId="0" fontId="11" fillId="7" borderId="9" xfId="0" quotePrefix="1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Alignment="1" applyProtection="1">
      <alignment horizontal="center" wrapText="1"/>
      <protection locked="0"/>
    </xf>
    <xf numFmtId="0" fontId="6" fillId="7" borderId="0" xfId="0" applyFont="1" applyFill="1" applyBorder="1" applyAlignment="1" applyProtection="1">
      <alignment horizontal="center" wrapText="1"/>
      <protection locked="0"/>
    </xf>
    <xf numFmtId="164" fontId="6" fillId="7" borderId="0" xfId="2" applyFont="1" applyFill="1" applyAlignment="1" applyProtection="1">
      <alignment wrapText="1"/>
      <protection locked="0"/>
    </xf>
    <xf numFmtId="164" fontId="6" fillId="7" borderId="0" xfId="2" applyNumberFormat="1" applyFont="1" applyFill="1" applyAlignment="1" applyProtection="1">
      <alignment wrapText="1"/>
      <protection locked="0"/>
    </xf>
    <xf numFmtId="0" fontId="24" fillId="7" borderId="0" xfId="0" applyFont="1" applyFill="1" applyAlignment="1" applyProtection="1">
      <alignment horizontal="left" vertical="top" wrapText="1"/>
      <protection locked="0"/>
    </xf>
    <xf numFmtId="3" fontId="24" fillId="7" borderId="0" xfId="0" applyNumberFormat="1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wrapText="1"/>
      <protection locked="0"/>
    </xf>
    <xf numFmtId="3" fontId="6" fillId="7" borderId="0" xfId="0" applyNumberFormat="1" applyFont="1" applyFill="1" applyAlignment="1" applyProtection="1">
      <alignment horizontal="left" wrapText="1"/>
      <protection locked="0"/>
    </xf>
    <xf numFmtId="1" fontId="6" fillId="7" borderId="0" xfId="0" applyNumberFormat="1" applyFont="1" applyFill="1" applyAlignment="1" applyProtection="1">
      <alignment horizontal="left" wrapText="1"/>
      <protection locked="0"/>
    </xf>
    <xf numFmtId="164" fontId="6" fillId="7" borderId="0" xfId="0" applyNumberFormat="1" applyFont="1" applyFill="1" applyAlignment="1" applyProtection="1">
      <alignment wrapText="1"/>
      <protection locked="0"/>
    </xf>
    <xf numFmtId="165" fontId="6" fillId="7" borderId="0" xfId="1" applyNumberFormat="1" applyFont="1" applyFill="1" applyAlignment="1" applyProtection="1">
      <alignment wrapText="1"/>
      <protection locked="0"/>
    </xf>
    <xf numFmtId="3" fontId="2" fillId="2" borderId="1" xfId="3" applyNumberFormat="1" applyBorder="1" applyAlignment="1">
      <alignment vertical="center"/>
    </xf>
    <xf numFmtId="170" fontId="6" fillId="0" borderId="0" xfId="0" applyNumberFormat="1" applyFont="1" applyAlignment="1">
      <alignment horizontal="right" vertical="center" wrapText="1"/>
    </xf>
    <xf numFmtId="170" fontId="6" fillId="0" borderId="0" xfId="0" applyNumberFormat="1" applyFont="1" applyAlignment="1">
      <alignment horizontal="right" vertical="top" wrapText="1"/>
    </xf>
    <xf numFmtId="170" fontId="6" fillId="0" borderId="0" xfId="0" applyNumberFormat="1" applyFont="1" applyAlignment="1">
      <alignment horizontal="right" wrapText="1"/>
    </xf>
    <xf numFmtId="0" fontId="1" fillId="4" borderId="8" xfId="5" applyFont="1" applyBorder="1" applyAlignment="1">
      <alignment horizontal="center" vertical="center" wrapText="1"/>
    </xf>
    <xf numFmtId="170" fontId="7" fillId="9" borderId="8" xfId="0" applyNumberFormat="1" applyFont="1" applyFill="1" applyBorder="1" applyAlignment="1">
      <alignment horizontal="center" vertical="center" wrapText="1"/>
    </xf>
    <xf numFmtId="3" fontId="12" fillId="0" borderId="4" xfId="0" applyNumberFormat="1" applyFont="1" applyFill="1" applyBorder="1" applyAlignment="1">
      <alignment vertical="center" wrapText="1"/>
    </xf>
    <xf numFmtId="14" fontId="6" fillId="0" borderId="4" xfId="0" applyNumberFormat="1" applyFont="1" applyFill="1" applyBorder="1" applyAlignment="1">
      <alignment horizontal="center" vertical="center" wrapText="1"/>
    </xf>
    <xf numFmtId="14" fontId="6" fillId="0" borderId="4" xfId="0" applyNumberFormat="1" applyFont="1" applyFill="1" applyBorder="1" applyAlignment="1">
      <alignment horizontal="left" vertical="center" wrapText="1"/>
    </xf>
    <xf numFmtId="1" fontId="6" fillId="0" borderId="4" xfId="0" applyNumberFormat="1" applyFont="1" applyFill="1" applyBorder="1" applyAlignment="1">
      <alignment horizontal="center" vertical="center" wrapText="1"/>
    </xf>
    <xf numFmtId="3" fontId="6" fillId="0" borderId="4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wrapText="1"/>
    </xf>
    <xf numFmtId="3" fontId="6" fillId="0" borderId="0" xfId="0" applyNumberFormat="1" applyFont="1" applyAlignment="1">
      <alignment horizontal="left" wrapText="1"/>
    </xf>
    <xf numFmtId="0" fontId="6" fillId="0" borderId="0" xfId="0" applyFont="1" applyAlignment="1">
      <alignment horizontal="left" wrapText="1"/>
    </xf>
    <xf numFmtId="1" fontId="6" fillId="0" borderId="0" xfId="0" applyNumberFormat="1" applyFont="1" applyAlignment="1">
      <alignment horizontal="left" wrapText="1"/>
    </xf>
    <xf numFmtId="170" fontId="6" fillId="7" borderId="0" xfId="0" applyNumberFormat="1" applyFont="1" applyFill="1" applyAlignment="1">
      <alignment horizontal="right" wrapText="1"/>
    </xf>
    <xf numFmtId="3" fontId="6" fillId="7" borderId="0" xfId="0" applyNumberFormat="1" applyFont="1" applyFill="1" applyAlignment="1">
      <alignment horizontal="left" wrapText="1"/>
    </xf>
    <xf numFmtId="0" fontId="6" fillId="7" borderId="0" xfId="0" applyFont="1" applyFill="1" applyAlignment="1">
      <alignment horizontal="left" wrapText="1"/>
    </xf>
    <xf numFmtId="1" fontId="6" fillId="7" borderId="0" xfId="0" applyNumberFormat="1" applyFont="1" applyFill="1" applyAlignment="1">
      <alignment horizontal="left" wrapText="1"/>
    </xf>
    <xf numFmtId="171" fontId="6" fillId="7" borderId="0" xfId="1" applyNumberFormat="1" applyFont="1" applyFill="1" applyAlignment="1">
      <alignment wrapText="1"/>
    </xf>
    <xf numFmtId="171" fontId="6" fillId="7" borderId="0" xfId="0" applyNumberFormat="1" applyFont="1" applyFill="1" applyAlignment="1">
      <alignment wrapText="1"/>
    </xf>
    <xf numFmtId="3" fontId="6" fillId="7" borderId="4" xfId="0" applyNumberFormat="1" applyFont="1" applyFill="1" applyBorder="1" applyAlignment="1">
      <alignment vertical="center" wrapText="1"/>
    </xf>
    <xf numFmtId="170" fontId="12" fillId="7" borderId="4" xfId="0" applyNumberFormat="1" applyFont="1" applyFill="1" applyBorder="1" applyAlignment="1">
      <alignment horizontal="right" vertical="center" wrapText="1"/>
    </xf>
    <xf numFmtId="3" fontId="13" fillId="7" borderId="4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center"/>
    </xf>
    <xf numFmtId="170" fontId="6" fillId="7" borderId="0" xfId="0" applyNumberFormat="1" applyFont="1" applyFill="1" applyAlignment="1">
      <alignment horizontal="right" vertical="top" wrapText="1"/>
    </xf>
    <xf numFmtId="3" fontId="7" fillId="6" borderId="8" xfId="0" applyNumberFormat="1" applyFont="1" applyFill="1" applyBorder="1" applyAlignment="1">
      <alignment horizontal="center" vertical="center" wrapText="1"/>
    </xf>
    <xf numFmtId="0" fontId="0" fillId="4" borderId="2" xfId="5" applyFont="1" applyBorder="1" applyAlignment="1">
      <alignment horizontal="center" vertical="center" wrapText="1"/>
    </xf>
    <xf numFmtId="3" fontId="14" fillId="0" borderId="4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28" fillId="7" borderId="4" xfId="0" applyFont="1" applyFill="1" applyBorder="1" applyAlignment="1">
      <alignment horizontal="left" vertical="top" wrapText="1"/>
    </xf>
    <xf numFmtId="3" fontId="15" fillId="2" borderId="7" xfId="3" applyNumberFormat="1" applyFont="1" applyBorder="1" applyAlignment="1">
      <alignment horizontal="center" wrapText="1"/>
    </xf>
    <xf numFmtId="172" fontId="25" fillId="7" borderId="4" xfId="0" applyNumberFormat="1" applyFont="1" applyFill="1" applyBorder="1" applyAlignment="1" applyProtection="1">
      <alignment horizontal="right" vertical="center" wrapText="1"/>
    </xf>
    <xf numFmtId="49" fontId="6" fillId="7" borderId="4" xfId="0" applyNumberFormat="1" applyFont="1" applyFill="1" applyBorder="1" applyAlignment="1">
      <alignment horizontal="center" vertical="center" wrapText="1"/>
    </xf>
    <xf numFmtId="3" fontId="9" fillId="7" borderId="0" xfId="0" applyNumberFormat="1" applyFont="1" applyFill="1" applyAlignment="1">
      <alignment vertical="center" wrapText="1"/>
    </xf>
    <xf numFmtId="0" fontId="6" fillId="7" borderId="4" xfId="0" applyFont="1" applyFill="1" applyBorder="1" applyAlignment="1">
      <alignment vertical="center" wrapText="1"/>
    </xf>
    <xf numFmtId="3" fontId="26" fillId="7" borderId="4" xfId="0" applyNumberFormat="1" applyFont="1" applyFill="1" applyBorder="1" applyAlignment="1">
      <alignment horizontal="center" vertical="center"/>
    </xf>
    <xf numFmtId="0" fontId="13" fillId="7" borderId="4" xfId="9" applyFont="1" applyFill="1" applyBorder="1" applyAlignment="1">
      <alignment wrapText="1"/>
    </xf>
    <xf numFmtId="3" fontId="29" fillId="7" borderId="4" xfId="9" applyNumberFormat="1" applyFont="1" applyFill="1" applyBorder="1"/>
    <xf numFmtId="170" fontId="6" fillId="7" borderId="0" xfId="0" applyNumberFormat="1" applyFont="1" applyFill="1" applyAlignment="1">
      <alignment horizontal="center" vertical="center" wrapText="1"/>
    </xf>
    <xf numFmtId="3" fontId="6" fillId="7" borderId="0" xfId="0" applyNumberFormat="1" applyFont="1" applyFill="1" applyAlignment="1">
      <alignment horizontal="center" vertical="top" wrapText="1"/>
    </xf>
    <xf numFmtId="170" fontId="6" fillId="7" borderId="0" xfId="0" applyNumberFormat="1" applyFont="1" applyFill="1" applyAlignment="1">
      <alignment horizontal="left" vertical="top" wrapText="1"/>
    </xf>
    <xf numFmtId="170" fontId="6" fillId="7" borderId="0" xfId="0" applyNumberFormat="1" applyFont="1" applyFill="1" applyAlignment="1">
      <alignment horizontal="center" vertical="top" wrapText="1"/>
    </xf>
    <xf numFmtId="0" fontId="6" fillId="7" borderId="0" xfId="0" applyFont="1" applyFill="1" applyAlignment="1">
      <alignment horizontal="center" vertical="top" wrapText="1"/>
    </xf>
    <xf numFmtId="1" fontId="6" fillId="7" borderId="0" xfId="0" applyNumberFormat="1" applyFont="1" applyFill="1" applyAlignment="1">
      <alignment horizontal="center" vertical="top" wrapText="1"/>
    </xf>
    <xf numFmtId="3" fontId="6" fillId="7" borderId="0" xfId="0" applyNumberFormat="1" applyFont="1" applyFill="1" applyAlignment="1">
      <alignment horizontal="center" wrapText="1"/>
    </xf>
    <xf numFmtId="170" fontId="6" fillId="7" borderId="0" xfId="0" applyNumberFormat="1" applyFont="1" applyFill="1" applyAlignment="1">
      <alignment horizontal="center" wrapText="1"/>
    </xf>
    <xf numFmtId="170" fontId="6" fillId="7" borderId="0" xfId="0" applyNumberFormat="1" applyFont="1" applyFill="1" applyAlignment="1">
      <alignment wrapText="1"/>
    </xf>
    <xf numFmtId="1" fontId="6" fillId="7" borderId="0" xfId="0" applyNumberFormat="1" applyFont="1" applyFill="1" applyAlignment="1">
      <alignment horizontal="center" wrapText="1"/>
    </xf>
    <xf numFmtId="170" fontId="5" fillId="7" borderId="0" xfId="0" applyNumberFormat="1" applyFont="1" applyFill="1" applyAlignment="1">
      <alignment horizontal="center" vertical="center" wrapText="1"/>
    </xf>
    <xf numFmtId="3" fontId="7" fillId="8" borderId="8" xfId="0" applyNumberFormat="1" applyFont="1" applyFill="1" applyBorder="1" applyAlignment="1">
      <alignment horizontal="center" vertical="center" wrapText="1"/>
    </xf>
    <xf numFmtId="1" fontId="7" fillId="8" borderId="8" xfId="0" applyNumberFormat="1" applyFont="1" applyFill="1" applyBorder="1" applyAlignment="1">
      <alignment vertical="center" wrapText="1"/>
    </xf>
    <xf numFmtId="170" fontId="7" fillId="8" borderId="8" xfId="0" applyNumberFormat="1" applyFont="1" applyFill="1" applyBorder="1" applyAlignment="1">
      <alignment horizontal="center" vertical="center" wrapText="1"/>
    </xf>
    <xf numFmtId="17" fontId="6" fillId="7" borderId="0" xfId="0" applyNumberFormat="1" applyFont="1" applyFill="1" applyAlignment="1">
      <alignment vertical="center" wrapText="1"/>
    </xf>
    <xf numFmtId="173" fontId="12" fillId="7" borderId="4" xfId="2" applyNumberFormat="1" applyFont="1" applyFill="1" applyBorder="1" applyAlignment="1">
      <alignment horizontal="center" vertical="center"/>
    </xf>
    <xf numFmtId="164" fontId="12" fillId="7" borderId="4" xfId="2" applyFont="1" applyFill="1" applyBorder="1" applyAlignment="1">
      <alignment horizontal="center" vertical="center"/>
    </xf>
    <xf numFmtId="3" fontId="12" fillId="7" borderId="4" xfId="2" applyNumberFormat="1" applyFont="1" applyFill="1" applyBorder="1" applyAlignment="1">
      <alignment horizontal="center" vertical="center"/>
    </xf>
    <xf numFmtId="164" fontId="12" fillId="7" borderId="4" xfId="2" applyFont="1" applyFill="1" applyBorder="1" applyAlignment="1">
      <alignment vertical="center"/>
    </xf>
    <xf numFmtId="170" fontId="12" fillId="7" borderId="4" xfId="2" applyNumberFormat="1" applyFont="1" applyFill="1" applyBorder="1" applyAlignment="1">
      <alignment horizontal="center" vertical="center"/>
    </xf>
    <xf numFmtId="14" fontId="12" fillId="7" borderId="4" xfId="2" applyNumberFormat="1" applyFont="1" applyFill="1" applyBorder="1" applyAlignment="1">
      <alignment horizontal="center" vertical="center"/>
    </xf>
    <xf numFmtId="170" fontId="6" fillId="7" borderId="4" xfId="0" applyNumberFormat="1" applyFont="1" applyFill="1" applyBorder="1" applyAlignment="1">
      <alignment vertical="center" wrapText="1"/>
    </xf>
    <xf numFmtId="164" fontId="12" fillId="7" borderId="4" xfId="2" applyFont="1" applyFill="1" applyBorder="1" applyAlignment="1">
      <alignment horizontal="right" vertical="center"/>
    </xf>
    <xf numFmtId="170" fontId="6" fillId="7" borderId="4" xfId="0" applyNumberFormat="1" applyFont="1" applyFill="1" applyBorder="1" applyAlignment="1">
      <alignment horizontal="center" vertical="center" wrapText="1"/>
    </xf>
    <xf numFmtId="170" fontId="6" fillId="7" borderId="0" xfId="0" applyNumberFormat="1" applyFont="1" applyFill="1" applyAlignment="1">
      <alignment vertical="center" wrapText="1"/>
    </xf>
    <xf numFmtId="3" fontId="12" fillId="7" borderId="16" xfId="2" applyNumberFormat="1" applyFont="1" applyFill="1" applyBorder="1" applyAlignment="1">
      <alignment horizontal="center" vertical="center"/>
    </xf>
    <xf numFmtId="164" fontId="12" fillId="7" borderId="16" xfId="2" applyFont="1" applyFill="1" applyBorder="1" applyAlignment="1">
      <alignment horizontal="center" vertical="center"/>
    </xf>
    <xf numFmtId="170" fontId="12" fillId="7" borderId="16" xfId="2" applyNumberFormat="1" applyFont="1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164" fontId="3" fillId="3" borderId="1" xfId="4" applyNumberFormat="1" applyAlignment="1">
      <alignment horizontal="center" vertical="center"/>
    </xf>
    <xf numFmtId="164" fontId="3" fillId="3" borderId="1" xfId="4" applyNumberFormat="1" applyAlignment="1">
      <alignment vertical="center"/>
    </xf>
    <xf numFmtId="170" fontId="3" fillId="3" borderId="1" xfId="4" applyNumberFormat="1" applyAlignment="1">
      <alignment horizontal="center" vertical="center"/>
    </xf>
    <xf numFmtId="170" fontId="6" fillId="7" borderId="0" xfId="0" applyNumberFormat="1" applyFont="1" applyFill="1" applyAlignment="1">
      <alignment horizontal="left" wrapText="1"/>
    </xf>
    <xf numFmtId="164" fontId="6" fillId="7" borderId="0" xfId="0" applyNumberFormat="1" applyFont="1" applyFill="1" applyAlignment="1">
      <alignment horizontal="left" wrapText="1"/>
    </xf>
    <xf numFmtId="170" fontId="6" fillId="0" borderId="0" xfId="0" applyNumberFormat="1" applyFont="1" applyAlignment="1">
      <alignment wrapText="1"/>
    </xf>
    <xf numFmtId="3" fontId="6" fillId="0" borderId="0" xfId="0" applyNumberFormat="1" applyFont="1" applyAlignment="1">
      <alignment horizontal="center" wrapText="1"/>
    </xf>
    <xf numFmtId="170" fontId="6" fillId="0" borderId="0" xfId="0" applyNumberFormat="1" applyFont="1" applyAlignment="1">
      <alignment horizontal="center" wrapText="1"/>
    </xf>
    <xf numFmtId="1" fontId="6" fillId="0" borderId="0" xfId="0" applyNumberFormat="1" applyFont="1" applyAlignment="1">
      <alignment horizontal="center" wrapText="1"/>
    </xf>
    <xf numFmtId="3" fontId="7" fillId="9" borderId="2" xfId="0" applyNumberFormat="1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164" fontId="12" fillId="7" borderId="4" xfId="2" applyFont="1" applyFill="1" applyBorder="1" applyAlignment="1">
      <alignment vertical="center" wrapText="1"/>
    </xf>
    <xf numFmtId="165" fontId="6" fillId="0" borderId="0" xfId="1" applyNumberFormat="1" applyFont="1" applyAlignment="1">
      <alignment wrapText="1"/>
    </xf>
    <xf numFmtId="165" fontId="6" fillId="0" borderId="0" xfId="0" applyNumberFormat="1" applyFont="1" applyAlignment="1">
      <alignment wrapText="1"/>
    </xf>
    <xf numFmtId="164" fontId="6" fillId="0" borderId="0" xfId="2" applyFont="1" applyAlignment="1">
      <alignment wrapText="1"/>
    </xf>
    <xf numFmtId="164" fontId="6" fillId="0" borderId="0" xfId="2" applyFont="1" applyFill="1" applyAlignment="1">
      <alignment wrapText="1"/>
    </xf>
    <xf numFmtId="0" fontId="6" fillId="10" borderId="0" xfId="0" applyFont="1" applyFill="1" applyAlignment="1">
      <alignment wrapText="1"/>
    </xf>
    <xf numFmtId="1" fontId="6" fillId="10" borderId="0" xfId="0" applyNumberFormat="1" applyFont="1" applyFill="1" applyAlignment="1">
      <alignment wrapText="1"/>
    </xf>
    <xf numFmtId="164" fontId="6" fillId="10" borderId="0" xfId="2" applyFont="1" applyFill="1" applyAlignment="1">
      <alignment wrapText="1"/>
    </xf>
    <xf numFmtId="164" fontId="13" fillId="7" borderId="4" xfId="2" applyFont="1" applyFill="1" applyBorder="1" applyAlignment="1">
      <alignment horizontal="center" vertical="center"/>
    </xf>
    <xf numFmtId="0" fontId="6" fillId="7" borderId="0" xfId="0" applyFont="1" applyFill="1" applyBorder="1" applyAlignment="1">
      <alignment vertical="center" wrapText="1"/>
    </xf>
    <xf numFmtId="3" fontId="7" fillId="6" borderId="3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horizontal="center" wrapText="1"/>
    </xf>
    <xf numFmtId="3" fontId="7" fillId="6" borderId="8" xfId="0" applyNumberFormat="1" applyFont="1" applyFill="1" applyBorder="1" applyAlignment="1">
      <alignment horizontal="center" vertical="center"/>
    </xf>
    <xf numFmtId="3" fontId="1" fillId="4" borderId="8" xfId="5" applyNumberFormat="1" applyBorder="1" applyAlignment="1">
      <alignment horizontal="center" vertical="center" wrapText="1"/>
    </xf>
    <xf numFmtId="3" fontId="0" fillId="4" borderId="8" xfId="5" applyNumberFormat="1" applyFont="1" applyBorder="1" applyAlignment="1">
      <alignment horizontal="center" vertical="center" wrapText="1"/>
    </xf>
    <xf numFmtId="3" fontId="4" fillId="4" borderId="8" xfId="5" applyNumberFormat="1" applyFont="1" applyBorder="1" applyAlignment="1">
      <alignment horizontal="center" vertical="center" wrapText="1"/>
    </xf>
    <xf numFmtId="3" fontId="10" fillId="9" borderId="8" xfId="0" applyNumberFormat="1" applyFont="1" applyFill="1" applyBorder="1" applyAlignment="1">
      <alignment horizontal="center" vertical="center" wrapText="1"/>
    </xf>
    <xf numFmtId="0" fontId="12" fillId="7" borderId="4" xfId="0" applyNumberFormat="1" applyFont="1" applyFill="1" applyBorder="1" applyAlignment="1">
      <alignment horizontal="center" vertical="center"/>
    </xf>
    <xf numFmtId="3" fontId="13" fillId="7" borderId="4" xfId="0" applyNumberFormat="1" applyFont="1" applyFill="1" applyBorder="1" applyAlignment="1">
      <alignment horizontal="right" vertical="center"/>
    </xf>
    <xf numFmtId="3" fontId="12" fillId="7" borderId="4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justify"/>
    </xf>
    <xf numFmtId="172" fontId="30" fillId="7" borderId="0" xfId="0" applyNumberFormat="1" applyFont="1" applyFill="1" applyAlignment="1" applyProtection="1">
      <alignment horizontal="right" vertical="center" wrapText="1"/>
    </xf>
    <xf numFmtId="3" fontId="13" fillId="7" borderId="4" xfId="0" applyNumberFormat="1" applyFont="1" applyFill="1" applyBorder="1"/>
    <xf numFmtId="0" fontId="13" fillId="7" borderId="10" xfId="0" applyFont="1" applyFill="1" applyBorder="1" applyAlignment="1">
      <alignment horizontal="left" vertical="center" wrapText="1"/>
    </xf>
    <xf numFmtId="165" fontId="6" fillId="7" borderId="0" xfId="1" applyNumberFormat="1" applyFont="1" applyFill="1" applyAlignment="1">
      <alignment wrapText="1"/>
    </xf>
    <xf numFmtId="165" fontId="12" fillId="7" borderId="4" xfId="1" applyNumberFormat="1" applyFont="1" applyFill="1" applyBorder="1" applyAlignment="1">
      <alignment horizontal="left" vertical="center" wrapText="1" indent="3"/>
    </xf>
    <xf numFmtId="1" fontId="12" fillId="7" borderId="4" xfId="0" applyNumberFormat="1" applyFont="1" applyFill="1" applyBorder="1" applyAlignment="1" applyProtection="1">
      <alignment horizontal="center" vertical="center"/>
      <protection locked="0"/>
    </xf>
    <xf numFmtId="0" fontId="6" fillId="7" borderId="0" xfId="0" applyFont="1" applyFill="1" applyAlignment="1" applyProtection="1">
      <alignment vertical="center"/>
      <protection locked="0"/>
    </xf>
    <xf numFmtId="1" fontId="12" fillId="7" borderId="4" xfId="8" applyNumberFormat="1" applyFont="1" applyFill="1" applyBorder="1" applyAlignment="1">
      <alignment horizontal="center" vertical="center" wrapText="1"/>
    </xf>
    <xf numFmtId="169" fontId="12" fillId="7" borderId="4" xfId="8" applyNumberFormat="1" applyFont="1" applyFill="1" applyBorder="1" applyAlignment="1">
      <alignment horizontal="center" vertical="center" wrapText="1"/>
    </xf>
    <xf numFmtId="169" fontId="12" fillId="7" borderId="4" xfId="8" applyNumberFormat="1" applyFont="1" applyFill="1" applyBorder="1" applyAlignment="1">
      <alignment horizontal="center" vertical="center"/>
    </xf>
    <xf numFmtId="168" fontId="12" fillId="7" borderId="4" xfId="8" applyFont="1" applyFill="1" applyBorder="1" applyAlignment="1">
      <alignment horizontal="left" vertical="center"/>
    </xf>
    <xf numFmtId="168" fontId="12" fillId="7" borderId="4" xfId="8" applyFont="1" applyFill="1" applyBorder="1" applyAlignment="1">
      <alignment horizontal="left" wrapText="1"/>
    </xf>
    <xf numFmtId="0" fontId="11" fillId="7" borderId="4" xfId="0" applyFont="1" applyFill="1" applyBorder="1" applyAlignment="1" applyProtection="1">
      <alignment horizontal="center" vertical="center"/>
      <protection locked="0"/>
    </xf>
    <xf numFmtId="1" fontId="12" fillId="7" borderId="4" xfId="8" applyNumberFormat="1" applyFont="1" applyFill="1" applyBorder="1" applyAlignment="1" applyProtection="1">
      <alignment horizontal="center" vertical="center"/>
      <protection locked="0"/>
    </xf>
    <xf numFmtId="0" fontId="13" fillId="7" borderId="4" xfId="9" applyFont="1" applyFill="1" applyBorder="1" applyAlignment="1">
      <alignment horizontal="left" vertical="center" wrapText="1"/>
    </xf>
    <xf numFmtId="168" fontId="12" fillId="7" borderId="5" xfId="8" applyFont="1" applyFill="1" applyBorder="1" applyAlignment="1" applyProtection="1">
      <alignment horizontal="left" vertical="center"/>
      <protection locked="0"/>
    </xf>
    <xf numFmtId="3" fontId="12" fillId="7" borderId="4" xfId="0" applyNumberFormat="1" applyFont="1" applyFill="1" applyBorder="1" applyAlignment="1" applyProtection="1">
      <alignment vertical="center"/>
      <protection locked="0"/>
    </xf>
    <xf numFmtId="3" fontId="14" fillId="7" borderId="4" xfId="0" applyNumberFormat="1" applyFont="1" applyFill="1" applyBorder="1" applyAlignment="1" applyProtection="1">
      <alignment vertical="center"/>
      <protection locked="0"/>
    </xf>
    <xf numFmtId="1" fontId="6" fillId="7" borderId="4" xfId="0" applyNumberFormat="1" applyFont="1" applyFill="1" applyBorder="1" applyAlignment="1" applyProtection="1">
      <alignment horizontal="center" vertical="center"/>
      <protection locked="0"/>
    </xf>
    <xf numFmtId="14" fontId="6" fillId="7" borderId="4" xfId="0" applyNumberFormat="1" applyFont="1" applyFill="1" applyBorder="1" applyAlignment="1" applyProtection="1">
      <alignment horizontal="center" vertical="center"/>
      <protection locked="0"/>
    </xf>
    <xf numFmtId="170" fontId="6" fillId="7" borderId="4" xfId="0" applyNumberFormat="1" applyFont="1" applyFill="1" applyBorder="1" applyAlignment="1" applyProtection="1">
      <alignment horizontal="center" vertical="center"/>
      <protection locked="0"/>
    </xf>
    <xf numFmtId="14" fontId="6" fillId="7" borderId="4" xfId="0" applyNumberFormat="1" applyFont="1" applyFill="1" applyBorder="1" applyAlignment="1" applyProtection="1">
      <alignment horizontal="left" vertical="center"/>
      <protection locked="0"/>
    </xf>
    <xf numFmtId="0" fontId="6" fillId="7" borderId="4" xfId="0" applyFont="1" applyFill="1" applyBorder="1" applyAlignment="1" applyProtection="1">
      <alignment horizontal="center" vertical="center"/>
      <protection locked="0"/>
    </xf>
    <xf numFmtId="168" fontId="12" fillId="7" borderId="4" xfId="8" applyFont="1" applyFill="1" applyBorder="1" applyAlignment="1" applyProtection="1">
      <alignment horizontal="left" vertical="center"/>
      <protection locked="0"/>
    </xf>
    <xf numFmtId="3" fontId="6" fillId="7" borderId="4" xfId="0" applyNumberFormat="1" applyFont="1" applyFill="1" applyBorder="1" applyAlignment="1" applyProtection="1">
      <alignment horizontal="center" vertical="center"/>
      <protection locked="0"/>
    </xf>
    <xf numFmtId="0" fontId="6" fillId="7" borderId="4" xfId="0" applyFont="1" applyFill="1" applyBorder="1" applyAlignment="1" applyProtection="1">
      <alignment horizontal="left" vertical="center"/>
      <protection locked="0"/>
    </xf>
    <xf numFmtId="1" fontId="12" fillId="7" borderId="13" xfId="8" applyNumberFormat="1" applyFont="1" applyFill="1" applyBorder="1" applyAlignment="1" applyProtection="1">
      <alignment horizontal="center" vertical="center"/>
      <protection locked="0"/>
    </xf>
    <xf numFmtId="1" fontId="11" fillId="7" borderId="4" xfId="0" applyNumberFormat="1" applyFont="1" applyFill="1" applyBorder="1" applyAlignment="1" applyProtection="1">
      <alignment horizontal="center" vertical="center"/>
      <protection locked="0"/>
    </xf>
    <xf numFmtId="0" fontId="13" fillId="7" borderId="4" xfId="9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vertical="center" wrapText="1"/>
    </xf>
    <xf numFmtId="0" fontId="31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 applyProtection="1">
      <alignment horizontal="center" vertical="center"/>
      <protection locked="0"/>
    </xf>
    <xf numFmtId="0" fontId="13" fillId="7" borderId="4" xfId="0" applyFont="1" applyFill="1" applyBorder="1" applyAlignment="1" applyProtection="1">
      <alignment vertical="center"/>
      <protection locked="0"/>
    </xf>
    <xf numFmtId="0" fontId="12" fillId="7" borderId="4" xfId="0" applyFont="1" applyFill="1" applyBorder="1" applyAlignment="1" applyProtection="1">
      <alignment vertical="center"/>
      <protection locked="0"/>
    </xf>
    <xf numFmtId="0" fontId="13" fillId="7" borderId="4" xfId="0" applyFont="1" applyFill="1" applyBorder="1" applyAlignment="1" applyProtection="1">
      <alignment vertical="justify"/>
      <protection locked="0"/>
    </xf>
    <xf numFmtId="3" fontId="15" fillId="7" borderId="4" xfId="3" applyNumberFormat="1" applyFont="1" applyFill="1" applyBorder="1" applyAlignment="1">
      <alignment vertical="center"/>
    </xf>
    <xf numFmtId="165" fontId="6" fillId="7" borderId="0" xfId="0" applyNumberFormat="1" applyFont="1" applyFill="1" applyAlignment="1">
      <alignment wrapText="1"/>
    </xf>
    <xf numFmtId="0" fontId="33" fillId="0" borderId="0" xfId="0" applyFont="1" applyAlignment="1">
      <alignment horizontal="center" vertical="center" wrapText="1"/>
    </xf>
    <xf numFmtId="3" fontId="33" fillId="0" borderId="0" xfId="0" applyNumberFormat="1" applyFont="1" applyAlignment="1">
      <alignment horizontal="center" vertical="center" wrapText="1"/>
    </xf>
    <xf numFmtId="14" fontId="33" fillId="0" borderId="0" xfId="0" applyNumberFormat="1" applyFont="1" applyAlignment="1">
      <alignment horizontal="center" vertical="center" wrapText="1"/>
    </xf>
    <xf numFmtId="1" fontId="33" fillId="0" borderId="0" xfId="0" applyNumberFormat="1" applyFont="1" applyAlignment="1">
      <alignment horizontal="center" vertical="center" wrapText="1"/>
    </xf>
    <xf numFmtId="0" fontId="33" fillId="0" borderId="0" xfId="0" applyFont="1" applyAlignment="1">
      <alignment wrapText="1"/>
    </xf>
    <xf numFmtId="0" fontId="33" fillId="0" borderId="0" xfId="0" applyFont="1" applyAlignment="1">
      <alignment horizontal="left" vertical="top" wrapText="1"/>
    </xf>
    <xf numFmtId="3" fontId="33" fillId="0" borderId="0" xfId="0" applyNumberFormat="1" applyFont="1" applyAlignment="1">
      <alignment horizontal="left" vertical="top" wrapText="1"/>
    </xf>
    <xf numFmtId="14" fontId="33" fillId="0" borderId="0" xfId="0" applyNumberFormat="1" applyFont="1" applyAlignment="1">
      <alignment horizontal="left" vertical="top" wrapText="1"/>
    </xf>
    <xf numFmtId="1" fontId="33" fillId="0" borderId="0" xfId="0" applyNumberFormat="1" applyFont="1" applyAlignment="1">
      <alignment horizontal="left" vertical="top" wrapText="1"/>
    </xf>
    <xf numFmtId="3" fontId="33" fillId="0" borderId="0" xfId="0" applyNumberFormat="1" applyFont="1" applyAlignment="1">
      <alignment wrapText="1"/>
    </xf>
    <xf numFmtId="14" fontId="33" fillId="0" borderId="0" xfId="0" applyNumberFormat="1" applyFont="1" applyAlignment="1">
      <alignment wrapText="1"/>
    </xf>
    <xf numFmtId="1" fontId="33" fillId="0" borderId="0" xfId="0" applyNumberFormat="1" applyFont="1" applyAlignment="1">
      <alignment wrapText="1"/>
    </xf>
    <xf numFmtId="0" fontId="16" fillId="7" borderId="0" xfId="0" applyFont="1" applyFill="1" applyBorder="1" applyAlignment="1">
      <alignment horizontal="center" vertical="center" wrapText="1"/>
    </xf>
    <xf numFmtId="3" fontId="33" fillId="0" borderId="4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 wrapText="1"/>
    </xf>
    <xf numFmtId="165" fontId="33" fillId="0" borderId="0" xfId="1" applyNumberFormat="1" applyFont="1" applyAlignment="1">
      <alignment wrapText="1"/>
    </xf>
    <xf numFmtId="0" fontId="16" fillId="6" borderId="9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 wrapText="1"/>
    </xf>
    <xf numFmtId="165" fontId="16" fillId="6" borderId="8" xfId="1" applyNumberFormat="1" applyFont="1" applyFill="1" applyBorder="1" applyAlignment="1">
      <alignment horizontal="center" vertical="center" wrapText="1"/>
    </xf>
    <xf numFmtId="0" fontId="33" fillId="4" borderId="4" xfId="5" applyFont="1" applyBorder="1" applyAlignment="1">
      <alignment horizontal="center" vertical="center" wrapText="1"/>
    </xf>
    <xf numFmtId="0" fontId="34" fillId="4" borderId="4" xfId="5" applyFont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1" fontId="16" fillId="8" borderId="4" xfId="0" applyNumberFormat="1" applyFont="1" applyFill="1" applyBorder="1" applyAlignment="1">
      <alignment horizontal="center" vertical="center" wrapText="1"/>
    </xf>
    <xf numFmtId="14" fontId="16" fillId="8" borderId="4" xfId="0" applyNumberFormat="1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3" fontId="16" fillId="9" borderId="4" xfId="0" applyNumberFormat="1" applyFont="1" applyFill="1" applyBorder="1" applyAlignment="1">
      <alignment horizontal="center" vertical="center" wrapText="1"/>
    </xf>
    <xf numFmtId="14" fontId="16" fillId="9" borderId="4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4" xfId="0" applyFont="1" applyBorder="1" applyAlignment="1">
      <alignment horizontal="center" vertical="center" wrapText="1"/>
    </xf>
    <xf numFmtId="0" fontId="36" fillId="0" borderId="9" xfId="0" applyFont="1" applyFill="1" applyBorder="1" applyAlignment="1">
      <alignment horizontal="center" vertical="center"/>
    </xf>
    <xf numFmtId="0" fontId="37" fillId="0" borderId="4" xfId="0" applyNumberFormat="1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wrapText="1"/>
    </xf>
    <xf numFmtId="0" fontId="37" fillId="0" borderId="4" xfId="0" applyFont="1" applyFill="1" applyBorder="1" applyAlignment="1">
      <alignment horizontal="left" vertical="center" wrapText="1"/>
    </xf>
    <xf numFmtId="0" fontId="35" fillId="0" borderId="4" xfId="0" applyFont="1" applyFill="1" applyBorder="1" applyAlignment="1">
      <alignment horizontal="left" vertical="center" wrapText="1"/>
    </xf>
    <xf numFmtId="0" fontId="35" fillId="0" borderId="10" xfId="0" applyFont="1" applyFill="1" applyBorder="1" applyAlignment="1">
      <alignment horizontal="left" vertical="center" wrapText="1"/>
    </xf>
    <xf numFmtId="49" fontId="37" fillId="0" borderId="4" xfId="0" applyNumberFormat="1" applyFont="1" applyFill="1" applyBorder="1" applyAlignment="1">
      <alignment horizontal="center" vertical="center"/>
    </xf>
    <xf numFmtId="165" fontId="37" fillId="0" borderId="4" xfId="1" applyNumberFormat="1" applyFont="1" applyFill="1" applyBorder="1" applyAlignment="1">
      <alignment horizontal="center" vertical="center"/>
    </xf>
    <xf numFmtId="165" fontId="18" fillId="0" borderId="4" xfId="1" applyNumberFormat="1" applyFont="1" applyFill="1" applyBorder="1" applyAlignment="1">
      <alignment horizontal="right" vertical="center" wrapText="1"/>
    </xf>
    <xf numFmtId="3" fontId="37" fillId="0" borderId="4" xfId="0" applyNumberFormat="1" applyFont="1" applyBorder="1" applyAlignment="1">
      <alignment vertical="center" wrapText="1"/>
    </xf>
    <xf numFmtId="3" fontId="38" fillId="0" borderId="4" xfId="0" applyNumberFormat="1" applyFont="1" applyFill="1" applyBorder="1" applyAlignment="1">
      <alignment vertical="center" wrapText="1"/>
    </xf>
    <xf numFmtId="1" fontId="35" fillId="0" borderId="4" xfId="0" applyNumberFormat="1" applyFont="1" applyFill="1" applyBorder="1" applyAlignment="1">
      <alignment horizontal="center" vertical="center" wrapText="1"/>
    </xf>
    <xf numFmtId="14" fontId="35" fillId="0" borderId="4" xfId="0" applyNumberFormat="1" applyFont="1" applyBorder="1" applyAlignment="1">
      <alignment horizontal="right" vertical="center" wrapText="1"/>
    </xf>
    <xf numFmtId="14" fontId="35" fillId="0" borderId="4" xfId="0" applyNumberFormat="1" applyFont="1" applyFill="1" applyBorder="1" applyAlignment="1">
      <alignment horizontal="left" vertical="center" wrapText="1"/>
    </xf>
    <xf numFmtId="3" fontId="35" fillId="0" borderId="4" xfId="0" applyNumberFormat="1" applyFont="1" applyFill="1" applyBorder="1" applyAlignment="1">
      <alignment horizontal="center" vertical="center" wrapText="1"/>
    </xf>
    <xf numFmtId="14" fontId="35" fillId="0" borderId="4" xfId="0" applyNumberFormat="1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14" fontId="35" fillId="0" borderId="4" xfId="0" applyNumberFormat="1" applyFont="1" applyBorder="1" applyAlignment="1">
      <alignment horizontal="left" vertical="center" wrapText="1"/>
    </xf>
    <xf numFmtId="1" fontId="35" fillId="0" borderId="4" xfId="0" applyNumberFormat="1" applyFont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horizontal="right" vertical="center"/>
    </xf>
    <xf numFmtId="0" fontId="13" fillId="7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Fill="1" applyBorder="1" applyAlignment="1" applyProtection="1">
      <alignment horizontal="center" vertical="center" wrapText="1"/>
      <protection locked="0"/>
    </xf>
    <xf numFmtId="165" fontId="37" fillId="0" borderId="3" xfId="1" applyNumberFormat="1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7" fillId="0" borderId="10" xfId="0" applyNumberFormat="1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wrapText="1"/>
    </xf>
    <xf numFmtId="165" fontId="37" fillId="0" borderId="3" xfId="1" applyNumberFormat="1" applyFont="1" applyFill="1" applyBorder="1" applyAlignment="1">
      <alignment vertical="center" wrapText="1"/>
    </xf>
    <xf numFmtId="3" fontId="16" fillId="0" borderId="4" xfId="0" applyNumberFormat="1" applyFont="1" applyBorder="1" applyAlignment="1">
      <alignment vertical="center"/>
    </xf>
    <xf numFmtId="3" fontId="35" fillId="0" borderId="4" xfId="0" applyNumberFormat="1" applyFont="1" applyBorder="1" applyAlignment="1">
      <alignment horizontal="center" vertical="center" wrapText="1"/>
    </xf>
    <xf numFmtId="14" fontId="35" fillId="0" borderId="4" xfId="0" applyNumberFormat="1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/>
    </xf>
    <xf numFmtId="0" fontId="37" fillId="7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vertical="center" wrapText="1"/>
    </xf>
    <xf numFmtId="0" fontId="35" fillId="0" borderId="4" xfId="0" applyFont="1" applyBorder="1" applyAlignment="1">
      <alignment horizontal="left" vertical="center" wrapText="1"/>
    </xf>
    <xf numFmtId="0" fontId="35" fillId="0" borderId="10" xfId="0" applyFont="1" applyBorder="1" applyAlignment="1">
      <alignment horizontal="left" vertical="center" wrapText="1"/>
    </xf>
    <xf numFmtId="0" fontId="37" fillId="0" borderId="4" xfId="0" applyFont="1" applyFill="1" applyBorder="1" applyAlignment="1">
      <alignment horizontal="center" vertical="center"/>
    </xf>
    <xf numFmtId="165" fontId="40" fillId="2" borderId="4" xfId="1" applyNumberFormat="1" applyFont="1" applyFill="1" applyBorder="1" applyAlignment="1">
      <alignment vertical="center"/>
    </xf>
    <xf numFmtId="3" fontId="40" fillId="2" borderId="4" xfId="3" applyNumberFormat="1" applyFont="1" applyBorder="1" applyAlignment="1">
      <alignment vertical="center"/>
    </xf>
    <xf numFmtId="14" fontId="40" fillId="2" borderId="4" xfId="3" applyNumberFormat="1" applyFont="1" applyBorder="1" applyAlignment="1">
      <alignment vertical="center"/>
    </xf>
    <xf numFmtId="1" fontId="35" fillId="7" borderId="0" xfId="0" applyNumberFormat="1" applyFont="1" applyFill="1" applyAlignment="1">
      <alignment wrapText="1"/>
    </xf>
    <xf numFmtId="14" fontId="35" fillId="7" borderId="0" xfId="0" applyNumberFormat="1" applyFont="1" applyFill="1" applyAlignment="1">
      <alignment wrapText="1"/>
    </xf>
    <xf numFmtId="0" fontId="35" fillId="7" borderId="0" xfId="0" applyFont="1" applyFill="1" applyAlignment="1">
      <alignment wrapText="1"/>
    </xf>
    <xf numFmtId="3" fontId="35" fillId="7" borderId="0" xfId="0" applyNumberFormat="1" applyFont="1" applyFill="1" applyAlignment="1">
      <alignment wrapText="1"/>
    </xf>
    <xf numFmtId="0" fontId="35" fillId="7" borderId="0" xfId="0" applyFont="1" applyFill="1" applyAlignment="1">
      <alignment horizontal="center" wrapText="1"/>
    </xf>
    <xf numFmtId="14" fontId="35" fillId="7" borderId="0" xfId="0" applyNumberFormat="1" applyFont="1" applyFill="1" applyAlignment="1">
      <alignment horizontal="center" wrapText="1"/>
    </xf>
    <xf numFmtId="165" fontId="35" fillId="7" borderId="0" xfId="1" applyNumberFormat="1" applyFont="1" applyFill="1" applyAlignment="1">
      <alignment wrapText="1"/>
    </xf>
    <xf numFmtId="165" fontId="35" fillId="7" borderId="0" xfId="0" applyNumberFormat="1" applyFont="1" applyFill="1" applyAlignment="1">
      <alignment wrapText="1"/>
    </xf>
    <xf numFmtId="0" fontId="35" fillId="7" borderId="0" xfId="0" applyFont="1" applyFill="1" applyAlignment="1"/>
    <xf numFmtId="3" fontId="33" fillId="7" borderId="0" xfId="0" applyNumberFormat="1" applyFont="1" applyFill="1" applyAlignment="1">
      <alignment wrapText="1"/>
    </xf>
    <xf numFmtId="0" fontId="33" fillId="7" borderId="0" xfId="0" applyFont="1" applyFill="1" applyAlignment="1"/>
    <xf numFmtId="3" fontId="33" fillId="7" borderId="0" xfId="0" applyNumberFormat="1" applyFont="1" applyFill="1" applyAlignment="1"/>
    <xf numFmtId="14" fontId="33" fillId="7" borderId="0" xfId="0" applyNumberFormat="1" applyFont="1" applyFill="1" applyAlignment="1"/>
    <xf numFmtId="165" fontId="33" fillId="7" borderId="0" xfId="0" applyNumberFormat="1" applyFont="1" applyFill="1" applyAlignment="1">
      <alignment wrapText="1"/>
    </xf>
    <xf numFmtId="0" fontId="33" fillId="7" borderId="0" xfId="0" applyFont="1" applyFill="1" applyAlignment="1">
      <alignment wrapText="1"/>
    </xf>
    <xf numFmtId="14" fontId="33" fillId="7" borderId="0" xfId="0" applyNumberFormat="1" applyFont="1" applyFill="1" applyAlignment="1">
      <alignment wrapText="1"/>
    </xf>
    <xf numFmtId="1" fontId="33" fillId="7" borderId="0" xfId="0" applyNumberFormat="1" applyFont="1" applyFill="1" applyAlignment="1">
      <alignment wrapText="1"/>
    </xf>
    <xf numFmtId="0" fontId="33" fillId="7" borderId="0" xfId="0" applyFont="1" applyFill="1" applyAlignment="1">
      <alignment vertical="center" wrapText="1"/>
    </xf>
    <xf numFmtId="0" fontId="33" fillId="7" borderId="0" xfId="0" applyFont="1" applyFill="1" applyAlignment="1">
      <alignment horizontal="center" vertical="center" wrapText="1"/>
    </xf>
    <xf numFmtId="165" fontId="33" fillId="7" borderId="0" xfId="1" applyNumberFormat="1" applyFont="1" applyFill="1" applyAlignment="1">
      <alignment horizontal="center" vertical="center" wrapText="1"/>
    </xf>
    <xf numFmtId="14" fontId="33" fillId="7" borderId="0" xfId="0" applyNumberFormat="1" applyFont="1" applyFill="1" applyAlignment="1">
      <alignment horizontal="center" vertical="center" wrapText="1"/>
    </xf>
    <xf numFmtId="0" fontId="33" fillId="7" borderId="0" xfId="0" applyFont="1" applyFill="1" applyBorder="1" applyAlignment="1">
      <alignment horizontal="center" vertical="center" wrapText="1"/>
    </xf>
    <xf numFmtId="165" fontId="33" fillId="7" borderId="0" xfId="1" applyNumberFormat="1" applyFont="1" applyFill="1" applyAlignment="1">
      <alignment wrapText="1"/>
    </xf>
    <xf numFmtId="0" fontId="33" fillId="7" borderId="0" xfId="0" applyFont="1" applyFill="1" applyAlignment="1">
      <alignment horizontal="left" vertical="top" wrapText="1"/>
    </xf>
    <xf numFmtId="3" fontId="33" fillId="7" borderId="0" xfId="0" applyNumberFormat="1" applyFont="1" applyFill="1" applyAlignment="1">
      <alignment horizontal="left" vertical="top" wrapText="1"/>
    </xf>
    <xf numFmtId="14" fontId="33" fillId="7" borderId="0" xfId="0" applyNumberFormat="1" applyFont="1" applyFill="1" applyAlignment="1">
      <alignment horizontal="left" vertical="top" wrapText="1"/>
    </xf>
    <xf numFmtId="1" fontId="33" fillId="7" borderId="0" xfId="0" applyNumberFormat="1" applyFont="1" applyFill="1" applyAlignment="1">
      <alignment horizontal="left" vertical="top" wrapText="1"/>
    </xf>
    <xf numFmtId="0" fontId="33" fillId="7" borderId="4" xfId="0" applyFont="1" applyFill="1" applyBorder="1" applyAlignment="1">
      <alignment horizontal="center" vertical="center" wrapText="1"/>
    </xf>
    <xf numFmtId="0" fontId="36" fillId="7" borderId="9" xfId="0" applyFont="1" applyFill="1" applyBorder="1" applyAlignment="1">
      <alignment horizontal="center" vertical="center"/>
    </xf>
    <xf numFmtId="0" fontId="37" fillId="7" borderId="4" xfId="0" applyNumberFormat="1" applyFont="1" applyFill="1" applyBorder="1" applyAlignment="1">
      <alignment horizontal="center" vertical="center"/>
    </xf>
    <xf numFmtId="0" fontId="35" fillId="7" borderId="4" xfId="0" applyFont="1" applyFill="1" applyBorder="1" applyAlignment="1">
      <alignment wrapText="1"/>
    </xf>
    <xf numFmtId="0" fontId="37" fillId="7" borderId="4" xfId="0" applyFont="1" applyFill="1" applyBorder="1" applyAlignment="1">
      <alignment horizontal="left" vertical="center" wrapText="1"/>
    </xf>
    <xf numFmtId="0" fontId="35" fillId="7" borderId="4" xfId="0" applyFont="1" applyFill="1" applyBorder="1" applyAlignment="1">
      <alignment horizontal="left" vertical="center" wrapText="1"/>
    </xf>
    <xf numFmtId="0" fontId="35" fillId="7" borderId="10" xfId="0" applyFont="1" applyFill="1" applyBorder="1" applyAlignment="1">
      <alignment horizontal="left" vertical="center" wrapText="1"/>
    </xf>
    <xf numFmtId="49" fontId="37" fillId="7" borderId="4" xfId="0" applyNumberFormat="1" applyFont="1" applyFill="1" applyBorder="1" applyAlignment="1">
      <alignment horizontal="center" vertical="center"/>
    </xf>
    <xf numFmtId="165" fontId="37" fillId="7" borderId="4" xfId="1" applyNumberFormat="1" applyFont="1" applyFill="1" applyBorder="1" applyAlignment="1">
      <alignment horizontal="center" vertical="center"/>
    </xf>
    <xf numFmtId="165" fontId="37" fillId="7" borderId="4" xfId="1" applyNumberFormat="1" applyFont="1" applyFill="1" applyBorder="1" applyAlignment="1">
      <alignment vertical="center" wrapText="1"/>
    </xf>
    <xf numFmtId="165" fontId="37" fillId="7" borderId="5" xfId="1" applyNumberFormat="1" applyFont="1" applyFill="1" applyBorder="1" applyAlignment="1">
      <alignment horizontal="center" vertical="center"/>
    </xf>
    <xf numFmtId="165" fontId="18" fillId="7" borderId="4" xfId="1" applyNumberFormat="1" applyFont="1" applyFill="1" applyBorder="1" applyAlignment="1">
      <alignment horizontal="right" vertical="center"/>
    </xf>
    <xf numFmtId="165" fontId="18" fillId="7" borderId="4" xfId="1" applyNumberFormat="1" applyFont="1" applyFill="1" applyBorder="1" applyAlignment="1">
      <alignment horizontal="right" vertical="center" wrapText="1"/>
    </xf>
    <xf numFmtId="3" fontId="37" fillId="7" borderId="4" xfId="0" applyNumberFormat="1" applyFont="1" applyFill="1" applyBorder="1" applyAlignment="1">
      <alignment vertical="center" wrapText="1"/>
    </xf>
    <xf numFmtId="3" fontId="38" fillId="7" borderId="4" xfId="0" applyNumberFormat="1" applyFont="1" applyFill="1" applyBorder="1" applyAlignment="1">
      <alignment vertical="center" wrapText="1"/>
    </xf>
    <xf numFmtId="1" fontId="35" fillId="7" borderId="4" xfId="0" applyNumberFormat="1" applyFont="1" applyFill="1" applyBorder="1" applyAlignment="1">
      <alignment horizontal="center" vertical="center" wrapText="1"/>
    </xf>
    <xf numFmtId="14" fontId="35" fillId="7" borderId="4" xfId="0" applyNumberFormat="1" applyFont="1" applyFill="1" applyBorder="1" applyAlignment="1">
      <alignment horizontal="right" vertical="center" wrapText="1"/>
    </xf>
    <xf numFmtId="14" fontId="35" fillId="7" borderId="4" xfId="0" applyNumberFormat="1" applyFont="1" applyFill="1" applyBorder="1" applyAlignment="1">
      <alignment horizontal="left" vertical="center" wrapText="1"/>
    </xf>
    <xf numFmtId="3" fontId="35" fillId="7" borderId="4" xfId="0" applyNumberFormat="1" applyFont="1" applyFill="1" applyBorder="1" applyAlignment="1">
      <alignment horizontal="center" vertical="center" wrapText="1"/>
    </xf>
    <xf numFmtId="14" fontId="35" fillId="7" borderId="4" xfId="0" applyNumberFormat="1" applyFont="1" applyFill="1" applyBorder="1" applyAlignment="1">
      <alignment horizontal="center" vertical="center" wrapText="1"/>
    </xf>
    <xf numFmtId="0" fontId="35" fillId="7" borderId="4" xfId="0" applyFont="1" applyFill="1" applyBorder="1" applyAlignment="1">
      <alignment horizontal="center" vertical="center" wrapText="1"/>
    </xf>
    <xf numFmtId="3" fontId="16" fillId="7" borderId="8" xfId="0" applyNumberFormat="1" applyFont="1" applyFill="1" applyBorder="1" applyAlignment="1">
      <alignment vertical="center"/>
    </xf>
    <xf numFmtId="3" fontId="38" fillId="7" borderId="8" xfId="0" applyNumberFormat="1" applyFont="1" applyFill="1" applyBorder="1" applyAlignment="1">
      <alignment horizontal="right" vertical="center"/>
    </xf>
    <xf numFmtId="0" fontId="35" fillId="7" borderId="0" xfId="0" applyFont="1" applyFill="1" applyAlignment="1">
      <alignment vertical="center" wrapText="1"/>
    </xf>
    <xf numFmtId="0" fontId="36" fillId="7" borderId="4" xfId="0" applyFont="1" applyFill="1" applyBorder="1" applyAlignment="1">
      <alignment horizontal="center" vertical="center"/>
    </xf>
    <xf numFmtId="49" fontId="37" fillId="7" borderId="8" xfId="0" applyNumberFormat="1" applyFont="1" applyFill="1" applyBorder="1" applyAlignment="1">
      <alignment horizontal="center" vertical="center"/>
    </xf>
    <xf numFmtId="165" fontId="37" fillId="7" borderId="8" xfId="1" applyNumberFormat="1" applyFont="1" applyFill="1" applyBorder="1" applyAlignment="1">
      <alignment horizontal="center" vertical="center"/>
    </xf>
    <xf numFmtId="165" fontId="37" fillId="7" borderId="8" xfId="1" applyNumberFormat="1" applyFont="1" applyFill="1" applyBorder="1" applyAlignment="1">
      <alignment vertical="center" wrapText="1"/>
    </xf>
    <xf numFmtId="165" fontId="37" fillId="7" borderId="18" xfId="1" applyNumberFormat="1" applyFont="1" applyFill="1" applyBorder="1" applyAlignment="1">
      <alignment horizontal="center" vertical="center"/>
    </xf>
    <xf numFmtId="3" fontId="38" fillId="7" borderId="4" xfId="0" applyNumberFormat="1" applyFont="1" applyFill="1" applyBorder="1" applyAlignment="1">
      <alignment horizontal="right" vertical="center"/>
    </xf>
    <xf numFmtId="3" fontId="38" fillId="7" borderId="0" xfId="0" applyNumberFormat="1" applyFont="1" applyFill="1" applyBorder="1" applyAlignment="1">
      <alignment vertical="center" wrapText="1"/>
    </xf>
    <xf numFmtId="14" fontId="33" fillId="7" borderId="0" xfId="0" applyNumberFormat="1" applyFont="1" applyFill="1" applyAlignment="1">
      <alignment vertical="center" wrapText="1"/>
    </xf>
    <xf numFmtId="3" fontId="37" fillId="7" borderId="4" xfId="0" applyNumberFormat="1" applyFont="1" applyFill="1" applyBorder="1" applyAlignment="1">
      <alignment horizontal="center" vertical="center" wrapText="1"/>
    </xf>
    <xf numFmtId="14" fontId="38" fillId="7" borderId="4" xfId="0" applyNumberFormat="1" applyFont="1" applyFill="1" applyBorder="1" applyAlignment="1">
      <alignment vertical="center" wrapText="1"/>
    </xf>
    <xf numFmtId="3" fontId="39" fillId="7" borderId="4" xfId="0" applyNumberFormat="1" applyFont="1" applyFill="1" applyBorder="1" applyAlignment="1">
      <alignment vertical="center" wrapText="1"/>
    </xf>
    <xf numFmtId="0" fontId="13" fillId="7" borderId="12" xfId="0" applyFont="1" applyFill="1" applyBorder="1" applyAlignment="1" applyProtection="1">
      <alignment horizontal="center" vertical="center" wrapText="1"/>
      <protection locked="0"/>
    </xf>
    <xf numFmtId="0" fontId="13" fillId="7" borderId="12" xfId="0" applyFont="1" applyFill="1" applyBorder="1" applyAlignment="1" applyProtection="1">
      <alignment vertical="center" wrapText="1"/>
      <protection locked="0"/>
    </xf>
    <xf numFmtId="165" fontId="37" fillId="7" borderId="3" xfId="1" applyNumberFormat="1" applyFont="1" applyFill="1" applyBorder="1" applyAlignment="1">
      <alignment horizontal="center" vertical="center"/>
    </xf>
    <xf numFmtId="0" fontId="13" fillId="7" borderId="4" xfId="0" applyNumberFormat="1" applyFont="1" applyFill="1" applyBorder="1" applyAlignment="1" applyProtection="1">
      <alignment horizontal="center" vertical="center" wrapText="1"/>
      <protection locked="0"/>
    </xf>
    <xf numFmtId="0" fontId="37" fillId="7" borderId="14" xfId="0" applyNumberFormat="1" applyFont="1" applyFill="1" applyBorder="1" applyAlignment="1">
      <alignment horizontal="center" vertical="center"/>
    </xf>
    <xf numFmtId="0" fontId="35" fillId="7" borderId="14" xfId="0" applyFont="1" applyFill="1" applyBorder="1" applyAlignment="1">
      <alignment wrapText="1"/>
    </xf>
    <xf numFmtId="0" fontId="35" fillId="7" borderId="0" xfId="0" applyFont="1" applyFill="1" applyBorder="1" applyAlignment="1">
      <alignment horizontal="center" wrapText="1"/>
    </xf>
    <xf numFmtId="0" fontId="41" fillId="7" borderId="0" xfId="0" applyFont="1" applyFill="1" applyAlignment="1">
      <alignment vertical="top" wrapText="1"/>
    </xf>
    <xf numFmtId="0" fontId="37" fillId="7" borderId="0" xfId="0" applyFont="1" applyFill="1" applyAlignment="1">
      <alignment vertical="top" wrapText="1"/>
    </xf>
    <xf numFmtId="3" fontId="37" fillId="7" borderId="0" xfId="0" applyNumberFormat="1" applyFont="1" applyFill="1" applyAlignment="1">
      <alignment vertical="top" wrapText="1"/>
    </xf>
    <xf numFmtId="165" fontId="35" fillId="7" borderId="0" xfId="0" applyNumberFormat="1" applyFont="1" applyFill="1" applyAlignment="1">
      <alignment horizontal="left" wrapText="1"/>
    </xf>
    <xf numFmtId="3" fontId="35" fillId="7" borderId="0" xfId="0" applyNumberFormat="1" applyFont="1" applyFill="1" applyAlignment="1">
      <alignment horizontal="left" wrapText="1"/>
    </xf>
    <xf numFmtId="14" fontId="35" fillId="7" borderId="0" xfId="0" applyNumberFormat="1" applyFont="1" applyFill="1" applyAlignment="1">
      <alignment horizontal="left" wrapText="1"/>
    </xf>
    <xf numFmtId="0" fontId="35" fillId="7" borderId="0" xfId="0" applyFont="1" applyFill="1" applyAlignment="1">
      <alignment horizontal="left" wrapText="1"/>
    </xf>
    <xf numFmtId="1" fontId="35" fillId="7" borderId="0" xfId="0" applyNumberFormat="1" applyFont="1" applyFill="1" applyAlignment="1">
      <alignment horizontal="left" wrapText="1"/>
    </xf>
    <xf numFmtId="164" fontId="35" fillId="7" borderId="0" xfId="0" applyNumberFormat="1" applyFont="1" applyFill="1" applyAlignment="1">
      <alignment wrapText="1"/>
    </xf>
    <xf numFmtId="0" fontId="37" fillId="7" borderId="0" xfId="0" applyFont="1" applyFill="1" applyAlignment="1">
      <alignment wrapText="1"/>
    </xf>
    <xf numFmtId="164" fontId="35" fillId="7" borderId="0" xfId="2" applyFont="1" applyFill="1" applyAlignment="1">
      <alignment wrapText="1"/>
    </xf>
    <xf numFmtId="0" fontId="33" fillId="7" borderId="0" xfId="0" applyFont="1" applyFill="1" applyAlignment="1">
      <alignment horizontal="center" wrapText="1"/>
    </xf>
    <xf numFmtId="1" fontId="33" fillId="7" borderId="0" xfId="0" applyNumberFormat="1" applyFont="1" applyFill="1" applyAlignment="1"/>
    <xf numFmtId="0" fontId="34" fillId="7" borderId="0" xfId="0" applyFont="1" applyFill="1" applyAlignment="1">
      <alignment vertical="center" wrapText="1"/>
    </xf>
    <xf numFmtId="3" fontId="6" fillId="0" borderId="4" xfId="0" applyNumberFormat="1" applyFont="1" applyBorder="1"/>
    <xf numFmtId="0" fontId="11" fillId="0" borderId="17" xfId="0" applyFont="1" applyBorder="1" applyAlignment="1">
      <alignment horizontal="center" vertical="center"/>
    </xf>
    <xf numFmtId="3" fontId="12" fillId="0" borderId="5" xfId="0" applyNumberFormat="1" applyFont="1" applyBorder="1" applyAlignment="1">
      <alignment vertical="center" wrapText="1"/>
    </xf>
    <xf numFmtId="3" fontId="9" fillId="0" borderId="4" xfId="0" applyNumberFormat="1" applyFont="1" applyFill="1" applyBorder="1" applyAlignment="1">
      <alignment vertical="center" wrapText="1"/>
    </xf>
    <xf numFmtId="14" fontId="6" fillId="0" borderId="4" xfId="0" applyNumberFormat="1" applyFont="1" applyBorder="1" applyAlignment="1">
      <alignment vertical="center" wrapText="1"/>
    </xf>
    <xf numFmtId="0" fontId="6" fillId="7" borderId="4" xfId="0" applyFont="1" applyFill="1" applyBorder="1" applyAlignment="1">
      <alignment horizontal="center" vertical="center"/>
    </xf>
    <xf numFmtId="0" fontId="12" fillId="7" borderId="4" xfId="10" applyFont="1" applyFill="1" applyBorder="1" applyAlignment="1">
      <alignment horizontal="center" vertical="center"/>
    </xf>
    <xf numFmtId="0" fontId="13" fillId="7" borderId="4" xfId="10" applyFont="1" applyFill="1" applyBorder="1" applyAlignment="1">
      <alignment vertical="center"/>
    </xf>
    <xf numFmtId="3" fontId="12" fillId="7" borderId="5" xfId="0" applyNumberFormat="1" applyFont="1" applyFill="1" applyBorder="1" applyAlignment="1">
      <alignment vertical="center" wrapText="1"/>
    </xf>
    <xf numFmtId="3" fontId="6" fillId="7" borderId="4" xfId="0" applyNumberFormat="1" applyFont="1" applyFill="1" applyBorder="1"/>
    <xf numFmtId="14" fontId="6" fillId="7" borderId="4" xfId="0" applyNumberFormat="1" applyFont="1" applyFill="1" applyBorder="1" applyAlignment="1">
      <alignment vertical="center" wrapText="1"/>
    </xf>
    <xf numFmtId="3" fontId="14" fillId="0" borderId="16" xfId="0" applyNumberFormat="1" applyFont="1" applyFill="1" applyBorder="1" applyAlignment="1">
      <alignment vertical="center" wrapText="1"/>
    </xf>
    <xf numFmtId="0" fontId="11" fillId="0" borderId="20" xfId="0" applyFont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vertical="center"/>
    </xf>
    <xf numFmtId="0" fontId="6" fillId="0" borderId="6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49" fontId="13" fillId="0" borderId="7" xfId="0" applyNumberFormat="1" applyFont="1" applyFill="1" applyBorder="1" applyAlignment="1">
      <alignment horizontal="center" vertical="center"/>
    </xf>
    <xf numFmtId="3" fontId="15" fillId="2" borderId="4" xfId="3" applyNumberFormat="1" applyFont="1" applyBorder="1" applyAlignment="1">
      <alignment horizontal="center" vertical="center"/>
    </xf>
    <xf numFmtId="0" fontId="20" fillId="7" borderId="4" xfId="0" applyFont="1" applyFill="1" applyBorder="1" applyAlignment="1">
      <alignment vertical="center"/>
    </xf>
    <xf numFmtId="3" fontId="6" fillId="7" borderId="0" xfId="0" applyNumberFormat="1" applyFont="1" applyFill="1"/>
    <xf numFmtId="3" fontId="6" fillId="7" borderId="5" xfId="0" applyNumberFormat="1" applyFont="1" applyFill="1" applyBorder="1"/>
    <xf numFmtId="3" fontId="14" fillId="7" borderId="4" xfId="0" applyNumberFormat="1" applyFont="1" applyFill="1" applyBorder="1" applyAlignment="1">
      <alignment horizontal="center" vertical="center" wrapText="1"/>
    </xf>
    <xf numFmtId="1" fontId="13" fillId="7" borderId="0" xfId="0" applyNumberFormat="1" applyFont="1" applyFill="1"/>
    <xf numFmtId="0" fontId="11" fillId="7" borderId="9" xfId="0" applyFont="1" applyFill="1" applyBorder="1" applyAlignment="1">
      <alignment horizontal="left" vertical="center"/>
    </xf>
    <xf numFmtId="0" fontId="9" fillId="7" borderId="4" xfId="0" applyFont="1" applyFill="1" applyBorder="1" applyAlignment="1">
      <alignment vertical="center" wrapText="1"/>
    </xf>
    <xf numFmtId="0" fontId="13" fillId="7" borderId="4" xfId="0" applyFont="1" applyFill="1" applyBorder="1" applyAlignment="1">
      <alignment vertical="center"/>
    </xf>
    <xf numFmtId="3" fontId="26" fillId="7" borderId="4" xfId="0" applyNumberFormat="1" applyFont="1" applyFill="1" applyBorder="1" applyAlignment="1">
      <alignment vertical="center" wrapText="1"/>
    </xf>
    <xf numFmtId="0" fontId="12" fillId="7" borderId="19" xfId="10" applyFont="1" applyFill="1" applyBorder="1" applyAlignment="1">
      <alignment horizontal="center" vertical="center"/>
    </xf>
    <xf numFmtId="0" fontId="13" fillId="7" borderId="4" xfId="11" applyFont="1" applyFill="1" applyBorder="1" applyAlignment="1">
      <alignment vertical="center"/>
    </xf>
    <xf numFmtId="3" fontId="12" fillId="7" borderId="4" xfId="11" applyNumberFormat="1" applyFont="1" applyFill="1" applyBorder="1" applyAlignment="1">
      <alignment vertical="center"/>
    </xf>
    <xf numFmtId="0" fontId="12" fillId="7" borderId="4" xfId="0" applyFont="1" applyFill="1" applyBorder="1" applyAlignment="1">
      <alignment vertical="center"/>
    </xf>
    <xf numFmtId="3" fontId="14" fillId="7" borderId="16" xfId="0" applyNumberFormat="1" applyFont="1" applyFill="1" applyBorder="1" applyAlignment="1">
      <alignment vertical="center" wrapText="1"/>
    </xf>
    <xf numFmtId="0" fontId="12" fillId="7" borderId="17" xfId="0" applyFont="1" applyFill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vertical="center"/>
    </xf>
    <xf numFmtId="0" fontId="6" fillId="7" borderId="6" xfId="0" applyFont="1" applyFill="1" applyBorder="1" applyAlignment="1">
      <alignment horizontal="left" vertical="center" wrapText="1"/>
    </xf>
    <xf numFmtId="0" fontId="6" fillId="7" borderId="11" xfId="0" applyFont="1" applyFill="1" applyBorder="1" applyAlignment="1">
      <alignment horizontal="left" vertical="center" wrapText="1"/>
    </xf>
    <xf numFmtId="49" fontId="13" fillId="7" borderId="7" xfId="0" applyNumberFormat="1" applyFont="1" applyFill="1" applyBorder="1" applyAlignment="1">
      <alignment horizontal="center" vertical="center"/>
    </xf>
    <xf numFmtId="0" fontId="24" fillId="7" borderId="0" xfId="0" applyFont="1" applyFill="1" applyAlignment="1">
      <alignment horizontal="left" vertical="top" wrapText="1"/>
    </xf>
    <xf numFmtId="3" fontId="14" fillId="7" borderId="4" xfId="0" applyNumberFormat="1" applyFont="1" applyFill="1" applyBorder="1" applyAlignment="1">
      <alignment vertical="center"/>
    </xf>
    <xf numFmtId="14" fontId="9" fillId="7" borderId="4" xfId="0" applyNumberFormat="1" applyFont="1" applyFill="1" applyBorder="1" applyAlignment="1">
      <alignment vertical="center" wrapText="1"/>
    </xf>
    <xf numFmtId="1" fontId="9" fillId="7" borderId="4" xfId="0" applyNumberFormat="1" applyFont="1" applyFill="1" applyBorder="1" applyAlignment="1">
      <alignment vertical="center" wrapText="1"/>
    </xf>
    <xf numFmtId="1" fontId="6" fillId="7" borderId="4" xfId="0" applyNumberFormat="1" applyFont="1" applyFill="1" applyBorder="1" applyAlignment="1">
      <alignment vertical="center" wrapText="1"/>
    </xf>
    <xf numFmtId="3" fontId="6" fillId="0" borderId="4" xfId="0" applyNumberFormat="1" applyFont="1" applyBorder="1" applyAlignment="1">
      <alignment vertical="center" wrapText="1"/>
    </xf>
    <xf numFmtId="3" fontId="14" fillId="0" borderId="4" xfId="0" applyNumberFormat="1" applyFont="1" applyFill="1" applyBorder="1" applyAlignment="1">
      <alignment vertical="center"/>
    </xf>
    <xf numFmtId="0" fontId="0" fillId="6" borderId="8" xfId="5" applyFont="1" applyFill="1" applyBorder="1" applyAlignment="1">
      <alignment horizontal="center" vertical="center" wrapText="1"/>
    </xf>
    <xf numFmtId="1" fontId="12" fillId="7" borderId="4" xfId="0" applyNumberFormat="1" applyFont="1" applyFill="1" applyBorder="1" applyAlignment="1">
      <alignment horizontal="center" vertical="center"/>
    </xf>
    <xf numFmtId="3" fontId="6" fillId="0" borderId="4" xfId="0" applyNumberFormat="1" applyFont="1" applyBorder="1" applyAlignment="1">
      <alignment horizontal="right" vertical="center" wrapText="1"/>
    </xf>
    <xf numFmtId="0" fontId="42" fillId="7" borderId="21" xfId="0" applyFont="1" applyFill="1" applyBorder="1" applyAlignment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12" fillId="7" borderId="13" xfId="0" applyFont="1" applyFill="1" applyBorder="1" applyAlignment="1">
      <alignment horizontal="center"/>
    </xf>
    <xf numFmtId="0" fontId="12" fillId="7" borderId="0" xfId="0" applyFont="1" applyFill="1" applyBorder="1"/>
    <xf numFmtId="0" fontId="12" fillId="7" borderId="10" xfId="0" applyFont="1" applyFill="1" applyBorder="1" applyAlignment="1">
      <alignment vertical="center" wrapText="1"/>
    </xf>
    <xf numFmtId="0" fontId="6" fillId="7" borderId="13" xfId="0" applyFont="1" applyFill="1" applyBorder="1"/>
    <xf numFmtId="0" fontId="12" fillId="7" borderId="13" xfId="0" applyFont="1" applyFill="1" applyBorder="1"/>
    <xf numFmtId="49" fontId="12" fillId="7" borderId="16" xfId="0" applyNumberFormat="1" applyFont="1" applyFill="1" applyBorder="1" applyAlignment="1">
      <alignment horizontal="center" vertical="center"/>
    </xf>
    <xf numFmtId="3" fontId="12" fillId="7" borderId="0" xfId="0" applyNumberFormat="1" applyFont="1" applyFill="1" applyBorder="1" applyAlignment="1">
      <alignment horizontal="center"/>
    </xf>
    <xf numFmtId="3" fontId="12" fillId="7" borderId="16" xfId="0" applyNumberFormat="1" applyFont="1" applyFill="1" applyBorder="1" applyAlignment="1">
      <alignment horizontal="center" vertical="center" wrapText="1"/>
    </xf>
    <xf numFmtId="3" fontId="12" fillId="7" borderId="10" xfId="0" applyNumberFormat="1" applyFont="1" applyFill="1" applyBorder="1" applyAlignment="1">
      <alignment vertical="center" wrapText="1"/>
    </xf>
    <xf numFmtId="3" fontId="12" fillId="7" borderId="13" xfId="0" applyNumberFormat="1" applyFont="1" applyFill="1" applyBorder="1" applyAlignment="1">
      <alignment vertical="center" wrapText="1"/>
    </xf>
    <xf numFmtId="3" fontId="12" fillId="7" borderId="16" xfId="0" applyNumberFormat="1" applyFont="1" applyFill="1" applyBorder="1" applyAlignment="1">
      <alignment vertical="center" wrapText="1"/>
    </xf>
    <xf numFmtId="3" fontId="12" fillId="7" borderId="13" xfId="0" applyNumberFormat="1" applyFont="1" applyFill="1" applyBorder="1" applyAlignment="1">
      <alignment horizontal="center"/>
    </xf>
    <xf numFmtId="3" fontId="6" fillId="7" borderId="4" xfId="0" applyNumberFormat="1" applyFont="1" applyFill="1" applyBorder="1" applyAlignment="1">
      <alignment horizontal="left" vertical="center" wrapText="1"/>
    </xf>
    <xf numFmtId="3" fontId="42" fillId="7" borderId="4" xfId="0" applyNumberFormat="1" applyFont="1" applyFill="1" applyBorder="1" applyAlignment="1">
      <alignment vertical="center"/>
    </xf>
    <xf numFmtId="3" fontId="12" fillId="7" borderId="4" xfId="0" applyNumberFormat="1" applyFont="1" applyFill="1" applyBorder="1" applyAlignment="1">
      <alignment horizontal="right" vertical="center"/>
    </xf>
    <xf numFmtId="0" fontId="12" fillId="7" borderId="4" xfId="0" applyFont="1" applyFill="1" applyBorder="1" applyAlignment="1">
      <alignment horizontal="center"/>
    </xf>
    <xf numFmtId="0" fontId="12" fillId="7" borderId="4" xfId="0" applyFont="1" applyFill="1" applyBorder="1"/>
    <xf numFmtId="0" fontId="12" fillId="7" borderId="4" xfId="0" applyFont="1" applyFill="1" applyBorder="1" applyAlignment="1">
      <alignment vertical="center" wrapText="1"/>
    </xf>
    <xf numFmtId="0" fontId="6" fillId="7" borderId="4" xfId="0" applyFont="1" applyFill="1" applyBorder="1"/>
    <xf numFmtId="49" fontId="12" fillId="7" borderId="4" xfId="0" applyNumberFormat="1" applyFont="1" applyFill="1" applyBorder="1" applyAlignment="1">
      <alignment horizontal="center" vertical="center"/>
    </xf>
    <xf numFmtId="3" fontId="12" fillId="7" borderId="4" xfId="0" applyNumberFormat="1" applyFont="1" applyFill="1" applyBorder="1" applyAlignment="1">
      <alignment horizontal="center"/>
    </xf>
    <xf numFmtId="3" fontId="12" fillId="7" borderId="4" xfId="0" applyNumberFormat="1" applyFont="1" applyFill="1" applyBorder="1" applyAlignment="1">
      <alignment horizontal="center" vertical="center" wrapText="1"/>
    </xf>
    <xf numFmtId="174" fontId="12" fillId="7" borderId="4" xfId="0" applyNumberFormat="1" applyFont="1" applyFill="1" applyBorder="1" applyAlignment="1" applyProtection="1">
      <alignment horizontal="center"/>
      <protection locked="0"/>
    </xf>
    <xf numFmtId="0" fontId="42" fillId="7" borderId="9" xfId="0" applyFont="1" applyFill="1" applyBorder="1" applyAlignment="1">
      <alignment horizontal="center" vertical="center"/>
    </xf>
    <xf numFmtId="0" fontId="42" fillId="7" borderId="17" xfId="0" applyFont="1" applyFill="1" applyBorder="1" applyAlignment="1">
      <alignment horizontal="center" vertical="center"/>
    </xf>
    <xf numFmtId="1" fontId="12" fillId="7" borderId="10" xfId="0" applyNumberFormat="1" applyFont="1" applyFill="1" applyBorder="1" applyAlignment="1">
      <alignment horizontal="center"/>
    </xf>
    <xf numFmtId="0" fontId="12" fillId="7" borderId="13" xfId="0" applyFont="1" applyFill="1" applyBorder="1" applyAlignment="1">
      <alignment horizontal="left"/>
    </xf>
    <xf numFmtId="1" fontId="12" fillId="7" borderId="4" xfId="0" applyNumberFormat="1" applyFont="1" applyFill="1" applyBorder="1" applyAlignment="1">
      <alignment horizontal="center"/>
    </xf>
    <xf numFmtId="0" fontId="12" fillId="7" borderId="4" xfId="0" applyFont="1" applyFill="1" applyBorder="1" applyAlignment="1">
      <alignment horizontal="left"/>
    </xf>
    <xf numFmtId="3" fontId="18" fillId="7" borderId="0" xfId="0" applyNumberFormat="1" applyFont="1" applyFill="1"/>
    <xf numFmtId="3" fontId="18" fillId="7" borderId="4" xfId="0" applyNumberFormat="1" applyFont="1" applyFill="1" applyBorder="1"/>
    <xf numFmtId="1" fontId="12" fillId="7" borderId="13" xfId="0" applyNumberFormat="1" applyFont="1" applyFill="1" applyBorder="1" applyAlignment="1">
      <alignment horizontal="center"/>
    </xf>
    <xf numFmtId="49" fontId="12" fillId="7" borderId="13" xfId="0" applyNumberFormat="1" applyFont="1" applyFill="1" applyBorder="1" applyAlignment="1">
      <alignment horizontal="left"/>
    </xf>
    <xf numFmtId="174" fontId="12" fillId="7" borderId="13" xfId="0" applyNumberFormat="1" applyFont="1" applyFill="1" applyBorder="1" applyAlignment="1">
      <alignment horizontal="center"/>
    </xf>
    <xf numFmtId="49" fontId="12" fillId="7" borderId="4" xfId="0" applyNumberFormat="1" applyFont="1" applyFill="1" applyBorder="1" applyAlignment="1">
      <alignment horizontal="left"/>
    </xf>
    <xf numFmtId="174" fontId="12" fillId="7" borderId="4" xfId="0" applyNumberFormat="1" applyFont="1" applyFill="1" applyBorder="1" applyAlignment="1">
      <alignment horizontal="center"/>
    </xf>
    <xf numFmtId="1" fontId="12" fillId="7" borderId="16" xfId="0" applyNumberFormat="1" applyFont="1" applyFill="1" applyBorder="1" applyAlignment="1">
      <alignment horizontal="center"/>
    </xf>
    <xf numFmtId="0" fontId="12" fillId="7" borderId="16" xfId="0" applyFont="1" applyFill="1" applyBorder="1" applyAlignment="1">
      <alignment horizontal="left"/>
    </xf>
    <xf numFmtId="0" fontId="6" fillId="7" borderId="16" xfId="0" applyFont="1" applyFill="1" applyBorder="1"/>
    <xf numFmtId="174" fontId="12" fillId="7" borderId="13" xfId="0" applyNumberFormat="1" applyFont="1" applyFill="1" applyBorder="1" applyAlignment="1" applyProtection="1">
      <alignment horizontal="center"/>
      <protection locked="0"/>
    </xf>
    <xf numFmtId="0" fontId="42" fillId="7" borderId="5" xfId="0" applyFont="1" applyFill="1" applyBorder="1" applyAlignment="1">
      <alignment horizontal="center" vertical="center"/>
    </xf>
    <xf numFmtId="49" fontId="12" fillId="7" borderId="10" xfId="0" applyNumberFormat="1" applyFont="1" applyFill="1" applyBorder="1" applyAlignment="1">
      <alignment horizontal="left"/>
    </xf>
    <xf numFmtId="49" fontId="12" fillId="7" borderId="10" xfId="0" applyNumberFormat="1" applyFont="1" applyFill="1" applyBorder="1" applyAlignment="1">
      <alignment horizontal="center" vertical="center"/>
    </xf>
    <xf numFmtId="3" fontId="12" fillId="7" borderId="7" xfId="0" applyNumberFormat="1" applyFont="1" applyFill="1" applyBorder="1" applyAlignment="1">
      <alignment horizontal="center"/>
    </xf>
    <xf numFmtId="49" fontId="12" fillId="7" borderId="13" xfId="0" applyNumberFormat="1" applyFont="1" applyFill="1" applyBorder="1" applyAlignment="1">
      <alignment horizontal="center" vertical="center"/>
    </xf>
    <xf numFmtId="1" fontId="42" fillId="7" borderId="4" xfId="0" applyNumberFormat="1" applyFont="1" applyFill="1" applyBorder="1" applyAlignment="1">
      <alignment horizontal="center" vertical="center"/>
    </xf>
    <xf numFmtId="174" fontId="12" fillId="7" borderId="7" xfId="0" applyNumberFormat="1" applyFont="1" applyFill="1" applyBorder="1" applyAlignment="1">
      <alignment horizontal="center"/>
    </xf>
    <xf numFmtId="1" fontId="42" fillId="7" borderId="13" xfId="0" applyNumberFormat="1" applyFont="1" applyFill="1" applyBorder="1" applyAlignment="1">
      <alignment horizontal="center" vertical="center"/>
    </xf>
    <xf numFmtId="174" fontId="12" fillId="7" borderId="0" xfId="0" applyNumberFormat="1" applyFont="1" applyFill="1" applyBorder="1" applyAlignment="1">
      <alignment horizontal="center"/>
    </xf>
    <xf numFmtId="1" fontId="12" fillId="7" borderId="13" xfId="0" applyNumberFormat="1" applyFont="1" applyFill="1" applyBorder="1" applyAlignment="1" applyProtection="1">
      <alignment horizontal="center"/>
      <protection locked="0"/>
    </xf>
    <xf numFmtId="0" fontId="12" fillId="7" borderId="13" xfId="0" applyFont="1" applyFill="1" applyBorder="1" applyAlignment="1" applyProtection="1">
      <alignment horizontal="left" vertical="center"/>
      <protection locked="0"/>
    </xf>
    <xf numFmtId="3" fontId="12" fillId="7" borderId="0" xfId="0" applyNumberFormat="1" applyFont="1" applyFill="1" applyBorder="1" applyAlignment="1" applyProtection="1">
      <alignment horizontal="center"/>
      <protection locked="0"/>
    </xf>
    <xf numFmtId="0" fontId="42" fillId="7" borderId="23" xfId="0" applyFont="1" applyFill="1" applyBorder="1" applyAlignment="1">
      <alignment horizontal="center" vertical="center"/>
    </xf>
    <xf numFmtId="1" fontId="12" fillId="7" borderId="4" xfId="0" applyNumberFormat="1" applyFont="1" applyFill="1" applyBorder="1" applyAlignment="1" applyProtection="1">
      <alignment horizontal="center"/>
      <protection locked="0"/>
    </xf>
    <xf numFmtId="0" fontId="12" fillId="7" borderId="4" xfId="0" applyFont="1" applyFill="1" applyBorder="1" applyAlignment="1" applyProtection="1">
      <alignment horizontal="left" vertical="center"/>
      <protection locked="0"/>
    </xf>
    <xf numFmtId="3" fontId="12" fillId="7" borderId="7" xfId="0" applyNumberFormat="1" applyFont="1" applyFill="1" applyBorder="1" applyAlignment="1" applyProtection="1">
      <alignment horizontal="center"/>
      <protection locked="0"/>
    </xf>
    <xf numFmtId="3" fontId="24" fillId="7" borderId="4" xfId="0" applyNumberFormat="1" applyFont="1" applyFill="1" applyBorder="1" applyAlignment="1">
      <alignment vertical="center" wrapText="1"/>
    </xf>
    <xf numFmtId="0" fontId="12" fillId="7" borderId="13" xfId="0" applyFont="1" applyFill="1" applyBorder="1" applyAlignment="1" applyProtection="1">
      <alignment horizontal="left"/>
      <protection locked="0"/>
    </xf>
    <xf numFmtId="3" fontId="24" fillId="7" borderId="4" xfId="0" applyNumberFormat="1" applyFont="1" applyFill="1" applyBorder="1" applyAlignment="1">
      <alignment horizontal="right" vertical="center"/>
    </xf>
    <xf numFmtId="0" fontId="12" fillId="7" borderId="16" xfId="0" applyNumberFormat="1" applyFont="1" applyFill="1" applyBorder="1" applyAlignment="1">
      <alignment horizontal="center" vertical="center" wrapText="1"/>
    </xf>
    <xf numFmtId="0" fontId="12" fillId="7" borderId="16" xfId="0" applyNumberFormat="1" applyFont="1" applyFill="1" applyBorder="1" applyAlignment="1">
      <alignment horizontal="left" vertical="center" wrapText="1"/>
    </xf>
    <xf numFmtId="49" fontId="12" fillId="7" borderId="0" xfId="0" applyNumberFormat="1" applyFont="1" applyFill="1" applyBorder="1" applyAlignment="1">
      <alignment horizontal="left"/>
    </xf>
    <xf numFmtId="3" fontId="6" fillId="7" borderId="4" xfId="0" applyNumberFormat="1" applyFont="1" applyFill="1" applyBorder="1" applyAlignment="1">
      <alignment horizontal="right" vertical="center" wrapText="1"/>
    </xf>
    <xf numFmtId="49" fontId="12" fillId="7" borderId="5" xfId="0" applyNumberFormat="1" applyFont="1" applyFill="1" applyBorder="1" applyAlignment="1">
      <alignment horizontal="left"/>
    </xf>
    <xf numFmtId="3" fontId="13" fillId="7" borderId="4" xfId="0" applyNumberFormat="1" applyFont="1" applyFill="1" applyBorder="1" applyAlignment="1">
      <alignment horizontal="center" vertical="center" wrapText="1"/>
    </xf>
    <xf numFmtId="0" fontId="6" fillId="7" borderId="10" xfId="0" applyFont="1" applyFill="1" applyBorder="1"/>
    <xf numFmtId="0" fontId="12" fillId="7" borderId="5" xfId="0" applyFont="1" applyFill="1" applyBorder="1"/>
    <xf numFmtId="0" fontId="12" fillId="7" borderId="20" xfId="0" applyNumberFormat="1" applyFont="1" applyFill="1" applyBorder="1" applyAlignment="1">
      <alignment horizontal="left" vertical="center" wrapText="1"/>
    </xf>
    <xf numFmtId="0" fontId="12" fillId="7" borderId="10" xfId="0" applyFont="1" applyFill="1" applyBorder="1"/>
    <xf numFmtId="0" fontId="24" fillId="7" borderId="0" xfId="0" applyFont="1" applyFill="1" applyAlignment="1">
      <alignment wrapText="1"/>
    </xf>
    <xf numFmtId="3" fontId="43" fillId="7" borderId="4" xfId="3" applyNumberFormat="1" applyFont="1" applyFill="1" applyBorder="1" applyAlignment="1">
      <alignment vertical="center"/>
    </xf>
    <xf numFmtId="164" fontId="6" fillId="7" borderId="0" xfId="2" applyFont="1" applyFill="1" applyAlignment="1">
      <alignment wrapText="1"/>
    </xf>
    <xf numFmtId="3" fontId="5" fillId="7" borderId="0" xfId="0" applyNumberFormat="1" applyFont="1" applyFill="1" applyAlignment="1">
      <alignment wrapText="1"/>
    </xf>
    <xf numFmtId="3" fontId="2" fillId="2" borderId="4" xfId="3" applyNumberFormat="1" applyBorder="1" applyAlignment="1">
      <alignment vertical="center"/>
    </xf>
    <xf numFmtId="3" fontId="8" fillId="7" borderId="0" xfId="0" applyNumberFormat="1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wrapText="1"/>
    </xf>
    <xf numFmtId="0" fontId="8" fillId="7" borderId="0" xfId="0" applyFont="1" applyFill="1" applyBorder="1" applyAlignment="1">
      <alignment horizontal="center" wrapText="1"/>
    </xf>
    <xf numFmtId="0" fontId="11" fillId="0" borderId="16" xfId="0" applyFont="1" applyBorder="1" applyAlignment="1">
      <alignment horizontal="center" vertical="center"/>
    </xf>
    <xf numFmtId="1" fontId="12" fillId="7" borderId="16" xfId="0" applyNumberFormat="1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vertical="center" wrapText="1"/>
    </xf>
    <xf numFmtId="1" fontId="13" fillId="0" borderId="16" xfId="0" applyNumberFormat="1" applyFont="1" applyFill="1" applyBorder="1" applyAlignment="1">
      <alignment vertical="center" wrapText="1"/>
    </xf>
    <xf numFmtId="0" fontId="6" fillId="0" borderId="16" xfId="0" applyFont="1" applyBorder="1" applyAlignment="1">
      <alignment horizontal="left" vertical="center" wrapText="1"/>
    </xf>
    <xf numFmtId="3" fontId="12" fillId="0" borderId="16" xfId="0" applyNumberFormat="1" applyFont="1" applyBorder="1" applyAlignment="1">
      <alignment vertical="center" wrapText="1"/>
    </xf>
    <xf numFmtId="1" fontId="6" fillId="0" borderId="16" xfId="0" applyNumberFormat="1" applyFont="1" applyBorder="1" applyAlignment="1">
      <alignment horizontal="center" vertical="center" wrapText="1"/>
    </xf>
    <xf numFmtId="14" fontId="6" fillId="0" borderId="16" xfId="0" applyNumberFormat="1" applyFont="1" applyFill="1" applyBorder="1" applyAlignment="1">
      <alignment horizontal="center" vertical="center" wrapText="1"/>
    </xf>
    <xf numFmtId="14" fontId="6" fillId="0" borderId="16" xfId="0" applyNumberFormat="1" applyFont="1" applyBorder="1" applyAlignment="1">
      <alignment horizontal="left"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3" fontId="7" fillId="0" borderId="16" xfId="0" applyNumberFormat="1" applyFont="1" applyBorder="1" applyAlignment="1">
      <alignment vertical="center"/>
    </xf>
    <xf numFmtId="3" fontId="14" fillId="0" borderId="16" xfId="0" applyNumberFormat="1" applyFont="1" applyFill="1" applyBorder="1" applyAlignment="1">
      <alignment horizontal="right" vertical="center"/>
    </xf>
    <xf numFmtId="1" fontId="13" fillId="0" borderId="4" xfId="0" applyNumberFormat="1" applyFont="1" applyFill="1" applyBorder="1" applyAlignment="1">
      <alignment vertical="center" wrapText="1"/>
    </xf>
    <xf numFmtId="1" fontId="13" fillId="7" borderId="4" xfId="0" applyNumberFormat="1" applyFont="1" applyFill="1" applyBorder="1" applyAlignment="1">
      <alignment vertical="center" wrapText="1"/>
    </xf>
    <xf numFmtId="16" fontId="6" fillId="7" borderId="4" xfId="0" applyNumberFormat="1" applyFont="1" applyFill="1" applyBorder="1" applyAlignment="1">
      <alignment horizontal="center" vertical="center" wrapText="1"/>
    </xf>
    <xf numFmtId="1" fontId="11" fillId="7" borderId="4" xfId="0" applyNumberFormat="1" applyFont="1" applyFill="1" applyBorder="1" applyAlignment="1">
      <alignment horizontal="center" vertical="center"/>
    </xf>
    <xf numFmtId="0" fontId="46" fillId="7" borderId="4" xfId="9" applyFont="1" applyFill="1" applyBorder="1" applyAlignment="1">
      <alignment horizontal="center" vertical="center" wrapText="1"/>
    </xf>
    <xf numFmtId="1" fontId="46" fillId="7" borderId="4" xfId="9" applyNumberFormat="1" applyFont="1" applyFill="1" applyBorder="1" applyAlignment="1">
      <alignment horizontal="center" vertical="center"/>
    </xf>
    <xf numFmtId="1" fontId="46" fillId="7" borderId="4" xfId="9" applyNumberFormat="1" applyFont="1" applyFill="1" applyBorder="1" applyAlignment="1">
      <alignment horizontal="center" vertical="center" wrapText="1"/>
    </xf>
    <xf numFmtId="1" fontId="46" fillId="7" borderId="4" xfId="9" applyNumberFormat="1" applyFont="1" applyFill="1" applyBorder="1" applyAlignment="1">
      <alignment horizontal="left" vertical="center"/>
    </xf>
    <xf numFmtId="3" fontId="6" fillId="7" borderId="0" xfId="0" applyNumberFormat="1" applyFont="1" applyFill="1" applyBorder="1" applyAlignment="1">
      <alignment wrapText="1"/>
    </xf>
    <xf numFmtId="10" fontId="6" fillId="7" borderId="0" xfId="0" applyNumberFormat="1" applyFont="1" applyFill="1" applyAlignment="1">
      <alignment wrapText="1"/>
    </xf>
    <xf numFmtId="0" fontId="24" fillId="7" borderId="0" xfId="0" applyFont="1" applyFill="1" applyAlignment="1">
      <alignment vertical="top" wrapText="1"/>
    </xf>
    <xf numFmtId="164" fontId="13" fillId="0" borderId="4" xfId="2" applyFont="1" applyFill="1" applyBorder="1" applyAlignment="1">
      <alignment vertical="center" wrapText="1"/>
    </xf>
    <xf numFmtId="14" fontId="13" fillId="0" borderId="4" xfId="0" applyNumberFormat="1" applyFont="1" applyFill="1" applyBorder="1" applyAlignment="1">
      <alignment vertical="center" wrapText="1"/>
    </xf>
    <xf numFmtId="0" fontId="13" fillId="0" borderId="6" xfId="0" applyFont="1" applyFill="1" applyBorder="1" applyAlignment="1">
      <alignment vertical="center" wrapText="1"/>
    </xf>
    <xf numFmtId="0" fontId="13" fillId="0" borderId="7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3" fontId="6" fillId="0" borderId="0" xfId="0" applyNumberFormat="1" applyFont="1" applyFill="1" applyAlignment="1">
      <alignment vertical="center" wrapText="1"/>
    </xf>
    <xf numFmtId="0" fontId="12" fillId="7" borderId="0" xfId="0" applyFont="1" applyFill="1" applyAlignment="1">
      <alignment horizontal="center" vertical="center" wrapText="1"/>
    </xf>
    <xf numFmtId="174" fontId="6" fillId="0" borderId="0" xfId="0" applyNumberFormat="1" applyFont="1" applyAlignment="1">
      <alignment wrapText="1"/>
    </xf>
    <xf numFmtId="0" fontId="12" fillId="7" borderId="0" xfId="0" applyFont="1" applyFill="1" applyAlignment="1">
      <alignment horizontal="left" vertical="top" wrapText="1"/>
    </xf>
    <xf numFmtId="0" fontId="12" fillId="7" borderId="0" xfId="0" applyFont="1" applyFill="1" applyAlignment="1">
      <alignment wrapText="1"/>
    </xf>
    <xf numFmtId="3" fontId="47" fillId="7" borderId="0" xfId="0" applyNumberFormat="1" applyFont="1" applyFill="1" applyAlignment="1">
      <alignment horizontal="right" vertical="center" wrapText="1"/>
    </xf>
    <xf numFmtId="175" fontId="48" fillId="0" borderId="4" xfId="1" applyNumberFormat="1" applyFont="1" applyFill="1" applyBorder="1"/>
    <xf numFmtId="3" fontId="7" fillId="6" borderId="2" xfId="0" applyNumberFormat="1" applyFont="1" applyFill="1" applyBorder="1" applyAlignment="1">
      <alignment horizontal="center" vertical="center" wrapText="1"/>
    </xf>
    <xf numFmtId="0" fontId="1" fillId="4" borderId="2" xfId="5" applyBorder="1" applyAlignment="1">
      <alignment horizontal="center" vertical="center" wrapText="1"/>
    </xf>
    <xf numFmtId="0" fontId="4" fillId="4" borderId="2" xfId="5" applyFont="1" applyBorder="1" applyAlignment="1">
      <alignment horizontal="center" vertical="center" wrapText="1"/>
    </xf>
    <xf numFmtId="1" fontId="7" fillId="8" borderId="2" xfId="0" applyNumberFormat="1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center" vertical="center" wrapText="1"/>
    </xf>
    <xf numFmtId="174" fontId="10" fillId="9" borderId="2" xfId="0" applyNumberFormat="1" applyFont="1" applyFill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/>
    </xf>
    <xf numFmtId="49" fontId="49" fillId="7" borderId="4" xfId="0" applyNumberFormat="1" applyFont="1" applyFill="1" applyBorder="1" applyAlignment="1">
      <alignment horizontal="center" vertical="center" wrapText="1"/>
    </xf>
    <xf numFmtId="49" fontId="33" fillId="7" borderId="4" xfId="0" applyNumberFormat="1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center" wrapText="1"/>
    </xf>
    <xf numFmtId="0" fontId="18" fillId="0" borderId="4" xfId="0" applyFont="1" applyFill="1" applyBorder="1" applyAlignment="1">
      <alignment vertical="center" wrapText="1"/>
    </xf>
    <xf numFmtId="0" fontId="33" fillId="0" borderId="4" xfId="0" applyFont="1" applyBorder="1" applyAlignment="1">
      <alignment horizontal="left" vertical="center" wrapText="1"/>
    </xf>
    <xf numFmtId="0" fontId="49" fillId="7" borderId="4" xfId="0" applyFont="1" applyFill="1" applyBorder="1" applyAlignment="1">
      <alignment horizontal="left" vertical="center" wrapText="1"/>
    </xf>
    <xf numFmtId="49" fontId="18" fillId="0" borderId="4" xfId="0" applyNumberFormat="1" applyFont="1" applyFill="1" applyBorder="1" applyAlignment="1">
      <alignment horizontal="center" vertical="center"/>
    </xf>
    <xf numFmtId="3" fontId="18" fillId="0" borderId="4" xfId="0" applyNumberFormat="1" applyFont="1" applyFill="1" applyBorder="1" applyAlignment="1">
      <alignment horizontal="right" vertical="center"/>
    </xf>
    <xf numFmtId="3" fontId="18" fillId="0" borderId="4" xfId="0" applyNumberFormat="1" applyFont="1" applyBorder="1" applyAlignment="1">
      <alignment horizontal="right" vertical="center" wrapText="1"/>
    </xf>
    <xf numFmtId="3" fontId="18" fillId="7" borderId="4" xfId="0" applyNumberFormat="1" applyFont="1" applyFill="1" applyBorder="1" applyAlignment="1">
      <alignment horizontal="right" vertical="center" wrapText="1"/>
    </xf>
    <xf numFmtId="49" fontId="33" fillId="0" borderId="4" xfId="0" applyNumberFormat="1" applyFont="1" applyBorder="1" applyAlignment="1">
      <alignment horizontal="center" vertical="center" wrapText="1"/>
    </xf>
    <xf numFmtId="14" fontId="33" fillId="0" borderId="4" xfId="0" applyNumberFormat="1" applyFont="1" applyBorder="1" applyAlignment="1">
      <alignment horizontal="center" vertical="center" wrapText="1"/>
    </xf>
    <xf numFmtId="174" fontId="18" fillId="7" borderId="4" xfId="0" applyNumberFormat="1" applyFont="1" applyFill="1" applyBorder="1" applyAlignment="1">
      <alignment vertical="center" wrapText="1"/>
    </xf>
    <xf numFmtId="14" fontId="33" fillId="0" borderId="4" xfId="0" applyNumberFormat="1" applyFont="1" applyFill="1" applyBorder="1" applyAlignment="1">
      <alignment horizontal="center" vertical="center" wrapText="1"/>
    </xf>
    <xf numFmtId="3" fontId="18" fillId="7" borderId="4" xfId="0" applyNumberFormat="1" applyFont="1" applyFill="1" applyBorder="1" applyAlignment="1">
      <alignment vertical="center" wrapText="1"/>
    </xf>
    <xf numFmtId="1" fontId="33" fillId="0" borderId="4" xfId="0" applyNumberFormat="1" applyFont="1" applyBorder="1" applyAlignment="1">
      <alignment horizontal="center" vertical="center" wrapText="1"/>
    </xf>
    <xf numFmtId="14" fontId="33" fillId="0" borderId="4" xfId="0" applyNumberFormat="1" applyFont="1" applyBorder="1" applyAlignment="1">
      <alignment horizontal="left" vertical="center" wrapText="1"/>
    </xf>
    <xf numFmtId="3" fontId="32" fillId="7" borderId="4" xfId="0" applyNumberFormat="1" applyFont="1" applyFill="1" applyBorder="1" applyAlignment="1">
      <alignment vertical="center" wrapText="1"/>
    </xf>
    <xf numFmtId="3" fontId="50" fillId="0" borderId="4" xfId="0" applyNumberFormat="1" applyFont="1" applyBorder="1" applyAlignment="1">
      <alignment vertical="center"/>
    </xf>
    <xf numFmtId="174" fontId="32" fillId="0" borderId="4" xfId="0" applyNumberFormat="1" applyFont="1" applyFill="1" applyBorder="1" applyAlignment="1">
      <alignment horizontal="right" vertical="center"/>
    </xf>
    <xf numFmtId="3" fontId="18" fillId="12" borderId="4" xfId="0" applyNumberFormat="1" applyFont="1" applyFill="1" applyBorder="1" applyAlignment="1">
      <alignment horizontal="right" vertical="center" wrapText="1"/>
    </xf>
    <xf numFmtId="49" fontId="33" fillId="0" borderId="4" xfId="0" applyNumberFormat="1" applyFont="1" applyBorder="1" applyAlignment="1">
      <alignment horizontal="center" vertical="center"/>
    </xf>
    <xf numFmtId="3" fontId="33" fillId="0" borderId="4" xfId="0" applyNumberFormat="1" applyFont="1" applyFill="1" applyBorder="1" applyAlignment="1">
      <alignment horizontal="center" vertical="center" wrapText="1"/>
    </xf>
    <xf numFmtId="1" fontId="33" fillId="0" borderId="4" xfId="0" applyNumberFormat="1" applyFont="1" applyFill="1" applyBorder="1" applyAlignment="1">
      <alignment horizontal="center" vertical="center" wrapText="1"/>
    </xf>
    <xf numFmtId="14" fontId="33" fillId="0" borderId="4" xfId="0" applyNumberFormat="1" applyFont="1" applyFill="1" applyBorder="1" applyAlignment="1">
      <alignment horizontal="left" vertical="center" wrapText="1"/>
    </xf>
    <xf numFmtId="174" fontId="18" fillId="7" borderId="4" xfId="0" applyNumberFormat="1" applyFont="1" applyFill="1" applyBorder="1" applyAlignment="1">
      <alignment horizontal="right" vertical="center" wrapText="1"/>
    </xf>
    <xf numFmtId="49" fontId="49" fillId="0" borderId="4" xfId="0" applyNumberFormat="1" applyFont="1" applyBorder="1" applyAlignment="1">
      <alignment horizontal="center" vertical="center"/>
    </xf>
    <xf numFmtId="174" fontId="51" fillId="0" borderId="4" xfId="0" applyNumberFormat="1" applyFont="1" applyFill="1" applyBorder="1" applyAlignment="1">
      <alignment horizontal="right" vertical="center"/>
    </xf>
    <xf numFmtId="0" fontId="0" fillId="0" borderId="4" xfId="0" applyFont="1" applyBorder="1" applyAlignment="1">
      <alignment horizontal="center" vertical="center" wrapText="1"/>
    </xf>
    <xf numFmtId="174" fontId="18" fillId="7" borderId="4" xfId="0" applyNumberFormat="1" applyFont="1" applyFill="1" applyBorder="1" applyAlignment="1">
      <alignment horizontal="center" vertical="center" wrapText="1"/>
    </xf>
    <xf numFmtId="0" fontId="0" fillId="0" borderId="4" xfId="0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0" fontId="49" fillId="0" borderId="24" xfId="0" applyFont="1" applyBorder="1" applyAlignment="1">
      <alignment horizontal="center" vertical="center"/>
    </xf>
    <xf numFmtId="49" fontId="49" fillId="0" borderId="24" xfId="0" applyNumberFormat="1" applyFont="1" applyBorder="1" applyAlignment="1">
      <alignment horizontal="center" vertical="center"/>
    </xf>
    <xf numFmtId="49" fontId="33" fillId="7" borderId="25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>
      <alignment vertical="center" wrapText="1"/>
    </xf>
    <xf numFmtId="0" fontId="18" fillId="0" borderId="16" xfId="0" applyFont="1" applyFill="1" applyBorder="1" applyAlignment="1">
      <alignment vertical="center" wrapText="1"/>
    </xf>
    <xf numFmtId="0" fontId="33" fillId="0" borderId="16" xfId="0" applyFont="1" applyBorder="1" applyAlignment="1">
      <alignment horizontal="left" vertical="center" wrapText="1"/>
    </xf>
    <xf numFmtId="0" fontId="33" fillId="0" borderId="13" xfId="0" applyFont="1" applyBorder="1" applyAlignment="1">
      <alignment horizontal="left" vertical="center" wrapText="1"/>
    </xf>
    <xf numFmtId="49" fontId="18" fillId="0" borderId="16" xfId="0" applyNumberFormat="1" applyFont="1" applyFill="1" applyBorder="1" applyAlignment="1">
      <alignment horizontal="center" vertical="center"/>
    </xf>
    <xf numFmtId="3" fontId="18" fillId="0" borderId="16" xfId="0" applyNumberFormat="1" applyFont="1" applyFill="1" applyBorder="1" applyAlignment="1">
      <alignment horizontal="right" vertical="center"/>
    </xf>
    <xf numFmtId="3" fontId="18" fillId="0" borderId="16" xfId="0" applyNumberFormat="1" applyFont="1" applyBorder="1" applyAlignment="1">
      <alignment horizontal="right" vertical="center" wrapText="1"/>
    </xf>
    <xf numFmtId="3" fontId="18" fillId="7" borderId="16" xfId="0" applyNumberFormat="1" applyFont="1" applyFill="1" applyBorder="1" applyAlignment="1">
      <alignment horizontal="right" vertical="center" wrapText="1"/>
    </xf>
    <xf numFmtId="1" fontId="33" fillId="0" borderId="16" xfId="0" applyNumberFormat="1" applyFont="1" applyBorder="1" applyAlignment="1">
      <alignment horizontal="center" vertical="center" wrapText="1"/>
    </xf>
    <xf numFmtId="14" fontId="33" fillId="0" borderId="16" xfId="0" applyNumberFormat="1" applyFont="1" applyFill="1" applyBorder="1" applyAlignment="1">
      <alignment horizontal="center" vertical="center" wrapText="1"/>
    </xf>
    <xf numFmtId="174" fontId="18" fillId="7" borderId="16" xfId="0" applyNumberFormat="1" applyFont="1" applyFill="1" applyBorder="1" applyAlignment="1">
      <alignment vertical="center" wrapText="1"/>
    </xf>
    <xf numFmtId="3" fontId="33" fillId="0" borderId="16" xfId="0" applyNumberFormat="1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14" fontId="33" fillId="0" borderId="16" xfId="0" applyNumberFormat="1" applyFont="1" applyBorder="1" applyAlignment="1">
      <alignment horizontal="center" vertical="center" wrapText="1"/>
    </xf>
    <xf numFmtId="3" fontId="18" fillId="7" borderId="16" xfId="0" applyNumberFormat="1" applyFont="1" applyFill="1" applyBorder="1" applyAlignment="1">
      <alignment vertical="center" wrapText="1"/>
    </xf>
    <xf numFmtId="14" fontId="33" fillId="0" borderId="16" xfId="0" applyNumberFormat="1" applyFont="1" applyBorder="1" applyAlignment="1">
      <alignment horizontal="left" vertical="center" wrapText="1"/>
    </xf>
    <xf numFmtId="3" fontId="32" fillId="7" borderId="16" xfId="0" applyNumberFormat="1" applyFont="1" applyFill="1" applyBorder="1" applyAlignment="1">
      <alignment vertical="center" wrapText="1"/>
    </xf>
    <xf numFmtId="3" fontId="50" fillId="0" borderId="16" xfId="0" applyNumberFormat="1" applyFont="1" applyBorder="1" applyAlignment="1">
      <alignment vertical="center"/>
    </xf>
    <xf numFmtId="174" fontId="32" fillId="0" borderId="16" xfId="0" applyNumberFormat="1" applyFont="1" applyFill="1" applyBorder="1" applyAlignment="1">
      <alignment horizontal="right" vertical="center"/>
    </xf>
    <xf numFmtId="0" fontId="49" fillId="0" borderId="9" xfId="0" applyFont="1" applyBorder="1" applyAlignment="1">
      <alignment horizontal="center" vertical="center"/>
    </xf>
    <xf numFmtId="49" fontId="49" fillId="0" borderId="9" xfId="0" applyNumberFormat="1" applyFont="1" applyBorder="1" applyAlignment="1">
      <alignment horizontal="center" vertical="center"/>
    </xf>
    <xf numFmtId="49" fontId="33" fillId="7" borderId="26" xfId="0" applyNumberFormat="1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vertical="center" wrapText="1"/>
    </xf>
    <xf numFmtId="0" fontId="33" fillId="0" borderId="10" xfId="0" applyFont="1" applyBorder="1" applyAlignment="1">
      <alignment horizontal="left" vertical="center" wrapText="1"/>
    </xf>
    <xf numFmtId="0" fontId="18" fillId="0" borderId="4" xfId="0" applyFont="1" applyFill="1" applyBorder="1" applyAlignment="1">
      <alignment horizontal="center" vertical="center"/>
    </xf>
    <xf numFmtId="3" fontId="32" fillId="7" borderId="4" xfId="0" applyNumberFormat="1" applyFont="1" applyFill="1" applyBorder="1" applyAlignment="1">
      <alignment horizontal="right" vertical="center" wrapText="1"/>
    </xf>
    <xf numFmtId="3" fontId="52" fillId="2" borderId="7" xfId="3" applyNumberFormat="1" applyFont="1" applyBorder="1" applyAlignment="1">
      <alignment horizontal="center" wrapText="1"/>
    </xf>
    <xf numFmtId="3" fontId="52" fillId="2" borderId="4" xfId="3" applyNumberFormat="1" applyFont="1" applyBorder="1" applyAlignment="1">
      <alignment vertical="center"/>
    </xf>
    <xf numFmtId="3" fontId="12" fillId="7" borderId="0" xfId="0" applyNumberFormat="1" applyFont="1" applyFill="1" applyAlignment="1">
      <alignment horizontal="right" wrapText="1"/>
    </xf>
    <xf numFmtId="0" fontId="12" fillId="7" borderId="0" xfId="0" applyFont="1" applyFill="1" applyAlignment="1">
      <alignment horizontal="left" wrapText="1"/>
    </xf>
    <xf numFmtId="174" fontId="6" fillId="7" borderId="0" xfId="0" applyNumberFormat="1" applyFont="1" applyFill="1" applyAlignment="1">
      <alignment wrapText="1"/>
    </xf>
    <xf numFmtId="0" fontId="5" fillId="7" borderId="0" xfId="0" applyFont="1" applyFill="1" applyAlignment="1">
      <alignment horizontal="left" vertical="center" wrapText="1"/>
    </xf>
    <xf numFmtId="175" fontId="13" fillId="7" borderId="4" xfId="1" applyNumberFormat="1" applyFont="1" applyFill="1" applyBorder="1"/>
    <xf numFmtId="175" fontId="48" fillId="7" borderId="4" xfId="1" applyNumberFormat="1" applyFont="1" applyFill="1" applyBorder="1"/>
    <xf numFmtId="3" fontId="8" fillId="7" borderId="7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15" fillId="2" borderId="4" xfId="3" applyFont="1" applyBorder="1" applyAlignment="1">
      <alignment horizontal="center" wrapText="1"/>
    </xf>
    <xf numFmtId="0" fontId="3" fillId="3" borderId="1" xfId="4" applyAlignment="1">
      <alignment horizontal="center" vertical="center" wrapText="1"/>
    </xf>
    <xf numFmtId="165" fontId="3" fillId="3" borderId="1" xfId="4" applyNumberFormat="1" applyAlignment="1">
      <alignment horizontal="center" vertical="center" wrapText="1"/>
    </xf>
    <xf numFmtId="14" fontId="3" fillId="3" borderId="1" xfId="4" applyNumberFormat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2" fillId="2" borderId="1" xfId="3" applyBorder="1" applyAlignment="1">
      <alignment horizontal="center" wrapText="1"/>
    </xf>
    <xf numFmtId="0" fontId="9" fillId="8" borderId="5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24" fillId="7" borderId="0" xfId="0" applyFont="1" applyFill="1" applyAlignment="1">
      <alignment horizontal="left" vertical="top" wrapText="1"/>
    </xf>
    <xf numFmtId="0" fontId="15" fillId="2" borderId="5" xfId="3" applyFont="1" applyBorder="1" applyAlignment="1">
      <alignment horizontal="center" wrapText="1"/>
    </xf>
    <xf numFmtId="0" fontId="15" fillId="2" borderId="6" xfId="3" applyFont="1" applyBorder="1" applyAlignment="1">
      <alignment horizontal="center" wrapText="1"/>
    </xf>
    <xf numFmtId="0" fontId="15" fillId="2" borderId="7" xfId="3" applyFont="1" applyBorder="1" applyAlignment="1">
      <alignment horizontal="center" wrapText="1"/>
    </xf>
    <xf numFmtId="0" fontId="6" fillId="7" borderId="11" xfId="0" applyFont="1" applyFill="1" applyBorder="1" applyAlignment="1">
      <alignment horizontal="center" wrapText="1"/>
    </xf>
    <xf numFmtId="0" fontId="3" fillId="3" borderId="1" xfId="4" applyAlignment="1">
      <alignment horizontal="center" wrapText="1"/>
    </xf>
    <xf numFmtId="0" fontId="5" fillId="7" borderId="0" xfId="0" applyFont="1" applyFill="1" applyAlignment="1">
      <alignment horizontal="center" vertical="center" wrapText="1"/>
    </xf>
    <xf numFmtId="0" fontId="14" fillId="7" borderId="0" xfId="0" applyFont="1" applyFill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6" fillId="7" borderId="0" xfId="0" applyFont="1" applyFill="1" applyAlignment="1">
      <alignment horizontal="left" vertical="top" wrapText="1"/>
    </xf>
    <xf numFmtId="0" fontId="6" fillId="0" borderId="0" xfId="0" applyFont="1" applyBorder="1" applyAlignment="1">
      <alignment horizontal="center" wrapText="1"/>
    </xf>
    <xf numFmtId="0" fontId="24" fillId="0" borderId="0" xfId="0" applyFont="1" applyAlignment="1">
      <alignment horizontal="left" vertical="top" wrapText="1"/>
    </xf>
    <xf numFmtId="3" fontId="4" fillId="9" borderId="4" xfId="0" applyNumberFormat="1" applyFont="1" applyFill="1" applyBorder="1" applyAlignment="1">
      <alignment horizontal="center" vertical="center" wrapText="1"/>
    </xf>
    <xf numFmtId="0" fontId="34" fillId="9" borderId="4" xfId="0" applyFont="1" applyFill="1" applyBorder="1" applyAlignment="1">
      <alignment horizontal="center" vertical="center" wrapText="1"/>
    </xf>
    <xf numFmtId="0" fontId="40" fillId="2" borderId="5" xfId="3" applyFont="1" applyBorder="1" applyAlignment="1">
      <alignment horizontal="center" wrapText="1"/>
    </xf>
    <xf numFmtId="0" fontId="40" fillId="2" borderId="6" xfId="3" applyFont="1" applyBorder="1" applyAlignment="1">
      <alignment horizontal="center" wrapText="1"/>
    </xf>
    <xf numFmtId="0" fontId="40" fillId="2" borderId="7" xfId="3" applyFont="1" applyBorder="1" applyAlignment="1">
      <alignment horizontal="center" wrapText="1"/>
    </xf>
    <xf numFmtId="0" fontId="35" fillId="7" borderId="11" xfId="0" applyFont="1" applyFill="1" applyBorder="1" applyAlignment="1">
      <alignment horizontal="center" wrapText="1"/>
    </xf>
    <xf numFmtId="0" fontId="34" fillId="8" borderId="5" xfId="0" applyFont="1" applyFill="1" applyBorder="1" applyAlignment="1">
      <alignment horizontal="center" vertical="center" wrapText="1"/>
    </xf>
    <xf numFmtId="0" fontId="34" fillId="8" borderId="6" xfId="0" applyFont="1" applyFill="1" applyBorder="1" applyAlignment="1">
      <alignment horizontal="center" vertical="center" wrapText="1"/>
    </xf>
    <xf numFmtId="14" fontId="34" fillId="8" borderId="6" xfId="0" applyNumberFormat="1" applyFont="1" applyFill="1" applyBorder="1" applyAlignment="1">
      <alignment horizontal="center" vertical="center" wrapText="1"/>
    </xf>
    <xf numFmtId="0" fontId="34" fillId="8" borderId="7" xfId="0" applyFont="1" applyFill="1" applyBorder="1" applyAlignment="1">
      <alignment horizontal="center" vertical="center" wrapText="1"/>
    </xf>
    <xf numFmtId="0" fontId="34" fillId="9" borderId="5" xfId="0" applyFont="1" applyFill="1" applyBorder="1" applyAlignment="1">
      <alignment horizontal="center" vertical="center" wrapText="1"/>
    </xf>
    <xf numFmtId="0" fontId="34" fillId="9" borderId="6" xfId="0" applyFont="1" applyFill="1" applyBorder="1" applyAlignment="1">
      <alignment horizontal="center" vertical="center" wrapText="1"/>
    </xf>
    <xf numFmtId="0" fontId="34" fillId="9" borderId="7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2" fillId="2" borderId="5" xfId="3" applyBorder="1" applyAlignment="1">
      <alignment horizontal="center" wrapText="1"/>
    </xf>
    <xf numFmtId="0" fontId="2" fillId="2" borderId="6" xfId="3" applyBorder="1" applyAlignment="1">
      <alignment horizontal="center" wrapText="1"/>
    </xf>
    <xf numFmtId="0" fontId="2" fillId="2" borderId="7" xfId="3" applyBorder="1" applyAlignment="1">
      <alignment horizontal="center" wrapText="1"/>
    </xf>
    <xf numFmtId="0" fontId="44" fillId="7" borderId="0" xfId="0" applyFont="1" applyFill="1" applyAlignment="1">
      <alignment horizontal="left" vertical="top" wrapText="1"/>
    </xf>
    <xf numFmtId="0" fontId="6" fillId="7" borderId="0" xfId="0" applyFont="1" applyFill="1" applyBorder="1" applyAlignment="1">
      <alignment horizontal="center" wrapText="1"/>
    </xf>
    <xf numFmtId="0" fontId="9" fillId="5" borderId="4" xfId="6" applyFont="1" applyBorder="1" applyAlignment="1">
      <alignment horizontal="center" vertical="center" wrapText="1"/>
    </xf>
    <xf numFmtId="0" fontId="45" fillId="5" borderId="4" xfId="6" applyFont="1" applyBorder="1" applyAlignment="1">
      <alignment horizontal="center" vertical="center" wrapText="1"/>
    </xf>
    <xf numFmtId="0" fontId="14" fillId="2" borderId="4" xfId="3" applyFont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52" fillId="2" borderId="5" xfId="3" applyFont="1" applyBorder="1" applyAlignment="1">
      <alignment horizontal="center" wrapText="1"/>
    </xf>
    <xf numFmtId="0" fontId="52" fillId="2" borderId="6" xfId="3" applyFont="1" applyBorder="1" applyAlignment="1">
      <alignment horizontal="center" wrapText="1"/>
    </xf>
    <xf numFmtId="0" fontId="52" fillId="2" borderId="7" xfId="3" applyFont="1" applyBorder="1" applyAlignment="1">
      <alignment horizontal="center" wrapText="1"/>
    </xf>
  </cellXfs>
  <cellStyles count="12">
    <cellStyle name="40% - Énfasis2" xfId="5" builtinId="35"/>
    <cellStyle name="40% - Énfasis6" xfId="6" builtinId="51"/>
    <cellStyle name="Entrada" xfId="4" builtinId="20"/>
    <cellStyle name="Millares" xfId="1" builtinId="3"/>
    <cellStyle name="Millares [0]" xfId="2" builtinId="6"/>
    <cellStyle name="Millares 2" xfId="7"/>
    <cellStyle name="Neutral" xfId="3" builtinId="28"/>
    <cellStyle name="Normal" xfId="0" builtinId="0"/>
    <cellStyle name="Normal 2 2" xfId="9"/>
    <cellStyle name="Normal 2 4" xfId="11"/>
    <cellStyle name="Normal 3" xfId="10"/>
    <cellStyle name="Normal_Asignac_presup_2002" xfId="8"/>
  </cellStyles>
  <dxfs count="20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bouffan/Desktop/Nubia%20Inversiones/Sigfe/Subtitulo%2031/GORES/0561%20Gore%20Tarapac&#22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bouffan/Desktop/Nubia%20Inversiones/Sigfe/Subtitulo%2031/GORES/Acumulado/Enero%20a%20agos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bouffan/Desktop/Nubia%20Inversiones/Sigfe/Subtitulo%2031/GORES/0563%20GORE%20Atacam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esktop/Escritorio%20RRB/Escritorio_Pandemia/Teletrabajo%20RRB/Resoluciones_GORE/Res.31_2021%20(Borrador)/Resolucion%20N&#186;%20xx%20de%20%20xx.jul.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5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bouffan/Desktop/Nubia%20Inversiones/Sigfe/Subtitulo%2031/GORES/0565%20Gore%20Valparais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bouffan/Desktop/Nubia%20Inversiones/Sigfe/Subtitulo%2031/GORES/0566%20Gore%20Ohiggi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de tarapacá  sept"/>
    </sheetNames>
    <sheetDataSet>
      <sheetData sheetId="0">
        <row r="21">
          <cell r="O21">
            <v>175284</v>
          </cell>
          <cell r="P21">
            <v>-175284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lucione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ÓN 31."/>
      <sheetName val="DATOS DE LLENADO"/>
      <sheetName val="PARTIDAS"/>
      <sheetName val="CAPITULOS"/>
      <sheetName val="PROGRAMAS"/>
      <sheetName val="ASIGNACIONES"/>
      <sheetName val="ESTRUCTURA"/>
    </sheetNames>
    <sheetDataSet>
      <sheetData sheetId="0">
        <row r="55">
          <cell r="O55">
            <v>599301</v>
          </cell>
          <cell r="P55">
            <v>681154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Identificación"/>
      <sheetName val="I. Técnico"/>
      <sheetName val="Provisión"/>
      <sheetName val="INFPRE4"/>
      <sheetName val="Progr.Ejec.Pptaria"/>
      <sheetName val="Iniciativas"/>
      <sheetName val="Hoja3"/>
      <sheetName val="Iniciativas (Res 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20169586-0</v>
          </cell>
          <cell r="B3" t="str">
            <v>CONSTRUCCION EDIFICIO CONSISTORIAL DE COQUIMBO</v>
          </cell>
          <cell r="C3" t="str">
            <v>CONSTRUCCION EDIFICIO CONSISTORIAL DE COQUIMBO</v>
          </cell>
          <cell r="D3" t="str">
            <v>RS</v>
          </cell>
          <cell r="E3" t="str">
            <v>EJECUCION</v>
          </cell>
          <cell r="F3">
            <v>4604817</v>
          </cell>
          <cell r="H3">
            <v>0</v>
          </cell>
          <cell r="I3">
            <v>21949494</v>
          </cell>
          <cell r="J3">
            <v>29106993</v>
          </cell>
          <cell r="K3" t="str">
            <v>FNDR</v>
          </cell>
          <cell r="L3" t="str">
            <v>MIDESO</v>
          </cell>
          <cell r="M3" t="str">
            <v>FNDR Libre Disposición</v>
          </cell>
        </row>
        <row r="4">
          <cell r="A4" t="str">
            <v>30062448-0</v>
          </cell>
          <cell r="B4" t="str">
            <v>MEJORAMIENTO ENLACE RUTA 5 AMUNATEGUI</v>
          </cell>
          <cell r="C4" t="str">
            <v>MEJORAMIENTO ENLACE RUTA 5 AMUNATEGUI (DISEÑO)</v>
          </cell>
          <cell r="D4" t="str">
            <v>RS</v>
          </cell>
          <cell r="E4" t="str">
            <v>DISEÑO</v>
          </cell>
          <cell r="K4" t="str">
            <v>FNDR</v>
          </cell>
          <cell r="L4" t="str">
            <v>MIDESO</v>
          </cell>
          <cell r="M4" t="str">
            <v>Transantiago</v>
          </cell>
        </row>
        <row r="5">
          <cell r="A5" t="str">
            <v>30065234-0</v>
          </cell>
          <cell r="B5" t="str">
            <v>CONSTRUCCION MERCADO DEL MAR, COMUNA DE COQUIMBO</v>
          </cell>
          <cell r="C5" t="str">
            <v>CONSTRUCCION MERCADO DEL MAR, COMUNA DE COQUIMBO</v>
          </cell>
          <cell r="D5" t="str">
            <v>RS</v>
          </cell>
          <cell r="E5" t="str">
            <v>EJECUCION</v>
          </cell>
          <cell r="K5" t="str">
            <v>FNDR</v>
          </cell>
          <cell r="L5" t="str">
            <v>MIDESO</v>
          </cell>
          <cell r="M5" t="str">
            <v>FNDR Libre Disposición</v>
          </cell>
        </row>
        <row r="6">
          <cell r="A6" t="str">
            <v>30073178-0</v>
          </cell>
          <cell r="B6" t="str">
            <v>CONSTRUCCION EDIFICIO CONSISTORIAL MUNICIPALIDAD LOS VILOS</v>
          </cell>
          <cell r="C6" t="str">
            <v>CONSTRUCCION EDIFICIO CONSISTORIAL MUNICIPALIDAD LOS VILOS</v>
          </cell>
          <cell r="D6" t="str">
            <v>RS</v>
          </cell>
          <cell r="E6" t="str">
            <v>EJECUCION</v>
          </cell>
          <cell r="F6">
            <v>823077</v>
          </cell>
          <cell r="G6">
            <v>601925</v>
          </cell>
          <cell r="I6">
            <v>5854007</v>
          </cell>
          <cell r="J6">
            <v>5854007</v>
          </cell>
          <cell r="K6" t="str">
            <v>FNDR</v>
          </cell>
          <cell r="L6" t="str">
            <v>MIDESO</v>
          </cell>
          <cell r="M6" t="str">
            <v>FNDR Libre Disposición</v>
          </cell>
        </row>
        <row r="7">
          <cell r="A7" t="str">
            <v>30076607-0</v>
          </cell>
          <cell r="B7" t="str">
            <v>MEJORAMIENTO PASEO SECTOR SUR COSTANERA LOS VILOS</v>
          </cell>
          <cell r="C7" t="str">
            <v>MEJORAMIENTO PASEO SECTOR SUR COSTANERA LOS VILOS (EJEC)</v>
          </cell>
          <cell r="D7" t="str">
            <v>MIDESO</v>
          </cell>
          <cell r="E7" t="str">
            <v>DISEÑO</v>
          </cell>
          <cell r="K7" t="str">
            <v>FNDR</v>
          </cell>
          <cell r="L7" t="str">
            <v>MIDESO</v>
          </cell>
          <cell r="M7" t="str">
            <v>FNDR Libre Disposición</v>
          </cell>
        </row>
        <row r="8">
          <cell r="A8" t="str">
            <v>30078672-0</v>
          </cell>
          <cell r="B8" t="str">
            <v>AMPLIACION SISTEMA APR TAMBILLOS, COQUIMBO</v>
          </cell>
          <cell r="C8" t="str">
            <v>AMPLIACION SISTEMA APR TAMBILLOS, COQUIMBO (DISEÑO)</v>
          </cell>
          <cell r="D8" t="str">
            <v>RS</v>
          </cell>
          <cell r="E8" t="str">
            <v>DISEÑO</v>
          </cell>
          <cell r="K8" t="str">
            <v>FNDR</v>
          </cell>
          <cell r="L8" t="str">
            <v>MIDESO</v>
          </cell>
          <cell r="M8" t="str">
            <v>Saneamiento Sanitario</v>
          </cell>
        </row>
        <row r="9">
          <cell r="A9" t="str">
            <v>30086690-0</v>
          </cell>
          <cell r="B9" t="str">
            <v>MEJORAMIENTO ESTADIO MUNICIPAL, VICUÑA</v>
          </cell>
          <cell r="C9" t="str">
            <v>MEJORAMIENTO ESTADIO MUNICIPAL, VICUÑA</v>
          </cell>
          <cell r="D9" t="str">
            <v>RS</v>
          </cell>
          <cell r="E9" t="str">
            <v>EJECUCION</v>
          </cell>
          <cell r="F9">
            <v>1444358</v>
          </cell>
          <cell r="G9">
            <v>1009669</v>
          </cell>
          <cell r="H9">
            <v>3481113</v>
          </cell>
          <cell r="I9">
            <v>4610502</v>
          </cell>
          <cell r="J9">
            <v>5972502</v>
          </cell>
          <cell r="K9" t="str">
            <v>FNDR</v>
          </cell>
          <cell r="L9" t="str">
            <v>MIDESO</v>
          </cell>
          <cell r="M9" t="str">
            <v>FNDR Libre Disposición</v>
          </cell>
        </row>
        <row r="10">
          <cell r="A10" t="str">
            <v>30086926-0</v>
          </cell>
          <cell r="B10" t="str">
            <v>CONSTRUCCION ESTADIO MUNICIPAL DE CANELA, CANELA</v>
          </cell>
          <cell r="C10" t="str">
            <v>CONSTRUCCION ESTADIO MUNICIPAL DE CANELA, CANELA</v>
          </cell>
          <cell r="D10" t="str">
            <v>RS</v>
          </cell>
          <cell r="E10" t="str">
            <v>EJECUCION</v>
          </cell>
          <cell r="F10">
            <v>2680373</v>
          </cell>
          <cell r="G10">
            <v>3</v>
          </cell>
          <cell r="I10">
            <v>3209724</v>
          </cell>
          <cell r="J10">
            <v>4180101</v>
          </cell>
          <cell r="K10" t="str">
            <v>FNDR</v>
          </cell>
          <cell r="L10" t="str">
            <v>MIDESO</v>
          </cell>
          <cell r="M10" t="str">
            <v>FNDR Libre Disposición</v>
          </cell>
        </row>
        <row r="11">
          <cell r="A11" t="str">
            <v>30097621-0</v>
          </cell>
          <cell r="B11" t="str">
            <v>HABILITACION CASA DE LA MEMORIA COMUNA DE COQUIMBO</v>
          </cell>
          <cell r="C11" t="str">
            <v>HABILITACION CASA DE LA MEMORIA COMUNA DE COQUIMBO (EJECUCION)</v>
          </cell>
          <cell r="D11" t="str">
            <v>RS</v>
          </cell>
          <cell r="E11" t="str">
            <v>EJECUCION</v>
          </cell>
          <cell r="F11">
            <v>34264</v>
          </cell>
          <cell r="I11">
            <v>237431</v>
          </cell>
          <cell r="J11">
            <v>237431</v>
          </cell>
          <cell r="K11" t="str">
            <v>FNDR</v>
          </cell>
          <cell r="L11" t="str">
            <v>MIDESO</v>
          </cell>
          <cell r="M11" t="str">
            <v>FNDR Libre Disposición</v>
          </cell>
        </row>
        <row r="12">
          <cell r="A12" t="str">
            <v>30101962-0</v>
          </cell>
          <cell r="B12" t="str">
            <v>REPOSICION POSTA RURAL DE HORCON, PAIHUANO</v>
          </cell>
          <cell r="C12" t="str">
            <v>REPOSICION POSTA RURAL DE HORCON, PAIHUANO</v>
          </cell>
          <cell r="D12" t="str">
            <v>RS</v>
          </cell>
          <cell r="E12" t="str">
            <v>EJECUCION</v>
          </cell>
          <cell r="K12" t="str">
            <v>FNDR</v>
          </cell>
          <cell r="L12" t="str">
            <v>MIDESO</v>
          </cell>
          <cell r="M12" t="str">
            <v>FNDR Libre Disposición</v>
          </cell>
        </row>
        <row r="13">
          <cell r="A13" t="str">
            <v>30109725-0</v>
          </cell>
          <cell r="B13" t="str">
            <v>MEJORAMIENTO RUTA 41CH, SECTOR LA LAGUNA - LLANO LAS LIEBRES.</v>
          </cell>
          <cell r="C13" t="str">
            <v>MEJORAMIENTO RUTA 41CH, SECTOR LA LAGUNA - LLANO LAS LIEBRES. (DISEÑO)</v>
          </cell>
          <cell r="D13" t="str">
            <v>RS</v>
          </cell>
          <cell r="E13" t="str">
            <v>DISEÑO</v>
          </cell>
          <cell r="K13" t="str">
            <v>FNDR</v>
          </cell>
          <cell r="L13" t="str">
            <v>MIDESO</v>
          </cell>
          <cell r="M13" t="str">
            <v>Transantiago</v>
          </cell>
        </row>
        <row r="14">
          <cell r="A14" t="str">
            <v>20106396-0</v>
          </cell>
          <cell r="B14" t="str">
            <v>CONSTRUCCION GIMNASIO POLIDEPORTIVO LAS COMPAÑIAS, LA SERENA</v>
          </cell>
          <cell r="C14" t="str">
            <v>CONSTRUCCION GIMNASIO POLIDEPORTIVO LAS COMPAÑIAS, LA SERENA</v>
          </cell>
          <cell r="D14" t="str">
            <v>RS</v>
          </cell>
          <cell r="E14" t="str">
            <v>EJECUCION</v>
          </cell>
          <cell r="K14" t="str">
            <v>FNDR</v>
          </cell>
          <cell r="L14" t="str">
            <v>MIDESO</v>
          </cell>
          <cell r="M14" t="str">
            <v>FNDR Libre Disposición</v>
          </cell>
        </row>
        <row r="15">
          <cell r="A15" t="str">
            <v>30101961-0</v>
          </cell>
          <cell r="B15" t="str">
            <v>REPOSICION ESCUELA BASICA DE PISCO ELQUI, PAIHUANO</v>
          </cell>
          <cell r="C15" t="str">
            <v>REPOSICION ESCUELA BASICA DE PISCO ELQUI, PAIHUANO</v>
          </cell>
          <cell r="D15" t="str">
            <v>RS</v>
          </cell>
          <cell r="E15" t="str">
            <v>EJECUCION</v>
          </cell>
          <cell r="K15" t="str">
            <v>FNDR</v>
          </cell>
          <cell r="L15" t="str">
            <v>MIDESO</v>
          </cell>
          <cell r="M15" t="str">
            <v>Fondo Infraestructura Educacional</v>
          </cell>
        </row>
        <row r="16">
          <cell r="A16" t="str">
            <v>30064704-0</v>
          </cell>
          <cell r="B16" t="str">
            <v>CONSTRUCCION CENTRO DE DIFUSION DEL PATRIMONIO COMUNAL, RIO HURTADO.</v>
          </cell>
          <cell r="C16" t="str">
            <v>CONSTRUCCION CENTRO DE DIFUSION DEL PATRIMONIO COMUNAL, RIO HURTADO.</v>
          </cell>
          <cell r="D16" t="str">
            <v>RS</v>
          </cell>
          <cell r="E16" t="str">
            <v>EJECUCION</v>
          </cell>
          <cell r="K16" t="str">
            <v>FNDR</v>
          </cell>
          <cell r="L16" t="str">
            <v>MIDESO</v>
          </cell>
          <cell r="M16" t="str">
            <v>FNDR Libre Disposición</v>
          </cell>
        </row>
        <row r="17">
          <cell r="A17" t="str">
            <v>30078529-0</v>
          </cell>
          <cell r="B17" t="str">
            <v>CONSTRUCCION CASA DE LA CULTURA COMUNAL, LOS VILOS</v>
          </cell>
          <cell r="C17" t="str">
            <v>CONSTRUCCION CASA DE LA CULTURA COMUNAL, LOS VILOS</v>
          </cell>
          <cell r="D17" t="str">
            <v>RS</v>
          </cell>
          <cell r="E17" t="str">
            <v>EJECUCION</v>
          </cell>
          <cell r="F17">
            <v>218799</v>
          </cell>
          <cell r="G17">
            <v>0</v>
          </cell>
          <cell r="I17">
            <v>3008865</v>
          </cell>
          <cell r="J17">
            <v>3008865</v>
          </cell>
          <cell r="K17" t="str">
            <v>FNDR</v>
          </cell>
          <cell r="L17" t="str">
            <v>MIDESO</v>
          </cell>
          <cell r="M17" t="str">
            <v>FNDR Libre Disposición</v>
          </cell>
        </row>
        <row r="18">
          <cell r="A18" t="str">
            <v>30082412-0</v>
          </cell>
          <cell r="C18" t="str">
            <v>CONSTRUCCION CASA DE LA CULTURA DE PUNITAQUI</v>
          </cell>
          <cell r="D18" t="str">
            <v>RS</v>
          </cell>
          <cell r="E18" t="str">
            <v>EJECUCION</v>
          </cell>
          <cell r="K18" t="str">
            <v>FNDR</v>
          </cell>
          <cell r="L18" t="str">
            <v>MIDESO</v>
          </cell>
          <cell r="M18" t="str">
            <v>FNDR Libre Disposición</v>
          </cell>
        </row>
        <row r="19">
          <cell r="A19" t="str">
            <v>30081585-0</v>
          </cell>
          <cell r="C19" t="str">
            <v>REPOSICION RETEN DE CARABINEROS CHAÑARAL ALTO, MONTE PATRIA</v>
          </cell>
          <cell r="D19" t="str">
            <v>RS</v>
          </cell>
          <cell r="E19" t="str">
            <v>EJECUCION</v>
          </cell>
          <cell r="F19">
            <v>83994</v>
          </cell>
          <cell r="I19">
            <v>1239212</v>
          </cell>
          <cell r="J19">
            <v>1239212</v>
          </cell>
          <cell r="K19" t="str">
            <v>FNDR</v>
          </cell>
          <cell r="L19" t="str">
            <v>MIDESO</v>
          </cell>
          <cell r="M19" t="str">
            <v>FNDR Libre Disposición</v>
          </cell>
        </row>
        <row r="20">
          <cell r="A20" t="str">
            <v>30100126-0</v>
          </cell>
          <cell r="C20" t="str">
            <v>CONSTRUCCION CESFAM SAN ISIDRO - CALINGASTA, VICUÑA.</v>
          </cell>
          <cell r="D20" t="str">
            <v>RS</v>
          </cell>
          <cell r="E20" t="str">
            <v>EJECUCION</v>
          </cell>
          <cell r="F20">
            <v>88782</v>
          </cell>
          <cell r="I20">
            <v>2788359</v>
          </cell>
          <cell r="J20">
            <v>2788359</v>
          </cell>
          <cell r="K20" t="str">
            <v>FNDR</v>
          </cell>
          <cell r="L20" t="str">
            <v>MIDESO</v>
          </cell>
          <cell r="M20" t="str">
            <v>FNDR Libre Disposición</v>
          </cell>
        </row>
        <row r="21">
          <cell r="A21" t="str">
            <v>30072038-0</v>
          </cell>
          <cell r="C21" t="str">
            <v>RESTAURACION ESTRUCTURAL IGLESIA PARROQUIAL DE ANDACOLLO</v>
          </cell>
          <cell r="D21" t="str">
            <v>RS</v>
          </cell>
          <cell r="E21" t="str">
            <v>EJECUCION</v>
          </cell>
          <cell r="K21" t="str">
            <v>FNDR</v>
          </cell>
          <cell r="L21" t="str">
            <v>MIDESO</v>
          </cell>
          <cell r="M21" t="str">
            <v>Puesta en Valor del Patrimonio</v>
          </cell>
        </row>
        <row r="22">
          <cell r="A22" t="str">
            <v>30130485-0</v>
          </cell>
          <cell r="C22" t="str">
            <v>MEJORAMIENTO ESPACIOS PUBLICOS SECTOR HUAMPULLA</v>
          </cell>
          <cell r="D22" t="str">
            <v>RS</v>
          </cell>
          <cell r="E22" t="str">
            <v>EJECUCION</v>
          </cell>
          <cell r="F22">
            <v>506189</v>
          </cell>
          <cell r="I22">
            <v>1106378</v>
          </cell>
          <cell r="J22">
            <v>1106378</v>
          </cell>
          <cell r="K22" t="str">
            <v>FNDR</v>
          </cell>
          <cell r="L22" t="str">
            <v>MIDESO</v>
          </cell>
          <cell r="M22" t="str">
            <v>FNDR Libre Disposición</v>
          </cell>
        </row>
        <row r="23">
          <cell r="A23" t="str">
            <v>30001032-0</v>
          </cell>
          <cell r="C23" t="str">
            <v xml:space="preserve">REPOSICION CONSULTORIO GENERAL URBANO DE SAN JUAN </v>
          </cell>
          <cell r="D23" t="str">
            <v>RS</v>
          </cell>
          <cell r="E23" t="str">
            <v>EJECUCION</v>
          </cell>
          <cell r="F23">
            <v>109666</v>
          </cell>
          <cell r="I23">
            <v>4590307</v>
          </cell>
          <cell r="J23">
            <v>4590307</v>
          </cell>
          <cell r="K23" t="str">
            <v>FNDR</v>
          </cell>
          <cell r="L23" t="str">
            <v>MIDESO</v>
          </cell>
          <cell r="M23" t="str">
            <v>FNDR Libre Disposición</v>
          </cell>
        </row>
        <row r="24">
          <cell r="A24" t="str">
            <v>30084699-0</v>
          </cell>
          <cell r="C24" t="str">
            <v>REPOSICION ESCUELA CONCENTRACION FRONTERIZA, COMUNA DE MTE PATRIA</v>
          </cell>
          <cell r="D24" t="str">
            <v>RS</v>
          </cell>
          <cell r="E24" t="str">
            <v>EJECUCION</v>
          </cell>
          <cell r="K24" t="str">
            <v>FNDR</v>
          </cell>
          <cell r="L24" t="str">
            <v>MIDESO</v>
          </cell>
          <cell r="M24" t="str">
            <v>Fondo Infraestructura Educacional</v>
          </cell>
        </row>
        <row r="25">
          <cell r="A25" t="str">
            <v>30106198-0</v>
          </cell>
          <cell r="C25" t="str">
            <v>CONSTRUCCION VIAS DE EVACUACION ZONA COSTERA LA SERENA COQUIMBO (EJECUCION)</v>
          </cell>
          <cell r="D25" t="str">
            <v>RS</v>
          </cell>
          <cell r="E25" t="str">
            <v>EJECUCION</v>
          </cell>
          <cell r="F25">
            <v>3459536</v>
          </cell>
          <cell r="G25">
            <v>28935</v>
          </cell>
          <cell r="H25">
            <v>0</v>
          </cell>
          <cell r="I25">
            <v>9484372</v>
          </cell>
          <cell r="J25">
            <v>13181437</v>
          </cell>
          <cell r="K25" t="str">
            <v>FNDR</v>
          </cell>
          <cell r="L25" t="str">
            <v>MIDESO</v>
          </cell>
          <cell r="M25" t="str">
            <v>Transantiago</v>
          </cell>
        </row>
        <row r="26">
          <cell r="A26" t="str">
            <v>30066098-0</v>
          </cell>
          <cell r="C26" t="str">
            <v>CONSTRUCCION CESFAM II TIERRAS BLANCAS, COQUIMBO</v>
          </cell>
          <cell r="D26" t="str">
            <v>RS</v>
          </cell>
          <cell r="E26" t="str">
            <v>EJECUCION</v>
          </cell>
          <cell r="F26">
            <v>118944</v>
          </cell>
          <cell r="I26">
            <v>5700748</v>
          </cell>
          <cell r="J26">
            <v>5700748</v>
          </cell>
          <cell r="K26" t="str">
            <v>FNDR</v>
          </cell>
          <cell r="L26" t="str">
            <v>MIDESO</v>
          </cell>
          <cell r="M26" t="str">
            <v>FNDR Libre Disposición</v>
          </cell>
        </row>
        <row r="27">
          <cell r="A27" t="str">
            <v>30045318-0</v>
          </cell>
          <cell r="C27" t="str">
            <v>CONSTRUCCION III CESFAM URBANO, OVALLE</v>
          </cell>
          <cell r="D27" t="str">
            <v>RS</v>
          </cell>
          <cell r="E27" t="str">
            <v>EJECUCION</v>
          </cell>
          <cell r="F27">
            <v>54077</v>
          </cell>
          <cell r="I27">
            <v>5231488</v>
          </cell>
          <cell r="J27">
            <v>5231488</v>
          </cell>
          <cell r="K27" t="str">
            <v>FNDR</v>
          </cell>
          <cell r="L27" t="str">
            <v>MIDESO</v>
          </cell>
          <cell r="M27" t="str">
            <v>FNDR Libre Disposición</v>
          </cell>
        </row>
        <row r="28">
          <cell r="A28" t="str">
            <v>30081567-0</v>
          </cell>
          <cell r="C28" t="str">
            <v>MEJOR. EMBARQUE Y DESEMBARQUE DE PASAJEROS PTA DE CHOROS (DISEÑO)</v>
          </cell>
          <cell r="D28" t="str">
            <v>RS</v>
          </cell>
          <cell r="E28" t="str">
            <v>DISEÑO</v>
          </cell>
          <cell r="K28" t="str">
            <v>FNDR</v>
          </cell>
          <cell r="L28" t="str">
            <v>MIDESO</v>
          </cell>
          <cell r="M28" t="str">
            <v>Programa Infraestructura Rural</v>
          </cell>
        </row>
        <row r="29">
          <cell r="A29" t="str">
            <v>30086289-0</v>
          </cell>
          <cell r="C29" t="str">
            <v>CONST. OBRAS DE PROTECCION COSTERA FARO MONUMENTAL LA SERENA (DISEÑO)</v>
          </cell>
          <cell r="D29" t="str">
            <v>RS</v>
          </cell>
          <cell r="E29" t="str">
            <v>DISEÑO</v>
          </cell>
          <cell r="K29" t="str">
            <v>FNDR</v>
          </cell>
          <cell r="L29" t="str">
            <v>MIDESO</v>
          </cell>
          <cell r="M29" t="str">
            <v>FNDR Libre Disposición</v>
          </cell>
        </row>
        <row r="30">
          <cell r="A30" t="str">
            <v>30293822-0</v>
          </cell>
          <cell r="C30" t="str">
            <v>REPOSICION ESTADIO MUNICIPAL DE COMBARBALA</v>
          </cell>
          <cell r="D30" t="str">
            <v>RS</v>
          </cell>
          <cell r="E30" t="str">
            <v>EJECUCION</v>
          </cell>
          <cell r="F30">
            <v>46424</v>
          </cell>
          <cell r="G30">
            <v>1</v>
          </cell>
          <cell r="I30">
            <v>1406025</v>
          </cell>
          <cell r="J30">
            <v>1406025</v>
          </cell>
          <cell r="K30" t="str">
            <v>FNDR</v>
          </cell>
          <cell r="L30" t="str">
            <v>MIDESO</v>
          </cell>
          <cell r="M30" t="str">
            <v>FNDR Libre Disposición</v>
          </cell>
        </row>
        <row r="31">
          <cell r="A31" t="str">
            <v>30044384-0</v>
          </cell>
          <cell r="C31" t="str">
            <v>REPOSICION CES FAMILIAR, RIO HURTADO</v>
          </cell>
          <cell r="D31" t="str">
            <v>RS</v>
          </cell>
          <cell r="E31" t="str">
            <v>EJECUCION</v>
          </cell>
          <cell r="F31">
            <v>91466</v>
          </cell>
          <cell r="I31">
            <v>3442424</v>
          </cell>
          <cell r="J31">
            <v>3442424</v>
          </cell>
          <cell r="K31" t="str">
            <v>FNDR</v>
          </cell>
          <cell r="L31" t="str">
            <v>MIDESO</v>
          </cell>
          <cell r="M31" t="str">
            <v>FNDR Libre Disposición</v>
          </cell>
        </row>
        <row r="32">
          <cell r="A32" t="str">
            <v>30076274-0</v>
          </cell>
          <cell r="C32" t="str">
            <v>REST. CASA GABRIELA MISTRAL EN LAS CIAS., LA SERENA</v>
          </cell>
          <cell r="D32" t="str">
            <v>RS</v>
          </cell>
          <cell r="E32" t="str">
            <v>EJECUCION</v>
          </cell>
          <cell r="F32">
            <v>225681</v>
          </cell>
          <cell r="G32">
            <v>2740</v>
          </cell>
          <cell r="I32">
            <v>1057448</v>
          </cell>
          <cell r="J32">
            <v>1057448</v>
          </cell>
          <cell r="K32" t="str">
            <v>FNDR</v>
          </cell>
          <cell r="L32" t="str">
            <v>MIDESO</v>
          </cell>
          <cell r="M32" t="str">
            <v>Puesta en Valor del Patrimonio</v>
          </cell>
        </row>
        <row r="33">
          <cell r="A33" t="str">
            <v>30077750-0</v>
          </cell>
          <cell r="C33" t="str">
            <v>CONSTRUCCION CASA DE ACOGIDA DE COMBARBALA</v>
          </cell>
          <cell r="D33" t="str">
            <v>RS</v>
          </cell>
          <cell r="E33" t="str">
            <v>EJECUCION</v>
          </cell>
          <cell r="F33">
            <v>23782</v>
          </cell>
          <cell r="I33">
            <v>714135</v>
          </cell>
          <cell r="J33">
            <v>714135</v>
          </cell>
          <cell r="K33" t="str">
            <v>FNDR</v>
          </cell>
          <cell r="L33" t="str">
            <v>MIDESO</v>
          </cell>
          <cell r="M33" t="str">
            <v>FNDR Libre Disposición</v>
          </cell>
        </row>
        <row r="34">
          <cell r="A34" t="str">
            <v>30124242-0</v>
          </cell>
          <cell r="C34" t="str">
            <v>MEJORAMIENTO PLAZA GABRIELA MISTRAL, ANDACOLLO</v>
          </cell>
          <cell r="D34" t="str">
            <v>RS</v>
          </cell>
          <cell r="E34" t="str">
            <v>EJECUCION</v>
          </cell>
          <cell r="K34" t="str">
            <v>FNDR</v>
          </cell>
          <cell r="L34" t="str">
            <v>MIDESO</v>
          </cell>
          <cell r="M34" t="str">
            <v>FNDR Libre Disposición</v>
          </cell>
        </row>
        <row r="35">
          <cell r="A35" t="str">
            <v>30131807-0</v>
          </cell>
          <cell r="C35" t="str">
            <v>CONSTRUCCION EDIFICIO CONSISTORIAL COMUNA DE LA SERENA</v>
          </cell>
          <cell r="D35" t="str">
            <v>RS</v>
          </cell>
          <cell r="E35" t="str">
            <v>DISEÑO</v>
          </cell>
          <cell r="K35" t="str">
            <v>FNDR</v>
          </cell>
          <cell r="L35" t="str">
            <v>MIDESO</v>
          </cell>
          <cell r="M35" t="str">
            <v>FNDR Libre Disposición</v>
          </cell>
        </row>
        <row r="36">
          <cell r="A36" t="str">
            <v>30109318-0</v>
          </cell>
          <cell r="C36" t="str">
            <v>REPOSICION ESCUELAS DE PSICOLOGIA Y ENFERMERIA U.L.S.</v>
          </cell>
          <cell r="D36" t="str">
            <v>RS</v>
          </cell>
          <cell r="E36" t="str">
            <v>EJECUCION</v>
          </cell>
          <cell r="K36" t="str">
            <v>FNDR</v>
          </cell>
          <cell r="L36" t="str">
            <v>MIDESO</v>
          </cell>
          <cell r="M36" t="str">
            <v>FNDR Libre Disposición</v>
          </cell>
        </row>
        <row r="37">
          <cell r="A37" t="str">
            <v>30412672-0</v>
          </cell>
          <cell r="C37" t="str">
            <v>CONSTR.  INFRAESTRUCTURA  PESQUERA ARTESANAL CALETA LA HERRADURA, CQBO (DISEÑO)</v>
          </cell>
          <cell r="K37" t="str">
            <v>FNDR</v>
          </cell>
          <cell r="L37" t="str">
            <v>MIDESO</v>
          </cell>
          <cell r="M37" t="str">
            <v>FNDR Libre Disposición</v>
          </cell>
        </row>
        <row r="38">
          <cell r="A38" t="str">
            <v>30073116-0</v>
          </cell>
          <cell r="C38" t="str">
            <v>CONSTRUCCION JARDIN INFANTIL Y SALA CUNA LOS CHANGUITOS</v>
          </cell>
          <cell r="K38" t="str">
            <v>FNDR</v>
          </cell>
          <cell r="L38" t="str">
            <v>MIDESO</v>
          </cell>
          <cell r="M38" t="str">
            <v>Fondo Infraestructura Educacional</v>
          </cell>
        </row>
        <row r="39">
          <cell r="A39" t="str">
            <v>30043383-0</v>
          </cell>
          <cell r="C39" t="str">
            <v>CONST. RED DE ENERGIA ELECTRICA LA ESTRELLA, LA SERENA</v>
          </cell>
          <cell r="K39" t="str">
            <v>FNDR</v>
          </cell>
          <cell r="L39" t="str">
            <v>MIDESO</v>
          </cell>
          <cell r="M39" t="str">
            <v>Energización</v>
          </cell>
        </row>
        <row r="40">
          <cell r="A40" t="str">
            <v>30150774-0</v>
          </cell>
          <cell r="C40" t="str">
            <v>CONST. ELECTRIFICACION LOCALIDAD RURAL LA CORTADERA, ANDACOLLO</v>
          </cell>
          <cell r="F40">
            <v>201561</v>
          </cell>
          <cell r="I40">
            <v>201561</v>
          </cell>
          <cell r="J40">
            <v>201561</v>
          </cell>
          <cell r="K40" t="str">
            <v>FNDR</v>
          </cell>
          <cell r="L40" t="str">
            <v>MIDESO</v>
          </cell>
          <cell r="M40" t="str">
            <v>Energización</v>
          </cell>
        </row>
        <row r="41">
          <cell r="A41" t="str">
            <v>30391178-0</v>
          </cell>
          <cell r="C41" t="str">
            <v>CONST. SISTEMA APR TILAMA, COMUNA DE LOS VILOS</v>
          </cell>
          <cell r="K41" t="str">
            <v>FNDR</v>
          </cell>
          <cell r="L41" t="str">
            <v>MIDESO</v>
          </cell>
          <cell r="M41" t="str">
            <v>FNDR Libre Disposición</v>
          </cell>
        </row>
        <row r="42">
          <cell r="A42" t="str">
            <v>30465139-0</v>
          </cell>
          <cell r="C42" t="str">
            <v>CONSERVACION CAMINO BASICO RUTA D-37E, S: CAIMANES-TUNEL LAS ASTAS</v>
          </cell>
          <cell r="K42" t="str">
            <v>FNDR</v>
          </cell>
          <cell r="L42" t="str">
            <v>GORE</v>
          </cell>
          <cell r="M42" t="str">
            <v>Transantiago</v>
          </cell>
        </row>
        <row r="43">
          <cell r="A43" t="str">
            <v>30465392-0</v>
          </cell>
          <cell r="C43" t="str">
            <v>CONSERVACION CAMINO BASICO RUTA D-457, SAMO ALTO-ANDACOLLO, TR-ELQUI</v>
          </cell>
          <cell r="F43">
            <v>9878</v>
          </cell>
          <cell r="I43">
            <v>1707075</v>
          </cell>
          <cell r="J43">
            <v>1707075</v>
          </cell>
          <cell r="K43" t="str">
            <v>FNDR</v>
          </cell>
          <cell r="L43" t="str">
            <v>GORE</v>
          </cell>
          <cell r="M43" t="str">
            <v>Transantiago</v>
          </cell>
        </row>
        <row r="44">
          <cell r="A44" t="str">
            <v>30066711-0</v>
          </cell>
          <cell r="C44" t="str">
            <v>MEJORAMIENTO CALETA GUAYACAN, COQUIMBO</v>
          </cell>
          <cell r="K44" t="str">
            <v>FNDR</v>
          </cell>
          <cell r="L44" t="str">
            <v>GORE</v>
          </cell>
          <cell r="M44" t="str">
            <v>FNDR Libre Disposición</v>
          </cell>
        </row>
        <row r="45">
          <cell r="A45" t="str">
            <v>30450923-0</v>
          </cell>
          <cell r="C45" t="str">
            <v>CONSERVACIÓN ESTADIO DE FUTBOL TONGOY, COQUIMBO</v>
          </cell>
          <cell r="K45" t="str">
            <v>FNDR</v>
          </cell>
          <cell r="L45" t="str">
            <v>GORE</v>
          </cell>
          <cell r="M45" t="str">
            <v>FNDR Libre Disposición</v>
          </cell>
        </row>
        <row r="46">
          <cell r="A46" t="str">
            <v>30098942-0</v>
          </cell>
          <cell r="C46" t="str">
            <v>REPOS. COMPLEJO DEPORTIVO BDO OHIGGINS, ILLAPEL (DISEÑO)</v>
          </cell>
          <cell r="K46" t="str">
            <v>FNDR</v>
          </cell>
          <cell r="L46" t="str">
            <v>GORE</v>
          </cell>
          <cell r="M46" t="str">
            <v>FNDR Libre Disposición</v>
          </cell>
        </row>
        <row r="47">
          <cell r="A47" t="str">
            <v>30109140-0</v>
          </cell>
          <cell r="C47" t="str">
            <v>AMPLIACION SERVICIO MEDICO LEGAL DE LA SERENA</v>
          </cell>
          <cell r="F47">
            <v>722077</v>
          </cell>
          <cell r="I47">
            <v>4639030</v>
          </cell>
          <cell r="J47">
            <v>4639030</v>
          </cell>
          <cell r="K47" t="str">
            <v>FNDR</v>
          </cell>
          <cell r="L47" t="str">
            <v>MIDESO</v>
          </cell>
          <cell r="M47" t="str">
            <v>FNDR Libre Disposición</v>
          </cell>
        </row>
        <row r="48">
          <cell r="A48" t="str">
            <v>30098063-0</v>
          </cell>
          <cell r="C48" t="str">
            <v>CONST. INFRAESTRUCTURA PESQUERA ARTESANAL CALETA MAITENCILLO, CANELA</v>
          </cell>
          <cell r="K48" t="str">
            <v>FNDR</v>
          </cell>
          <cell r="L48" t="str">
            <v>MIDESO</v>
          </cell>
          <cell r="M48" t="str">
            <v>FNDR Libre Disposición</v>
          </cell>
        </row>
        <row r="49">
          <cell r="A49" t="str">
            <v>30481995-0</v>
          </cell>
          <cell r="C49" t="str">
            <v>RESTAURACION MONUMENTO HISTORICO CASA PIÑERA, LA SERENA (DISEÑO)</v>
          </cell>
          <cell r="F49">
            <v>44820</v>
          </cell>
          <cell r="I49">
            <v>213947</v>
          </cell>
          <cell r="J49">
            <v>213947</v>
          </cell>
          <cell r="K49" t="str">
            <v>FNDR</v>
          </cell>
          <cell r="L49" t="str">
            <v>MIDESO</v>
          </cell>
          <cell r="M49" t="str">
            <v>Puesta en Valor del Patrimonio</v>
          </cell>
        </row>
        <row r="50">
          <cell r="A50" t="str">
            <v>30481521-0</v>
          </cell>
          <cell r="C50" t="str">
            <v>RESTAURACION ESTRUCTURAL IGLESIA SAN VICENTE FERRER, OVALLE (DISEÑO)</v>
          </cell>
          <cell r="K50" t="str">
            <v>FNDR</v>
          </cell>
          <cell r="L50" t="str">
            <v>MIDESO</v>
          </cell>
          <cell r="M50" t="str">
            <v>Puesta en Valor del Patrimonio</v>
          </cell>
        </row>
        <row r="51">
          <cell r="A51" t="str">
            <v>30131804-0</v>
          </cell>
          <cell r="C51" t="str">
            <v>CONSTRUCCION PASEO MIRADOR LARRAIN ALCALDE, COMUNA DE LA SERENA</v>
          </cell>
          <cell r="F51">
            <v>392397</v>
          </cell>
          <cell r="G51">
            <v>20349</v>
          </cell>
          <cell r="I51">
            <v>3274336</v>
          </cell>
          <cell r="J51">
            <v>3274336</v>
          </cell>
          <cell r="K51" t="str">
            <v>FNDR</v>
          </cell>
          <cell r="L51" t="str">
            <v>MIDESO</v>
          </cell>
          <cell r="M51" t="str">
            <v>FNDR Libre Disposición</v>
          </cell>
        </row>
        <row r="52">
          <cell r="A52" t="str">
            <v>30108069-0</v>
          </cell>
          <cell r="C52" t="str">
            <v>CONST. COMPLEJO DEPORTIVO Y OBRAS COMPLEMENTARIAS VEGAS SUR</v>
          </cell>
          <cell r="F52">
            <v>3220026</v>
          </cell>
          <cell r="G52">
            <v>4</v>
          </cell>
          <cell r="I52">
            <v>4545703</v>
          </cell>
          <cell r="J52">
            <v>4545703</v>
          </cell>
          <cell r="K52" t="str">
            <v>FNDR</v>
          </cell>
          <cell r="L52" t="str">
            <v>MIDESO</v>
          </cell>
          <cell r="M52" t="str">
            <v>FNDR Libre Disposición</v>
          </cell>
        </row>
        <row r="53">
          <cell r="A53" t="str">
            <v>30100263-0</v>
          </cell>
          <cell r="C53" t="str">
            <v>REPOSICION CUARTEL BICRIM COQUIMBO</v>
          </cell>
          <cell r="F53">
            <v>215923</v>
          </cell>
          <cell r="G53">
            <v>2</v>
          </cell>
          <cell r="I53">
            <v>5623369</v>
          </cell>
          <cell r="J53">
            <v>5623369</v>
          </cell>
          <cell r="K53" t="str">
            <v>FNDR</v>
          </cell>
          <cell r="L53" t="str">
            <v>MIDESO</v>
          </cell>
          <cell r="M53" t="str">
            <v>FNDR Libre Disposición</v>
          </cell>
        </row>
        <row r="54">
          <cell r="A54" t="str">
            <v>30109787-0</v>
          </cell>
          <cell r="C54" t="str">
            <v>REPOSICION CUARTEL DE BOMBEROS DE CERRILLOS DE TAMAYA, OVALLE</v>
          </cell>
          <cell r="F54">
            <v>49519</v>
          </cell>
          <cell r="G54">
            <v>2</v>
          </cell>
          <cell r="I54">
            <v>646779</v>
          </cell>
          <cell r="J54">
            <v>646779</v>
          </cell>
          <cell r="K54" t="str">
            <v>FNDR</v>
          </cell>
          <cell r="L54" t="str">
            <v>MIDESO</v>
          </cell>
          <cell r="M54" t="str">
            <v>FNDR Libre Disposición</v>
          </cell>
        </row>
        <row r="55">
          <cell r="A55" t="str">
            <v>30486418-0</v>
          </cell>
          <cell r="C55" t="str">
            <v>REPOS. INSTITUTO DE REHABILITACION, TELETON, DE COQUIMBO</v>
          </cell>
          <cell r="F55">
            <v>803695</v>
          </cell>
          <cell r="G55">
            <v>2</v>
          </cell>
          <cell r="I55">
            <v>7365450</v>
          </cell>
          <cell r="J55">
            <v>7365450</v>
          </cell>
          <cell r="K55" t="str">
            <v>FNDR</v>
          </cell>
          <cell r="L55" t="str">
            <v>MIDESO</v>
          </cell>
          <cell r="M55" t="str">
            <v>FNDR Libre Disposición</v>
          </cell>
        </row>
        <row r="56">
          <cell r="A56" t="str">
            <v>30100599-0</v>
          </cell>
          <cell r="C56" t="str">
            <v>REPOSICION HOGAR MASCULINO DE PUNITAQUI</v>
          </cell>
          <cell r="F56">
            <v>108169</v>
          </cell>
          <cell r="I56">
            <v>2379612</v>
          </cell>
          <cell r="J56">
            <v>2379612</v>
          </cell>
          <cell r="K56" t="str">
            <v>FNDR</v>
          </cell>
          <cell r="L56" t="str">
            <v>MIDESO</v>
          </cell>
          <cell r="M56" t="str">
            <v>FNDR Libre Disposición</v>
          </cell>
        </row>
        <row r="57">
          <cell r="A57" t="str">
            <v>30124186-0</v>
          </cell>
          <cell r="C57" t="str">
            <v>MEJOR. CANCHA DE FUTBOL DE SERON, RIO HURTADO</v>
          </cell>
          <cell r="F57">
            <v>118394</v>
          </cell>
          <cell r="G57">
            <v>1</v>
          </cell>
          <cell r="I57">
            <v>969521</v>
          </cell>
          <cell r="J57">
            <v>969521</v>
          </cell>
          <cell r="K57" t="str">
            <v>FNDR</v>
          </cell>
          <cell r="L57" t="str">
            <v>MIDESO</v>
          </cell>
          <cell r="M57" t="str">
            <v>FNDR Libre Disposición</v>
          </cell>
        </row>
        <row r="58">
          <cell r="A58" t="str">
            <v>30484216-0</v>
          </cell>
          <cell r="C58" t="str">
            <v>CONSERV. PAVIMENTOS AÑO 2017, REGION DE COQUIMBO</v>
          </cell>
          <cell r="F58">
            <v>658819</v>
          </cell>
          <cell r="G58">
            <v>0</v>
          </cell>
          <cell r="H58">
            <v>0</v>
          </cell>
          <cell r="I58">
            <v>2618995</v>
          </cell>
          <cell r="J58">
            <v>2618995</v>
          </cell>
          <cell r="K58" t="str">
            <v>FNDR</v>
          </cell>
          <cell r="L58" t="str">
            <v>MIDESO</v>
          </cell>
          <cell r="M58" t="str">
            <v>Transantiago</v>
          </cell>
        </row>
        <row r="59">
          <cell r="A59" t="str">
            <v>30064663-0</v>
          </cell>
          <cell r="C59" t="str">
            <v>MEJORAMIENTO EDIFICIO CONSISTORIAL DE OVALLE (DISEÑO)</v>
          </cell>
          <cell r="F59">
            <v>79168</v>
          </cell>
          <cell r="I59">
            <v>412837</v>
          </cell>
          <cell r="J59">
            <v>412837</v>
          </cell>
          <cell r="K59" t="str">
            <v>FNDR</v>
          </cell>
          <cell r="L59" t="str">
            <v>MIDESO</v>
          </cell>
          <cell r="M59" t="str">
            <v>FNDR Libre Disposición</v>
          </cell>
        </row>
        <row r="60">
          <cell r="A60" t="str">
            <v>30483251-0</v>
          </cell>
          <cell r="C60" t="str">
            <v>HABILITACION CENTRO DE EXTENSION CULTURAL PARA EL PATRIMONIO, COMUNA DE LA SERENA</v>
          </cell>
          <cell r="F60">
            <v>137496</v>
          </cell>
          <cell r="G60">
            <v>1</v>
          </cell>
          <cell r="I60">
            <v>833063</v>
          </cell>
          <cell r="J60">
            <v>833063</v>
          </cell>
          <cell r="K60" t="str">
            <v>FNDR</v>
          </cell>
          <cell r="L60" t="str">
            <v>MIDESO</v>
          </cell>
          <cell r="M60" t="str">
            <v>FNDR Libre Disposición</v>
          </cell>
        </row>
        <row r="61">
          <cell r="A61" t="str">
            <v>30447522-0</v>
          </cell>
          <cell r="C61" t="str">
            <v>CONST. PARQUE CHAÑARAL ALTO, COMUNA DE MTE PATRIA</v>
          </cell>
          <cell r="F61">
            <v>1679071</v>
          </cell>
          <cell r="G61">
            <v>2</v>
          </cell>
          <cell r="H61">
            <v>0</v>
          </cell>
          <cell r="I61">
            <v>2710884</v>
          </cell>
          <cell r="J61">
            <v>2710884</v>
          </cell>
          <cell r="K61" t="str">
            <v>FNDR</v>
          </cell>
          <cell r="L61" t="str">
            <v>MIDESO</v>
          </cell>
          <cell r="M61" t="str">
            <v>FNDR Libre Disposición</v>
          </cell>
        </row>
        <row r="62">
          <cell r="A62" t="str">
            <v>30044777-0</v>
          </cell>
          <cell r="C62" t="str">
            <v>CONST. RED ELECTRICA RURAL LA RINCONADA-ESCORZA, PUNITAQUI</v>
          </cell>
          <cell r="K62" t="str">
            <v>FNDR</v>
          </cell>
          <cell r="L62" t="str">
            <v>MIDESO</v>
          </cell>
          <cell r="M62" t="str">
            <v>Energización</v>
          </cell>
        </row>
        <row r="63">
          <cell r="A63" t="str">
            <v>30172123-0</v>
          </cell>
          <cell r="C63" t="str">
            <v>REPOSICION CON RELOCALIZACION RETEN PICHASCA, COMUNA DE RIO HURTADO</v>
          </cell>
          <cell r="K63" t="str">
            <v>FNDR</v>
          </cell>
          <cell r="L63" t="str">
            <v>MIDESO</v>
          </cell>
          <cell r="M63" t="str">
            <v>FNDR Libre Disposición</v>
          </cell>
        </row>
        <row r="64">
          <cell r="A64" t="str">
            <v>40001289-0</v>
          </cell>
          <cell r="C64" t="str">
            <v>CONSERVACIÓN FAROLES COLONIALES DE LA SERENA</v>
          </cell>
          <cell r="K64" t="str">
            <v>FNDR</v>
          </cell>
          <cell r="L64" t="str">
            <v>MIDESO</v>
          </cell>
          <cell r="M64" t="str">
            <v>FNDR Libre Disposición</v>
          </cell>
        </row>
        <row r="65">
          <cell r="A65" t="str">
            <v>30124513-0</v>
          </cell>
          <cell r="C65" t="str">
            <v>AMPLIACIÓN EDIFICIO CONSISTORIAL, ANDACOLLO</v>
          </cell>
          <cell r="F65">
            <v>4836433</v>
          </cell>
          <cell r="G65">
            <v>147427</v>
          </cell>
          <cell r="H65">
            <v>0</v>
          </cell>
          <cell r="I65">
            <v>6338498</v>
          </cell>
          <cell r="J65">
            <v>6338498</v>
          </cell>
          <cell r="K65" t="str">
            <v>FNDR</v>
          </cell>
          <cell r="L65" t="str">
            <v>MIDESO</v>
          </cell>
          <cell r="M65" t="str">
            <v>FNDR Libre Disposición</v>
          </cell>
        </row>
        <row r="66">
          <cell r="A66" t="str">
            <v>30487064-0</v>
          </cell>
          <cell r="C66" t="str">
            <v>MEJORAMIENTO CANCHA DE FÚTBOL, LIGA AMATEUR RÍO HUATULAME EL PALQUI, COMUNA DE MONTE PATRIA</v>
          </cell>
          <cell r="K66" t="str">
            <v>FNDR</v>
          </cell>
          <cell r="L66" t="str">
            <v>MIDESO</v>
          </cell>
          <cell r="M66" t="str">
            <v>FNDR Libre Disposición</v>
          </cell>
        </row>
        <row r="67">
          <cell r="A67" t="str">
            <v>40000036-0</v>
          </cell>
          <cell r="C67" t="str">
            <v>MEJORAMIENTO CANCHA DE FÚTBOL CORRE Y VUELA, EL PALQUI, COMUNA DE MONTE PATRIA</v>
          </cell>
          <cell r="K67" t="str">
            <v>FNDR</v>
          </cell>
          <cell r="L67" t="str">
            <v>MIDESO</v>
          </cell>
          <cell r="M67" t="str">
            <v>FNDR Libre Disposición</v>
          </cell>
        </row>
        <row r="68">
          <cell r="A68" t="str">
            <v>30487203-0</v>
          </cell>
          <cell r="C68" t="str">
            <v>MEJORAMIENTO CANCHA DE FÚTBOL "WANDERS" DE EL PERALITO, COMUNA DE MONTE PATRIA</v>
          </cell>
          <cell r="K68" t="str">
            <v>FNDR</v>
          </cell>
          <cell r="L68" t="str">
            <v>MIDESO</v>
          </cell>
          <cell r="M68" t="str">
            <v>FNDR Libre Disposición</v>
          </cell>
        </row>
        <row r="69">
          <cell r="A69" t="str">
            <v>40000508-0</v>
          </cell>
          <cell r="C69" t="str">
            <v>DIAGNÓSTICO TRANSPORTE PÚBLICO CONURBACIÓN COQUIMBO - LA SERENA</v>
          </cell>
          <cell r="F69">
            <v>92340</v>
          </cell>
          <cell r="G69">
            <v>222385</v>
          </cell>
          <cell r="H69">
            <v>0</v>
          </cell>
          <cell r="I69">
            <v>314725</v>
          </cell>
          <cell r="J69">
            <v>314725</v>
          </cell>
          <cell r="K69" t="str">
            <v>FNDR</v>
          </cell>
          <cell r="L69" t="str">
            <v>MIDESO</v>
          </cell>
          <cell r="M69" t="str">
            <v>Transantiago</v>
          </cell>
        </row>
        <row r="70">
          <cell r="A70" t="str">
            <v>30136164-0</v>
          </cell>
          <cell r="C70" t="str">
            <v>MEJORAMIENTO VIALIDAD URBANA A TRAVÉS DE MEDIDAS DE BAJO COSTO, COQUIMBO</v>
          </cell>
          <cell r="K70" t="str">
            <v>FNDR</v>
          </cell>
          <cell r="L70" t="str">
            <v>MIDESO</v>
          </cell>
          <cell r="M70" t="str">
            <v>Transantiago</v>
          </cell>
        </row>
        <row r="71">
          <cell r="A71" t="str">
            <v>40000585-0</v>
          </cell>
          <cell r="C71" t="str">
            <v>CONSERVACIÓN CBC RUTA D-531, EL OLIVO-CERRILLOS DE TAMAYA, OVALLE</v>
          </cell>
          <cell r="K71" t="str">
            <v>FNDR</v>
          </cell>
          <cell r="L71" t="str">
            <v>GORE</v>
          </cell>
          <cell r="M71" t="str">
            <v>Transantiago</v>
          </cell>
        </row>
        <row r="72">
          <cell r="A72" t="str">
            <v>40000697-0</v>
          </cell>
          <cell r="C72" t="str">
            <v>CONSERVACIÓN CBC RUTA D-701, SECTOR: LAS RAMADAS - EL CIÉNAGO, PUNITAQUI</v>
          </cell>
          <cell r="K72" t="str">
            <v>FNDR</v>
          </cell>
          <cell r="L72" t="str">
            <v>GORE</v>
          </cell>
          <cell r="M72" t="str">
            <v>Transantiago</v>
          </cell>
        </row>
        <row r="73">
          <cell r="A73" t="str">
            <v>30393924-0</v>
          </cell>
          <cell r="C73" t="str">
            <v>MEJORAMIENTO PLAZA DE ARMAS DE PICHASCA, COMUNA DE RIO HURTADO</v>
          </cell>
          <cell r="F73">
            <v>293652</v>
          </cell>
          <cell r="G73">
            <v>71</v>
          </cell>
          <cell r="I73">
            <v>712703</v>
          </cell>
          <cell r="J73">
            <v>712703</v>
          </cell>
          <cell r="K73" t="str">
            <v>FNDR</v>
          </cell>
          <cell r="L73" t="str">
            <v>MIDESO</v>
          </cell>
          <cell r="M73" t="str">
            <v>FNDR Libre Disposición</v>
          </cell>
        </row>
        <row r="74">
          <cell r="A74" t="str">
            <v>40001228-0</v>
          </cell>
          <cell r="C74" t="str">
            <v>CONSERVACIÓN FARO MONUMENTAL LA SERENA</v>
          </cell>
          <cell r="K74" t="str">
            <v>FNDR</v>
          </cell>
          <cell r="L74" t="str">
            <v>GORE</v>
          </cell>
          <cell r="M74" t="str">
            <v>FNDR Libre Disposición</v>
          </cell>
        </row>
        <row r="75">
          <cell r="A75" t="str">
            <v>30429077-0</v>
          </cell>
          <cell r="B75" t="str">
            <v>AMPLIACIÓN OBRAS DE URBANIZACIÓN, SECTOR ALFALFARES, COMUNA DE LA SERENA</v>
          </cell>
          <cell r="C75" t="str">
            <v>AMPLIACIÓN OBRAS DE URBANIZACIÓN, SECTOR ALFALFARES, COMUNA DE LA SERENA (diseño)</v>
          </cell>
          <cell r="K75" t="str">
            <v>FNDR</v>
          </cell>
          <cell r="L75" t="str">
            <v>MIDESO</v>
          </cell>
          <cell r="M75" t="str">
            <v>FNDR Libre Disposición</v>
          </cell>
        </row>
        <row r="76">
          <cell r="A76" t="str">
            <v>30431172-0</v>
          </cell>
          <cell r="B76" t="str">
            <v>CONSTRUCCIÓN URBANIZACIÓN BÁSICA LOCALIDAD DE ALTOVALSOL, COMUNA DE LA SERENA</v>
          </cell>
          <cell r="C76" t="str">
            <v>CONSTRUCCIÓN URBANIZACIÓN BÁSICA LOCALIDAD DE ALTOVALSOL, COMUNA DE LA SERENA (diseño)</v>
          </cell>
          <cell r="F76">
            <v>39032</v>
          </cell>
          <cell r="I76">
            <v>174932</v>
          </cell>
          <cell r="J76">
            <v>174932</v>
          </cell>
          <cell r="K76" t="str">
            <v>FNDR</v>
          </cell>
          <cell r="L76" t="str">
            <v>MIDESO</v>
          </cell>
          <cell r="M76" t="str">
            <v>FNDR Libre Disposición</v>
          </cell>
        </row>
        <row r="77">
          <cell r="A77" t="str">
            <v>30109834-0</v>
          </cell>
          <cell r="B77" t="str">
            <v>REPOSICIÓN ESCUELA BÁSICA EL CRISOL, OVALLE</v>
          </cell>
          <cell r="C77" t="str">
            <v>REPOSICIÓN ESCUELA BÁSICA EL CRISOL,  OVALLE</v>
          </cell>
          <cell r="F77">
            <v>733150</v>
          </cell>
          <cell r="G77">
            <v>990693</v>
          </cell>
          <cell r="I77">
            <v>1738357</v>
          </cell>
          <cell r="J77">
            <v>1738357</v>
          </cell>
          <cell r="K77" t="str">
            <v>FNDR</v>
          </cell>
          <cell r="L77" t="str">
            <v>MIDESO</v>
          </cell>
          <cell r="M77" t="str">
            <v>Fondo Infraestructura Educacional</v>
          </cell>
        </row>
        <row r="78">
          <cell r="A78" t="str">
            <v>30439686-0</v>
          </cell>
          <cell r="B78" t="str">
            <v>MEJORAMIENTO CANCHA COMPLEJO DEPORTIVO EL MILAGRO ANFA LA PAMPA</v>
          </cell>
          <cell r="C78" t="str">
            <v>MEJORAMIENTO CANCHAS COMPLEJO DEPORTIVO EL MILAGRO, LA SERENA</v>
          </cell>
          <cell r="K78" t="str">
            <v>FNDR</v>
          </cell>
          <cell r="L78" t="str">
            <v>MIDESO</v>
          </cell>
          <cell r="M78" t="str">
            <v>FNDR Libre Disposición</v>
          </cell>
        </row>
        <row r="79">
          <cell r="A79" t="str">
            <v>30483984-0</v>
          </cell>
          <cell r="B79" t="str">
            <v>CONSTRUCCIÓN CENTRO COMUNITARIO MUNICIPAL, COMUNA DE ILLAPEL</v>
          </cell>
          <cell r="C79" t="str">
            <v>CONSTRUCCIÓN CENTRO COMUNITARIO MUNICIPAL, COMUNA DE ILLAPEL</v>
          </cell>
          <cell r="K79" t="str">
            <v>FNDR</v>
          </cell>
          <cell r="L79" t="str">
            <v>MIDESO</v>
          </cell>
          <cell r="M79" t="str">
            <v>FNDR Libre Disposición</v>
          </cell>
        </row>
        <row r="80">
          <cell r="A80" t="str">
            <v>30466285-0</v>
          </cell>
          <cell r="C80" t="str">
            <v>PREVENCION CONSUMO DE DROGAS Y ALCOHOL COMUNAS CANELA Y SALAMANCA</v>
          </cell>
          <cell r="K80" t="str">
            <v>FNDR</v>
          </cell>
          <cell r="L80" t="str">
            <v>MIDESO</v>
          </cell>
          <cell r="M80" t="str">
            <v>FNDR Libre Disposición</v>
          </cell>
        </row>
        <row r="81">
          <cell r="A81" t="str">
            <v>30073874-0</v>
          </cell>
          <cell r="C81" t="str">
            <v>REPOSICION CENTRO DE SALUD DE CAREN, COMUNA MONTE PATRIA</v>
          </cell>
          <cell r="K81" t="str">
            <v>FNDR</v>
          </cell>
          <cell r="L81" t="str">
            <v>MIDESO</v>
          </cell>
          <cell r="M81" t="str">
            <v>FNDR Libre Disposición</v>
          </cell>
        </row>
        <row r="82">
          <cell r="A82" t="str">
            <v>30150673-0</v>
          </cell>
          <cell r="C82" t="str">
            <v>MEJORAMIENTO CANCHA DE FUTBOL  DE HURTADO</v>
          </cell>
          <cell r="F82">
            <v>182894</v>
          </cell>
          <cell r="I82">
            <v>592430</v>
          </cell>
          <cell r="J82">
            <v>592430</v>
          </cell>
          <cell r="K82" t="str">
            <v>FNDR</v>
          </cell>
          <cell r="L82" t="str">
            <v>MIDESO</v>
          </cell>
          <cell r="M82" t="str">
            <v>FNDR Libre Disposición</v>
          </cell>
        </row>
        <row r="83">
          <cell r="A83" t="str">
            <v>30123632-0</v>
          </cell>
          <cell r="C83" t="str">
            <v>MEJOR. CALLE ELICURA ENTRE CALLES ARAUCO Y MILLARAY, LOS VILOS</v>
          </cell>
          <cell r="K83" t="str">
            <v>FNDR</v>
          </cell>
          <cell r="L83" t="str">
            <v>MIDESO</v>
          </cell>
          <cell r="M83" t="str">
            <v>Transantiago</v>
          </cell>
        </row>
        <row r="84">
          <cell r="A84" t="str">
            <v>30392127-0</v>
          </cell>
          <cell r="C84" t="str">
            <v>MEJOR. CALLE DOS PONIENTE DE PICHIDANGUI, COMUNA DE LOS VILOS</v>
          </cell>
          <cell r="K84" t="str">
            <v>FNDR</v>
          </cell>
          <cell r="L84" t="str">
            <v>MIDESO</v>
          </cell>
          <cell r="M84" t="str">
            <v>Transantiago</v>
          </cell>
        </row>
        <row r="85">
          <cell r="A85" t="str">
            <v>30085388-0</v>
          </cell>
          <cell r="C85" t="str">
            <v>REPOSICION TENENCIA PAIHUANO, COMUNA DE PAIHUANO</v>
          </cell>
          <cell r="F85">
            <v>753110</v>
          </cell>
          <cell r="G85">
            <v>608844</v>
          </cell>
          <cell r="I85">
            <v>1371520</v>
          </cell>
          <cell r="J85">
            <v>1371520</v>
          </cell>
          <cell r="K85" t="str">
            <v>FNDR</v>
          </cell>
          <cell r="L85" t="str">
            <v>MIDESO</v>
          </cell>
          <cell r="M85" t="str">
            <v>FNDR Libre Disposición</v>
          </cell>
        </row>
        <row r="86">
          <cell r="A86" t="str">
            <v>40001384-0</v>
          </cell>
          <cell r="C86" t="str">
            <v>REPOSICION PUEBLO ARTESANAL DE HORCON, PAIHUANO</v>
          </cell>
          <cell r="K86" t="str">
            <v>FNDR</v>
          </cell>
          <cell r="L86" t="str">
            <v>MIDESO</v>
          </cell>
          <cell r="M86" t="str">
            <v>FNDR Libre Disposición</v>
          </cell>
        </row>
        <row r="87">
          <cell r="A87" t="str">
            <v>30484899-0</v>
          </cell>
          <cell r="C87" t="str">
            <v>CONSTRUCCION TEATRO REGIONAL, LA SERENA</v>
          </cell>
          <cell r="K87" t="str">
            <v>FNDR</v>
          </cell>
          <cell r="L87" t="str">
            <v>MIDESO</v>
          </cell>
          <cell r="M87" t="str">
            <v>FNDR Libre Disposición</v>
          </cell>
        </row>
        <row r="88">
          <cell r="A88" t="str">
            <v>40002659-0</v>
          </cell>
          <cell r="C88" t="str">
            <v>HABILITACION UNIDAD DE MEDICINA HIPERBARICA, HOSPITAL DE COQUIMBO</v>
          </cell>
          <cell r="F88">
            <v>351831</v>
          </cell>
          <cell r="G88">
            <v>0</v>
          </cell>
          <cell r="H88">
            <v>0</v>
          </cell>
          <cell r="I88">
            <v>377619</v>
          </cell>
          <cell r="J88">
            <v>699120</v>
          </cell>
          <cell r="K88" t="str">
            <v>FNDR</v>
          </cell>
          <cell r="L88" t="str">
            <v>MIDESO</v>
          </cell>
          <cell r="M88" t="str">
            <v>FNDR Libre Disposición</v>
          </cell>
        </row>
        <row r="89">
          <cell r="A89" t="str">
            <v>30109832-0</v>
          </cell>
          <cell r="C89" t="str">
            <v>REPOSICION COLEGIO YUNGAY DE EDUCACION ESPECIAL OVALLE</v>
          </cell>
          <cell r="F89">
            <v>613995</v>
          </cell>
          <cell r="G89">
            <v>2810</v>
          </cell>
          <cell r="I89">
            <v>1818236</v>
          </cell>
          <cell r="J89">
            <v>1818236</v>
          </cell>
          <cell r="K89" t="str">
            <v>FNDR</v>
          </cell>
          <cell r="L89" t="str">
            <v>MIDESO</v>
          </cell>
          <cell r="M89" t="str">
            <v>Fondo Infraestructura Educacional</v>
          </cell>
        </row>
        <row r="90">
          <cell r="A90" t="str">
            <v>30477535-0</v>
          </cell>
          <cell r="C90" t="str">
            <v>CONST. CANCHA SINTETICA COMPLEJO DEPORTIVO LAS ROSAS, COQUIMBO</v>
          </cell>
          <cell r="F90">
            <v>48058</v>
          </cell>
          <cell r="I90">
            <v>843192</v>
          </cell>
          <cell r="J90">
            <v>843192</v>
          </cell>
          <cell r="K90" t="str">
            <v>FNDR</v>
          </cell>
          <cell r="L90" t="str">
            <v>MIDESO</v>
          </cell>
          <cell r="M90" t="str">
            <v>FNDR Libre Disposición</v>
          </cell>
        </row>
        <row r="91">
          <cell r="A91" t="str">
            <v>30136051-0</v>
          </cell>
          <cell r="C91" t="str">
            <v>RESTAURACION ESTRUCTURAL RUTA D-37 E PUENTES Y TUNELES, TILAMA Y QUELON, COMUNA DE LOS VILOS</v>
          </cell>
          <cell r="K91" t="str">
            <v>FNDR</v>
          </cell>
          <cell r="L91" t="str">
            <v>MIDESO</v>
          </cell>
          <cell r="M91" t="str">
            <v>Puesta en Valor del Patrimonio</v>
          </cell>
        </row>
        <row r="92">
          <cell r="A92" t="str">
            <v>30484182-0</v>
          </cell>
          <cell r="C92" t="str">
            <v>CONST. CUARTEL DE BOMBEROS CUARTA CIA, COMUNA DE OVALLE</v>
          </cell>
          <cell r="F92">
            <v>51178</v>
          </cell>
          <cell r="G92">
            <v>2</v>
          </cell>
          <cell r="I92">
            <v>480083</v>
          </cell>
          <cell r="J92">
            <v>480083</v>
          </cell>
          <cell r="K92" t="str">
            <v>FNDR</v>
          </cell>
          <cell r="L92" t="str">
            <v>MIDESO</v>
          </cell>
          <cell r="M92" t="str">
            <v>FNDR Libre Disposición</v>
          </cell>
        </row>
        <row r="93">
          <cell r="A93" t="str">
            <v>30484211-0</v>
          </cell>
          <cell r="C93" t="str">
            <v>REPOSICION CUARTEL 1º CIA DE BOMBEROS, SINDEMPART, COQUIMBO</v>
          </cell>
          <cell r="F93">
            <v>668706</v>
          </cell>
          <cell r="G93">
            <v>70900</v>
          </cell>
          <cell r="I93">
            <v>996473</v>
          </cell>
          <cell r="J93">
            <v>996473</v>
          </cell>
          <cell r="K93" t="str">
            <v>FNDR</v>
          </cell>
          <cell r="L93" t="str">
            <v>MIDESO</v>
          </cell>
          <cell r="M93" t="str">
            <v>FNDR Libre Disposición</v>
          </cell>
        </row>
        <row r="94">
          <cell r="A94" t="str">
            <v>30485976-0</v>
          </cell>
          <cell r="C94" t="str">
            <v>CONSTRUCCION INTERCONEXION VIAL RUTA 41 CH-BORDE COSTERO PROV ELQUI</v>
          </cell>
          <cell r="F94">
            <v>346935</v>
          </cell>
          <cell r="G94">
            <v>0</v>
          </cell>
          <cell r="I94">
            <v>604318</v>
          </cell>
          <cell r="J94">
            <v>874258</v>
          </cell>
          <cell r="K94" t="str">
            <v>FNDR</v>
          </cell>
          <cell r="L94" t="str">
            <v>MIDESO</v>
          </cell>
          <cell r="M94" t="str">
            <v>Transantiago</v>
          </cell>
        </row>
        <row r="95">
          <cell r="A95" t="str">
            <v>40003557-0</v>
          </cell>
          <cell r="C95" t="str">
            <v>CONSERVACION CBC RUTA D-485 SECTOR HORCON-ALCOHUAZ, COM. DE PAIHUANO</v>
          </cell>
          <cell r="K95" t="str">
            <v>FNDR</v>
          </cell>
          <cell r="L95" t="str">
            <v>MIDESO</v>
          </cell>
          <cell r="M95" t="str">
            <v>Transantiago</v>
          </cell>
        </row>
        <row r="96">
          <cell r="A96" t="str">
            <v>40007564-0</v>
          </cell>
          <cell r="C96" t="str">
            <v>CONSERVACION CBC RUTA D-510, SECTOR HUAYANAY-EL TANGUE, COM DE COQUIMBO</v>
          </cell>
          <cell r="F96">
            <v>833866</v>
          </cell>
          <cell r="I96">
            <v>841354</v>
          </cell>
          <cell r="J96">
            <v>841354</v>
          </cell>
          <cell r="K96" t="str">
            <v>FNDR</v>
          </cell>
          <cell r="L96" t="str">
            <v>MIDESO</v>
          </cell>
          <cell r="M96" t="str">
            <v>Transantiago</v>
          </cell>
        </row>
        <row r="97">
          <cell r="A97" t="str">
            <v>40007666-0</v>
          </cell>
          <cell r="C97" t="str">
            <v>CONSERVACION CBC RUTA D-540, S. PUNILLA-FRAY JORGE, COMUNA DE OVALLE</v>
          </cell>
          <cell r="F97">
            <v>220</v>
          </cell>
          <cell r="I97">
            <v>632513</v>
          </cell>
          <cell r="J97">
            <v>632513</v>
          </cell>
          <cell r="K97" t="str">
            <v>FNDR</v>
          </cell>
          <cell r="L97" t="str">
            <v>MIDESO</v>
          </cell>
          <cell r="M97" t="str">
            <v>Transantiago</v>
          </cell>
        </row>
        <row r="98">
          <cell r="A98" t="str">
            <v>40007636-0</v>
          </cell>
          <cell r="C98" t="str">
            <v>CONSERVACION CBC RUTA D-955, S. LO MUÑOZ-INFIERNILLO, COM. LOS VILOS</v>
          </cell>
          <cell r="K98" t="str">
            <v>FNDR</v>
          </cell>
          <cell r="L98" t="str">
            <v>MIDESO</v>
          </cell>
          <cell r="M98" t="str">
            <v>Transantiago</v>
          </cell>
        </row>
        <row r="99">
          <cell r="A99" t="str">
            <v>40007605-0</v>
          </cell>
          <cell r="C99" t="str">
            <v>CONSERVACION CBC RUTA D-841, S. ARBOLEDA GRANDE-MANQUEHUA, SALAMANCA</v>
          </cell>
          <cell r="K99" t="str">
            <v>FNDR</v>
          </cell>
          <cell r="L99" t="str">
            <v>MIDESO</v>
          </cell>
          <cell r="M99" t="str">
            <v>Transantiago</v>
          </cell>
        </row>
        <row r="100">
          <cell r="A100" t="str">
            <v>30098095-0</v>
          </cell>
          <cell r="C100" t="str">
            <v>CONST. INFRAEST. PESQUERA CALETA HUENTELAUQUEN CANELA</v>
          </cell>
          <cell r="F100">
            <v>188734</v>
          </cell>
          <cell r="G100">
            <v>1</v>
          </cell>
          <cell r="I100">
            <v>1059676</v>
          </cell>
          <cell r="J100">
            <v>1059676</v>
          </cell>
          <cell r="K100" t="str">
            <v>FNDR</v>
          </cell>
          <cell r="L100" t="str">
            <v>MIDESO</v>
          </cell>
          <cell r="M100" t="str">
            <v>FNDR Libre Disposición</v>
          </cell>
        </row>
        <row r="101">
          <cell r="A101" t="str">
            <v>30481412-0</v>
          </cell>
          <cell r="C101" t="str">
            <v>RESTAURACION IGLESIA PARROQUIAL DE MINCHA, COM. DE CANELA</v>
          </cell>
          <cell r="K101" t="str">
            <v>FNDR</v>
          </cell>
          <cell r="L101" t="str">
            <v>MIDESO</v>
          </cell>
          <cell r="M101" t="str">
            <v>Puesta en Valor del Patrimonio</v>
          </cell>
        </row>
        <row r="102">
          <cell r="A102" t="str">
            <v>30375950-0</v>
          </cell>
          <cell r="C102" t="str">
            <v>REPOSICION CUARTEL BICRIM OVALLE (diseño)</v>
          </cell>
          <cell r="F102">
            <v>12840</v>
          </cell>
          <cell r="I102">
            <v>59864</v>
          </cell>
          <cell r="J102">
            <v>59864</v>
          </cell>
          <cell r="K102" t="str">
            <v>FNDR</v>
          </cell>
          <cell r="L102" t="str">
            <v>MIDESO</v>
          </cell>
          <cell r="M102" t="str">
            <v>FNDR Libre Disposición</v>
          </cell>
        </row>
        <row r="103">
          <cell r="A103" t="str">
            <v>40003818-0</v>
          </cell>
          <cell r="C103" t="str">
            <v>RESTAURACION IGLESIA DE SOTAQUI, COMUNA DE OVALLE (diseño)</v>
          </cell>
          <cell r="F103">
            <v>41616</v>
          </cell>
          <cell r="I103">
            <v>62475</v>
          </cell>
          <cell r="J103">
            <v>62475</v>
          </cell>
          <cell r="K103" t="str">
            <v>FNDR</v>
          </cell>
          <cell r="L103" t="str">
            <v>MIDESO</v>
          </cell>
          <cell r="M103" t="str">
            <v>Puesta en Valor del Patrimonio</v>
          </cell>
        </row>
        <row r="104">
          <cell r="A104" t="str">
            <v>40004196-0</v>
          </cell>
          <cell r="C104" t="str">
            <v>REPOSICION ESCUELA MARCOS RIGOBERTO PIZARRO, SAN JULIAN, OVALLE</v>
          </cell>
          <cell r="K104" t="str">
            <v>FNDR</v>
          </cell>
          <cell r="L104" t="str">
            <v>MIDESO</v>
          </cell>
          <cell r="M104" t="str">
            <v>Fondo Infraestructura Educacional</v>
          </cell>
        </row>
        <row r="105">
          <cell r="A105" t="str">
            <v>40004434-0</v>
          </cell>
          <cell r="C105" t="str">
            <v>REPOSICION ESCUELA SAN ANTONIO DE LA VILLA, BARRAZA, COMUNA DE OVALLE</v>
          </cell>
          <cell r="K105" t="str">
            <v>FNDR</v>
          </cell>
          <cell r="L105" t="str">
            <v>MIDESO</v>
          </cell>
          <cell r="M105" t="str">
            <v>Fondo Infraestructura Educacional</v>
          </cell>
        </row>
        <row r="106">
          <cell r="A106" t="str">
            <v>40007720-0</v>
          </cell>
          <cell r="C106" t="str">
            <v>CONSERV. CBC RUTA D-535, S. CRUCE RUTA 5-CRUCE D-505 CUESTA LAS SOSSAS, OVALLE</v>
          </cell>
          <cell r="K106" t="str">
            <v>FNDR</v>
          </cell>
          <cell r="L106" t="str">
            <v>MIDESO</v>
          </cell>
          <cell r="M106" t="str">
            <v>Transantiago</v>
          </cell>
        </row>
        <row r="107">
          <cell r="A107" t="str">
            <v>30037147-0</v>
          </cell>
          <cell r="C107" t="str">
            <v>MEJOR. CALLE CAUPOLICAN, SECTOR CENTRO CIVICO, PUNITAQUI</v>
          </cell>
          <cell r="F107">
            <v>768597</v>
          </cell>
          <cell r="G107">
            <v>16797</v>
          </cell>
          <cell r="I107">
            <v>1335341</v>
          </cell>
          <cell r="J107">
            <v>1335341</v>
          </cell>
          <cell r="K107" t="str">
            <v>FNDR</v>
          </cell>
          <cell r="L107" t="str">
            <v>MIDESO</v>
          </cell>
          <cell r="M107" t="str">
            <v>Transantiago</v>
          </cell>
        </row>
        <row r="108">
          <cell r="A108" t="str">
            <v>30134340-0</v>
          </cell>
          <cell r="C108" t="str">
            <v>CONST. PARQUE URBANO SECTOR EL BOSQUE, LOS VILOS</v>
          </cell>
          <cell r="F108">
            <v>717622</v>
          </cell>
          <cell r="I108">
            <v>718214</v>
          </cell>
          <cell r="J108">
            <v>718214</v>
          </cell>
          <cell r="K108" t="str">
            <v>FNDR</v>
          </cell>
          <cell r="L108" t="str">
            <v>MIDESO</v>
          </cell>
          <cell r="M108" t="str">
            <v>FNDR Libre Disposición</v>
          </cell>
        </row>
        <row r="109">
          <cell r="A109" t="str">
            <v>30139673-0</v>
          </cell>
          <cell r="C109" t="str">
            <v>MEJOR. CALLE MUNDO NUEVO, COMUNA DE SALAMANCA</v>
          </cell>
          <cell r="F109">
            <v>114210</v>
          </cell>
          <cell r="I109">
            <v>787719</v>
          </cell>
          <cell r="J109">
            <v>787719</v>
          </cell>
          <cell r="K109" t="str">
            <v>FNDR</v>
          </cell>
          <cell r="L109" t="str">
            <v>MIDESO</v>
          </cell>
          <cell r="M109" t="str">
            <v>Transantiago</v>
          </cell>
        </row>
        <row r="110">
          <cell r="A110" t="str">
            <v>30124206-0</v>
          </cell>
          <cell r="C110" t="str">
            <v>CONST. TECHADO MULTICANCHA COLEGIO NUESTRA SRA DEL ROSARIO, ANDACOLLO</v>
          </cell>
          <cell r="F110">
            <v>408770</v>
          </cell>
          <cell r="G110">
            <v>1</v>
          </cell>
          <cell r="I110">
            <v>544402</v>
          </cell>
          <cell r="J110">
            <v>544402</v>
          </cell>
          <cell r="K110" t="str">
            <v>FNDR</v>
          </cell>
          <cell r="L110" t="str">
            <v>MIDESO</v>
          </cell>
          <cell r="M110" t="str">
            <v>Fondo Infraestructura Educacional</v>
          </cell>
        </row>
        <row r="111">
          <cell r="A111" t="str">
            <v>30457897-0</v>
          </cell>
          <cell r="C111" t="str">
            <v>MEJOR. COMPLEJO DEPORTIVO JUAN SOLDADO, COMUNA DE LA SERENA</v>
          </cell>
          <cell r="F111">
            <v>750797</v>
          </cell>
          <cell r="G111">
            <v>34753</v>
          </cell>
          <cell r="I111">
            <v>787690</v>
          </cell>
          <cell r="J111">
            <v>787690</v>
          </cell>
          <cell r="K111" t="str">
            <v>FNDR</v>
          </cell>
          <cell r="L111" t="str">
            <v>MIDESO</v>
          </cell>
          <cell r="M111" t="str">
            <v>FNDR Libre Disposición</v>
          </cell>
        </row>
        <row r="112">
          <cell r="A112" t="str">
            <v>30109639-0</v>
          </cell>
          <cell r="C112" t="str">
            <v>CONST. ESPACIO RECREATIVO  VILLA PUEBLO NUEVO PUNITAQUI</v>
          </cell>
          <cell r="K112" t="str">
            <v>FNDR</v>
          </cell>
          <cell r="L112" t="str">
            <v>MIDESO</v>
          </cell>
          <cell r="M112" t="str">
            <v>FNDR Libre Disposición</v>
          </cell>
        </row>
        <row r="113">
          <cell r="A113" t="str">
            <v>30150772-0</v>
          </cell>
          <cell r="C113" t="str">
            <v>MEJOR. ESPACIOS PUBLICOS SERÓN, RIO HURTADO</v>
          </cell>
          <cell r="K113" t="str">
            <v>FNDR</v>
          </cell>
          <cell r="L113" t="str">
            <v>MIDESO</v>
          </cell>
          <cell r="M113" t="str">
            <v>FNDR Libre Disposición</v>
          </cell>
        </row>
        <row r="114">
          <cell r="A114" t="str">
            <v>30461222-0</v>
          </cell>
          <cell r="C114" t="str">
            <v>MEJOR. PLAZAEL TAMBO, COMUNA DE VICUÑA</v>
          </cell>
          <cell r="K114" t="str">
            <v>FNDR</v>
          </cell>
          <cell r="L114" t="str">
            <v>MIDESO</v>
          </cell>
          <cell r="M114" t="str">
            <v>FNDR Libre Disposición</v>
          </cell>
        </row>
        <row r="115">
          <cell r="A115" t="str">
            <v>40006932-0</v>
          </cell>
          <cell r="C115" t="str">
            <v>REPOSICION ESTADIO MUNICIPAL, CIUDAD DE MONTE PATRIA (diseño)</v>
          </cell>
          <cell r="K115" t="str">
            <v>FNDR</v>
          </cell>
          <cell r="L115" t="str">
            <v>MIDESO</v>
          </cell>
          <cell r="M115" t="str">
            <v>FNDR Libre Disposición</v>
          </cell>
        </row>
        <row r="116">
          <cell r="A116" t="str">
            <v>40006947-0</v>
          </cell>
          <cell r="C116" t="str">
            <v>CONST. POLIDEPORTIVO CIUDAD DE MONTE PATRIA, MONTE PATRIA (diseño)</v>
          </cell>
          <cell r="F116">
            <v>11600</v>
          </cell>
          <cell r="I116">
            <v>62611</v>
          </cell>
          <cell r="J116">
            <v>62611</v>
          </cell>
          <cell r="K116" t="str">
            <v>FNDR</v>
          </cell>
          <cell r="L116" t="str">
            <v>MIDESO</v>
          </cell>
          <cell r="M116" t="str">
            <v>FNDR Libre Disposición</v>
          </cell>
        </row>
        <row r="117">
          <cell r="A117" t="str">
            <v>40006948-0</v>
          </cell>
          <cell r="C117" t="str">
            <v>CONST. ESTRUCTURA TECHADA VARIOS ESTABLECIMIENTOS EDUCACIONALES, MTE PATRIA</v>
          </cell>
          <cell r="F117">
            <v>203625</v>
          </cell>
          <cell r="I117">
            <v>1178228</v>
          </cell>
          <cell r="J117">
            <v>1178228</v>
          </cell>
          <cell r="K117" t="str">
            <v>FNDR</v>
          </cell>
          <cell r="L117" t="str">
            <v>MIDESO</v>
          </cell>
          <cell r="M117" t="str">
            <v>FNDR Libre Disposición</v>
          </cell>
        </row>
        <row r="118">
          <cell r="A118" t="str">
            <v>30150676-0</v>
          </cell>
          <cell r="C118" t="str">
            <v>MEJOR. COMPLEJO DEPORTIVO DE PICHASCA, RIO HURTADO</v>
          </cell>
          <cell r="F118">
            <v>1500</v>
          </cell>
          <cell r="I118">
            <v>257232</v>
          </cell>
          <cell r="J118">
            <v>257232</v>
          </cell>
          <cell r="K118" t="str">
            <v>FNDR</v>
          </cell>
          <cell r="L118" t="str">
            <v>MIDESO</v>
          </cell>
          <cell r="M118" t="str">
            <v>FNDR Libre Disposición</v>
          </cell>
        </row>
        <row r="119">
          <cell r="A119" t="str">
            <v>30393734-0</v>
          </cell>
          <cell r="C119" t="str">
            <v>CONSTRUCCION ESPACIOS PUBLICOS LAS BREAS, RIO HURTADO</v>
          </cell>
          <cell r="K119" t="str">
            <v>FNDR</v>
          </cell>
          <cell r="L119" t="str">
            <v>MIDESO</v>
          </cell>
          <cell r="M119" t="str">
            <v>FNDR Libre Disposición</v>
          </cell>
        </row>
        <row r="120">
          <cell r="A120" t="str">
            <v>30473496-0</v>
          </cell>
          <cell r="C120" t="str">
            <v>MEJORAMIENTO MULTICANCHA FUNDINA, RIO HURTADO</v>
          </cell>
          <cell r="F120">
            <v>436551</v>
          </cell>
          <cell r="G120">
            <v>49051</v>
          </cell>
          <cell r="I120">
            <v>487018</v>
          </cell>
          <cell r="J120">
            <v>487018</v>
          </cell>
          <cell r="K120" t="str">
            <v>FNDR</v>
          </cell>
          <cell r="L120" t="str">
            <v>MIDESO</v>
          </cell>
          <cell r="M120" t="str">
            <v>FNDR Libre Disposición</v>
          </cell>
        </row>
        <row r="121">
          <cell r="A121" t="str">
            <v>30109398-0</v>
          </cell>
          <cell r="C121" t="str">
            <v>REPOSICION PLAZA VILLA LOS LAGOS LOCALIDAD LAS RAMADAS DE PUNITAQUI</v>
          </cell>
          <cell r="F121">
            <v>33502</v>
          </cell>
          <cell r="I121">
            <v>419437</v>
          </cell>
          <cell r="J121">
            <v>419437</v>
          </cell>
          <cell r="K121" t="str">
            <v>FNDR</v>
          </cell>
          <cell r="L121" t="str">
            <v>MIDESO</v>
          </cell>
          <cell r="M121" t="str">
            <v>FNDR Libre Disposición</v>
          </cell>
        </row>
        <row r="122">
          <cell r="A122" t="str">
            <v>40006882-0</v>
          </cell>
          <cell r="C122" t="str">
            <v>CONST. CENTRO DEPORTIVO CULTURAL PROFESORES COMUNA DE COQUIMBO</v>
          </cell>
          <cell r="K122" t="str">
            <v>FNDR</v>
          </cell>
          <cell r="L122" t="str">
            <v>MIDESO</v>
          </cell>
          <cell r="M122" t="str">
            <v>FNDR Libre Disposición</v>
          </cell>
        </row>
        <row r="123">
          <cell r="A123" t="str">
            <v>30123628-0</v>
          </cell>
          <cell r="C123" t="str">
            <v>MEJORAMIENTO CALLE EL ESFUERZO DE PICHIDANGUI, COM. DE LOS VILOS</v>
          </cell>
          <cell r="F123">
            <v>267819</v>
          </cell>
          <cell r="G123">
            <v>0</v>
          </cell>
          <cell r="H123">
            <v>0</v>
          </cell>
          <cell r="I123">
            <v>270179</v>
          </cell>
          <cell r="J123">
            <v>270179</v>
          </cell>
          <cell r="K123" t="str">
            <v>FNDR</v>
          </cell>
          <cell r="L123" t="str">
            <v>MIDESO</v>
          </cell>
          <cell r="M123" t="str">
            <v>Transantiago</v>
          </cell>
        </row>
        <row r="124">
          <cell r="A124" t="str">
            <v>30484021-0</v>
          </cell>
          <cell r="C124" t="str">
            <v>MEJOR. CANCHAS FUTBOLITO Y DEPENDENCIAS PARQUE 18 DE SEPT, COMUNA DE LA SERENA</v>
          </cell>
          <cell r="K124" t="str">
            <v>FNDR</v>
          </cell>
          <cell r="L124" t="str">
            <v>MIDESO</v>
          </cell>
          <cell r="M124" t="str">
            <v>FNDR Libre Disposición</v>
          </cell>
        </row>
        <row r="125">
          <cell r="A125" t="str">
            <v>30124440-0</v>
          </cell>
          <cell r="C125" t="str">
            <v>AMPL. PASEO SEMIPEATONAL CALLE J.T. URMENETA, ANDACOLLO (diseño)</v>
          </cell>
          <cell r="F125">
            <v>84591</v>
          </cell>
          <cell r="G125">
            <v>0</v>
          </cell>
          <cell r="H125">
            <v>0</v>
          </cell>
          <cell r="I125">
            <v>87737</v>
          </cell>
          <cell r="J125">
            <v>87737</v>
          </cell>
          <cell r="K125" t="str">
            <v>FNDR</v>
          </cell>
          <cell r="L125" t="str">
            <v>MIDESO</v>
          </cell>
          <cell r="M125" t="str">
            <v>Transantiago</v>
          </cell>
        </row>
        <row r="126">
          <cell r="A126" t="str">
            <v>30147622-0</v>
          </cell>
          <cell r="C126" t="str">
            <v>MEJOR. ESPACIO PUBLICO AVDA BELTRAN AMENABAR, ANDACOLLO</v>
          </cell>
          <cell r="F126">
            <v>70156</v>
          </cell>
          <cell r="G126">
            <v>849572</v>
          </cell>
          <cell r="I126">
            <v>920010</v>
          </cell>
          <cell r="J126">
            <v>920010</v>
          </cell>
          <cell r="K126" t="str">
            <v>FNDR</v>
          </cell>
          <cell r="L126" t="str">
            <v>MIDESO</v>
          </cell>
          <cell r="M126" t="str">
            <v>Transantiago</v>
          </cell>
        </row>
        <row r="127">
          <cell r="A127" t="str">
            <v>30460171-0</v>
          </cell>
          <cell r="C127" t="str">
            <v>REPOSICION PLAZA DE ACCESO, LOS VILOS</v>
          </cell>
          <cell r="F127">
            <v>656501</v>
          </cell>
          <cell r="G127">
            <v>13398</v>
          </cell>
          <cell r="I127">
            <v>670476</v>
          </cell>
          <cell r="J127">
            <v>670476</v>
          </cell>
          <cell r="K127" t="str">
            <v>FNDR</v>
          </cell>
          <cell r="L127" t="str">
            <v>MIDESO</v>
          </cell>
          <cell r="M127" t="str">
            <v>FNDR Libre Disposición</v>
          </cell>
        </row>
        <row r="128">
          <cell r="A128" t="str">
            <v>40006352-0</v>
          </cell>
          <cell r="C128" t="str">
            <v>REPOS. CENTRO COMUNITARIO DE REHABILITACION, COM. DE MONTE PATRIA</v>
          </cell>
          <cell r="F128">
            <v>608828</v>
          </cell>
          <cell r="G128">
            <v>87263</v>
          </cell>
          <cell r="I128">
            <v>1130643</v>
          </cell>
          <cell r="J128">
            <v>1130643</v>
          </cell>
          <cell r="K128" t="str">
            <v>FNDR</v>
          </cell>
          <cell r="L128" t="str">
            <v>MIDESO</v>
          </cell>
          <cell r="M128" t="str">
            <v>FNDR Libre Disposición</v>
          </cell>
        </row>
        <row r="129">
          <cell r="A129" t="str">
            <v>30093561-0</v>
          </cell>
          <cell r="C129" t="str">
            <v>REPOS. COLEGIO DARIO SALAS, LAS COMPAÑIAS, LA SERENA</v>
          </cell>
          <cell r="K129" t="str">
            <v>FNDR</v>
          </cell>
          <cell r="L129" t="str">
            <v>MIDESO</v>
          </cell>
          <cell r="M129" t="str">
            <v>Fondo Infraestructura Educacional</v>
          </cell>
        </row>
        <row r="130">
          <cell r="A130" t="str">
            <v>40006060-0</v>
          </cell>
          <cell r="C130" t="str">
            <v>MEJOR. ESPACIOS PUBLICOS SAN PEDRO, RIO HURTADO</v>
          </cell>
          <cell r="K130" t="str">
            <v>FNDR</v>
          </cell>
          <cell r="L130" t="str">
            <v>MIDESO</v>
          </cell>
          <cell r="M130" t="str">
            <v>FNDR Libre Disposición</v>
          </cell>
        </row>
        <row r="131">
          <cell r="A131" t="str">
            <v>40003225-0</v>
          </cell>
          <cell r="C131" t="str">
            <v>MEJOR. CAMINO ILLAPEL-CUZ CUZ, COMUNA DE ILLAPEL</v>
          </cell>
          <cell r="F131">
            <v>812104</v>
          </cell>
          <cell r="G131">
            <v>10230</v>
          </cell>
          <cell r="I131">
            <v>824279</v>
          </cell>
          <cell r="J131">
            <v>824279</v>
          </cell>
          <cell r="K131" t="str">
            <v>FNDR</v>
          </cell>
          <cell r="L131" t="str">
            <v>MIDESO</v>
          </cell>
          <cell r="M131" t="str">
            <v>Transantiago</v>
          </cell>
        </row>
        <row r="132">
          <cell r="A132" t="str">
            <v>40011533-0</v>
          </cell>
          <cell r="C132" t="str">
            <v>CONSERVACION EDIFICIO INTENDENCIA REGIÓN DE COQUIMBO</v>
          </cell>
          <cell r="K132" t="str">
            <v>FNDR</v>
          </cell>
          <cell r="L132" t="str">
            <v>GORE</v>
          </cell>
          <cell r="M132" t="str">
            <v>FNDR Libre Disposición</v>
          </cell>
        </row>
        <row r="133">
          <cell r="A133" t="str">
            <v>30158372-0</v>
          </cell>
          <cell r="C133" t="str">
            <v>MEJORAMIENTO EJE PEDRO LEON GALLO, COMUNA DE MONTE PATRIA</v>
          </cell>
          <cell r="K133" t="str">
            <v>FNDR</v>
          </cell>
          <cell r="L133" t="str">
            <v>MIDESO</v>
          </cell>
          <cell r="M133" t="str">
            <v>FNDR Libre Disposición</v>
          </cell>
        </row>
        <row r="134">
          <cell r="A134" t="str">
            <v>30139872-0</v>
          </cell>
          <cell r="C134" t="str">
            <v>REPOSICION POSTA SALUD RURAL DE LLIMPO, COMUNA DE SALAMANCA (diseño)</v>
          </cell>
          <cell r="F134">
            <v>1450</v>
          </cell>
          <cell r="I134">
            <v>21809</v>
          </cell>
          <cell r="J134">
            <v>21809</v>
          </cell>
          <cell r="K134" t="str">
            <v>FNDR</v>
          </cell>
          <cell r="L134" t="str">
            <v>MIDESO</v>
          </cell>
          <cell r="M134" t="str">
            <v>FNDR Libre Disposición</v>
          </cell>
        </row>
        <row r="135">
          <cell r="A135" t="str">
            <v>30139823-0</v>
          </cell>
          <cell r="C135" t="str">
            <v>REPOSICION POSTA SALUD RURAL CUNCUMEN, COMUNA DE SALAMANCA (diseño)</v>
          </cell>
          <cell r="F135">
            <v>1500</v>
          </cell>
          <cell r="G135">
            <v>0</v>
          </cell>
          <cell r="I135">
            <v>22877</v>
          </cell>
          <cell r="J135">
            <v>22877</v>
          </cell>
          <cell r="K135" t="str">
            <v>FNDR</v>
          </cell>
          <cell r="L135" t="str">
            <v>MIDESO</v>
          </cell>
          <cell r="M135" t="str">
            <v>FNDR Libre Disposición</v>
          </cell>
        </row>
        <row r="136">
          <cell r="A136" t="str">
            <v>30275183-0</v>
          </cell>
          <cell r="C136" t="str">
            <v>CONSTRUCCION PASEO PEATONAL QUEBRADA EL CONSUELO, COMUNA DE SALAMANCA</v>
          </cell>
          <cell r="F136">
            <v>10494</v>
          </cell>
          <cell r="I136">
            <v>57030</v>
          </cell>
          <cell r="J136">
            <v>57030</v>
          </cell>
          <cell r="K136" t="str">
            <v>FNDR</v>
          </cell>
          <cell r="L136" t="str">
            <v>MIDESO</v>
          </cell>
          <cell r="M136" t="str">
            <v>FNDR Libre Disposición</v>
          </cell>
        </row>
        <row r="137">
          <cell r="A137" t="str">
            <v>30479844-0</v>
          </cell>
          <cell r="C137" t="str">
            <v>REPOSICION POSTA DE TAHUINCO, COMUNA DE SALAMANCA</v>
          </cell>
          <cell r="F137">
            <v>1500</v>
          </cell>
          <cell r="I137">
            <v>22866</v>
          </cell>
          <cell r="J137">
            <v>22866</v>
          </cell>
          <cell r="K137" t="str">
            <v>FNDR</v>
          </cell>
          <cell r="L137" t="str">
            <v>MIDESO</v>
          </cell>
          <cell r="M137" t="str">
            <v>FNDR Libre Disposición</v>
          </cell>
        </row>
        <row r="138">
          <cell r="A138" t="str">
            <v>30106561-0</v>
          </cell>
          <cell r="C138" t="str">
            <v>CONSTRUCCION POLIDEPORTIVO SINDEMPART, COQUIMBO</v>
          </cell>
          <cell r="K138" t="str">
            <v>FNDR</v>
          </cell>
          <cell r="L138" t="str">
            <v>MIDESO</v>
          </cell>
          <cell r="M138" t="str">
            <v>FNDR Libre Disposición</v>
          </cell>
        </row>
        <row r="139">
          <cell r="A139" t="str">
            <v>30100129-0</v>
          </cell>
          <cell r="C139" t="str">
            <v>REPOSICION POSTA DE SALUD RURAL NUEVA TALCUNA, COMUNA DE VICUÑA</v>
          </cell>
          <cell r="K139" t="str">
            <v>FNDR</v>
          </cell>
          <cell r="L139" t="str">
            <v>MIDESO</v>
          </cell>
          <cell r="M139" t="str">
            <v>FNDR Libre Disposición</v>
          </cell>
        </row>
        <row r="140">
          <cell r="A140" t="str">
            <v>30149176-0</v>
          </cell>
          <cell r="C140" t="str">
            <v>REPOSICION RESIDENCIA DISCAPACIDAD SENAME COQUIMBO</v>
          </cell>
          <cell r="F140">
            <v>1606382</v>
          </cell>
          <cell r="G140">
            <v>1309206</v>
          </cell>
          <cell r="I140">
            <v>2934114</v>
          </cell>
          <cell r="J140">
            <v>2934114</v>
          </cell>
          <cell r="K140" t="str">
            <v>FNDR</v>
          </cell>
          <cell r="L140" t="str">
            <v>MIDESO</v>
          </cell>
          <cell r="M140" t="str">
            <v>FNDR Libre Disposición</v>
          </cell>
        </row>
        <row r="141">
          <cell r="A141" t="str">
            <v>40003078-0</v>
          </cell>
          <cell r="C141" t="str">
            <v>CONSTRUCCION MACRO DEPOSITO ARQUEOLOGICO  REGIONAL, REGION DE COQUIMBO (prefact)</v>
          </cell>
          <cell r="F141">
            <v>112137</v>
          </cell>
          <cell r="G141">
            <v>42934</v>
          </cell>
          <cell r="I141">
            <v>160337</v>
          </cell>
          <cell r="J141">
            <v>160337</v>
          </cell>
          <cell r="K141" t="str">
            <v>FNDR</v>
          </cell>
          <cell r="L141" t="str">
            <v>MIDESO</v>
          </cell>
          <cell r="M141" t="str">
            <v>FNDR Libre Disposición</v>
          </cell>
        </row>
        <row r="142">
          <cell r="A142" t="str">
            <v>30366522-0</v>
          </cell>
          <cell r="C142" t="str">
            <v>CONSTRUCCION SEDE COMUNAL ADULTO MAYOR, COMUNA DE LOS VILOS</v>
          </cell>
          <cell r="K142" t="str">
            <v>FNDR</v>
          </cell>
          <cell r="L142" t="str">
            <v>MIDESO</v>
          </cell>
          <cell r="M142" t="str">
            <v>FNDR Libre Disposición</v>
          </cell>
        </row>
        <row r="143">
          <cell r="A143" t="str">
            <v>30483947-0</v>
          </cell>
          <cell r="C143" t="str">
            <v>MEJORAMIENTO PLAZA SERGIO SILVA, LOS VILOS (diseño)</v>
          </cell>
          <cell r="F143">
            <v>14400</v>
          </cell>
          <cell r="G143">
            <v>1</v>
          </cell>
          <cell r="I143">
            <v>14678</v>
          </cell>
          <cell r="J143">
            <v>14678</v>
          </cell>
          <cell r="K143" t="str">
            <v>FNDR</v>
          </cell>
          <cell r="L143" t="str">
            <v>MIDESO</v>
          </cell>
          <cell r="M143" t="str">
            <v>FNDR Libre Disposición</v>
          </cell>
        </row>
        <row r="144">
          <cell r="A144" t="str">
            <v>30484185-0</v>
          </cell>
          <cell r="C144" t="str">
            <v>CONSTRUCCION P.T.A.S Y RED DE ALCANTARILLADO DE CAREN, COM. DE MTE PATRIA (factib)</v>
          </cell>
          <cell r="F144">
            <v>20032</v>
          </cell>
          <cell r="I144">
            <v>67823</v>
          </cell>
          <cell r="J144">
            <v>67823</v>
          </cell>
          <cell r="K144" t="str">
            <v>FNDR</v>
          </cell>
          <cell r="L144" t="str">
            <v>MIDESO</v>
          </cell>
          <cell r="M144" t="str">
            <v>Saneamiento Sanitario</v>
          </cell>
        </row>
        <row r="145">
          <cell r="A145" t="str">
            <v>30484187-0</v>
          </cell>
          <cell r="C145" t="str">
            <v>CONSTRUCCION P.T.A.S Y RED DE ALCANTARILLADO DE RAPEL, COM. DE MTE PATRIA (factib)</v>
          </cell>
          <cell r="F145">
            <v>21695</v>
          </cell>
          <cell r="I145">
            <v>69772</v>
          </cell>
          <cell r="J145">
            <v>69772</v>
          </cell>
          <cell r="K145" t="str">
            <v>FNDR</v>
          </cell>
          <cell r="L145" t="str">
            <v>MIDESO</v>
          </cell>
          <cell r="M145" t="str">
            <v>Saneamiento Sanitario</v>
          </cell>
        </row>
        <row r="146">
          <cell r="A146" t="str">
            <v>30484184-0</v>
          </cell>
          <cell r="C146" t="str">
            <v>CONSTRUCCION P.T.A.S Y RED DE ALCANTARILLADO EL TOME, COM. DE MTE PATRIA (factib)</v>
          </cell>
          <cell r="F146">
            <v>21885</v>
          </cell>
          <cell r="I146">
            <v>69461</v>
          </cell>
          <cell r="J146">
            <v>69461</v>
          </cell>
          <cell r="K146" t="str">
            <v>FNDR</v>
          </cell>
          <cell r="L146" t="str">
            <v>MIDESO</v>
          </cell>
          <cell r="M146" t="str">
            <v>Saneamiento Sanitario</v>
          </cell>
        </row>
        <row r="147">
          <cell r="A147" t="str">
            <v>30484157-0</v>
          </cell>
          <cell r="C147" t="str">
            <v>MEJORAMIENTO ESPACIO PUBLICO SECTOR ALTO ILLAPEL, COM. DE ILLAPEL</v>
          </cell>
          <cell r="F147">
            <v>847097</v>
          </cell>
          <cell r="G147">
            <v>0</v>
          </cell>
          <cell r="I147">
            <v>848178</v>
          </cell>
          <cell r="J147">
            <v>848178</v>
          </cell>
          <cell r="K147" t="str">
            <v>FNDR</v>
          </cell>
          <cell r="L147" t="str">
            <v>MIDESO</v>
          </cell>
          <cell r="M147" t="str">
            <v>FNDR Libre Disposición</v>
          </cell>
        </row>
        <row r="148">
          <cell r="A148" t="str">
            <v>30409422-0</v>
          </cell>
          <cell r="C148" t="str">
            <v>CONST. CUBIERTA AEREA DE EJERCICIOS Y EQUIPAMIENTO PARA RECREACIÓN COLEGIO DE PICHASCA</v>
          </cell>
          <cell r="F148">
            <v>284058</v>
          </cell>
          <cell r="G148">
            <v>3</v>
          </cell>
          <cell r="I148">
            <v>419613</v>
          </cell>
          <cell r="J148">
            <v>419613</v>
          </cell>
          <cell r="K148" t="str">
            <v>FNDR</v>
          </cell>
          <cell r="L148" t="str">
            <v>MIDESO</v>
          </cell>
          <cell r="M148" t="str">
            <v>Fondo Infraestructura Educacional</v>
          </cell>
        </row>
        <row r="149">
          <cell r="A149" t="str">
            <v>30091071-0</v>
          </cell>
          <cell r="C149" t="str">
            <v>CONSTRUCCION GIMNASIO MULTIUSO HUENTELAQUEN SUR, CANELA</v>
          </cell>
          <cell r="K149" t="str">
            <v>FNDR</v>
          </cell>
          <cell r="L149" t="str">
            <v>MIDESO</v>
          </cell>
          <cell r="M149" t="str">
            <v>Fondo Infraestructura Educacional</v>
          </cell>
        </row>
        <row r="150">
          <cell r="A150" t="str">
            <v>30454972-0</v>
          </cell>
          <cell r="C150" t="str">
            <v>MEJOR. CANCHA Y DEPENDEN. COMPLEJO DEPORTIVO MONJITAS ORIENTE, LAS CIAS., LA SERENA</v>
          </cell>
          <cell r="K150" t="str">
            <v>FNDR</v>
          </cell>
          <cell r="L150" t="str">
            <v>MIDESO</v>
          </cell>
          <cell r="M150" t="str">
            <v>Fondo Infraestructura Educacional</v>
          </cell>
        </row>
        <row r="151">
          <cell r="A151" t="str">
            <v>40003156-0</v>
          </cell>
          <cell r="C151" t="str">
            <v>CONST. PLAZA DE ABASTOS VILLA LAMBERT, SECTOR LAS CIAS, LA SERENA</v>
          </cell>
          <cell r="F151">
            <v>28000</v>
          </cell>
          <cell r="G151">
            <v>77559</v>
          </cell>
          <cell r="I151">
            <v>105559</v>
          </cell>
          <cell r="J151">
            <v>105559</v>
          </cell>
          <cell r="K151" t="str">
            <v>FNDR</v>
          </cell>
          <cell r="L151" t="str">
            <v>MIDESO</v>
          </cell>
          <cell r="M151" t="str">
            <v>FNDR Libre Disposición</v>
          </cell>
        </row>
        <row r="152">
          <cell r="A152" t="str">
            <v>40005349-0</v>
          </cell>
          <cell r="C152" t="str">
            <v>DIAGNOSTICO PLAN MAESTRO CICLOVIAS, CIUDAD DE OVALLE</v>
          </cell>
          <cell r="K152" t="str">
            <v>FNDR</v>
          </cell>
          <cell r="L152" t="str">
            <v>MIDESO</v>
          </cell>
          <cell r="M152" t="str">
            <v>Transantiago</v>
          </cell>
        </row>
        <row r="153">
          <cell r="A153" t="str">
            <v>30440177-0</v>
          </cell>
          <cell r="C153" t="str">
            <v>NORMALIZACION HOSPITAL SAN PABLO DE COQUIMBO PARTE II</v>
          </cell>
          <cell r="K153" t="str">
            <v>FNDR</v>
          </cell>
          <cell r="L153" t="str">
            <v>MIDESO</v>
          </cell>
          <cell r="M153" t="str">
            <v>FNDR Libre Disposición</v>
          </cell>
        </row>
        <row r="154">
          <cell r="A154" t="str">
            <v>20159467-0</v>
          </cell>
          <cell r="C154" t="str">
            <v>REPOSICION EDIFICIO DELEGACION DE TIERRAS BLANCAS,COQUIMBO</v>
          </cell>
          <cell r="K154" t="str">
            <v>FNDR</v>
          </cell>
          <cell r="L154" t="str">
            <v>MIDESO</v>
          </cell>
          <cell r="M154" t="str">
            <v>FNDR Libre Disposición</v>
          </cell>
        </row>
        <row r="155">
          <cell r="A155" t="str">
            <v>30107747-0</v>
          </cell>
          <cell r="C155" t="str">
            <v>MEJORAMIENTO PASEO PEATONAL AVDA FCO DE AGUIRRE RUTA 5 EL FARO, LA SERENA</v>
          </cell>
          <cell r="K155" t="str">
            <v>FNDR</v>
          </cell>
          <cell r="L155" t="str">
            <v>MIDESO</v>
          </cell>
          <cell r="M155" t="str">
            <v>Transantiago</v>
          </cell>
        </row>
        <row r="156">
          <cell r="A156" t="str">
            <v>40012194-0</v>
          </cell>
          <cell r="C156" t="str">
            <v>CONST. CENTRO DEPORTIVO SAN RAMON, COMUNA DE LA SERENA</v>
          </cell>
          <cell r="K156" t="str">
            <v>FNDR</v>
          </cell>
          <cell r="L156" t="str">
            <v>MIDESO</v>
          </cell>
          <cell r="M156" t="str">
            <v>FNDR Libre Disposición</v>
          </cell>
        </row>
        <row r="157">
          <cell r="A157" t="str">
            <v>40010119-0</v>
          </cell>
          <cell r="C157" t="str">
            <v>CONSTRUCCION CENTRO DE DIALISIS LOS VILOS</v>
          </cell>
          <cell r="F157">
            <v>83644</v>
          </cell>
          <cell r="I157">
            <v>356762</v>
          </cell>
          <cell r="J157">
            <v>356762</v>
          </cell>
          <cell r="K157" t="str">
            <v>FNDR</v>
          </cell>
          <cell r="L157" t="str">
            <v>MIDESO</v>
          </cell>
          <cell r="M157" t="str">
            <v>FNDR Libre Disposición</v>
          </cell>
        </row>
        <row r="158">
          <cell r="A158" t="str">
            <v>30369072-0</v>
          </cell>
          <cell r="C158" t="str">
            <v>REPOSICION POSTA SALUD RURAL PISCO ELQUI, PAIHUANO</v>
          </cell>
          <cell r="F158">
            <v>578235</v>
          </cell>
          <cell r="G158">
            <v>37432</v>
          </cell>
          <cell r="I158">
            <v>618443</v>
          </cell>
          <cell r="J158">
            <v>618443</v>
          </cell>
          <cell r="K158" t="str">
            <v>FNDR</v>
          </cell>
          <cell r="L158" t="str">
            <v>MIDESO</v>
          </cell>
          <cell r="M158" t="str">
            <v>FNDR Libre Disposición</v>
          </cell>
        </row>
        <row r="159">
          <cell r="A159" t="str">
            <v>30176022-0</v>
          </cell>
          <cell r="C159" t="str">
            <v>REPOSICION POSTA SALUD RURAL CALETA HORNOS, LA HIGUERA</v>
          </cell>
          <cell r="F159">
            <v>392840</v>
          </cell>
          <cell r="G159">
            <v>940</v>
          </cell>
          <cell r="I159">
            <v>397120</v>
          </cell>
          <cell r="J159">
            <v>397120</v>
          </cell>
          <cell r="K159" t="str">
            <v>FNDR</v>
          </cell>
          <cell r="L159" t="str">
            <v>MIDESO</v>
          </cell>
          <cell r="M159" t="str">
            <v>FNDR Libre Disposición</v>
          </cell>
        </row>
        <row r="160">
          <cell r="A160" t="str">
            <v>30098093-0</v>
          </cell>
          <cell r="C160" t="str">
            <v>CONST. INFRAESTRUCTURA  PESQUERA CALETA PUERTO MANSO, CANELA</v>
          </cell>
          <cell r="F160">
            <v>502000</v>
          </cell>
          <cell r="I160">
            <v>509081</v>
          </cell>
          <cell r="J160">
            <v>706892</v>
          </cell>
          <cell r="K160" t="str">
            <v>FNDR</v>
          </cell>
          <cell r="L160" t="str">
            <v>MIDESO</v>
          </cell>
          <cell r="M160" t="str">
            <v>FNDR Libre Disposición</v>
          </cell>
        </row>
        <row r="161">
          <cell r="A161" t="str">
            <v>40009903-0</v>
          </cell>
          <cell r="C161" t="str">
            <v>CONSERV. CBC RUTA D-190,S. CRUCE RUTA 5, CHUNGUNGO TRAMO 1, COM. LA HIGUERA</v>
          </cell>
          <cell r="F161">
            <v>2177316</v>
          </cell>
          <cell r="G161">
            <v>2</v>
          </cell>
          <cell r="I161">
            <v>2181514</v>
          </cell>
          <cell r="J161">
            <v>2181514</v>
          </cell>
          <cell r="K161" t="str">
            <v>FNDR</v>
          </cell>
          <cell r="L161" t="str">
            <v>MIDESO</v>
          </cell>
          <cell r="M161" t="str">
            <v>Transantiago</v>
          </cell>
        </row>
        <row r="162">
          <cell r="A162" t="str">
            <v>40009184-0</v>
          </cell>
          <cell r="C162" t="str">
            <v>AMPLIACION EDIFICIO MUNICIPAL COMUNA DE MONTE PATRIA</v>
          </cell>
          <cell r="K162" t="str">
            <v>FNDR</v>
          </cell>
          <cell r="L162" t="str">
            <v>MIDESO</v>
          </cell>
          <cell r="M162" t="str">
            <v>FNDR Libre Disposición</v>
          </cell>
        </row>
        <row r="163">
          <cell r="A163" t="str">
            <v>40011860-0</v>
          </cell>
          <cell r="C163" t="str">
            <v>CONSTRUCCION ESTADIO EL PUEBLO DE CHAÑARAL ALTO, MONTE PATRIA</v>
          </cell>
          <cell r="F163">
            <v>1535479</v>
          </cell>
          <cell r="G163">
            <v>19299</v>
          </cell>
          <cell r="I163">
            <v>2060728</v>
          </cell>
          <cell r="J163">
            <v>2060728</v>
          </cell>
          <cell r="K163" t="str">
            <v>FNDR</v>
          </cell>
          <cell r="L163" t="str">
            <v>MIDESO</v>
          </cell>
          <cell r="M163" t="str">
            <v>FNDR Libre Disposición</v>
          </cell>
        </row>
        <row r="164">
          <cell r="A164" t="str">
            <v>40007901-0</v>
          </cell>
          <cell r="C164" t="str">
            <v>MEJORAMIENTO ESTADIO MUNICIPAL, PAIHUANO (diseño)</v>
          </cell>
          <cell r="F164">
            <v>14250</v>
          </cell>
          <cell r="I164">
            <v>45143</v>
          </cell>
          <cell r="J164">
            <v>45143</v>
          </cell>
          <cell r="K164" t="str">
            <v>FNDR</v>
          </cell>
          <cell r="L164" t="str">
            <v>MIDESO</v>
          </cell>
          <cell r="M164" t="str">
            <v>FNDR Libre Disposición</v>
          </cell>
        </row>
        <row r="165">
          <cell r="A165" t="str">
            <v>40008745-0</v>
          </cell>
          <cell r="C165" t="str">
            <v>CONSTRUCCION PLAZA DE ABASTOS EN LAS CIAS., LA SERENA</v>
          </cell>
          <cell r="K165" t="str">
            <v>FNDR</v>
          </cell>
          <cell r="L165" t="str">
            <v>MIDESO</v>
          </cell>
          <cell r="M165" t="str">
            <v>FNDR Libre Disposición</v>
          </cell>
        </row>
        <row r="166">
          <cell r="A166" t="str">
            <v>40013536-0</v>
          </cell>
          <cell r="C166" t="str">
            <v>CONSTRUCCIÓN CENTRO DE ESTIMULACIÓN TEMPRANA PARA NIÑOS/AS CON SINDROME DE DOWN, LA SERENA</v>
          </cell>
          <cell r="F166">
            <v>925406</v>
          </cell>
          <cell r="G166">
            <v>240940</v>
          </cell>
          <cell r="I166">
            <v>1226241</v>
          </cell>
          <cell r="J166">
            <v>1226241</v>
          </cell>
          <cell r="K166" t="str">
            <v>FNDR</v>
          </cell>
          <cell r="L166" t="str">
            <v>MIDESO</v>
          </cell>
          <cell r="M166" t="str">
            <v>FNDR Libre Disposición</v>
          </cell>
        </row>
        <row r="167">
          <cell r="A167" t="str">
            <v>30070093-0</v>
          </cell>
          <cell r="C167" t="str">
            <v>NORMALIZACIÓN HOSPITAL DR HUMBERTO ELORZA CORTES ILLAPEL (DISEÑO)</v>
          </cell>
          <cell r="F167">
            <v>933418</v>
          </cell>
          <cell r="G167">
            <v>617430</v>
          </cell>
          <cell r="I167">
            <v>1567287</v>
          </cell>
          <cell r="J167">
            <v>1567287</v>
          </cell>
          <cell r="K167" t="str">
            <v>FNDR</v>
          </cell>
          <cell r="L167" t="str">
            <v>MIDESO</v>
          </cell>
          <cell r="M167" t="str">
            <v>FNDR Libre Disposición</v>
          </cell>
        </row>
        <row r="168">
          <cell r="A168" t="str">
            <v>40016415-0</v>
          </cell>
          <cell r="C168" t="str">
            <v xml:space="preserve">REPOSICION POSTA DE SALUD RURAL HUINTIL </v>
          </cell>
          <cell r="F168">
            <v>294308</v>
          </cell>
          <cell r="G168">
            <v>334429</v>
          </cell>
          <cell r="I168">
            <v>628737</v>
          </cell>
          <cell r="J168">
            <v>628737</v>
          </cell>
          <cell r="K168" t="str">
            <v>FNDR</v>
          </cell>
          <cell r="L168" t="str">
            <v>MIDESO</v>
          </cell>
          <cell r="M168" t="str">
            <v>FNDR Libre Disposición</v>
          </cell>
        </row>
        <row r="169">
          <cell r="A169" t="str">
            <v>40015360-0</v>
          </cell>
          <cell r="C169" t="str">
            <v>REPOSICION JARDIN INFANTIL MI PEQUEÑO TESORO ILLAPEL, COMUNA DE ILLAPEL</v>
          </cell>
          <cell r="F169">
            <v>601888</v>
          </cell>
          <cell r="G169">
            <v>737473</v>
          </cell>
          <cell r="I169">
            <v>1339361</v>
          </cell>
          <cell r="J169">
            <v>1339361</v>
          </cell>
          <cell r="K169" t="str">
            <v>FNDR</v>
          </cell>
          <cell r="L169" t="str">
            <v>MIDESO</v>
          </cell>
          <cell r="M169" t="str">
            <v>FNDR Libre Disposición</v>
          </cell>
        </row>
        <row r="170">
          <cell r="A170" t="str">
            <v>30484167-0</v>
          </cell>
          <cell r="C170" t="str">
            <v>CONST. PARQUE URBANO DEL ENCUENTRO COMUNITARIO PUNITAQUI</v>
          </cell>
          <cell r="F170">
            <v>440831</v>
          </cell>
          <cell r="G170">
            <v>380483</v>
          </cell>
          <cell r="I170">
            <v>826324</v>
          </cell>
          <cell r="J170">
            <v>826324</v>
          </cell>
          <cell r="K170" t="str">
            <v>FNDR</v>
          </cell>
          <cell r="L170" t="str">
            <v>MIDESO</v>
          </cell>
          <cell r="M170" t="str">
            <v>FNDR Libre Disposición</v>
          </cell>
        </row>
        <row r="171">
          <cell r="A171" t="str">
            <v>40012802-0</v>
          </cell>
          <cell r="C171" t="str">
            <v>CONST. TECHADOS VARIOS ESTABLECIMIENTOS  EDUCACIONALES, COMUNA DE PUNITAQUI</v>
          </cell>
          <cell r="F171">
            <v>739016</v>
          </cell>
          <cell r="G171">
            <v>380000</v>
          </cell>
          <cell r="H171">
            <v>319483</v>
          </cell>
          <cell r="I171">
            <v>1443611</v>
          </cell>
          <cell r="J171">
            <v>1443611</v>
          </cell>
          <cell r="K171" t="str">
            <v>FNDR</v>
          </cell>
          <cell r="L171" t="str">
            <v>MIDESO</v>
          </cell>
          <cell r="M171" t="str">
            <v>Fondo Infraestructura Educacional</v>
          </cell>
        </row>
        <row r="172">
          <cell r="A172" t="str">
            <v>40005301-0</v>
          </cell>
          <cell r="C172" t="str">
            <v>CONST. MUSEO CIRUJANO VIDELA Y CENTRO CULTURAL, ANDACOLLO</v>
          </cell>
          <cell r="K172" t="str">
            <v>FNDR</v>
          </cell>
          <cell r="L172" t="str">
            <v>MIDESO</v>
          </cell>
          <cell r="M172" t="str">
            <v>FNDR Libre Disposición</v>
          </cell>
        </row>
        <row r="173">
          <cell r="A173" t="str">
            <v>30275572-0</v>
          </cell>
          <cell r="C173" t="str">
            <v>MEJOR. PLAZA PUBLICA DE MANQUEHUA, COMBARBALA</v>
          </cell>
          <cell r="K173" t="str">
            <v>FNDR</v>
          </cell>
          <cell r="L173" t="str">
            <v>MIDESO</v>
          </cell>
          <cell r="M173" t="str">
            <v>FNDR Libre Disposición</v>
          </cell>
        </row>
        <row r="174">
          <cell r="A174" t="str">
            <v>40014111-0</v>
          </cell>
          <cell r="C174" t="str">
            <v>REPOSICION SERVICIO DE ESTERILIZACION HOSPITAL SAN PABLO, COQUIMBO</v>
          </cell>
          <cell r="F174">
            <v>292745</v>
          </cell>
          <cell r="G174">
            <v>25561</v>
          </cell>
          <cell r="I174">
            <v>318306</v>
          </cell>
          <cell r="J174">
            <v>318306</v>
          </cell>
          <cell r="K174" t="str">
            <v>FNDR</v>
          </cell>
          <cell r="L174" t="str">
            <v>MIDESO</v>
          </cell>
          <cell r="M174" t="str">
            <v>FNDR Libre Disposición</v>
          </cell>
        </row>
        <row r="175">
          <cell r="A175" t="str">
            <v>40009212-0</v>
          </cell>
          <cell r="C175" t="str">
            <v>HABILITACION SALA PARA RESONADOR MAGNETICO Y ADECUACIONES EN U. IMAGENOLOGIA, H. CQBO</v>
          </cell>
          <cell r="F175">
            <v>182727</v>
          </cell>
          <cell r="G175">
            <v>1863328</v>
          </cell>
          <cell r="I175">
            <v>2046055</v>
          </cell>
          <cell r="J175">
            <v>2046055</v>
          </cell>
          <cell r="K175" t="str">
            <v>FNDR</v>
          </cell>
          <cell r="L175" t="str">
            <v>MIDESO</v>
          </cell>
          <cell r="M175" t="str">
            <v>FNDR Libre Disposición</v>
          </cell>
        </row>
        <row r="176">
          <cell r="A176" t="str">
            <v>30001033-0</v>
          </cell>
          <cell r="C176" t="str">
            <v>REPOSICION POSTA DE SALUD RURAL DE GUANAQUEROS, COQUIMBO</v>
          </cell>
          <cell r="K176" t="str">
            <v>FNDR</v>
          </cell>
          <cell r="L176" t="str">
            <v>MIDESO</v>
          </cell>
          <cell r="M176" t="str">
            <v>FNDR Libre Disposición</v>
          </cell>
        </row>
        <row r="177">
          <cell r="A177" t="str">
            <v>40006784-0</v>
          </cell>
          <cell r="C177" t="str">
            <v>CONSERVACION CESFAM PEDRO AGUIRRE CERDA, LA SERENA</v>
          </cell>
          <cell r="K177" t="str">
            <v>FNDR</v>
          </cell>
          <cell r="L177" t="str">
            <v>MIDESO</v>
          </cell>
          <cell r="M177" t="str">
            <v>FNDR Libre Disposición</v>
          </cell>
        </row>
        <row r="178">
          <cell r="A178" t="str">
            <v>30072951-0</v>
          </cell>
          <cell r="C178" t="str">
            <v>CONSTRUCION POSTA DE SALUD RURAL DE PICHIDANGUI LOS VILOS</v>
          </cell>
          <cell r="K178" t="str">
            <v>FNDR</v>
          </cell>
          <cell r="L178" t="str">
            <v>MIDESO</v>
          </cell>
          <cell r="M178" t="str">
            <v>FNDR Libre Disposición</v>
          </cell>
        </row>
        <row r="179">
          <cell r="A179" t="str">
            <v>40008243-0</v>
          </cell>
          <cell r="C179" t="str">
            <v>CONSERVACION CBC RUTA D-599, S. CRUCE D-55 PUENTE HUANILLA-CANAL COGOTI, MTE PATRIA</v>
          </cell>
          <cell r="K179" t="str">
            <v>FNDR</v>
          </cell>
          <cell r="L179" t="str">
            <v>MIDESO</v>
          </cell>
          <cell r="M179" t="str">
            <v>Transantiago</v>
          </cell>
        </row>
        <row r="180">
          <cell r="A180" t="str">
            <v>40016397-0</v>
          </cell>
          <cell r="C180" t="str">
            <v>CONSTRUCCION OBRAS DE URBANIZACION CH. DE CAREN, MONTE PATRIA</v>
          </cell>
          <cell r="F180">
            <v>75923</v>
          </cell>
          <cell r="G180">
            <v>1</v>
          </cell>
          <cell r="I180">
            <v>75924</v>
          </cell>
          <cell r="J180">
            <v>75924</v>
          </cell>
          <cell r="K180" t="str">
            <v>FNDR</v>
          </cell>
          <cell r="L180" t="str">
            <v>MIDESO</v>
          </cell>
          <cell r="M180" t="str">
            <v>FNDR Libre Disposición</v>
          </cell>
        </row>
        <row r="181">
          <cell r="A181" t="str">
            <v>40016396-0</v>
          </cell>
          <cell r="C181" t="str">
            <v>CONSTRUCCION OBRAS DE URBANIZACION LOCALIDAD DE LOS MORALES, MONTE PATRIA</v>
          </cell>
          <cell r="F181">
            <v>93798</v>
          </cell>
          <cell r="G181">
            <v>1</v>
          </cell>
          <cell r="I181">
            <v>93799</v>
          </cell>
          <cell r="J181">
            <v>93799</v>
          </cell>
          <cell r="K181" t="str">
            <v>FNDR</v>
          </cell>
          <cell r="L181" t="str">
            <v>MIDESO</v>
          </cell>
          <cell r="M181" t="str">
            <v>FNDR Libre Disposición</v>
          </cell>
        </row>
        <row r="182">
          <cell r="A182" t="str">
            <v>40009572-0</v>
          </cell>
          <cell r="C182" t="str">
            <v>REPOSICION POSTA DE SALUD RURAL EL DIVISADERO, COM. DE PUNITAQUI</v>
          </cell>
          <cell r="K182" t="str">
            <v>FNDR</v>
          </cell>
          <cell r="L182" t="str">
            <v>MIDESO</v>
          </cell>
          <cell r="M182" t="str">
            <v>FNDR Libre Disposición</v>
          </cell>
        </row>
        <row r="183">
          <cell r="A183" t="str">
            <v>40012009-0</v>
          </cell>
          <cell r="C183" t="str">
            <v>MEJORAMIENTO CANCHA EL TAMBO, SALAMANCA</v>
          </cell>
          <cell r="K183" t="str">
            <v>FNDR</v>
          </cell>
          <cell r="L183" t="str">
            <v>MIDESO</v>
          </cell>
          <cell r="M183" t="str">
            <v>FNDR Libre Disposición</v>
          </cell>
        </row>
        <row r="184">
          <cell r="A184" t="str">
            <v>30100544-0</v>
          </cell>
          <cell r="C184" t="str">
            <v>CONSTRUCCION ELECTRIFICACION RURAL, VALLE DE CAMISAS, SALAMANCA</v>
          </cell>
          <cell r="F184">
            <v>129585</v>
          </cell>
          <cell r="I184">
            <v>129585</v>
          </cell>
          <cell r="J184">
            <v>129585</v>
          </cell>
          <cell r="K184" t="str">
            <v>FNDR</v>
          </cell>
          <cell r="L184" t="str">
            <v>MIDESO</v>
          </cell>
          <cell r="M184" t="str">
            <v>Energización</v>
          </cell>
        </row>
        <row r="185">
          <cell r="A185" t="str">
            <v>40018067-0</v>
          </cell>
          <cell r="C185" t="str">
            <v>CONSERVACION CABAÑA PDI JUNTAS DEL TORO</v>
          </cell>
          <cell r="F185">
            <v>45599</v>
          </cell>
          <cell r="G185">
            <v>1</v>
          </cell>
          <cell r="I185">
            <v>45600</v>
          </cell>
          <cell r="J185">
            <v>45600</v>
          </cell>
          <cell r="K185" t="str">
            <v>FNDR</v>
          </cell>
          <cell r="L185" t="str">
            <v>MIDESO</v>
          </cell>
          <cell r="M185" t="str">
            <v>FNDR Libre Disposición</v>
          </cell>
        </row>
        <row r="186">
          <cell r="A186" t="str">
            <v>30100596-0</v>
          </cell>
          <cell r="C186" t="str">
            <v>CONST. SISTEMA ELECTRIFICACION RURAL AJIAL DE QUILES, PUNITAQUI</v>
          </cell>
          <cell r="F186">
            <v>593506</v>
          </cell>
          <cell r="G186">
            <v>13353</v>
          </cell>
          <cell r="I186">
            <v>606859</v>
          </cell>
          <cell r="J186">
            <v>606859</v>
          </cell>
          <cell r="K186" t="str">
            <v>FNDR</v>
          </cell>
          <cell r="L186" t="str">
            <v>MIDESO</v>
          </cell>
          <cell r="M186" t="str">
            <v>Energización</v>
          </cell>
        </row>
        <row r="187">
          <cell r="A187" t="str">
            <v>30010979-0</v>
          </cell>
          <cell r="C187" t="str">
            <v>CONST. RED ELECTRICA  DE CENTINELA II, CARRIZAL, COMBARBALA</v>
          </cell>
          <cell r="F187">
            <v>284283</v>
          </cell>
          <cell r="G187">
            <v>6396</v>
          </cell>
          <cell r="I187">
            <v>290679</v>
          </cell>
          <cell r="J187">
            <v>290679</v>
          </cell>
          <cell r="K187" t="str">
            <v>FNDR</v>
          </cell>
          <cell r="L187" t="str">
            <v>MIDESO</v>
          </cell>
          <cell r="M187" t="str">
            <v>Energización</v>
          </cell>
        </row>
        <row r="188">
          <cell r="A188" t="str">
            <v>30064400-0</v>
          </cell>
          <cell r="C188" t="str">
            <v>CONST. ELECTRIFICACION RURAL HUINCHIGUALLEGO, CANELA</v>
          </cell>
          <cell r="F188">
            <v>51491</v>
          </cell>
          <cell r="I188">
            <v>51491</v>
          </cell>
          <cell r="J188">
            <v>51491</v>
          </cell>
          <cell r="K188" t="str">
            <v>FNDR</v>
          </cell>
          <cell r="L188" t="str">
            <v>MIDESO</v>
          </cell>
          <cell r="M188" t="str">
            <v>Energización</v>
          </cell>
        </row>
        <row r="189">
          <cell r="A189" t="str">
            <v>20169732-0</v>
          </cell>
          <cell r="C189" t="str">
            <v>CONST. ELECRIFICACION RURAL LAS CAÑAS, CANELA</v>
          </cell>
          <cell r="F189">
            <v>120490</v>
          </cell>
          <cell r="G189">
            <v>1</v>
          </cell>
          <cell r="I189">
            <v>120491</v>
          </cell>
          <cell r="J189">
            <v>120491</v>
          </cell>
          <cell r="K189" t="str">
            <v>FNDR</v>
          </cell>
          <cell r="L189" t="str">
            <v>MIDESO</v>
          </cell>
          <cell r="M189" t="str">
            <v>Energización</v>
          </cell>
        </row>
        <row r="190">
          <cell r="A190" t="str">
            <v>30064663-00</v>
          </cell>
          <cell r="C190" t="str">
            <v>MEJORAMIENTO EDIFICIO CONSISTORIAL DE OVALLE (EJEC)</v>
          </cell>
          <cell r="F190">
            <v>43003</v>
          </cell>
          <cell r="G190">
            <v>2320000</v>
          </cell>
          <cell r="H190">
            <v>6237741</v>
          </cell>
          <cell r="I190">
            <v>8600744</v>
          </cell>
          <cell r="J190">
            <v>21501860</v>
          </cell>
          <cell r="K190" t="str">
            <v>FNDR</v>
          </cell>
          <cell r="L190" t="str">
            <v>MIDESO</v>
          </cell>
          <cell r="M190" t="str">
            <v>FNDR Libre Disposición</v>
          </cell>
        </row>
        <row r="191">
          <cell r="A191" t="str">
            <v>30091815-0</v>
          </cell>
          <cell r="C191" t="str">
            <v>MEJORAMIENTO PARQUE URBANO AVENIDA SUR, COMBARALA</v>
          </cell>
          <cell r="F191">
            <v>1957018</v>
          </cell>
          <cell r="G191">
            <v>2356729</v>
          </cell>
          <cell r="H191">
            <v>0</v>
          </cell>
          <cell r="I191">
            <v>4313747</v>
          </cell>
          <cell r="J191">
            <v>4313747</v>
          </cell>
          <cell r="K191" t="str">
            <v>FNDR</v>
          </cell>
          <cell r="L191" t="str">
            <v>MIDESO</v>
          </cell>
          <cell r="M191" t="str">
            <v>FNDR Libre Disposición</v>
          </cell>
        </row>
        <row r="192">
          <cell r="A192" t="str">
            <v>30432172-0</v>
          </cell>
          <cell r="C192" t="str">
            <v>CONSTRUCCION PARQUE RECREATIVO SAN JOAQUIN, LA SERENA</v>
          </cell>
          <cell r="F192">
            <v>27216</v>
          </cell>
          <cell r="G192">
            <v>1380000</v>
          </cell>
          <cell r="H192">
            <v>2560945</v>
          </cell>
          <cell r="I192">
            <v>3968161</v>
          </cell>
          <cell r="J192">
            <v>3968161</v>
          </cell>
          <cell r="K192" t="str">
            <v>FNDR</v>
          </cell>
          <cell r="L192" t="str">
            <v>MIDESO</v>
          </cell>
          <cell r="M192" t="str">
            <v>FNDR Libre Disposición</v>
          </cell>
        </row>
        <row r="193">
          <cell r="A193" t="str">
            <v>40012771-0</v>
          </cell>
          <cell r="C193" t="str">
            <v>MEJORAMIENTO CANCHA NUMERO 1, COMUNA DE SALAMANCA</v>
          </cell>
          <cell r="F193">
            <v>14133</v>
          </cell>
          <cell r="G193">
            <v>674209</v>
          </cell>
          <cell r="I193">
            <v>688342</v>
          </cell>
          <cell r="J193">
            <v>688342</v>
          </cell>
          <cell r="K193" t="str">
            <v>FNDR</v>
          </cell>
          <cell r="L193" t="str">
            <v>MIDESO</v>
          </cell>
          <cell r="M193" t="str">
            <v>FNDR Libre Disposición</v>
          </cell>
        </row>
        <row r="194">
          <cell r="A194" t="str">
            <v>40009552-0</v>
          </cell>
          <cell r="C194" t="str">
            <v>RESTAURACION DEL CONJUNTO TORRE BAUER, VICUÑA</v>
          </cell>
          <cell r="F194">
            <v>20450</v>
          </cell>
          <cell r="G194">
            <v>379565</v>
          </cell>
          <cell r="H194">
            <v>0</v>
          </cell>
          <cell r="I194">
            <v>400015</v>
          </cell>
          <cell r="J194">
            <v>400015</v>
          </cell>
          <cell r="K194" t="str">
            <v>FNDR</v>
          </cell>
          <cell r="L194" t="str">
            <v>MIDESO</v>
          </cell>
          <cell r="M194" t="str">
            <v>Puesta en Valor del Patrimonio</v>
          </cell>
        </row>
        <row r="195">
          <cell r="A195" t="str">
            <v>40012018-0</v>
          </cell>
          <cell r="C195" t="str">
            <v>HABILITACION CENTRO DE ARTE Y CULTURA "ESPACIO ESTACION", VICUÑA</v>
          </cell>
          <cell r="F195">
            <v>16536</v>
          </cell>
          <cell r="G195">
            <v>286172</v>
          </cell>
          <cell r="H195">
            <v>0</v>
          </cell>
          <cell r="I195">
            <v>302708</v>
          </cell>
          <cell r="J195">
            <v>302708</v>
          </cell>
          <cell r="K195" t="str">
            <v>FNDR</v>
          </cell>
          <cell r="L195" t="str">
            <v>MIDESO</v>
          </cell>
          <cell r="M195" t="str">
            <v>Puesta en Valor del Patrimonio</v>
          </cell>
        </row>
        <row r="196">
          <cell r="A196" t="str">
            <v>30484186-0</v>
          </cell>
          <cell r="C196" t="str">
            <v>CONST. OBRAS DE URBANIZACION LOCALIDAD DE PEDREGAL, MONTE PATRIA (FACT)</v>
          </cell>
          <cell r="F196">
            <v>73302</v>
          </cell>
          <cell r="G196">
            <v>0</v>
          </cell>
          <cell r="H196">
            <v>0</v>
          </cell>
          <cell r="I196">
            <v>73302</v>
          </cell>
          <cell r="J196">
            <v>73302</v>
          </cell>
          <cell r="K196" t="str">
            <v>FNDR</v>
          </cell>
          <cell r="L196" t="str">
            <v>MIDESO</v>
          </cell>
          <cell r="M196" t="str">
            <v>Saneamiento Sanitario</v>
          </cell>
        </row>
        <row r="197">
          <cell r="A197" t="str">
            <v>40013598-0</v>
          </cell>
          <cell r="C197" t="str">
            <v>HABILITACION BASE SAMU INTERVENTORA SALAMANCA</v>
          </cell>
          <cell r="F197">
            <v>60000</v>
          </cell>
          <cell r="G197">
            <v>334858</v>
          </cell>
          <cell r="H197">
            <v>0</v>
          </cell>
          <cell r="I197">
            <v>419457</v>
          </cell>
          <cell r="J197">
            <v>419457</v>
          </cell>
          <cell r="K197" t="str">
            <v>FNDR</v>
          </cell>
          <cell r="L197" t="str">
            <v>MIDESO</v>
          </cell>
          <cell r="M197" t="str">
            <v>FNDR Libre Disposición</v>
          </cell>
        </row>
        <row r="198">
          <cell r="A198" t="str">
            <v>40009344-0</v>
          </cell>
          <cell r="C198" t="str">
            <v>CONSERVACION EDIFICIO CONSISTORIAL COMBARBALA</v>
          </cell>
          <cell r="F198">
            <v>60000</v>
          </cell>
          <cell r="G198">
            <v>628343</v>
          </cell>
          <cell r="H198">
            <v>0</v>
          </cell>
          <cell r="I198">
            <v>688343</v>
          </cell>
          <cell r="J198">
            <v>688343</v>
          </cell>
          <cell r="K198" t="str">
            <v>FNDR</v>
          </cell>
          <cell r="L198" t="str">
            <v>MIDESO</v>
          </cell>
          <cell r="M198" t="str">
            <v>FNDR Libre Disposición</v>
          </cell>
        </row>
        <row r="199">
          <cell r="A199" t="str">
            <v>40013615-0</v>
          </cell>
          <cell r="C199" t="str">
            <v>CONST. CENTRO DE DIALISIS HOSPITAL DE VICUÑA</v>
          </cell>
          <cell r="F199">
            <v>28898</v>
          </cell>
          <cell r="G199">
            <v>855000</v>
          </cell>
          <cell r="H199">
            <v>852614</v>
          </cell>
          <cell r="I199">
            <v>1736512</v>
          </cell>
          <cell r="J199">
            <v>1736512</v>
          </cell>
          <cell r="K199" t="str">
            <v>FNDR</v>
          </cell>
          <cell r="L199" t="str">
            <v>MIDESO</v>
          </cell>
          <cell r="M199" t="str">
            <v>FNDR Libre Disposición</v>
          </cell>
        </row>
        <row r="200">
          <cell r="A200" t="str">
            <v>40006217-0</v>
          </cell>
          <cell r="C200" t="str">
            <v>CONSERVACION EDIFICIO BICRIM LOS VILOS</v>
          </cell>
          <cell r="F200">
            <v>50001</v>
          </cell>
          <cell r="G200">
            <v>116615</v>
          </cell>
          <cell r="I200">
            <v>166616</v>
          </cell>
          <cell r="J200">
            <v>166616</v>
          </cell>
          <cell r="K200" t="str">
            <v>FNDR</v>
          </cell>
          <cell r="L200" t="str">
            <v>MIDESO</v>
          </cell>
          <cell r="M200" t="str">
            <v>FNDR Libre Disposición</v>
          </cell>
        </row>
        <row r="204">
          <cell r="A204" t="str">
            <v>TOTALES</v>
          </cell>
          <cell r="F204">
            <v>55500570</v>
          </cell>
          <cell r="G204">
            <v>20186098</v>
          </cell>
          <cell r="H204">
            <v>13451896</v>
          </cell>
          <cell r="I204">
            <v>186424470</v>
          </cell>
          <cell r="J204">
            <v>213301779</v>
          </cell>
          <cell r="M204" t="str">
            <v>TOTALES</v>
          </cell>
        </row>
      </sheetData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>
        <row r="5">
          <cell r="G5">
            <v>30464945</v>
          </cell>
          <cell r="H5" t="str">
            <v>A</v>
          </cell>
        </row>
        <row r="6">
          <cell r="G6">
            <v>30444822</v>
          </cell>
          <cell r="H6" t="str">
            <v>A</v>
          </cell>
        </row>
        <row r="7">
          <cell r="G7">
            <v>20039270</v>
          </cell>
          <cell r="H7" t="str">
            <v>A</v>
          </cell>
        </row>
        <row r="8">
          <cell r="G8">
            <v>30102811</v>
          </cell>
          <cell r="H8" t="str">
            <v>A</v>
          </cell>
        </row>
        <row r="9">
          <cell r="G9">
            <v>30132855</v>
          </cell>
          <cell r="H9" t="str">
            <v>A</v>
          </cell>
        </row>
        <row r="10">
          <cell r="G10">
            <v>30134987</v>
          </cell>
          <cell r="H10" t="str">
            <v>A</v>
          </cell>
        </row>
        <row r="11">
          <cell r="G11">
            <v>30129952</v>
          </cell>
          <cell r="H11" t="str">
            <v>A</v>
          </cell>
        </row>
        <row r="12">
          <cell r="G12">
            <v>30480266</v>
          </cell>
          <cell r="H12" t="str">
            <v>A</v>
          </cell>
        </row>
        <row r="13">
          <cell r="G13">
            <v>30453472</v>
          </cell>
          <cell r="H13" t="str">
            <v>A</v>
          </cell>
        </row>
        <row r="14">
          <cell r="G14">
            <v>40000834</v>
          </cell>
          <cell r="H14" t="str">
            <v>A</v>
          </cell>
        </row>
        <row r="15">
          <cell r="G15">
            <v>40001982</v>
          </cell>
          <cell r="H15" t="str">
            <v>A</v>
          </cell>
        </row>
        <row r="16">
          <cell r="G16">
            <v>30244322</v>
          </cell>
          <cell r="H16" t="str">
            <v>A</v>
          </cell>
        </row>
        <row r="17">
          <cell r="G17">
            <v>40000335</v>
          </cell>
          <cell r="H17" t="str">
            <v>A</v>
          </cell>
        </row>
        <row r="18">
          <cell r="G18">
            <v>30134815</v>
          </cell>
          <cell r="H18" t="str">
            <v>A</v>
          </cell>
        </row>
        <row r="19">
          <cell r="G19">
            <v>40000111</v>
          </cell>
          <cell r="H19" t="str">
            <v>A</v>
          </cell>
        </row>
        <row r="20">
          <cell r="G20">
            <v>30473436</v>
          </cell>
          <cell r="H20" t="str">
            <v>A</v>
          </cell>
        </row>
        <row r="21">
          <cell r="G21">
            <v>30484334</v>
          </cell>
          <cell r="H21" t="str">
            <v>A</v>
          </cell>
        </row>
        <row r="22">
          <cell r="G22">
            <v>30477089</v>
          </cell>
          <cell r="H22" t="str">
            <v>A</v>
          </cell>
        </row>
        <row r="23">
          <cell r="G23">
            <v>40009356</v>
          </cell>
          <cell r="H23" t="str">
            <v>A</v>
          </cell>
        </row>
        <row r="24">
          <cell r="G24">
            <v>40006121</v>
          </cell>
          <cell r="H24" t="str">
            <v>A</v>
          </cell>
        </row>
        <row r="25">
          <cell r="G25">
            <v>40008126</v>
          </cell>
          <cell r="H25" t="str">
            <v>A</v>
          </cell>
        </row>
        <row r="26">
          <cell r="G26">
            <v>40008092</v>
          </cell>
          <cell r="H26" t="str">
            <v>A</v>
          </cell>
        </row>
        <row r="27">
          <cell r="G27">
            <v>30291122</v>
          </cell>
          <cell r="H27" t="str">
            <v>A</v>
          </cell>
        </row>
        <row r="28">
          <cell r="G28">
            <v>40008090</v>
          </cell>
          <cell r="H28" t="str">
            <v>A</v>
          </cell>
        </row>
        <row r="29">
          <cell r="G29">
            <v>30285272</v>
          </cell>
          <cell r="H29" t="str">
            <v>A</v>
          </cell>
        </row>
        <row r="30">
          <cell r="G30">
            <v>40008952</v>
          </cell>
          <cell r="H30" t="str">
            <v>N</v>
          </cell>
        </row>
        <row r="31">
          <cell r="G31">
            <v>40002873</v>
          </cell>
          <cell r="H31" t="str">
            <v>N</v>
          </cell>
        </row>
        <row r="32">
          <cell r="G32">
            <v>40013035</v>
          </cell>
          <cell r="H32" t="str">
            <v>A</v>
          </cell>
        </row>
        <row r="33">
          <cell r="G33">
            <v>40015828</v>
          </cell>
          <cell r="H33" t="str">
            <v>A</v>
          </cell>
        </row>
        <row r="34">
          <cell r="G34">
            <v>40009610</v>
          </cell>
          <cell r="H34" t="str">
            <v>A</v>
          </cell>
        </row>
        <row r="35">
          <cell r="G35">
            <v>40016456</v>
          </cell>
          <cell r="H35" t="str">
            <v>N</v>
          </cell>
        </row>
        <row r="36">
          <cell r="G36">
            <v>30409472</v>
          </cell>
          <cell r="H36" t="str">
            <v>A</v>
          </cell>
        </row>
        <row r="37">
          <cell r="G37">
            <v>30467193</v>
          </cell>
          <cell r="H37" t="str">
            <v>A</v>
          </cell>
        </row>
        <row r="38">
          <cell r="G38">
            <v>30482595</v>
          </cell>
          <cell r="H38" t="str">
            <v>A</v>
          </cell>
        </row>
        <row r="39">
          <cell r="G39">
            <v>30405274</v>
          </cell>
          <cell r="H39" t="str">
            <v>A</v>
          </cell>
        </row>
        <row r="40">
          <cell r="G40">
            <v>40002424</v>
          </cell>
          <cell r="H40" t="str">
            <v>A</v>
          </cell>
        </row>
        <row r="41">
          <cell r="G41">
            <v>40004162</v>
          </cell>
          <cell r="H41" t="str">
            <v>A</v>
          </cell>
        </row>
        <row r="42">
          <cell r="G42">
            <v>40000095</v>
          </cell>
          <cell r="H42" t="str">
            <v>A</v>
          </cell>
        </row>
        <row r="43">
          <cell r="G43">
            <v>40003136</v>
          </cell>
          <cell r="H43" t="str">
            <v>A</v>
          </cell>
        </row>
        <row r="44">
          <cell r="G44">
            <v>40011327</v>
          </cell>
          <cell r="H44" t="str">
            <v>A</v>
          </cell>
          <cell r="I44">
            <v>665598</v>
          </cell>
        </row>
        <row r="45">
          <cell r="G45">
            <v>40005398</v>
          </cell>
          <cell r="H45" t="str">
            <v>A</v>
          </cell>
          <cell r="I45">
            <v>621872</v>
          </cell>
        </row>
        <row r="46">
          <cell r="G46">
            <v>30485847</v>
          </cell>
          <cell r="H46" t="str">
            <v>A</v>
          </cell>
          <cell r="I46">
            <v>551680</v>
          </cell>
        </row>
        <row r="47">
          <cell r="G47">
            <v>30184622</v>
          </cell>
          <cell r="H47" t="str">
            <v>A</v>
          </cell>
          <cell r="I47">
            <v>513901</v>
          </cell>
        </row>
        <row r="48">
          <cell r="G48">
            <v>30482139</v>
          </cell>
          <cell r="H48" t="str">
            <v>A</v>
          </cell>
          <cell r="I48">
            <v>348776</v>
          </cell>
        </row>
        <row r="49">
          <cell r="G49">
            <v>30103817</v>
          </cell>
          <cell r="H49" t="str">
            <v>A</v>
          </cell>
          <cell r="I49">
            <v>333235</v>
          </cell>
        </row>
        <row r="50">
          <cell r="G50">
            <v>30485565</v>
          </cell>
          <cell r="H50" t="str">
            <v>A</v>
          </cell>
          <cell r="I50">
            <v>543377</v>
          </cell>
        </row>
        <row r="51">
          <cell r="G51">
            <v>30200172</v>
          </cell>
          <cell r="H51" t="str">
            <v>A</v>
          </cell>
          <cell r="I51">
            <v>268444</v>
          </cell>
        </row>
        <row r="52">
          <cell r="G52">
            <v>40001489</v>
          </cell>
          <cell r="H52" t="str">
            <v>A</v>
          </cell>
          <cell r="I52">
            <v>265727</v>
          </cell>
        </row>
        <row r="53">
          <cell r="G53">
            <v>40007619</v>
          </cell>
          <cell r="H53" t="str">
            <v>A</v>
          </cell>
          <cell r="I53">
            <v>259065</v>
          </cell>
        </row>
        <row r="54">
          <cell r="G54">
            <v>40017976</v>
          </cell>
          <cell r="H54" t="str">
            <v>A</v>
          </cell>
          <cell r="I54">
            <v>248477</v>
          </cell>
        </row>
        <row r="55">
          <cell r="G55">
            <v>40000378</v>
          </cell>
          <cell r="H55" t="str">
            <v>A</v>
          </cell>
          <cell r="I55">
            <v>247030</v>
          </cell>
        </row>
        <row r="56">
          <cell r="G56">
            <v>30388223</v>
          </cell>
          <cell r="H56" t="str">
            <v>A</v>
          </cell>
          <cell r="I56">
            <v>217947</v>
          </cell>
        </row>
        <row r="57">
          <cell r="G57">
            <v>40001444</v>
          </cell>
          <cell r="H57" t="str">
            <v>A</v>
          </cell>
          <cell r="I57">
            <v>194166</v>
          </cell>
        </row>
        <row r="58">
          <cell r="G58">
            <v>30486584</v>
          </cell>
          <cell r="H58" t="str">
            <v>A</v>
          </cell>
          <cell r="I58">
            <v>172678</v>
          </cell>
        </row>
        <row r="59">
          <cell r="G59">
            <v>30436672</v>
          </cell>
          <cell r="H59" t="str">
            <v>A</v>
          </cell>
          <cell r="I59">
            <v>405508</v>
          </cell>
        </row>
        <row r="60">
          <cell r="G60">
            <v>30347022</v>
          </cell>
          <cell r="H60" t="str">
            <v>A</v>
          </cell>
          <cell r="I60">
            <v>416373</v>
          </cell>
        </row>
        <row r="61">
          <cell r="G61">
            <v>30124753</v>
          </cell>
          <cell r="H61" t="str">
            <v>A</v>
          </cell>
          <cell r="I61">
            <v>513072</v>
          </cell>
        </row>
        <row r="62">
          <cell r="G62">
            <v>30477693</v>
          </cell>
          <cell r="H62" t="str">
            <v>A</v>
          </cell>
          <cell r="I62">
            <v>243751</v>
          </cell>
        </row>
        <row r="63">
          <cell r="G63">
            <v>40002892</v>
          </cell>
          <cell r="H63" t="str">
            <v>A</v>
          </cell>
          <cell r="I63">
            <v>126694</v>
          </cell>
        </row>
        <row r="64">
          <cell r="G64">
            <v>30086944</v>
          </cell>
          <cell r="H64" t="str">
            <v>A</v>
          </cell>
          <cell r="I64">
            <v>754335</v>
          </cell>
        </row>
        <row r="65">
          <cell r="G65">
            <v>40007750</v>
          </cell>
          <cell r="H65" t="str">
            <v>A</v>
          </cell>
          <cell r="I65">
            <v>109175</v>
          </cell>
        </row>
        <row r="66">
          <cell r="G66">
            <v>40005147</v>
          </cell>
          <cell r="H66" t="str">
            <v>A</v>
          </cell>
          <cell r="I66">
            <v>13190</v>
          </cell>
        </row>
        <row r="67">
          <cell r="G67">
            <v>40011201</v>
          </cell>
          <cell r="H67" t="str">
            <v>A</v>
          </cell>
          <cell r="I67">
            <v>25652</v>
          </cell>
        </row>
        <row r="68">
          <cell r="G68">
            <v>40006613</v>
          </cell>
          <cell r="H68" t="str">
            <v>A</v>
          </cell>
          <cell r="I68">
            <v>3067</v>
          </cell>
        </row>
        <row r="69">
          <cell r="G69">
            <v>30240624</v>
          </cell>
          <cell r="H69" t="str">
            <v>A</v>
          </cell>
          <cell r="I69">
            <v>2226197</v>
          </cell>
        </row>
        <row r="70">
          <cell r="G70">
            <v>40010609</v>
          </cell>
          <cell r="H70" t="str">
            <v>N</v>
          </cell>
          <cell r="I70">
            <v>0</v>
          </cell>
        </row>
        <row r="71">
          <cell r="G71">
            <v>40002856</v>
          </cell>
          <cell r="H71" t="str">
            <v>N</v>
          </cell>
          <cell r="I71">
            <v>0</v>
          </cell>
        </row>
        <row r="72">
          <cell r="G72">
            <v>40006021</v>
          </cell>
          <cell r="H72" t="str">
            <v>N</v>
          </cell>
          <cell r="I72">
            <v>0</v>
          </cell>
        </row>
        <row r="73">
          <cell r="G73">
            <v>30130360</v>
          </cell>
          <cell r="H73" t="str">
            <v>A</v>
          </cell>
          <cell r="I73">
            <v>48204</v>
          </cell>
        </row>
        <row r="74">
          <cell r="G74">
            <v>30317322</v>
          </cell>
          <cell r="H74" t="str">
            <v>A</v>
          </cell>
          <cell r="I74">
            <v>30675</v>
          </cell>
        </row>
        <row r="75">
          <cell r="G75">
            <v>30465933</v>
          </cell>
          <cell r="H75" t="str">
            <v>A</v>
          </cell>
          <cell r="I75">
            <v>57432</v>
          </cell>
        </row>
        <row r="76">
          <cell r="G76">
            <v>30465049</v>
          </cell>
          <cell r="H76" t="str">
            <v>A</v>
          </cell>
          <cell r="I76">
            <v>14230</v>
          </cell>
        </row>
        <row r="77">
          <cell r="G77">
            <v>30103864</v>
          </cell>
          <cell r="H77" t="str">
            <v>A</v>
          </cell>
          <cell r="I77">
            <v>255569</v>
          </cell>
        </row>
        <row r="78">
          <cell r="G78">
            <v>30078248</v>
          </cell>
          <cell r="H78" t="str">
            <v>A</v>
          </cell>
          <cell r="I78">
            <v>36501</v>
          </cell>
        </row>
        <row r="79">
          <cell r="G79">
            <v>40001122</v>
          </cell>
          <cell r="H79" t="str">
            <v>A</v>
          </cell>
          <cell r="I79">
            <v>314981</v>
          </cell>
        </row>
        <row r="80">
          <cell r="G80">
            <v>30484096</v>
          </cell>
          <cell r="H80" t="str">
            <v>A</v>
          </cell>
          <cell r="I80">
            <v>105175</v>
          </cell>
        </row>
        <row r="81">
          <cell r="G81">
            <v>40009852</v>
          </cell>
          <cell r="H81" t="str">
            <v>A</v>
          </cell>
          <cell r="I81">
            <v>77196</v>
          </cell>
        </row>
        <row r="82">
          <cell r="G82">
            <v>30459960</v>
          </cell>
          <cell r="H82" t="str">
            <v>A</v>
          </cell>
          <cell r="I82">
            <v>1974112</v>
          </cell>
        </row>
        <row r="83">
          <cell r="G83">
            <v>40005875</v>
          </cell>
          <cell r="H83" t="str">
            <v>A</v>
          </cell>
          <cell r="I83">
            <v>71407</v>
          </cell>
        </row>
        <row r="84">
          <cell r="G84">
            <v>30444424</v>
          </cell>
          <cell r="H84" t="str">
            <v>A</v>
          </cell>
          <cell r="I84">
            <v>66161</v>
          </cell>
        </row>
        <row r="85">
          <cell r="G85">
            <v>40005869</v>
          </cell>
          <cell r="H85" t="str">
            <v>A</v>
          </cell>
          <cell r="I85">
            <v>59876</v>
          </cell>
        </row>
        <row r="86">
          <cell r="G86">
            <v>30482540</v>
          </cell>
          <cell r="H86" t="str">
            <v>A</v>
          </cell>
          <cell r="I86">
            <v>686330</v>
          </cell>
        </row>
        <row r="87">
          <cell r="G87">
            <v>40010661</v>
          </cell>
          <cell r="H87" t="str">
            <v>A</v>
          </cell>
          <cell r="I87">
            <v>57513</v>
          </cell>
        </row>
        <row r="88">
          <cell r="G88">
            <v>40008168</v>
          </cell>
          <cell r="H88" t="str">
            <v>A</v>
          </cell>
          <cell r="I88">
            <v>57435</v>
          </cell>
        </row>
        <row r="89">
          <cell r="G89">
            <v>30133162</v>
          </cell>
          <cell r="H89" t="str">
            <v>A</v>
          </cell>
          <cell r="I89">
            <v>144546</v>
          </cell>
        </row>
        <row r="90">
          <cell r="G90">
            <v>40005872</v>
          </cell>
          <cell r="H90" t="str">
            <v>A</v>
          </cell>
          <cell r="I90">
            <v>35441</v>
          </cell>
        </row>
        <row r="91">
          <cell r="G91">
            <v>30125456</v>
          </cell>
          <cell r="H91" t="str">
            <v>A</v>
          </cell>
          <cell r="I91">
            <v>104257</v>
          </cell>
        </row>
        <row r="92">
          <cell r="G92">
            <v>30438672</v>
          </cell>
          <cell r="H92" t="str">
            <v>A</v>
          </cell>
          <cell r="I92">
            <v>85909</v>
          </cell>
        </row>
        <row r="93">
          <cell r="G93">
            <v>40008163</v>
          </cell>
          <cell r="H93" t="str">
            <v>A</v>
          </cell>
          <cell r="I93">
            <v>24717</v>
          </cell>
        </row>
        <row r="94">
          <cell r="G94">
            <v>30446772</v>
          </cell>
          <cell r="H94" t="str">
            <v>A</v>
          </cell>
          <cell r="I94">
            <v>247508</v>
          </cell>
        </row>
        <row r="95">
          <cell r="G95">
            <v>40002933</v>
          </cell>
          <cell r="H95" t="str">
            <v>A</v>
          </cell>
          <cell r="I95">
            <v>19693</v>
          </cell>
        </row>
        <row r="96">
          <cell r="G96">
            <v>40000019</v>
          </cell>
          <cell r="H96" t="str">
            <v>A</v>
          </cell>
          <cell r="I96">
            <v>19579</v>
          </cell>
        </row>
        <row r="97">
          <cell r="G97">
            <v>30137138</v>
          </cell>
          <cell r="H97" t="str">
            <v>A</v>
          </cell>
          <cell r="I97">
            <v>38786</v>
          </cell>
        </row>
        <row r="98">
          <cell r="G98">
            <v>30381122</v>
          </cell>
          <cell r="H98" t="str">
            <v>A</v>
          </cell>
          <cell r="I98">
            <v>27584</v>
          </cell>
        </row>
        <row r="99">
          <cell r="G99">
            <v>40014969</v>
          </cell>
          <cell r="H99" t="str">
            <v>N</v>
          </cell>
          <cell r="I99">
            <v>0</v>
          </cell>
        </row>
        <row r="100">
          <cell r="G100">
            <v>40017092</v>
          </cell>
          <cell r="H100" t="str">
            <v>N</v>
          </cell>
          <cell r="I100">
            <v>0</v>
          </cell>
        </row>
        <row r="101">
          <cell r="G101">
            <v>30484277</v>
          </cell>
          <cell r="H101" t="str">
            <v>N</v>
          </cell>
          <cell r="I101">
            <v>0</v>
          </cell>
        </row>
        <row r="102">
          <cell r="G102">
            <v>30482162</v>
          </cell>
          <cell r="H102" t="str">
            <v>N</v>
          </cell>
          <cell r="I102">
            <v>0</v>
          </cell>
        </row>
        <row r="103">
          <cell r="G103">
            <v>30476440</v>
          </cell>
          <cell r="H103" t="str">
            <v>N</v>
          </cell>
          <cell r="I103">
            <v>0</v>
          </cell>
        </row>
        <row r="104">
          <cell r="G104">
            <v>40019993</v>
          </cell>
          <cell r="H104" t="str">
            <v>N</v>
          </cell>
          <cell r="I104">
            <v>0</v>
          </cell>
        </row>
        <row r="105">
          <cell r="G105">
            <v>40024349</v>
          </cell>
          <cell r="H105" t="str">
            <v>N</v>
          </cell>
          <cell r="I105">
            <v>0</v>
          </cell>
        </row>
        <row r="106">
          <cell r="G106">
            <v>40009328</v>
          </cell>
          <cell r="H106" t="str">
            <v>N</v>
          </cell>
          <cell r="I106">
            <v>0</v>
          </cell>
        </row>
        <row r="107">
          <cell r="G107">
            <v>40025097</v>
          </cell>
          <cell r="H107" t="str">
            <v>N</v>
          </cell>
          <cell r="I107">
            <v>0</v>
          </cell>
        </row>
        <row r="108">
          <cell r="G108">
            <v>40019627</v>
          </cell>
          <cell r="H108" t="str">
            <v>N</v>
          </cell>
          <cell r="I108">
            <v>0</v>
          </cell>
        </row>
        <row r="109">
          <cell r="G109">
            <v>40009196</v>
          </cell>
          <cell r="H109" t="str">
            <v>N</v>
          </cell>
          <cell r="I109">
            <v>0</v>
          </cell>
        </row>
        <row r="110">
          <cell r="G110">
            <v>30480150</v>
          </cell>
          <cell r="H110" t="str">
            <v>N</v>
          </cell>
          <cell r="I110">
            <v>0</v>
          </cell>
        </row>
        <row r="111">
          <cell r="G111">
            <v>40015277</v>
          </cell>
          <cell r="H111" t="str">
            <v>N</v>
          </cell>
          <cell r="I111">
            <v>0</v>
          </cell>
        </row>
        <row r="112">
          <cell r="G112">
            <v>40015269</v>
          </cell>
          <cell r="H112" t="str">
            <v>N</v>
          </cell>
          <cell r="I112">
            <v>0</v>
          </cell>
        </row>
        <row r="113">
          <cell r="G113">
            <v>40001686</v>
          </cell>
          <cell r="H113" t="str">
            <v>N</v>
          </cell>
          <cell r="I113">
            <v>0</v>
          </cell>
        </row>
        <row r="114">
          <cell r="G114">
            <v>40008485</v>
          </cell>
          <cell r="H114" t="str">
            <v>N</v>
          </cell>
          <cell r="I114">
            <v>0</v>
          </cell>
        </row>
        <row r="115">
          <cell r="G115">
            <v>40014202</v>
          </cell>
          <cell r="H115" t="str">
            <v>N</v>
          </cell>
          <cell r="I115">
            <v>0</v>
          </cell>
        </row>
        <row r="116">
          <cell r="G116">
            <v>40016795</v>
          </cell>
          <cell r="H116" t="str">
            <v>N</v>
          </cell>
          <cell r="I116">
            <v>0</v>
          </cell>
        </row>
        <row r="117">
          <cell r="G117">
            <v>40026474</v>
          </cell>
          <cell r="H117" t="str">
            <v>N</v>
          </cell>
          <cell r="I117">
            <v>0</v>
          </cell>
        </row>
        <row r="118">
          <cell r="G118">
            <v>40026019</v>
          </cell>
          <cell r="H118" t="str">
            <v>N</v>
          </cell>
          <cell r="I118">
            <v>0</v>
          </cell>
        </row>
        <row r="119">
          <cell r="G119">
            <v>40020848</v>
          </cell>
          <cell r="H119" t="str">
            <v>N</v>
          </cell>
          <cell r="I119">
            <v>0</v>
          </cell>
        </row>
        <row r="120">
          <cell r="G120">
            <v>40009258</v>
          </cell>
          <cell r="H120" t="str">
            <v>N</v>
          </cell>
          <cell r="I120">
            <v>0</v>
          </cell>
        </row>
        <row r="121">
          <cell r="G121">
            <v>40018853</v>
          </cell>
          <cell r="H121" t="str">
            <v>N</v>
          </cell>
          <cell r="I121">
            <v>0</v>
          </cell>
        </row>
        <row r="122">
          <cell r="G122">
            <v>40006811</v>
          </cell>
          <cell r="H122" t="str">
            <v>N</v>
          </cell>
          <cell r="I122">
            <v>0</v>
          </cell>
        </row>
        <row r="123">
          <cell r="G123">
            <v>40016324</v>
          </cell>
          <cell r="H123" t="str">
            <v>N</v>
          </cell>
          <cell r="I123">
            <v>0</v>
          </cell>
        </row>
        <row r="124">
          <cell r="G124">
            <v>30465434</v>
          </cell>
          <cell r="H124" t="str">
            <v>N</v>
          </cell>
          <cell r="I124">
            <v>0</v>
          </cell>
        </row>
        <row r="125">
          <cell r="G125">
            <v>40016707</v>
          </cell>
          <cell r="H125" t="str">
            <v>N</v>
          </cell>
          <cell r="I125">
            <v>0</v>
          </cell>
        </row>
        <row r="126">
          <cell r="G126">
            <v>40016947</v>
          </cell>
          <cell r="H126" t="str">
            <v>N</v>
          </cell>
          <cell r="I126">
            <v>0</v>
          </cell>
        </row>
        <row r="127">
          <cell r="G127">
            <v>40020856</v>
          </cell>
          <cell r="H127" t="str">
            <v>N</v>
          </cell>
          <cell r="I127">
            <v>0</v>
          </cell>
        </row>
        <row r="128">
          <cell r="G128">
            <v>30459154</v>
          </cell>
          <cell r="H128" t="str">
            <v>N</v>
          </cell>
          <cell r="I128">
            <v>0</v>
          </cell>
        </row>
        <row r="129">
          <cell r="G129">
            <v>40018735</v>
          </cell>
          <cell r="H129" t="str">
            <v>N</v>
          </cell>
          <cell r="I129">
            <v>0</v>
          </cell>
        </row>
        <row r="130">
          <cell r="G130">
            <v>40019434</v>
          </cell>
          <cell r="H130" t="str">
            <v>N</v>
          </cell>
          <cell r="I130">
            <v>0</v>
          </cell>
        </row>
        <row r="131">
          <cell r="G131">
            <v>40017055</v>
          </cell>
          <cell r="H131" t="str">
            <v>N</v>
          </cell>
          <cell r="I131">
            <v>0</v>
          </cell>
        </row>
        <row r="132">
          <cell r="G132">
            <v>40010504</v>
          </cell>
          <cell r="H132" t="str">
            <v>N</v>
          </cell>
          <cell r="I132">
            <v>0</v>
          </cell>
        </row>
        <row r="133">
          <cell r="G133">
            <v>40017812</v>
          </cell>
          <cell r="H133" t="str">
            <v>N</v>
          </cell>
          <cell r="I133">
            <v>0</v>
          </cell>
        </row>
        <row r="134">
          <cell r="G134">
            <v>30118479</v>
          </cell>
          <cell r="H134" t="str">
            <v>N</v>
          </cell>
          <cell r="I134">
            <v>0</v>
          </cell>
        </row>
        <row r="135">
          <cell r="G135">
            <v>30482567</v>
          </cell>
          <cell r="H135" t="str">
            <v>N</v>
          </cell>
          <cell r="I135">
            <v>0</v>
          </cell>
        </row>
        <row r="136">
          <cell r="G136">
            <v>30459937</v>
          </cell>
          <cell r="H136" t="str">
            <v>N</v>
          </cell>
          <cell r="I136">
            <v>0</v>
          </cell>
        </row>
        <row r="137">
          <cell r="G137">
            <v>40000301</v>
          </cell>
          <cell r="H137" t="str">
            <v>N</v>
          </cell>
          <cell r="I137">
            <v>0</v>
          </cell>
        </row>
        <row r="138">
          <cell r="G138">
            <v>40016754</v>
          </cell>
          <cell r="H138" t="str">
            <v>N</v>
          </cell>
          <cell r="I138">
            <v>0</v>
          </cell>
        </row>
        <row r="139">
          <cell r="G139">
            <v>40027511</v>
          </cell>
          <cell r="H139" t="str">
            <v>N</v>
          </cell>
          <cell r="I139">
            <v>0</v>
          </cell>
        </row>
        <row r="140">
          <cell r="G140">
            <v>30484277</v>
          </cell>
          <cell r="H140" t="str">
            <v>N</v>
          </cell>
          <cell r="I140">
            <v>0</v>
          </cell>
        </row>
        <row r="141">
          <cell r="G141">
            <v>30483438</v>
          </cell>
          <cell r="H141" t="str">
            <v>A</v>
          </cell>
          <cell r="I141">
            <v>83317</v>
          </cell>
        </row>
        <row r="142">
          <cell r="G142">
            <v>30137113</v>
          </cell>
          <cell r="H142" t="str">
            <v>A</v>
          </cell>
          <cell r="I142">
            <v>84528</v>
          </cell>
        </row>
        <row r="143">
          <cell r="G143">
            <v>40008164</v>
          </cell>
          <cell r="H143" t="str">
            <v>A</v>
          </cell>
          <cell r="I143">
            <v>3310</v>
          </cell>
        </row>
        <row r="144">
          <cell r="G144">
            <v>30486478</v>
          </cell>
          <cell r="H144" t="str">
            <v>N</v>
          </cell>
          <cell r="I144">
            <v>0</v>
          </cell>
        </row>
        <row r="145">
          <cell r="G145">
            <v>40004699</v>
          </cell>
          <cell r="H145" t="str">
            <v>N</v>
          </cell>
          <cell r="I145">
            <v>0</v>
          </cell>
        </row>
        <row r="146">
          <cell r="G146">
            <v>40011611</v>
          </cell>
          <cell r="H146" t="str">
            <v>N</v>
          </cell>
          <cell r="I146">
            <v>0</v>
          </cell>
        </row>
        <row r="147">
          <cell r="G147">
            <v>40008006</v>
          </cell>
          <cell r="H147" t="str">
            <v>N</v>
          </cell>
          <cell r="I147">
            <v>0</v>
          </cell>
        </row>
        <row r="148">
          <cell r="G148">
            <v>40015002</v>
          </cell>
          <cell r="H148" t="str">
            <v>N</v>
          </cell>
          <cell r="I148">
            <v>0</v>
          </cell>
        </row>
        <row r="149">
          <cell r="G149">
            <v>30347822</v>
          </cell>
          <cell r="H149" t="str">
            <v>A</v>
          </cell>
          <cell r="I149">
            <v>164394</v>
          </cell>
        </row>
        <row r="150">
          <cell r="G150">
            <v>40000533</v>
          </cell>
          <cell r="H150" t="str">
            <v>A</v>
          </cell>
          <cell r="I150">
            <v>15141</v>
          </cell>
        </row>
        <row r="151">
          <cell r="G151">
            <v>30465839</v>
          </cell>
          <cell r="H151" t="str">
            <v>A</v>
          </cell>
          <cell r="I151">
            <v>12932</v>
          </cell>
        </row>
        <row r="152">
          <cell r="G152">
            <v>40000301</v>
          </cell>
          <cell r="H152" t="str">
            <v>A</v>
          </cell>
          <cell r="I152">
            <v>22363</v>
          </cell>
        </row>
        <row r="153">
          <cell r="G153">
            <v>30314472</v>
          </cell>
          <cell r="H153" t="str">
            <v>A</v>
          </cell>
          <cell r="I153">
            <v>21438</v>
          </cell>
        </row>
        <row r="154">
          <cell r="G154">
            <v>40003274</v>
          </cell>
          <cell r="H154" t="str">
            <v>A</v>
          </cell>
          <cell r="I154">
            <v>10732</v>
          </cell>
        </row>
        <row r="155">
          <cell r="G155">
            <v>40004673</v>
          </cell>
          <cell r="H155" t="str">
            <v>A</v>
          </cell>
          <cell r="I155">
            <v>8400</v>
          </cell>
        </row>
        <row r="156">
          <cell r="G156">
            <v>40003945</v>
          </cell>
          <cell r="H156" t="str">
            <v>A</v>
          </cell>
          <cell r="I156">
            <v>6076</v>
          </cell>
        </row>
        <row r="157">
          <cell r="G157">
            <v>40002634</v>
          </cell>
          <cell r="H157" t="str">
            <v>A</v>
          </cell>
          <cell r="I157">
            <v>5517</v>
          </cell>
        </row>
        <row r="158">
          <cell r="G158">
            <v>30078622</v>
          </cell>
          <cell r="H158" t="str">
            <v>A</v>
          </cell>
          <cell r="I158">
            <v>1019751</v>
          </cell>
        </row>
        <row r="159">
          <cell r="G159">
            <v>30379328</v>
          </cell>
          <cell r="H159" t="str">
            <v>A</v>
          </cell>
          <cell r="I159">
            <v>2498837</v>
          </cell>
        </row>
        <row r="160">
          <cell r="G160">
            <v>30470587</v>
          </cell>
          <cell r="H160" t="str">
            <v>N</v>
          </cell>
          <cell r="I160">
            <v>0</v>
          </cell>
        </row>
        <row r="161">
          <cell r="G161">
            <v>30105536</v>
          </cell>
          <cell r="H161" t="str">
            <v>A</v>
          </cell>
          <cell r="I161">
            <v>1716490</v>
          </cell>
        </row>
        <row r="162">
          <cell r="G162">
            <v>30132830</v>
          </cell>
          <cell r="H162" t="str">
            <v>A</v>
          </cell>
          <cell r="I162">
            <v>459705</v>
          </cell>
        </row>
        <row r="163">
          <cell r="G163">
            <v>30443027</v>
          </cell>
          <cell r="H163" t="str">
            <v>A</v>
          </cell>
          <cell r="I163">
            <v>91304</v>
          </cell>
        </row>
        <row r="164">
          <cell r="G164">
            <v>30452522</v>
          </cell>
          <cell r="H164" t="str">
            <v>A</v>
          </cell>
          <cell r="I164">
            <v>489208</v>
          </cell>
        </row>
        <row r="165">
          <cell r="G165">
            <v>40003446</v>
          </cell>
          <cell r="H165" t="str">
            <v>N</v>
          </cell>
          <cell r="I165">
            <v>0</v>
          </cell>
        </row>
        <row r="166">
          <cell r="G166">
            <v>40004286</v>
          </cell>
          <cell r="H166" t="str">
            <v>A</v>
          </cell>
          <cell r="I166">
            <v>7053</v>
          </cell>
        </row>
        <row r="167">
          <cell r="G167">
            <v>30470837</v>
          </cell>
          <cell r="H167" t="str">
            <v>A</v>
          </cell>
          <cell r="I167">
            <v>49286</v>
          </cell>
        </row>
        <row r="168">
          <cell r="G168">
            <v>30477886</v>
          </cell>
          <cell r="H168" t="str">
            <v>A</v>
          </cell>
          <cell r="I168">
            <v>744765</v>
          </cell>
        </row>
        <row r="169">
          <cell r="G169">
            <v>30128029</v>
          </cell>
          <cell r="H169" t="str">
            <v>N</v>
          </cell>
          <cell r="I169">
            <v>0</v>
          </cell>
        </row>
        <row r="170">
          <cell r="G170">
            <v>30369025</v>
          </cell>
          <cell r="H170" t="str">
            <v>N</v>
          </cell>
          <cell r="I170">
            <v>0</v>
          </cell>
        </row>
        <row r="171">
          <cell r="G171">
            <v>40005874</v>
          </cell>
          <cell r="H171" t="str">
            <v>N</v>
          </cell>
          <cell r="I171">
            <v>0</v>
          </cell>
        </row>
        <row r="172">
          <cell r="G172">
            <v>30469338</v>
          </cell>
          <cell r="H172" t="str">
            <v>A</v>
          </cell>
          <cell r="I172">
            <v>462420</v>
          </cell>
        </row>
        <row r="173">
          <cell r="G173">
            <v>40007482</v>
          </cell>
          <cell r="H173" t="str">
            <v>N</v>
          </cell>
          <cell r="I173">
            <v>0</v>
          </cell>
        </row>
        <row r="174">
          <cell r="G174">
            <v>40009201</v>
          </cell>
          <cell r="H174" t="str">
            <v>N</v>
          </cell>
          <cell r="I174">
            <v>0</v>
          </cell>
        </row>
        <row r="175">
          <cell r="G175">
            <v>40002493</v>
          </cell>
          <cell r="H175" t="str">
            <v>N</v>
          </cell>
          <cell r="I175">
            <v>0</v>
          </cell>
        </row>
        <row r="176">
          <cell r="G176">
            <v>30484208</v>
          </cell>
          <cell r="H176" t="str">
            <v>N</v>
          </cell>
          <cell r="I176">
            <v>0</v>
          </cell>
        </row>
        <row r="177">
          <cell r="G177">
            <v>40010390</v>
          </cell>
          <cell r="H177" t="str">
            <v>N</v>
          </cell>
          <cell r="I177">
            <v>0</v>
          </cell>
        </row>
        <row r="178">
          <cell r="G178">
            <v>40004207</v>
          </cell>
          <cell r="H178" t="str">
            <v>N</v>
          </cell>
          <cell r="I178">
            <v>0</v>
          </cell>
        </row>
        <row r="179">
          <cell r="G179">
            <v>40007565</v>
          </cell>
          <cell r="H179" t="str">
            <v>N</v>
          </cell>
          <cell r="I179">
            <v>0</v>
          </cell>
        </row>
        <row r="180">
          <cell r="G180">
            <v>40001631</v>
          </cell>
          <cell r="H180" t="str">
            <v>N</v>
          </cell>
          <cell r="I180">
            <v>0</v>
          </cell>
        </row>
        <row r="181">
          <cell r="G181">
            <v>40013139</v>
          </cell>
          <cell r="H181" t="str">
            <v>N</v>
          </cell>
          <cell r="I181">
            <v>0</v>
          </cell>
        </row>
        <row r="182">
          <cell r="G182">
            <v>40015729</v>
          </cell>
          <cell r="H182" t="str">
            <v>N</v>
          </cell>
          <cell r="I182">
            <v>0</v>
          </cell>
        </row>
        <row r="183">
          <cell r="G183">
            <v>40001590</v>
          </cell>
          <cell r="H183" t="str">
            <v>N</v>
          </cell>
          <cell r="I183">
            <v>0</v>
          </cell>
        </row>
        <row r="184">
          <cell r="G184">
            <v>40008583</v>
          </cell>
          <cell r="H184" t="str">
            <v>N</v>
          </cell>
          <cell r="I184">
            <v>0</v>
          </cell>
        </row>
        <row r="185">
          <cell r="G185">
            <v>40009784</v>
          </cell>
          <cell r="H185" t="str">
            <v>N</v>
          </cell>
          <cell r="I185">
            <v>0</v>
          </cell>
        </row>
        <row r="186">
          <cell r="G186">
            <v>40015930</v>
          </cell>
          <cell r="H186" t="str">
            <v>N</v>
          </cell>
          <cell r="I186">
            <v>0</v>
          </cell>
        </row>
        <row r="187">
          <cell r="G187">
            <v>30485268</v>
          </cell>
          <cell r="H187" t="str">
            <v>N</v>
          </cell>
          <cell r="I187">
            <v>0</v>
          </cell>
        </row>
        <row r="188">
          <cell r="G188">
            <v>40003755</v>
          </cell>
          <cell r="H188" t="str">
            <v>N</v>
          </cell>
          <cell r="I188">
            <v>0</v>
          </cell>
        </row>
        <row r="189">
          <cell r="G189">
            <v>30439724</v>
          </cell>
          <cell r="H189" t="str">
            <v>A</v>
          </cell>
          <cell r="I189">
            <v>53188</v>
          </cell>
        </row>
        <row r="190">
          <cell r="G190">
            <v>40012167</v>
          </cell>
          <cell r="H190" t="str">
            <v>N</v>
          </cell>
          <cell r="I190">
            <v>0</v>
          </cell>
        </row>
        <row r="191">
          <cell r="G191">
            <v>30384174</v>
          </cell>
          <cell r="H191" t="str">
            <v>N</v>
          </cell>
          <cell r="I191">
            <v>0</v>
          </cell>
        </row>
        <row r="192">
          <cell r="G192">
            <v>30060848</v>
          </cell>
          <cell r="H192" t="str">
            <v>N</v>
          </cell>
          <cell r="I192">
            <v>0</v>
          </cell>
        </row>
        <row r="193">
          <cell r="G193">
            <v>30436326</v>
          </cell>
          <cell r="H193" t="str">
            <v>N</v>
          </cell>
          <cell r="I193">
            <v>0</v>
          </cell>
        </row>
        <row r="194">
          <cell r="G194">
            <v>40005658</v>
          </cell>
          <cell r="H194" t="str">
            <v>N</v>
          </cell>
          <cell r="I194">
            <v>0</v>
          </cell>
        </row>
        <row r="195">
          <cell r="G195">
            <v>30486351</v>
          </cell>
          <cell r="H195" t="str">
            <v>N</v>
          </cell>
          <cell r="I195">
            <v>0</v>
          </cell>
        </row>
        <row r="196">
          <cell r="G196">
            <v>30488890</v>
          </cell>
          <cell r="H196" t="str">
            <v>N</v>
          </cell>
          <cell r="I196">
            <v>0</v>
          </cell>
        </row>
        <row r="197">
          <cell r="G197">
            <v>30469634</v>
          </cell>
          <cell r="H197" t="str">
            <v>N</v>
          </cell>
          <cell r="I197">
            <v>0</v>
          </cell>
        </row>
        <row r="198">
          <cell r="G198">
            <v>30487016</v>
          </cell>
          <cell r="H198" t="str">
            <v>N</v>
          </cell>
          <cell r="I198">
            <v>0</v>
          </cell>
        </row>
        <row r="199">
          <cell r="G199">
            <v>40010901</v>
          </cell>
          <cell r="H199" t="str">
            <v>N</v>
          </cell>
          <cell r="I199">
            <v>0</v>
          </cell>
        </row>
        <row r="200">
          <cell r="G200">
            <v>40006048</v>
          </cell>
          <cell r="H200" t="str">
            <v>N</v>
          </cell>
          <cell r="I200">
            <v>0</v>
          </cell>
        </row>
        <row r="201">
          <cell r="G201">
            <v>40016451</v>
          </cell>
          <cell r="H201" t="str">
            <v>N</v>
          </cell>
          <cell r="I201">
            <v>0</v>
          </cell>
        </row>
        <row r="202">
          <cell r="G202">
            <v>30452980</v>
          </cell>
          <cell r="H202" t="str">
            <v>N</v>
          </cell>
          <cell r="I202">
            <v>0</v>
          </cell>
        </row>
        <row r="203">
          <cell r="G203">
            <v>30464322</v>
          </cell>
          <cell r="H203" t="str">
            <v>N</v>
          </cell>
          <cell r="I203">
            <v>0</v>
          </cell>
        </row>
        <row r="204">
          <cell r="G204">
            <v>40017347</v>
          </cell>
          <cell r="H204" t="str">
            <v>N</v>
          </cell>
          <cell r="I204">
            <v>0</v>
          </cell>
        </row>
        <row r="205">
          <cell r="G205">
            <v>40009387</v>
          </cell>
          <cell r="H205" t="str">
            <v>N</v>
          </cell>
          <cell r="I205">
            <v>0</v>
          </cell>
        </row>
        <row r="206">
          <cell r="G206">
            <v>30476439</v>
          </cell>
          <cell r="H206" t="str">
            <v>N</v>
          </cell>
          <cell r="I206">
            <v>0</v>
          </cell>
        </row>
        <row r="207">
          <cell r="G207">
            <v>40002098</v>
          </cell>
          <cell r="H207" t="str">
            <v>N</v>
          </cell>
          <cell r="I207">
            <v>0</v>
          </cell>
        </row>
        <row r="208">
          <cell r="G208">
            <v>40017201</v>
          </cell>
          <cell r="H208" t="str">
            <v>N</v>
          </cell>
          <cell r="I208">
            <v>0</v>
          </cell>
        </row>
        <row r="209">
          <cell r="G209">
            <v>30085253</v>
          </cell>
          <cell r="H209" t="str">
            <v>A</v>
          </cell>
          <cell r="I209">
            <v>7554</v>
          </cell>
        </row>
        <row r="210">
          <cell r="G210">
            <v>40008132</v>
          </cell>
          <cell r="H210" t="str">
            <v>N</v>
          </cell>
          <cell r="I210">
            <v>0</v>
          </cell>
        </row>
        <row r="211">
          <cell r="G211">
            <v>30176826</v>
          </cell>
          <cell r="H211" t="str">
            <v>N</v>
          </cell>
          <cell r="I211">
            <v>0</v>
          </cell>
        </row>
        <row r="212">
          <cell r="G212">
            <v>30459937</v>
          </cell>
          <cell r="H212" t="str">
            <v>A</v>
          </cell>
          <cell r="I212">
            <v>17826</v>
          </cell>
        </row>
        <row r="213">
          <cell r="G213">
            <v>40007895</v>
          </cell>
          <cell r="H213" t="str">
            <v>N</v>
          </cell>
          <cell r="I213">
            <v>0</v>
          </cell>
        </row>
        <row r="214">
          <cell r="G214">
            <v>40012274</v>
          </cell>
          <cell r="H214" t="str">
            <v>N</v>
          </cell>
          <cell r="I214">
            <v>0</v>
          </cell>
        </row>
        <row r="215">
          <cell r="H215" t="str">
            <v>A</v>
          </cell>
        </row>
        <row r="216">
          <cell r="G216">
            <v>30480199</v>
          </cell>
          <cell r="H216" t="str">
            <v>A</v>
          </cell>
          <cell r="I216">
            <v>0</v>
          </cell>
        </row>
        <row r="217">
          <cell r="G217">
            <v>40003787</v>
          </cell>
          <cell r="H217" t="str">
            <v>N</v>
          </cell>
          <cell r="I217">
            <v>0</v>
          </cell>
        </row>
        <row r="218">
          <cell r="G218">
            <v>30475089</v>
          </cell>
          <cell r="H218" t="str">
            <v>A</v>
          </cell>
          <cell r="I218">
            <v>77847</v>
          </cell>
        </row>
        <row r="219">
          <cell r="G219">
            <v>30129298</v>
          </cell>
          <cell r="H219" t="str">
            <v>A</v>
          </cell>
          <cell r="I219">
            <v>160023</v>
          </cell>
        </row>
        <row r="220">
          <cell r="G220">
            <v>30485513</v>
          </cell>
          <cell r="H220" t="str">
            <v>A</v>
          </cell>
          <cell r="I220">
            <v>21470</v>
          </cell>
        </row>
        <row r="221">
          <cell r="G221">
            <v>30091326</v>
          </cell>
          <cell r="H221" t="str">
            <v>N</v>
          </cell>
          <cell r="I221">
            <v>0</v>
          </cell>
        </row>
        <row r="222">
          <cell r="G222">
            <v>30416872</v>
          </cell>
          <cell r="H222" t="str">
            <v>N</v>
          </cell>
          <cell r="I222">
            <v>0</v>
          </cell>
        </row>
        <row r="223">
          <cell r="G223">
            <v>30459830</v>
          </cell>
          <cell r="H223" t="str">
            <v>N</v>
          </cell>
          <cell r="I223">
            <v>0</v>
          </cell>
        </row>
        <row r="224">
          <cell r="G224">
            <v>30397336</v>
          </cell>
          <cell r="H224" t="str">
            <v>N</v>
          </cell>
          <cell r="I224">
            <v>0</v>
          </cell>
        </row>
        <row r="225">
          <cell r="G225">
            <v>40015725</v>
          </cell>
          <cell r="H225" t="str">
            <v>N</v>
          </cell>
          <cell r="I225">
            <v>0</v>
          </cell>
        </row>
        <row r="226">
          <cell r="G226">
            <v>30482140</v>
          </cell>
          <cell r="H226" t="str">
            <v>N</v>
          </cell>
          <cell r="I226">
            <v>0</v>
          </cell>
        </row>
        <row r="227">
          <cell r="G227">
            <v>40005962</v>
          </cell>
          <cell r="H227" t="str">
            <v>N</v>
          </cell>
          <cell r="I227">
            <v>0</v>
          </cell>
        </row>
        <row r="228">
          <cell r="G228">
            <v>30398026</v>
          </cell>
          <cell r="H228" t="str">
            <v>A</v>
          </cell>
          <cell r="I228">
            <v>15999</v>
          </cell>
        </row>
        <row r="229">
          <cell r="G229">
            <v>30459096</v>
          </cell>
          <cell r="H229" t="str">
            <v>N</v>
          </cell>
          <cell r="I229">
            <v>0</v>
          </cell>
        </row>
        <row r="230">
          <cell r="G230">
            <v>40008791</v>
          </cell>
          <cell r="H230" t="str">
            <v>N</v>
          </cell>
          <cell r="I230">
            <v>0</v>
          </cell>
        </row>
        <row r="231">
          <cell r="G231">
            <v>30481728</v>
          </cell>
          <cell r="H231" t="str">
            <v>N</v>
          </cell>
          <cell r="I231">
            <v>0</v>
          </cell>
        </row>
        <row r="232">
          <cell r="G232">
            <v>40007797</v>
          </cell>
          <cell r="H232" t="str">
            <v>N</v>
          </cell>
          <cell r="I232">
            <v>0</v>
          </cell>
        </row>
        <row r="233">
          <cell r="G233">
            <v>40017130</v>
          </cell>
          <cell r="H233" t="str">
            <v>N</v>
          </cell>
          <cell r="I233">
            <v>0</v>
          </cell>
        </row>
        <row r="234">
          <cell r="G234">
            <v>40014055</v>
          </cell>
          <cell r="H234" t="str">
            <v>N</v>
          </cell>
          <cell r="I234">
            <v>0</v>
          </cell>
        </row>
        <row r="235">
          <cell r="G235">
            <v>30459759</v>
          </cell>
          <cell r="H235" t="str">
            <v>N</v>
          </cell>
          <cell r="I235">
            <v>0</v>
          </cell>
        </row>
        <row r="236">
          <cell r="G236">
            <v>30439372</v>
          </cell>
          <cell r="H236" t="str">
            <v>N</v>
          </cell>
          <cell r="I236">
            <v>0</v>
          </cell>
        </row>
        <row r="237">
          <cell r="G237">
            <v>30454127</v>
          </cell>
          <cell r="H237" t="str">
            <v>N</v>
          </cell>
          <cell r="I237">
            <v>0</v>
          </cell>
        </row>
        <row r="238">
          <cell r="G238">
            <v>30349031</v>
          </cell>
          <cell r="H238" t="str">
            <v>N</v>
          </cell>
          <cell r="I238">
            <v>0</v>
          </cell>
        </row>
        <row r="239">
          <cell r="G239">
            <v>30420432</v>
          </cell>
          <cell r="H239" t="str">
            <v>A</v>
          </cell>
          <cell r="I239">
            <v>154184</v>
          </cell>
        </row>
        <row r="240">
          <cell r="G240">
            <v>30071172</v>
          </cell>
          <cell r="H240" t="str">
            <v>A</v>
          </cell>
          <cell r="I240">
            <v>121078</v>
          </cell>
        </row>
        <row r="241">
          <cell r="G241">
            <v>30114635</v>
          </cell>
          <cell r="H241" t="str">
            <v>A</v>
          </cell>
          <cell r="I241">
            <v>1080935</v>
          </cell>
        </row>
        <row r="242">
          <cell r="G242">
            <v>30406023</v>
          </cell>
          <cell r="H242" t="str">
            <v>N</v>
          </cell>
          <cell r="I242">
            <v>0</v>
          </cell>
        </row>
        <row r="243">
          <cell r="G243">
            <v>40019005</v>
          </cell>
          <cell r="H243" t="str">
            <v>N</v>
          </cell>
          <cell r="I243">
            <v>0</v>
          </cell>
        </row>
        <row r="244">
          <cell r="G244">
            <v>40019807</v>
          </cell>
          <cell r="H244" t="str">
            <v>N</v>
          </cell>
          <cell r="I244">
            <v>0</v>
          </cell>
        </row>
        <row r="245">
          <cell r="G245">
            <v>40021193</v>
          </cell>
          <cell r="H245" t="str">
            <v>N</v>
          </cell>
          <cell r="I245">
            <v>0</v>
          </cell>
        </row>
        <row r="246">
          <cell r="G246">
            <v>40025047</v>
          </cell>
          <cell r="H246" t="str">
            <v>N</v>
          </cell>
          <cell r="I246">
            <v>0</v>
          </cell>
        </row>
        <row r="247">
          <cell r="G247">
            <v>30121859</v>
          </cell>
          <cell r="H247" t="str">
            <v>N</v>
          </cell>
          <cell r="I247">
            <v>0</v>
          </cell>
        </row>
        <row r="248">
          <cell r="G248">
            <v>30403874</v>
          </cell>
          <cell r="H248" t="str">
            <v>N</v>
          </cell>
          <cell r="I248">
            <v>0</v>
          </cell>
        </row>
        <row r="249">
          <cell r="G249">
            <v>30482607</v>
          </cell>
          <cell r="H249" t="str">
            <v>N</v>
          </cell>
          <cell r="I249">
            <v>0</v>
          </cell>
        </row>
        <row r="250">
          <cell r="G250">
            <v>30483094</v>
          </cell>
          <cell r="H250" t="str">
            <v>N</v>
          </cell>
          <cell r="I250">
            <v>0</v>
          </cell>
        </row>
        <row r="251">
          <cell r="G251">
            <v>40001069</v>
          </cell>
          <cell r="H251" t="str">
            <v>N</v>
          </cell>
          <cell r="I251">
            <v>0</v>
          </cell>
        </row>
        <row r="252">
          <cell r="G252">
            <v>40001870</v>
          </cell>
          <cell r="H252" t="str">
            <v>N</v>
          </cell>
          <cell r="I252">
            <v>0</v>
          </cell>
        </row>
        <row r="253">
          <cell r="G253">
            <v>40002915</v>
          </cell>
          <cell r="H253" t="str">
            <v>N</v>
          </cell>
          <cell r="I253">
            <v>0</v>
          </cell>
        </row>
        <row r="254">
          <cell r="G254">
            <v>40003441</v>
          </cell>
          <cell r="H254" t="str">
            <v>N</v>
          </cell>
          <cell r="I254">
            <v>0</v>
          </cell>
        </row>
        <row r="255">
          <cell r="G255">
            <v>40004657</v>
          </cell>
          <cell r="H255" t="str">
            <v>N</v>
          </cell>
          <cell r="I255">
            <v>0</v>
          </cell>
        </row>
        <row r="256">
          <cell r="G256">
            <v>40009482</v>
          </cell>
          <cell r="H256" t="str">
            <v>N</v>
          </cell>
          <cell r="I256">
            <v>0</v>
          </cell>
        </row>
        <row r="257">
          <cell r="G257">
            <v>40009866</v>
          </cell>
          <cell r="H257" t="str">
            <v>N</v>
          </cell>
          <cell r="I257">
            <v>0</v>
          </cell>
        </row>
        <row r="258">
          <cell r="G258">
            <v>40012279</v>
          </cell>
          <cell r="H258" t="str">
            <v>N</v>
          </cell>
          <cell r="I258">
            <v>0</v>
          </cell>
        </row>
        <row r="259">
          <cell r="G259">
            <v>40013141</v>
          </cell>
          <cell r="H259" t="str">
            <v>N</v>
          </cell>
          <cell r="I259">
            <v>0</v>
          </cell>
        </row>
        <row r="260">
          <cell r="G260">
            <v>40014085</v>
          </cell>
          <cell r="H260" t="str">
            <v>N</v>
          </cell>
          <cell r="I260">
            <v>0</v>
          </cell>
        </row>
        <row r="261">
          <cell r="G261">
            <v>40014807</v>
          </cell>
          <cell r="H261" t="str">
            <v>N</v>
          </cell>
          <cell r="I261">
            <v>0</v>
          </cell>
        </row>
        <row r="262">
          <cell r="G262">
            <v>40014812</v>
          </cell>
          <cell r="H262" t="str">
            <v>N</v>
          </cell>
          <cell r="I262">
            <v>0</v>
          </cell>
        </row>
        <row r="263">
          <cell r="G263">
            <v>40015265</v>
          </cell>
          <cell r="H263" t="str">
            <v>N</v>
          </cell>
          <cell r="I263">
            <v>0</v>
          </cell>
        </row>
        <row r="264">
          <cell r="G264">
            <v>40017777</v>
          </cell>
          <cell r="H264" t="str">
            <v>N</v>
          </cell>
          <cell r="I264">
            <v>0</v>
          </cell>
        </row>
        <row r="265">
          <cell r="G265">
            <v>40017781</v>
          </cell>
          <cell r="H265" t="str">
            <v>N</v>
          </cell>
          <cell r="I265">
            <v>0</v>
          </cell>
        </row>
        <row r="266">
          <cell r="G266">
            <v>40020833</v>
          </cell>
          <cell r="H266" t="str">
            <v>N</v>
          </cell>
          <cell r="I266">
            <v>0</v>
          </cell>
        </row>
        <row r="267">
          <cell r="G267">
            <v>40021586</v>
          </cell>
          <cell r="H267" t="str">
            <v>N</v>
          </cell>
          <cell r="I267">
            <v>0</v>
          </cell>
          <cell r="K267">
            <v>106468</v>
          </cell>
          <cell r="S267">
            <v>106468</v>
          </cell>
          <cell r="T267">
            <v>106468</v>
          </cell>
          <cell r="U267">
            <v>0</v>
          </cell>
          <cell r="V267">
            <v>106468</v>
          </cell>
          <cell r="W267">
            <v>106468</v>
          </cell>
        </row>
        <row r="268">
          <cell r="G268">
            <v>40022716</v>
          </cell>
          <cell r="H268" t="str">
            <v>N</v>
          </cell>
          <cell r="I268">
            <v>0</v>
          </cell>
          <cell r="J268">
            <v>613</v>
          </cell>
          <cell r="K268">
            <v>4601</v>
          </cell>
          <cell r="N268">
            <v>511250</v>
          </cell>
          <cell r="S268">
            <v>516464</v>
          </cell>
          <cell r="T268">
            <v>516464</v>
          </cell>
          <cell r="U268">
            <v>143167</v>
          </cell>
          <cell r="V268">
            <v>659631</v>
          </cell>
          <cell r="W268">
            <v>659631</v>
          </cell>
        </row>
        <row r="269">
          <cell r="G269">
            <v>40022954</v>
          </cell>
          <cell r="H269" t="str">
            <v>N</v>
          </cell>
          <cell r="I269">
            <v>0</v>
          </cell>
          <cell r="K269">
            <v>6135</v>
          </cell>
          <cell r="N269">
            <v>277770</v>
          </cell>
          <cell r="S269">
            <v>283905</v>
          </cell>
          <cell r="T269">
            <v>283905</v>
          </cell>
          <cell r="U269">
            <v>0</v>
          </cell>
          <cell r="V269">
            <v>283905</v>
          </cell>
          <cell r="W269">
            <v>283905</v>
          </cell>
        </row>
        <row r="270">
          <cell r="G270">
            <v>40024013</v>
          </cell>
          <cell r="H270" t="str">
            <v>N</v>
          </cell>
          <cell r="I270">
            <v>0</v>
          </cell>
          <cell r="J270">
            <v>307</v>
          </cell>
          <cell r="S270">
            <v>307</v>
          </cell>
          <cell r="T270">
            <v>307</v>
          </cell>
          <cell r="U270">
            <v>347286</v>
          </cell>
          <cell r="V270">
            <v>347593</v>
          </cell>
          <cell r="W270">
            <v>347593</v>
          </cell>
        </row>
        <row r="271">
          <cell r="G271">
            <v>40025804</v>
          </cell>
          <cell r="H271" t="str">
            <v>N</v>
          </cell>
          <cell r="I271">
            <v>0</v>
          </cell>
          <cell r="J271">
            <v>613</v>
          </cell>
          <cell r="K271">
            <v>11042</v>
          </cell>
          <cell r="N271">
            <v>347083</v>
          </cell>
          <cell r="S271">
            <v>358738</v>
          </cell>
          <cell r="T271">
            <v>358738</v>
          </cell>
          <cell r="U271">
            <v>0</v>
          </cell>
          <cell r="V271">
            <v>358738</v>
          </cell>
          <cell r="W271">
            <v>358738</v>
          </cell>
        </row>
        <row r="272">
          <cell r="G272">
            <v>40026255</v>
          </cell>
          <cell r="H272" t="str">
            <v>N</v>
          </cell>
          <cell r="I272">
            <v>0</v>
          </cell>
          <cell r="J272">
            <v>1022</v>
          </cell>
          <cell r="K272">
            <v>14187</v>
          </cell>
          <cell r="N272">
            <v>771143</v>
          </cell>
          <cell r="S272">
            <v>786352</v>
          </cell>
          <cell r="T272">
            <v>786352</v>
          </cell>
          <cell r="U272">
            <v>157269</v>
          </cell>
          <cell r="V272">
            <v>943621</v>
          </cell>
          <cell r="W272">
            <v>943621</v>
          </cell>
        </row>
        <row r="273">
          <cell r="G273">
            <v>40028023</v>
          </cell>
          <cell r="H273" t="str">
            <v>N</v>
          </cell>
          <cell r="I273">
            <v>0</v>
          </cell>
          <cell r="J273">
            <v>400</v>
          </cell>
          <cell r="K273">
            <v>3000</v>
          </cell>
          <cell r="N273">
            <v>73369</v>
          </cell>
          <cell r="S273">
            <v>76769</v>
          </cell>
          <cell r="T273">
            <v>76769</v>
          </cell>
          <cell r="U273">
            <v>0</v>
          </cell>
          <cell r="V273">
            <v>76769</v>
          </cell>
          <cell r="W273">
            <v>76769</v>
          </cell>
        </row>
        <row r="274">
          <cell r="G274">
            <v>40027329</v>
          </cell>
          <cell r="H274" t="str">
            <v>N</v>
          </cell>
          <cell r="I274">
            <v>0</v>
          </cell>
          <cell r="K274">
            <v>71097</v>
          </cell>
          <cell r="S274">
            <v>71097</v>
          </cell>
          <cell r="T274">
            <v>71097</v>
          </cell>
          <cell r="U274">
            <v>0</v>
          </cell>
          <cell r="V274">
            <v>71097</v>
          </cell>
          <cell r="W274">
            <v>71097</v>
          </cell>
        </row>
        <row r="275">
          <cell r="G275">
            <v>40022472</v>
          </cell>
          <cell r="H275" t="str">
            <v>N</v>
          </cell>
          <cell r="I275">
            <v>0</v>
          </cell>
          <cell r="K275">
            <v>65709</v>
          </cell>
          <cell r="S275">
            <v>65709</v>
          </cell>
          <cell r="T275">
            <v>65709</v>
          </cell>
          <cell r="U275">
            <v>221767</v>
          </cell>
          <cell r="V275">
            <v>287476</v>
          </cell>
          <cell r="W275">
            <v>287476</v>
          </cell>
        </row>
        <row r="276">
          <cell r="G276">
            <v>40011488</v>
          </cell>
          <cell r="H276" t="str">
            <v>N</v>
          </cell>
          <cell r="I276">
            <v>0</v>
          </cell>
          <cell r="J276">
            <v>780</v>
          </cell>
          <cell r="K276">
            <v>102250</v>
          </cell>
          <cell r="S276">
            <v>103030</v>
          </cell>
          <cell r="T276">
            <v>103030</v>
          </cell>
          <cell r="U276">
            <v>103810</v>
          </cell>
          <cell r="V276">
            <v>206840</v>
          </cell>
          <cell r="W276">
            <v>206840</v>
          </cell>
        </row>
        <row r="277">
          <cell r="G277">
            <v>40019613</v>
          </cell>
          <cell r="H277" t="str">
            <v>N</v>
          </cell>
          <cell r="I277">
            <v>0</v>
          </cell>
          <cell r="N277">
            <v>176024</v>
          </cell>
          <cell r="S277">
            <v>176024</v>
          </cell>
          <cell r="T277">
            <v>176024</v>
          </cell>
          <cell r="U277">
            <v>0</v>
          </cell>
          <cell r="V277">
            <v>176024</v>
          </cell>
          <cell r="W277">
            <v>176024</v>
          </cell>
        </row>
        <row r="278">
          <cell r="G278">
            <v>40001842</v>
          </cell>
          <cell r="H278" t="str">
            <v>N</v>
          </cell>
          <cell r="I278">
            <v>0</v>
          </cell>
          <cell r="K278">
            <v>31190</v>
          </cell>
          <cell r="N278">
            <v>1477441</v>
          </cell>
          <cell r="S278">
            <v>1508631</v>
          </cell>
          <cell r="T278">
            <v>1508631</v>
          </cell>
          <cell r="U278">
            <v>1511741</v>
          </cell>
          <cell r="V278">
            <v>3020372</v>
          </cell>
          <cell r="W278">
            <v>3020372</v>
          </cell>
        </row>
        <row r="279">
          <cell r="G279">
            <v>30485699</v>
          </cell>
          <cell r="H279" t="str">
            <v>N</v>
          </cell>
          <cell r="I279">
            <v>0</v>
          </cell>
          <cell r="K279">
            <v>7919</v>
          </cell>
          <cell r="N279">
            <v>343102</v>
          </cell>
          <cell r="O279">
            <v>11087</v>
          </cell>
          <cell r="S279">
            <v>362108</v>
          </cell>
          <cell r="T279">
            <v>362108</v>
          </cell>
          <cell r="U279">
            <v>2</v>
          </cell>
          <cell r="V279">
            <v>362110</v>
          </cell>
          <cell r="W279">
            <v>362110</v>
          </cell>
        </row>
        <row r="280">
          <cell r="G280">
            <v>30441774</v>
          </cell>
          <cell r="H280" t="str">
            <v>N</v>
          </cell>
          <cell r="I280">
            <v>0</v>
          </cell>
          <cell r="N280">
            <v>56434</v>
          </cell>
          <cell r="S280">
            <v>56434</v>
          </cell>
          <cell r="T280">
            <v>56434</v>
          </cell>
          <cell r="U280">
            <v>112869</v>
          </cell>
          <cell r="V280">
            <v>169303</v>
          </cell>
          <cell r="W280">
            <v>169303</v>
          </cell>
        </row>
        <row r="281">
          <cell r="G281">
            <v>40020052</v>
          </cell>
          <cell r="H281" t="str">
            <v>N</v>
          </cell>
          <cell r="I281">
            <v>0</v>
          </cell>
          <cell r="K281">
            <v>28630</v>
          </cell>
          <cell r="S281">
            <v>28630</v>
          </cell>
          <cell r="T281">
            <v>28630</v>
          </cell>
          <cell r="U281">
            <v>217325</v>
          </cell>
          <cell r="V281">
            <v>245955</v>
          </cell>
          <cell r="W281">
            <v>245955</v>
          </cell>
        </row>
        <row r="282">
          <cell r="G282">
            <v>40007778</v>
          </cell>
          <cell r="H282" t="str">
            <v>N</v>
          </cell>
          <cell r="I282">
            <v>0</v>
          </cell>
          <cell r="K282">
            <v>96516</v>
          </cell>
          <cell r="S282">
            <v>96516</v>
          </cell>
          <cell r="T282">
            <v>96516</v>
          </cell>
          <cell r="U282">
            <v>0</v>
          </cell>
          <cell r="V282">
            <v>96516</v>
          </cell>
          <cell r="W282">
            <v>96516</v>
          </cell>
        </row>
        <row r="283">
          <cell r="G283">
            <v>30078506</v>
          </cell>
          <cell r="H283" t="str">
            <v>A</v>
          </cell>
          <cell r="I283">
            <v>107393</v>
          </cell>
          <cell r="K283">
            <v>40484</v>
          </cell>
          <cell r="S283">
            <v>40484</v>
          </cell>
          <cell r="T283">
            <v>40484</v>
          </cell>
          <cell r="U283">
            <v>0</v>
          </cell>
          <cell r="V283">
            <v>40484</v>
          </cell>
          <cell r="W283">
            <v>147877</v>
          </cell>
        </row>
        <row r="284">
          <cell r="G284">
            <v>30137113</v>
          </cell>
          <cell r="H284" t="str">
            <v>N</v>
          </cell>
          <cell r="I284">
            <v>0</v>
          </cell>
          <cell r="J284">
            <v>2701</v>
          </cell>
          <cell r="K284">
            <v>29923</v>
          </cell>
          <cell r="N284">
            <v>937571</v>
          </cell>
          <cell r="S284">
            <v>970195</v>
          </cell>
          <cell r="T284">
            <v>970195</v>
          </cell>
          <cell r="U284">
            <v>1456133</v>
          </cell>
          <cell r="V284">
            <v>2426328</v>
          </cell>
          <cell r="W284">
            <v>2426328</v>
          </cell>
        </row>
        <row r="285">
          <cell r="G285">
            <v>30136961</v>
          </cell>
          <cell r="H285" t="str">
            <v>A</v>
          </cell>
          <cell r="I285">
            <v>4005861</v>
          </cell>
          <cell r="J285">
            <v>8869</v>
          </cell>
          <cell r="K285">
            <v>71749</v>
          </cell>
          <cell r="N285">
            <v>2320794</v>
          </cell>
          <cell r="O285">
            <v>105699</v>
          </cell>
          <cell r="P285">
            <v>27903</v>
          </cell>
          <cell r="S285">
            <v>2535014</v>
          </cell>
          <cell r="T285">
            <v>2535014</v>
          </cell>
          <cell r="U285">
            <v>133601</v>
          </cell>
          <cell r="V285">
            <v>2668615</v>
          </cell>
          <cell r="W285">
            <v>6674476</v>
          </cell>
        </row>
        <row r="286">
          <cell r="G286">
            <v>30465048</v>
          </cell>
          <cell r="H286" t="str">
            <v>A</v>
          </cell>
          <cell r="I286">
            <v>6228157</v>
          </cell>
          <cell r="K286">
            <v>13334</v>
          </cell>
          <cell r="S286">
            <v>13334</v>
          </cell>
          <cell r="T286">
            <v>13334</v>
          </cell>
          <cell r="U286">
            <v>0</v>
          </cell>
          <cell r="V286">
            <v>13334</v>
          </cell>
          <cell r="W286">
            <v>6241491</v>
          </cell>
        </row>
        <row r="287">
          <cell r="G287">
            <v>30458866</v>
          </cell>
          <cell r="H287" t="str">
            <v>A</v>
          </cell>
          <cell r="I287">
            <v>114771</v>
          </cell>
          <cell r="R287">
            <v>1663</v>
          </cell>
          <cell r="S287">
            <v>1663</v>
          </cell>
          <cell r="T287">
            <v>1663</v>
          </cell>
          <cell r="U287">
            <v>0</v>
          </cell>
          <cell r="V287">
            <v>1663</v>
          </cell>
          <cell r="W287">
            <v>116434</v>
          </cell>
        </row>
        <row r="288">
          <cell r="G288">
            <v>30273122</v>
          </cell>
          <cell r="H288" t="str">
            <v>A</v>
          </cell>
          <cell r="I288">
            <v>351783</v>
          </cell>
          <cell r="N288">
            <v>41848</v>
          </cell>
          <cell r="S288">
            <v>41848</v>
          </cell>
          <cell r="T288">
            <v>41848</v>
          </cell>
          <cell r="U288">
            <v>0</v>
          </cell>
          <cell r="V288">
            <v>41848</v>
          </cell>
          <cell r="W288">
            <v>393631</v>
          </cell>
        </row>
        <row r="289">
          <cell r="G289">
            <v>40003284</v>
          </cell>
          <cell r="H289" t="str">
            <v>A</v>
          </cell>
          <cell r="I289">
            <v>95020</v>
          </cell>
          <cell r="J289">
            <v>540</v>
          </cell>
          <cell r="K289">
            <v>6658</v>
          </cell>
          <cell r="S289">
            <v>7198</v>
          </cell>
          <cell r="T289">
            <v>7198</v>
          </cell>
          <cell r="U289">
            <v>0</v>
          </cell>
          <cell r="V289">
            <v>7198</v>
          </cell>
          <cell r="W289">
            <v>102218</v>
          </cell>
        </row>
        <row r="290">
          <cell r="G290">
            <v>30104012</v>
          </cell>
          <cell r="H290" t="str">
            <v>A</v>
          </cell>
          <cell r="I290">
            <v>2255681</v>
          </cell>
          <cell r="J290">
            <v>543</v>
          </cell>
          <cell r="P290">
            <v>219506</v>
          </cell>
          <cell r="S290">
            <v>220049</v>
          </cell>
          <cell r="T290">
            <v>220049</v>
          </cell>
          <cell r="U290">
            <v>1272</v>
          </cell>
          <cell r="V290">
            <v>221321</v>
          </cell>
          <cell r="W290">
            <v>2477002</v>
          </cell>
        </row>
        <row r="291">
          <cell r="G291">
            <v>40000595</v>
          </cell>
          <cell r="H291" t="str">
            <v>A</v>
          </cell>
          <cell r="I291">
            <v>191912</v>
          </cell>
          <cell r="N291">
            <v>7990</v>
          </cell>
          <cell r="S291">
            <v>7990</v>
          </cell>
          <cell r="T291">
            <v>7990</v>
          </cell>
          <cell r="U291">
            <v>0</v>
          </cell>
          <cell r="V291">
            <v>7990</v>
          </cell>
          <cell r="W291">
            <v>199902</v>
          </cell>
        </row>
        <row r="292">
          <cell r="G292">
            <v>30469836</v>
          </cell>
          <cell r="H292" t="str">
            <v>A</v>
          </cell>
          <cell r="I292">
            <v>471189</v>
          </cell>
          <cell r="J292">
            <v>194</v>
          </cell>
          <cell r="K292">
            <v>3138</v>
          </cell>
          <cell r="N292">
            <v>10000</v>
          </cell>
          <cell r="S292">
            <v>13332</v>
          </cell>
          <cell r="T292">
            <v>13332</v>
          </cell>
          <cell r="U292">
            <v>139</v>
          </cell>
          <cell r="V292">
            <v>13471</v>
          </cell>
          <cell r="W292">
            <v>484660</v>
          </cell>
        </row>
        <row r="293">
          <cell r="G293">
            <v>30128325</v>
          </cell>
          <cell r="H293" t="str">
            <v>A</v>
          </cell>
          <cell r="I293">
            <v>3321907</v>
          </cell>
          <cell r="J293">
            <v>2570</v>
          </cell>
          <cell r="N293">
            <v>218274</v>
          </cell>
          <cell r="S293">
            <v>220844</v>
          </cell>
          <cell r="T293">
            <v>220844</v>
          </cell>
          <cell r="U293">
            <v>0</v>
          </cell>
          <cell r="V293">
            <v>220844</v>
          </cell>
          <cell r="W293">
            <v>3542751</v>
          </cell>
        </row>
        <row r="294">
          <cell r="G294">
            <v>30443973</v>
          </cell>
          <cell r="H294" t="str">
            <v>A</v>
          </cell>
          <cell r="I294">
            <v>142615</v>
          </cell>
          <cell r="K294">
            <v>14229</v>
          </cell>
          <cell r="S294">
            <v>14229</v>
          </cell>
          <cell r="T294">
            <v>14229</v>
          </cell>
          <cell r="U294">
            <v>0</v>
          </cell>
          <cell r="V294">
            <v>14229</v>
          </cell>
          <cell r="W294">
            <v>156844</v>
          </cell>
        </row>
        <row r="295">
          <cell r="G295">
            <v>40000975</v>
          </cell>
          <cell r="H295" t="str">
            <v>A</v>
          </cell>
          <cell r="I295">
            <v>50572</v>
          </cell>
          <cell r="J295">
            <v>555</v>
          </cell>
          <cell r="K295">
            <v>1623</v>
          </cell>
          <cell r="S295">
            <v>2178</v>
          </cell>
          <cell r="T295">
            <v>2178</v>
          </cell>
          <cell r="U295">
            <v>465</v>
          </cell>
          <cell r="V295">
            <v>2643</v>
          </cell>
          <cell r="W295">
            <v>53215</v>
          </cell>
        </row>
        <row r="296">
          <cell r="G296">
            <v>30387723</v>
          </cell>
          <cell r="H296" t="str">
            <v>A</v>
          </cell>
          <cell r="I296">
            <v>588650</v>
          </cell>
          <cell r="K296">
            <v>21317</v>
          </cell>
          <cell r="S296">
            <v>21317</v>
          </cell>
          <cell r="T296">
            <v>21317</v>
          </cell>
          <cell r="U296">
            <v>0</v>
          </cell>
          <cell r="V296">
            <v>21317</v>
          </cell>
          <cell r="W296">
            <v>609967</v>
          </cell>
        </row>
        <row r="297">
          <cell r="G297">
            <v>30408824</v>
          </cell>
          <cell r="H297" t="str">
            <v>A</v>
          </cell>
          <cell r="I297">
            <v>272278</v>
          </cell>
          <cell r="K297">
            <v>16664</v>
          </cell>
          <cell r="O297">
            <v>47312</v>
          </cell>
          <cell r="S297">
            <v>63976</v>
          </cell>
          <cell r="T297">
            <v>63976</v>
          </cell>
          <cell r="V297">
            <v>63976</v>
          </cell>
          <cell r="W297">
            <v>336254</v>
          </cell>
        </row>
        <row r="298">
          <cell r="G298">
            <v>30485939</v>
          </cell>
          <cell r="H298" t="str">
            <v>A</v>
          </cell>
          <cell r="I298">
            <v>49068</v>
          </cell>
          <cell r="J298">
            <v>554</v>
          </cell>
          <cell r="K298">
            <v>7166</v>
          </cell>
          <cell r="S298">
            <v>7720</v>
          </cell>
          <cell r="T298">
            <v>7720</v>
          </cell>
          <cell r="U298">
            <v>0</v>
          </cell>
          <cell r="V298">
            <v>7720</v>
          </cell>
          <cell r="W298">
            <v>56788</v>
          </cell>
        </row>
        <row r="299">
          <cell r="G299">
            <v>30404676</v>
          </cell>
          <cell r="H299" t="str">
            <v>A</v>
          </cell>
          <cell r="I299">
            <v>1374363</v>
          </cell>
          <cell r="O299">
            <v>6807</v>
          </cell>
          <cell r="P299">
            <v>7000</v>
          </cell>
          <cell r="S299">
            <v>13807</v>
          </cell>
          <cell r="T299">
            <v>13807</v>
          </cell>
          <cell r="U299">
            <v>0</v>
          </cell>
          <cell r="V299">
            <v>13807</v>
          </cell>
          <cell r="W299">
            <v>1388170</v>
          </cell>
        </row>
        <row r="300">
          <cell r="G300">
            <v>30486848</v>
          </cell>
          <cell r="H300" t="str">
            <v>A</v>
          </cell>
          <cell r="I300">
            <v>250850</v>
          </cell>
          <cell r="J300">
            <v>1080</v>
          </cell>
          <cell r="K300">
            <v>35895</v>
          </cell>
          <cell r="S300">
            <v>36975</v>
          </cell>
          <cell r="T300">
            <v>36975</v>
          </cell>
          <cell r="U300">
            <v>0</v>
          </cell>
          <cell r="V300">
            <v>36975</v>
          </cell>
          <cell r="W300">
            <v>287825</v>
          </cell>
        </row>
        <row r="301">
          <cell r="G301">
            <v>30486910</v>
          </cell>
          <cell r="H301" t="str">
            <v>A</v>
          </cell>
          <cell r="I301">
            <v>242283</v>
          </cell>
          <cell r="J301">
            <v>1108</v>
          </cell>
          <cell r="K301">
            <v>3070</v>
          </cell>
          <cell r="N301">
            <v>40000</v>
          </cell>
          <cell r="S301">
            <v>44178</v>
          </cell>
          <cell r="T301">
            <v>44178</v>
          </cell>
          <cell r="U301">
            <v>0</v>
          </cell>
          <cell r="V301">
            <v>44178</v>
          </cell>
          <cell r="W301">
            <v>286461</v>
          </cell>
        </row>
        <row r="302">
          <cell r="G302">
            <v>30425222</v>
          </cell>
          <cell r="H302" t="str">
            <v>A</v>
          </cell>
          <cell r="I302">
            <v>136990</v>
          </cell>
          <cell r="J302">
            <v>3421</v>
          </cell>
          <cell r="K302">
            <v>13464</v>
          </cell>
          <cell r="S302">
            <v>16885</v>
          </cell>
          <cell r="T302">
            <v>16885</v>
          </cell>
          <cell r="U302">
            <v>0</v>
          </cell>
          <cell r="V302">
            <v>16885</v>
          </cell>
          <cell r="W302">
            <v>153875</v>
          </cell>
        </row>
        <row r="303">
          <cell r="G303">
            <v>30472092</v>
          </cell>
          <cell r="H303" t="str">
            <v>A</v>
          </cell>
          <cell r="I303">
            <v>97680</v>
          </cell>
          <cell r="J303">
            <v>1330</v>
          </cell>
          <cell r="K303">
            <v>9977</v>
          </cell>
          <cell r="S303">
            <v>11307</v>
          </cell>
          <cell r="T303">
            <v>11307</v>
          </cell>
          <cell r="U303">
            <v>0</v>
          </cell>
          <cell r="V303">
            <v>11307</v>
          </cell>
          <cell r="W303">
            <v>108987</v>
          </cell>
        </row>
        <row r="304">
          <cell r="G304">
            <v>30261122</v>
          </cell>
          <cell r="H304" t="str">
            <v>A</v>
          </cell>
          <cell r="I304">
            <v>717884</v>
          </cell>
          <cell r="O304">
            <v>79046</v>
          </cell>
          <cell r="S304">
            <v>79046</v>
          </cell>
          <cell r="T304">
            <v>79046</v>
          </cell>
          <cell r="U304">
            <v>0</v>
          </cell>
          <cell r="V304">
            <v>79046</v>
          </cell>
          <cell r="W304">
            <v>796930</v>
          </cell>
        </row>
        <row r="305">
          <cell r="G305">
            <v>30485993</v>
          </cell>
          <cell r="H305" t="str">
            <v>A</v>
          </cell>
          <cell r="I305">
            <v>49677</v>
          </cell>
          <cell r="K305">
            <v>121481</v>
          </cell>
          <cell r="S305">
            <v>121481</v>
          </cell>
          <cell r="T305">
            <v>121481</v>
          </cell>
          <cell r="U305">
            <v>16202</v>
          </cell>
          <cell r="V305">
            <v>137683</v>
          </cell>
          <cell r="W305">
            <v>187360</v>
          </cell>
        </row>
        <row r="306">
          <cell r="G306">
            <v>30183822</v>
          </cell>
          <cell r="H306" t="str">
            <v>N</v>
          </cell>
          <cell r="I306">
            <v>209491</v>
          </cell>
          <cell r="J306">
            <v>1510</v>
          </cell>
          <cell r="K306">
            <v>9189</v>
          </cell>
          <cell r="N306">
            <v>70000</v>
          </cell>
          <cell r="O306">
            <v>15703</v>
          </cell>
          <cell r="S306">
            <v>96402</v>
          </cell>
          <cell r="T306">
            <v>96402</v>
          </cell>
          <cell r="U306">
            <v>1</v>
          </cell>
          <cell r="V306">
            <v>96403</v>
          </cell>
          <cell r="W306">
            <v>305894</v>
          </cell>
        </row>
        <row r="307">
          <cell r="G307">
            <v>30487902</v>
          </cell>
          <cell r="H307" t="str">
            <v>N</v>
          </cell>
          <cell r="I307">
            <v>235384</v>
          </cell>
          <cell r="K307">
            <v>6929</v>
          </cell>
          <cell r="N307">
            <v>26331</v>
          </cell>
          <cell r="S307">
            <v>33260</v>
          </cell>
          <cell r="T307">
            <v>33260</v>
          </cell>
          <cell r="U307">
            <v>0</v>
          </cell>
          <cell r="V307">
            <v>33260</v>
          </cell>
          <cell r="W307">
            <v>268644</v>
          </cell>
        </row>
        <row r="308">
          <cell r="G308">
            <v>40004178</v>
          </cell>
          <cell r="H308" t="str">
            <v>N</v>
          </cell>
          <cell r="I308">
            <v>285265</v>
          </cell>
          <cell r="J308">
            <v>1080</v>
          </cell>
          <cell r="K308">
            <v>6483</v>
          </cell>
          <cell r="N308">
            <v>23096</v>
          </cell>
          <cell r="S308">
            <v>30659</v>
          </cell>
          <cell r="T308">
            <v>30659</v>
          </cell>
          <cell r="U308">
            <v>0</v>
          </cell>
          <cell r="V308">
            <v>30659</v>
          </cell>
          <cell r="W308">
            <v>315924</v>
          </cell>
        </row>
        <row r="309">
          <cell r="G309">
            <v>40007873</v>
          </cell>
          <cell r="H309" t="str">
            <v>N</v>
          </cell>
          <cell r="I309">
            <v>0</v>
          </cell>
          <cell r="K309">
            <v>71006</v>
          </cell>
          <cell r="S309">
            <v>71006</v>
          </cell>
          <cell r="T309">
            <v>71006</v>
          </cell>
          <cell r="U309">
            <v>0</v>
          </cell>
          <cell r="V309">
            <v>71006</v>
          </cell>
          <cell r="W309">
            <v>71006</v>
          </cell>
        </row>
        <row r="310">
          <cell r="G310">
            <v>30316825</v>
          </cell>
          <cell r="H310" t="str">
            <v>A</v>
          </cell>
          <cell r="I310">
            <v>206087</v>
          </cell>
          <cell r="J310">
            <v>1350</v>
          </cell>
          <cell r="K310">
            <v>4701</v>
          </cell>
          <cell r="N310">
            <v>608956</v>
          </cell>
          <cell r="O310">
            <v>5216</v>
          </cell>
          <cell r="S310">
            <v>620223</v>
          </cell>
          <cell r="T310">
            <v>620223</v>
          </cell>
          <cell r="U310">
            <v>0</v>
          </cell>
          <cell r="V310">
            <v>620223</v>
          </cell>
          <cell r="W310">
            <v>826310</v>
          </cell>
        </row>
        <row r="311">
          <cell r="G311">
            <v>40005507</v>
          </cell>
          <cell r="H311" t="str">
            <v>N</v>
          </cell>
          <cell r="I311">
            <v>91</v>
          </cell>
          <cell r="K311">
            <v>53091</v>
          </cell>
          <cell r="S311">
            <v>53091</v>
          </cell>
          <cell r="T311">
            <v>53091</v>
          </cell>
          <cell r="U311">
            <v>63709</v>
          </cell>
          <cell r="V311">
            <v>116800</v>
          </cell>
          <cell r="W311">
            <v>116891</v>
          </cell>
        </row>
        <row r="312">
          <cell r="G312">
            <v>40002001</v>
          </cell>
          <cell r="H312" t="str">
            <v>A</v>
          </cell>
          <cell r="I312">
            <v>925124</v>
          </cell>
          <cell r="K312">
            <v>3159</v>
          </cell>
          <cell r="N312">
            <v>20000</v>
          </cell>
          <cell r="S312">
            <v>23159</v>
          </cell>
          <cell r="T312">
            <v>23159</v>
          </cell>
          <cell r="U312">
            <v>0</v>
          </cell>
          <cell r="V312">
            <v>23159</v>
          </cell>
          <cell r="W312">
            <v>948283</v>
          </cell>
        </row>
        <row r="313">
          <cell r="G313">
            <v>30469942</v>
          </cell>
          <cell r="H313" t="str">
            <v>A</v>
          </cell>
          <cell r="I313">
            <v>707693</v>
          </cell>
          <cell r="N313">
            <v>279387</v>
          </cell>
          <cell r="S313">
            <v>279387</v>
          </cell>
          <cell r="T313">
            <v>279387</v>
          </cell>
          <cell r="U313">
            <v>0</v>
          </cell>
          <cell r="V313">
            <v>279387</v>
          </cell>
          <cell r="W313">
            <v>987080</v>
          </cell>
        </row>
        <row r="314">
          <cell r="G314">
            <v>30137010</v>
          </cell>
          <cell r="H314" t="str">
            <v>A</v>
          </cell>
          <cell r="I314">
            <v>36298</v>
          </cell>
          <cell r="K314">
            <v>21200</v>
          </cell>
          <cell r="S314">
            <v>21200</v>
          </cell>
          <cell r="T314">
            <v>21200</v>
          </cell>
          <cell r="U314">
            <v>0</v>
          </cell>
          <cell r="V314">
            <v>21200</v>
          </cell>
          <cell r="W314">
            <v>57498</v>
          </cell>
        </row>
        <row r="315">
          <cell r="G315">
            <v>30198972</v>
          </cell>
          <cell r="H315" t="str">
            <v>A</v>
          </cell>
          <cell r="I315">
            <v>22980</v>
          </cell>
          <cell r="J315">
            <v>636</v>
          </cell>
          <cell r="K315">
            <v>49622</v>
          </cell>
          <cell r="S315">
            <v>50258</v>
          </cell>
          <cell r="T315">
            <v>50258</v>
          </cell>
          <cell r="U315">
            <v>0</v>
          </cell>
          <cell r="V315">
            <v>50258</v>
          </cell>
          <cell r="W315">
            <v>73238</v>
          </cell>
        </row>
        <row r="316">
          <cell r="G316">
            <v>30457722</v>
          </cell>
          <cell r="H316" t="str">
            <v>A</v>
          </cell>
          <cell r="I316">
            <v>74573</v>
          </cell>
          <cell r="K316">
            <v>185781</v>
          </cell>
          <cell r="S316">
            <v>185781</v>
          </cell>
          <cell r="T316">
            <v>185781</v>
          </cell>
          <cell r="U316">
            <v>0</v>
          </cell>
          <cell r="V316">
            <v>185781</v>
          </cell>
          <cell r="W316">
            <v>260354</v>
          </cell>
        </row>
        <row r="317">
          <cell r="G317">
            <v>30104269</v>
          </cell>
          <cell r="H317" t="str">
            <v>A</v>
          </cell>
          <cell r="I317">
            <v>47904</v>
          </cell>
          <cell r="K317">
            <v>6000</v>
          </cell>
          <cell r="S317">
            <v>6000</v>
          </cell>
          <cell r="T317">
            <v>6000</v>
          </cell>
          <cell r="U317">
            <v>0</v>
          </cell>
          <cell r="V317">
            <v>6000</v>
          </cell>
          <cell r="W317">
            <v>53904</v>
          </cell>
        </row>
        <row r="318">
          <cell r="G318">
            <v>40024102</v>
          </cell>
          <cell r="H318" t="str">
            <v>N</v>
          </cell>
          <cell r="I318">
            <v>0</v>
          </cell>
          <cell r="N318">
            <v>1</v>
          </cell>
          <cell r="S318">
            <v>1</v>
          </cell>
          <cell r="T318">
            <v>1</v>
          </cell>
          <cell r="U318">
            <v>2818505</v>
          </cell>
          <cell r="V318">
            <v>2818506</v>
          </cell>
          <cell r="W318">
            <v>2818506</v>
          </cell>
        </row>
        <row r="319">
          <cell r="G319">
            <v>40024079</v>
          </cell>
          <cell r="H319" t="str">
            <v>N</v>
          </cell>
          <cell r="I319">
            <v>0</v>
          </cell>
          <cell r="N319">
            <v>1</v>
          </cell>
          <cell r="S319">
            <v>1</v>
          </cell>
          <cell r="T319">
            <v>1</v>
          </cell>
          <cell r="U319">
            <v>2112923</v>
          </cell>
          <cell r="V319">
            <v>2112924</v>
          </cell>
          <cell r="W319">
            <v>2112924</v>
          </cell>
        </row>
        <row r="320">
          <cell r="G320">
            <v>30359925</v>
          </cell>
          <cell r="H320" t="str">
            <v>A</v>
          </cell>
          <cell r="I320">
            <v>0</v>
          </cell>
          <cell r="J320">
            <v>1081</v>
          </cell>
          <cell r="K320">
            <v>21611</v>
          </cell>
          <cell r="S320">
            <v>22692</v>
          </cell>
          <cell r="T320">
            <v>22692</v>
          </cell>
          <cell r="U320">
            <v>8681</v>
          </cell>
          <cell r="V320">
            <v>31373</v>
          </cell>
          <cell r="W320">
            <v>31373</v>
          </cell>
        </row>
        <row r="321">
          <cell r="G321">
            <v>40003050</v>
          </cell>
          <cell r="H321" t="str">
            <v>A</v>
          </cell>
          <cell r="I321">
            <v>0</v>
          </cell>
          <cell r="J321">
            <v>540</v>
          </cell>
          <cell r="K321">
            <v>2775</v>
          </cell>
          <cell r="N321">
            <v>83254</v>
          </cell>
          <cell r="S321">
            <v>86569</v>
          </cell>
          <cell r="T321">
            <v>86569</v>
          </cell>
          <cell r="U321">
            <v>485645</v>
          </cell>
          <cell r="V321">
            <v>572214</v>
          </cell>
          <cell r="W321">
            <v>572214</v>
          </cell>
        </row>
        <row r="322">
          <cell r="G322">
            <v>30194922</v>
          </cell>
          <cell r="H322" t="str">
            <v>A</v>
          </cell>
          <cell r="I322">
            <v>0</v>
          </cell>
          <cell r="K322">
            <v>60479</v>
          </cell>
          <cell r="S322">
            <v>60479</v>
          </cell>
          <cell r="T322">
            <v>60479</v>
          </cell>
          <cell r="U322">
            <v>0</v>
          </cell>
          <cell r="V322">
            <v>60479</v>
          </cell>
          <cell r="W322">
            <v>60479</v>
          </cell>
        </row>
        <row r="323">
          <cell r="G323">
            <v>30134190</v>
          </cell>
          <cell r="H323" t="str">
            <v>A</v>
          </cell>
          <cell r="I323">
            <v>104758</v>
          </cell>
          <cell r="J323">
            <v>5088</v>
          </cell>
          <cell r="K323">
            <v>98382</v>
          </cell>
          <cell r="S323">
            <v>103470</v>
          </cell>
          <cell r="T323">
            <v>103470</v>
          </cell>
          <cell r="U323">
            <v>0</v>
          </cell>
          <cell r="V323">
            <v>103470</v>
          </cell>
          <cell r="W323">
            <v>208228</v>
          </cell>
        </row>
        <row r="324">
          <cell r="G324">
            <v>30467188</v>
          </cell>
          <cell r="H324" t="str">
            <v>N</v>
          </cell>
          <cell r="I324">
            <v>0</v>
          </cell>
          <cell r="J324">
            <v>38059</v>
          </cell>
          <cell r="K324">
            <v>180213</v>
          </cell>
          <cell r="R324">
            <v>1</v>
          </cell>
          <cell r="S324">
            <v>218273</v>
          </cell>
          <cell r="T324">
            <v>218273</v>
          </cell>
          <cell r="U324">
            <v>0</v>
          </cell>
          <cell r="V324">
            <v>218273</v>
          </cell>
          <cell r="W324">
            <v>218273</v>
          </cell>
        </row>
        <row r="325">
          <cell r="S325">
            <v>0</v>
          </cell>
          <cell r="V325">
            <v>0</v>
          </cell>
          <cell r="W325">
            <v>0</v>
          </cell>
        </row>
        <row r="326">
          <cell r="S326">
            <v>0</v>
          </cell>
          <cell r="V326">
            <v>0</v>
          </cell>
          <cell r="W326">
            <v>0</v>
          </cell>
        </row>
        <row r="327">
          <cell r="S327">
            <v>0</v>
          </cell>
          <cell r="V327">
            <v>0</v>
          </cell>
          <cell r="W327">
            <v>0</v>
          </cell>
        </row>
        <row r="328">
          <cell r="S328">
            <v>0</v>
          </cell>
          <cell r="V328">
            <v>0</v>
          </cell>
          <cell r="W328">
            <v>0</v>
          </cell>
        </row>
        <row r="329">
          <cell r="S329">
            <v>0</v>
          </cell>
          <cell r="V329">
            <v>0</v>
          </cell>
          <cell r="W329">
            <v>0</v>
          </cell>
        </row>
        <row r="330">
          <cell r="S330">
            <v>0</v>
          </cell>
          <cell r="V330">
            <v>0</v>
          </cell>
          <cell r="W330">
            <v>0</v>
          </cell>
        </row>
        <row r="331">
          <cell r="S331">
            <v>0</v>
          </cell>
          <cell r="V331">
            <v>0</v>
          </cell>
          <cell r="W331">
            <v>0</v>
          </cell>
        </row>
        <row r="332">
          <cell r="S332">
            <v>0</v>
          </cell>
          <cell r="V332">
            <v>0</v>
          </cell>
          <cell r="W332">
            <v>0</v>
          </cell>
        </row>
        <row r="333">
          <cell r="S333">
            <v>0</v>
          </cell>
          <cell r="V333">
            <v>0</v>
          </cell>
          <cell r="W333">
            <v>0</v>
          </cell>
        </row>
        <row r="334">
          <cell r="S334">
            <v>0</v>
          </cell>
          <cell r="V334">
            <v>0</v>
          </cell>
          <cell r="W334">
            <v>0</v>
          </cell>
        </row>
        <row r="335">
          <cell r="S335">
            <v>0</v>
          </cell>
          <cell r="V335">
            <v>0</v>
          </cell>
          <cell r="W335">
            <v>0</v>
          </cell>
        </row>
        <row r="336">
          <cell r="S336">
            <v>0</v>
          </cell>
          <cell r="V336">
            <v>0</v>
          </cell>
          <cell r="W336">
            <v>0</v>
          </cell>
        </row>
        <row r="337">
          <cell r="S337">
            <v>0</v>
          </cell>
          <cell r="V337">
            <v>0</v>
          </cell>
          <cell r="W337">
            <v>0</v>
          </cell>
        </row>
        <row r="338">
          <cell r="S338">
            <v>0</v>
          </cell>
          <cell r="V338">
            <v>0</v>
          </cell>
          <cell r="W338">
            <v>0</v>
          </cell>
        </row>
        <row r="339">
          <cell r="S339">
            <v>0</v>
          </cell>
          <cell r="V339">
            <v>0</v>
          </cell>
          <cell r="W339">
            <v>0</v>
          </cell>
        </row>
        <row r="340">
          <cell r="S340">
            <v>0</v>
          </cell>
          <cell r="V340">
            <v>0</v>
          </cell>
          <cell r="W340">
            <v>0</v>
          </cell>
        </row>
        <row r="341">
          <cell r="S341">
            <v>0</v>
          </cell>
          <cell r="V341">
            <v>0</v>
          </cell>
          <cell r="W341">
            <v>0</v>
          </cell>
        </row>
        <row r="342">
          <cell r="S342">
            <v>0</v>
          </cell>
          <cell r="V342">
            <v>0</v>
          </cell>
          <cell r="W342">
            <v>0</v>
          </cell>
        </row>
        <row r="343">
          <cell r="S343">
            <v>0</v>
          </cell>
          <cell r="V343">
            <v>0</v>
          </cell>
          <cell r="W343">
            <v>0</v>
          </cell>
        </row>
        <row r="344">
          <cell r="S344">
            <v>0</v>
          </cell>
          <cell r="V344">
            <v>0</v>
          </cell>
          <cell r="W344">
            <v>0</v>
          </cell>
        </row>
        <row r="345">
          <cell r="S345">
            <v>0</v>
          </cell>
          <cell r="V345">
            <v>0</v>
          </cell>
          <cell r="W345">
            <v>0</v>
          </cell>
        </row>
        <row r="346">
          <cell r="S346">
            <v>0</v>
          </cell>
          <cell r="V346">
            <v>0</v>
          </cell>
          <cell r="W346">
            <v>0</v>
          </cell>
        </row>
        <row r="347">
          <cell r="S347">
            <v>0</v>
          </cell>
          <cell r="V347">
            <v>0</v>
          </cell>
          <cell r="W347">
            <v>0</v>
          </cell>
        </row>
        <row r="348">
          <cell r="S348">
            <v>0</v>
          </cell>
          <cell r="V348">
            <v>0</v>
          </cell>
          <cell r="W348">
            <v>0</v>
          </cell>
        </row>
        <row r="349">
          <cell r="S349">
            <v>0</v>
          </cell>
          <cell r="V349">
            <v>0</v>
          </cell>
          <cell r="W349">
            <v>0</v>
          </cell>
        </row>
        <row r="350">
          <cell r="S350">
            <v>0</v>
          </cell>
          <cell r="V350">
            <v>0</v>
          </cell>
          <cell r="W350">
            <v>0</v>
          </cell>
        </row>
        <row r="351">
          <cell r="S351">
            <v>0</v>
          </cell>
          <cell r="V351">
            <v>0</v>
          </cell>
          <cell r="W351">
            <v>0</v>
          </cell>
        </row>
        <row r="352">
          <cell r="S352">
            <v>0</v>
          </cell>
          <cell r="V352">
            <v>0</v>
          </cell>
          <cell r="W352">
            <v>0</v>
          </cell>
        </row>
        <row r="353">
          <cell r="S353">
            <v>0</v>
          </cell>
          <cell r="V353">
            <v>0</v>
          </cell>
          <cell r="W353">
            <v>0</v>
          </cell>
        </row>
        <row r="354">
          <cell r="S354">
            <v>0</v>
          </cell>
          <cell r="V354">
            <v>0</v>
          </cell>
          <cell r="W354">
            <v>0</v>
          </cell>
        </row>
        <row r="355">
          <cell r="S355">
            <v>0</v>
          </cell>
          <cell r="V355">
            <v>0</v>
          </cell>
          <cell r="W355">
            <v>0</v>
          </cell>
        </row>
        <row r="356">
          <cell r="S356">
            <v>0</v>
          </cell>
          <cell r="V356">
            <v>0</v>
          </cell>
          <cell r="W356">
            <v>0</v>
          </cell>
        </row>
        <row r="357">
          <cell r="S357">
            <v>0</v>
          </cell>
          <cell r="V357">
            <v>0</v>
          </cell>
          <cell r="W357">
            <v>0</v>
          </cell>
        </row>
        <row r="358">
          <cell r="S358">
            <v>0</v>
          </cell>
          <cell r="V358">
            <v>0</v>
          </cell>
          <cell r="W358">
            <v>0</v>
          </cell>
        </row>
        <row r="359">
          <cell r="S359">
            <v>0</v>
          </cell>
          <cell r="V359">
            <v>0</v>
          </cell>
          <cell r="W359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ÓN 31- V Región-2021"/>
      <sheetName val="DATOS DE LLENADO"/>
      <sheetName val="PARTIDAS"/>
      <sheetName val="CAPITULOS"/>
      <sheetName val="PROGRAMAS"/>
      <sheetName val="ASIGNACIONES"/>
      <sheetName val="ESTRUCTURA"/>
    </sheetNames>
    <sheetDataSet>
      <sheetData sheetId="0">
        <row r="35">
          <cell r="O35">
            <v>4</v>
          </cell>
          <cell r="P35">
            <v>573800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ÓN 31"/>
      <sheetName val="DATOS DE LLENADO"/>
      <sheetName val="PARTIDAS"/>
      <sheetName val="CAPITULOS"/>
      <sheetName val="PROGRAMAS"/>
      <sheetName val="ASIGNACIONES"/>
      <sheetName val="ESTRUCTURA"/>
    </sheetNames>
    <sheetDataSet>
      <sheetData sheetId="0">
        <row r="11">
          <cell r="O11">
            <v>2</v>
          </cell>
          <cell r="P11">
            <v>138976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J1127"/>
  <sheetViews>
    <sheetView topLeftCell="A9" zoomScale="95" zoomScaleNormal="95" workbookViewId="0">
      <selection activeCell="B9" sqref="B9:AD10"/>
    </sheetView>
  </sheetViews>
  <sheetFormatPr baseColWidth="10" defaultRowHeight="11.25"/>
  <cols>
    <col min="1" max="1" width="5" style="123" customWidth="1"/>
    <col min="2" max="2" width="11.7109375" style="86" customWidth="1"/>
    <col min="3" max="3" width="11.28515625" style="83" bestFit="1" customWidth="1"/>
    <col min="4" max="4" width="12" style="86" customWidth="1"/>
    <col min="5" max="5" width="40" style="83" customWidth="1"/>
    <col min="6" max="6" width="13.140625" style="83" customWidth="1"/>
    <col min="7" max="7" width="11.28515625" style="83" customWidth="1"/>
    <col min="8" max="8" width="11.85546875" style="83" bestFit="1" customWidth="1"/>
    <col min="9" max="9" width="6.5703125" style="83" customWidth="1"/>
    <col min="10" max="10" width="9.7109375" style="83" customWidth="1"/>
    <col min="11" max="13" width="12" style="83" customWidth="1"/>
    <col min="14" max="14" width="12.140625" style="83" customWidth="1"/>
    <col min="15" max="24" width="12" style="83" customWidth="1"/>
    <col min="25" max="25" width="13.42578125" style="83" customWidth="1"/>
    <col min="26" max="26" width="11.5703125" style="83" customWidth="1"/>
    <col min="27" max="27" width="10.140625" style="60" customWidth="1"/>
    <col min="28" max="30" width="10.140625" style="83" customWidth="1"/>
    <col min="31" max="31" width="10.140625" style="84" customWidth="1"/>
    <col min="32" max="34" width="10.140625" style="83" customWidth="1"/>
    <col min="35" max="35" width="10.140625" style="60" customWidth="1"/>
    <col min="36" max="38" width="10.140625" style="83" customWidth="1"/>
    <col min="39" max="39" width="10.140625" style="60" customWidth="1"/>
    <col min="40" max="42" width="10.140625" style="83" customWidth="1"/>
    <col min="43" max="43" width="10.140625" style="60" customWidth="1"/>
    <col min="44" max="61" width="10.140625" style="83" customWidth="1"/>
    <col min="62" max="62" width="11.42578125" style="83"/>
    <col min="63" max="63" width="12.140625" style="83" customWidth="1"/>
    <col min="64" max="166" width="11.42578125" style="123"/>
    <col min="167" max="16384" width="11.42578125" style="83"/>
  </cols>
  <sheetData>
    <row r="1" spans="1:166" hidden="1">
      <c r="B1" s="738"/>
      <c r="C1" s="738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739"/>
      <c r="AB1" s="739"/>
      <c r="AC1" s="739"/>
      <c r="AD1" s="80"/>
      <c r="AE1" s="127"/>
      <c r="AF1" s="128"/>
      <c r="AG1" s="128"/>
      <c r="AH1" s="128"/>
      <c r="AI1" s="129"/>
      <c r="AJ1" s="128"/>
      <c r="AK1" s="128"/>
      <c r="AL1" s="128"/>
      <c r="AM1" s="129"/>
      <c r="AN1" s="128"/>
      <c r="AO1" s="128"/>
      <c r="AP1" s="128"/>
      <c r="AQ1" s="129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3"/>
      <c r="BK1" s="123"/>
    </row>
    <row r="2" spans="1:166" hidden="1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80"/>
      <c r="AE2" s="127"/>
      <c r="AF2" s="128"/>
      <c r="AG2" s="128"/>
      <c r="AH2" s="128"/>
      <c r="AI2" s="129"/>
      <c r="AJ2" s="128"/>
      <c r="AK2" s="128"/>
      <c r="AL2" s="128"/>
      <c r="AM2" s="129"/>
      <c r="AN2" s="128"/>
      <c r="AO2" s="128"/>
      <c r="AP2" s="128"/>
      <c r="AQ2" s="129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3"/>
      <c r="BK2" s="123"/>
    </row>
    <row r="3" spans="1:166" ht="12.75" hidden="1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1"/>
      <c r="AE3" s="62"/>
      <c r="AF3" s="61"/>
      <c r="AG3" s="61"/>
      <c r="AH3" s="61"/>
      <c r="AI3" s="63"/>
      <c r="AJ3" s="61"/>
      <c r="AK3" s="61"/>
      <c r="AL3" s="61"/>
      <c r="AM3" s="63"/>
      <c r="AN3" s="61"/>
      <c r="AO3" s="61"/>
      <c r="AP3" s="61"/>
      <c r="AQ3" s="63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123"/>
      <c r="BK3" s="123"/>
    </row>
    <row r="4" spans="1:166" ht="21.75" hidden="1" customHeight="1"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1"/>
      <c r="AE4" s="62"/>
      <c r="AF4" s="61"/>
      <c r="AG4" s="61"/>
      <c r="AH4" s="61"/>
      <c r="AI4" s="63"/>
      <c r="AJ4" s="61"/>
      <c r="AK4" s="61"/>
      <c r="AL4" s="61"/>
      <c r="AM4" s="63"/>
      <c r="AN4" s="61"/>
      <c r="AO4" s="61"/>
      <c r="AP4" s="61"/>
      <c r="AQ4" s="63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123"/>
      <c r="BK4" s="123"/>
    </row>
    <row r="5" spans="1:166" ht="11.25" hidden="1" customHeight="1"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1"/>
      <c r="AE5" s="62"/>
      <c r="AF5" s="61"/>
      <c r="AG5" s="61"/>
      <c r="AH5" s="61"/>
      <c r="AI5" s="63"/>
      <c r="AJ5" s="61"/>
      <c r="AK5" s="61"/>
      <c r="AL5" s="61"/>
      <c r="AM5" s="63"/>
      <c r="AN5" s="61"/>
      <c r="AO5" s="61"/>
      <c r="AP5" s="61"/>
      <c r="AQ5" s="63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123"/>
      <c r="BK5" s="123"/>
    </row>
    <row r="6" spans="1:166" ht="15" hidden="1" customHeight="1"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1"/>
      <c r="AE6" s="62"/>
      <c r="AF6" s="61"/>
      <c r="AG6" s="61"/>
      <c r="AH6" s="61"/>
      <c r="AI6" s="63"/>
      <c r="AJ6" s="61"/>
      <c r="AK6" s="61"/>
      <c r="AL6" s="61"/>
      <c r="AM6" s="63"/>
      <c r="AN6" s="61"/>
      <c r="AO6" s="61"/>
      <c r="AP6" s="61"/>
      <c r="AQ6" s="63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123"/>
      <c r="BK6" s="123"/>
    </row>
    <row r="7" spans="1:166" ht="21" hidden="1" customHeight="1"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1"/>
      <c r="AE7" s="62"/>
      <c r="AF7" s="61"/>
      <c r="AG7" s="61"/>
      <c r="AH7" s="61"/>
      <c r="AI7" s="63"/>
      <c r="AJ7" s="61"/>
      <c r="AK7" s="61"/>
      <c r="AL7" s="61"/>
      <c r="AM7" s="63"/>
      <c r="AN7" s="61"/>
      <c r="AO7" s="61"/>
      <c r="AP7" s="61"/>
      <c r="AQ7" s="63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123"/>
      <c r="BK7" s="123"/>
    </row>
    <row r="8" spans="1:166" ht="16.5" hidden="1" customHeight="1"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1"/>
      <c r="AE8" s="62"/>
      <c r="AF8" s="61"/>
      <c r="AG8" s="61"/>
      <c r="AH8" s="61"/>
      <c r="AI8" s="63"/>
      <c r="AJ8" s="61"/>
      <c r="AK8" s="61"/>
      <c r="AL8" s="61"/>
      <c r="AM8" s="63"/>
      <c r="AN8" s="61"/>
      <c r="AO8" s="61"/>
      <c r="AP8" s="61"/>
      <c r="AQ8" s="63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123"/>
      <c r="BK8" s="123"/>
    </row>
    <row r="9" spans="1:166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4"/>
      <c r="L9" s="734"/>
      <c r="M9" s="734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5"/>
      <c r="AD9" s="733"/>
      <c r="AE9" s="62"/>
      <c r="AF9" s="61"/>
      <c r="AG9" s="61"/>
      <c r="AH9" s="61"/>
      <c r="AI9" s="63"/>
      <c r="AJ9" s="61"/>
      <c r="AK9" s="61"/>
      <c r="AL9" s="61"/>
      <c r="AM9" s="63"/>
      <c r="AN9" s="61"/>
      <c r="AO9" s="61"/>
      <c r="AP9" s="61"/>
      <c r="AQ9" s="63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123"/>
      <c r="BK9" s="123"/>
    </row>
    <row r="10" spans="1:166" ht="11.25" customHeight="1">
      <c r="B10" s="733"/>
      <c r="C10" s="733"/>
      <c r="D10" s="733"/>
      <c r="E10" s="733"/>
      <c r="F10" s="733"/>
      <c r="G10" s="733"/>
      <c r="H10" s="733"/>
      <c r="I10" s="733"/>
      <c r="J10" s="733"/>
      <c r="K10" s="734"/>
      <c r="L10" s="734"/>
      <c r="M10" s="734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5"/>
      <c r="AD10" s="733"/>
      <c r="AE10" s="124"/>
      <c r="AF10" s="123"/>
      <c r="AG10" s="123"/>
      <c r="AH10" s="123"/>
      <c r="AI10" s="74"/>
      <c r="AJ10" s="123"/>
      <c r="AK10" s="123"/>
      <c r="AL10" s="123"/>
      <c r="AM10" s="74"/>
      <c r="AN10" s="123"/>
      <c r="AO10" s="123"/>
      <c r="AP10" s="123"/>
      <c r="AQ10" s="74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</row>
    <row r="11" spans="1:166" s="123" customFormat="1" ht="18.75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122"/>
      <c r="Z11" s="65"/>
      <c r="AA11" s="65"/>
      <c r="AB11" s="65"/>
      <c r="AC11" s="65"/>
      <c r="AE11" s="124"/>
      <c r="AI11" s="74"/>
      <c r="AM11" s="74"/>
      <c r="AQ11" s="74"/>
    </row>
    <row r="12" spans="1:166" ht="26.25" customHeight="1">
      <c r="B12" s="4" t="s">
        <v>1</v>
      </c>
      <c r="C12" s="4" t="s">
        <v>2</v>
      </c>
      <c r="D12" s="5" t="s">
        <v>3</v>
      </c>
      <c r="E12" s="6" t="s">
        <v>4</v>
      </c>
      <c r="F12" s="85"/>
      <c r="G12" s="65"/>
      <c r="H12" s="65"/>
      <c r="I12" s="8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123"/>
      <c r="AE12" s="124"/>
      <c r="AF12" s="123"/>
      <c r="AG12" s="123"/>
      <c r="AH12" s="123"/>
      <c r="AI12" s="74"/>
      <c r="AJ12" s="123"/>
      <c r="AK12" s="123"/>
      <c r="AL12" s="123"/>
      <c r="AM12" s="74"/>
      <c r="AN12" s="123"/>
      <c r="AO12" s="123"/>
      <c r="AP12" s="123"/>
      <c r="AQ12" s="7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</row>
    <row r="13" spans="1:166" ht="18.75">
      <c r="B13" s="8">
        <v>26230500</v>
      </c>
      <c r="C13" s="8">
        <v>19545282</v>
      </c>
      <c r="D13" s="8">
        <v>23488744</v>
      </c>
      <c r="E13" s="8">
        <f>+Y90</f>
        <v>3907569</v>
      </c>
      <c r="F13" s="126"/>
      <c r="G13" s="65"/>
      <c r="H13" s="65"/>
      <c r="I13" s="126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123"/>
      <c r="AE13" s="124"/>
      <c r="AF13" s="123"/>
      <c r="AG13" s="123"/>
      <c r="AH13" s="123"/>
      <c r="AI13" s="74"/>
      <c r="AJ13" s="123"/>
      <c r="AK13" s="123"/>
      <c r="AL13" s="123"/>
      <c r="AM13" s="74"/>
      <c r="AN13" s="123"/>
      <c r="AO13" s="123"/>
      <c r="AP13" s="123"/>
      <c r="AQ13" s="7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</row>
    <row r="14" spans="1:166" ht="15" customHeight="1">
      <c r="B14" s="125"/>
      <c r="C14" s="68"/>
      <c r="D14" s="69"/>
      <c r="E14" s="68"/>
      <c r="F14" s="68"/>
      <c r="G14" s="123"/>
      <c r="H14" s="123"/>
      <c r="I14" s="68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736" t="s">
        <v>5</v>
      </c>
      <c r="AA14" s="737"/>
      <c r="AB14" s="737"/>
      <c r="AC14" s="737"/>
      <c r="AD14" s="728" t="s">
        <v>6</v>
      </c>
      <c r="AE14" s="729"/>
      <c r="AF14" s="729"/>
      <c r="AG14" s="729"/>
      <c r="AH14" s="728" t="s">
        <v>6</v>
      </c>
      <c r="AI14" s="729"/>
      <c r="AJ14" s="729"/>
      <c r="AK14" s="729"/>
      <c r="AL14" s="728" t="s">
        <v>6</v>
      </c>
      <c r="AM14" s="729"/>
      <c r="AN14" s="729"/>
      <c r="AO14" s="729"/>
      <c r="AP14" s="728" t="s">
        <v>6</v>
      </c>
      <c r="AQ14" s="729"/>
      <c r="AR14" s="729"/>
      <c r="AS14" s="729"/>
      <c r="AT14" s="728" t="s">
        <v>6</v>
      </c>
      <c r="AU14" s="729"/>
      <c r="AV14" s="729"/>
      <c r="AW14" s="729"/>
      <c r="AX14" s="728" t="s">
        <v>6</v>
      </c>
      <c r="AY14" s="729"/>
      <c r="AZ14" s="729"/>
      <c r="BA14" s="729"/>
      <c r="BB14" s="728" t="s">
        <v>6</v>
      </c>
      <c r="BC14" s="729"/>
      <c r="BD14" s="729"/>
      <c r="BE14" s="729"/>
      <c r="BF14" s="728" t="s">
        <v>6</v>
      </c>
      <c r="BG14" s="729"/>
      <c r="BH14" s="729"/>
      <c r="BI14" s="729"/>
      <c r="BJ14" s="730" t="s">
        <v>7</v>
      </c>
      <c r="BK14" s="731"/>
    </row>
    <row r="15" spans="1:166" s="96" customFormat="1" ht="55.5" customHeight="1">
      <c r="A15" s="39"/>
      <c r="B15" s="87" t="s">
        <v>8</v>
      </c>
      <c r="C15" s="87" t="s">
        <v>9</v>
      </c>
      <c r="D15" s="87" t="s">
        <v>10</v>
      </c>
      <c r="E15" s="6" t="s">
        <v>11</v>
      </c>
      <c r="F15" s="6" t="s">
        <v>12</v>
      </c>
      <c r="G15" s="6" t="s">
        <v>13</v>
      </c>
      <c r="H15" s="6" t="s">
        <v>14</v>
      </c>
      <c r="I15" s="6" t="s">
        <v>12</v>
      </c>
      <c r="J15" s="6" t="s">
        <v>16</v>
      </c>
      <c r="K15" s="6" t="s">
        <v>17</v>
      </c>
      <c r="L15" s="6" t="s">
        <v>18</v>
      </c>
      <c r="M15" s="88" t="s">
        <v>19</v>
      </c>
      <c r="N15" s="88" t="s">
        <v>20</v>
      </c>
      <c r="O15" s="88" t="s">
        <v>21</v>
      </c>
      <c r="P15" s="88" t="s">
        <v>22</v>
      </c>
      <c r="Q15" s="88" t="s">
        <v>23</v>
      </c>
      <c r="R15" s="89" t="s">
        <v>24</v>
      </c>
      <c r="S15" s="89" t="s">
        <v>25</v>
      </c>
      <c r="T15" s="89" t="s">
        <v>26</v>
      </c>
      <c r="U15" s="89" t="s">
        <v>27</v>
      </c>
      <c r="V15" s="89" t="s">
        <v>28</v>
      </c>
      <c r="W15" s="89" t="s">
        <v>29</v>
      </c>
      <c r="X15" s="89" t="s">
        <v>30</v>
      </c>
      <c r="Y15" s="130" t="s">
        <v>31</v>
      </c>
      <c r="Z15" s="92" t="s">
        <v>32</v>
      </c>
      <c r="AA15" s="91" t="s">
        <v>33</v>
      </c>
      <c r="AB15" s="92" t="s">
        <v>34</v>
      </c>
      <c r="AC15" s="92" t="s">
        <v>35</v>
      </c>
      <c r="AD15" s="94" t="s">
        <v>36</v>
      </c>
      <c r="AE15" s="93" t="s">
        <v>33</v>
      </c>
      <c r="AF15" s="94" t="s">
        <v>34</v>
      </c>
      <c r="AG15" s="94" t="s">
        <v>35</v>
      </c>
      <c r="AH15" s="94" t="s">
        <v>36</v>
      </c>
      <c r="AI15" s="93" t="s">
        <v>33</v>
      </c>
      <c r="AJ15" s="94" t="s">
        <v>34</v>
      </c>
      <c r="AK15" s="94" t="s">
        <v>35</v>
      </c>
      <c r="AL15" s="94" t="s">
        <v>36</v>
      </c>
      <c r="AM15" s="93" t="s">
        <v>33</v>
      </c>
      <c r="AN15" s="94" t="s">
        <v>34</v>
      </c>
      <c r="AO15" s="94" t="s">
        <v>35</v>
      </c>
      <c r="AP15" s="94" t="s">
        <v>36</v>
      </c>
      <c r="AQ15" s="93" t="s">
        <v>33</v>
      </c>
      <c r="AR15" s="94" t="s">
        <v>34</v>
      </c>
      <c r="AS15" s="94" t="s">
        <v>35</v>
      </c>
      <c r="AT15" s="94" t="s">
        <v>36</v>
      </c>
      <c r="AU15" s="93" t="s">
        <v>33</v>
      </c>
      <c r="AV15" s="94" t="s">
        <v>34</v>
      </c>
      <c r="AW15" s="94" t="s">
        <v>35</v>
      </c>
      <c r="AX15" s="94" t="s">
        <v>36</v>
      </c>
      <c r="AY15" s="93" t="s">
        <v>33</v>
      </c>
      <c r="AZ15" s="94" t="s">
        <v>34</v>
      </c>
      <c r="BA15" s="94" t="s">
        <v>35</v>
      </c>
      <c r="BB15" s="94" t="s">
        <v>36</v>
      </c>
      <c r="BC15" s="93" t="s">
        <v>33</v>
      </c>
      <c r="BD15" s="94" t="s">
        <v>34</v>
      </c>
      <c r="BE15" s="94" t="s">
        <v>35</v>
      </c>
      <c r="BF15" s="94" t="s">
        <v>36</v>
      </c>
      <c r="BG15" s="93" t="s">
        <v>33</v>
      </c>
      <c r="BH15" s="94" t="s">
        <v>34</v>
      </c>
      <c r="BI15" s="94" t="s">
        <v>35</v>
      </c>
      <c r="BJ15" s="95" t="s">
        <v>37</v>
      </c>
      <c r="BK15" s="95" t="s">
        <v>38</v>
      </c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</row>
    <row r="16" spans="1:166" s="39" customFormat="1" ht="22.5" customHeight="1">
      <c r="B16" s="97">
        <v>1</v>
      </c>
      <c r="C16" s="97" t="s">
        <v>65</v>
      </c>
      <c r="D16" s="98">
        <v>30077611</v>
      </c>
      <c r="E16" s="99" t="s">
        <v>145</v>
      </c>
      <c r="F16" s="100" t="s">
        <v>146</v>
      </c>
      <c r="G16" s="27" t="s">
        <v>147</v>
      </c>
      <c r="H16" s="26" t="s">
        <v>148</v>
      </c>
      <c r="I16" s="49" t="s">
        <v>44</v>
      </c>
      <c r="J16" s="34">
        <v>744539</v>
      </c>
      <c r="K16" s="34">
        <v>436816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1">
        <f>SUM(M16:X16)</f>
        <v>0</v>
      </c>
      <c r="Z16" s="31">
        <v>36000</v>
      </c>
      <c r="AA16" s="32">
        <v>5</v>
      </c>
      <c r="AB16" s="33">
        <v>44229</v>
      </c>
      <c r="AC16" s="33">
        <v>44246</v>
      </c>
      <c r="AD16" s="31">
        <v>159951</v>
      </c>
      <c r="AE16" s="35">
        <v>19</v>
      </c>
      <c r="AF16" s="33">
        <v>44274</v>
      </c>
      <c r="AG16" s="33">
        <v>44298</v>
      </c>
      <c r="AH16" s="31">
        <v>-103926</v>
      </c>
      <c r="AI16" s="32">
        <v>48</v>
      </c>
      <c r="AJ16" s="33">
        <v>44390</v>
      </c>
      <c r="AK16" s="131">
        <v>44407</v>
      </c>
      <c r="AL16" s="31"/>
      <c r="AM16" s="32"/>
      <c r="AN16" s="27"/>
      <c r="AO16" s="36"/>
      <c r="AP16" s="31"/>
      <c r="AQ16" s="32"/>
      <c r="AR16" s="27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7">
        <f>+Z16+AD16+AH16+AL16+AP16+AT16+AX16+BB16+BF16</f>
        <v>92025</v>
      </c>
      <c r="BK16" s="38">
        <f t="shared" ref="BK16:BK80" si="0">+BJ16-Y16</f>
        <v>92025</v>
      </c>
    </row>
    <row r="17" spans="2:63" s="39" customFormat="1" ht="22.5">
      <c r="B17" s="97">
        <v>2</v>
      </c>
      <c r="C17" s="97" t="s">
        <v>65</v>
      </c>
      <c r="D17" s="98">
        <v>40007344</v>
      </c>
      <c r="E17" s="99" t="s">
        <v>149</v>
      </c>
      <c r="F17" s="100" t="s">
        <v>146</v>
      </c>
      <c r="G17" s="27" t="s">
        <v>147</v>
      </c>
      <c r="H17" s="26" t="s">
        <v>150</v>
      </c>
      <c r="I17" s="49" t="s">
        <v>52</v>
      </c>
      <c r="J17" s="34">
        <v>158749</v>
      </c>
      <c r="K17" s="34">
        <v>67491</v>
      </c>
      <c r="L17" s="34">
        <v>0</v>
      </c>
      <c r="M17" s="34">
        <v>0</v>
      </c>
      <c r="N17" s="34">
        <v>0</v>
      </c>
      <c r="O17" s="34">
        <v>0</v>
      </c>
      <c r="P17" s="34">
        <v>42190</v>
      </c>
      <c r="Q17" s="34">
        <v>0</v>
      </c>
      <c r="R17" s="34">
        <v>0</v>
      </c>
      <c r="S17" s="34">
        <v>21395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1">
        <f t="shared" ref="Y17:Y89" si="1">SUM(M17:X17)</f>
        <v>63585</v>
      </c>
      <c r="Z17" s="31">
        <v>40930</v>
      </c>
      <c r="AA17" s="32">
        <v>5</v>
      </c>
      <c r="AB17" s="33">
        <v>44229</v>
      </c>
      <c r="AC17" s="33">
        <v>44246</v>
      </c>
      <c r="AD17" s="31">
        <v>22656</v>
      </c>
      <c r="AE17" s="35">
        <v>19</v>
      </c>
      <c r="AF17" s="33">
        <v>44274</v>
      </c>
      <c r="AG17" s="33">
        <v>44298</v>
      </c>
      <c r="AH17" s="31"/>
      <c r="AI17" s="32"/>
      <c r="AJ17" s="27"/>
      <c r="AK17" s="36"/>
      <c r="AL17" s="31"/>
      <c r="AM17" s="32"/>
      <c r="AN17" s="27"/>
      <c r="AO17" s="36"/>
      <c r="AP17" s="31"/>
      <c r="AQ17" s="32"/>
      <c r="AR17" s="27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7">
        <f t="shared" ref="BJ17:BJ80" si="2">+Z17+AD17+AH17+AL17+AP17+AT17+AX17+BB17+BF17</f>
        <v>63586</v>
      </c>
      <c r="BK17" s="38">
        <f t="shared" si="0"/>
        <v>1</v>
      </c>
    </row>
    <row r="18" spans="2:63" s="39" customFormat="1" ht="24">
      <c r="B18" s="97">
        <v>3</v>
      </c>
      <c r="C18" s="97" t="s">
        <v>39</v>
      </c>
      <c r="D18" s="102">
        <v>30440181</v>
      </c>
      <c r="E18" s="103" t="s">
        <v>151</v>
      </c>
      <c r="F18" s="100" t="s">
        <v>146</v>
      </c>
      <c r="G18" s="27" t="s">
        <v>147</v>
      </c>
      <c r="H18" s="26" t="s">
        <v>152</v>
      </c>
      <c r="I18" s="49" t="s">
        <v>44</v>
      </c>
      <c r="J18" s="34">
        <v>6637574</v>
      </c>
      <c r="K18" s="34">
        <v>6440789</v>
      </c>
      <c r="L18" s="34">
        <v>0</v>
      </c>
      <c r="M18" s="34">
        <v>0</v>
      </c>
      <c r="N18" s="34">
        <v>0</v>
      </c>
      <c r="O18" s="34">
        <v>1505</v>
      </c>
      <c r="P18" s="34">
        <v>7161</v>
      </c>
      <c r="Q18" s="34">
        <v>0</v>
      </c>
      <c r="R18" s="34">
        <v>0</v>
      </c>
      <c r="S18" s="34">
        <v>27177</v>
      </c>
      <c r="T18" s="34">
        <v>1100</v>
      </c>
      <c r="U18" s="34">
        <v>13233</v>
      </c>
      <c r="V18" s="34">
        <v>0</v>
      </c>
      <c r="W18" s="34">
        <v>0</v>
      </c>
      <c r="X18" s="34">
        <v>0</v>
      </c>
      <c r="Y18" s="31">
        <f t="shared" si="1"/>
        <v>50176</v>
      </c>
      <c r="Z18" s="31">
        <v>173918</v>
      </c>
      <c r="AA18" s="32">
        <v>5</v>
      </c>
      <c r="AB18" s="33">
        <v>44229</v>
      </c>
      <c r="AC18" s="33">
        <v>44246</v>
      </c>
      <c r="AD18" s="132"/>
      <c r="AE18" s="35"/>
      <c r="AF18" s="33"/>
      <c r="AG18" s="33"/>
      <c r="AH18" s="132"/>
      <c r="AI18" s="32"/>
      <c r="AJ18" s="33"/>
      <c r="AK18" s="36"/>
      <c r="AL18" s="132"/>
      <c r="AM18" s="32"/>
      <c r="AN18" s="33"/>
      <c r="AO18" s="36"/>
      <c r="AP18" s="132"/>
      <c r="AQ18" s="32"/>
      <c r="AR18" s="33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7">
        <f t="shared" si="2"/>
        <v>173918</v>
      </c>
      <c r="BK18" s="38">
        <f t="shared" si="0"/>
        <v>123742</v>
      </c>
    </row>
    <row r="19" spans="2:63" s="39" customFormat="1" ht="24">
      <c r="B19" s="97">
        <v>4</v>
      </c>
      <c r="C19" s="97" t="s">
        <v>39</v>
      </c>
      <c r="D19" s="102">
        <v>30463053</v>
      </c>
      <c r="E19" s="103" t="s">
        <v>153</v>
      </c>
      <c r="F19" s="100" t="s">
        <v>146</v>
      </c>
      <c r="G19" s="27" t="s">
        <v>147</v>
      </c>
      <c r="H19" s="26" t="s">
        <v>148</v>
      </c>
      <c r="I19" s="49" t="s">
        <v>44</v>
      </c>
      <c r="J19" s="34">
        <v>3439969</v>
      </c>
      <c r="K19" s="34">
        <v>3152218</v>
      </c>
      <c r="L19" s="34">
        <v>0</v>
      </c>
      <c r="M19" s="34">
        <v>0</v>
      </c>
      <c r="N19" s="34">
        <v>8222</v>
      </c>
      <c r="O19" s="34">
        <v>2000</v>
      </c>
      <c r="P19" s="34">
        <v>12719</v>
      </c>
      <c r="Q19" s="34">
        <v>15466</v>
      </c>
      <c r="R19" s="34">
        <v>2000</v>
      </c>
      <c r="S19" s="34">
        <v>488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1">
        <f t="shared" si="1"/>
        <v>40895</v>
      </c>
      <c r="Z19" s="31">
        <v>273850</v>
      </c>
      <c r="AA19" s="32">
        <v>5</v>
      </c>
      <c r="AB19" s="33">
        <v>44229</v>
      </c>
      <c r="AC19" s="33">
        <v>44246</v>
      </c>
      <c r="AD19" s="31">
        <v>489</v>
      </c>
      <c r="AE19" s="32">
        <v>37</v>
      </c>
      <c r="AF19" s="33">
        <v>44344</v>
      </c>
      <c r="AG19" s="33">
        <v>44354</v>
      </c>
      <c r="AH19" s="34"/>
      <c r="AI19" s="32"/>
      <c r="AJ19" s="33"/>
      <c r="AK19" s="36"/>
      <c r="AL19" s="34"/>
      <c r="AM19" s="32"/>
      <c r="AN19" s="33"/>
      <c r="AO19" s="36"/>
      <c r="AP19" s="34"/>
      <c r="AQ19" s="32"/>
      <c r="AR19" s="33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7">
        <f t="shared" si="2"/>
        <v>274339</v>
      </c>
      <c r="BK19" s="38">
        <f t="shared" si="0"/>
        <v>233444</v>
      </c>
    </row>
    <row r="20" spans="2:63" s="39" customFormat="1" ht="24">
      <c r="B20" s="97">
        <v>5</v>
      </c>
      <c r="C20" s="97" t="s">
        <v>39</v>
      </c>
      <c r="D20" s="102">
        <v>30096888</v>
      </c>
      <c r="E20" s="103" t="s">
        <v>154</v>
      </c>
      <c r="F20" s="100" t="s">
        <v>146</v>
      </c>
      <c r="G20" s="27" t="s">
        <v>147</v>
      </c>
      <c r="H20" s="26" t="s">
        <v>155</v>
      </c>
      <c r="I20" s="49" t="s">
        <v>44</v>
      </c>
      <c r="J20" s="34">
        <v>5533765</v>
      </c>
      <c r="K20" s="34">
        <v>4598333</v>
      </c>
      <c r="L20" s="34">
        <v>0</v>
      </c>
      <c r="M20" s="34">
        <v>0</v>
      </c>
      <c r="N20" s="34">
        <v>120087</v>
      </c>
      <c r="O20" s="34">
        <v>161897</v>
      </c>
      <c r="P20" s="34">
        <v>67067</v>
      </c>
      <c r="Q20" s="34">
        <v>125914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1">
        <f t="shared" si="1"/>
        <v>474965</v>
      </c>
      <c r="Z20" s="31">
        <v>491833</v>
      </c>
      <c r="AA20" s="32">
        <v>5</v>
      </c>
      <c r="AB20" s="33">
        <v>44229</v>
      </c>
      <c r="AC20" s="33">
        <v>44246</v>
      </c>
      <c r="AD20" s="31">
        <v>1</v>
      </c>
      <c r="AE20" s="32">
        <v>37</v>
      </c>
      <c r="AF20" s="33">
        <v>44344</v>
      </c>
      <c r="AG20" s="33">
        <v>44354</v>
      </c>
      <c r="AH20" s="34">
        <v>443599</v>
      </c>
      <c r="AI20" s="32">
        <v>47</v>
      </c>
      <c r="AJ20" s="33">
        <v>44390</v>
      </c>
      <c r="AK20" s="33">
        <v>44407</v>
      </c>
      <c r="AL20" s="34"/>
      <c r="AM20" s="32"/>
      <c r="AN20" s="33"/>
      <c r="AO20" s="36"/>
      <c r="AP20" s="34"/>
      <c r="AQ20" s="32"/>
      <c r="AR20" s="33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7">
        <f t="shared" si="2"/>
        <v>935433</v>
      </c>
      <c r="BK20" s="38">
        <f t="shared" si="0"/>
        <v>460468</v>
      </c>
    </row>
    <row r="21" spans="2:63" s="39" customFormat="1" ht="24">
      <c r="B21" s="97">
        <v>6</v>
      </c>
      <c r="C21" s="97" t="s">
        <v>39</v>
      </c>
      <c r="D21" s="102">
        <v>30345873</v>
      </c>
      <c r="E21" s="103" t="s">
        <v>156</v>
      </c>
      <c r="F21" s="100" t="s">
        <v>146</v>
      </c>
      <c r="G21" s="27" t="s">
        <v>147</v>
      </c>
      <c r="H21" s="26" t="s">
        <v>148</v>
      </c>
      <c r="I21" s="49" t="s">
        <v>44</v>
      </c>
      <c r="J21" s="34">
        <v>3238007</v>
      </c>
      <c r="K21" s="34">
        <v>3133903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1">
        <f t="shared" si="1"/>
        <v>0</v>
      </c>
      <c r="Z21" s="31">
        <v>101813</v>
      </c>
      <c r="AA21" s="32">
        <v>5</v>
      </c>
      <c r="AB21" s="33">
        <v>44229</v>
      </c>
      <c r="AC21" s="33">
        <v>44246</v>
      </c>
      <c r="AD21" s="31">
        <v>-101812</v>
      </c>
      <c r="AE21" s="35">
        <v>9</v>
      </c>
      <c r="AF21" s="33">
        <v>44238</v>
      </c>
      <c r="AG21" s="33">
        <v>44259</v>
      </c>
      <c r="AH21" s="34"/>
      <c r="AI21" s="32"/>
      <c r="AJ21" s="33"/>
      <c r="AK21" s="36"/>
      <c r="AL21" s="34"/>
      <c r="AM21" s="32"/>
      <c r="AN21" s="33"/>
      <c r="AO21" s="36"/>
      <c r="AP21" s="34"/>
      <c r="AQ21" s="32"/>
      <c r="AR21" s="33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7">
        <f t="shared" si="2"/>
        <v>1</v>
      </c>
      <c r="BK21" s="38">
        <f t="shared" si="0"/>
        <v>1</v>
      </c>
    </row>
    <row r="22" spans="2:63" s="39" customFormat="1" ht="24">
      <c r="B22" s="97">
        <v>7</v>
      </c>
      <c r="C22" s="97" t="s">
        <v>39</v>
      </c>
      <c r="D22" s="102">
        <v>30344623</v>
      </c>
      <c r="E22" s="103" t="s">
        <v>157</v>
      </c>
      <c r="F22" s="100" t="s">
        <v>158</v>
      </c>
      <c r="G22" s="27" t="s">
        <v>147</v>
      </c>
      <c r="H22" s="26" t="s">
        <v>155</v>
      </c>
      <c r="I22" s="49" t="s">
        <v>44</v>
      </c>
      <c r="J22" s="34">
        <v>168418</v>
      </c>
      <c r="K22" s="34">
        <v>159529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1">
        <f t="shared" si="1"/>
        <v>0</v>
      </c>
      <c r="Z22" s="31">
        <v>8666</v>
      </c>
      <c r="AA22" s="32">
        <v>5</v>
      </c>
      <c r="AB22" s="33">
        <v>44229</v>
      </c>
      <c r="AC22" s="33">
        <v>44246</v>
      </c>
      <c r="AD22" s="31"/>
      <c r="AE22" s="35"/>
      <c r="AF22" s="27"/>
      <c r="AG22" s="33"/>
      <c r="AH22" s="31"/>
      <c r="AI22" s="32"/>
      <c r="AJ22" s="27"/>
      <c r="AK22" s="36"/>
      <c r="AL22" s="31"/>
      <c r="AM22" s="32"/>
      <c r="AN22" s="27"/>
      <c r="AO22" s="36"/>
      <c r="AP22" s="31"/>
      <c r="AQ22" s="32"/>
      <c r="AR22" s="27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7">
        <f t="shared" si="2"/>
        <v>8666</v>
      </c>
      <c r="BK22" s="38">
        <f t="shared" si="0"/>
        <v>8666</v>
      </c>
    </row>
    <row r="23" spans="2:63" s="39" customFormat="1" ht="24">
      <c r="B23" s="97">
        <v>8</v>
      </c>
      <c r="C23" s="97" t="s">
        <v>39</v>
      </c>
      <c r="D23" s="102">
        <v>30346224</v>
      </c>
      <c r="E23" s="103" t="s">
        <v>159</v>
      </c>
      <c r="F23" s="100" t="s">
        <v>146</v>
      </c>
      <c r="G23" s="27" t="s">
        <v>147</v>
      </c>
      <c r="H23" s="26" t="s">
        <v>148</v>
      </c>
      <c r="I23" s="49" t="s">
        <v>44</v>
      </c>
      <c r="J23" s="34">
        <v>1953574</v>
      </c>
      <c r="K23" s="34">
        <v>1547135</v>
      </c>
      <c r="L23" s="34">
        <v>1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1">
        <f t="shared" si="1"/>
        <v>0</v>
      </c>
      <c r="Z23" s="31">
        <v>184286</v>
      </c>
      <c r="AA23" s="32">
        <v>5</v>
      </c>
      <c r="AB23" s="33">
        <v>44229</v>
      </c>
      <c r="AC23" s="33">
        <v>44246</v>
      </c>
      <c r="AD23" s="31">
        <v>-100000</v>
      </c>
      <c r="AE23" s="35">
        <v>7</v>
      </c>
      <c r="AF23" s="33">
        <v>44229</v>
      </c>
      <c r="AG23" s="33">
        <v>44250</v>
      </c>
      <c r="AH23" s="31">
        <v>-84284</v>
      </c>
      <c r="AI23" s="35">
        <v>9</v>
      </c>
      <c r="AJ23" s="33">
        <v>44238</v>
      </c>
      <c r="AK23" s="33">
        <v>44259</v>
      </c>
      <c r="AL23" s="31"/>
      <c r="AM23" s="32"/>
      <c r="AN23" s="27"/>
      <c r="AO23" s="36"/>
      <c r="AP23" s="31"/>
      <c r="AQ23" s="32"/>
      <c r="AR23" s="2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7">
        <f t="shared" si="2"/>
        <v>2</v>
      </c>
      <c r="BK23" s="38">
        <f t="shared" si="0"/>
        <v>2</v>
      </c>
    </row>
    <row r="24" spans="2:63" s="39" customFormat="1" ht="23.25" customHeight="1">
      <c r="B24" s="97">
        <v>9</v>
      </c>
      <c r="C24" s="97" t="s">
        <v>39</v>
      </c>
      <c r="D24" s="102">
        <v>30482214</v>
      </c>
      <c r="E24" s="103" t="s">
        <v>160</v>
      </c>
      <c r="F24" s="100" t="s">
        <v>146</v>
      </c>
      <c r="G24" s="27" t="s">
        <v>147</v>
      </c>
      <c r="H24" s="26" t="s">
        <v>148</v>
      </c>
      <c r="I24" s="49" t="s">
        <v>44</v>
      </c>
      <c r="J24" s="34">
        <v>1802544</v>
      </c>
      <c r="K24" s="34">
        <v>1293947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1">
        <f t="shared" si="1"/>
        <v>0</v>
      </c>
      <c r="Z24" s="31">
        <v>167012</v>
      </c>
      <c r="AA24" s="32">
        <v>5</v>
      </c>
      <c r="AB24" s="33">
        <v>44229</v>
      </c>
      <c r="AC24" s="33">
        <v>44246</v>
      </c>
      <c r="AD24" s="31">
        <v>-167010</v>
      </c>
      <c r="AE24" s="35">
        <v>9</v>
      </c>
      <c r="AF24" s="33">
        <v>44238</v>
      </c>
      <c r="AG24" s="33">
        <v>44259</v>
      </c>
      <c r="AH24" s="31">
        <v>8093</v>
      </c>
      <c r="AI24" s="35">
        <v>37</v>
      </c>
      <c r="AJ24" s="33">
        <v>44238</v>
      </c>
      <c r="AK24" s="33">
        <v>44259</v>
      </c>
      <c r="AL24" s="31">
        <v>16364</v>
      </c>
      <c r="AM24" s="35">
        <v>38</v>
      </c>
      <c r="AN24" s="33">
        <v>44355</v>
      </c>
      <c r="AO24" s="33">
        <v>44363</v>
      </c>
      <c r="AP24" s="31"/>
      <c r="AQ24" s="32"/>
      <c r="AR24" s="2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7">
        <f t="shared" si="2"/>
        <v>24459</v>
      </c>
      <c r="BK24" s="38">
        <f t="shared" si="0"/>
        <v>24459</v>
      </c>
    </row>
    <row r="25" spans="2:63" s="39" customFormat="1" ht="24">
      <c r="B25" s="97">
        <v>10</v>
      </c>
      <c r="C25" s="97" t="s">
        <v>39</v>
      </c>
      <c r="D25" s="102">
        <v>30488457</v>
      </c>
      <c r="E25" s="103" t="s">
        <v>161</v>
      </c>
      <c r="F25" s="100" t="s">
        <v>146</v>
      </c>
      <c r="G25" s="27" t="s">
        <v>147</v>
      </c>
      <c r="H25" s="26" t="s">
        <v>148</v>
      </c>
      <c r="I25" s="49" t="s">
        <v>44</v>
      </c>
      <c r="J25" s="34">
        <v>800104</v>
      </c>
      <c r="K25" s="34">
        <v>91158</v>
      </c>
      <c r="L25" s="34">
        <v>3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63644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1">
        <f t="shared" si="1"/>
        <v>63644</v>
      </c>
      <c r="Z25" s="31">
        <v>693906</v>
      </c>
      <c r="AA25" s="32">
        <v>5</v>
      </c>
      <c r="AB25" s="33">
        <v>44229</v>
      </c>
      <c r="AC25" s="33">
        <v>44246</v>
      </c>
      <c r="AD25" s="31">
        <v>-35677</v>
      </c>
      <c r="AE25" s="32">
        <v>41</v>
      </c>
      <c r="AF25" s="33">
        <v>44362</v>
      </c>
      <c r="AG25" s="33">
        <v>44371</v>
      </c>
      <c r="AH25" s="31">
        <v>-5893</v>
      </c>
      <c r="AI25" s="32">
        <v>55</v>
      </c>
      <c r="AJ25" s="33">
        <v>44439</v>
      </c>
      <c r="AK25" s="36">
        <v>44462</v>
      </c>
      <c r="AL25" s="31"/>
      <c r="AM25" s="32"/>
      <c r="AN25" s="27"/>
      <c r="AO25" s="36"/>
      <c r="AP25" s="31"/>
      <c r="AQ25" s="32"/>
      <c r="AR25" s="2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7">
        <f t="shared" si="2"/>
        <v>652336</v>
      </c>
      <c r="BK25" s="38">
        <f t="shared" si="0"/>
        <v>588692</v>
      </c>
    </row>
    <row r="26" spans="2:63" s="39" customFormat="1" ht="24">
      <c r="B26" s="97">
        <v>11</v>
      </c>
      <c r="C26" s="97" t="s">
        <v>39</v>
      </c>
      <c r="D26" s="102">
        <v>30121131</v>
      </c>
      <c r="E26" s="103" t="s">
        <v>162</v>
      </c>
      <c r="F26" s="100" t="s">
        <v>158</v>
      </c>
      <c r="G26" s="27" t="s">
        <v>147</v>
      </c>
      <c r="H26" s="26" t="s">
        <v>148</v>
      </c>
      <c r="I26" s="49" t="s">
        <v>44</v>
      </c>
      <c r="J26" s="34">
        <v>160250</v>
      </c>
      <c r="K26" s="34">
        <v>68757</v>
      </c>
      <c r="L26" s="34">
        <v>0</v>
      </c>
      <c r="M26" s="34">
        <v>0</v>
      </c>
      <c r="N26" s="34">
        <v>0</v>
      </c>
      <c r="O26" s="34">
        <v>12240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1">
        <f t="shared" si="1"/>
        <v>12240</v>
      </c>
      <c r="Z26" s="31">
        <v>89064</v>
      </c>
      <c r="AA26" s="32">
        <v>5</v>
      </c>
      <c r="AB26" s="33">
        <v>44229</v>
      </c>
      <c r="AC26" s="33">
        <v>44246</v>
      </c>
      <c r="AD26" s="31">
        <v>-8009</v>
      </c>
      <c r="AE26" s="32">
        <v>29</v>
      </c>
      <c r="AF26" s="33">
        <v>44316</v>
      </c>
      <c r="AG26" s="33">
        <v>44334</v>
      </c>
      <c r="AH26" s="31">
        <v>-31775</v>
      </c>
      <c r="AI26" s="32">
        <v>33</v>
      </c>
      <c r="AJ26" s="33">
        <v>44330</v>
      </c>
      <c r="AK26" s="33">
        <v>44342</v>
      </c>
      <c r="AL26" s="31"/>
      <c r="AM26" s="32"/>
      <c r="AN26" s="27"/>
      <c r="AO26" s="36"/>
      <c r="AP26" s="31"/>
      <c r="AQ26" s="32"/>
      <c r="AR26" s="2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7">
        <f t="shared" si="2"/>
        <v>49280</v>
      </c>
      <c r="BK26" s="38">
        <f t="shared" si="0"/>
        <v>37040</v>
      </c>
    </row>
    <row r="27" spans="2:63" s="39" customFormat="1" ht="24">
      <c r="B27" s="97">
        <v>12</v>
      </c>
      <c r="C27" s="97" t="s">
        <v>39</v>
      </c>
      <c r="D27" s="102">
        <v>30476597</v>
      </c>
      <c r="E27" s="103" t="s">
        <v>163</v>
      </c>
      <c r="F27" s="100" t="s">
        <v>158</v>
      </c>
      <c r="G27" s="27" t="s">
        <v>147</v>
      </c>
      <c r="H27" s="26" t="s">
        <v>150</v>
      </c>
      <c r="I27" s="49" t="s">
        <v>44</v>
      </c>
      <c r="J27" s="34">
        <v>135168</v>
      </c>
      <c r="K27" s="34">
        <v>100403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1">
        <f t="shared" si="1"/>
        <v>0</v>
      </c>
      <c r="Z27" s="31">
        <v>26472</v>
      </c>
      <c r="AA27" s="32">
        <v>5</v>
      </c>
      <c r="AB27" s="33">
        <v>44229</v>
      </c>
      <c r="AC27" s="33">
        <v>44246</v>
      </c>
      <c r="AD27" s="31">
        <v>-8127</v>
      </c>
      <c r="AE27" s="32">
        <v>33</v>
      </c>
      <c r="AF27" s="33">
        <v>44330</v>
      </c>
      <c r="AG27" s="33">
        <v>44342</v>
      </c>
      <c r="AH27" s="31"/>
      <c r="AI27" s="32"/>
      <c r="AJ27" s="27"/>
      <c r="AK27" s="36"/>
      <c r="AL27" s="31"/>
      <c r="AM27" s="32"/>
      <c r="AN27" s="27"/>
      <c r="AO27" s="36"/>
      <c r="AP27" s="31"/>
      <c r="AQ27" s="32"/>
      <c r="AR27" s="2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7">
        <f t="shared" si="2"/>
        <v>18345</v>
      </c>
      <c r="BK27" s="38">
        <f t="shared" si="0"/>
        <v>18345</v>
      </c>
    </row>
    <row r="28" spans="2:63" s="39" customFormat="1" ht="23.25" customHeight="1">
      <c r="B28" s="97">
        <v>13</v>
      </c>
      <c r="C28" s="97" t="s">
        <v>39</v>
      </c>
      <c r="D28" s="102">
        <v>30407383</v>
      </c>
      <c r="E28" s="103" t="s">
        <v>164</v>
      </c>
      <c r="F28" s="100" t="s">
        <v>146</v>
      </c>
      <c r="G28" s="27" t="s">
        <v>147</v>
      </c>
      <c r="H28" s="26" t="s">
        <v>150</v>
      </c>
      <c r="I28" s="49" t="s">
        <v>44</v>
      </c>
      <c r="J28" s="34">
        <v>1245553</v>
      </c>
      <c r="K28" s="34">
        <v>280624</v>
      </c>
      <c r="L28" s="34">
        <v>2</v>
      </c>
      <c r="M28" s="34">
        <v>0</v>
      </c>
      <c r="N28" s="34">
        <v>50012</v>
      </c>
      <c r="O28" s="34">
        <v>0</v>
      </c>
      <c r="P28" s="34">
        <v>34302</v>
      </c>
      <c r="Q28" s="34">
        <v>0</v>
      </c>
      <c r="R28" s="34">
        <v>68072</v>
      </c>
      <c r="S28" s="34">
        <v>0</v>
      </c>
      <c r="T28" s="34">
        <v>63746</v>
      </c>
      <c r="U28" s="34">
        <v>0</v>
      </c>
      <c r="V28" s="34">
        <v>0</v>
      </c>
      <c r="W28" s="34">
        <v>0</v>
      </c>
      <c r="X28" s="34">
        <v>0</v>
      </c>
      <c r="Y28" s="31">
        <f t="shared" si="1"/>
        <v>216132</v>
      </c>
      <c r="Z28" s="31">
        <v>862079</v>
      </c>
      <c r="AA28" s="32">
        <v>5</v>
      </c>
      <c r="AB28" s="33">
        <v>44229</v>
      </c>
      <c r="AC28" s="33">
        <v>44246</v>
      </c>
      <c r="AD28" s="31">
        <v>-5159</v>
      </c>
      <c r="AE28" s="35">
        <v>13</v>
      </c>
      <c r="AF28" s="33">
        <v>44259</v>
      </c>
      <c r="AG28" s="33">
        <v>44285</v>
      </c>
      <c r="AH28" s="31">
        <v>-332606</v>
      </c>
      <c r="AI28" s="35">
        <v>21</v>
      </c>
      <c r="AJ28" s="33">
        <v>44291</v>
      </c>
      <c r="AK28" s="33">
        <v>44309</v>
      </c>
      <c r="AL28" s="31">
        <v>105510</v>
      </c>
      <c r="AM28" s="32">
        <v>55</v>
      </c>
      <c r="AN28" s="33">
        <v>44439</v>
      </c>
      <c r="AO28" s="36">
        <v>44462</v>
      </c>
      <c r="AP28" s="31"/>
      <c r="AQ28" s="32"/>
      <c r="AR28" s="2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7">
        <f t="shared" si="2"/>
        <v>629824</v>
      </c>
      <c r="BK28" s="38">
        <f t="shared" si="0"/>
        <v>413692</v>
      </c>
    </row>
    <row r="29" spans="2:63" s="39" customFormat="1" ht="24">
      <c r="B29" s="97">
        <v>14</v>
      </c>
      <c r="C29" s="97" t="s">
        <v>39</v>
      </c>
      <c r="D29" s="102">
        <v>40003275</v>
      </c>
      <c r="E29" s="103" t="s">
        <v>165</v>
      </c>
      <c r="F29" s="100" t="s">
        <v>158</v>
      </c>
      <c r="G29" s="27" t="s">
        <v>147</v>
      </c>
      <c r="H29" s="26" t="s">
        <v>150</v>
      </c>
      <c r="I29" s="49" t="s">
        <v>44</v>
      </c>
      <c r="J29" s="34">
        <v>1643583</v>
      </c>
      <c r="K29" s="34">
        <v>1549964</v>
      </c>
      <c r="L29" s="34">
        <v>62</v>
      </c>
      <c r="M29" s="34">
        <v>0</v>
      </c>
      <c r="N29" s="34">
        <v>4000</v>
      </c>
      <c r="O29" s="34">
        <v>2000</v>
      </c>
      <c r="P29" s="34">
        <v>2000</v>
      </c>
      <c r="Q29" s="34">
        <v>1000</v>
      </c>
      <c r="R29" s="34">
        <v>0</v>
      </c>
      <c r="S29" s="34">
        <v>0</v>
      </c>
      <c r="T29" s="34">
        <v>13350</v>
      </c>
      <c r="U29" s="34">
        <v>0</v>
      </c>
      <c r="V29" s="34">
        <v>0</v>
      </c>
      <c r="W29" s="34">
        <v>0</v>
      </c>
      <c r="X29" s="34">
        <v>0</v>
      </c>
      <c r="Y29" s="31">
        <f t="shared" si="1"/>
        <v>22350</v>
      </c>
      <c r="Z29" s="31">
        <v>78155</v>
      </c>
      <c r="AA29" s="32">
        <v>5</v>
      </c>
      <c r="AB29" s="33">
        <v>44229</v>
      </c>
      <c r="AC29" s="33">
        <v>44246</v>
      </c>
      <c r="AD29" s="31">
        <v>-40455</v>
      </c>
      <c r="AE29" s="35">
        <v>55</v>
      </c>
      <c r="AF29" s="33">
        <v>44439</v>
      </c>
      <c r="AG29" s="33">
        <v>44462</v>
      </c>
      <c r="AH29" s="31"/>
      <c r="AI29" s="32"/>
      <c r="AJ29" s="27"/>
      <c r="AK29" s="36"/>
      <c r="AL29" s="31"/>
      <c r="AM29" s="32"/>
      <c r="AN29" s="27"/>
      <c r="AO29" s="36"/>
      <c r="AP29" s="31"/>
      <c r="AQ29" s="32"/>
      <c r="AR29" s="2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7">
        <f t="shared" si="2"/>
        <v>37700</v>
      </c>
      <c r="BK29" s="38">
        <f t="shared" si="0"/>
        <v>15350</v>
      </c>
    </row>
    <row r="30" spans="2:63" s="39" customFormat="1" ht="24">
      <c r="B30" s="97">
        <v>15</v>
      </c>
      <c r="C30" s="97" t="s">
        <v>39</v>
      </c>
      <c r="D30" s="104">
        <v>40003160</v>
      </c>
      <c r="E30" s="103" t="s">
        <v>166</v>
      </c>
      <c r="F30" s="100" t="s">
        <v>158</v>
      </c>
      <c r="G30" s="27" t="s">
        <v>147</v>
      </c>
      <c r="H30" s="26" t="s">
        <v>150</v>
      </c>
      <c r="I30" s="49" t="s">
        <v>44</v>
      </c>
      <c r="J30" s="34">
        <v>448514</v>
      </c>
      <c r="K30" s="34">
        <v>194412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1">
        <f t="shared" si="1"/>
        <v>0</v>
      </c>
      <c r="Z30" s="31">
        <v>124255</v>
      </c>
      <c r="AA30" s="32">
        <v>5</v>
      </c>
      <c r="AB30" s="33">
        <v>44229</v>
      </c>
      <c r="AC30" s="33">
        <v>44246</v>
      </c>
      <c r="AD30" s="31">
        <v>-41418</v>
      </c>
      <c r="AE30" s="35">
        <v>10</v>
      </c>
      <c r="AF30" s="33">
        <v>44239</v>
      </c>
      <c r="AG30" s="33">
        <v>44259</v>
      </c>
      <c r="AH30" s="31">
        <v>-41419</v>
      </c>
      <c r="AI30" s="35">
        <v>33</v>
      </c>
      <c r="AJ30" s="33">
        <v>44330</v>
      </c>
      <c r="AK30" s="33">
        <v>44342</v>
      </c>
      <c r="AL30" s="31"/>
      <c r="AM30" s="32"/>
      <c r="AN30" s="27"/>
      <c r="AO30" s="36"/>
      <c r="AP30" s="31"/>
      <c r="AQ30" s="32"/>
      <c r="AR30" s="2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7">
        <f t="shared" si="2"/>
        <v>41418</v>
      </c>
      <c r="BK30" s="38">
        <f t="shared" si="0"/>
        <v>41418</v>
      </c>
    </row>
    <row r="31" spans="2:63" s="39" customFormat="1" ht="24">
      <c r="B31" s="97">
        <v>16</v>
      </c>
      <c r="C31" s="97" t="s">
        <v>39</v>
      </c>
      <c r="D31" s="102">
        <v>40000942</v>
      </c>
      <c r="E31" s="103" t="s">
        <v>167</v>
      </c>
      <c r="F31" s="100" t="s">
        <v>146</v>
      </c>
      <c r="G31" s="27" t="s">
        <v>147</v>
      </c>
      <c r="H31" s="26" t="s">
        <v>155</v>
      </c>
      <c r="I31" s="49" t="s">
        <v>44</v>
      </c>
      <c r="J31" s="34">
        <v>4031602</v>
      </c>
      <c r="K31" s="34">
        <v>53506</v>
      </c>
      <c r="L31" s="34">
        <v>331298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0</v>
      </c>
      <c r="W31" s="34">
        <v>0</v>
      </c>
      <c r="X31" s="34">
        <v>0</v>
      </c>
      <c r="Y31" s="31">
        <f t="shared" si="1"/>
        <v>0</v>
      </c>
      <c r="Z31" s="31">
        <v>3564105</v>
      </c>
      <c r="AA31" s="32">
        <v>5</v>
      </c>
      <c r="AB31" s="33">
        <v>44229</v>
      </c>
      <c r="AC31" s="33">
        <v>44246</v>
      </c>
      <c r="AD31" s="31">
        <v>-593360</v>
      </c>
      <c r="AE31" s="35">
        <v>7</v>
      </c>
      <c r="AF31" s="33">
        <v>44229</v>
      </c>
      <c r="AG31" s="33">
        <v>44250</v>
      </c>
      <c r="AH31" s="31">
        <v>-246018</v>
      </c>
      <c r="AI31" s="32">
        <v>10</v>
      </c>
      <c r="AJ31" s="33">
        <v>44239</v>
      </c>
      <c r="AK31" s="33">
        <v>44259</v>
      </c>
      <c r="AL31" s="31">
        <v>-70286</v>
      </c>
      <c r="AM31" s="35">
        <v>13</v>
      </c>
      <c r="AN31" s="33">
        <v>44259</v>
      </c>
      <c r="AO31" s="33">
        <v>44285</v>
      </c>
      <c r="AP31" s="31">
        <v>-1031771</v>
      </c>
      <c r="AQ31" s="32">
        <v>19</v>
      </c>
      <c r="AR31" s="33">
        <v>44274</v>
      </c>
      <c r="AS31" s="33">
        <v>44298</v>
      </c>
      <c r="AT31" s="31">
        <v>-368167</v>
      </c>
      <c r="AU31" s="32">
        <v>27</v>
      </c>
      <c r="AV31" s="33">
        <v>44274</v>
      </c>
      <c r="AW31" s="33">
        <v>44298</v>
      </c>
      <c r="AX31" s="31">
        <v>-193731</v>
      </c>
      <c r="AY31" s="32">
        <v>40</v>
      </c>
      <c r="AZ31" s="33">
        <v>44358</v>
      </c>
      <c r="BA31" s="33">
        <v>44371</v>
      </c>
      <c r="BB31" s="31">
        <v>-174437</v>
      </c>
      <c r="BC31" s="32">
        <v>48</v>
      </c>
      <c r="BD31" s="33">
        <v>44390</v>
      </c>
      <c r="BE31" s="33">
        <v>44407</v>
      </c>
      <c r="BF31" s="36"/>
      <c r="BG31" s="36"/>
      <c r="BH31" s="36"/>
      <c r="BI31" s="36"/>
      <c r="BJ31" s="37">
        <f t="shared" si="2"/>
        <v>886335</v>
      </c>
      <c r="BK31" s="38">
        <f t="shared" si="0"/>
        <v>886335</v>
      </c>
    </row>
    <row r="32" spans="2:63" s="39" customFormat="1" ht="24">
      <c r="B32" s="97">
        <v>17</v>
      </c>
      <c r="C32" s="97" t="s">
        <v>39</v>
      </c>
      <c r="D32" s="102">
        <v>30130917</v>
      </c>
      <c r="E32" s="103" t="s">
        <v>168</v>
      </c>
      <c r="F32" s="100" t="s">
        <v>146</v>
      </c>
      <c r="G32" s="27" t="s">
        <v>147</v>
      </c>
      <c r="H32" s="26" t="s">
        <v>148</v>
      </c>
      <c r="I32" s="49" t="s">
        <v>44</v>
      </c>
      <c r="J32" s="34">
        <v>1767375</v>
      </c>
      <c r="K32" s="34">
        <v>41395</v>
      </c>
      <c r="L32" s="34">
        <v>976706</v>
      </c>
      <c r="M32" s="34">
        <v>0</v>
      </c>
      <c r="N32" s="34">
        <v>0</v>
      </c>
      <c r="O32" s="34">
        <v>0</v>
      </c>
      <c r="P32" s="34">
        <v>15225</v>
      </c>
      <c r="Q32" s="34">
        <v>2100</v>
      </c>
      <c r="R32" s="34">
        <v>2100</v>
      </c>
      <c r="S32" s="34">
        <v>2100</v>
      </c>
      <c r="T32" s="34">
        <v>2100</v>
      </c>
      <c r="U32" s="34">
        <v>2100</v>
      </c>
      <c r="V32" s="34">
        <v>0</v>
      </c>
      <c r="W32" s="34">
        <v>0</v>
      </c>
      <c r="X32" s="34">
        <v>0</v>
      </c>
      <c r="Y32" s="31">
        <f t="shared" si="1"/>
        <v>25725</v>
      </c>
      <c r="Z32" s="31">
        <v>732786</v>
      </c>
      <c r="AA32" s="32">
        <v>5</v>
      </c>
      <c r="AB32" s="33">
        <v>44229</v>
      </c>
      <c r="AC32" s="33">
        <v>44246</v>
      </c>
      <c r="AD32" s="31">
        <v>-5612</v>
      </c>
      <c r="AE32" s="32">
        <v>6</v>
      </c>
      <c r="AF32" s="33">
        <v>44229</v>
      </c>
      <c r="AG32" s="33">
        <v>44250</v>
      </c>
      <c r="AH32" s="31">
        <v>-540437</v>
      </c>
      <c r="AI32" s="35">
        <v>7</v>
      </c>
      <c r="AJ32" s="33">
        <v>44229</v>
      </c>
      <c r="AK32" s="33">
        <v>44250</v>
      </c>
      <c r="AL32" s="31">
        <v>201602</v>
      </c>
      <c r="AM32" s="35">
        <v>37</v>
      </c>
      <c r="AN32" s="33">
        <v>44344</v>
      </c>
      <c r="AO32" s="33">
        <v>44354</v>
      </c>
      <c r="AP32" s="31"/>
      <c r="AQ32" s="32"/>
      <c r="AR32" s="27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7">
        <f t="shared" si="2"/>
        <v>388339</v>
      </c>
      <c r="BK32" s="38">
        <f t="shared" si="0"/>
        <v>362614</v>
      </c>
    </row>
    <row r="33" spans="2:63" s="39" customFormat="1" ht="24">
      <c r="B33" s="97">
        <v>18</v>
      </c>
      <c r="C33" s="97" t="s">
        <v>39</v>
      </c>
      <c r="D33" s="102">
        <v>40000964</v>
      </c>
      <c r="E33" s="103" t="s">
        <v>169</v>
      </c>
      <c r="F33" s="100" t="s">
        <v>146</v>
      </c>
      <c r="G33" s="27" t="s">
        <v>147</v>
      </c>
      <c r="H33" s="26" t="s">
        <v>155</v>
      </c>
      <c r="I33" s="49" t="s">
        <v>52</v>
      </c>
      <c r="J33" s="34">
        <v>902226</v>
      </c>
      <c r="K33" s="34">
        <v>0</v>
      </c>
      <c r="L33" s="34">
        <v>450089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1">
        <f t="shared" si="1"/>
        <v>0</v>
      </c>
      <c r="Z33" s="31">
        <v>238001</v>
      </c>
      <c r="AA33" s="32">
        <v>5</v>
      </c>
      <c r="AB33" s="33">
        <v>44229</v>
      </c>
      <c r="AC33" s="33">
        <v>44246</v>
      </c>
      <c r="AD33" s="31">
        <v>-237999</v>
      </c>
      <c r="AE33" s="32">
        <v>21</v>
      </c>
      <c r="AF33" s="33">
        <v>44291</v>
      </c>
      <c r="AG33" s="33">
        <v>44309</v>
      </c>
      <c r="AH33" s="31"/>
      <c r="AI33" s="32"/>
      <c r="AJ33" s="27"/>
      <c r="AK33" s="36"/>
      <c r="AL33" s="31"/>
      <c r="AM33" s="32"/>
      <c r="AN33" s="27"/>
      <c r="AO33" s="36"/>
      <c r="AP33" s="31"/>
      <c r="AQ33" s="32"/>
      <c r="AR33" s="2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7">
        <f t="shared" si="2"/>
        <v>2</v>
      </c>
      <c r="BK33" s="38">
        <f t="shared" si="0"/>
        <v>2</v>
      </c>
    </row>
    <row r="34" spans="2:63" s="39" customFormat="1" ht="24">
      <c r="B34" s="97">
        <v>19</v>
      </c>
      <c r="C34" s="97" t="s">
        <v>39</v>
      </c>
      <c r="D34" s="102">
        <v>30483228</v>
      </c>
      <c r="E34" s="103" t="s">
        <v>170</v>
      </c>
      <c r="F34" s="100" t="s">
        <v>146</v>
      </c>
      <c r="G34" s="27" t="s">
        <v>147</v>
      </c>
      <c r="H34" s="26" t="s">
        <v>171</v>
      </c>
      <c r="I34" s="49" t="s">
        <v>44</v>
      </c>
      <c r="J34" s="34">
        <v>8263699</v>
      </c>
      <c r="K34" s="34">
        <v>8190599</v>
      </c>
      <c r="L34" s="34">
        <v>52794</v>
      </c>
      <c r="M34" s="34">
        <v>0</v>
      </c>
      <c r="N34" s="34">
        <v>3900</v>
      </c>
      <c r="O34" s="34">
        <v>4061</v>
      </c>
      <c r="P34" s="34">
        <v>4061</v>
      </c>
      <c r="Q34" s="34">
        <v>4061</v>
      </c>
      <c r="R34" s="34">
        <v>1950</v>
      </c>
      <c r="S34" s="34">
        <v>4061</v>
      </c>
      <c r="T34" s="34">
        <v>4061</v>
      </c>
      <c r="U34" s="34">
        <v>1950</v>
      </c>
      <c r="V34" s="34">
        <v>0</v>
      </c>
      <c r="W34" s="34">
        <v>0</v>
      </c>
      <c r="X34" s="34">
        <v>0</v>
      </c>
      <c r="Y34" s="31">
        <f t="shared" si="1"/>
        <v>28105</v>
      </c>
      <c r="Z34" s="31">
        <v>58256</v>
      </c>
      <c r="AA34" s="32">
        <v>5</v>
      </c>
      <c r="AB34" s="33">
        <v>44229</v>
      </c>
      <c r="AC34" s="33">
        <v>44246</v>
      </c>
      <c r="AD34" s="31">
        <v>-1978</v>
      </c>
      <c r="AE34" s="32">
        <v>29</v>
      </c>
      <c r="AF34" s="33">
        <v>44316</v>
      </c>
      <c r="AG34" s="33">
        <v>44334</v>
      </c>
      <c r="AH34" s="31"/>
      <c r="AI34" s="32"/>
      <c r="AJ34" s="27"/>
      <c r="AK34" s="36"/>
      <c r="AL34" s="31"/>
      <c r="AM34" s="32"/>
      <c r="AN34" s="27"/>
      <c r="AO34" s="36"/>
      <c r="AP34" s="31"/>
      <c r="AQ34" s="32"/>
      <c r="AR34" s="2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7">
        <f t="shared" si="2"/>
        <v>56278</v>
      </c>
      <c r="BK34" s="38">
        <f t="shared" si="0"/>
        <v>28173</v>
      </c>
    </row>
    <row r="35" spans="2:63" s="39" customFormat="1" ht="24">
      <c r="B35" s="97">
        <v>20</v>
      </c>
      <c r="C35" s="97" t="s">
        <v>39</v>
      </c>
      <c r="D35" s="102">
        <v>40002657</v>
      </c>
      <c r="E35" s="103" t="s">
        <v>172</v>
      </c>
      <c r="F35" s="100" t="s">
        <v>146</v>
      </c>
      <c r="G35" s="27" t="s">
        <v>147</v>
      </c>
      <c r="H35" s="26" t="s">
        <v>148</v>
      </c>
      <c r="I35" s="49" t="s">
        <v>44</v>
      </c>
      <c r="J35" s="34">
        <v>978801</v>
      </c>
      <c r="K35" s="34">
        <v>438807</v>
      </c>
      <c r="L35" s="34">
        <v>4943</v>
      </c>
      <c r="M35" s="34">
        <v>0</v>
      </c>
      <c r="N35" s="34">
        <v>93132</v>
      </c>
      <c r="O35" s="34">
        <v>89297</v>
      </c>
      <c r="P35" s="34">
        <v>76675</v>
      </c>
      <c r="Q35" s="34">
        <v>293</v>
      </c>
      <c r="R35" s="34">
        <v>92389</v>
      </c>
      <c r="S35" s="34">
        <v>17981</v>
      </c>
      <c r="T35" s="34">
        <v>51226</v>
      </c>
      <c r="U35" s="34">
        <v>791</v>
      </c>
      <c r="V35" s="34">
        <v>0</v>
      </c>
      <c r="W35" s="34">
        <v>0</v>
      </c>
      <c r="X35" s="34">
        <v>0</v>
      </c>
      <c r="Y35" s="31">
        <f t="shared" si="1"/>
        <v>421784</v>
      </c>
      <c r="Z35" s="31">
        <v>505989</v>
      </c>
      <c r="AA35" s="32">
        <v>5</v>
      </c>
      <c r="AB35" s="33">
        <v>44229</v>
      </c>
      <c r="AC35" s="33">
        <v>44246</v>
      </c>
      <c r="AD35" s="31"/>
      <c r="AE35" s="35"/>
      <c r="AF35" s="27"/>
      <c r="AG35" s="33"/>
      <c r="AH35" s="31"/>
      <c r="AI35" s="32"/>
      <c r="AJ35" s="27"/>
      <c r="AK35" s="36"/>
      <c r="AL35" s="31"/>
      <c r="AM35" s="32"/>
      <c r="AN35" s="27"/>
      <c r="AO35" s="36"/>
      <c r="AP35" s="31"/>
      <c r="AQ35" s="32"/>
      <c r="AR35" s="2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7">
        <f t="shared" si="2"/>
        <v>505989</v>
      </c>
      <c r="BK35" s="38">
        <f t="shared" si="0"/>
        <v>84205</v>
      </c>
    </row>
    <row r="36" spans="2:63" s="39" customFormat="1" ht="24">
      <c r="B36" s="97">
        <v>21</v>
      </c>
      <c r="C36" s="97" t="s">
        <v>39</v>
      </c>
      <c r="D36" s="102">
        <v>30110277</v>
      </c>
      <c r="E36" s="103" t="s">
        <v>173</v>
      </c>
      <c r="F36" s="100" t="s">
        <v>146</v>
      </c>
      <c r="G36" s="27" t="s">
        <v>147</v>
      </c>
      <c r="H36" s="26" t="s">
        <v>152</v>
      </c>
      <c r="I36" s="49" t="s">
        <v>44</v>
      </c>
      <c r="J36" s="34">
        <v>1278536</v>
      </c>
      <c r="K36" s="34">
        <v>307636</v>
      </c>
      <c r="L36" s="34">
        <v>0</v>
      </c>
      <c r="M36" s="34">
        <v>0</v>
      </c>
      <c r="N36" s="105">
        <v>116583</v>
      </c>
      <c r="O36" s="34">
        <v>23550</v>
      </c>
      <c r="P36" s="34">
        <v>69913</v>
      </c>
      <c r="Q36" s="34">
        <v>51766</v>
      </c>
      <c r="R36" s="34">
        <v>1600</v>
      </c>
      <c r="S36" s="34">
        <f>2000+48449</f>
        <v>50449</v>
      </c>
      <c r="T36" s="105">
        <f>9810+1667+2000+51615+35423</f>
        <v>100515</v>
      </c>
      <c r="U36" s="105">
        <f>2000+34909+355+333+1667</f>
        <v>39264</v>
      </c>
      <c r="V36" s="34">
        <v>0</v>
      </c>
      <c r="W36" s="34">
        <v>0</v>
      </c>
      <c r="X36" s="34">
        <v>0</v>
      </c>
      <c r="Y36" s="133">
        <f t="shared" si="1"/>
        <v>453640</v>
      </c>
      <c r="Z36" s="31">
        <v>949536</v>
      </c>
      <c r="AA36" s="32">
        <v>5</v>
      </c>
      <c r="AB36" s="33">
        <v>44229</v>
      </c>
      <c r="AC36" s="33">
        <v>44246</v>
      </c>
      <c r="AD36" s="31">
        <v>-84655</v>
      </c>
      <c r="AE36" s="35">
        <v>13</v>
      </c>
      <c r="AF36" s="33">
        <v>44259</v>
      </c>
      <c r="AG36" s="33">
        <v>44285</v>
      </c>
      <c r="AH36" s="31">
        <v>-26055</v>
      </c>
      <c r="AI36" s="35">
        <v>19</v>
      </c>
      <c r="AJ36" s="33">
        <v>44274</v>
      </c>
      <c r="AK36" s="33">
        <v>44298</v>
      </c>
      <c r="AL36" s="31">
        <v>-132370</v>
      </c>
      <c r="AM36" s="32">
        <v>48</v>
      </c>
      <c r="AN36" s="33">
        <v>44390</v>
      </c>
      <c r="AO36" s="33">
        <v>44407</v>
      </c>
      <c r="AP36" s="31">
        <v>-8485</v>
      </c>
      <c r="AQ36" s="32">
        <v>55</v>
      </c>
      <c r="AR36" s="33">
        <v>44439</v>
      </c>
      <c r="AS36" s="36">
        <v>44462</v>
      </c>
      <c r="AT36" s="31">
        <v>6368</v>
      </c>
      <c r="AU36" s="32">
        <v>55</v>
      </c>
      <c r="AV36" s="33">
        <v>44439</v>
      </c>
      <c r="AW36" s="33">
        <v>44462</v>
      </c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7">
        <f t="shared" si="2"/>
        <v>704339</v>
      </c>
      <c r="BK36" s="38">
        <f t="shared" si="0"/>
        <v>250699</v>
      </c>
    </row>
    <row r="37" spans="2:63" s="39" customFormat="1" ht="24">
      <c r="B37" s="97">
        <v>22</v>
      </c>
      <c r="C37" s="97" t="s">
        <v>39</v>
      </c>
      <c r="D37" s="102">
        <v>30108640</v>
      </c>
      <c r="E37" s="103" t="s">
        <v>174</v>
      </c>
      <c r="F37" s="100" t="s">
        <v>146</v>
      </c>
      <c r="G37" s="27" t="s">
        <v>147</v>
      </c>
      <c r="H37" s="26" t="s">
        <v>175</v>
      </c>
      <c r="I37" s="49" t="s">
        <v>44</v>
      </c>
      <c r="J37" s="34">
        <v>735383</v>
      </c>
      <c r="K37" s="34">
        <v>33637</v>
      </c>
      <c r="L37" s="34">
        <v>2</v>
      </c>
      <c r="M37" s="34">
        <v>0</v>
      </c>
      <c r="N37" s="34">
        <v>56082</v>
      </c>
      <c r="O37" s="34">
        <v>47762</v>
      </c>
      <c r="P37" s="34">
        <f>3467+30005</f>
        <v>33472</v>
      </c>
      <c r="Q37" s="34">
        <v>53462</v>
      </c>
      <c r="R37" s="34">
        <v>3467</v>
      </c>
      <c r="S37" s="34">
        <v>108765</v>
      </c>
      <c r="T37" s="34">
        <v>833</v>
      </c>
      <c r="U37" s="34">
        <v>50437</v>
      </c>
      <c r="V37" s="34">
        <v>0</v>
      </c>
      <c r="W37" s="34">
        <v>0</v>
      </c>
      <c r="X37" s="34">
        <v>0</v>
      </c>
      <c r="Y37" s="31">
        <f t="shared" si="1"/>
        <v>354280</v>
      </c>
      <c r="Z37" s="31">
        <v>701683</v>
      </c>
      <c r="AA37" s="32">
        <v>5</v>
      </c>
      <c r="AB37" s="33">
        <v>44229</v>
      </c>
      <c r="AC37" s="33">
        <v>44246</v>
      </c>
      <c r="AD37" s="31">
        <v>3</v>
      </c>
      <c r="AE37" s="35">
        <v>13</v>
      </c>
      <c r="AF37" s="33">
        <v>44259</v>
      </c>
      <c r="AG37" s="33">
        <v>44285</v>
      </c>
      <c r="AH37" s="31">
        <v>-32356</v>
      </c>
      <c r="AI37" s="35">
        <v>13</v>
      </c>
      <c r="AJ37" s="33">
        <v>44259</v>
      </c>
      <c r="AK37" s="33">
        <v>44285</v>
      </c>
      <c r="AL37" s="31">
        <v>-19078</v>
      </c>
      <c r="AM37" s="32">
        <v>55</v>
      </c>
      <c r="AN37" s="33">
        <v>44439</v>
      </c>
      <c r="AO37" s="33">
        <v>44462</v>
      </c>
      <c r="AP37" s="31"/>
      <c r="AQ37" s="32"/>
      <c r="AR37" s="27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7">
        <f t="shared" si="2"/>
        <v>650252</v>
      </c>
      <c r="BK37" s="38">
        <f t="shared" si="0"/>
        <v>295972</v>
      </c>
    </row>
    <row r="38" spans="2:63" s="39" customFormat="1" ht="24">
      <c r="B38" s="97">
        <v>23</v>
      </c>
      <c r="C38" s="97" t="s">
        <v>39</v>
      </c>
      <c r="D38" s="102">
        <v>30369324</v>
      </c>
      <c r="E38" s="103" t="s">
        <v>176</v>
      </c>
      <c r="F38" s="100" t="s">
        <v>146</v>
      </c>
      <c r="G38" s="27" t="s">
        <v>147</v>
      </c>
      <c r="H38" s="26" t="s">
        <v>155</v>
      </c>
      <c r="I38" s="49" t="s">
        <v>44</v>
      </c>
      <c r="J38" s="34">
        <v>1767375</v>
      </c>
      <c r="K38" s="34">
        <v>41395</v>
      </c>
      <c r="L38" s="34">
        <v>976706</v>
      </c>
      <c r="M38" s="34">
        <v>0</v>
      </c>
      <c r="N38" s="34">
        <v>3585</v>
      </c>
      <c r="O38" s="34">
        <v>1793</v>
      </c>
      <c r="P38" s="34">
        <v>1792</v>
      </c>
      <c r="Q38" s="34">
        <v>1793</v>
      </c>
      <c r="R38" s="34">
        <v>1793</v>
      </c>
      <c r="S38" s="34">
        <v>1793</v>
      </c>
      <c r="T38" s="34">
        <v>1157</v>
      </c>
      <c r="U38" s="34">
        <v>0</v>
      </c>
      <c r="V38" s="34">
        <v>0</v>
      </c>
      <c r="W38" s="34">
        <v>0</v>
      </c>
      <c r="X38" s="34">
        <v>0</v>
      </c>
      <c r="Y38" s="31">
        <f t="shared" si="1"/>
        <v>13706</v>
      </c>
      <c r="Z38" s="31">
        <v>1928131</v>
      </c>
      <c r="AA38" s="32">
        <v>5</v>
      </c>
      <c r="AB38" s="33">
        <v>44229</v>
      </c>
      <c r="AC38" s="33">
        <v>44246</v>
      </c>
      <c r="AD38" s="31">
        <v>-626626</v>
      </c>
      <c r="AE38" s="35">
        <v>7</v>
      </c>
      <c r="AF38" s="33">
        <v>44229</v>
      </c>
      <c r="AG38" s="33">
        <v>44250</v>
      </c>
      <c r="AH38" s="31">
        <v>167168</v>
      </c>
      <c r="AI38" s="35">
        <v>37</v>
      </c>
      <c r="AJ38" s="33">
        <v>44344</v>
      </c>
      <c r="AK38" s="33">
        <v>44354</v>
      </c>
      <c r="AL38" s="31">
        <v>259000</v>
      </c>
      <c r="AM38" s="32">
        <v>42</v>
      </c>
      <c r="AN38" s="33">
        <v>44363</v>
      </c>
      <c r="AO38" s="33">
        <v>44385</v>
      </c>
      <c r="AP38" s="31"/>
      <c r="AQ38" s="32"/>
      <c r="AR38" s="2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7">
        <f t="shared" si="2"/>
        <v>1727673</v>
      </c>
      <c r="BK38" s="38">
        <f t="shared" si="0"/>
        <v>1713967</v>
      </c>
    </row>
    <row r="39" spans="2:63" s="39" customFormat="1" ht="24">
      <c r="B39" s="97">
        <v>24</v>
      </c>
      <c r="C39" s="97" t="s">
        <v>39</v>
      </c>
      <c r="D39" s="102">
        <v>40008899</v>
      </c>
      <c r="E39" s="103" t="s">
        <v>177</v>
      </c>
      <c r="F39" s="100" t="s">
        <v>146</v>
      </c>
      <c r="G39" s="27" t="s">
        <v>147</v>
      </c>
      <c r="H39" s="26" t="s">
        <v>155</v>
      </c>
      <c r="I39" s="49" t="s">
        <v>52</v>
      </c>
      <c r="J39" s="34">
        <v>180415</v>
      </c>
      <c r="K39" s="34">
        <v>2045</v>
      </c>
      <c r="L39" s="34">
        <v>0</v>
      </c>
      <c r="M39" s="34">
        <v>0</v>
      </c>
      <c r="N39" s="34">
        <v>0</v>
      </c>
      <c r="O39" s="34">
        <v>3616</v>
      </c>
      <c r="P39" s="34">
        <v>1808</v>
      </c>
      <c r="Q39" s="34">
        <v>1808</v>
      </c>
      <c r="R39" s="34">
        <v>1808</v>
      </c>
      <c r="S39" s="34">
        <v>1808</v>
      </c>
      <c r="T39" s="34">
        <v>1808</v>
      </c>
      <c r="U39" s="34">
        <v>1808</v>
      </c>
      <c r="V39" s="34">
        <v>0</v>
      </c>
      <c r="W39" s="34">
        <v>0</v>
      </c>
      <c r="X39" s="34">
        <v>0</v>
      </c>
      <c r="Y39" s="31">
        <f t="shared" si="1"/>
        <v>14464</v>
      </c>
      <c r="Z39" s="31">
        <v>168027</v>
      </c>
      <c r="AA39" s="32">
        <v>5</v>
      </c>
      <c r="AB39" s="33">
        <v>44229</v>
      </c>
      <c r="AC39" s="33">
        <v>44246</v>
      </c>
      <c r="AD39" s="31">
        <v>-34005</v>
      </c>
      <c r="AE39" s="32">
        <v>19</v>
      </c>
      <c r="AF39" s="33">
        <v>44274</v>
      </c>
      <c r="AG39" s="33">
        <v>44298</v>
      </c>
      <c r="AH39" s="31">
        <v>34005</v>
      </c>
      <c r="AI39" s="32">
        <v>42</v>
      </c>
      <c r="AJ39" s="33">
        <v>44363</v>
      </c>
      <c r="AK39" s="33">
        <v>44385</v>
      </c>
      <c r="AL39" s="31"/>
      <c r="AM39" s="32"/>
      <c r="AN39" s="27"/>
      <c r="AO39" s="36"/>
      <c r="AP39" s="31"/>
      <c r="AQ39" s="32"/>
      <c r="AR39" s="2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7">
        <f t="shared" si="2"/>
        <v>168027</v>
      </c>
      <c r="BK39" s="38">
        <f t="shared" si="0"/>
        <v>153563</v>
      </c>
    </row>
    <row r="40" spans="2:63" s="39" customFormat="1" ht="24">
      <c r="B40" s="97">
        <v>25</v>
      </c>
      <c r="C40" s="97" t="s">
        <v>39</v>
      </c>
      <c r="D40" s="102">
        <v>40007181</v>
      </c>
      <c r="E40" s="103" t="s">
        <v>178</v>
      </c>
      <c r="F40" s="100" t="s">
        <v>158</v>
      </c>
      <c r="G40" s="27" t="s">
        <v>147</v>
      </c>
      <c r="H40" s="26" t="s">
        <v>150</v>
      </c>
      <c r="I40" s="49" t="s">
        <v>44</v>
      </c>
      <c r="J40" s="34">
        <v>330176</v>
      </c>
      <c r="K40" s="34">
        <v>37772</v>
      </c>
      <c r="L40" s="34">
        <v>129800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f>30800+42300</f>
        <v>73100</v>
      </c>
      <c r="V40" s="34">
        <v>0</v>
      </c>
      <c r="W40" s="34">
        <v>0</v>
      </c>
      <c r="X40" s="34">
        <v>0</v>
      </c>
      <c r="Y40" s="31">
        <f t="shared" si="1"/>
        <v>73100</v>
      </c>
      <c r="Z40" s="31">
        <v>240000</v>
      </c>
      <c r="AA40" s="32">
        <v>5</v>
      </c>
      <c r="AB40" s="33">
        <v>44229</v>
      </c>
      <c r="AC40" s="33">
        <v>44246</v>
      </c>
      <c r="AD40" s="31">
        <v>-110766</v>
      </c>
      <c r="AE40" s="35">
        <v>7</v>
      </c>
      <c r="AF40" s="33">
        <v>44229</v>
      </c>
      <c r="AG40" s="33">
        <v>44250</v>
      </c>
      <c r="AH40" s="31">
        <v>-34984</v>
      </c>
      <c r="AI40" s="35">
        <v>33</v>
      </c>
      <c r="AJ40" s="33">
        <v>44330</v>
      </c>
      <c r="AK40" s="33">
        <v>44342</v>
      </c>
      <c r="AL40" s="31"/>
      <c r="AM40" s="32"/>
      <c r="AN40" s="27"/>
      <c r="AO40" s="36"/>
      <c r="AP40" s="31"/>
      <c r="AQ40" s="32"/>
      <c r="AR40" s="27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7">
        <f t="shared" si="2"/>
        <v>94250</v>
      </c>
      <c r="BK40" s="38">
        <f t="shared" si="0"/>
        <v>21150</v>
      </c>
    </row>
    <row r="41" spans="2:63" s="39" customFormat="1" ht="24" customHeight="1">
      <c r="B41" s="97">
        <v>26</v>
      </c>
      <c r="C41" s="97" t="s">
        <v>39</v>
      </c>
      <c r="D41" s="102">
        <v>30463225</v>
      </c>
      <c r="E41" s="103" t="s">
        <v>179</v>
      </c>
      <c r="F41" s="100" t="s">
        <v>146</v>
      </c>
      <c r="G41" s="27" t="s">
        <v>147</v>
      </c>
      <c r="H41" s="26" t="s">
        <v>150</v>
      </c>
      <c r="I41" s="49" t="s">
        <v>52</v>
      </c>
      <c r="J41" s="34">
        <v>3158120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109911</v>
      </c>
      <c r="Q41" s="34">
        <v>0</v>
      </c>
      <c r="R41" s="34">
        <v>0</v>
      </c>
      <c r="S41" s="34">
        <v>0</v>
      </c>
      <c r="T41" s="34">
        <v>370997</v>
      </c>
      <c r="U41" s="34">
        <v>0</v>
      </c>
      <c r="V41" s="34">
        <v>0</v>
      </c>
      <c r="W41" s="34">
        <v>0</v>
      </c>
      <c r="X41" s="34">
        <v>0</v>
      </c>
      <c r="Y41" s="31">
        <f t="shared" si="1"/>
        <v>480908</v>
      </c>
      <c r="Z41" s="31">
        <v>631868</v>
      </c>
      <c r="AA41" s="32">
        <v>5</v>
      </c>
      <c r="AB41" s="33">
        <v>44229</v>
      </c>
      <c r="AC41" s="33">
        <v>44246</v>
      </c>
      <c r="AD41" s="31">
        <v>2332460</v>
      </c>
      <c r="AE41" s="35">
        <v>7</v>
      </c>
      <c r="AF41" s="33">
        <v>44229</v>
      </c>
      <c r="AG41" s="33">
        <v>44250</v>
      </c>
      <c r="AH41" s="31">
        <v>-406822</v>
      </c>
      <c r="AI41" s="35">
        <v>37</v>
      </c>
      <c r="AJ41" s="33">
        <v>44344</v>
      </c>
      <c r="AK41" s="33">
        <v>44354</v>
      </c>
      <c r="AL41" s="31">
        <v>-1226802</v>
      </c>
      <c r="AM41" s="35">
        <v>38</v>
      </c>
      <c r="AN41" s="33">
        <v>44355</v>
      </c>
      <c r="AO41" s="33">
        <v>44363</v>
      </c>
      <c r="AP41" s="31">
        <v>-199698</v>
      </c>
      <c r="AQ41" s="32">
        <v>55</v>
      </c>
      <c r="AR41" s="33">
        <v>44439</v>
      </c>
      <c r="AS41" s="36">
        <v>44462</v>
      </c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7">
        <f t="shared" si="2"/>
        <v>1131006</v>
      </c>
      <c r="BK41" s="38">
        <f t="shared" si="0"/>
        <v>650098</v>
      </c>
    </row>
    <row r="42" spans="2:63" s="39" customFormat="1" ht="23.25" customHeight="1">
      <c r="B42" s="97">
        <v>27</v>
      </c>
      <c r="C42" s="97" t="s">
        <v>39</v>
      </c>
      <c r="D42" s="102">
        <v>30110133</v>
      </c>
      <c r="E42" s="103" t="s">
        <v>180</v>
      </c>
      <c r="F42" s="100" t="s">
        <v>146</v>
      </c>
      <c r="G42" s="27" t="s">
        <v>147</v>
      </c>
      <c r="H42" s="26" t="s">
        <v>150</v>
      </c>
      <c r="I42" s="49" t="s">
        <v>52</v>
      </c>
      <c r="J42" s="34">
        <v>3585731</v>
      </c>
      <c r="K42" s="34">
        <v>0</v>
      </c>
      <c r="L42" s="34">
        <v>3039299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1">
        <f t="shared" si="1"/>
        <v>0</v>
      </c>
      <c r="Z42" s="31">
        <v>250000</v>
      </c>
      <c r="AA42" s="32">
        <v>5</v>
      </c>
      <c r="AB42" s="33">
        <v>44229</v>
      </c>
      <c r="AC42" s="33">
        <v>44246</v>
      </c>
      <c r="AD42" s="31">
        <v>-249999</v>
      </c>
      <c r="AE42" s="35">
        <v>7</v>
      </c>
      <c r="AF42" s="33">
        <v>44229</v>
      </c>
      <c r="AG42" s="33">
        <v>44250</v>
      </c>
      <c r="AH42" s="31"/>
      <c r="AI42" s="32"/>
      <c r="AJ42" s="27"/>
      <c r="AK42" s="36"/>
      <c r="AL42" s="31"/>
      <c r="AM42" s="32"/>
      <c r="AN42" s="27"/>
      <c r="AO42" s="36"/>
      <c r="AP42" s="31"/>
      <c r="AQ42" s="32"/>
      <c r="AR42" s="27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7">
        <f t="shared" si="2"/>
        <v>1</v>
      </c>
      <c r="BK42" s="38">
        <f t="shared" si="0"/>
        <v>1</v>
      </c>
    </row>
    <row r="43" spans="2:63" s="39" customFormat="1" ht="24">
      <c r="B43" s="97">
        <v>28</v>
      </c>
      <c r="C43" s="97" t="s">
        <v>39</v>
      </c>
      <c r="D43" s="102">
        <v>30459123</v>
      </c>
      <c r="E43" s="103" t="s">
        <v>181</v>
      </c>
      <c r="F43" s="100" t="s">
        <v>158</v>
      </c>
      <c r="G43" s="27" t="s">
        <v>147</v>
      </c>
      <c r="H43" s="26" t="s">
        <v>155</v>
      </c>
      <c r="I43" s="49" t="s">
        <v>52</v>
      </c>
      <c r="J43" s="34">
        <v>539089</v>
      </c>
      <c r="K43" s="34">
        <v>0</v>
      </c>
      <c r="L43" s="34">
        <v>0</v>
      </c>
      <c r="M43" s="34">
        <v>0</v>
      </c>
      <c r="N43" s="34">
        <v>3616</v>
      </c>
      <c r="O43" s="34">
        <v>1808</v>
      </c>
      <c r="P43" s="34">
        <v>1808</v>
      </c>
      <c r="Q43" s="34">
        <v>1808</v>
      </c>
      <c r="R43" s="34">
        <v>1808</v>
      </c>
      <c r="S43" s="34">
        <v>1808</v>
      </c>
      <c r="T43" s="34">
        <v>1808</v>
      </c>
      <c r="U43" s="34">
        <v>0</v>
      </c>
      <c r="V43" s="34">
        <v>0</v>
      </c>
      <c r="W43" s="34">
        <v>0</v>
      </c>
      <c r="X43" s="34">
        <v>0</v>
      </c>
      <c r="Y43" s="31">
        <f t="shared" si="1"/>
        <v>14464</v>
      </c>
      <c r="Z43" s="31">
        <v>420345</v>
      </c>
      <c r="AA43" s="32">
        <v>5</v>
      </c>
      <c r="AB43" s="33">
        <v>44229</v>
      </c>
      <c r="AC43" s="33">
        <v>44246</v>
      </c>
      <c r="AD43" s="31">
        <v>-93021</v>
      </c>
      <c r="AE43" s="35">
        <v>42</v>
      </c>
      <c r="AF43" s="33">
        <v>44363</v>
      </c>
      <c r="AG43" s="33">
        <v>44385</v>
      </c>
      <c r="AH43" s="31"/>
      <c r="AI43" s="32"/>
      <c r="AJ43" s="27"/>
      <c r="AK43" s="36"/>
      <c r="AL43" s="31"/>
      <c r="AM43" s="32"/>
      <c r="AN43" s="27"/>
      <c r="AO43" s="36"/>
      <c r="AP43" s="31"/>
      <c r="AQ43" s="32"/>
      <c r="AR43" s="27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7">
        <f t="shared" si="2"/>
        <v>327324</v>
      </c>
      <c r="BK43" s="38">
        <f t="shared" si="0"/>
        <v>312860</v>
      </c>
    </row>
    <row r="44" spans="2:63" s="39" customFormat="1" ht="23.25" customHeight="1">
      <c r="B44" s="97">
        <v>29</v>
      </c>
      <c r="C44" s="97" t="s">
        <v>39</v>
      </c>
      <c r="D44" s="102">
        <v>30463223</v>
      </c>
      <c r="E44" s="103" t="s">
        <v>182</v>
      </c>
      <c r="F44" s="100" t="s">
        <v>146</v>
      </c>
      <c r="G44" s="27" t="s">
        <v>147</v>
      </c>
      <c r="H44" s="26" t="s">
        <v>150</v>
      </c>
      <c r="I44" s="49" t="s">
        <v>44</v>
      </c>
      <c r="J44" s="34">
        <v>51186410</v>
      </c>
      <c r="K44" s="34">
        <v>1831882</v>
      </c>
      <c r="L44" s="34">
        <v>4</v>
      </c>
      <c r="M44" s="34">
        <v>0</v>
      </c>
      <c r="N44" s="34">
        <v>441098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1">
        <f t="shared" si="1"/>
        <v>441098</v>
      </c>
      <c r="Z44" s="31">
        <v>2513800</v>
      </c>
      <c r="AA44" s="32">
        <v>5</v>
      </c>
      <c r="AB44" s="33">
        <v>44229</v>
      </c>
      <c r="AC44" s="33">
        <v>44246</v>
      </c>
      <c r="AD44" s="31">
        <v>-915456</v>
      </c>
      <c r="AE44" s="35">
        <v>9</v>
      </c>
      <c r="AF44" s="33">
        <v>44238</v>
      </c>
      <c r="AG44" s="33">
        <v>44259</v>
      </c>
      <c r="AH44" s="31">
        <v>-1184544</v>
      </c>
      <c r="AI44" s="35">
        <v>41</v>
      </c>
      <c r="AJ44" s="33">
        <v>44362</v>
      </c>
      <c r="AK44" s="33">
        <v>44371</v>
      </c>
      <c r="AL44" s="31"/>
      <c r="AM44" s="32"/>
      <c r="AN44" s="27"/>
      <c r="AO44" s="36"/>
      <c r="AP44" s="31"/>
      <c r="AQ44" s="32"/>
      <c r="AR44" s="27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7">
        <f t="shared" si="2"/>
        <v>413800</v>
      </c>
      <c r="BK44" s="38">
        <f t="shared" si="0"/>
        <v>-27298</v>
      </c>
    </row>
    <row r="45" spans="2:63" s="39" customFormat="1" ht="24">
      <c r="B45" s="97">
        <v>30</v>
      </c>
      <c r="C45" s="97" t="s">
        <v>39</v>
      </c>
      <c r="D45" s="104">
        <v>30108583</v>
      </c>
      <c r="E45" s="103" t="s">
        <v>183</v>
      </c>
      <c r="F45" s="100" t="s">
        <v>146</v>
      </c>
      <c r="G45" s="27" t="s">
        <v>147</v>
      </c>
      <c r="H45" s="26" t="s">
        <v>148</v>
      </c>
      <c r="I45" s="49" t="s">
        <v>52</v>
      </c>
      <c r="J45" s="34">
        <v>2480427</v>
      </c>
      <c r="K45" s="34">
        <v>0</v>
      </c>
      <c r="L45" s="34">
        <v>1969178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1">
        <f t="shared" si="1"/>
        <v>0</v>
      </c>
      <c r="Z45" s="31">
        <v>500000</v>
      </c>
      <c r="AA45" s="32">
        <v>5</v>
      </c>
      <c r="AB45" s="33">
        <v>44229</v>
      </c>
      <c r="AC45" s="33">
        <v>44246</v>
      </c>
      <c r="AD45" s="31">
        <v>-2516</v>
      </c>
      <c r="AE45" s="32">
        <v>33</v>
      </c>
      <c r="AF45" s="33">
        <v>44330</v>
      </c>
      <c r="AG45" s="33">
        <v>44342</v>
      </c>
      <c r="AH45" s="31">
        <v>-52484</v>
      </c>
      <c r="AI45" s="32">
        <v>37</v>
      </c>
      <c r="AJ45" s="33">
        <v>44344</v>
      </c>
      <c r="AK45" s="33">
        <v>44354</v>
      </c>
      <c r="AL45" s="31">
        <v>-97000</v>
      </c>
      <c r="AM45" s="32">
        <v>41</v>
      </c>
      <c r="AN45" s="33">
        <v>44362</v>
      </c>
      <c r="AO45" s="33">
        <v>44371</v>
      </c>
      <c r="AP45" s="31">
        <v>-95000</v>
      </c>
      <c r="AQ45" s="32">
        <v>48</v>
      </c>
      <c r="AR45" s="33">
        <v>44390</v>
      </c>
      <c r="AS45" s="33">
        <v>44407</v>
      </c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7">
        <f t="shared" si="2"/>
        <v>253000</v>
      </c>
      <c r="BK45" s="38">
        <f t="shared" si="0"/>
        <v>253000</v>
      </c>
    </row>
    <row r="46" spans="2:63" s="39" customFormat="1" ht="23.25" customHeight="1">
      <c r="B46" s="97">
        <v>31</v>
      </c>
      <c r="C46" s="97" t="s">
        <v>39</v>
      </c>
      <c r="D46" s="102">
        <v>30433377</v>
      </c>
      <c r="E46" s="103" t="s">
        <v>184</v>
      </c>
      <c r="F46" s="100" t="s">
        <v>146</v>
      </c>
      <c r="G46" s="27" t="s">
        <v>147</v>
      </c>
      <c r="H46" s="26" t="s">
        <v>185</v>
      </c>
      <c r="I46" s="49" t="s">
        <v>52</v>
      </c>
      <c r="J46" s="34">
        <v>437437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1">
        <f t="shared" si="1"/>
        <v>0</v>
      </c>
      <c r="Z46" s="31">
        <v>292155</v>
      </c>
      <c r="AA46" s="32">
        <v>5</v>
      </c>
      <c r="AB46" s="33">
        <v>44229</v>
      </c>
      <c r="AC46" s="33">
        <v>44246</v>
      </c>
      <c r="AD46" s="31">
        <v>-17702</v>
      </c>
      <c r="AE46" s="32">
        <v>30</v>
      </c>
      <c r="AF46" s="33">
        <v>44320</v>
      </c>
      <c r="AG46" s="33">
        <v>44334</v>
      </c>
      <c r="AH46" s="31">
        <v>-7070</v>
      </c>
      <c r="AI46" s="32">
        <v>37</v>
      </c>
      <c r="AJ46" s="33">
        <v>44344</v>
      </c>
      <c r="AK46" s="33">
        <v>44354</v>
      </c>
      <c r="AL46" s="31">
        <v>-53477</v>
      </c>
      <c r="AM46" s="32">
        <v>41</v>
      </c>
      <c r="AN46" s="33">
        <v>44362</v>
      </c>
      <c r="AO46" s="33">
        <v>44371</v>
      </c>
      <c r="AP46" s="31"/>
      <c r="AQ46" s="32"/>
      <c r="AR46" s="27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7">
        <f t="shared" si="2"/>
        <v>213906</v>
      </c>
      <c r="BK46" s="38">
        <f t="shared" si="0"/>
        <v>213906</v>
      </c>
    </row>
    <row r="47" spans="2:63" s="39" customFormat="1" ht="24" customHeight="1">
      <c r="B47" s="97">
        <v>32</v>
      </c>
      <c r="C47" s="97" t="s">
        <v>39</v>
      </c>
      <c r="D47" s="102">
        <v>30417623</v>
      </c>
      <c r="E47" s="103" t="s">
        <v>186</v>
      </c>
      <c r="F47" s="100" t="s">
        <v>146</v>
      </c>
      <c r="G47" s="27" t="s">
        <v>147</v>
      </c>
      <c r="H47" s="26" t="s">
        <v>185</v>
      </c>
      <c r="I47" s="49" t="s">
        <v>52</v>
      </c>
      <c r="J47" s="34">
        <v>437963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1">
        <f t="shared" si="1"/>
        <v>0</v>
      </c>
      <c r="Z47" s="31">
        <v>218155</v>
      </c>
      <c r="AA47" s="32">
        <v>5</v>
      </c>
      <c r="AB47" s="33">
        <v>44229</v>
      </c>
      <c r="AC47" s="33">
        <v>44246</v>
      </c>
      <c r="AD47" s="31">
        <v>-13553</v>
      </c>
      <c r="AE47" s="35">
        <v>55</v>
      </c>
      <c r="AF47" s="33">
        <v>44439</v>
      </c>
      <c r="AG47" s="33">
        <v>44462</v>
      </c>
      <c r="AH47" s="31"/>
      <c r="AI47" s="32"/>
      <c r="AJ47" s="27"/>
      <c r="AK47" s="36"/>
      <c r="AL47" s="31"/>
      <c r="AM47" s="32"/>
      <c r="AN47" s="27"/>
      <c r="AO47" s="36"/>
      <c r="AP47" s="31"/>
      <c r="AQ47" s="32"/>
      <c r="AR47" s="27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7">
        <f t="shared" si="2"/>
        <v>204602</v>
      </c>
      <c r="BK47" s="38">
        <f t="shared" si="0"/>
        <v>204602</v>
      </c>
    </row>
    <row r="48" spans="2:63" s="39" customFormat="1" ht="24">
      <c r="B48" s="97">
        <v>33</v>
      </c>
      <c r="C48" s="97" t="s">
        <v>39</v>
      </c>
      <c r="D48" s="104">
        <v>40001352</v>
      </c>
      <c r="E48" s="103" t="s">
        <v>187</v>
      </c>
      <c r="F48" s="100" t="s">
        <v>146</v>
      </c>
      <c r="G48" s="27" t="s">
        <v>147</v>
      </c>
      <c r="H48" s="26" t="s">
        <v>148</v>
      </c>
      <c r="I48" s="49" t="s">
        <v>52</v>
      </c>
      <c r="J48" s="34">
        <v>880308</v>
      </c>
      <c r="K48" s="34">
        <v>0</v>
      </c>
      <c r="L48" s="34">
        <v>1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32644</v>
      </c>
      <c r="U48" s="34">
        <v>0</v>
      </c>
      <c r="V48" s="34">
        <v>0</v>
      </c>
      <c r="W48" s="34">
        <v>0</v>
      </c>
      <c r="X48" s="34">
        <v>0</v>
      </c>
      <c r="Y48" s="31">
        <f t="shared" si="1"/>
        <v>32644</v>
      </c>
      <c r="Z48" s="31">
        <v>860935</v>
      </c>
      <c r="AA48" s="32">
        <v>5</v>
      </c>
      <c r="AB48" s="33">
        <v>44229</v>
      </c>
      <c r="AC48" s="33">
        <v>44246</v>
      </c>
      <c r="AD48" s="31">
        <v>-510000</v>
      </c>
      <c r="AE48" s="35">
        <v>7</v>
      </c>
      <c r="AF48" s="33">
        <v>44229</v>
      </c>
      <c r="AG48" s="33">
        <v>44250</v>
      </c>
      <c r="AH48" s="31">
        <v>182653</v>
      </c>
      <c r="AI48" s="35">
        <v>13</v>
      </c>
      <c r="AJ48" s="33">
        <v>44259</v>
      </c>
      <c r="AK48" s="33">
        <v>44285</v>
      </c>
      <c r="AL48" s="31">
        <v>91023</v>
      </c>
      <c r="AM48" s="35">
        <v>37</v>
      </c>
      <c r="AN48" s="33">
        <v>44344</v>
      </c>
      <c r="AO48" s="33">
        <v>44354</v>
      </c>
      <c r="AP48" s="31">
        <v>216281</v>
      </c>
      <c r="AQ48" s="35">
        <v>41</v>
      </c>
      <c r="AR48" s="33">
        <v>44362</v>
      </c>
      <c r="AS48" s="33">
        <v>44371</v>
      </c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7">
        <f t="shared" si="2"/>
        <v>840892</v>
      </c>
      <c r="BK48" s="38">
        <f t="shared" si="0"/>
        <v>808248</v>
      </c>
    </row>
    <row r="49" spans="2:63" s="39" customFormat="1" ht="24">
      <c r="B49" s="97">
        <v>34</v>
      </c>
      <c r="C49" s="97" t="s">
        <v>39</v>
      </c>
      <c r="D49" s="102">
        <v>30403324</v>
      </c>
      <c r="E49" s="103" t="s">
        <v>188</v>
      </c>
      <c r="F49" s="100" t="s">
        <v>146</v>
      </c>
      <c r="G49" s="27" t="s">
        <v>147</v>
      </c>
      <c r="H49" s="26" t="s">
        <v>185</v>
      </c>
      <c r="I49" s="49" t="s">
        <v>52</v>
      </c>
      <c r="J49" s="34">
        <v>209329</v>
      </c>
      <c r="K49" s="34">
        <v>1022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40074</v>
      </c>
      <c r="R49" s="34">
        <v>0</v>
      </c>
      <c r="S49" s="34">
        <v>0</v>
      </c>
      <c r="T49" s="34">
        <v>0</v>
      </c>
      <c r="U49" s="34">
        <v>0</v>
      </c>
      <c r="V49" s="34">
        <v>0</v>
      </c>
      <c r="W49" s="34">
        <v>0</v>
      </c>
      <c r="X49" s="34">
        <v>0</v>
      </c>
      <c r="Y49" s="31">
        <f t="shared" si="1"/>
        <v>40074</v>
      </c>
      <c r="Z49" s="31">
        <v>202698</v>
      </c>
      <c r="AA49" s="32">
        <v>5</v>
      </c>
      <c r="AB49" s="33">
        <v>44229</v>
      </c>
      <c r="AC49" s="33">
        <v>44246</v>
      </c>
      <c r="AD49" s="31">
        <v>-24397</v>
      </c>
      <c r="AE49" s="32">
        <v>27</v>
      </c>
      <c r="AF49" s="33">
        <v>44305</v>
      </c>
      <c r="AG49" s="33">
        <v>44314</v>
      </c>
      <c r="AH49" s="31"/>
      <c r="AI49" s="32"/>
      <c r="AJ49" s="27"/>
      <c r="AK49" s="36"/>
      <c r="AL49" s="31"/>
      <c r="AM49" s="32"/>
      <c r="AN49" s="27"/>
      <c r="AO49" s="36"/>
      <c r="AP49" s="31"/>
      <c r="AQ49" s="32"/>
      <c r="AR49" s="27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7">
        <f t="shared" si="2"/>
        <v>178301</v>
      </c>
      <c r="BK49" s="38">
        <f t="shared" si="0"/>
        <v>138227</v>
      </c>
    </row>
    <row r="50" spans="2:63" s="39" customFormat="1" ht="24">
      <c r="B50" s="97">
        <v>35</v>
      </c>
      <c r="C50" s="97" t="s">
        <v>39</v>
      </c>
      <c r="D50" s="102">
        <v>30102710</v>
      </c>
      <c r="E50" s="103" t="s">
        <v>189</v>
      </c>
      <c r="F50" s="100" t="s">
        <v>146</v>
      </c>
      <c r="G50" s="27" t="s">
        <v>147</v>
      </c>
      <c r="H50" s="26" t="s">
        <v>148</v>
      </c>
      <c r="I50" s="49" t="s">
        <v>44</v>
      </c>
      <c r="J50" s="34">
        <v>2787089</v>
      </c>
      <c r="K50" s="34">
        <v>937873</v>
      </c>
      <c r="L50" s="34">
        <v>215355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1">
        <f t="shared" si="1"/>
        <v>0</v>
      </c>
      <c r="Z50" s="31">
        <v>552202</v>
      </c>
      <c r="AA50" s="32">
        <v>5</v>
      </c>
      <c r="AB50" s="33">
        <v>44229</v>
      </c>
      <c r="AC50" s="33">
        <v>44246</v>
      </c>
      <c r="AD50" s="31">
        <v>-500999</v>
      </c>
      <c r="AE50" s="35">
        <v>10</v>
      </c>
      <c r="AF50" s="33">
        <v>44239</v>
      </c>
      <c r="AG50" s="33">
        <v>44259</v>
      </c>
      <c r="AH50" s="31">
        <v>17998</v>
      </c>
      <c r="AI50" s="35">
        <v>33</v>
      </c>
      <c r="AJ50" s="33">
        <v>44330</v>
      </c>
      <c r="AK50" s="33">
        <v>44342</v>
      </c>
      <c r="AL50" s="31"/>
      <c r="AM50" s="32"/>
      <c r="AN50" s="27"/>
      <c r="AO50" s="36"/>
      <c r="AP50" s="31"/>
      <c r="AQ50" s="32"/>
      <c r="AR50" s="27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7">
        <f t="shared" si="2"/>
        <v>69201</v>
      </c>
      <c r="BK50" s="38">
        <f t="shared" si="0"/>
        <v>69201</v>
      </c>
    </row>
    <row r="51" spans="2:63" s="39" customFormat="1" ht="24" customHeight="1">
      <c r="B51" s="97">
        <v>36</v>
      </c>
      <c r="C51" s="97" t="s">
        <v>131</v>
      </c>
      <c r="D51" s="106">
        <v>30482631</v>
      </c>
      <c r="E51" s="103" t="s">
        <v>190</v>
      </c>
      <c r="F51" s="100" t="s">
        <v>146</v>
      </c>
      <c r="G51" s="27" t="s">
        <v>147</v>
      </c>
      <c r="H51" s="26" t="s">
        <v>155</v>
      </c>
      <c r="I51" s="49" t="s">
        <v>44</v>
      </c>
      <c r="J51" s="34">
        <v>749592</v>
      </c>
      <c r="K51" s="34">
        <v>737422</v>
      </c>
      <c r="L51" s="34">
        <v>0</v>
      </c>
      <c r="M51" s="34">
        <v>0</v>
      </c>
      <c r="N51" s="34">
        <v>2444</v>
      </c>
      <c r="O51" s="34">
        <v>0</v>
      </c>
      <c r="P51" s="34">
        <f>1222+6837</f>
        <v>8059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1">
        <f t="shared" si="1"/>
        <v>10503</v>
      </c>
      <c r="Z51" s="31">
        <v>3666</v>
      </c>
      <c r="AA51" s="32">
        <v>5</v>
      </c>
      <c r="AB51" s="33">
        <v>44229</v>
      </c>
      <c r="AC51" s="33">
        <v>44246</v>
      </c>
      <c r="AD51" s="31">
        <v>6837</v>
      </c>
      <c r="AE51" s="32">
        <v>22</v>
      </c>
      <c r="AF51" s="33">
        <v>44292</v>
      </c>
      <c r="AG51" s="33">
        <v>44309</v>
      </c>
      <c r="AH51" s="31"/>
      <c r="AI51" s="32"/>
      <c r="AJ51" s="27"/>
      <c r="AK51" s="36"/>
      <c r="AL51" s="31"/>
      <c r="AM51" s="32"/>
      <c r="AN51" s="27"/>
      <c r="AO51" s="36"/>
      <c r="AP51" s="31"/>
      <c r="AQ51" s="32"/>
      <c r="AR51" s="27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7">
        <f t="shared" si="2"/>
        <v>10503</v>
      </c>
      <c r="BK51" s="38">
        <f t="shared" si="0"/>
        <v>0</v>
      </c>
    </row>
    <row r="52" spans="2:63" s="39" customFormat="1" ht="24" customHeight="1">
      <c r="B52" s="97">
        <v>37</v>
      </c>
      <c r="C52" s="97" t="s">
        <v>131</v>
      </c>
      <c r="D52" s="106">
        <v>30485762</v>
      </c>
      <c r="E52" s="103" t="s">
        <v>191</v>
      </c>
      <c r="F52" s="100" t="s">
        <v>146</v>
      </c>
      <c r="G52" s="27" t="s">
        <v>147</v>
      </c>
      <c r="H52" s="26" t="s">
        <v>150</v>
      </c>
      <c r="I52" s="49" t="s">
        <v>44</v>
      </c>
      <c r="J52" s="34">
        <v>313368</v>
      </c>
      <c r="K52" s="34">
        <v>261567</v>
      </c>
      <c r="L52" s="34">
        <v>1</v>
      </c>
      <c r="M52" s="34">
        <v>0</v>
      </c>
      <c r="N52" s="34">
        <v>6160</v>
      </c>
      <c r="O52" s="34">
        <v>0</v>
      </c>
      <c r="P52" s="34">
        <v>0</v>
      </c>
      <c r="Q52" s="34">
        <v>0</v>
      </c>
      <c r="R52" s="34">
        <v>140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1">
        <f t="shared" si="1"/>
        <v>6300</v>
      </c>
      <c r="Z52" s="31">
        <v>25100</v>
      </c>
      <c r="AA52" s="32">
        <v>5</v>
      </c>
      <c r="AB52" s="33">
        <v>44229</v>
      </c>
      <c r="AC52" s="33">
        <v>44246</v>
      </c>
      <c r="AD52" s="31">
        <v>29326</v>
      </c>
      <c r="AE52" s="32">
        <v>19</v>
      </c>
      <c r="AF52" s="33">
        <v>44274</v>
      </c>
      <c r="AG52" s="33">
        <v>44298</v>
      </c>
      <c r="AH52" s="31">
        <v>-6159</v>
      </c>
      <c r="AI52" s="32">
        <v>21</v>
      </c>
      <c r="AJ52" s="33">
        <v>44291</v>
      </c>
      <c r="AK52" s="33">
        <v>44309</v>
      </c>
      <c r="AL52" s="31"/>
      <c r="AM52" s="32"/>
      <c r="AN52" s="27"/>
      <c r="AO52" s="36"/>
      <c r="AP52" s="31"/>
      <c r="AQ52" s="32"/>
      <c r="AR52" s="27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7">
        <f t="shared" si="2"/>
        <v>48267</v>
      </c>
      <c r="BK52" s="38">
        <f t="shared" si="0"/>
        <v>41967</v>
      </c>
    </row>
    <row r="53" spans="2:63" s="39" customFormat="1" ht="24">
      <c r="B53" s="97">
        <v>38</v>
      </c>
      <c r="C53" s="97" t="s">
        <v>131</v>
      </c>
      <c r="D53" s="107">
        <v>40005138</v>
      </c>
      <c r="E53" s="103" t="s">
        <v>192</v>
      </c>
      <c r="F53" s="100" t="s">
        <v>146</v>
      </c>
      <c r="G53" s="27" t="s">
        <v>147</v>
      </c>
      <c r="H53" s="26" t="s">
        <v>150</v>
      </c>
      <c r="I53" s="49" t="s">
        <v>44</v>
      </c>
      <c r="J53" s="34">
        <v>441306</v>
      </c>
      <c r="K53" s="34">
        <v>105126</v>
      </c>
      <c r="L53" s="34">
        <v>98761</v>
      </c>
      <c r="M53" s="34">
        <v>0</v>
      </c>
      <c r="N53" s="34">
        <v>0</v>
      </c>
      <c r="O53" s="34">
        <v>0</v>
      </c>
      <c r="P53" s="34">
        <v>0</v>
      </c>
      <c r="Q53" s="34">
        <v>2560</v>
      </c>
      <c r="R53" s="34">
        <v>0</v>
      </c>
      <c r="S53" s="34">
        <v>0</v>
      </c>
      <c r="T53" s="34">
        <v>0</v>
      </c>
      <c r="U53" s="34">
        <v>10052</v>
      </c>
      <c r="V53" s="34">
        <v>0</v>
      </c>
      <c r="W53" s="34">
        <v>0</v>
      </c>
      <c r="X53" s="34">
        <v>0</v>
      </c>
      <c r="Y53" s="31">
        <f t="shared" si="1"/>
        <v>12612</v>
      </c>
      <c r="Z53" s="31">
        <v>129500</v>
      </c>
      <c r="AA53" s="32">
        <v>5</v>
      </c>
      <c r="AB53" s="33">
        <v>44229</v>
      </c>
      <c r="AC53" s="33">
        <v>44246</v>
      </c>
      <c r="AD53" s="31">
        <v>-64188</v>
      </c>
      <c r="AE53" s="35">
        <v>48</v>
      </c>
      <c r="AF53" s="33">
        <v>44390</v>
      </c>
      <c r="AG53" s="33">
        <v>44407</v>
      </c>
      <c r="AH53" s="31"/>
      <c r="AI53" s="32"/>
      <c r="AJ53" s="27"/>
      <c r="AK53" s="36"/>
      <c r="AL53" s="31"/>
      <c r="AM53" s="32"/>
      <c r="AN53" s="27"/>
      <c r="AO53" s="36"/>
      <c r="AP53" s="31"/>
      <c r="AQ53" s="32"/>
      <c r="AR53" s="27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7">
        <f t="shared" si="2"/>
        <v>65312</v>
      </c>
      <c r="BK53" s="38">
        <f t="shared" si="0"/>
        <v>52700</v>
      </c>
    </row>
    <row r="54" spans="2:63" s="39" customFormat="1" ht="24">
      <c r="B54" s="97">
        <v>39</v>
      </c>
      <c r="C54" s="97" t="s">
        <v>131</v>
      </c>
      <c r="D54" s="106">
        <v>40019660</v>
      </c>
      <c r="E54" s="103" t="s">
        <v>193</v>
      </c>
      <c r="F54" s="100" t="s">
        <v>146</v>
      </c>
      <c r="G54" s="27" t="s">
        <v>147</v>
      </c>
      <c r="H54" s="26" t="s">
        <v>150</v>
      </c>
      <c r="I54" s="49" t="s">
        <v>44</v>
      </c>
      <c r="J54" s="34">
        <v>494071</v>
      </c>
      <c r="K54" s="34">
        <v>4601</v>
      </c>
      <c r="L54" s="34">
        <v>280164</v>
      </c>
      <c r="M54" s="34">
        <v>0</v>
      </c>
      <c r="N54" s="34">
        <v>1000</v>
      </c>
      <c r="O54" s="34">
        <v>4000</v>
      </c>
      <c r="P54" s="34">
        <v>3000</v>
      </c>
      <c r="Q54" s="34">
        <v>3000</v>
      </c>
      <c r="R54" s="34">
        <v>3000</v>
      </c>
      <c r="S54" s="34">
        <v>2000</v>
      </c>
      <c r="T54" s="34">
        <v>2000</v>
      </c>
      <c r="U54" s="34">
        <v>2000</v>
      </c>
      <c r="V54" s="34">
        <v>0</v>
      </c>
      <c r="W54" s="34">
        <v>0</v>
      </c>
      <c r="X54" s="34">
        <v>0</v>
      </c>
      <c r="Y54" s="31">
        <f t="shared" si="1"/>
        <v>20000</v>
      </c>
      <c r="Z54" s="31">
        <v>127773</v>
      </c>
      <c r="AA54" s="32">
        <v>5</v>
      </c>
      <c r="AB54" s="33">
        <v>44229</v>
      </c>
      <c r="AC54" s="33">
        <v>44246</v>
      </c>
      <c r="AD54" s="31">
        <v>927</v>
      </c>
      <c r="AE54" s="32">
        <v>19</v>
      </c>
      <c r="AF54" s="33">
        <v>44274</v>
      </c>
      <c r="AG54" s="33">
        <v>44298</v>
      </c>
      <c r="AH54" s="31">
        <v>-65072</v>
      </c>
      <c r="AI54" s="32">
        <v>48</v>
      </c>
      <c r="AJ54" s="33">
        <v>44390</v>
      </c>
      <c r="AK54" s="33">
        <v>44407</v>
      </c>
      <c r="AL54" s="31"/>
      <c r="AM54" s="32"/>
      <c r="AN54" s="27"/>
      <c r="AO54" s="36"/>
      <c r="AP54" s="31"/>
      <c r="AQ54" s="32"/>
      <c r="AR54" s="27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7">
        <f t="shared" si="2"/>
        <v>63628</v>
      </c>
      <c r="BK54" s="38">
        <f t="shared" si="0"/>
        <v>43628</v>
      </c>
    </row>
    <row r="55" spans="2:63" s="39" customFormat="1" ht="23.25" customHeight="1">
      <c r="B55" s="97">
        <v>40</v>
      </c>
      <c r="C55" s="97" t="s">
        <v>39</v>
      </c>
      <c r="D55" s="106">
        <v>40007766</v>
      </c>
      <c r="E55" s="103" t="s">
        <v>194</v>
      </c>
      <c r="F55" s="100" t="s">
        <v>146</v>
      </c>
      <c r="G55" s="27" t="s">
        <v>147</v>
      </c>
      <c r="H55" s="26" t="s">
        <v>148</v>
      </c>
      <c r="I55" s="49" t="s">
        <v>52</v>
      </c>
      <c r="J55" s="34">
        <v>4217438</v>
      </c>
      <c r="K55" s="34">
        <v>862199</v>
      </c>
      <c r="L55" s="34">
        <v>3355239</v>
      </c>
      <c r="M55" s="34">
        <v>0</v>
      </c>
      <c r="N55" s="34">
        <v>4600</v>
      </c>
      <c r="O55" s="34">
        <v>2300</v>
      </c>
      <c r="P55" s="34">
        <v>2300</v>
      </c>
      <c r="Q55" s="34">
        <v>8800</v>
      </c>
      <c r="R55" s="34">
        <v>4300</v>
      </c>
      <c r="S55" s="34">
        <v>2300</v>
      </c>
      <c r="T55" s="34">
        <v>2300</v>
      </c>
      <c r="U55" s="34">
        <v>997</v>
      </c>
      <c r="V55" s="34">
        <v>0</v>
      </c>
      <c r="W55" s="34">
        <v>0</v>
      </c>
      <c r="X55" s="34">
        <v>0</v>
      </c>
      <c r="Y55" s="31">
        <f t="shared" si="1"/>
        <v>27897</v>
      </c>
      <c r="Z55" s="31">
        <v>26401</v>
      </c>
      <c r="AA55" s="32">
        <v>6</v>
      </c>
      <c r="AB55" s="33">
        <v>44229</v>
      </c>
      <c r="AC55" s="33">
        <v>44250</v>
      </c>
      <c r="AD55" s="31">
        <v>9800</v>
      </c>
      <c r="AE55" s="35">
        <v>13</v>
      </c>
      <c r="AF55" s="33">
        <v>44259</v>
      </c>
      <c r="AG55" s="33">
        <v>44285</v>
      </c>
      <c r="AH55" s="31">
        <v>2</v>
      </c>
      <c r="AI55" s="32">
        <v>18</v>
      </c>
      <c r="AJ55" s="33">
        <v>44273</v>
      </c>
      <c r="AK55" s="33">
        <v>44298</v>
      </c>
      <c r="AL55" s="31"/>
      <c r="AM55" s="32"/>
      <c r="AN55" s="27"/>
      <c r="AO55" s="36"/>
      <c r="AP55" s="31"/>
      <c r="AQ55" s="32"/>
      <c r="AR55" s="27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7">
        <f t="shared" si="2"/>
        <v>36203</v>
      </c>
      <c r="BK55" s="38">
        <f t="shared" si="0"/>
        <v>8306</v>
      </c>
    </row>
    <row r="56" spans="2:63" s="39" customFormat="1" ht="23.25" customHeight="1">
      <c r="B56" s="97">
        <v>41</v>
      </c>
      <c r="C56" s="97" t="s">
        <v>39</v>
      </c>
      <c r="D56" s="106">
        <v>30482839</v>
      </c>
      <c r="E56" s="103" t="s">
        <v>195</v>
      </c>
      <c r="F56" s="100" t="s">
        <v>146</v>
      </c>
      <c r="G56" s="27" t="s">
        <v>147</v>
      </c>
      <c r="H56" s="26" t="s">
        <v>152</v>
      </c>
      <c r="I56" s="49" t="s">
        <v>44</v>
      </c>
      <c r="J56" s="34">
        <v>487958</v>
      </c>
      <c r="K56" s="34">
        <v>21127</v>
      </c>
      <c r="L56" s="34">
        <v>1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1">
        <f t="shared" si="1"/>
        <v>0</v>
      </c>
      <c r="Z56" s="31">
        <v>446588</v>
      </c>
      <c r="AA56" s="32">
        <v>6</v>
      </c>
      <c r="AB56" s="33">
        <v>44229</v>
      </c>
      <c r="AC56" s="33">
        <v>44250</v>
      </c>
      <c r="AD56" s="31"/>
      <c r="AE56" s="35"/>
      <c r="AF56" s="27"/>
      <c r="AG56" s="33"/>
      <c r="AH56" s="31"/>
      <c r="AI56" s="32"/>
      <c r="AJ56" s="27"/>
      <c r="AK56" s="36"/>
      <c r="AL56" s="31"/>
      <c r="AM56" s="32"/>
      <c r="AN56" s="27"/>
      <c r="AO56" s="36"/>
      <c r="AP56" s="31"/>
      <c r="AQ56" s="32"/>
      <c r="AR56" s="27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7">
        <f t="shared" si="2"/>
        <v>446588</v>
      </c>
      <c r="BK56" s="38">
        <f t="shared" si="0"/>
        <v>446588</v>
      </c>
    </row>
    <row r="57" spans="2:63" s="39" customFormat="1" ht="23.25" customHeight="1">
      <c r="B57" s="97">
        <v>42</v>
      </c>
      <c r="C57" s="97" t="s">
        <v>39</v>
      </c>
      <c r="D57" s="106">
        <v>30480574</v>
      </c>
      <c r="E57" s="103" t="s">
        <v>196</v>
      </c>
      <c r="F57" s="100" t="s">
        <v>146</v>
      </c>
      <c r="G57" s="27" t="s">
        <v>147</v>
      </c>
      <c r="H57" s="26" t="s">
        <v>175</v>
      </c>
      <c r="I57" s="49" t="s">
        <v>44</v>
      </c>
      <c r="J57" s="34">
        <v>359033</v>
      </c>
      <c r="K57" s="34">
        <v>309354</v>
      </c>
      <c r="L57" s="34">
        <v>1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23205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1">
        <f t="shared" si="1"/>
        <v>23205</v>
      </c>
      <c r="Z57" s="31">
        <v>27690</v>
      </c>
      <c r="AA57" s="32">
        <v>6</v>
      </c>
      <c r="AB57" s="33">
        <v>44229</v>
      </c>
      <c r="AC57" s="33">
        <v>44250</v>
      </c>
      <c r="AD57" s="31"/>
      <c r="AE57" s="35"/>
      <c r="AF57" s="27"/>
      <c r="AG57" s="33"/>
      <c r="AH57" s="31"/>
      <c r="AI57" s="32"/>
      <c r="AJ57" s="27"/>
      <c r="AK57" s="36"/>
      <c r="AL57" s="31"/>
      <c r="AM57" s="32"/>
      <c r="AN57" s="27"/>
      <c r="AO57" s="36"/>
      <c r="AP57" s="31"/>
      <c r="AQ57" s="32"/>
      <c r="AR57" s="27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7">
        <f t="shared" si="2"/>
        <v>27690</v>
      </c>
      <c r="BK57" s="38">
        <f t="shared" si="0"/>
        <v>4485</v>
      </c>
    </row>
    <row r="58" spans="2:63" s="39" customFormat="1" ht="23.25" customHeight="1">
      <c r="B58" s="97">
        <v>43</v>
      </c>
      <c r="C58" s="97" t="s">
        <v>39</v>
      </c>
      <c r="D58" s="106">
        <v>40017378</v>
      </c>
      <c r="E58" s="103" t="s">
        <v>197</v>
      </c>
      <c r="F58" s="100" t="s">
        <v>146</v>
      </c>
      <c r="G58" s="27" t="s">
        <v>147</v>
      </c>
      <c r="H58" s="26" t="s">
        <v>171</v>
      </c>
      <c r="I58" s="49" t="s">
        <v>44</v>
      </c>
      <c r="J58" s="34">
        <v>3997068</v>
      </c>
      <c r="K58" s="34">
        <v>3697050</v>
      </c>
      <c r="L58" s="34">
        <v>2097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1">
        <f t="shared" si="1"/>
        <v>0</v>
      </c>
      <c r="Z58" s="31">
        <v>291365</v>
      </c>
      <c r="AA58" s="32">
        <v>6</v>
      </c>
      <c r="AB58" s="33">
        <v>44229</v>
      </c>
      <c r="AC58" s="33">
        <v>44250</v>
      </c>
      <c r="AD58" s="31">
        <v>-291364</v>
      </c>
      <c r="AE58" s="32">
        <v>21</v>
      </c>
      <c r="AF58" s="33">
        <v>44291</v>
      </c>
      <c r="AG58" s="33">
        <v>44309</v>
      </c>
      <c r="AH58" s="31"/>
      <c r="AI58" s="32"/>
      <c r="AJ58" s="27"/>
      <c r="AK58" s="36"/>
      <c r="AL58" s="31"/>
      <c r="AM58" s="32"/>
      <c r="AN58" s="27"/>
      <c r="AO58" s="36"/>
      <c r="AP58" s="31"/>
      <c r="AQ58" s="32"/>
      <c r="AR58" s="27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7">
        <f t="shared" si="2"/>
        <v>1</v>
      </c>
      <c r="BK58" s="38">
        <f t="shared" si="0"/>
        <v>1</v>
      </c>
    </row>
    <row r="59" spans="2:63" s="39" customFormat="1" ht="23.25" customHeight="1">
      <c r="B59" s="97">
        <v>44</v>
      </c>
      <c r="C59" s="97" t="s">
        <v>39</v>
      </c>
      <c r="D59" s="106">
        <v>30227573</v>
      </c>
      <c r="E59" s="103" t="s">
        <v>198</v>
      </c>
      <c r="F59" s="100" t="s">
        <v>158</v>
      </c>
      <c r="G59" s="27" t="s">
        <v>147</v>
      </c>
      <c r="H59" s="26" t="s">
        <v>199</v>
      </c>
      <c r="I59" s="49" t="s">
        <v>44</v>
      </c>
      <c r="J59" s="34">
        <v>80777</v>
      </c>
      <c r="K59" s="34">
        <v>44976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1">
        <f t="shared" si="1"/>
        <v>0</v>
      </c>
      <c r="Z59" s="31">
        <v>35014</v>
      </c>
      <c r="AA59" s="32">
        <v>6</v>
      </c>
      <c r="AB59" s="33">
        <v>44229</v>
      </c>
      <c r="AC59" s="33">
        <v>44250</v>
      </c>
      <c r="AD59" s="31">
        <v>-7014</v>
      </c>
      <c r="AE59" s="32">
        <v>29</v>
      </c>
      <c r="AF59" s="33">
        <v>44316</v>
      </c>
      <c r="AG59" s="33">
        <v>44334</v>
      </c>
      <c r="AH59" s="31"/>
      <c r="AI59" s="32"/>
      <c r="AJ59" s="27"/>
      <c r="AK59" s="36"/>
      <c r="AL59" s="31"/>
      <c r="AM59" s="32"/>
      <c r="AN59" s="27"/>
      <c r="AO59" s="36"/>
      <c r="AP59" s="31"/>
      <c r="AQ59" s="32"/>
      <c r="AR59" s="27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7">
        <f t="shared" si="2"/>
        <v>28000</v>
      </c>
      <c r="BK59" s="38">
        <f t="shared" si="0"/>
        <v>28000</v>
      </c>
    </row>
    <row r="60" spans="2:63" s="39" customFormat="1" ht="23.25" customHeight="1">
      <c r="B60" s="97">
        <v>45</v>
      </c>
      <c r="C60" s="97" t="s">
        <v>39</v>
      </c>
      <c r="D60" s="106">
        <v>40021428</v>
      </c>
      <c r="E60" s="103" t="s">
        <v>200</v>
      </c>
      <c r="F60" s="100" t="s">
        <v>146</v>
      </c>
      <c r="G60" s="27" t="s">
        <v>147</v>
      </c>
      <c r="H60" s="26" t="s">
        <v>148</v>
      </c>
      <c r="I60" s="49" t="s">
        <v>44</v>
      </c>
      <c r="J60" s="34">
        <v>188807</v>
      </c>
      <c r="K60" s="34">
        <v>21472</v>
      </c>
      <c r="L60" s="34">
        <v>10225</v>
      </c>
      <c r="M60" s="34">
        <v>0</v>
      </c>
      <c r="N60" s="34">
        <v>4000</v>
      </c>
      <c r="O60" s="34">
        <v>3000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1">
        <f t="shared" si="1"/>
        <v>7000</v>
      </c>
      <c r="Z60" s="31">
        <v>8502</v>
      </c>
      <c r="AA60" s="32">
        <v>6</v>
      </c>
      <c r="AB60" s="33">
        <v>44229</v>
      </c>
      <c r="AC60" s="33">
        <v>44250</v>
      </c>
      <c r="AD60" s="31">
        <v>100823</v>
      </c>
      <c r="AE60" s="32">
        <v>33</v>
      </c>
      <c r="AF60" s="33">
        <v>44330</v>
      </c>
      <c r="AG60" s="33">
        <v>44342</v>
      </c>
      <c r="AH60" s="31"/>
      <c r="AI60" s="32"/>
      <c r="AJ60" s="27"/>
      <c r="AK60" s="36"/>
      <c r="AL60" s="31"/>
      <c r="AM60" s="32"/>
      <c r="AN60" s="27"/>
      <c r="AO60" s="36"/>
      <c r="AP60" s="31"/>
      <c r="AQ60" s="32"/>
      <c r="AR60" s="27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7">
        <f t="shared" si="2"/>
        <v>109325</v>
      </c>
      <c r="BK60" s="38">
        <f t="shared" si="0"/>
        <v>102325</v>
      </c>
    </row>
    <row r="61" spans="2:63" s="39" customFormat="1" ht="23.25" customHeight="1">
      <c r="B61" s="97">
        <v>46</v>
      </c>
      <c r="C61" s="97" t="s">
        <v>39</v>
      </c>
      <c r="D61" s="106">
        <v>30080833</v>
      </c>
      <c r="E61" s="103" t="s">
        <v>201</v>
      </c>
      <c r="F61" s="100" t="s">
        <v>146</v>
      </c>
      <c r="G61" s="27" t="s">
        <v>147</v>
      </c>
      <c r="H61" s="26" t="s">
        <v>148</v>
      </c>
      <c r="I61" s="49" t="s">
        <v>44</v>
      </c>
      <c r="J61" s="34">
        <v>34464793</v>
      </c>
      <c r="K61" s="34">
        <v>30787709</v>
      </c>
      <c r="L61" s="34">
        <v>0</v>
      </c>
      <c r="M61" s="34">
        <v>0</v>
      </c>
      <c r="N61" s="34">
        <v>2470</v>
      </c>
      <c r="O61" s="34">
        <v>4940</v>
      </c>
      <c r="P61" s="34">
        <v>2470</v>
      </c>
      <c r="Q61" s="34">
        <v>2470</v>
      </c>
      <c r="R61" s="34">
        <v>2470</v>
      </c>
      <c r="S61" s="34">
        <v>2470</v>
      </c>
      <c r="T61" s="34">
        <v>87660</v>
      </c>
      <c r="U61" s="34">
        <v>2470</v>
      </c>
      <c r="V61" s="34">
        <v>0</v>
      </c>
      <c r="W61" s="34">
        <v>0</v>
      </c>
      <c r="X61" s="34">
        <v>0</v>
      </c>
      <c r="Y61" s="31">
        <f t="shared" si="1"/>
        <v>107420</v>
      </c>
      <c r="Z61" s="31">
        <v>839640</v>
      </c>
      <c r="AA61" s="32">
        <v>6</v>
      </c>
      <c r="AB61" s="33">
        <v>44229</v>
      </c>
      <c r="AC61" s="33">
        <v>44250</v>
      </c>
      <c r="AD61" s="31"/>
      <c r="AE61" s="35"/>
      <c r="AF61" s="27"/>
      <c r="AG61" s="33"/>
      <c r="AH61" s="31"/>
      <c r="AI61" s="32"/>
      <c r="AJ61" s="27"/>
      <c r="AK61" s="36"/>
      <c r="AL61" s="31"/>
      <c r="AM61" s="32"/>
      <c r="AN61" s="27"/>
      <c r="AO61" s="36"/>
      <c r="AP61" s="31"/>
      <c r="AQ61" s="32"/>
      <c r="AR61" s="27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7">
        <f t="shared" si="2"/>
        <v>839640</v>
      </c>
      <c r="BK61" s="38">
        <f t="shared" si="0"/>
        <v>732220</v>
      </c>
    </row>
    <row r="62" spans="2:63" s="39" customFormat="1" ht="23.25" customHeight="1">
      <c r="B62" s="97">
        <v>47</v>
      </c>
      <c r="C62" s="97" t="s">
        <v>39</v>
      </c>
      <c r="D62" s="106">
        <v>30102049</v>
      </c>
      <c r="E62" s="103" t="s">
        <v>202</v>
      </c>
      <c r="F62" s="100" t="s">
        <v>146</v>
      </c>
      <c r="G62" s="27" t="s">
        <v>147</v>
      </c>
      <c r="H62" s="26" t="s">
        <v>155</v>
      </c>
      <c r="I62" s="49" t="s">
        <v>44</v>
      </c>
      <c r="J62" s="34">
        <v>4694880</v>
      </c>
      <c r="K62" s="34">
        <v>3512824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4">
        <v>0</v>
      </c>
      <c r="X62" s="34">
        <v>0</v>
      </c>
      <c r="Y62" s="31">
        <f t="shared" si="1"/>
        <v>0</v>
      </c>
      <c r="Z62" s="31">
        <v>1</v>
      </c>
      <c r="AA62" s="32">
        <v>6</v>
      </c>
      <c r="AB62" s="33">
        <v>44229</v>
      </c>
      <c r="AC62" s="33">
        <v>44250</v>
      </c>
      <c r="AD62" s="31">
        <v>174366</v>
      </c>
      <c r="AE62" s="32">
        <v>40</v>
      </c>
      <c r="AF62" s="33">
        <v>44358</v>
      </c>
      <c r="AG62" s="33">
        <v>44371</v>
      </c>
      <c r="AH62" s="31"/>
      <c r="AI62" s="32"/>
      <c r="AJ62" s="27"/>
      <c r="AK62" s="36"/>
      <c r="AL62" s="31"/>
      <c r="AM62" s="32"/>
      <c r="AN62" s="27"/>
      <c r="AO62" s="36"/>
      <c r="AP62" s="31"/>
      <c r="AQ62" s="32"/>
      <c r="AR62" s="27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7">
        <f t="shared" si="2"/>
        <v>174367</v>
      </c>
      <c r="BK62" s="38">
        <f t="shared" si="0"/>
        <v>174367</v>
      </c>
    </row>
    <row r="63" spans="2:63" s="39" customFormat="1" ht="23.25" customHeight="1">
      <c r="B63" s="97">
        <v>48</v>
      </c>
      <c r="C63" s="97" t="s">
        <v>39</v>
      </c>
      <c r="D63" s="106">
        <v>30485475</v>
      </c>
      <c r="E63" s="103" t="s">
        <v>203</v>
      </c>
      <c r="F63" s="100" t="s">
        <v>146</v>
      </c>
      <c r="G63" s="27" t="s">
        <v>147</v>
      </c>
      <c r="H63" s="26" t="s">
        <v>155</v>
      </c>
      <c r="I63" s="49" t="s">
        <v>52</v>
      </c>
      <c r="J63" s="34">
        <v>173442</v>
      </c>
      <c r="K63" s="34">
        <v>3067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1">
        <f t="shared" si="1"/>
        <v>0</v>
      </c>
      <c r="Z63" s="31">
        <v>2</v>
      </c>
      <c r="AA63" s="32">
        <v>6</v>
      </c>
      <c r="AB63" s="33">
        <v>44229</v>
      </c>
      <c r="AC63" s="33">
        <v>44250</v>
      </c>
      <c r="AD63" s="31"/>
      <c r="AE63" s="35"/>
      <c r="AF63" s="27"/>
      <c r="AG63" s="33"/>
      <c r="AH63" s="31"/>
      <c r="AI63" s="32"/>
      <c r="AJ63" s="27"/>
      <c r="AK63" s="36"/>
      <c r="AL63" s="31"/>
      <c r="AM63" s="32"/>
      <c r="AN63" s="27"/>
      <c r="AO63" s="36"/>
      <c r="AP63" s="31"/>
      <c r="AQ63" s="32"/>
      <c r="AR63" s="27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7">
        <f t="shared" si="2"/>
        <v>2</v>
      </c>
      <c r="BK63" s="38">
        <f t="shared" si="0"/>
        <v>2</v>
      </c>
    </row>
    <row r="64" spans="2:63" s="39" customFormat="1" ht="24">
      <c r="B64" s="97">
        <v>49</v>
      </c>
      <c r="C64" s="97" t="s">
        <v>39</v>
      </c>
      <c r="D64" s="106">
        <v>30391222</v>
      </c>
      <c r="E64" s="103" t="s">
        <v>204</v>
      </c>
      <c r="F64" s="100" t="s">
        <v>146</v>
      </c>
      <c r="G64" s="27" t="s">
        <v>147</v>
      </c>
      <c r="H64" s="26" t="s">
        <v>171</v>
      </c>
      <c r="I64" s="49" t="s">
        <v>44</v>
      </c>
      <c r="J64" s="34">
        <v>358854</v>
      </c>
      <c r="K64" s="34">
        <v>17611</v>
      </c>
      <c r="L64" s="34">
        <v>1</v>
      </c>
      <c r="M64" s="34">
        <v>0</v>
      </c>
      <c r="N64" s="34">
        <v>42852</v>
      </c>
      <c r="O64" s="34">
        <v>10984</v>
      </c>
      <c r="P64" s="34">
        <f>1600+39285</f>
        <v>40885</v>
      </c>
      <c r="Q64" s="34">
        <v>1600</v>
      </c>
      <c r="R64" s="34">
        <v>1600</v>
      </c>
      <c r="S64" s="34">
        <v>108992</v>
      </c>
      <c r="T64" s="34">
        <v>1600</v>
      </c>
      <c r="U64" s="34">
        <v>65482</v>
      </c>
      <c r="V64" s="34">
        <v>0</v>
      </c>
      <c r="W64" s="34">
        <v>0</v>
      </c>
      <c r="X64" s="34">
        <v>0</v>
      </c>
      <c r="Y64" s="31">
        <f t="shared" si="1"/>
        <v>273995</v>
      </c>
      <c r="Z64" s="31">
        <v>349132</v>
      </c>
      <c r="AA64" s="32">
        <v>7</v>
      </c>
      <c r="AB64" s="33">
        <v>44229</v>
      </c>
      <c r="AC64" s="33">
        <v>44250</v>
      </c>
      <c r="AD64" s="31"/>
      <c r="AE64" s="35"/>
      <c r="AF64" s="27"/>
      <c r="AG64" s="33"/>
      <c r="AH64" s="31"/>
      <c r="AI64" s="32"/>
      <c r="AJ64" s="27"/>
      <c r="AK64" s="36"/>
      <c r="AL64" s="31"/>
      <c r="AM64" s="32"/>
      <c r="AN64" s="27"/>
      <c r="AO64" s="36"/>
      <c r="AP64" s="31"/>
      <c r="AQ64" s="32"/>
      <c r="AR64" s="27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7">
        <f t="shared" si="2"/>
        <v>349132</v>
      </c>
      <c r="BK64" s="38">
        <f t="shared" si="0"/>
        <v>75137</v>
      </c>
    </row>
    <row r="65" spans="2:63" s="39" customFormat="1" ht="24">
      <c r="B65" s="97">
        <v>50</v>
      </c>
      <c r="C65" s="97" t="s">
        <v>39</v>
      </c>
      <c r="D65" s="106">
        <v>30070061</v>
      </c>
      <c r="E65" s="103" t="s">
        <v>205</v>
      </c>
      <c r="F65" s="100" t="s">
        <v>146</v>
      </c>
      <c r="G65" s="27" t="s">
        <v>147</v>
      </c>
      <c r="H65" s="26" t="s">
        <v>171</v>
      </c>
      <c r="I65" s="49" t="s">
        <v>44</v>
      </c>
      <c r="J65" s="34">
        <v>3649103</v>
      </c>
      <c r="K65" s="34">
        <v>23810</v>
      </c>
      <c r="L65" s="34">
        <v>2353140</v>
      </c>
      <c r="M65" s="34">
        <v>0</v>
      </c>
      <c r="N65" s="34">
        <v>9919</v>
      </c>
      <c r="O65" s="34">
        <v>0</v>
      </c>
      <c r="P65" s="34">
        <v>0</v>
      </c>
      <c r="Q65" s="34">
        <v>14878</v>
      </c>
      <c r="R65" s="34">
        <v>14878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1">
        <f t="shared" si="1"/>
        <v>39675</v>
      </c>
      <c r="Z65" s="31">
        <v>49596</v>
      </c>
      <c r="AA65" s="32">
        <v>7</v>
      </c>
      <c r="AB65" s="33">
        <v>44229</v>
      </c>
      <c r="AC65" s="33">
        <v>44250</v>
      </c>
      <c r="AD65" s="31"/>
      <c r="AE65" s="35"/>
      <c r="AF65" s="27"/>
      <c r="AG65" s="33"/>
      <c r="AH65" s="31"/>
      <c r="AI65" s="32"/>
      <c r="AJ65" s="27"/>
      <c r="AK65" s="36"/>
      <c r="AL65" s="31"/>
      <c r="AM65" s="32"/>
      <c r="AN65" s="27"/>
      <c r="AO65" s="36"/>
      <c r="AP65" s="31"/>
      <c r="AQ65" s="32"/>
      <c r="AR65" s="27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7">
        <f t="shared" si="2"/>
        <v>49596</v>
      </c>
      <c r="BK65" s="38">
        <f t="shared" si="0"/>
        <v>9921</v>
      </c>
    </row>
    <row r="66" spans="2:63" s="39" customFormat="1" ht="24" customHeight="1">
      <c r="B66" s="97">
        <v>51</v>
      </c>
      <c r="C66" s="97" t="s">
        <v>39</v>
      </c>
      <c r="D66" s="106">
        <v>40017726</v>
      </c>
      <c r="E66" s="108" t="s">
        <v>206</v>
      </c>
      <c r="F66" s="100" t="s">
        <v>146</v>
      </c>
      <c r="G66" s="27" t="s">
        <v>147</v>
      </c>
      <c r="H66" s="26" t="s">
        <v>150</v>
      </c>
      <c r="I66" s="49" t="s">
        <v>52</v>
      </c>
      <c r="J66" s="34">
        <v>571713</v>
      </c>
      <c r="K66" s="34">
        <v>0</v>
      </c>
      <c r="L66" s="34">
        <v>514543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34">
        <v>0</v>
      </c>
      <c r="W66" s="34">
        <v>0</v>
      </c>
      <c r="X66" s="34">
        <v>0</v>
      </c>
      <c r="Y66" s="31">
        <f t="shared" si="1"/>
        <v>0</v>
      </c>
      <c r="Z66" s="31">
        <v>2</v>
      </c>
      <c r="AA66" s="32">
        <v>9</v>
      </c>
      <c r="AB66" s="33">
        <v>44238</v>
      </c>
      <c r="AC66" s="33">
        <v>44259</v>
      </c>
      <c r="AD66" s="31"/>
      <c r="AE66" s="35"/>
      <c r="AF66" s="27"/>
      <c r="AG66" s="33"/>
      <c r="AH66" s="31"/>
      <c r="AI66" s="32"/>
      <c r="AJ66" s="27"/>
      <c r="AK66" s="36"/>
      <c r="AL66" s="31"/>
      <c r="AM66" s="32"/>
      <c r="AN66" s="27"/>
      <c r="AO66" s="36"/>
      <c r="AP66" s="31"/>
      <c r="AQ66" s="32"/>
      <c r="AR66" s="27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7">
        <f t="shared" si="2"/>
        <v>2</v>
      </c>
      <c r="BK66" s="38">
        <f t="shared" si="0"/>
        <v>2</v>
      </c>
    </row>
    <row r="67" spans="2:63" s="39" customFormat="1" ht="24" customHeight="1">
      <c r="B67" s="97">
        <v>52</v>
      </c>
      <c r="C67" s="97" t="s">
        <v>39</v>
      </c>
      <c r="D67" s="106">
        <v>40021415</v>
      </c>
      <c r="E67" s="103" t="s">
        <v>207</v>
      </c>
      <c r="F67" s="100" t="s">
        <v>158</v>
      </c>
      <c r="G67" s="27" t="s">
        <v>147</v>
      </c>
      <c r="H67" s="26" t="s">
        <v>148</v>
      </c>
      <c r="I67" s="49" t="s">
        <v>52</v>
      </c>
      <c r="J67" s="34">
        <v>919195</v>
      </c>
      <c r="K67" s="34">
        <v>0</v>
      </c>
      <c r="L67" s="34">
        <v>109674</v>
      </c>
      <c r="M67" s="34">
        <v>0</v>
      </c>
      <c r="N67" s="34">
        <v>0</v>
      </c>
      <c r="O67" s="34">
        <v>3500</v>
      </c>
      <c r="P67" s="34">
        <v>3500</v>
      </c>
      <c r="Q67" s="34">
        <v>3500</v>
      </c>
      <c r="R67" s="34">
        <v>3500</v>
      </c>
      <c r="S67" s="34">
        <f>1500+2000</f>
        <v>3500</v>
      </c>
      <c r="T67" s="34">
        <f>2000+1500</f>
        <v>3500</v>
      </c>
      <c r="U67" s="34">
        <f>1500+2000</f>
        <v>3500</v>
      </c>
      <c r="V67" s="34">
        <v>0</v>
      </c>
      <c r="W67" s="34">
        <v>0</v>
      </c>
      <c r="X67" s="34">
        <v>0</v>
      </c>
      <c r="Y67" s="31">
        <f t="shared" si="1"/>
        <v>24500</v>
      </c>
      <c r="Z67" s="31">
        <v>766500</v>
      </c>
      <c r="AA67" s="32">
        <v>10</v>
      </c>
      <c r="AB67" s="33">
        <v>44239</v>
      </c>
      <c r="AC67" s="33">
        <v>44259</v>
      </c>
      <c r="AD67" s="31">
        <v>25000</v>
      </c>
      <c r="AE67" s="32">
        <v>19</v>
      </c>
      <c r="AF67" s="33">
        <v>44274</v>
      </c>
      <c r="AG67" s="33">
        <v>44298</v>
      </c>
      <c r="AH67" s="31"/>
      <c r="AI67" s="32"/>
      <c r="AJ67" s="27"/>
      <c r="AK67" s="36"/>
      <c r="AL67" s="31"/>
      <c r="AM67" s="32"/>
      <c r="AN67" s="27"/>
      <c r="AO67" s="36"/>
      <c r="AP67" s="31"/>
      <c r="AQ67" s="32"/>
      <c r="AR67" s="27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7">
        <f t="shared" si="2"/>
        <v>791500</v>
      </c>
      <c r="BK67" s="38">
        <f t="shared" si="0"/>
        <v>767000</v>
      </c>
    </row>
    <row r="68" spans="2:63" s="39" customFormat="1" ht="24" customHeight="1">
      <c r="B68" s="97">
        <v>53</v>
      </c>
      <c r="C68" s="97" t="s">
        <v>39</v>
      </c>
      <c r="D68" s="106">
        <v>40025087</v>
      </c>
      <c r="E68" s="103" t="s">
        <v>208</v>
      </c>
      <c r="F68" s="100" t="s">
        <v>158</v>
      </c>
      <c r="G68" s="27" t="s">
        <v>147</v>
      </c>
      <c r="H68" s="26" t="s">
        <v>150</v>
      </c>
      <c r="I68" s="49" t="s">
        <v>52</v>
      </c>
      <c r="J68" s="34">
        <v>190623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662</v>
      </c>
      <c r="U68" s="34">
        <v>0</v>
      </c>
      <c r="V68" s="34">
        <v>0</v>
      </c>
      <c r="W68" s="34">
        <v>0</v>
      </c>
      <c r="X68" s="34">
        <v>0</v>
      </c>
      <c r="Y68" s="31">
        <f t="shared" si="1"/>
        <v>662</v>
      </c>
      <c r="Z68" s="31">
        <v>48481</v>
      </c>
      <c r="AA68" s="32">
        <v>10</v>
      </c>
      <c r="AB68" s="33">
        <v>44239</v>
      </c>
      <c r="AC68" s="33">
        <v>44259</v>
      </c>
      <c r="AD68" s="31"/>
      <c r="AE68" s="35"/>
      <c r="AF68" s="27"/>
      <c r="AG68" s="33"/>
      <c r="AH68" s="31"/>
      <c r="AI68" s="32"/>
      <c r="AJ68" s="27"/>
      <c r="AK68" s="36"/>
      <c r="AL68" s="31"/>
      <c r="AM68" s="32"/>
      <c r="AN68" s="27"/>
      <c r="AO68" s="36"/>
      <c r="AP68" s="31"/>
      <c r="AQ68" s="32"/>
      <c r="AR68" s="27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7">
        <f t="shared" si="2"/>
        <v>48481</v>
      </c>
      <c r="BK68" s="38">
        <f t="shared" si="0"/>
        <v>47819</v>
      </c>
    </row>
    <row r="69" spans="2:63" s="39" customFormat="1" ht="24" customHeight="1">
      <c r="B69" s="97">
        <v>54</v>
      </c>
      <c r="C69" s="97" t="s">
        <v>65</v>
      </c>
      <c r="D69" s="106">
        <v>40010908</v>
      </c>
      <c r="E69" s="109" t="s">
        <v>209</v>
      </c>
      <c r="F69" s="100" t="s">
        <v>146</v>
      </c>
      <c r="G69" s="27" t="s">
        <v>147</v>
      </c>
      <c r="H69" s="26" t="s">
        <v>150</v>
      </c>
      <c r="I69" s="49" t="s">
        <v>52</v>
      </c>
      <c r="J69" s="34">
        <v>16894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>
        <v>0</v>
      </c>
      <c r="X69" s="34">
        <v>0</v>
      </c>
      <c r="Y69" s="31">
        <f t="shared" si="1"/>
        <v>0</v>
      </c>
      <c r="Z69" s="31">
        <v>16104</v>
      </c>
      <c r="AA69" s="32">
        <v>19</v>
      </c>
      <c r="AB69" s="33">
        <v>44274</v>
      </c>
      <c r="AC69" s="33">
        <v>44298</v>
      </c>
      <c r="AD69" s="31"/>
      <c r="AE69" s="35"/>
      <c r="AF69" s="27"/>
      <c r="AG69" s="33"/>
      <c r="AH69" s="31"/>
      <c r="AI69" s="32"/>
      <c r="AJ69" s="27"/>
      <c r="AK69" s="36"/>
      <c r="AL69" s="31"/>
      <c r="AM69" s="32"/>
      <c r="AN69" s="27"/>
      <c r="AO69" s="36"/>
      <c r="AP69" s="31"/>
      <c r="AQ69" s="32"/>
      <c r="AR69" s="27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7">
        <f t="shared" si="2"/>
        <v>16104</v>
      </c>
      <c r="BK69" s="38">
        <f t="shared" si="0"/>
        <v>16104</v>
      </c>
    </row>
    <row r="70" spans="2:63" s="39" customFormat="1" ht="24" customHeight="1">
      <c r="B70" s="97">
        <v>55</v>
      </c>
      <c r="C70" s="97" t="s">
        <v>65</v>
      </c>
      <c r="D70" s="106">
        <v>10018058</v>
      </c>
      <c r="E70" s="109" t="s">
        <v>210</v>
      </c>
      <c r="F70" s="100" t="s">
        <v>146</v>
      </c>
      <c r="G70" s="27" t="s">
        <v>147</v>
      </c>
      <c r="H70" s="26" t="s">
        <v>150</v>
      </c>
      <c r="I70" s="49" t="s">
        <v>52</v>
      </c>
      <c r="J70" s="34">
        <v>54944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1">
        <f t="shared" si="1"/>
        <v>0</v>
      </c>
      <c r="Z70" s="31">
        <v>27997</v>
      </c>
      <c r="AA70" s="32">
        <v>19</v>
      </c>
      <c r="AB70" s="33">
        <v>44274</v>
      </c>
      <c r="AC70" s="33">
        <v>44298</v>
      </c>
      <c r="AD70" s="31"/>
      <c r="AE70" s="35"/>
      <c r="AF70" s="27"/>
      <c r="AG70" s="33"/>
      <c r="AH70" s="31"/>
      <c r="AI70" s="32"/>
      <c r="AJ70" s="27"/>
      <c r="AK70" s="36"/>
      <c r="AL70" s="31"/>
      <c r="AM70" s="32"/>
      <c r="AN70" s="27"/>
      <c r="AO70" s="36"/>
      <c r="AP70" s="31"/>
      <c r="AQ70" s="32"/>
      <c r="AR70" s="27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7">
        <f t="shared" si="2"/>
        <v>27997</v>
      </c>
      <c r="BK70" s="38">
        <f t="shared" si="0"/>
        <v>27997</v>
      </c>
    </row>
    <row r="71" spans="2:63" s="39" customFormat="1" ht="24" customHeight="1">
      <c r="B71" s="97">
        <v>56</v>
      </c>
      <c r="C71" s="97" t="s">
        <v>65</v>
      </c>
      <c r="D71" s="106">
        <v>40012110</v>
      </c>
      <c r="E71" s="109" t="s">
        <v>211</v>
      </c>
      <c r="F71" s="100" t="s">
        <v>146</v>
      </c>
      <c r="G71" s="27" t="s">
        <v>147</v>
      </c>
      <c r="H71" s="110" t="s">
        <v>175</v>
      </c>
      <c r="I71" s="49" t="s">
        <v>52</v>
      </c>
      <c r="J71" s="34">
        <v>114505</v>
      </c>
      <c r="K71" s="34">
        <v>0</v>
      </c>
      <c r="L71" s="34">
        <v>39531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0</v>
      </c>
      <c r="Y71" s="31">
        <f t="shared" si="1"/>
        <v>0</v>
      </c>
      <c r="Z71" s="31">
        <v>63673</v>
      </c>
      <c r="AA71" s="32">
        <v>19</v>
      </c>
      <c r="AB71" s="33">
        <v>44274</v>
      </c>
      <c r="AC71" s="33">
        <v>44298</v>
      </c>
      <c r="AD71" s="31">
        <v>-9095</v>
      </c>
      <c r="AE71" s="32">
        <v>38</v>
      </c>
      <c r="AF71" s="33">
        <v>44355</v>
      </c>
      <c r="AG71" s="33">
        <v>44363</v>
      </c>
      <c r="AH71" s="31">
        <v>-9098</v>
      </c>
      <c r="AI71" s="32">
        <v>48</v>
      </c>
      <c r="AJ71" s="33">
        <v>44390</v>
      </c>
      <c r="AK71" s="131">
        <v>44407</v>
      </c>
      <c r="AL71" s="31"/>
      <c r="AM71" s="32"/>
      <c r="AN71" s="27"/>
      <c r="AO71" s="36"/>
      <c r="AP71" s="31"/>
      <c r="AQ71" s="32"/>
      <c r="AR71" s="27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7">
        <f t="shared" si="2"/>
        <v>45480</v>
      </c>
      <c r="BK71" s="38">
        <f t="shared" si="0"/>
        <v>45480</v>
      </c>
    </row>
    <row r="72" spans="2:63" s="39" customFormat="1" ht="24" customHeight="1">
      <c r="B72" s="97">
        <v>57</v>
      </c>
      <c r="C72" s="97" t="s">
        <v>65</v>
      </c>
      <c r="D72" s="106">
        <v>40008497</v>
      </c>
      <c r="E72" s="103" t="s">
        <v>212</v>
      </c>
      <c r="F72" s="100" t="s">
        <v>146</v>
      </c>
      <c r="G72" s="27" t="s">
        <v>147</v>
      </c>
      <c r="H72" s="110" t="s">
        <v>150</v>
      </c>
      <c r="I72" s="49" t="s">
        <v>52</v>
      </c>
      <c r="J72" s="34">
        <v>950743</v>
      </c>
      <c r="K72" s="34">
        <v>0</v>
      </c>
      <c r="L72" s="34">
        <v>516269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0</v>
      </c>
      <c r="X72" s="34">
        <v>0</v>
      </c>
      <c r="Y72" s="31">
        <f t="shared" si="1"/>
        <v>0</v>
      </c>
      <c r="Z72" s="31">
        <v>75000</v>
      </c>
      <c r="AA72" s="32">
        <v>19</v>
      </c>
      <c r="AB72" s="33">
        <v>44274</v>
      </c>
      <c r="AC72" s="33">
        <v>44298</v>
      </c>
      <c r="AD72" s="31">
        <v>-25000</v>
      </c>
      <c r="AE72" s="35">
        <v>48</v>
      </c>
      <c r="AF72" s="33">
        <v>44390</v>
      </c>
      <c r="AG72" s="33">
        <v>44407</v>
      </c>
      <c r="AH72" s="31"/>
      <c r="AI72" s="32"/>
      <c r="AJ72" s="27"/>
      <c r="AK72" s="36"/>
      <c r="AL72" s="31"/>
      <c r="AM72" s="32"/>
      <c r="AN72" s="27"/>
      <c r="AO72" s="36"/>
      <c r="AP72" s="31"/>
      <c r="AQ72" s="32"/>
      <c r="AR72" s="27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7">
        <f t="shared" si="2"/>
        <v>50000</v>
      </c>
      <c r="BK72" s="38">
        <f t="shared" si="0"/>
        <v>50000</v>
      </c>
    </row>
    <row r="73" spans="2:63" s="39" customFormat="1" ht="24" customHeight="1">
      <c r="B73" s="97">
        <v>58</v>
      </c>
      <c r="C73" s="97" t="s">
        <v>65</v>
      </c>
      <c r="D73" s="106">
        <v>40016221</v>
      </c>
      <c r="E73" s="109" t="s">
        <v>213</v>
      </c>
      <c r="F73" s="100" t="s">
        <v>146</v>
      </c>
      <c r="G73" s="27" t="s">
        <v>147</v>
      </c>
      <c r="H73" s="110" t="s">
        <v>155</v>
      </c>
      <c r="I73" s="49" t="s">
        <v>52</v>
      </c>
      <c r="J73" s="34">
        <v>624395</v>
      </c>
      <c r="K73" s="34">
        <v>0</v>
      </c>
      <c r="L73" s="34">
        <v>414900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4">
        <v>0</v>
      </c>
      <c r="Y73" s="31">
        <f t="shared" si="1"/>
        <v>0</v>
      </c>
      <c r="Z73" s="31">
        <v>100707</v>
      </c>
      <c r="AA73" s="32">
        <v>19</v>
      </c>
      <c r="AB73" s="33">
        <v>44274</v>
      </c>
      <c r="AC73" s="33">
        <v>44298</v>
      </c>
      <c r="AD73" s="31">
        <v>-48707</v>
      </c>
      <c r="AE73" s="35">
        <v>48</v>
      </c>
      <c r="AF73" s="33">
        <v>44390</v>
      </c>
      <c r="AG73" s="33">
        <v>44407</v>
      </c>
      <c r="AH73" s="31"/>
      <c r="AI73" s="32"/>
      <c r="AJ73" s="27"/>
      <c r="AK73" s="36"/>
      <c r="AL73" s="31"/>
      <c r="AM73" s="32"/>
      <c r="AN73" s="27"/>
      <c r="AO73" s="36"/>
      <c r="AP73" s="31"/>
      <c r="AQ73" s="32"/>
      <c r="AR73" s="27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7">
        <f t="shared" si="2"/>
        <v>52000</v>
      </c>
      <c r="BK73" s="38">
        <f t="shared" si="0"/>
        <v>52000</v>
      </c>
    </row>
    <row r="74" spans="2:63" s="39" customFormat="1" ht="24" customHeight="1">
      <c r="B74" s="97">
        <v>59</v>
      </c>
      <c r="C74" s="97" t="s">
        <v>39</v>
      </c>
      <c r="D74" s="106">
        <v>40005835</v>
      </c>
      <c r="E74" s="109" t="s">
        <v>214</v>
      </c>
      <c r="F74" s="100" t="s">
        <v>146</v>
      </c>
      <c r="G74" s="27" t="s">
        <v>147</v>
      </c>
      <c r="H74" s="134" t="s">
        <v>199</v>
      </c>
      <c r="I74" s="49" t="s">
        <v>52</v>
      </c>
      <c r="J74" s="34">
        <v>604857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1">
        <f t="shared" si="1"/>
        <v>0</v>
      </c>
      <c r="Z74" s="31">
        <v>1</v>
      </c>
      <c r="AA74" s="32">
        <v>19</v>
      </c>
      <c r="AB74" s="33">
        <v>44274</v>
      </c>
      <c r="AC74" s="33">
        <v>44298</v>
      </c>
      <c r="AD74" s="31"/>
      <c r="AE74" s="35"/>
      <c r="AF74" s="27"/>
      <c r="AG74" s="33"/>
      <c r="AH74" s="31"/>
      <c r="AI74" s="32"/>
      <c r="AJ74" s="27"/>
      <c r="AK74" s="36"/>
      <c r="AL74" s="31"/>
      <c r="AM74" s="32"/>
      <c r="AN74" s="27"/>
      <c r="AO74" s="36"/>
      <c r="AP74" s="31"/>
      <c r="AQ74" s="32"/>
      <c r="AR74" s="27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7">
        <f t="shared" si="2"/>
        <v>1</v>
      </c>
      <c r="BK74" s="38">
        <f t="shared" si="0"/>
        <v>1</v>
      </c>
    </row>
    <row r="75" spans="2:63" s="39" customFormat="1" ht="24" customHeight="1">
      <c r="B75" s="97">
        <v>60</v>
      </c>
      <c r="C75" s="97" t="s">
        <v>39</v>
      </c>
      <c r="D75" s="106">
        <v>40006519</v>
      </c>
      <c r="E75" s="109" t="s">
        <v>215</v>
      </c>
      <c r="F75" s="100" t="s">
        <v>146</v>
      </c>
      <c r="G75" s="27" t="s">
        <v>147</v>
      </c>
      <c r="H75" s="26" t="s">
        <v>185</v>
      </c>
      <c r="I75" s="49" t="s">
        <v>52</v>
      </c>
      <c r="J75" s="34">
        <v>140818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1">
        <f t="shared" si="1"/>
        <v>0</v>
      </c>
      <c r="Z75" s="31">
        <v>89798</v>
      </c>
      <c r="AA75" s="32">
        <v>24</v>
      </c>
      <c r="AB75" s="33">
        <v>44298</v>
      </c>
      <c r="AC75" s="33">
        <v>44312</v>
      </c>
      <c r="AD75" s="31"/>
      <c r="AE75" s="35"/>
      <c r="AF75" s="27"/>
      <c r="AG75" s="33"/>
      <c r="AH75" s="31"/>
      <c r="AI75" s="32"/>
      <c r="AJ75" s="27"/>
      <c r="AK75" s="36"/>
      <c r="AL75" s="31"/>
      <c r="AM75" s="32"/>
      <c r="AN75" s="27"/>
      <c r="AO75" s="36"/>
      <c r="AP75" s="31"/>
      <c r="AQ75" s="32"/>
      <c r="AR75" s="27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7">
        <f t="shared" si="2"/>
        <v>89798</v>
      </c>
      <c r="BK75" s="38">
        <f t="shared" si="0"/>
        <v>89798</v>
      </c>
    </row>
    <row r="76" spans="2:63" s="39" customFormat="1" ht="24" customHeight="1">
      <c r="B76" s="97">
        <v>61</v>
      </c>
      <c r="C76" s="97" t="s">
        <v>39</v>
      </c>
      <c r="D76" s="106">
        <v>40011923</v>
      </c>
      <c r="E76" s="103" t="s">
        <v>216</v>
      </c>
      <c r="F76" s="100" t="s">
        <v>146</v>
      </c>
      <c r="G76" s="27" t="s">
        <v>147</v>
      </c>
      <c r="H76" s="26" t="s">
        <v>171</v>
      </c>
      <c r="I76" s="49" t="s">
        <v>52</v>
      </c>
      <c r="J76" s="34">
        <v>408039</v>
      </c>
      <c r="K76" s="34">
        <v>0</v>
      </c>
      <c r="L76" s="34">
        <v>3461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1">
        <f t="shared" si="1"/>
        <v>0</v>
      </c>
      <c r="Z76" s="31">
        <v>7001</v>
      </c>
      <c r="AA76" s="32">
        <v>30</v>
      </c>
      <c r="AB76" s="33">
        <v>44320</v>
      </c>
      <c r="AC76" s="33">
        <v>44334</v>
      </c>
      <c r="AD76" s="31"/>
      <c r="AE76" s="35"/>
      <c r="AF76" s="27"/>
      <c r="AG76" s="33"/>
      <c r="AH76" s="31"/>
      <c r="AI76" s="32"/>
      <c r="AJ76" s="27"/>
      <c r="AK76" s="36"/>
      <c r="AL76" s="31"/>
      <c r="AM76" s="32"/>
      <c r="AN76" s="27"/>
      <c r="AO76" s="36"/>
      <c r="AP76" s="31"/>
      <c r="AQ76" s="32"/>
      <c r="AR76" s="27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7">
        <f t="shared" si="2"/>
        <v>7001</v>
      </c>
      <c r="BK76" s="38">
        <f t="shared" si="0"/>
        <v>7001</v>
      </c>
    </row>
    <row r="77" spans="2:63" s="39" customFormat="1" ht="24" customHeight="1">
      <c r="B77" s="97">
        <v>62</v>
      </c>
      <c r="C77" s="97" t="s">
        <v>39</v>
      </c>
      <c r="D77" s="106">
        <v>40012335</v>
      </c>
      <c r="E77" s="103" t="s">
        <v>217</v>
      </c>
      <c r="F77" s="100" t="s">
        <v>146</v>
      </c>
      <c r="G77" s="27" t="s">
        <v>147</v>
      </c>
      <c r="H77" s="26" t="s">
        <v>148</v>
      </c>
      <c r="I77" s="49" t="s">
        <v>52</v>
      </c>
      <c r="J77" s="34">
        <v>283021</v>
      </c>
      <c r="K77" s="34">
        <v>0</v>
      </c>
      <c r="L77" s="34">
        <v>166666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1">
        <f t="shared" si="1"/>
        <v>0</v>
      </c>
      <c r="Z77" s="31">
        <v>10701</v>
      </c>
      <c r="AA77" s="32">
        <v>30</v>
      </c>
      <c r="AB77" s="33">
        <v>44320</v>
      </c>
      <c r="AC77" s="33">
        <v>44334</v>
      </c>
      <c r="AD77" s="31"/>
      <c r="AE77" s="35"/>
      <c r="AF77" s="27"/>
      <c r="AG77" s="33"/>
      <c r="AH77" s="31"/>
      <c r="AI77" s="32"/>
      <c r="AJ77" s="27"/>
      <c r="AK77" s="36"/>
      <c r="AL77" s="31"/>
      <c r="AM77" s="32"/>
      <c r="AN77" s="27"/>
      <c r="AO77" s="36"/>
      <c r="AP77" s="31"/>
      <c r="AQ77" s="32"/>
      <c r="AR77" s="27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7">
        <f t="shared" si="2"/>
        <v>10701</v>
      </c>
      <c r="BK77" s="38">
        <f t="shared" si="0"/>
        <v>10701</v>
      </c>
    </row>
    <row r="78" spans="2:63" s="39" customFormat="1" ht="24" customHeight="1">
      <c r="B78" s="97">
        <v>63</v>
      </c>
      <c r="C78" s="97" t="s">
        <v>39</v>
      </c>
      <c r="D78" s="106">
        <v>40025662</v>
      </c>
      <c r="E78" s="109" t="s">
        <v>218</v>
      </c>
      <c r="F78" s="100" t="s">
        <v>146</v>
      </c>
      <c r="G78" s="27" t="s">
        <v>147</v>
      </c>
      <c r="H78" s="26" t="s">
        <v>150</v>
      </c>
      <c r="I78" s="49" t="s">
        <v>52</v>
      </c>
      <c r="J78" s="34">
        <v>1218500</v>
      </c>
      <c r="K78" s="34">
        <v>0</v>
      </c>
      <c r="L78" s="34">
        <v>389500</v>
      </c>
      <c r="M78" s="34">
        <v>0</v>
      </c>
      <c r="N78" s="34">
        <v>0</v>
      </c>
      <c r="O78" s="34">
        <v>0</v>
      </c>
      <c r="P78" s="34">
        <v>0</v>
      </c>
      <c r="Q78" s="34">
        <v>1000</v>
      </c>
      <c r="R78" s="34">
        <v>2000</v>
      </c>
      <c r="S78" s="34">
        <v>2000</v>
      </c>
      <c r="T78" s="105">
        <f>3000+2000</f>
        <v>5000</v>
      </c>
      <c r="U78" s="105">
        <f>1500+2000</f>
        <v>3500</v>
      </c>
      <c r="V78" s="34">
        <v>0</v>
      </c>
      <c r="W78" s="34">
        <v>0</v>
      </c>
      <c r="X78" s="34">
        <v>0</v>
      </c>
      <c r="Y78" s="133">
        <f t="shared" si="1"/>
        <v>13500</v>
      </c>
      <c r="Z78" s="31">
        <v>17001</v>
      </c>
      <c r="AA78" s="32">
        <v>29</v>
      </c>
      <c r="AB78" s="33">
        <v>44316</v>
      </c>
      <c r="AC78" s="33">
        <v>44334</v>
      </c>
      <c r="AD78" s="31">
        <v>-2000</v>
      </c>
      <c r="AE78" s="32">
        <v>37</v>
      </c>
      <c r="AF78" s="33">
        <v>44344</v>
      </c>
      <c r="AG78" s="33">
        <v>44354</v>
      </c>
      <c r="AH78" s="31"/>
      <c r="AI78" s="32"/>
      <c r="AJ78" s="27"/>
      <c r="AK78" s="36"/>
      <c r="AL78" s="31"/>
      <c r="AM78" s="32"/>
      <c r="AN78" s="27"/>
      <c r="AO78" s="36"/>
      <c r="AP78" s="31"/>
      <c r="AQ78" s="32"/>
      <c r="AR78" s="27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7">
        <f t="shared" si="2"/>
        <v>15001</v>
      </c>
      <c r="BK78" s="38">
        <f t="shared" si="0"/>
        <v>1501</v>
      </c>
    </row>
    <row r="79" spans="2:63" s="39" customFormat="1" ht="24" customHeight="1">
      <c r="B79" s="97">
        <v>64</v>
      </c>
      <c r="C79" s="97" t="s">
        <v>65</v>
      </c>
      <c r="D79" s="106">
        <v>40029431</v>
      </c>
      <c r="E79" s="109" t="s">
        <v>219</v>
      </c>
      <c r="F79" s="100" t="s">
        <v>146</v>
      </c>
      <c r="G79" s="27" t="s">
        <v>147</v>
      </c>
      <c r="H79" s="26" t="s">
        <v>150</v>
      </c>
      <c r="I79" s="49" t="s">
        <v>52</v>
      </c>
      <c r="J79" s="34">
        <v>447787</v>
      </c>
      <c r="K79" s="34">
        <v>0</v>
      </c>
      <c r="L79" s="34">
        <v>37287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1">
        <f t="shared" si="1"/>
        <v>0</v>
      </c>
      <c r="Z79" s="31">
        <v>9095</v>
      </c>
      <c r="AA79" s="32">
        <v>38</v>
      </c>
      <c r="AB79" s="33">
        <v>44355</v>
      </c>
      <c r="AC79" s="33">
        <v>44363</v>
      </c>
      <c r="AD79" s="31"/>
      <c r="AE79" s="35"/>
      <c r="AF79" s="27"/>
      <c r="AG79" s="33"/>
      <c r="AH79" s="31"/>
      <c r="AI79" s="32"/>
      <c r="AJ79" s="27"/>
      <c r="AK79" s="36"/>
      <c r="AL79" s="31"/>
      <c r="AM79" s="32"/>
      <c r="AN79" s="27"/>
      <c r="AO79" s="36"/>
      <c r="AP79" s="31"/>
      <c r="AQ79" s="32"/>
      <c r="AR79" s="27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7">
        <f t="shared" si="2"/>
        <v>9095</v>
      </c>
      <c r="BK79" s="38">
        <f t="shared" si="0"/>
        <v>9095</v>
      </c>
    </row>
    <row r="80" spans="2:63" s="39" customFormat="1" ht="24" customHeight="1">
      <c r="B80" s="97">
        <v>65</v>
      </c>
      <c r="C80" s="97" t="s">
        <v>39</v>
      </c>
      <c r="D80" s="106">
        <v>40010566</v>
      </c>
      <c r="E80" s="103" t="s">
        <v>220</v>
      </c>
      <c r="F80" s="100" t="s">
        <v>158</v>
      </c>
      <c r="G80" s="27" t="s">
        <v>147</v>
      </c>
      <c r="H80" s="26" t="s">
        <v>150</v>
      </c>
      <c r="I80" s="49" t="s">
        <v>52</v>
      </c>
      <c r="J80" s="34">
        <v>206543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1">
        <f t="shared" si="1"/>
        <v>0</v>
      </c>
      <c r="Z80" s="31">
        <v>12044</v>
      </c>
      <c r="AA80" s="32">
        <v>38</v>
      </c>
      <c r="AB80" s="33">
        <v>44355</v>
      </c>
      <c r="AC80" s="33">
        <v>44363</v>
      </c>
      <c r="AD80" s="31"/>
      <c r="AE80" s="35"/>
      <c r="AF80" s="27"/>
      <c r="AG80" s="33"/>
      <c r="AH80" s="31"/>
      <c r="AI80" s="32"/>
      <c r="AJ80" s="27"/>
      <c r="AK80" s="36"/>
      <c r="AL80" s="31"/>
      <c r="AM80" s="32"/>
      <c r="AN80" s="27"/>
      <c r="AO80" s="36"/>
      <c r="AP80" s="31"/>
      <c r="AQ80" s="32"/>
      <c r="AR80" s="27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7">
        <f t="shared" si="2"/>
        <v>12044</v>
      </c>
      <c r="BK80" s="38">
        <f t="shared" si="0"/>
        <v>12044</v>
      </c>
    </row>
    <row r="81" spans="1:166" s="39" customFormat="1" ht="24" customHeight="1">
      <c r="B81" s="97">
        <v>66</v>
      </c>
      <c r="C81" s="97" t="s">
        <v>39</v>
      </c>
      <c r="D81" s="106">
        <v>40018220</v>
      </c>
      <c r="E81" s="103" t="s">
        <v>221</v>
      </c>
      <c r="F81" s="100" t="s">
        <v>158</v>
      </c>
      <c r="G81" s="27" t="s">
        <v>147</v>
      </c>
      <c r="H81" s="26" t="s">
        <v>150</v>
      </c>
      <c r="I81" s="49" t="s">
        <v>52</v>
      </c>
      <c r="J81" s="34">
        <v>144272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1">
        <f t="shared" ref="Y81:Y88" si="3">SUM(M81:X81)</f>
        <v>0</v>
      </c>
      <c r="Z81" s="31">
        <v>17044</v>
      </c>
      <c r="AA81" s="32">
        <v>40</v>
      </c>
      <c r="AB81" s="33">
        <v>44358</v>
      </c>
      <c r="AC81" s="33">
        <v>44371</v>
      </c>
      <c r="AD81" s="31"/>
      <c r="AE81" s="35"/>
      <c r="AF81" s="27"/>
      <c r="AG81" s="33"/>
      <c r="AH81" s="31"/>
      <c r="AI81" s="32"/>
      <c r="AJ81" s="27"/>
      <c r="AK81" s="36"/>
      <c r="AL81" s="31"/>
      <c r="AM81" s="32"/>
      <c r="AN81" s="27"/>
      <c r="AO81" s="36"/>
      <c r="AP81" s="31"/>
      <c r="AQ81" s="32"/>
      <c r="AR81" s="27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7">
        <f t="shared" ref="BJ81:BJ89" si="4">+Z81+AD81+AH81+AL81+AP81+AT81+AX81+BB81+BF81</f>
        <v>17044</v>
      </c>
      <c r="BK81" s="38">
        <f t="shared" ref="BK81:BK89" si="5">+BJ81-Y81</f>
        <v>17044</v>
      </c>
    </row>
    <row r="82" spans="1:166" s="39" customFormat="1" ht="24" customHeight="1">
      <c r="B82" s="97">
        <v>67</v>
      </c>
      <c r="C82" s="97" t="s">
        <v>39</v>
      </c>
      <c r="D82" s="106">
        <v>30427226</v>
      </c>
      <c r="E82" s="103" t="s">
        <v>222</v>
      </c>
      <c r="F82" s="100" t="s">
        <v>146</v>
      </c>
      <c r="G82" s="27" t="s">
        <v>147</v>
      </c>
      <c r="H82" s="26" t="s">
        <v>150</v>
      </c>
      <c r="I82" s="49" t="s">
        <v>52</v>
      </c>
      <c r="J82" s="34">
        <v>1126797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2321</v>
      </c>
      <c r="V82" s="34">
        <v>0</v>
      </c>
      <c r="W82" s="34">
        <v>0</v>
      </c>
      <c r="X82" s="34">
        <v>0</v>
      </c>
      <c r="Y82" s="31">
        <f t="shared" si="3"/>
        <v>2321</v>
      </c>
      <c r="Z82" s="31">
        <v>2321</v>
      </c>
      <c r="AA82" s="32">
        <v>40</v>
      </c>
      <c r="AB82" s="33">
        <v>44358</v>
      </c>
      <c r="AC82" s="33">
        <v>44371</v>
      </c>
      <c r="AD82" s="31"/>
      <c r="AE82" s="35"/>
      <c r="AF82" s="27"/>
      <c r="AG82" s="33"/>
      <c r="AH82" s="31"/>
      <c r="AI82" s="32"/>
      <c r="AJ82" s="27"/>
      <c r="AK82" s="36"/>
      <c r="AL82" s="31"/>
      <c r="AM82" s="32"/>
      <c r="AN82" s="27"/>
      <c r="AO82" s="36"/>
      <c r="AP82" s="31"/>
      <c r="AQ82" s="32"/>
      <c r="AR82" s="27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7">
        <f t="shared" si="4"/>
        <v>2321</v>
      </c>
      <c r="BK82" s="38">
        <f t="shared" si="5"/>
        <v>0</v>
      </c>
    </row>
    <row r="83" spans="1:166" s="39" customFormat="1" ht="24" customHeight="1">
      <c r="B83" s="97">
        <v>68</v>
      </c>
      <c r="C83" s="97" t="s">
        <v>39</v>
      </c>
      <c r="D83" s="111">
        <v>30379844</v>
      </c>
      <c r="E83" s="48" t="s">
        <v>223</v>
      </c>
      <c r="F83" s="100" t="s">
        <v>146</v>
      </c>
      <c r="G83" s="27" t="s">
        <v>147</v>
      </c>
      <c r="H83" s="26" t="s">
        <v>155</v>
      </c>
      <c r="I83" s="25" t="s">
        <v>44</v>
      </c>
      <c r="J83" s="34">
        <v>1738084</v>
      </c>
      <c r="K83" s="34">
        <v>1690841</v>
      </c>
      <c r="L83" s="34">
        <v>19643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34">
        <v>0</v>
      </c>
      <c r="X83" s="34">
        <v>0</v>
      </c>
      <c r="Y83" s="31">
        <f t="shared" si="3"/>
        <v>0</v>
      </c>
      <c r="Z83" s="31">
        <v>27126</v>
      </c>
      <c r="AA83" s="32">
        <v>42</v>
      </c>
      <c r="AB83" s="33">
        <v>44363</v>
      </c>
      <c r="AC83" s="33">
        <v>44385</v>
      </c>
      <c r="AD83" s="31"/>
      <c r="AE83" s="35"/>
      <c r="AF83" s="27"/>
      <c r="AG83" s="33"/>
      <c r="AH83" s="31"/>
      <c r="AI83" s="32"/>
      <c r="AJ83" s="27"/>
      <c r="AK83" s="36"/>
      <c r="AL83" s="31"/>
      <c r="AM83" s="32"/>
      <c r="AN83" s="27"/>
      <c r="AO83" s="36"/>
      <c r="AP83" s="31"/>
      <c r="AQ83" s="32"/>
      <c r="AR83" s="27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7">
        <f t="shared" si="4"/>
        <v>27126</v>
      </c>
      <c r="BK83" s="38">
        <f t="shared" si="5"/>
        <v>27126</v>
      </c>
    </row>
    <row r="84" spans="1:166" s="39" customFormat="1" ht="24" customHeight="1">
      <c r="B84" s="97">
        <v>69</v>
      </c>
      <c r="C84" s="97" t="s">
        <v>39</v>
      </c>
      <c r="D84" s="23">
        <v>40033383</v>
      </c>
      <c r="E84" s="48" t="s">
        <v>224</v>
      </c>
      <c r="F84" s="100" t="s">
        <v>146</v>
      </c>
      <c r="G84" s="27" t="s">
        <v>147</v>
      </c>
      <c r="H84" s="26" t="s">
        <v>150</v>
      </c>
      <c r="I84" s="25" t="s">
        <v>52</v>
      </c>
      <c r="J84" s="34">
        <v>189491</v>
      </c>
      <c r="K84" s="34">
        <v>0</v>
      </c>
      <c r="L84" s="34">
        <v>128000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34">
        <v>0</v>
      </c>
      <c r="W84" s="34">
        <v>0</v>
      </c>
      <c r="X84" s="34">
        <v>0</v>
      </c>
      <c r="Y84" s="31">
        <f t="shared" ref="Y84:Y85" si="6">SUM(M84:X84)</f>
        <v>0</v>
      </c>
      <c r="Z84" s="31">
        <v>61491</v>
      </c>
      <c r="AA84" s="32">
        <v>49</v>
      </c>
      <c r="AB84" s="33">
        <v>44396</v>
      </c>
      <c r="AC84" s="33">
        <v>44407</v>
      </c>
      <c r="AD84" s="31"/>
      <c r="AE84" s="35"/>
      <c r="AF84" s="27"/>
      <c r="AG84" s="33"/>
      <c r="AH84" s="31"/>
      <c r="AI84" s="32"/>
      <c r="AJ84" s="27"/>
      <c r="AK84" s="36"/>
      <c r="AL84" s="31"/>
      <c r="AM84" s="32"/>
      <c r="AN84" s="27"/>
      <c r="AO84" s="36"/>
      <c r="AP84" s="31"/>
      <c r="AQ84" s="32"/>
      <c r="AR84" s="27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7">
        <f t="shared" si="4"/>
        <v>61491</v>
      </c>
      <c r="BK84" s="38">
        <f t="shared" si="5"/>
        <v>61491</v>
      </c>
    </row>
    <row r="85" spans="1:166" s="39" customFormat="1" ht="24" customHeight="1">
      <c r="B85" s="97">
        <v>70</v>
      </c>
      <c r="C85" s="97" t="s">
        <v>39</v>
      </c>
      <c r="D85" s="23">
        <v>40004292</v>
      </c>
      <c r="E85" s="48" t="s">
        <v>225</v>
      </c>
      <c r="F85" s="100" t="s">
        <v>146</v>
      </c>
      <c r="G85" s="27" t="s">
        <v>147</v>
      </c>
      <c r="H85" s="26" t="s">
        <v>175</v>
      </c>
      <c r="I85" s="25" t="s">
        <v>52</v>
      </c>
      <c r="J85" s="34">
        <v>3226988</v>
      </c>
      <c r="K85" s="34">
        <v>0</v>
      </c>
      <c r="L85" s="34">
        <v>2971631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1">
        <f t="shared" si="6"/>
        <v>0</v>
      </c>
      <c r="Z85" s="31">
        <v>17001</v>
      </c>
      <c r="AA85" s="32">
        <v>49</v>
      </c>
      <c r="AB85" s="33">
        <v>44396</v>
      </c>
      <c r="AC85" s="33">
        <v>44407</v>
      </c>
      <c r="AD85" s="31"/>
      <c r="AE85" s="35"/>
      <c r="AF85" s="27"/>
      <c r="AG85" s="33"/>
      <c r="AH85" s="31"/>
      <c r="AI85" s="32"/>
      <c r="AJ85" s="27"/>
      <c r="AK85" s="36"/>
      <c r="AL85" s="31"/>
      <c r="AM85" s="32"/>
      <c r="AN85" s="27"/>
      <c r="AO85" s="36"/>
      <c r="AP85" s="31"/>
      <c r="AQ85" s="32"/>
      <c r="AR85" s="27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7">
        <f t="shared" si="4"/>
        <v>17001</v>
      </c>
      <c r="BK85" s="38">
        <f t="shared" si="5"/>
        <v>17001</v>
      </c>
    </row>
    <row r="86" spans="1:166" s="39" customFormat="1" ht="24" customHeight="1">
      <c r="B86" s="97">
        <v>71</v>
      </c>
      <c r="C86" s="97" t="s">
        <v>39</v>
      </c>
      <c r="D86" s="23">
        <v>30136110</v>
      </c>
      <c r="E86" s="48" t="s">
        <v>226</v>
      </c>
      <c r="F86" s="100" t="s">
        <v>146</v>
      </c>
      <c r="G86" s="27" t="s">
        <v>147</v>
      </c>
      <c r="H86" s="26" t="s">
        <v>150</v>
      </c>
      <c r="I86" s="25" t="s">
        <v>44</v>
      </c>
      <c r="J86" s="34">
        <v>14918284</v>
      </c>
      <c r="K86" s="34">
        <v>14743001</v>
      </c>
      <c r="L86" s="34">
        <v>1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4">
        <v>0</v>
      </c>
      <c r="V86" s="34">
        <v>0</v>
      </c>
      <c r="W86" s="34">
        <v>0</v>
      </c>
      <c r="X86" s="34">
        <v>0</v>
      </c>
      <c r="Y86" s="31">
        <f t="shared" ref="Y86:Y87" si="7">SUM(M86:X86)</f>
        <v>0</v>
      </c>
      <c r="Z86" s="31">
        <v>175284</v>
      </c>
      <c r="AA86" s="32">
        <v>55</v>
      </c>
      <c r="AB86" s="33">
        <v>44439</v>
      </c>
      <c r="AC86" s="33">
        <v>44462</v>
      </c>
      <c r="AD86" s="31"/>
      <c r="AE86" s="35"/>
      <c r="AF86" s="27"/>
      <c r="AG86" s="33"/>
      <c r="AH86" s="31"/>
      <c r="AI86" s="32"/>
      <c r="AJ86" s="27"/>
      <c r="AK86" s="36"/>
      <c r="AL86" s="31"/>
      <c r="AM86" s="32"/>
      <c r="AN86" s="27"/>
      <c r="AO86" s="36"/>
      <c r="AP86" s="31"/>
      <c r="AQ86" s="32"/>
      <c r="AR86" s="27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7">
        <f t="shared" si="4"/>
        <v>175284</v>
      </c>
      <c r="BK86" s="38">
        <f t="shared" si="5"/>
        <v>175284</v>
      </c>
    </row>
    <row r="87" spans="1:166" s="39" customFormat="1" ht="24" customHeight="1">
      <c r="B87" s="97">
        <v>72</v>
      </c>
      <c r="C87" s="97"/>
      <c r="D87" s="23"/>
      <c r="E87" s="48"/>
      <c r="F87" s="100"/>
      <c r="G87" s="27"/>
      <c r="H87" s="26"/>
      <c r="I87" s="48"/>
      <c r="J87" s="34"/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1">
        <f t="shared" si="7"/>
        <v>0</v>
      </c>
      <c r="Z87" s="31"/>
      <c r="AA87" s="32"/>
      <c r="AB87" s="27"/>
      <c r="AC87" s="33"/>
      <c r="AD87" s="31"/>
      <c r="AE87" s="35"/>
      <c r="AF87" s="27"/>
      <c r="AG87" s="33"/>
      <c r="AH87" s="31"/>
      <c r="AI87" s="32"/>
      <c r="AJ87" s="27"/>
      <c r="AK87" s="36"/>
      <c r="AL87" s="31"/>
      <c r="AM87" s="32"/>
      <c r="AN87" s="27"/>
      <c r="AO87" s="36"/>
      <c r="AP87" s="31"/>
      <c r="AQ87" s="32"/>
      <c r="AR87" s="27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7">
        <f t="shared" si="4"/>
        <v>0</v>
      </c>
      <c r="BK87" s="38">
        <f t="shared" si="5"/>
        <v>0</v>
      </c>
    </row>
    <row r="88" spans="1:166" s="96" customFormat="1" ht="24" customHeight="1">
      <c r="A88" s="39"/>
      <c r="B88" s="112">
        <v>73</v>
      </c>
      <c r="C88" s="112"/>
      <c r="D88" s="23"/>
      <c r="E88" s="113"/>
      <c r="F88" s="114"/>
      <c r="G88" s="115"/>
      <c r="H88" s="56"/>
      <c r="I88" s="113"/>
      <c r="J88" s="54"/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135">
        <f t="shared" si="3"/>
        <v>0</v>
      </c>
      <c r="Z88" s="135"/>
      <c r="AA88" s="116"/>
      <c r="AB88" s="115"/>
      <c r="AC88" s="136"/>
      <c r="AD88" s="135"/>
      <c r="AE88" s="117"/>
      <c r="AF88" s="115"/>
      <c r="AG88" s="136"/>
      <c r="AH88" s="135"/>
      <c r="AI88" s="116"/>
      <c r="AJ88" s="115"/>
      <c r="AK88" s="118"/>
      <c r="AL88" s="135"/>
      <c r="AM88" s="116"/>
      <c r="AN88" s="115"/>
      <c r="AO88" s="118"/>
      <c r="AP88" s="135"/>
      <c r="AQ88" s="116"/>
      <c r="AR88" s="115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37">
        <f t="shared" si="4"/>
        <v>0</v>
      </c>
      <c r="BK88" s="119">
        <f t="shared" si="5"/>
        <v>0</v>
      </c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</row>
    <row r="89" spans="1:166" s="96" customFormat="1" ht="24" customHeight="1">
      <c r="A89" s="39"/>
      <c r="B89" s="112">
        <v>74</v>
      </c>
      <c r="C89" s="112"/>
      <c r="D89" s="23"/>
      <c r="E89" s="113"/>
      <c r="F89" s="113"/>
      <c r="G89" s="115"/>
      <c r="H89" s="56"/>
      <c r="I89" s="120"/>
      <c r="J89" s="54"/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135">
        <f t="shared" si="1"/>
        <v>0</v>
      </c>
      <c r="Z89" s="135"/>
      <c r="AA89" s="116"/>
      <c r="AB89" s="115"/>
      <c r="AC89" s="136"/>
      <c r="AD89" s="135"/>
      <c r="AE89" s="117"/>
      <c r="AF89" s="115"/>
      <c r="AG89" s="136"/>
      <c r="AH89" s="135"/>
      <c r="AI89" s="116"/>
      <c r="AJ89" s="115"/>
      <c r="AK89" s="118"/>
      <c r="AL89" s="135"/>
      <c r="AM89" s="116"/>
      <c r="AN89" s="115"/>
      <c r="AO89" s="118"/>
      <c r="AP89" s="135"/>
      <c r="AQ89" s="116"/>
      <c r="AR89" s="115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37">
        <f t="shared" si="4"/>
        <v>0</v>
      </c>
      <c r="BK89" s="119">
        <f t="shared" si="5"/>
        <v>0</v>
      </c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</row>
    <row r="90" spans="1:166" ht="15" customHeight="1">
      <c r="B90" s="732" t="s">
        <v>134</v>
      </c>
      <c r="C90" s="732"/>
      <c r="D90" s="732"/>
      <c r="E90" s="732"/>
      <c r="F90" s="732"/>
      <c r="G90" s="732"/>
      <c r="H90" s="732"/>
      <c r="I90" s="732"/>
      <c r="J90" s="121"/>
      <c r="K90" s="59">
        <f>SUBTOTAL(9,K16:K86)</f>
        <v>91876805</v>
      </c>
      <c r="L90" s="59">
        <f t="shared" ref="L90:X90" si="8">SUBTOTAL(9,L16:L86)</f>
        <v>19556979</v>
      </c>
      <c r="M90" s="59">
        <f t="shared" si="8"/>
        <v>0</v>
      </c>
      <c r="N90" s="59">
        <f t="shared" si="8"/>
        <v>973762</v>
      </c>
      <c r="O90" s="59">
        <f t="shared" si="8"/>
        <v>380253</v>
      </c>
      <c r="P90" s="59">
        <f t="shared" si="8"/>
        <v>540318</v>
      </c>
      <c r="Q90" s="59">
        <f t="shared" si="8"/>
        <v>337353</v>
      </c>
      <c r="R90" s="59">
        <f t="shared" si="8"/>
        <v>272519</v>
      </c>
      <c r="S90" s="59">
        <f t="shared" si="8"/>
        <v>382292</v>
      </c>
      <c r="T90" s="59">
        <f t="shared" si="8"/>
        <v>748067</v>
      </c>
      <c r="U90" s="59">
        <f t="shared" si="8"/>
        <v>273005</v>
      </c>
      <c r="V90" s="59">
        <f t="shared" si="8"/>
        <v>0</v>
      </c>
      <c r="W90" s="59">
        <f t="shared" si="8"/>
        <v>0</v>
      </c>
      <c r="X90" s="59">
        <f t="shared" si="8"/>
        <v>0</v>
      </c>
      <c r="Y90" s="59">
        <f>SUBTOTAL(9,Y16:Y86)</f>
        <v>3907569</v>
      </c>
      <c r="Z90" s="59">
        <f>SUBTOTAL(9,Z16:Z86)</f>
        <v>22785253</v>
      </c>
      <c r="AA90" s="59"/>
      <c r="AB90" s="59"/>
      <c r="AC90" s="59"/>
      <c r="AD90" s="59">
        <f>SUBTOTAL(9,AD16:AD86)</f>
        <v>-2115040</v>
      </c>
      <c r="AE90" s="59"/>
      <c r="AF90" s="59"/>
      <c r="AG90" s="59"/>
      <c r="AH90" s="59">
        <f>SUBTOTAL(9,AH16:AH86)</f>
        <v>-2357484</v>
      </c>
      <c r="AI90" s="59"/>
      <c r="AJ90" s="59"/>
      <c r="AK90" s="59"/>
      <c r="AL90" s="59">
        <f>SUBTOTAL(9,AL16:AL86)</f>
        <v>-925514</v>
      </c>
      <c r="AM90" s="59"/>
      <c r="AN90" s="59"/>
      <c r="AO90" s="59"/>
      <c r="AP90" s="59">
        <f>SUBTOTAL(9,AP16:AP86)</f>
        <v>-1118673</v>
      </c>
      <c r="AQ90" s="59"/>
      <c r="AR90" s="59"/>
      <c r="AS90" s="59"/>
      <c r="AT90" s="59">
        <f>SUBTOTAL(9,AT16:AT86)</f>
        <v>-361799</v>
      </c>
      <c r="AU90" s="59"/>
      <c r="AV90" s="59"/>
      <c r="AW90" s="59"/>
      <c r="AX90" s="59">
        <f>SUBTOTAL(9,AX16:AX86)</f>
        <v>-193731</v>
      </c>
      <c r="AY90" s="59"/>
      <c r="AZ90" s="59"/>
      <c r="BA90" s="59"/>
      <c r="BB90" s="59">
        <f>SUBTOTAL(9,BB16:BB86)</f>
        <v>-174437</v>
      </c>
      <c r="BC90" s="59"/>
      <c r="BD90" s="59"/>
      <c r="BE90" s="59"/>
      <c r="BF90" s="59">
        <f>SUBTOTAL(9,BF16:BF86)</f>
        <v>0</v>
      </c>
      <c r="BG90" s="59"/>
      <c r="BH90" s="59"/>
      <c r="BI90" s="59"/>
      <c r="BJ90" s="59">
        <f>SUBTOTAL(9,BJ16:BJ86)</f>
        <v>15538575</v>
      </c>
      <c r="BK90" s="59">
        <f>SUBTOTAL(9,BK16:BK86)</f>
        <v>11631006</v>
      </c>
    </row>
    <row r="91" spans="1:166" s="123" customFormat="1">
      <c r="B91" s="125"/>
      <c r="D91" s="125"/>
      <c r="AA91" s="74"/>
      <c r="AE91" s="124"/>
      <c r="AI91" s="74"/>
      <c r="AM91" s="74"/>
      <c r="AQ91" s="74"/>
    </row>
    <row r="92" spans="1:166" s="123" customFormat="1">
      <c r="B92" s="125"/>
      <c r="D92" s="125"/>
      <c r="M92" s="74"/>
      <c r="Q92" s="124"/>
      <c r="U92" s="74"/>
      <c r="Y92" s="74"/>
      <c r="AC92" s="74"/>
    </row>
    <row r="93" spans="1:166" s="123" customFormat="1">
      <c r="B93" s="125"/>
      <c r="D93" s="140"/>
      <c r="E93" s="141"/>
      <c r="F93" s="141"/>
      <c r="M93" s="74"/>
      <c r="Q93" s="124"/>
      <c r="U93" s="74"/>
      <c r="Y93" s="74"/>
      <c r="AC93" s="74"/>
    </row>
    <row r="94" spans="1:166" s="123" customFormat="1">
      <c r="B94" s="125"/>
      <c r="D94" s="140"/>
      <c r="E94" s="141"/>
      <c r="F94" s="141"/>
      <c r="M94" s="74"/>
      <c r="Q94" s="124"/>
      <c r="U94" s="74"/>
      <c r="Y94" s="74"/>
      <c r="AC94" s="74"/>
      <c r="AV94" s="142">
        <f>+'[1]region de tarapacá  sept'!$O$21+'[1]region de tarapacá  sept'!$P$21+[2]Resoluciones!$O$9113+[2]Resoluciones!$P$9113</f>
        <v>0</v>
      </c>
    </row>
    <row r="95" spans="1:166" s="123" customFormat="1">
      <c r="B95" s="125"/>
      <c r="D95" s="125"/>
      <c r="M95" s="74"/>
      <c r="Q95" s="124"/>
      <c r="U95" s="74"/>
      <c r="Y95" s="74"/>
      <c r="AC95" s="74"/>
    </row>
    <row r="96" spans="1:166" s="123" customFormat="1">
      <c r="B96" s="125"/>
      <c r="D96" s="125"/>
      <c r="M96" s="74"/>
      <c r="Q96" s="124"/>
      <c r="U96" s="74"/>
      <c r="Y96" s="74"/>
      <c r="AC96" s="74"/>
    </row>
    <row r="97" spans="2:43" s="123" customFormat="1">
      <c r="B97" s="125"/>
      <c r="D97" s="125"/>
      <c r="M97" s="74"/>
      <c r="Q97" s="124"/>
      <c r="U97" s="74"/>
      <c r="Y97" s="74"/>
      <c r="AC97" s="74"/>
    </row>
    <row r="98" spans="2:43" s="123" customFormat="1">
      <c r="B98" s="125"/>
      <c r="D98" s="125"/>
      <c r="M98" s="74"/>
      <c r="Q98" s="124"/>
      <c r="U98" s="74"/>
      <c r="Y98" s="74"/>
      <c r="AC98" s="74"/>
    </row>
    <row r="99" spans="2:43" s="123" customFormat="1" ht="62.25" customHeight="1">
      <c r="B99" s="125"/>
      <c r="D99" s="125"/>
      <c r="M99" s="74"/>
      <c r="Q99" s="124"/>
      <c r="U99" s="74"/>
      <c r="Y99" s="74"/>
      <c r="AC99" s="74"/>
    </row>
    <row r="100" spans="2:43" s="123" customFormat="1">
      <c r="B100" s="125"/>
      <c r="D100" s="125"/>
      <c r="M100" s="74"/>
      <c r="Q100" s="124"/>
      <c r="U100" s="74"/>
      <c r="Y100" s="74"/>
      <c r="AC100" s="74"/>
    </row>
    <row r="101" spans="2:43" s="123" customFormat="1">
      <c r="B101" s="125"/>
      <c r="D101" s="125"/>
      <c r="M101" s="74"/>
      <c r="Q101" s="124"/>
      <c r="U101" s="74"/>
      <c r="Y101" s="74"/>
      <c r="AC101" s="74"/>
    </row>
    <row r="102" spans="2:43" s="123" customFormat="1">
      <c r="B102" s="125"/>
      <c r="D102" s="125"/>
      <c r="M102" s="74"/>
      <c r="Q102" s="124"/>
      <c r="U102" s="74"/>
      <c r="Y102" s="74"/>
      <c r="AC102" s="74"/>
    </row>
    <row r="103" spans="2:43" s="123" customFormat="1">
      <c r="B103" s="125"/>
      <c r="D103" s="125"/>
      <c r="AA103" s="74"/>
      <c r="AE103" s="124"/>
      <c r="AI103" s="74"/>
      <c r="AM103" s="74"/>
      <c r="AQ103" s="74"/>
    </row>
    <row r="104" spans="2:43" s="123" customFormat="1">
      <c r="B104" s="125"/>
      <c r="D104" s="125"/>
      <c r="AA104" s="74"/>
      <c r="AE104" s="124"/>
      <c r="AI104" s="74"/>
      <c r="AM104" s="74"/>
      <c r="AQ104" s="74"/>
    </row>
    <row r="105" spans="2:43" s="123" customFormat="1">
      <c r="B105" s="125"/>
      <c r="D105" s="125"/>
      <c r="AA105" s="74"/>
      <c r="AE105" s="124"/>
      <c r="AI105" s="74"/>
      <c r="AM105" s="74"/>
      <c r="AQ105" s="74"/>
    </row>
    <row r="106" spans="2:43" s="123" customFormat="1">
      <c r="B106" s="125"/>
      <c r="D106" s="125"/>
      <c r="AA106" s="74"/>
      <c r="AE106" s="124"/>
      <c r="AI106" s="74"/>
      <c r="AM106" s="74"/>
      <c r="AQ106" s="74"/>
    </row>
    <row r="107" spans="2:43" s="123" customFormat="1">
      <c r="B107" s="125"/>
      <c r="D107" s="125"/>
      <c r="AA107" s="74"/>
      <c r="AE107" s="124"/>
      <c r="AI107" s="74"/>
      <c r="AM107" s="74"/>
      <c r="AQ107" s="74"/>
    </row>
    <row r="108" spans="2:43" s="123" customFormat="1">
      <c r="B108" s="125"/>
      <c r="D108" s="125"/>
      <c r="AA108" s="74"/>
      <c r="AE108" s="124"/>
      <c r="AI108" s="74"/>
      <c r="AM108" s="74"/>
      <c r="AQ108" s="74"/>
    </row>
    <row r="109" spans="2:43" s="123" customFormat="1">
      <c r="B109" s="125"/>
      <c r="D109" s="125"/>
      <c r="AA109" s="74"/>
      <c r="AE109" s="124"/>
      <c r="AI109" s="74"/>
      <c r="AM109" s="74"/>
      <c r="AQ109" s="74"/>
    </row>
    <row r="110" spans="2:43" s="123" customFormat="1">
      <c r="B110" s="125"/>
      <c r="D110" s="125"/>
      <c r="AA110" s="74"/>
      <c r="AE110" s="124"/>
      <c r="AI110" s="74"/>
      <c r="AM110" s="74"/>
      <c r="AQ110" s="74"/>
    </row>
    <row r="111" spans="2:43" s="123" customFormat="1">
      <c r="B111" s="125"/>
      <c r="D111" s="125"/>
      <c r="AA111" s="74"/>
      <c r="AE111" s="124"/>
      <c r="AI111" s="74"/>
      <c r="AM111" s="74"/>
      <c r="AQ111" s="74"/>
    </row>
    <row r="112" spans="2:43" s="123" customFormat="1">
      <c r="B112" s="125"/>
      <c r="D112" s="125"/>
      <c r="AA112" s="74"/>
      <c r="AE112" s="124"/>
      <c r="AI112" s="74"/>
      <c r="AM112" s="74"/>
      <c r="AQ112" s="74"/>
    </row>
    <row r="113" spans="2:43" s="123" customFormat="1">
      <c r="B113" s="125"/>
      <c r="D113" s="125"/>
      <c r="AA113" s="74"/>
      <c r="AE113" s="124"/>
      <c r="AI113" s="74"/>
      <c r="AM113" s="74"/>
      <c r="AQ113" s="74"/>
    </row>
    <row r="114" spans="2:43" s="123" customFormat="1">
      <c r="B114" s="125"/>
      <c r="D114" s="125"/>
      <c r="AA114" s="74"/>
      <c r="AE114" s="124"/>
      <c r="AI114" s="74"/>
      <c r="AM114" s="74"/>
      <c r="AQ114" s="74"/>
    </row>
    <row r="115" spans="2:43" s="123" customFormat="1">
      <c r="B115" s="125"/>
      <c r="D115" s="125"/>
      <c r="AA115" s="74"/>
      <c r="AE115" s="124"/>
      <c r="AI115" s="74"/>
      <c r="AM115" s="74"/>
      <c r="AQ115" s="74"/>
    </row>
    <row r="116" spans="2:43" s="123" customFormat="1">
      <c r="B116" s="125"/>
      <c r="D116" s="125"/>
      <c r="AA116" s="74"/>
      <c r="AE116" s="124"/>
      <c r="AI116" s="74"/>
      <c r="AM116" s="74"/>
      <c r="AQ116" s="74"/>
    </row>
    <row r="117" spans="2:43" s="123" customFormat="1">
      <c r="B117" s="125"/>
      <c r="D117" s="125"/>
      <c r="AA117" s="74"/>
      <c r="AE117" s="124"/>
      <c r="AI117" s="74"/>
      <c r="AM117" s="74"/>
      <c r="AQ117" s="74"/>
    </row>
    <row r="118" spans="2:43" s="123" customFormat="1">
      <c r="B118" s="125"/>
      <c r="D118" s="125"/>
      <c r="AA118" s="74"/>
      <c r="AE118" s="124"/>
      <c r="AI118" s="74"/>
      <c r="AM118" s="74"/>
      <c r="AQ118" s="74"/>
    </row>
    <row r="119" spans="2:43" s="123" customFormat="1">
      <c r="B119" s="125"/>
      <c r="D119" s="125"/>
      <c r="AA119" s="74"/>
      <c r="AE119" s="124"/>
      <c r="AI119" s="74"/>
      <c r="AM119" s="74"/>
      <c r="AQ119" s="74"/>
    </row>
    <row r="120" spans="2:43" s="123" customFormat="1">
      <c r="B120" s="125"/>
      <c r="D120" s="125"/>
      <c r="AA120" s="74"/>
      <c r="AE120" s="124"/>
      <c r="AI120" s="74"/>
      <c r="AM120" s="74"/>
      <c r="AQ120" s="74"/>
    </row>
    <row r="121" spans="2:43" s="123" customFormat="1">
      <c r="B121" s="125"/>
      <c r="D121" s="125"/>
      <c r="AA121" s="74"/>
      <c r="AE121" s="124"/>
      <c r="AI121" s="74"/>
      <c r="AM121" s="74"/>
      <c r="AQ121" s="74"/>
    </row>
    <row r="122" spans="2:43" s="123" customFormat="1">
      <c r="B122" s="125"/>
      <c r="D122" s="125"/>
      <c r="AA122" s="74"/>
      <c r="AE122" s="124"/>
      <c r="AI122" s="74"/>
      <c r="AM122" s="74"/>
      <c r="AQ122" s="74"/>
    </row>
    <row r="123" spans="2:43" s="123" customFormat="1">
      <c r="B123" s="125"/>
      <c r="D123" s="125"/>
      <c r="AA123" s="74"/>
      <c r="AE123" s="124"/>
      <c r="AI123" s="74"/>
      <c r="AM123" s="74"/>
      <c r="AQ123" s="74"/>
    </row>
    <row r="124" spans="2:43" s="123" customFormat="1">
      <c r="B124" s="125"/>
      <c r="D124" s="125"/>
      <c r="AA124" s="74"/>
      <c r="AE124" s="124"/>
      <c r="AI124" s="74"/>
      <c r="AM124" s="74"/>
      <c r="AQ124" s="74"/>
    </row>
    <row r="125" spans="2:43" s="123" customFormat="1">
      <c r="B125" s="125"/>
      <c r="D125" s="125"/>
      <c r="AA125" s="74"/>
      <c r="AE125" s="124"/>
      <c r="AI125" s="74"/>
      <c r="AM125" s="74"/>
      <c r="AQ125" s="74"/>
    </row>
    <row r="126" spans="2:43" s="123" customFormat="1">
      <c r="B126" s="125"/>
      <c r="D126" s="125"/>
      <c r="AA126" s="74"/>
      <c r="AE126" s="124"/>
      <c r="AI126" s="74"/>
      <c r="AM126" s="74"/>
      <c r="AQ126" s="74"/>
    </row>
    <row r="127" spans="2:43" s="123" customFormat="1">
      <c r="B127" s="125"/>
      <c r="D127" s="125"/>
      <c r="AA127" s="74"/>
      <c r="AE127" s="124"/>
      <c r="AI127" s="74"/>
      <c r="AM127" s="74"/>
      <c r="AQ127" s="74"/>
    </row>
    <row r="128" spans="2:43" s="123" customFormat="1">
      <c r="B128" s="125"/>
      <c r="D128" s="125"/>
      <c r="AA128" s="74"/>
      <c r="AE128" s="124"/>
      <c r="AI128" s="74"/>
      <c r="AM128" s="74"/>
      <c r="AQ128" s="74"/>
    </row>
    <row r="129" spans="2:43" s="123" customFormat="1">
      <c r="B129" s="125"/>
      <c r="D129" s="125"/>
      <c r="AA129" s="74"/>
      <c r="AE129" s="124"/>
      <c r="AI129" s="74"/>
      <c r="AM129" s="74"/>
      <c r="AQ129" s="74"/>
    </row>
    <row r="130" spans="2:43" s="123" customFormat="1">
      <c r="B130" s="125"/>
      <c r="D130" s="125"/>
      <c r="AA130" s="74"/>
      <c r="AE130" s="124"/>
      <c r="AI130" s="74"/>
      <c r="AM130" s="74"/>
      <c r="AQ130" s="74"/>
    </row>
    <row r="131" spans="2:43" s="123" customFormat="1">
      <c r="B131" s="125"/>
      <c r="D131" s="125"/>
      <c r="AA131" s="74"/>
      <c r="AE131" s="124"/>
      <c r="AI131" s="74"/>
      <c r="AM131" s="74"/>
      <c r="AQ131" s="74"/>
    </row>
    <row r="132" spans="2:43" s="123" customFormat="1">
      <c r="B132" s="125"/>
      <c r="D132" s="125"/>
      <c r="AA132" s="74"/>
      <c r="AE132" s="124"/>
      <c r="AI132" s="74"/>
      <c r="AM132" s="74"/>
      <c r="AQ132" s="74"/>
    </row>
    <row r="133" spans="2:43" s="123" customFormat="1">
      <c r="B133" s="125"/>
      <c r="D133" s="125"/>
      <c r="AA133" s="74"/>
      <c r="AE133" s="124"/>
      <c r="AI133" s="74"/>
      <c r="AM133" s="74"/>
      <c r="AQ133" s="74"/>
    </row>
    <row r="134" spans="2:43" s="123" customFormat="1">
      <c r="B134" s="125"/>
      <c r="D134" s="125"/>
      <c r="AA134" s="74"/>
      <c r="AE134" s="124"/>
      <c r="AI134" s="74"/>
      <c r="AM134" s="74"/>
      <c r="AQ134" s="74"/>
    </row>
    <row r="135" spans="2:43" s="123" customFormat="1">
      <c r="B135" s="125"/>
      <c r="D135" s="125"/>
      <c r="AA135" s="74"/>
      <c r="AE135" s="124"/>
      <c r="AI135" s="74"/>
      <c r="AM135" s="74"/>
      <c r="AQ135" s="74"/>
    </row>
    <row r="136" spans="2:43" s="123" customFormat="1">
      <c r="B136" s="125"/>
      <c r="D136" s="125"/>
      <c r="AA136" s="74"/>
      <c r="AE136" s="124"/>
      <c r="AI136" s="74"/>
      <c r="AM136" s="74"/>
      <c r="AQ136" s="74"/>
    </row>
    <row r="137" spans="2:43" s="123" customFormat="1">
      <c r="B137" s="125"/>
      <c r="D137" s="125"/>
      <c r="AA137" s="74"/>
      <c r="AE137" s="124"/>
      <c r="AI137" s="74"/>
      <c r="AM137" s="74"/>
      <c r="AQ137" s="74"/>
    </row>
    <row r="138" spans="2:43" s="123" customFormat="1">
      <c r="B138" s="125"/>
      <c r="D138" s="125"/>
      <c r="AA138" s="74"/>
      <c r="AE138" s="124"/>
      <c r="AI138" s="74"/>
      <c r="AM138" s="74"/>
      <c r="AQ138" s="74"/>
    </row>
    <row r="139" spans="2:43" s="123" customFormat="1">
      <c r="B139" s="125"/>
      <c r="D139" s="125"/>
      <c r="AA139" s="74"/>
      <c r="AE139" s="124"/>
      <c r="AI139" s="74"/>
      <c r="AM139" s="74"/>
      <c r="AQ139" s="74"/>
    </row>
    <row r="140" spans="2:43" s="123" customFormat="1">
      <c r="B140" s="125"/>
      <c r="D140" s="125"/>
      <c r="AA140" s="74"/>
      <c r="AE140" s="124"/>
      <c r="AI140" s="74"/>
      <c r="AM140" s="74"/>
      <c r="AQ140" s="74"/>
    </row>
    <row r="141" spans="2:43" s="123" customFormat="1">
      <c r="B141" s="125"/>
      <c r="D141" s="125"/>
      <c r="AA141" s="74"/>
      <c r="AE141" s="124"/>
      <c r="AI141" s="74"/>
      <c r="AM141" s="74"/>
      <c r="AQ141" s="74"/>
    </row>
    <row r="142" spans="2:43" s="123" customFormat="1">
      <c r="B142" s="125"/>
      <c r="D142" s="125"/>
      <c r="AA142" s="74"/>
      <c r="AE142" s="124"/>
      <c r="AI142" s="74"/>
      <c r="AM142" s="74"/>
      <c r="AQ142" s="74"/>
    </row>
    <row r="143" spans="2:43" s="123" customFormat="1">
      <c r="B143" s="125"/>
      <c r="D143" s="125"/>
      <c r="AA143" s="74"/>
      <c r="AE143" s="124"/>
      <c r="AI143" s="74"/>
      <c r="AM143" s="74"/>
      <c r="AQ143" s="74"/>
    </row>
    <row r="144" spans="2:43" s="123" customFormat="1">
      <c r="B144" s="125"/>
      <c r="D144" s="125"/>
      <c r="AA144" s="74"/>
      <c r="AE144" s="124"/>
      <c r="AI144" s="74"/>
      <c r="AM144" s="74"/>
      <c r="AQ144" s="74"/>
    </row>
    <row r="145" spans="2:43" s="123" customFormat="1">
      <c r="B145" s="125"/>
      <c r="D145" s="125"/>
      <c r="AA145" s="74"/>
      <c r="AE145" s="124"/>
      <c r="AI145" s="74"/>
      <c r="AM145" s="74"/>
      <c r="AQ145" s="74"/>
    </row>
    <row r="146" spans="2:43" s="123" customFormat="1">
      <c r="B146" s="125"/>
      <c r="D146" s="125"/>
      <c r="AA146" s="74"/>
      <c r="AE146" s="124"/>
      <c r="AI146" s="74"/>
      <c r="AM146" s="74"/>
      <c r="AQ146" s="74"/>
    </row>
    <row r="147" spans="2:43" s="123" customFormat="1">
      <c r="B147" s="125"/>
      <c r="D147" s="125"/>
      <c r="AA147" s="74"/>
      <c r="AE147" s="124"/>
      <c r="AI147" s="74"/>
      <c r="AM147" s="74"/>
      <c r="AQ147" s="74"/>
    </row>
    <row r="148" spans="2:43" s="123" customFormat="1">
      <c r="B148" s="125"/>
      <c r="D148" s="125"/>
      <c r="AA148" s="74"/>
      <c r="AE148" s="124"/>
      <c r="AI148" s="74"/>
      <c r="AM148" s="74"/>
      <c r="AQ148" s="74"/>
    </row>
    <row r="149" spans="2:43" s="123" customFormat="1">
      <c r="B149" s="125"/>
      <c r="D149" s="125"/>
      <c r="AA149" s="74"/>
      <c r="AE149" s="124"/>
      <c r="AI149" s="74"/>
      <c r="AM149" s="74"/>
      <c r="AQ149" s="74"/>
    </row>
    <row r="150" spans="2:43" s="123" customFormat="1">
      <c r="B150" s="125"/>
      <c r="D150" s="125"/>
      <c r="AA150" s="74"/>
      <c r="AE150" s="124"/>
      <c r="AI150" s="74"/>
      <c r="AM150" s="74"/>
      <c r="AQ150" s="74"/>
    </row>
    <row r="151" spans="2:43" s="123" customFormat="1">
      <c r="B151" s="125"/>
      <c r="D151" s="125"/>
      <c r="AA151" s="74"/>
      <c r="AE151" s="124"/>
      <c r="AI151" s="74"/>
      <c r="AM151" s="74"/>
      <c r="AQ151" s="74"/>
    </row>
    <row r="152" spans="2:43" s="123" customFormat="1">
      <c r="B152" s="125"/>
      <c r="D152" s="125"/>
      <c r="AA152" s="74"/>
      <c r="AE152" s="124"/>
      <c r="AI152" s="74"/>
      <c r="AM152" s="74"/>
      <c r="AQ152" s="74"/>
    </row>
    <row r="153" spans="2:43" s="123" customFormat="1">
      <c r="B153" s="125"/>
      <c r="D153" s="125"/>
      <c r="AA153" s="74"/>
      <c r="AE153" s="124"/>
      <c r="AI153" s="74"/>
      <c r="AM153" s="74"/>
      <c r="AQ153" s="74"/>
    </row>
    <row r="154" spans="2:43" s="123" customFormat="1">
      <c r="B154" s="125"/>
      <c r="D154" s="125"/>
      <c r="AA154" s="74"/>
      <c r="AE154" s="124"/>
      <c r="AI154" s="74"/>
      <c r="AM154" s="74"/>
      <c r="AQ154" s="74"/>
    </row>
    <row r="155" spans="2:43" s="123" customFormat="1">
      <c r="B155" s="125"/>
      <c r="D155" s="125"/>
      <c r="AA155" s="74"/>
      <c r="AE155" s="124"/>
      <c r="AI155" s="74"/>
      <c r="AM155" s="74"/>
      <c r="AQ155" s="74"/>
    </row>
    <row r="156" spans="2:43" s="123" customFormat="1">
      <c r="B156" s="125"/>
      <c r="D156" s="125"/>
      <c r="AA156" s="74"/>
      <c r="AE156" s="124"/>
      <c r="AI156" s="74"/>
      <c r="AM156" s="74"/>
      <c r="AQ156" s="74"/>
    </row>
    <row r="157" spans="2:43" s="123" customFormat="1">
      <c r="B157" s="125"/>
      <c r="D157" s="125"/>
      <c r="AA157" s="74"/>
      <c r="AE157" s="124"/>
      <c r="AI157" s="74"/>
      <c r="AM157" s="74"/>
      <c r="AQ157" s="74"/>
    </row>
    <row r="158" spans="2:43" s="123" customFormat="1">
      <c r="B158" s="125"/>
      <c r="D158" s="125"/>
      <c r="AA158" s="74"/>
      <c r="AE158" s="124"/>
      <c r="AI158" s="74"/>
      <c r="AM158" s="74"/>
      <c r="AQ158" s="74"/>
    </row>
    <row r="159" spans="2:43" s="123" customFormat="1">
      <c r="B159" s="125"/>
      <c r="D159" s="125"/>
      <c r="AA159" s="74"/>
      <c r="AE159" s="124"/>
      <c r="AI159" s="74"/>
      <c r="AM159" s="74"/>
      <c r="AQ159" s="74"/>
    </row>
    <row r="160" spans="2:43" s="123" customFormat="1">
      <c r="B160" s="125"/>
      <c r="D160" s="125"/>
      <c r="AA160" s="74"/>
      <c r="AE160" s="124"/>
      <c r="AI160" s="74"/>
      <c r="AM160" s="74"/>
      <c r="AQ160" s="74"/>
    </row>
    <row r="161" spans="2:43" s="123" customFormat="1">
      <c r="B161" s="125"/>
      <c r="D161" s="125"/>
      <c r="AA161" s="74"/>
      <c r="AE161" s="124"/>
      <c r="AI161" s="74"/>
      <c r="AM161" s="74"/>
      <c r="AQ161" s="74"/>
    </row>
    <row r="162" spans="2:43" s="123" customFormat="1">
      <c r="B162" s="125"/>
      <c r="D162" s="125"/>
      <c r="AA162" s="74"/>
      <c r="AE162" s="124"/>
      <c r="AI162" s="74"/>
      <c r="AM162" s="74"/>
      <c r="AQ162" s="74"/>
    </row>
    <row r="163" spans="2:43" s="123" customFormat="1">
      <c r="B163" s="125"/>
      <c r="D163" s="125"/>
      <c r="AA163" s="74"/>
      <c r="AE163" s="124"/>
      <c r="AI163" s="74"/>
      <c r="AM163" s="74"/>
      <c r="AQ163" s="74"/>
    </row>
    <row r="164" spans="2:43" s="123" customFormat="1">
      <c r="B164" s="125"/>
      <c r="D164" s="125"/>
      <c r="AA164" s="74"/>
      <c r="AE164" s="124"/>
      <c r="AI164" s="74"/>
      <c r="AM164" s="74"/>
      <c r="AQ164" s="74"/>
    </row>
    <row r="165" spans="2:43" s="123" customFormat="1">
      <c r="B165" s="125"/>
      <c r="D165" s="125"/>
      <c r="AA165" s="74"/>
      <c r="AE165" s="124"/>
      <c r="AI165" s="74"/>
      <c r="AM165" s="74"/>
      <c r="AQ165" s="74"/>
    </row>
    <row r="166" spans="2:43" s="123" customFormat="1">
      <c r="B166" s="125"/>
      <c r="D166" s="125"/>
      <c r="AA166" s="74"/>
      <c r="AE166" s="124"/>
      <c r="AI166" s="74"/>
      <c r="AM166" s="74"/>
      <c r="AQ166" s="74"/>
    </row>
    <row r="167" spans="2:43" s="123" customFormat="1">
      <c r="B167" s="125"/>
      <c r="D167" s="125"/>
      <c r="AA167" s="74"/>
      <c r="AE167" s="124"/>
      <c r="AI167" s="74"/>
      <c r="AM167" s="74"/>
      <c r="AQ167" s="74"/>
    </row>
    <row r="168" spans="2:43" s="123" customFormat="1">
      <c r="B168" s="125"/>
      <c r="D168" s="125"/>
      <c r="AA168" s="74"/>
      <c r="AE168" s="124"/>
      <c r="AI168" s="74"/>
      <c r="AM168" s="74"/>
      <c r="AQ168" s="74"/>
    </row>
    <row r="169" spans="2:43" s="123" customFormat="1">
      <c r="B169" s="125"/>
      <c r="D169" s="125"/>
      <c r="AA169" s="74"/>
      <c r="AE169" s="124"/>
      <c r="AI169" s="74"/>
      <c r="AM169" s="74"/>
      <c r="AQ169" s="74"/>
    </row>
    <row r="170" spans="2:43" s="123" customFormat="1">
      <c r="B170" s="125"/>
      <c r="D170" s="125"/>
      <c r="AA170" s="74"/>
      <c r="AE170" s="124"/>
      <c r="AI170" s="74"/>
      <c r="AM170" s="74"/>
      <c r="AQ170" s="74"/>
    </row>
    <row r="171" spans="2:43" s="123" customFormat="1">
      <c r="B171" s="125"/>
      <c r="D171" s="125"/>
      <c r="AA171" s="74"/>
      <c r="AE171" s="124"/>
      <c r="AI171" s="74"/>
      <c r="AM171" s="74"/>
      <c r="AQ171" s="74"/>
    </row>
    <row r="172" spans="2:43" s="123" customFormat="1">
      <c r="B172" s="125"/>
      <c r="D172" s="125"/>
      <c r="AA172" s="74"/>
      <c r="AE172" s="124"/>
      <c r="AI172" s="74"/>
      <c r="AM172" s="74"/>
      <c r="AQ172" s="74"/>
    </row>
    <row r="173" spans="2:43" s="123" customFormat="1">
      <c r="B173" s="125"/>
      <c r="D173" s="125"/>
      <c r="AA173" s="74"/>
      <c r="AE173" s="124"/>
      <c r="AI173" s="74"/>
      <c r="AM173" s="74"/>
      <c r="AQ173" s="74"/>
    </row>
    <row r="174" spans="2:43" s="123" customFormat="1">
      <c r="B174" s="125"/>
      <c r="D174" s="125"/>
      <c r="AA174" s="74"/>
      <c r="AE174" s="124"/>
      <c r="AI174" s="74"/>
      <c r="AM174" s="74"/>
      <c r="AQ174" s="74"/>
    </row>
    <row r="175" spans="2:43" s="123" customFormat="1">
      <c r="B175" s="125"/>
      <c r="D175" s="125"/>
      <c r="AA175" s="74"/>
      <c r="AE175" s="124"/>
      <c r="AI175" s="74"/>
      <c r="AM175" s="74"/>
      <c r="AQ175" s="74"/>
    </row>
    <row r="176" spans="2:43" s="123" customFormat="1">
      <c r="B176" s="125"/>
      <c r="D176" s="125"/>
      <c r="AA176" s="74"/>
      <c r="AE176" s="124"/>
      <c r="AI176" s="74"/>
      <c r="AM176" s="74"/>
      <c r="AQ176" s="74"/>
    </row>
    <row r="177" spans="2:43" s="123" customFormat="1">
      <c r="B177" s="125"/>
      <c r="D177" s="125"/>
      <c r="AA177" s="74"/>
      <c r="AE177" s="124"/>
      <c r="AI177" s="74"/>
      <c r="AM177" s="74"/>
      <c r="AQ177" s="74"/>
    </row>
    <row r="178" spans="2:43" s="123" customFormat="1">
      <c r="B178" s="125"/>
      <c r="D178" s="125"/>
      <c r="AA178" s="74"/>
      <c r="AE178" s="124"/>
      <c r="AI178" s="74"/>
      <c r="AM178" s="74"/>
      <c r="AQ178" s="74"/>
    </row>
    <row r="179" spans="2:43" s="123" customFormat="1">
      <c r="B179" s="125"/>
      <c r="D179" s="125"/>
      <c r="AA179" s="74"/>
      <c r="AE179" s="124"/>
      <c r="AI179" s="74"/>
      <c r="AM179" s="74"/>
      <c r="AQ179" s="74"/>
    </row>
    <row r="180" spans="2:43" s="123" customFormat="1">
      <c r="B180" s="125"/>
      <c r="D180" s="125"/>
      <c r="AA180" s="74"/>
      <c r="AE180" s="124"/>
      <c r="AI180" s="74"/>
      <c r="AM180" s="74"/>
      <c r="AQ180" s="74"/>
    </row>
    <row r="181" spans="2:43" s="123" customFormat="1">
      <c r="B181" s="125"/>
      <c r="D181" s="125"/>
      <c r="AA181" s="74"/>
      <c r="AE181" s="124"/>
      <c r="AI181" s="74"/>
      <c r="AM181" s="74"/>
      <c r="AQ181" s="74"/>
    </row>
    <row r="182" spans="2:43" s="123" customFormat="1">
      <c r="B182" s="125"/>
      <c r="D182" s="125"/>
      <c r="AA182" s="74"/>
      <c r="AE182" s="124"/>
      <c r="AI182" s="74"/>
      <c r="AM182" s="74"/>
      <c r="AQ182" s="74"/>
    </row>
    <row r="183" spans="2:43" s="123" customFormat="1">
      <c r="B183" s="125"/>
      <c r="D183" s="125"/>
      <c r="AA183" s="74"/>
      <c r="AE183" s="124"/>
      <c r="AI183" s="74"/>
      <c r="AM183" s="74"/>
      <c r="AQ183" s="74"/>
    </row>
    <row r="184" spans="2:43" s="123" customFormat="1">
      <c r="B184" s="125"/>
      <c r="D184" s="125"/>
      <c r="AA184" s="74"/>
      <c r="AE184" s="124"/>
      <c r="AI184" s="74"/>
      <c r="AM184" s="74"/>
      <c r="AQ184" s="74"/>
    </row>
    <row r="185" spans="2:43" s="123" customFormat="1">
      <c r="B185" s="125"/>
      <c r="D185" s="125"/>
      <c r="AA185" s="74"/>
      <c r="AE185" s="124"/>
      <c r="AI185" s="74"/>
      <c r="AM185" s="74"/>
      <c r="AQ185" s="74"/>
    </row>
    <row r="186" spans="2:43" s="123" customFormat="1">
      <c r="B186" s="125"/>
      <c r="D186" s="125"/>
      <c r="AA186" s="74"/>
      <c r="AE186" s="124"/>
      <c r="AI186" s="74"/>
      <c r="AM186" s="74"/>
      <c r="AQ186" s="74"/>
    </row>
    <row r="187" spans="2:43" s="123" customFormat="1">
      <c r="B187" s="125"/>
      <c r="D187" s="125"/>
      <c r="AA187" s="74"/>
      <c r="AE187" s="124"/>
      <c r="AI187" s="74"/>
      <c r="AM187" s="74"/>
      <c r="AQ187" s="74"/>
    </row>
    <row r="188" spans="2:43" s="123" customFormat="1">
      <c r="B188" s="125"/>
      <c r="D188" s="125"/>
      <c r="AA188" s="74"/>
      <c r="AE188" s="124"/>
      <c r="AI188" s="74"/>
      <c r="AM188" s="74"/>
      <c r="AQ188" s="74"/>
    </row>
    <row r="189" spans="2:43" s="123" customFormat="1">
      <c r="B189" s="125"/>
      <c r="D189" s="125"/>
      <c r="AA189" s="74"/>
      <c r="AE189" s="124"/>
      <c r="AI189" s="74"/>
      <c r="AM189" s="74"/>
      <c r="AQ189" s="74"/>
    </row>
    <row r="190" spans="2:43" s="123" customFormat="1">
      <c r="B190" s="125"/>
      <c r="D190" s="125"/>
      <c r="AA190" s="74"/>
      <c r="AE190" s="124"/>
      <c r="AI190" s="74"/>
      <c r="AM190" s="74"/>
      <c r="AQ190" s="74"/>
    </row>
    <row r="191" spans="2:43" s="123" customFormat="1">
      <c r="B191" s="125"/>
      <c r="D191" s="125"/>
      <c r="AA191" s="74"/>
      <c r="AE191" s="124"/>
      <c r="AI191" s="74"/>
      <c r="AM191" s="74"/>
      <c r="AQ191" s="74"/>
    </row>
    <row r="192" spans="2:43" s="123" customFormat="1">
      <c r="B192" s="125"/>
      <c r="D192" s="125"/>
      <c r="AA192" s="74"/>
      <c r="AE192" s="124"/>
      <c r="AI192" s="74"/>
      <c r="AM192" s="74"/>
      <c r="AQ192" s="74"/>
    </row>
    <row r="193" spans="2:43" s="123" customFormat="1">
      <c r="B193" s="125"/>
      <c r="D193" s="125"/>
      <c r="AA193" s="74"/>
      <c r="AE193" s="124"/>
      <c r="AI193" s="74"/>
      <c r="AM193" s="74"/>
      <c r="AQ193" s="74"/>
    </row>
    <row r="194" spans="2:43" s="123" customFormat="1">
      <c r="B194" s="125"/>
      <c r="D194" s="125"/>
      <c r="AA194" s="74"/>
      <c r="AE194" s="124"/>
      <c r="AI194" s="74"/>
      <c r="AM194" s="74"/>
      <c r="AQ194" s="74"/>
    </row>
    <row r="195" spans="2:43" s="123" customFormat="1">
      <c r="B195" s="125"/>
      <c r="D195" s="125"/>
      <c r="AA195" s="74"/>
      <c r="AE195" s="124"/>
      <c r="AI195" s="74"/>
      <c r="AM195" s="74"/>
      <c r="AQ195" s="74"/>
    </row>
    <row r="196" spans="2:43" s="123" customFormat="1">
      <c r="B196" s="125"/>
      <c r="D196" s="125"/>
      <c r="AA196" s="74"/>
      <c r="AE196" s="124"/>
      <c r="AI196" s="74"/>
      <c r="AM196" s="74"/>
      <c r="AQ196" s="74"/>
    </row>
    <row r="197" spans="2:43" s="123" customFormat="1">
      <c r="B197" s="125"/>
      <c r="D197" s="125"/>
      <c r="AA197" s="74"/>
      <c r="AE197" s="124"/>
      <c r="AI197" s="74"/>
      <c r="AM197" s="74"/>
      <c r="AQ197" s="74"/>
    </row>
    <row r="198" spans="2:43" s="123" customFormat="1">
      <c r="B198" s="125"/>
      <c r="D198" s="125"/>
      <c r="AA198" s="74"/>
      <c r="AE198" s="124"/>
      <c r="AI198" s="74"/>
      <c r="AM198" s="74"/>
      <c r="AQ198" s="74"/>
    </row>
    <row r="199" spans="2:43" s="123" customFormat="1">
      <c r="B199" s="125"/>
      <c r="D199" s="125"/>
      <c r="AA199" s="74"/>
      <c r="AE199" s="124"/>
      <c r="AI199" s="74"/>
      <c r="AM199" s="74"/>
      <c r="AQ199" s="74"/>
    </row>
    <row r="200" spans="2:43" s="123" customFormat="1">
      <c r="B200" s="125"/>
      <c r="D200" s="125"/>
      <c r="AA200" s="74"/>
      <c r="AE200" s="124"/>
      <c r="AI200" s="74"/>
      <c r="AM200" s="74"/>
      <c r="AQ200" s="74"/>
    </row>
    <row r="201" spans="2:43" s="123" customFormat="1">
      <c r="B201" s="125"/>
      <c r="D201" s="125"/>
      <c r="AA201" s="74"/>
      <c r="AE201" s="124"/>
      <c r="AI201" s="74"/>
      <c r="AM201" s="74"/>
      <c r="AQ201" s="74"/>
    </row>
    <row r="202" spans="2:43" s="123" customFormat="1">
      <c r="B202" s="125"/>
      <c r="D202" s="125"/>
      <c r="AA202" s="74"/>
      <c r="AE202" s="124"/>
      <c r="AI202" s="74"/>
      <c r="AM202" s="74"/>
      <c r="AQ202" s="74"/>
    </row>
    <row r="203" spans="2:43" s="123" customFormat="1">
      <c r="B203" s="125"/>
      <c r="D203" s="125"/>
      <c r="AA203" s="74"/>
      <c r="AE203" s="124"/>
      <c r="AI203" s="74"/>
      <c r="AM203" s="74"/>
      <c r="AQ203" s="74"/>
    </row>
    <row r="204" spans="2:43" s="123" customFormat="1">
      <c r="B204" s="125"/>
      <c r="D204" s="125"/>
      <c r="AA204" s="74"/>
      <c r="AE204" s="124"/>
      <c r="AI204" s="74"/>
      <c r="AM204" s="74"/>
      <c r="AQ204" s="74"/>
    </row>
    <row r="205" spans="2:43" s="123" customFormat="1">
      <c r="B205" s="125"/>
      <c r="D205" s="125"/>
      <c r="AA205" s="74"/>
      <c r="AE205" s="124"/>
      <c r="AI205" s="74"/>
      <c r="AM205" s="74"/>
      <c r="AQ205" s="74"/>
    </row>
    <row r="206" spans="2:43" s="123" customFormat="1">
      <c r="B206" s="125"/>
      <c r="D206" s="125"/>
      <c r="AA206" s="74"/>
      <c r="AE206" s="124"/>
      <c r="AI206" s="74"/>
      <c r="AM206" s="74"/>
      <c r="AQ206" s="74"/>
    </row>
    <row r="207" spans="2:43" s="123" customFormat="1">
      <c r="B207" s="125"/>
      <c r="D207" s="125"/>
      <c r="AA207" s="74"/>
      <c r="AE207" s="124"/>
      <c r="AI207" s="74"/>
      <c r="AM207" s="74"/>
      <c r="AQ207" s="74"/>
    </row>
    <row r="208" spans="2:43" s="123" customFormat="1">
      <c r="B208" s="125"/>
      <c r="D208" s="125"/>
      <c r="AA208" s="74"/>
      <c r="AE208" s="124"/>
      <c r="AI208" s="74"/>
      <c r="AM208" s="74"/>
      <c r="AQ208" s="74"/>
    </row>
    <row r="209" spans="2:43" s="123" customFormat="1">
      <c r="B209" s="125"/>
      <c r="D209" s="125"/>
      <c r="AA209" s="74"/>
      <c r="AE209" s="124"/>
      <c r="AI209" s="74"/>
      <c r="AM209" s="74"/>
      <c r="AQ209" s="74"/>
    </row>
    <row r="210" spans="2:43" s="123" customFormat="1">
      <c r="B210" s="125"/>
      <c r="D210" s="125"/>
      <c r="AA210" s="74"/>
      <c r="AE210" s="124"/>
      <c r="AI210" s="74"/>
      <c r="AM210" s="74"/>
      <c r="AQ210" s="74"/>
    </row>
    <row r="211" spans="2:43" s="123" customFormat="1">
      <c r="B211" s="125"/>
      <c r="D211" s="125"/>
      <c r="AA211" s="74"/>
      <c r="AE211" s="124"/>
      <c r="AI211" s="74"/>
      <c r="AM211" s="74"/>
      <c r="AQ211" s="74"/>
    </row>
    <row r="212" spans="2:43" s="123" customFormat="1">
      <c r="B212" s="125"/>
      <c r="D212" s="125"/>
      <c r="AA212" s="74"/>
      <c r="AE212" s="124"/>
      <c r="AI212" s="74"/>
      <c r="AM212" s="74"/>
      <c r="AQ212" s="74"/>
    </row>
    <row r="213" spans="2:43" s="123" customFormat="1">
      <c r="B213" s="125"/>
      <c r="D213" s="125"/>
      <c r="AA213" s="74"/>
      <c r="AE213" s="124"/>
      <c r="AI213" s="74"/>
      <c r="AM213" s="74"/>
      <c r="AQ213" s="74"/>
    </row>
    <row r="214" spans="2:43" s="123" customFormat="1">
      <c r="B214" s="125"/>
      <c r="D214" s="125"/>
      <c r="AA214" s="74"/>
      <c r="AE214" s="124"/>
      <c r="AI214" s="74"/>
      <c r="AM214" s="74"/>
      <c r="AQ214" s="74"/>
    </row>
    <row r="215" spans="2:43" s="123" customFormat="1">
      <c r="B215" s="125"/>
      <c r="D215" s="125"/>
      <c r="AA215" s="74"/>
      <c r="AE215" s="124"/>
      <c r="AI215" s="74"/>
      <c r="AM215" s="74"/>
      <c r="AQ215" s="74"/>
    </row>
    <row r="216" spans="2:43" s="123" customFormat="1">
      <c r="B216" s="125"/>
      <c r="D216" s="125"/>
      <c r="AA216" s="74"/>
      <c r="AE216" s="124"/>
      <c r="AI216" s="74"/>
      <c r="AM216" s="74"/>
      <c r="AQ216" s="74"/>
    </row>
    <row r="217" spans="2:43" s="123" customFormat="1">
      <c r="B217" s="125"/>
      <c r="D217" s="125"/>
      <c r="AA217" s="74"/>
      <c r="AE217" s="124"/>
      <c r="AI217" s="74"/>
      <c r="AM217" s="74"/>
      <c r="AQ217" s="74"/>
    </row>
    <row r="218" spans="2:43" s="123" customFormat="1">
      <c r="B218" s="125"/>
      <c r="D218" s="125"/>
      <c r="AA218" s="74"/>
      <c r="AE218" s="124"/>
      <c r="AI218" s="74"/>
      <c r="AM218" s="74"/>
      <c r="AQ218" s="74"/>
    </row>
    <row r="219" spans="2:43" s="123" customFormat="1">
      <c r="B219" s="125"/>
      <c r="D219" s="125"/>
      <c r="AA219" s="74"/>
      <c r="AE219" s="124"/>
      <c r="AI219" s="74"/>
      <c r="AM219" s="74"/>
      <c r="AQ219" s="74"/>
    </row>
    <row r="220" spans="2:43" s="123" customFormat="1">
      <c r="B220" s="125"/>
      <c r="D220" s="125"/>
      <c r="AA220" s="74"/>
      <c r="AE220" s="124"/>
      <c r="AI220" s="74"/>
      <c r="AM220" s="74"/>
      <c r="AQ220" s="74"/>
    </row>
    <row r="221" spans="2:43" s="123" customFormat="1">
      <c r="B221" s="125"/>
      <c r="D221" s="125"/>
      <c r="AA221" s="74"/>
      <c r="AE221" s="124"/>
      <c r="AI221" s="74"/>
      <c r="AM221" s="74"/>
      <c r="AQ221" s="74"/>
    </row>
    <row r="222" spans="2:43" s="123" customFormat="1">
      <c r="B222" s="125"/>
      <c r="D222" s="125"/>
      <c r="AA222" s="74"/>
      <c r="AE222" s="124"/>
      <c r="AI222" s="74"/>
      <c r="AM222" s="74"/>
      <c r="AQ222" s="74"/>
    </row>
    <row r="223" spans="2:43" s="123" customFormat="1">
      <c r="B223" s="125"/>
      <c r="D223" s="125"/>
      <c r="AA223" s="74"/>
      <c r="AE223" s="124"/>
      <c r="AI223" s="74"/>
      <c r="AM223" s="74"/>
      <c r="AQ223" s="74"/>
    </row>
    <row r="224" spans="2:43" s="123" customFormat="1">
      <c r="B224" s="125"/>
      <c r="D224" s="125"/>
      <c r="AA224" s="74"/>
      <c r="AE224" s="124"/>
      <c r="AI224" s="74"/>
      <c r="AM224" s="74"/>
      <c r="AQ224" s="74"/>
    </row>
    <row r="225" spans="2:43" s="123" customFormat="1">
      <c r="B225" s="125"/>
      <c r="D225" s="125"/>
      <c r="AA225" s="74"/>
      <c r="AE225" s="124"/>
      <c r="AI225" s="74"/>
      <c r="AM225" s="74"/>
      <c r="AQ225" s="74"/>
    </row>
    <row r="226" spans="2:43" s="123" customFormat="1">
      <c r="B226" s="125"/>
      <c r="D226" s="125"/>
      <c r="AA226" s="74"/>
      <c r="AE226" s="124"/>
      <c r="AI226" s="74"/>
      <c r="AM226" s="74"/>
      <c r="AQ226" s="74"/>
    </row>
    <row r="227" spans="2:43" s="123" customFormat="1">
      <c r="B227" s="125"/>
      <c r="D227" s="125"/>
      <c r="AA227" s="74"/>
      <c r="AE227" s="124"/>
      <c r="AI227" s="74"/>
      <c r="AM227" s="74"/>
      <c r="AQ227" s="74"/>
    </row>
    <row r="228" spans="2:43" s="123" customFormat="1">
      <c r="B228" s="125"/>
      <c r="D228" s="125"/>
      <c r="AA228" s="74"/>
      <c r="AE228" s="124"/>
      <c r="AI228" s="74"/>
      <c r="AM228" s="74"/>
      <c r="AQ228" s="74"/>
    </row>
    <row r="229" spans="2:43" s="123" customFormat="1">
      <c r="B229" s="125"/>
      <c r="D229" s="125"/>
      <c r="AA229" s="74"/>
      <c r="AE229" s="124"/>
      <c r="AI229" s="74"/>
      <c r="AM229" s="74"/>
      <c r="AQ229" s="74"/>
    </row>
    <row r="230" spans="2:43" s="123" customFormat="1">
      <c r="B230" s="125"/>
      <c r="D230" s="125"/>
      <c r="AA230" s="74"/>
      <c r="AE230" s="124"/>
      <c r="AI230" s="74"/>
      <c r="AM230" s="74"/>
      <c r="AQ230" s="74"/>
    </row>
    <row r="231" spans="2:43" s="123" customFormat="1">
      <c r="B231" s="125"/>
      <c r="D231" s="125"/>
      <c r="AA231" s="74"/>
      <c r="AE231" s="124"/>
      <c r="AI231" s="74"/>
      <c r="AM231" s="74"/>
      <c r="AQ231" s="74"/>
    </row>
    <row r="232" spans="2:43" s="123" customFormat="1">
      <c r="B232" s="125"/>
      <c r="D232" s="125"/>
      <c r="AA232" s="74"/>
      <c r="AE232" s="124"/>
      <c r="AI232" s="74"/>
      <c r="AM232" s="74"/>
      <c r="AQ232" s="74"/>
    </row>
    <row r="233" spans="2:43" s="123" customFormat="1">
      <c r="B233" s="125"/>
      <c r="D233" s="125"/>
      <c r="AA233" s="74"/>
      <c r="AE233" s="124"/>
      <c r="AI233" s="74"/>
      <c r="AM233" s="74"/>
      <c r="AQ233" s="74"/>
    </row>
    <row r="234" spans="2:43" s="123" customFormat="1">
      <c r="B234" s="125"/>
      <c r="D234" s="125"/>
      <c r="AA234" s="74"/>
      <c r="AE234" s="124"/>
      <c r="AI234" s="74"/>
      <c r="AM234" s="74"/>
      <c r="AQ234" s="74"/>
    </row>
    <row r="235" spans="2:43" s="123" customFormat="1">
      <c r="B235" s="125"/>
      <c r="D235" s="125"/>
      <c r="AA235" s="74"/>
      <c r="AE235" s="124"/>
      <c r="AI235" s="74"/>
      <c r="AM235" s="74"/>
      <c r="AQ235" s="74"/>
    </row>
    <row r="236" spans="2:43" s="123" customFormat="1">
      <c r="B236" s="125"/>
      <c r="D236" s="125"/>
      <c r="AA236" s="74"/>
      <c r="AE236" s="124"/>
      <c r="AI236" s="74"/>
      <c r="AM236" s="74"/>
      <c r="AQ236" s="74"/>
    </row>
    <row r="237" spans="2:43" s="123" customFormat="1">
      <c r="B237" s="125"/>
      <c r="D237" s="125"/>
      <c r="AA237" s="74"/>
      <c r="AE237" s="124"/>
      <c r="AI237" s="74"/>
      <c r="AM237" s="74"/>
      <c r="AQ237" s="74"/>
    </row>
    <row r="238" spans="2:43" s="123" customFormat="1">
      <c r="B238" s="125"/>
      <c r="D238" s="125"/>
      <c r="AA238" s="74"/>
      <c r="AE238" s="124"/>
      <c r="AI238" s="74"/>
      <c r="AM238" s="74"/>
      <c r="AQ238" s="74"/>
    </row>
    <row r="239" spans="2:43" s="123" customFormat="1">
      <c r="B239" s="125"/>
      <c r="D239" s="125"/>
      <c r="AA239" s="74"/>
      <c r="AE239" s="124"/>
      <c r="AI239" s="74"/>
      <c r="AM239" s="74"/>
      <c r="AQ239" s="74"/>
    </row>
    <row r="240" spans="2:43" s="123" customFormat="1">
      <c r="B240" s="125"/>
      <c r="D240" s="125"/>
      <c r="AA240" s="74"/>
      <c r="AE240" s="124"/>
      <c r="AI240" s="74"/>
      <c r="AM240" s="74"/>
      <c r="AQ240" s="74"/>
    </row>
    <row r="241" spans="2:43" s="123" customFormat="1">
      <c r="B241" s="125"/>
      <c r="D241" s="125"/>
      <c r="AA241" s="74"/>
      <c r="AE241" s="124"/>
      <c r="AI241" s="74"/>
      <c r="AM241" s="74"/>
      <c r="AQ241" s="74"/>
    </row>
    <row r="242" spans="2:43" s="123" customFormat="1">
      <c r="B242" s="125"/>
      <c r="D242" s="125"/>
      <c r="AA242" s="74"/>
      <c r="AE242" s="124"/>
      <c r="AI242" s="74"/>
      <c r="AM242" s="74"/>
      <c r="AQ242" s="74"/>
    </row>
    <row r="243" spans="2:43" s="123" customFormat="1">
      <c r="B243" s="125"/>
      <c r="D243" s="125"/>
      <c r="AA243" s="74"/>
      <c r="AE243" s="124"/>
      <c r="AI243" s="74"/>
      <c r="AM243" s="74"/>
      <c r="AQ243" s="74"/>
    </row>
    <row r="244" spans="2:43" s="123" customFormat="1">
      <c r="B244" s="125"/>
      <c r="D244" s="125"/>
      <c r="AA244" s="74"/>
      <c r="AE244" s="124"/>
      <c r="AI244" s="74"/>
      <c r="AM244" s="74"/>
      <c r="AQ244" s="74"/>
    </row>
    <row r="245" spans="2:43" s="123" customFormat="1">
      <c r="B245" s="125"/>
      <c r="D245" s="125"/>
      <c r="AA245" s="74"/>
      <c r="AE245" s="124"/>
      <c r="AI245" s="74"/>
      <c r="AM245" s="74"/>
      <c r="AQ245" s="74"/>
    </row>
    <row r="246" spans="2:43" s="123" customFormat="1">
      <c r="B246" s="125"/>
      <c r="D246" s="125"/>
      <c r="AA246" s="74"/>
      <c r="AE246" s="124"/>
      <c r="AI246" s="74"/>
      <c r="AM246" s="74"/>
      <c r="AQ246" s="74"/>
    </row>
    <row r="247" spans="2:43" s="123" customFormat="1">
      <c r="B247" s="125"/>
      <c r="D247" s="125"/>
      <c r="AA247" s="74"/>
      <c r="AE247" s="124"/>
      <c r="AI247" s="74"/>
      <c r="AM247" s="74"/>
      <c r="AQ247" s="74"/>
    </row>
    <row r="248" spans="2:43" s="123" customFormat="1">
      <c r="B248" s="125"/>
      <c r="D248" s="125"/>
      <c r="AA248" s="74"/>
      <c r="AE248" s="124"/>
      <c r="AI248" s="74"/>
      <c r="AM248" s="74"/>
      <c r="AQ248" s="74"/>
    </row>
    <row r="249" spans="2:43" s="123" customFormat="1">
      <c r="B249" s="125"/>
      <c r="D249" s="125"/>
      <c r="AA249" s="74"/>
      <c r="AE249" s="124"/>
      <c r="AI249" s="74"/>
      <c r="AM249" s="74"/>
      <c r="AQ249" s="74"/>
    </row>
    <row r="250" spans="2:43" s="123" customFormat="1">
      <c r="B250" s="125"/>
      <c r="D250" s="125"/>
      <c r="AA250" s="74"/>
      <c r="AE250" s="124"/>
      <c r="AI250" s="74"/>
      <c r="AM250" s="74"/>
      <c r="AQ250" s="74"/>
    </row>
    <row r="251" spans="2:43" s="123" customFormat="1">
      <c r="B251" s="125"/>
      <c r="D251" s="125"/>
      <c r="AA251" s="74"/>
      <c r="AE251" s="124"/>
      <c r="AI251" s="74"/>
      <c r="AM251" s="74"/>
      <c r="AQ251" s="74"/>
    </row>
    <row r="252" spans="2:43" s="123" customFormat="1">
      <c r="B252" s="125"/>
      <c r="D252" s="125"/>
      <c r="AA252" s="74"/>
      <c r="AE252" s="124"/>
      <c r="AI252" s="74"/>
      <c r="AM252" s="74"/>
      <c r="AQ252" s="74"/>
    </row>
    <row r="253" spans="2:43" s="123" customFormat="1">
      <c r="B253" s="125"/>
      <c r="D253" s="125"/>
      <c r="AA253" s="74"/>
      <c r="AE253" s="124"/>
      <c r="AI253" s="74"/>
      <c r="AM253" s="74"/>
      <c r="AQ253" s="74"/>
    </row>
    <row r="254" spans="2:43" s="123" customFormat="1">
      <c r="B254" s="125"/>
      <c r="D254" s="125"/>
      <c r="AA254" s="74"/>
      <c r="AE254" s="124"/>
      <c r="AI254" s="74"/>
      <c r="AM254" s="74"/>
      <c r="AQ254" s="74"/>
    </row>
    <row r="255" spans="2:43" s="123" customFormat="1">
      <c r="B255" s="125"/>
      <c r="D255" s="125"/>
      <c r="AA255" s="74"/>
      <c r="AE255" s="124"/>
      <c r="AI255" s="74"/>
      <c r="AM255" s="74"/>
      <c r="AQ255" s="74"/>
    </row>
    <row r="256" spans="2:43" s="123" customFormat="1">
      <c r="B256" s="125"/>
      <c r="D256" s="125"/>
      <c r="AA256" s="74"/>
      <c r="AE256" s="124"/>
      <c r="AI256" s="74"/>
      <c r="AM256" s="74"/>
      <c r="AQ256" s="74"/>
    </row>
    <row r="257" spans="2:43" s="123" customFormat="1">
      <c r="B257" s="125"/>
      <c r="D257" s="125"/>
      <c r="AA257" s="74"/>
      <c r="AE257" s="124"/>
      <c r="AI257" s="74"/>
      <c r="AM257" s="74"/>
      <c r="AQ257" s="74"/>
    </row>
    <row r="258" spans="2:43" s="123" customFormat="1">
      <c r="B258" s="125"/>
      <c r="D258" s="125"/>
      <c r="AA258" s="74"/>
      <c r="AE258" s="124"/>
      <c r="AI258" s="74"/>
      <c r="AM258" s="74"/>
      <c r="AQ258" s="74"/>
    </row>
    <row r="259" spans="2:43" s="123" customFormat="1">
      <c r="B259" s="125"/>
      <c r="D259" s="125"/>
      <c r="AA259" s="74"/>
      <c r="AE259" s="124"/>
      <c r="AI259" s="74"/>
      <c r="AM259" s="74"/>
      <c r="AQ259" s="74"/>
    </row>
    <row r="260" spans="2:43" s="123" customFormat="1">
      <c r="B260" s="125"/>
      <c r="D260" s="125"/>
      <c r="AA260" s="74"/>
      <c r="AE260" s="124"/>
      <c r="AI260" s="74"/>
      <c r="AM260" s="74"/>
      <c r="AQ260" s="74"/>
    </row>
    <row r="261" spans="2:43" s="123" customFormat="1">
      <c r="B261" s="125"/>
      <c r="D261" s="125"/>
      <c r="AA261" s="74"/>
      <c r="AE261" s="124"/>
      <c r="AI261" s="74"/>
      <c r="AM261" s="74"/>
      <c r="AQ261" s="74"/>
    </row>
    <row r="262" spans="2:43" s="123" customFormat="1">
      <c r="B262" s="125"/>
      <c r="D262" s="125"/>
      <c r="AA262" s="74"/>
      <c r="AE262" s="124"/>
      <c r="AI262" s="74"/>
      <c r="AM262" s="74"/>
      <c r="AQ262" s="74"/>
    </row>
    <row r="263" spans="2:43" s="123" customFormat="1">
      <c r="B263" s="125"/>
      <c r="D263" s="125"/>
      <c r="AA263" s="74"/>
      <c r="AE263" s="124"/>
      <c r="AI263" s="74"/>
      <c r="AM263" s="74"/>
      <c r="AQ263" s="74"/>
    </row>
    <row r="264" spans="2:43" s="123" customFormat="1">
      <c r="B264" s="125"/>
      <c r="D264" s="125"/>
      <c r="AA264" s="74"/>
      <c r="AE264" s="124"/>
      <c r="AI264" s="74"/>
      <c r="AM264" s="74"/>
      <c r="AQ264" s="74"/>
    </row>
    <row r="265" spans="2:43" s="123" customFormat="1">
      <c r="B265" s="125"/>
      <c r="D265" s="125"/>
      <c r="AA265" s="74"/>
      <c r="AE265" s="124"/>
      <c r="AI265" s="74"/>
      <c r="AM265" s="74"/>
      <c r="AQ265" s="74"/>
    </row>
    <row r="266" spans="2:43" s="123" customFormat="1">
      <c r="B266" s="125"/>
      <c r="D266" s="125"/>
      <c r="AA266" s="74"/>
      <c r="AE266" s="124"/>
      <c r="AI266" s="74"/>
      <c r="AM266" s="74"/>
      <c r="AQ266" s="74"/>
    </row>
    <row r="267" spans="2:43" s="123" customFormat="1">
      <c r="B267" s="125"/>
      <c r="D267" s="125"/>
      <c r="AA267" s="74"/>
      <c r="AE267" s="124"/>
      <c r="AI267" s="74"/>
      <c r="AM267" s="74"/>
      <c r="AQ267" s="74"/>
    </row>
    <row r="268" spans="2:43" s="123" customFormat="1">
      <c r="B268" s="125"/>
      <c r="D268" s="125"/>
      <c r="AA268" s="74"/>
      <c r="AE268" s="124"/>
      <c r="AI268" s="74"/>
      <c r="AM268" s="74"/>
      <c r="AQ268" s="74"/>
    </row>
    <row r="269" spans="2:43" s="123" customFormat="1">
      <c r="B269" s="125"/>
      <c r="D269" s="125"/>
      <c r="AA269" s="74"/>
      <c r="AE269" s="124"/>
      <c r="AI269" s="74"/>
      <c r="AM269" s="74"/>
      <c r="AQ269" s="74"/>
    </row>
    <row r="270" spans="2:43" s="123" customFormat="1">
      <c r="B270" s="125"/>
      <c r="D270" s="125"/>
      <c r="AA270" s="74"/>
      <c r="AE270" s="124"/>
      <c r="AI270" s="74"/>
      <c r="AM270" s="74"/>
      <c r="AQ270" s="74"/>
    </row>
    <row r="271" spans="2:43" s="123" customFormat="1">
      <c r="B271" s="125"/>
      <c r="D271" s="125"/>
      <c r="AA271" s="74"/>
      <c r="AE271" s="124"/>
      <c r="AI271" s="74"/>
      <c r="AM271" s="74"/>
      <c r="AQ271" s="74"/>
    </row>
    <row r="272" spans="2:43" s="123" customFormat="1">
      <c r="B272" s="125"/>
      <c r="D272" s="125"/>
      <c r="AA272" s="74"/>
      <c r="AE272" s="124"/>
      <c r="AI272" s="74"/>
      <c r="AM272" s="74"/>
      <c r="AQ272" s="74"/>
    </row>
    <row r="273" spans="2:43" s="123" customFormat="1">
      <c r="B273" s="125"/>
      <c r="D273" s="125"/>
      <c r="AA273" s="74"/>
      <c r="AE273" s="124"/>
      <c r="AI273" s="74"/>
      <c r="AM273" s="74"/>
      <c r="AQ273" s="74"/>
    </row>
    <row r="274" spans="2:43" s="123" customFormat="1">
      <c r="B274" s="125"/>
      <c r="D274" s="125"/>
      <c r="AA274" s="74"/>
      <c r="AE274" s="124"/>
      <c r="AI274" s="74"/>
      <c r="AM274" s="74"/>
      <c r="AQ274" s="74"/>
    </row>
    <row r="275" spans="2:43" s="123" customFormat="1">
      <c r="B275" s="125"/>
      <c r="D275" s="125"/>
      <c r="AA275" s="74"/>
      <c r="AE275" s="124"/>
      <c r="AI275" s="74"/>
      <c r="AM275" s="74"/>
      <c r="AQ275" s="74"/>
    </row>
    <row r="276" spans="2:43" s="123" customFormat="1">
      <c r="B276" s="125"/>
      <c r="D276" s="125"/>
      <c r="AA276" s="74"/>
      <c r="AE276" s="124"/>
      <c r="AI276" s="74"/>
      <c r="AM276" s="74"/>
      <c r="AQ276" s="74"/>
    </row>
    <row r="277" spans="2:43" s="123" customFormat="1">
      <c r="B277" s="125"/>
      <c r="D277" s="125"/>
      <c r="AA277" s="74"/>
      <c r="AE277" s="124"/>
      <c r="AI277" s="74"/>
      <c r="AM277" s="74"/>
      <c r="AQ277" s="74"/>
    </row>
    <row r="278" spans="2:43" s="123" customFormat="1">
      <c r="B278" s="125"/>
      <c r="D278" s="125"/>
      <c r="AA278" s="74"/>
      <c r="AE278" s="124"/>
      <c r="AI278" s="74"/>
      <c r="AM278" s="74"/>
      <c r="AQ278" s="74"/>
    </row>
    <row r="279" spans="2:43" s="123" customFormat="1">
      <c r="B279" s="125"/>
      <c r="D279" s="125"/>
      <c r="AA279" s="74"/>
      <c r="AE279" s="124"/>
      <c r="AI279" s="74"/>
      <c r="AM279" s="74"/>
      <c r="AQ279" s="74"/>
    </row>
    <row r="280" spans="2:43" s="123" customFormat="1">
      <c r="B280" s="125"/>
      <c r="D280" s="125"/>
      <c r="AA280" s="74"/>
      <c r="AE280" s="124"/>
      <c r="AI280" s="74"/>
      <c r="AM280" s="74"/>
      <c r="AQ280" s="74"/>
    </row>
    <row r="281" spans="2:43" s="123" customFormat="1">
      <c r="B281" s="125"/>
      <c r="D281" s="125"/>
      <c r="AA281" s="74"/>
      <c r="AE281" s="124"/>
      <c r="AI281" s="74"/>
      <c r="AM281" s="74"/>
      <c r="AQ281" s="74"/>
    </row>
    <row r="282" spans="2:43" s="123" customFormat="1">
      <c r="B282" s="125"/>
      <c r="D282" s="125"/>
      <c r="AA282" s="74"/>
      <c r="AE282" s="124"/>
      <c r="AI282" s="74"/>
      <c r="AM282" s="74"/>
      <c r="AQ282" s="74"/>
    </row>
    <row r="283" spans="2:43" s="123" customFormat="1">
      <c r="B283" s="125"/>
      <c r="D283" s="125"/>
      <c r="AA283" s="74"/>
      <c r="AE283" s="124"/>
      <c r="AI283" s="74"/>
      <c r="AM283" s="74"/>
      <c r="AQ283" s="74"/>
    </row>
    <row r="284" spans="2:43" s="123" customFormat="1">
      <c r="B284" s="125"/>
      <c r="D284" s="125"/>
      <c r="AA284" s="74"/>
      <c r="AE284" s="124"/>
      <c r="AI284" s="74"/>
      <c r="AM284" s="74"/>
      <c r="AQ284" s="74"/>
    </row>
    <row r="285" spans="2:43" s="123" customFormat="1">
      <c r="B285" s="125"/>
      <c r="D285" s="125"/>
      <c r="AA285" s="74"/>
      <c r="AE285" s="124"/>
      <c r="AI285" s="74"/>
      <c r="AM285" s="74"/>
      <c r="AQ285" s="74"/>
    </row>
    <row r="286" spans="2:43" s="123" customFormat="1">
      <c r="B286" s="125"/>
      <c r="D286" s="125"/>
      <c r="AA286" s="74"/>
      <c r="AE286" s="124"/>
      <c r="AI286" s="74"/>
      <c r="AM286" s="74"/>
      <c r="AQ286" s="74"/>
    </row>
    <row r="287" spans="2:43" s="123" customFormat="1">
      <c r="B287" s="125"/>
      <c r="D287" s="125"/>
      <c r="AA287" s="74"/>
      <c r="AE287" s="124"/>
      <c r="AI287" s="74"/>
      <c r="AM287" s="74"/>
      <c r="AQ287" s="74"/>
    </row>
    <row r="288" spans="2:43" s="123" customFormat="1">
      <c r="B288" s="125"/>
      <c r="D288" s="125"/>
      <c r="AA288" s="74"/>
      <c r="AE288" s="124"/>
      <c r="AI288" s="74"/>
      <c r="AM288" s="74"/>
      <c r="AQ288" s="74"/>
    </row>
    <row r="289" spans="2:43" s="123" customFormat="1">
      <c r="B289" s="125"/>
      <c r="D289" s="125"/>
      <c r="AA289" s="74"/>
      <c r="AE289" s="124"/>
      <c r="AI289" s="74"/>
      <c r="AM289" s="74"/>
      <c r="AQ289" s="74"/>
    </row>
    <row r="290" spans="2:43" s="123" customFormat="1">
      <c r="B290" s="125"/>
      <c r="D290" s="125"/>
      <c r="AA290" s="74"/>
      <c r="AE290" s="124"/>
      <c r="AI290" s="74"/>
      <c r="AM290" s="74"/>
      <c r="AQ290" s="74"/>
    </row>
    <row r="291" spans="2:43" s="123" customFormat="1">
      <c r="B291" s="125"/>
      <c r="D291" s="125"/>
      <c r="AA291" s="74"/>
      <c r="AE291" s="124"/>
      <c r="AI291" s="74"/>
      <c r="AM291" s="74"/>
      <c r="AQ291" s="74"/>
    </row>
    <row r="292" spans="2:43" s="123" customFormat="1">
      <c r="B292" s="125"/>
      <c r="D292" s="125"/>
      <c r="AA292" s="74"/>
      <c r="AE292" s="124"/>
      <c r="AI292" s="74"/>
      <c r="AM292" s="74"/>
      <c r="AQ292" s="74"/>
    </row>
    <row r="293" spans="2:43" s="123" customFormat="1">
      <c r="B293" s="125"/>
      <c r="D293" s="125"/>
      <c r="AA293" s="74"/>
      <c r="AE293" s="124"/>
      <c r="AI293" s="74"/>
      <c r="AM293" s="74"/>
      <c r="AQ293" s="74"/>
    </row>
    <row r="294" spans="2:43" s="123" customFormat="1">
      <c r="B294" s="125"/>
      <c r="D294" s="125"/>
      <c r="AA294" s="74"/>
      <c r="AE294" s="124"/>
      <c r="AI294" s="74"/>
      <c r="AM294" s="74"/>
      <c r="AQ294" s="74"/>
    </row>
    <row r="295" spans="2:43" s="123" customFormat="1">
      <c r="B295" s="125"/>
      <c r="D295" s="125"/>
      <c r="AA295" s="74"/>
      <c r="AE295" s="124"/>
      <c r="AI295" s="74"/>
      <c r="AM295" s="74"/>
      <c r="AQ295" s="74"/>
    </row>
    <row r="296" spans="2:43" s="123" customFormat="1">
      <c r="B296" s="125"/>
      <c r="D296" s="125"/>
      <c r="AA296" s="74"/>
      <c r="AE296" s="124"/>
      <c r="AI296" s="74"/>
      <c r="AM296" s="74"/>
      <c r="AQ296" s="74"/>
    </row>
    <row r="297" spans="2:43" s="123" customFormat="1">
      <c r="B297" s="125"/>
      <c r="D297" s="125"/>
      <c r="AA297" s="74"/>
      <c r="AE297" s="124"/>
      <c r="AI297" s="74"/>
      <c r="AM297" s="74"/>
      <c r="AQ297" s="74"/>
    </row>
    <row r="298" spans="2:43" s="123" customFormat="1">
      <c r="B298" s="125"/>
      <c r="D298" s="125"/>
      <c r="AA298" s="74"/>
      <c r="AE298" s="124"/>
      <c r="AI298" s="74"/>
      <c r="AM298" s="74"/>
      <c r="AQ298" s="74"/>
    </row>
    <row r="299" spans="2:43" s="123" customFormat="1">
      <c r="B299" s="125"/>
      <c r="D299" s="125"/>
      <c r="AA299" s="74"/>
      <c r="AE299" s="124"/>
      <c r="AI299" s="74"/>
      <c r="AM299" s="74"/>
      <c r="AQ299" s="74"/>
    </row>
    <row r="300" spans="2:43" s="123" customFormat="1">
      <c r="B300" s="125"/>
      <c r="D300" s="125"/>
      <c r="AA300" s="74"/>
      <c r="AE300" s="124"/>
      <c r="AI300" s="74"/>
      <c r="AM300" s="74"/>
      <c r="AQ300" s="74"/>
    </row>
    <row r="301" spans="2:43" s="123" customFormat="1">
      <c r="B301" s="125"/>
      <c r="D301" s="125"/>
      <c r="AA301" s="74"/>
      <c r="AE301" s="124"/>
      <c r="AI301" s="74"/>
      <c r="AM301" s="74"/>
      <c r="AQ301" s="74"/>
    </row>
    <row r="302" spans="2:43" s="123" customFormat="1">
      <c r="B302" s="125"/>
      <c r="D302" s="125"/>
      <c r="AA302" s="74"/>
      <c r="AE302" s="124"/>
      <c r="AI302" s="74"/>
      <c r="AM302" s="74"/>
      <c r="AQ302" s="74"/>
    </row>
    <row r="303" spans="2:43" s="123" customFormat="1">
      <c r="B303" s="125"/>
      <c r="D303" s="125"/>
      <c r="AA303" s="74"/>
      <c r="AE303" s="124"/>
      <c r="AI303" s="74"/>
      <c r="AM303" s="74"/>
      <c r="AQ303" s="74"/>
    </row>
    <row r="304" spans="2:43" s="123" customFormat="1">
      <c r="B304" s="125"/>
      <c r="D304" s="125"/>
      <c r="AA304" s="74"/>
      <c r="AE304" s="124"/>
      <c r="AI304" s="74"/>
      <c r="AM304" s="74"/>
      <c r="AQ304" s="74"/>
    </row>
    <row r="305" spans="2:43" s="123" customFormat="1">
      <c r="B305" s="125"/>
      <c r="D305" s="125"/>
      <c r="AA305" s="74"/>
      <c r="AE305" s="124"/>
      <c r="AI305" s="74"/>
      <c r="AM305" s="74"/>
      <c r="AQ305" s="74"/>
    </row>
    <row r="306" spans="2:43" s="123" customFormat="1">
      <c r="B306" s="125"/>
      <c r="D306" s="125"/>
      <c r="AA306" s="74"/>
      <c r="AE306" s="124"/>
      <c r="AI306" s="74"/>
      <c r="AM306" s="74"/>
      <c r="AQ306" s="74"/>
    </row>
    <row r="307" spans="2:43" s="123" customFormat="1">
      <c r="B307" s="125"/>
      <c r="D307" s="125"/>
      <c r="AA307" s="74"/>
      <c r="AE307" s="124"/>
      <c r="AI307" s="74"/>
      <c r="AM307" s="74"/>
      <c r="AQ307" s="74"/>
    </row>
    <row r="308" spans="2:43" s="123" customFormat="1">
      <c r="B308" s="125"/>
      <c r="D308" s="125"/>
      <c r="AA308" s="74"/>
      <c r="AE308" s="124"/>
      <c r="AI308" s="74"/>
      <c r="AM308" s="74"/>
      <c r="AQ308" s="74"/>
    </row>
    <row r="309" spans="2:43" s="123" customFormat="1">
      <c r="B309" s="125"/>
      <c r="D309" s="125"/>
      <c r="AA309" s="74"/>
      <c r="AE309" s="124"/>
      <c r="AI309" s="74"/>
      <c r="AM309" s="74"/>
      <c r="AQ309" s="74"/>
    </row>
    <row r="310" spans="2:43" s="123" customFormat="1">
      <c r="B310" s="125"/>
      <c r="D310" s="125"/>
      <c r="AA310" s="74"/>
      <c r="AE310" s="124"/>
      <c r="AI310" s="74"/>
      <c r="AM310" s="74"/>
      <c r="AQ310" s="74"/>
    </row>
    <row r="311" spans="2:43" s="123" customFormat="1">
      <c r="B311" s="125"/>
      <c r="D311" s="125"/>
      <c r="AA311" s="74"/>
      <c r="AE311" s="124"/>
      <c r="AI311" s="74"/>
      <c r="AM311" s="74"/>
      <c r="AQ311" s="74"/>
    </row>
    <row r="312" spans="2:43" s="123" customFormat="1">
      <c r="B312" s="125"/>
      <c r="D312" s="125"/>
      <c r="AA312" s="74"/>
      <c r="AE312" s="124"/>
      <c r="AI312" s="74"/>
      <c r="AM312" s="74"/>
      <c r="AQ312" s="74"/>
    </row>
    <row r="313" spans="2:43" s="123" customFormat="1">
      <c r="B313" s="125"/>
      <c r="D313" s="125"/>
      <c r="AA313" s="74"/>
      <c r="AE313" s="124"/>
      <c r="AI313" s="74"/>
      <c r="AM313" s="74"/>
      <c r="AQ313" s="74"/>
    </row>
    <row r="314" spans="2:43" s="123" customFormat="1">
      <c r="B314" s="125"/>
      <c r="D314" s="125"/>
      <c r="AA314" s="74"/>
      <c r="AE314" s="124"/>
      <c r="AI314" s="74"/>
      <c r="AM314" s="74"/>
      <c r="AQ314" s="74"/>
    </row>
    <row r="315" spans="2:43" s="123" customFormat="1">
      <c r="B315" s="125"/>
      <c r="D315" s="125"/>
      <c r="AA315" s="74"/>
      <c r="AE315" s="124"/>
      <c r="AI315" s="74"/>
      <c r="AM315" s="74"/>
      <c r="AQ315" s="74"/>
    </row>
    <row r="316" spans="2:43" s="123" customFormat="1">
      <c r="B316" s="125"/>
      <c r="D316" s="125"/>
      <c r="AA316" s="74"/>
      <c r="AE316" s="124"/>
      <c r="AI316" s="74"/>
      <c r="AM316" s="74"/>
      <c r="AQ316" s="74"/>
    </row>
    <row r="317" spans="2:43" s="123" customFormat="1">
      <c r="B317" s="125"/>
      <c r="D317" s="125"/>
      <c r="AA317" s="74"/>
      <c r="AE317" s="124"/>
      <c r="AI317" s="74"/>
      <c r="AM317" s="74"/>
      <c r="AQ317" s="74"/>
    </row>
    <row r="318" spans="2:43" s="123" customFormat="1">
      <c r="B318" s="125"/>
      <c r="D318" s="125"/>
      <c r="AA318" s="74"/>
      <c r="AE318" s="124"/>
      <c r="AI318" s="74"/>
      <c r="AM318" s="74"/>
      <c r="AQ318" s="74"/>
    </row>
    <row r="319" spans="2:43" s="123" customFormat="1">
      <c r="B319" s="125"/>
      <c r="D319" s="125"/>
      <c r="AA319" s="74"/>
      <c r="AE319" s="124"/>
      <c r="AI319" s="74"/>
      <c r="AM319" s="74"/>
      <c r="AQ319" s="74"/>
    </row>
    <row r="320" spans="2:43" s="123" customFormat="1">
      <c r="B320" s="125"/>
      <c r="D320" s="125"/>
      <c r="AA320" s="74"/>
      <c r="AE320" s="124"/>
      <c r="AI320" s="74"/>
      <c r="AM320" s="74"/>
      <c r="AQ320" s="74"/>
    </row>
    <row r="321" spans="2:43" s="123" customFormat="1">
      <c r="B321" s="125"/>
      <c r="D321" s="125"/>
      <c r="AA321" s="74"/>
      <c r="AE321" s="124"/>
      <c r="AI321" s="74"/>
      <c r="AM321" s="74"/>
      <c r="AQ321" s="74"/>
    </row>
    <row r="322" spans="2:43" s="123" customFormat="1">
      <c r="B322" s="125"/>
      <c r="D322" s="125"/>
      <c r="AA322" s="74"/>
      <c r="AE322" s="124"/>
      <c r="AI322" s="74"/>
      <c r="AM322" s="74"/>
      <c r="AQ322" s="74"/>
    </row>
    <row r="323" spans="2:43" s="123" customFormat="1">
      <c r="B323" s="125"/>
      <c r="D323" s="125"/>
      <c r="AA323" s="74"/>
      <c r="AE323" s="124"/>
      <c r="AI323" s="74"/>
      <c r="AM323" s="74"/>
      <c r="AQ323" s="74"/>
    </row>
    <row r="324" spans="2:43" s="123" customFormat="1">
      <c r="B324" s="125"/>
      <c r="D324" s="125"/>
      <c r="AA324" s="74"/>
      <c r="AE324" s="124"/>
      <c r="AI324" s="74"/>
      <c r="AM324" s="74"/>
      <c r="AQ324" s="74"/>
    </row>
    <row r="325" spans="2:43" s="123" customFormat="1">
      <c r="B325" s="125"/>
      <c r="D325" s="125"/>
      <c r="AA325" s="74"/>
      <c r="AE325" s="124"/>
      <c r="AI325" s="74"/>
      <c r="AM325" s="74"/>
      <c r="AQ325" s="74"/>
    </row>
    <row r="326" spans="2:43" s="123" customFormat="1">
      <c r="B326" s="125"/>
      <c r="D326" s="125"/>
      <c r="AA326" s="74"/>
      <c r="AE326" s="124"/>
      <c r="AI326" s="74"/>
      <c r="AM326" s="74"/>
      <c r="AQ326" s="74"/>
    </row>
    <row r="327" spans="2:43" s="123" customFormat="1">
      <c r="B327" s="125"/>
      <c r="D327" s="125"/>
      <c r="AA327" s="74"/>
      <c r="AE327" s="124"/>
      <c r="AI327" s="74"/>
      <c r="AM327" s="74"/>
      <c r="AQ327" s="74"/>
    </row>
    <row r="328" spans="2:43" s="123" customFormat="1">
      <c r="B328" s="125"/>
      <c r="D328" s="125"/>
      <c r="AA328" s="74"/>
      <c r="AE328" s="124"/>
      <c r="AI328" s="74"/>
      <c r="AM328" s="74"/>
      <c r="AQ328" s="74"/>
    </row>
    <row r="329" spans="2:43" s="123" customFormat="1">
      <c r="B329" s="125"/>
      <c r="D329" s="125"/>
      <c r="AA329" s="74"/>
      <c r="AE329" s="124"/>
      <c r="AI329" s="74"/>
      <c r="AM329" s="74"/>
      <c r="AQ329" s="74"/>
    </row>
    <row r="330" spans="2:43" s="123" customFormat="1">
      <c r="B330" s="125"/>
      <c r="D330" s="125"/>
      <c r="AA330" s="74"/>
      <c r="AE330" s="124"/>
      <c r="AI330" s="74"/>
      <c r="AM330" s="74"/>
      <c r="AQ330" s="74"/>
    </row>
    <row r="331" spans="2:43" s="123" customFormat="1">
      <c r="B331" s="125"/>
      <c r="D331" s="125"/>
      <c r="AA331" s="74"/>
      <c r="AE331" s="124"/>
      <c r="AI331" s="74"/>
      <c r="AM331" s="74"/>
      <c r="AQ331" s="74"/>
    </row>
    <row r="332" spans="2:43" s="123" customFormat="1">
      <c r="B332" s="125"/>
      <c r="D332" s="125"/>
      <c r="AA332" s="74"/>
      <c r="AE332" s="124"/>
      <c r="AI332" s="74"/>
      <c r="AM332" s="74"/>
      <c r="AQ332" s="74"/>
    </row>
    <row r="333" spans="2:43" s="123" customFormat="1">
      <c r="B333" s="125"/>
      <c r="D333" s="125"/>
      <c r="AA333" s="74"/>
      <c r="AE333" s="124"/>
      <c r="AI333" s="74"/>
      <c r="AM333" s="74"/>
      <c r="AQ333" s="74"/>
    </row>
    <row r="334" spans="2:43" s="123" customFormat="1">
      <c r="B334" s="125"/>
      <c r="D334" s="125"/>
      <c r="AA334" s="74"/>
      <c r="AE334" s="124"/>
      <c r="AI334" s="74"/>
      <c r="AM334" s="74"/>
      <c r="AQ334" s="74"/>
    </row>
    <row r="335" spans="2:43" s="123" customFormat="1">
      <c r="B335" s="125"/>
      <c r="D335" s="125"/>
      <c r="AA335" s="74"/>
      <c r="AE335" s="124"/>
      <c r="AI335" s="74"/>
      <c r="AM335" s="74"/>
      <c r="AQ335" s="74"/>
    </row>
    <row r="336" spans="2:43" s="123" customFormat="1">
      <c r="B336" s="125"/>
      <c r="D336" s="125"/>
      <c r="AA336" s="74"/>
      <c r="AE336" s="124"/>
      <c r="AI336" s="74"/>
      <c r="AM336" s="74"/>
      <c r="AQ336" s="74"/>
    </row>
    <row r="337" spans="2:43" s="123" customFormat="1">
      <c r="B337" s="125"/>
      <c r="D337" s="125"/>
      <c r="AA337" s="74"/>
      <c r="AE337" s="124"/>
      <c r="AI337" s="74"/>
      <c r="AM337" s="74"/>
      <c r="AQ337" s="74"/>
    </row>
    <row r="338" spans="2:43" s="123" customFormat="1">
      <c r="B338" s="125"/>
      <c r="D338" s="125"/>
      <c r="AA338" s="74"/>
      <c r="AE338" s="124"/>
      <c r="AI338" s="74"/>
      <c r="AM338" s="74"/>
      <c r="AQ338" s="74"/>
    </row>
    <row r="339" spans="2:43" s="123" customFormat="1">
      <c r="B339" s="125"/>
      <c r="D339" s="125"/>
      <c r="AA339" s="74"/>
      <c r="AE339" s="124"/>
      <c r="AI339" s="74"/>
      <c r="AM339" s="74"/>
      <c r="AQ339" s="74"/>
    </row>
    <row r="340" spans="2:43" s="123" customFormat="1">
      <c r="B340" s="125"/>
      <c r="D340" s="125"/>
      <c r="AA340" s="74"/>
      <c r="AE340" s="124"/>
      <c r="AI340" s="74"/>
      <c r="AM340" s="74"/>
      <c r="AQ340" s="74"/>
    </row>
    <row r="341" spans="2:43" s="123" customFormat="1">
      <c r="B341" s="125"/>
      <c r="D341" s="125"/>
      <c r="AA341" s="74"/>
      <c r="AE341" s="124"/>
      <c r="AI341" s="74"/>
      <c r="AM341" s="74"/>
      <c r="AQ341" s="74"/>
    </row>
    <row r="342" spans="2:43" s="123" customFormat="1">
      <c r="B342" s="125"/>
      <c r="D342" s="125"/>
      <c r="AA342" s="74"/>
      <c r="AE342" s="124"/>
      <c r="AI342" s="74"/>
      <c r="AM342" s="74"/>
      <c r="AQ342" s="74"/>
    </row>
    <row r="343" spans="2:43" s="123" customFormat="1">
      <c r="B343" s="125"/>
      <c r="D343" s="125"/>
      <c r="AA343" s="74"/>
      <c r="AE343" s="124"/>
      <c r="AI343" s="74"/>
      <c r="AM343" s="74"/>
      <c r="AQ343" s="74"/>
    </row>
    <row r="344" spans="2:43" s="123" customFormat="1">
      <c r="B344" s="125"/>
      <c r="D344" s="125"/>
      <c r="AA344" s="74"/>
      <c r="AE344" s="124"/>
      <c r="AI344" s="74"/>
      <c r="AM344" s="74"/>
      <c r="AQ344" s="74"/>
    </row>
    <row r="345" spans="2:43" s="123" customFormat="1">
      <c r="B345" s="125"/>
      <c r="D345" s="125"/>
      <c r="AA345" s="74"/>
      <c r="AE345" s="124"/>
      <c r="AI345" s="74"/>
      <c r="AM345" s="74"/>
      <c r="AQ345" s="74"/>
    </row>
    <row r="346" spans="2:43" s="123" customFormat="1">
      <c r="B346" s="125"/>
      <c r="D346" s="125"/>
      <c r="AA346" s="74"/>
      <c r="AE346" s="124"/>
      <c r="AI346" s="74"/>
      <c r="AM346" s="74"/>
      <c r="AQ346" s="74"/>
    </row>
    <row r="347" spans="2:43" s="123" customFormat="1">
      <c r="B347" s="125"/>
      <c r="D347" s="125"/>
      <c r="AA347" s="74"/>
      <c r="AE347" s="124"/>
      <c r="AI347" s="74"/>
      <c r="AM347" s="74"/>
      <c r="AQ347" s="74"/>
    </row>
    <row r="348" spans="2:43" s="123" customFormat="1">
      <c r="B348" s="125"/>
      <c r="D348" s="125"/>
      <c r="AA348" s="74"/>
      <c r="AE348" s="124"/>
      <c r="AI348" s="74"/>
      <c r="AM348" s="74"/>
      <c r="AQ348" s="74"/>
    </row>
    <row r="349" spans="2:43" s="123" customFormat="1">
      <c r="B349" s="125"/>
      <c r="D349" s="125"/>
      <c r="AA349" s="74"/>
      <c r="AE349" s="124"/>
      <c r="AI349" s="74"/>
      <c r="AM349" s="74"/>
      <c r="AQ349" s="74"/>
    </row>
    <row r="350" spans="2:43" s="123" customFormat="1">
      <c r="B350" s="125"/>
      <c r="D350" s="125"/>
      <c r="AA350" s="74"/>
      <c r="AE350" s="124"/>
      <c r="AI350" s="74"/>
      <c r="AM350" s="74"/>
      <c r="AQ350" s="74"/>
    </row>
    <row r="351" spans="2:43" s="123" customFormat="1">
      <c r="B351" s="125"/>
      <c r="D351" s="125"/>
      <c r="AA351" s="74"/>
      <c r="AE351" s="124"/>
      <c r="AI351" s="74"/>
      <c r="AM351" s="74"/>
      <c r="AQ351" s="74"/>
    </row>
    <row r="352" spans="2:43" s="123" customFormat="1">
      <c r="B352" s="125"/>
      <c r="D352" s="125"/>
      <c r="AA352" s="74"/>
      <c r="AE352" s="124"/>
      <c r="AI352" s="74"/>
      <c r="AM352" s="74"/>
      <c r="AQ352" s="74"/>
    </row>
    <row r="353" spans="2:43" s="123" customFormat="1">
      <c r="B353" s="125"/>
      <c r="D353" s="125"/>
      <c r="AA353" s="74"/>
      <c r="AE353" s="124"/>
      <c r="AI353" s="74"/>
      <c r="AM353" s="74"/>
      <c r="AQ353" s="74"/>
    </row>
    <row r="354" spans="2:43" s="123" customFormat="1">
      <c r="B354" s="125"/>
      <c r="D354" s="125"/>
      <c r="AA354" s="74"/>
      <c r="AE354" s="124"/>
      <c r="AI354" s="74"/>
      <c r="AM354" s="74"/>
      <c r="AQ354" s="74"/>
    </row>
    <row r="355" spans="2:43" s="123" customFormat="1">
      <c r="B355" s="125"/>
      <c r="D355" s="125"/>
      <c r="AA355" s="74"/>
      <c r="AE355" s="124"/>
      <c r="AI355" s="74"/>
      <c r="AM355" s="74"/>
      <c r="AQ355" s="74"/>
    </row>
    <row r="356" spans="2:43" s="123" customFormat="1">
      <c r="B356" s="125"/>
      <c r="D356" s="125"/>
      <c r="AA356" s="74"/>
      <c r="AE356" s="124"/>
      <c r="AI356" s="74"/>
      <c r="AM356" s="74"/>
      <c r="AQ356" s="74"/>
    </row>
    <row r="357" spans="2:43" s="123" customFormat="1">
      <c r="B357" s="125"/>
      <c r="D357" s="125"/>
      <c r="AA357" s="74"/>
      <c r="AE357" s="124"/>
      <c r="AI357" s="74"/>
      <c r="AM357" s="74"/>
      <c r="AQ357" s="74"/>
    </row>
    <row r="358" spans="2:43" s="123" customFormat="1">
      <c r="B358" s="125"/>
      <c r="D358" s="125"/>
      <c r="AA358" s="74"/>
      <c r="AE358" s="124"/>
      <c r="AI358" s="74"/>
      <c r="AM358" s="74"/>
      <c r="AQ358" s="74"/>
    </row>
    <row r="359" spans="2:43" s="123" customFormat="1">
      <c r="B359" s="125"/>
      <c r="D359" s="125"/>
      <c r="AA359" s="74"/>
      <c r="AE359" s="124"/>
      <c r="AI359" s="74"/>
      <c r="AM359" s="74"/>
      <c r="AQ359" s="74"/>
    </row>
    <row r="360" spans="2:43" s="123" customFormat="1">
      <c r="B360" s="125"/>
      <c r="D360" s="125"/>
      <c r="AA360" s="74"/>
      <c r="AE360" s="124"/>
      <c r="AI360" s="74"/>
      <c r="AM360" s="74"/>
      <c r="AQ360" s="74"/>
    </row>
    <row r="361" spans="2:43" s="123" customFormat="1">
      <c r="B361" s="125"/>
      <c r="D361" s="125"/>
      <c r="AA361" s="74"/>
      <c r="AE361" s="124"/>
      <c r="AI361" s="74"/>
      <c r="AM361" s="74"/>
      <c r="AQ361" s="74"/>
    </row>
    <row r="362" spans="2:43" s="123" customFormat="1">
      <c r="B362" s="125"/>
      <c r="D362" s="125"/>
      <c r="AA362" s="74"/>
      <c r="AE362" s="124"/>
      <c r="AI362" s="74"/>
      <c r="AM362" s="74"/>
      <c r="AQ362" s="74"/>
    </row>
    <row r="363" spans="2:43" s="123" customFormat="1">
      <c r="B363" s="125"/>
      <c r="D363" s="125"/>
      <c r="AA363" s="74"/>
      <c r="AE363" s="124"/>
      <c r="AI363" s="74"/>
      <c r="AM363" s="74"/>
      <c r="AQ363" s="74"/>
    </row>
    <row r="364" spans="2:43" s="123" customFormat="1">
      <c r="B364" s="125"/>
      <c r="D364" s="125"/>
      <c r="AA364" s="74"/>
      <c r="AE364" s="124"/>
      <c r="AI364" s="74"/>
      <c r="AM364" s="74"/>
      <c r="AQ364" s="74"/>
    </row>
    <row r="365" spans="2:43" s="123" customFormat="1">
      <c r="B365" s="125"/>
      <c r="D365" s="125"/>
      <c r="AA365" s="74"/>
      <c r="AE365" s="124"/>
      <c r="AI365" s="74"/>
      <c r="AM365" s="74"/>
      <c r="AQ365" s="74"/>
    </row>
    <row r="366" spans="2:43" s="123" customFormat="1">
      <c r="B366" s="125"/>
      <c r="D366" s="125"/>
      <c r="AA366" s="74"/>
      <c r="AE366" s="124"/>
      <c r="AI366" s="74"/>
      <c r="AM366" s="74"/>
      <c r="AQ366" s="74"/>
    </row>
    <row r="367" spans="2:43" s="123" customFormat="1">
      <c r="B367" s="125"/>
      <c r="D367" s="125"/>
      <c r="AA367" s="74"/>
      <c r="AE367" s="124"/>
      <c r="AI367" s="74"/>
      <c r="AM367" s="74"/>
      <c r="AQ367" s="74"/>
    </row>
    <row r="368" spans="2:43" s="123" customFormat="1">
      <c r="B368" s="125"/>
      <c r="D368" s="125"/>
      <c r="AA368" s="74"/>
      <c r="AE368" s="124"/>
      <c r="AI368" s="74"/>
      <c r="AM368" s="74"/>
      <c r="AQ368" s="74"/>
    </row>
    <row r="369" spans="2:43" s="123" customFormat="1">
      <c r="B369" s="125"/>
      <c r="D369" s="125"/>
      <c r="AA369" s="74"/>
      <c r="AE369" s="124"/>
      <c r="AI369" s="74"/>
      <c r="AM369" s="74"/>
      <c r="AQ369" s="74"/>
    </row>
    <row r="370" spans="2:43" s="123" customFormat="1">
      <c r="B370" s="125"/>
      <c r="D370" s="125"/>
      <c r="AA370" s="74"/>
      <c r="AE370" s="124"/>
      <c r="AI370" s="74"/>
      <c r="AM370" s="74"/>
      <c r="AQ370" s="74"/>
    </row>
    <row r="371" spans="2:43" s="123" customFormat="1">
      <c r="B371" s="125"/>
      <c r="D371" s="125"/>
      <c r="AA371" s="74"/>
      <c r="AE371" s="124"/>
      <c r="AI371" s="74"/>
      <c r="AM371" s="74"/>
      <c r="AQ371" s="74"/>
    </row>
    <row r="372" spans="2:43" s="123" customFormat="1">
      <c r="B372" s="125"/>
      <c r="D372" s="125"/>
      <c r="AA372" s="74"/>
      <c r="AE372" s="124"/>
      <c r="AI372" s="74"/>
      <c r="AM372" s="74"/>
      <c r="AQ372" s="74"/>
    </row>
    <row r="373" spans="2:43" s="123" customFormat="1">
      <c r="B373" s="125"/>
      <c r="D373" s="125"/>
      <c r="AA373" s="74"/>
      <c r="AE373" s="124"/>
      <c r="AI373" s="74"/>
      <c r="AM373" s="74"/>
      <c r="AQ373" s="74"/>
    </row>
    <row r="374" spans="2:43" s="123" customFormat="1">
      <c r="B374" s="125"/>
      <c r="D374" s="125"/>
      <c r="AA374" s="74"/>
      <c r="AE374" s="124"/>
      <c r="AI374" s="74"/>
      <c r="AM374" s="74"/>
      <c r="AQ374" s="74"/>
    </row>
    <row r="375" spans="2:43" s="123" customFormat="1">
      <c r="B375" s="125"/>
      <c r="D375" s="125"/>
      <c r="AA375" s="74"/>
      <c r="AE375" s="124"/>
      <c r="AI375" s="74"/>
      <c r="AM375" s="74"/>
      <c r="AQ375" s="74"/>
    </row>
    <row r="376" spans="2:43" s="123" customFormat="1">
      <c r="B376" s="125"/>
      <c r="D376" s="125"/>
      <c r="AA376" s="74"/>
      <c r="AE376" s="124"/>
      <c r="AI376" s="74"/>
      <c r="AM376" s="74"/>
      <c r="AQ376" s="74"/>
    </row>
    <row r="377" spans="2:43" s="123" customFormat="1">
      <c r="B377" s="125"/>
      <c r="D377" s="125"/>
      <c r="AA377" s="74"/>
      <c r="AE377" s="124"/>
      <c r="AI377" s="74"/>
      <c r="AM377" s="74"/>
      <c r="AQ377" s="74"/>
    </row>
    <row r="378" spans="2:43" s="123" customFormat="1">
      <c r="B378" s="125"/>
      <c r="D378" s="125"/>
      <c r="AA378" s="74"/>
      <c r="AE378" s="124"/>
      <c r="AI378" s="74"/>
      <c r="AM378" s="74"/>
      <c r="AQ378" s="74"/>
    </row>
    <row r="379" spans="2:43" s="123" customFormat="1">
      <c r="B379" s="125"/>
      <c r="D379" s="125"/>
      <c r="AA379" s="74"/>
      <c r="AE379" s="124"/>
      <c r="AI379" s="74"/>
      <c r="AM379" s="74"/>
      <c r="AQ379" s="74"/>
    </row>
    <row r="380" spans="2:43" s="123" customFormat="1">
      <c r="B380" s="125"/>
      <c r="D380" s="125"/>
      <c r="AA380" s="74"/>
      <c r="AE380" s="124"/>
      <c r="AI380" s="74"/>
      <c r="AM380" s="74"/>
      <c r="AQ380" s="74"/>
    </row>
    <row r="381" spans="2:43" s="123" customFormat="1">
      <c r="B381" s="125"/>
      <c r="D381" s="125"/>
      <c r="AA381" s="74"/>
      <c r="AE381" s="124"/>
      <c r="AI381" s="74"/>
      <c r="AM381" s="74"/>
      <c r="AQ381" s="74"/>
    </row>
    <row r="382" spans="2:43" s="123" customFormat="1">
      <c r="B382" s="125"/>
      <c r="D382" s="125"/>
      <c r="AA382" s="74"/>
      <c r="AE382" s="124"/>
      <c r="AI382" s="74"/>
      <c r="AM382" s="74"/>
      <c r="AQ382" s="74"/>
    </row>
    <row r="383" spans="2:43" s="123" customFormat="1">
      <c r="B383" s="125"/>
      <c r="D383" s="125"/>
      <c r="AA383" s="74"/>
      <c r="AE383" s="124"/>
      <c r="AI383" s="74"/>
      <c r="AM383" s="74"/>
      <c r="AQ383" s="74"/>
    </row>
    <row r="384" spans="2:43" s="123" customFormat="1">
      <c r="B384" s="125"/>
      <c r="D384" s="125"/>
      <c r="AA384" s="74"/>
      <c r="AE384" s="124"/>
      <c r="AI384" s="74"/>
      <c r="AM384" s="74"/>
      <c r="AQ384" s="74"/>
    </row>
    <row r="385" spans="2:43" s="123" customFormat="1">
      <c r="B385" s="125"/>
      <c r="D385" s="125"/>
      <c r="AA385" s="74"/>
      <c r="AE385" s="124"/>
      <c r="AI385" s="74"/>
      <c r="AM385" s="74"/>
      <c r="AQ385" s="74"/>
    </row>
    <row r="386" spans="2:43" s="123" customFormat="1">
      <c r="B386" s="125"/>
      <c r="D386" s="125"/>
      <c r="AA386" s="74"/>
      <c r="AE386" s="124"/>
      <c r="AI386" s="74"/>
      <c r="AM386" s="74"/>
      <c r="AQ386" s="74"/>
    </row>
    <row r="387" spans="2:43" s="123" customFormat="1">
      <c r="B387" s="125"/>
      <c r="D387" s="125"/>
      <c r="AA387" s="74"/>
      <c r="AE387" s="124"/>
      <c r="AI387" s="74"/>
      <c r="AM387" s="74"/>
      <c r="AQ387" s="74"/>
    </row>
    <row r="388" spans="2:43" s="123" customFormat="1">
      <c r="B388" s="125"/>
      <c r="D388" s="125"/>
      <c r="AA388" s="74"/>
      <c r="AE388" s="124"/>
      <c r="AI388" s="74"/>
      <c r="AM388" s="74"/>
      <c r="AQ388" s="74"/>
    </row>
    <row r="389" spans="2:43" s="123" customFormat="1">
      <c r="B389" s="125"/>
      <c r="D389" s="125"/>
      <c r="AA389" s="74"/>
      <c r="AE389" s="124"/>
      <c r="AI389" s="74"/>
      <c r="AM389" s="74"/>
      <c r="AQ389" s="74"/>
    </row>
    <row r="390" spans="2:43" s="123" customFormat="1">
      <c r="B390" s="125"/>
      <c r="D390" s="125"/>
      <c r="AA390" s="74"/>
      <c r="AE390" s="124"/>
      <c r="AI390" s="74"/>
      <c r="AM390" s="74"/>
      <c r="AQ390" s="74"/>
    </row>
    <row r="391" spans="2:43" s="123" customFormat="1">
      <c r="B391" s="125"/>
      <c r="D391" s="125"/>
      <c r="AA391" s="74"/>
      <c r="AE391" s="124"/>
      <c r="AI391" s="74"/>
      <c r="AM391" s="74"/>
      <c r="AQ391" s="74"/>
    </row>
    <row r="392" spans="2:43" s="123" customFormat="1">
      <c r="B392" s="125"/>
      <c r="D392" s="125"/>
      <c r="AA392" s="74"/>
      <c r="AE392" s="124"/>
      <c r="AI392" s="74"/>
      <c r="AM392" s="74"/>
      <c r="AQ392" s="74"/>
    </row>
    <row r="393" spans="2:43" s="123" customFormat="1">
      <c r="B393" s="125"/>
      <c r="D393" s="125"/>
      <c r="AA393" s="74"/>
      <c r="AE393" s="124"/>
      <c r="AI393" s="74"/>
      <c r="AM393" s="74"/>
      <c r="AQ393" s="74"/>
    </row>
    <row r="394" spans="2:43" s="123" customFormat="1">
      <c r="B394" s="125"/>
      <c r="D394" s="125"/>
      <c r="AA394" s="74"/>
      <c r="AE394" s="124"/>
      <c r="AI394" s="74"/>
      <c r="AM394" s="74"/>
      <c r="AQ394" s="74"/>
    </row>
    <row r="395" spans="2:43" s="123" customFormat="1">
      <c r="B395" s="125"/>
      <c r="D395" s="125"/>
      <c r="AA395" s="74"/>
      <c r="AE395" s="124"/>
      <c r="AI395" s="74"/>
      <c r="AM395" s="74"/>
      <c r="AQ395" s="74"/>
    </row>
    <row r="396" spans="2:43" s="123" customFormat="1">
      <c r="B396" s="125"/>
      <c r="D396" s="125"/>
      <c r="AA396" s="74"/>
      <c r="AE396" s="124"/>
      <c r="AI396" s="74"/>
      <c r="AM396" s="74"/>
      <c r="AQ396" s="74"/>
    </row>
    <row r="397" spans="2:43" s="123" customFormat="1">
      <c r="B397" s="125"/>
      <c r="D397" s="125"/>
      <c r="AA397" s="74"/>
      <c r="AE397" s="124"/>
      <c r="AI397" s="74"/>
      <c r="AM397" s="74"/>
      <c r="AQ397" s="74"/>
    </row>
    <row r="398" spans="2:43" s="123" customFormat="1">
      <c r="B398" s="125"/>
      <c r="D398" s="125"/>
      <c r="AA398" s="74"/>
      <c r="AE398" s="124"/>
      <c r="AI398" s="74"/>
      <c r="AM398" s="74"/>
      <c r="AQ398" s="74"/>
    </row>
    <row r="399" spans="2:43" s="123" customFormat="1">
      <c r="B399" s="125"/>
      <c r="D399" s="125"/>
      <c r="AA399" s="74"/>
      <c r="AE399" s="124"/>
      <c r="AI399" s="74"/>
      <c r="AM399" s="74"/>
      <c r="AQ399" s="74"/>
    </row>
    <row r="400" spans="2:43" s="123" customFormat="1">
      <c r="B400" s="125"/>
      <c r="D400" s="125"/>
      <c r="AA400" s="74"/>
      <c r="AE400" s="124"/>
      <c r="AI400" s="74"/>
      <c r="AM400" s="74"/>
      <c r="AQ400" s="74"/>
    </row>
    <row r="401" spans="2:43" s="123" customFormat="1">
      <c r="B401" s="125"/>
      <c r="D401" s="125"/>
      <c r="AA401" s="74"/>
      <c r="AE401" s="124"/>
      <c r="AI401" s="74"/>
      <c r="AM401" s="74"/>
      <c r="AQ401" s="74"/>
    </row>
    <row r="402" spans="2:43" s="123" customFormat="1">
      <c r="B402" s="125"/>
      <c r="D402" s="125"/>
      <c r="AA402" s="74"/>
      <c r="AE402" s="124"/>
      <c r="AI402" s="74"/>
      <c r="AM402" s="74"/>
      <c r="AQ402" s="74"/>
    </row>
    <row r="403" spans="2:43" s="123" customFormat="1">
      <c r="B403" s="125"/>
      <c r="D403" s="125"/>
      <c r="AA403" s="74"/>
      <c r="AE403" s="124"/>
      <c r="AI403" s="74"/>
      <c r="AM403" s="74"/>
      <c r="AQ403" s="74"/>
    </row>
    <row r="404" spans="2:43" s="123" customFormat="1">
      <c r="B404" s="125"/>
      <c r="D404" s="125"/>
      <c r="AA404" s="74"/>
      <c r="AE404" s="124"/>
      <c r="AI404" s="74"/>
      <c r="AM404" s="74"/>
      <c r="AQ404" s="74"/>
    </row>
    <row r="405" spans="2:43" s="123" customFormat="1">
      <c r="B405" s="125"/>
      <c r="D405" s="125"/>
      <c r="AA405" s="74"/>
      <c r="AE405" s="124"/>
      <c r="AI405" s="74"/>
      <c r="AM405" s="74"/>
      <c r="AQ405" s="74"/>
    </row>
    <row r="406" spans="2:43" s="123" customFormat="1">
      <c r="B406" s="125"/>
      <c r="D406" s="125"/>
      <c r="AA406" s="74"/>
      <c r="AE406" s="124"/>
      <c r="AI406" s="74"/>
      <c r="AM406" s="74"/>
      <c r="AQ406" s="74"/>
    </row>
    <row r="407" spans="2:43" s="123" customFormat="1">
      <c r="B407" s="125"/>
      <c r="D407" s="125"/>
      <c r="AA407" s="74"/>
      <c r="AE407" s="124"/>
      <c r="AI407" s="74"/>
      <c r="AM407" s="74"/>
      <c r="AQ407" s="74"/>
    </row>
    <row r="408" spans="2:43" s="123" customFormat="1">
      <c r="B408" s="125"/>
      <c r="D408" s="125"/>
      <c r="AA408" s="74"/>
      <c r="AE408" s="124"/>
      <c r="AI408" s="74"/>
      <c r="AM408" s="74"/>
      <c r="AQ408" s="74"/>
    </row>
    <row r="409" spans="2:43" s="123" customFormat="1">
      <c r="B409" s="125"/>
      <c r="D409" s="125"/>
      <c r="AA409" s="74"/>
      <c r="AE409" s="124"/>
      <c r="AI409" s="74"/>
      <c r="AM409" s="74"/>
      <c r="AQ409" s="74"/>
    </row>
    <row r="410" spans="2:43" s="123" customFormat="1">
      <c r="B410" s="125"/>
      <c r="D410" s="125"/>
      <c r="AA410" s="74"/>
      <c r="AE410" s="124"/>
      <c r="AI410" s="74"/>
      <c r="AM410" s="74"/>
      <c r="AQ410" s="74"/>
    </row>
    <row r="411" spans="2:43" s="123" customFormat="1">
      <c r="B411" s="125"/>
      <c r="D411" s="125"/>
      <c r="AA411" s="74"/>
      <c r="AE411" s="124"/>
      <c r="AI411" s="74"/>
      <c r="AM411" s="74"/>
      <c r="AQ411" s="74"/>
    </row>
    <row r="412" spans="2:43" s="123" customFormat="1">
      <c r="B412" s="125"/>
      <c r="D412" s="125"/>
      <c r="AA412" s="74"/>
      <c r="AE412" s="124"/>
      <c r="AI412" s="74"/>
      <c r="AM412" s="74"/>
      <c r="AQ412" s="74"/>
    </row>
    <row r="413" spans="2:43" s="123" customFormat="1">
      <c r="B413" s="125"/>
      <c r="D413" s="125"/>
      <c r="AA413" s="74"/>
      <c r="AE413" s="124"/>
      <c r="AI413" s="74"/>
      <c r="AM413" s="74"/>
      <c r="AQ413" s="74"/>
    </row>
    <row r="414" spans="2:43" s="123" customFormat="1">
      <c r="B414" s="125"/>
      <c r="D414" s="125"/>
      <c r="AA414" s="74"/>
      <c r="AE414" s="124"/>
      <c r="AI414" s="74"/>
      <c r="AM414" s="74"/>
      <c r="AQ414" s="74"/>
    </row>
    <row r="415" spans="2:43" s="123" customFormat="1">
      <c r="B415" s="125"/>
      <c r="D415" s="125"/>
      <c r="AA415" s="74"/>
      <c r="AE415" s="124"/>
      <c r="AI415" s="74"/>
      <c r="AM415" s="74"/>
      <c r="AQ415" s="74"/>
    </row>
    <row r="416" spans="2:43" s="123" customFormat="1">
      <c r="B416" s="125"/>
      <c r="D416" s="125"/>
      <c r="AA416" s="74"/>
      <c r="AE416" s="124"/>
      <c r="AI416" s="74"/>
      <c r="AM416" s="74"/>
      <c r="AQ416" s="74"/>
    </row>
    <row r="417" spans="2:43" s="123" customFormat="1">
      <c r="B417" s="125"/>
      <c r="D417" s="125"/>
      <c r="AA417" s="74"/>
      <c r="AE417" s="124"/>
      <c r="AI417" s="74"/>
      <c r="AM417" s="74"/>
      <c r="AQ417" s="74"/>
    </row>
    <row r="418" spans="2:43" s="123" customFormat="1">
      <c r="B418" s="125"/>
      <c r="D418" s="125"/>
      <c r="AA418" s="74"/>
      <c r="AE418" s="124"/>
      <c r="AI418" s="74"/>
      <c r="AM418" s="74"/>
      <c r="AQ418" s="74"/>
    </row>
    <row r="419" spans="2:43" s="123" customFormat="1">
      <c r="B419" s="125"/>
      <c r="D419" s="125"/>
      <c r="AA419" s="74"/>
      <c r="AE419" s="124"/>
      <c r="AI419" s="74"/>
      <c r="AM419" s="74"/>
      <c r="AQ419" s="74"/>
    </row>
    <row r="420" spans="2:43" s="123" customFormat="1">
      <c r="B420" s="125"/>
      <c r="D420" s="125"/>
      <c r="AA420" s="74"/>
      <c r="AE420" s="124"/>
      <c r="AI420" s="74"/>
      <c r="AM420" s="74"/>
      <c r="AQ420" s="74"/>
    </row>
    <row r="421" spans="2:43" s="123" customFormat="1">
      <c r="B421" s="125"/>
      <c r="D421" s="125"/>
      <c r="AA421" s="74"/>
      <c r="AE421" s="124"/>
      <c r="AI421" s="74"/>
      <c r="AM421" s="74"/>
      <c r="AQ421" s="74"/>
    </row>
    <row r="422" spans="2:43" s="123" customFormat="1">
      <c r="B422" s="125"/>
      <c r="D422" s="125"/>
      <c r="AA422" s="74"/>
      <c r="AE422" s="124"/>
      <c r="AI422" s="74"/>
      <c r="AM422" s="74"/>
      <c r="AQ422" s="74"/>
    </row>
    <row r="423" spans="2:43" s="123" customFormat="1">
      <c r="B423" s="125"/>
      <c r="D423" s="125"/>
      <c r="AA423" s="74"/>
      <c r="AE423" s="124"/>
      <c r="AI423" s="74"/>
      <c r="AM423" s="74"/>
      <c r="AQ423" s="74"/>
    </row>
    <row r="424" spans="2:43" s="123" customFormat="1">
      <c r="B424" s="125"/>
      <c r="D424" s="125"/>
      <c r="AA424" s="74"/>
      <c r="AE424" s="124"/>
      <c r="AI424" s="74"/>
      <c r="AM424" s="74"/>
      <c r="AQ424" s="74"/>
    </row>
    <row r="425" spans="2:43" s="123" customFormat="1">
      <c r="B425" s="125"/>
      <c r="D425" s="125"/>
      <c r="AA425" s="74"/>
      <c r="AE425" s="124"/>
      <c r="AI425" s="74"/>
      <c r="AM425" s="74"/>
      <c r="AQ425" s="74"/>
    </row>
    <row r="426" spans="2:43" s="123" customFormat="1">
      <c r="B426" s="125"/>
      <c r="D426" s="125"/>
      <c r="AA426" s="74"/>
      <c r="AE426" s="124"/>
      <c r="AI426" s="74"/>
      <c r="AM426" s="74"/>
      <c r="AQ426" s="74"/>
    </row>
    <row r="427" spans="2:43" s="123" customFormat="1">
      <c r="B427" s="125"/>
      <c r="D427" s="125"/>
      <c r="AA427" s="74"/>
      <c r="AE427" s="124"/>
      <c r="AI427" s="74"/>
      <c r="AM427" s="74"/>
      <c r="AQ427" s="74"/>
    </row>
    <row r="428" spans="2:43" s="123" customFormat="1">
      <c r="B428" s="125"/>
      <c r="D428" s="125"/>
      <c r="AA428" s="74"/>
      <c r="AE428" s="124"/>
      <c r="AI428" s="74"/>
      <c r="AM428" s="74"/>
      <c r="AQ428" s="74"/>
    </row>
    <row r="429" spans="2:43" s="123" customFormat="1">
      <c r="B429" s="125"/>
      <c r="D429" s="125"/>
      <c r="AA429" s="74"/>
      <c r="AE429" s="124"/>
      <c r="AI429" s="74"/>
      <c r="AM429" s="74"/>
      <c r="AQ429" s="74"/>
    </row>
    <row r="430" spans="2:43" s="123" customFormat="1">
      <c r="B430" s="125"/>
      <c r="D430" s="125"/>
      <c r="AA430" s="74"/>
      <c r="AE430" s="124"/>
      <c r="AI430" s="74"/>
      <c r="AM430" s="74"/>
      <c r="AQ430" s="74"/>
    </row>
    <row r="431" spans="2:43" s="123" customFormat="1">
      <c r="B431" s="125"/>
      <c r="D431" s="125"/>
      <c r="AA431" s="74"/>
      <c r="AE431" s="124"/>
      <c r="AI431" s="74"/>
      <c r="AM431" s="74"/>
      <c r="AQ431" s="74"/>
    </row>
    <row r="432" spans="2:43" s="123" customFormat="1">
      <c r="B432" s="125"/>
      <c r="D432" s="125"/>
      <c r="AA432" s="74"/>
      <c r="AE432" s="124"/>
      <c r="AI432" s="74"/>
      <c r="AM432" s="74"/>
      <c r="AQ432" s="74"/>
    </row>
    <row r="433" spans="2:43" s="123" customFormat="1">
      <c r="B433" s="125"/>
      <c r="D433" s="125"/>
      <c r="AA433" s="74"/>
      <c r="AE433" s="124"/>
      <c r="AI433" s="74"/>
      <c r="AM433" s="74"/>
      <c r="AQ433" s="74"/>
    </row>
    <row r="434" spans="2:43" s="123" customFormat="1">
      <c r="B434" s="125"/>
      <c r="D434" s="125"/>
      <c r="AA434" s="74"/>
      <c r="AE434" s="124"/>
      <c r="AI434" s="74"/>
      <c r="AM434" s="74"/>
      <c r="AQ434" s="74"/>
    </row>
    <row r="435" spans="2:43" s="123" customFormat="1">
      <c r="B435" s="125"/>
      <c r="D435" s="125"/>
      <c r="AA435" s="74"/>
      <c r="AE435" s="124"/>
      <c r="AI435" s="74"/>
      <c r="AM435" s="74"/>
      <c r="AQ435" s="74"/>
    </row>
    <row r="436" spans="2:43" s="123" customFormat="1">
      <c r="B436" s="125"/>
      <c r="D436" s="125"/>
      <c r="AA436" s="74"/>
      <c r="AE436" s="124"/>
      <c r="AI436" s="74"/>
      <c r="AM436" s="74"/>
      <c r="AQ436" s="74"/>
    </row>
    <row r="437" spans="2:43" s="123" customFormat="1">
      <c r="B437" s="125"/>
      <c r="D437" s="125"/>
      <c r="AA437" s="74"/>
      <c r="AE437" s="124"/>
      <c r="AI437" s="74"/>
      <c r="AM437" s="74"/>
      <c r="AQ437" s="74"/>
    </row>
    <row r="438" spans="2:43" s="123" customFormat="1">
      <c r="B438" s="125"/>
      <c r="D438" s="125"/>
      <c r="AA438" s="74"/>
      <c r="AE438" s="124"/>
      <c r="AI438" s="74"/>
      <c r="AM438" s="74"/>
      <c r="AQ438" s="74"/>
    </row>
    <row r="439" spans="2:43" s="123" customFormat="1">
      <c r="B439" s="125"/>
      <c r="D439" s="125"/>
      <c r="AA439" s="74"/>
      <c r="AE439" s="124"/>
      <c r="AI439" s="74"/>
      <c r="AM439" s="74"/>
      <c r="AQ439" s="74"/>
    </row>
    <row r="440" spans="2:43" s="123" customFormat="1">
      <c r="B440" s="125"/>
      <c r="D440" s="125"/>
      <c r="AA440" s="74"/>
      <c r="AE440" s="124"/>
      <c r="AI440" s="74"/>
      <c r="AM440" s="74"/>
      <c r="AQ440" s="74"/>
    </row>
    <row r="441" spans="2:43" s="123" customFormat="1">
      <c r="B441" s="125"/>
      <c r="D441" s="125"/>
      <c r="AA441" s="74"/>
      <c r="AE441" s="124"/>
      <c r="AI441" s="74"/>
      <c r="AM441" s="74"/>
      <c r="AQ441" s="74"/>
    </row>
    <row r="442" spans="2:43" s="123" customFormat="1">
      <c r="B442" s="125"/>
      <c r="D442" s="125"/>
      <c r="AA442" s="74"/>
      <c r="AE442" s="124"/>
      <c r="AI442" s="74"/>
      <c r="AM442" s="74"/>
      <c r="AQ442" s="74"/>
    </row>
    <row r="443" spans="2:43" s="123" customFormat="1">
      <c r="B443" s="125"/>
      <c r="D443" s="125"/>
      <c r="AA443" s="74"/>
      <c r="AE443" s="124"/>
      <c r="AI443" s="74"/>
      <c r="AM443" s="74"/>
      <c r="AQ443" s="74"/>
    </row>
    <row r="444" spans="2:43" s="123" customFormat="1">
      <c r="B444" s="125"/>
      <c r="D444" s="125"/>
      <c r="AA444" s="74"/>
      <c r="AE444" s="124"/>
      <c r="AI444" s="74"/>
      <c r="AM444" s="74"/>
      <c r="AQ444" s="74"/>
    </row>
    <row r="445" spans="2:43" s="123" customFormat="1">
      <c r="B445" s="125"/>
      <c r="D445" s="125"/>
      <c r="AA445" s="74"/>
      <c r="AE445" s="124"/>
      <c r="AI445" s="74"/>
      <c r="AM445" s="74"/>
      <c r="AQ445" s="74"/>
    </row>
    <row r="446" spans="2:43" s="123" customFormat="1">
      <c r="B446" s="125"/>
      <c r="D446" s="125"/>
      <c r="AA446" s="74"/>
      <c r="AE446" s="124"/>
      <c r="AI446" s="74"/>
      <c r="AM446" s="74"/>
      <c r="AQ446" s="74"/>
    </row>
    <row r="447" spans="2:43" s="123" customFormat="1">
      <c r="B447" s="125"/>
      <c r="D447" s="125"/>
      <c r="AA447" s="74"/>
      <c r="AE447" s="124"/>
      <c r="AI447" s="74"/>
      <c r="AM447" s="74"/>
      <c r="AQ447" s="74"/>
    </row>
    <row r="448" spans="2:43" s="123" customFormat="1">
      <c r="B448" s="125"/>
      <c r="D448" s="125"/>
      <c r="AA448" s="74"/>
      <c r="AE448" s="124"/>
      <c r="AI448" s="74"/>
      <c r="AM448" s="74"/>
      <c r="AQ448" s="74"/>
    </row>
    <row r="449" spans="2:43" s="123" customFormat="1">
      <c r="B449" s="125"/>
      <c r="D449" s="125"/>
      <c r="AA449" s="74"/>
      <c r="AE449" s="124"/>
      <c r="AI449" s="74"/>
      <c r="AM449" s="74"/>
      <c r="AQ449" s="74"/>
    </row>
    <row r="450" spans="2:43" s="123" customFormat="1">
      <c r="B450" s="125"/>
      <c r="D450" s="125"/>
      <c r="AA450" s="74"/>
      <c r="AE450" s="124"/>
      <c r="AI450" s="74"/>
      <c r="AM450" s="74"/>
      <c r="AQ450" s="74"/>
    </row>
    <row r="451" spans="2:43" s="123" customFormat="1">
      <c r="B451" s="125"/>
      <c r="D451" s="125"/>
      <c r="AA451" s="74"/>
      <c r="AE451" s="124"/>
      <c r="AI451" s="74"/>
      <c r="AM451" s="74"/>
      <c r="AQ451" s="74"/>
    </row>
    <row r="452" spans="2:43" s="123" customFormat="1">
      <c r="B452" s="125"/>
      <c r="D452" s="125"/>
      <c r="AA452" s="74"/>
      <c r="AE452" s="124"/>
      <c r="AI452" s="74"/>
      <c r="AM452" s="74"/>
      <c r="AQ452" s="74"/>
    </row>
    <row r="453" spans="2:43" s="123" customFormat="1">
      <c r="B453" s="125"/>
      <c r="D453" s="125"/>
      <c r="AA453" s="74"/>
      <c r="AE453" s="124"/>
      <c r="AI453" s="74"/>
      <c r="AM453" s="74"/>
      <c r="AQ453" s="74"/>
    </row>
    <row r="454" spans="2:43" s="123" customFormat="1">
      <c r="B454" s="125"/>
      <c r="D454" s="125"/>
      <c r="AA454" s="74"/>
      <c r="AE454" s="124"/>
      <c r="AI454" s="74"/>
      <c r="AM454" s="74"/>
      <c r="AQ454" s="74"/>
    </row>
    <row r="455" spans="2:43" s="123" customFormat="1">
      <c r="B455" s="125"/>
      <c r="D455" s="125"/>
      <c r="AA455" s="74"/>
      <c r="AE455" s="124"/>
      <c r="AI455" s="74"/>
      <c r="AM455" s="74"/>
      <c r="AQ455" s="74"/>
    </row>
    <row r="456" spans="2:43" s="123" customFormat="1">
      <c r="B456" s="125"/>
      <c r="D456" s="125"/>
      <c r="AA456" s="74"/>
      <c r="AE456" s="124"/>
      <c r="AI456" s="74"/>
      <c r="AM456" s="74"/>
      <c r="AQ456" s="74"/>
    </row>
    <row r="457" spans="2:43" s="123" customFormat="1">
      <c r="B457" s="125"/>
      <c r="D457" s="125"/>
      <c r="AA457" s="74"/>
      <c r="AE457" s="124"/>
      <c r="AI457" s="74"/>
      <c r="AM457" s="74"/>
      <c r="AQ457" s="74"/>
    </row>
    <row r="458" spans="2:43" s="123" customFormat="1">
      <c r="B458" s="125"/>
      <c r="D458" s="125"/>
      <c r="AA458" s="74"/>
      <c r="AE458" s="124"/>
      <c r="AI458" s="74"/>
      <c r="AM458" s="74"/>
      <c r="AQ458" s="74"/>
    </row>
    <row r="459" spans="2:43" s="123" customFormat="1">
      <c r="B459" s="125"/>
      <c r="D459" s="125"/>
      <c r="AA459" s="74"/>
      <c r="AE459" s="124"/>
      <c r="AI459" s="74"/>
      <c r="AM459" s="74"/>
      <c r="AQ459" s="74"/>
    </row>
    <row r="460" spans="2:43" s="123" customFormat="1">
      <c r="B460" s="125"/>
      <c r="D460" s="125"/>
      <c r="AA460" s="74"/>
      <c r="AE460" s="124"/>
      <c r="AI460" s="74"/>
      <c r="AM460" s="74"/>
      <c r="AQ460" s="74"/>
    </row>
    <row r="461" spans="2:43" s="123" customFormat="1">
      <c r="B461" s="125"/>
      <c r="D461" s="125"/>
      <c r="AA461" s="74"/>
      <c r="AE461" s="124"/>
      <c r="AI461" s="74"/>
      <c r="AM461" s="74"/>
      <c r="AQ461" s="74"/>
    </row>
    <row r="462" spans="2:43" s="123" customFormat="1">
      <c r="B462" s="125"/>
      <c r="D462" s="125"/>
      <c r="AA462" s="74"/>
      <c r="AE462" s="124"/>
      <c r="AI462" s="74"/>
      <c r="AM462" s="74"/>
      <c r="AQ462" s="74"/>
    </row>
    <row r="463" spans="2:43" s="123" customFormat="1">
      <c r="B463" s="125"/>
      <c r="D463" s="125"/>
      <c r="AA463" s="74"/>
      <c r="AE463" s="124"/>
      <c r="AI463" s="74"/>
      <c r="AM463" s="74"/>
      <c r="AQ463" s="74"/>
    </row>
    <row r="464" spans="2:43" s="123" customFormat="1">
      <c r="B464" s="125"/>
      <c r="D464" s="125"/>
      <c r="AA464" s="74"/>
      <c r="AE464" s="124"/>
      <c r="AI464" s="74"/>
      <c r="AM464" s="74"/>
      <c r="AQ464" s="74"/>
    </row>
    <row r="465" spans="2:43" s="123" customFormat="1">
      <c r="B465" s="125"/>
      <c r="D465" s="125"/>
      <c r="AA465" s="74"/>
      <c r="AE465" s="124"/>
      <c r="AI465" s="74"/>
      <c r="AM465" s="74"/>
      <c r="AQ465" s="74"/>
    </row>
    <row r="466" spans="2:43" s="123" customFormat="1">
      <c r="B466" s="125"/>
      <c r="D466" s="125"/>
      <c r="AA466" s="74"/>
      <c r="AE466" s="124"/>
      <c r="AI466" s="74"/>
      <c r="AM466" s="74"/>
      <c r="AQ466" s="74"/>
    </row>
    <row r="467" spans="2:43" s="123" customFormat="1">
      <c r="B467" s="125"/>
      <c r="D467" s="125"/>
      <c r="AA467" s="74"/>
      <c r="AE467" s="124"/>
      <c r="AI467" s="74"/>
      <c r="AM467" s="74"/>
      <c r="AQ467" s="74"/>
    </row>
    <row r="468" spans="2:43" s="123" customFormat="1">
      <c r="B468" s="125"/>
      <c r="D468" s="125"/>
      <c r="AA468" s="74"/>
      <c r="AE468" s="124"/>
      <c r="AI468" s="74"/>
      <c r="AM468" s="74"/>
      <c r="AQ468" s="74"/>
    </row>
    <row r="469" spans="2:43" s="123" customFormat="1">
      <c r="B469" s="125"/>
      <c r="D469" s="125"/>
      <c r="AA469" s="74"/>
      <c r="AE469" s="124"/>
      <c r="AI469" s="74"/>
      <c r="AM469" s="74"/>
      <c r="AQ469" s="74"/>
    </row>
    <row r="470" spans="2:43" s="123" customFormat="1">
      <c r="B470" s="125"/>
      <c r="D470" s="125"/>
      <c r="AA470" s="74"/>
      <c r="AE470" s="124"/>
      <c r="AI470" s="74"/>
      <c r="AM470" s="74"/>
      <c r="AQ470" s="74"/>
    </row>
    <row r="471" spans="2:43" s="123" customFormat="1">
      <c r="B471" s="125"/>
      <c r="D471" s="125"/>
      <c r="AA471" s="74"/>
      <c r="AE471" s="124"/>
      <c r="AI471" s="74"/>
      <c r="AM471" s="74"/>
      <c r="AQ471" s="74"/>
    </row>
    <row r="472" spans="2:43" s="123" customFormat="1">
      <c r="B472" s="125"/>
      <c r="D472" s="125"/>
      <c r="AA472" s="74"/>
      <c r="AE472" s="124"/>
      <c r="AI472" s="74"/>
      <c r="AM472" s="74"/>
      <c r="AQ472" s="74"/>
    </row>
    <row r="473" spans="2:43" s="123" customFormat="1">
      <c r="B473" s="125"/>
      <c r="D473" s="125"/>
      <c r="AA473" s="74"/>
      <c r="AE473" s="124"/>
      <c r="AI473" s="74"/>
      <c r="AM473" s="74"/>
      <c r="AQ473" s="74"/>
    </row>
    <row r="474" spans="2:43" s="123" customFormat="1">
      <c r="B474" s="125"/>
      <c r="D474" s="125"/>
      <c r="AA474" s="74"/>
      <c r="AE474" s="124"/>
      <c r="AI474" s="74"/>
      <c r="AM474" s="74"/>
      <c r="AQ474" s="74"/>
    </row>
    <row r="475" spans="2:43" s="123" customFormat="1">
      <c r="B475" s="125"/>
      <c r="D475" s="125"/>
      <c r="AA475" s="74"/>
      <c r="AE475" s="124"/>
      <c r="AI475" s="74"/>
      <c r="AM475" s="74"/>
      <c r="AQ475" s="74"/>
    </row>
    <row r="476" spans="2:43" s="123" customFormat="1">
      <c r="B476" s="125"/>
      <c r="D476" s="125"/>
      <c r="AA476" s="74"/>
      <c r="AE476" s="124"/>
      <c r="AI476" s="74"/>
      <c r="AM476" s="74"/>
      <c r="AQ476" s="74"/>
    </row>
    <row r="477" spans="2:43" s="123" customFormat="1">
      <c r="B477" s="125"/>
      <c r="D477" s="125"/>
      <c r="AA477" s="74"/>
      <c r="AE477" s="124"/>
      <c r="AI477" s="74"/>
      <c r="AM477" s="74"/>
      <c r="AQ477" s="74"/>
    </row>
    <row r="478" spans="2:43" s="123" customFormat="1">
      <c r="B478" s="125"/>
      <c r="D478" s="125"/>
      <c r="AA478" s="74"/>
      <c r="AE478" s="124"/>
      <c r="AI478" s="74"/>
      <c r="AM478" s="74"/>
      <c r="AQ478" s="74"/>
    </row>
    <row r="479" spans="2:43" s="123" customFormat="1">
      <c r="B479" s="125"/>
      <c r="D479" s="125"/>
      <c r="AA479" s="74"/>
      <c r="AE479" s="124"/>
      <c r="AI479" s="74"/>
      <c r="AM479" s="74"/>
      <c r="AQ479" s="74"/>
    </row>
    <row r="480" spans="2:43" s="123" customFormat="1">
      <c r="B480" s="125"/>
      <c r="D480" s="125"/>
      <c r="AA480" s="74"/>
      <c r="AE480" s="124"/>
      <c r="AI480" s="74"/>
      <c r="AM480" s="74"/>
      <c r="AQ480" s="74"/>
    </row>
    <row r="481" spans="2:43" s="123" customFormat="1">
      <c r="B481" s="125"/>
      <c r="D481" s="125"/>
      <c r="AA481" s="74"/>
      <c r="AE481" s="124"/>
      <c r="AI481" s="74"/>
      <c r="AM481" s="74"/>
      <c r="AQ481" s="74"/>
    </row>
    <row r="482" spans="2:43" s="123" customFormat="1">
      <c r="B482" s="125"/>
      <c r="D482" s="125"/>
      <c r="AA482" s="74"/>
      <c r="AE482" s="124"/>
      <c r="AI482" s="74"/>
      <c r="AM482" s="74"/>
      <c r="AQ482" s="74"/>
    </row>
    <row r="483" spans="2:43" s="123" customFormat="1">
      <c r="B483" s="125"/>
      <c r="D483" s="125"/>
      <c r="AA483" s="74"/>
      <c r="AE483" s="124"/>
      <c r="AI483" s="74"/>
      <c r="AM483" s="74"/>
      <c r="AQ483" s="74"/>
    </row>
    <row r="484" spans="2:43" s="123" customFormat="1">
      <c r="B484" s="125"/>
      <c r="D484" s="125"/>
      <c r="AA484" s="74"/>
      <c r="AE484" s="124"/>
      <c r="AI484" s="74"/>
      <c r="AM484" s="74"/>
      <c r="AQ484" s="74"/>
    </row>
    <row r="485" spans="2:43" s="123" customFormat="1">
      <c r="B485" s="125"/>
      <c r="D485" s="125"/>
      <c r="AA485" s="74"/>
      <c r="AE485" s="124"/>
      <c r="AI485" s="74"/>
      <c r="AM485" s="74"/>
      <c r="AQ485" s="74"/>
    </row>
    <row r="486" spans="2:43" s="123" customFormat="1">
      <c r="B486" s="125"/>
      <c r="D486" s="125"/>
      <c r="AA486" s="74"/>
      <c r="AE486" s="124"/>
      <c r="AI486" s="74"/>
      <c r="AM486" s="74"/>
      <c r="AQ486" s="74"/>
    </row>
    <row r="487" spans="2:43" s="123" customFormat="1">
      <c r="B487" s="125"/>
      <c r="D487" s="125"/>
      <c r="AA487" s="74"/>
      <c r="AE487" s="124"/>
      <c r="AI487" s="74"/>
      <c r="AM487" s="74"/>
      <c r="AQ487" s="74"/>
    </row>
    <row r="488" spans="2:43" s="123" customFormat="1">
      <c r="B488" s="125"/>
      <c r="D488" s="125"/>
      <c r="AA488" s="74"/>
      <c r="AE488" s="124"/>
      <c r="AI488" s="74"/>
      <c r="AM488" s="74"/>
      <c r="AQ488" s="74"/>
    </row>
    <row r="489" spans="2:43" s="123" customFormat="1">
      <c r="B489" s="125"/>
      <c r="D489" s="125"/>
      <c r="AA489" s="74"/>
      <c r="AE489" s="124"/>
      <c r="AI489" s="74"/>
      <c r="AM489" s="74"/>
      <c r="AQ489" s="74"/>
    </row>
    <row r="490" spans="2:43" s="123" customFormat="1">
      <c r="B490" s="125"/>
      <c r="D490" s="125"/>
      <c r="AA490" s="74"/>
      <c r="AE490" s="124"/>
      <c r="AI490" s="74"/>
      <c r="AM490" s="74"/>
      <c r="AQ490" s="74"/>
    </row>
    <row r="491" spans="2:43" s="123" customFormat="1">
      <c r="B491" s="125"/>
      <c r="D491" s="125"/>
      <c r="AA491" s="74"/>
      <c r="AE491" s="124"/>
      <c r="AI491" s="74"/>
      <c r="AM491" s="74"/>
      <c r="AQ491" s="74"/>
    </row>
    <row r="492" spans="2:43" s="123" customFormat="1">
      <c r="B492" s="125"/>
      <c r="D492" s="125"/>
      <c r="AA492" s="74"/>
      <c r="AE492" s="124"/>
      <c r="AI492" s="74"/>
      <c r="AM492" s="74"/>
      <c r="AQ492" s="74"/>
    </row>
    <row r="493" spans="2:43" s="123" customFormat="1">
      <c r="B493" s="125"/>
      <c r="D493" s="125"/>
      <c r="AA493" s="74"/>
      <c r="AE493" s="124"/>
      <c r="AI493" s="74"/>
      <c r="AM493" s="74"/>
      <c r="AQ493" s="74"/>
    </row>
    <row r="494" spans="2:43" s="123" customFormat="1">
      <c r="B494" s="125"/>
      <c r="D494" s="125"/>
      <c r="AA494" s="74"/>
      <c r="AE494" s="124"/>
      <c r="AI494" s="74"/>
      <c r="AM494" s="74"/>
      <c r="AQ494" s="74"/>
    </row>
    <row r="495" spans="2:43" s="123" customFormat="1">
      <c r="B495" s="125"/>
      <c r="D495" s="125"/>
      <c r="AA495" s="74"/>
      <c r="AE495" s="124"/>
      <c r="AI495" s="74"/>
      <c r="AM495" s="74"/>
      <c r="AQ495" s="74"/>
    </row>
    <row r="496" spans="2:43" s="123" customFormat="1">
      <c r="B496" s="125"/>
      <c r="D496" s="125"/>
      <c r="AA496" s="74"/>
      <c r="AE496" s="124"/>
      <c r="AI496" s="74"/>
      <c r="AM496" s="74"/>
      <c r="AQ496" s="74"/>
    </row>
    <row r="497" spans="2:43" s="123" customFormat="1">
      <c r="B497" s="125"/>
      <c r="D497" s="125"/>
      <c r="AA497" s="74"/>
      <c r="AE497" s="124"/>
      <c r="AI497" s="74"/>
      <c r="AM497" s="74"/>
      <c r="AQ497" s="74"/>
    </row>
    <row r="498" spans="2:43" s="123" customFormat="1">
      <c r="B498" s="125"/>
      <c r="D498" s="125"/>
      <c r="AA498" s="74"/>
      <c r="AE498" s="124"/>
      <c r="AI498" s="74"/>
      <c r="AM498" s="74"/>
      <c r="AQ498" s="74"/>
    </row>
    <row r="499" spans="2:43" s="123" customFormat="1">
      <c r="B499" s="125"/>
      <c r="D499" s="125"/>
      <c r="AA499" s="74"/>
      <c r="AE499" s="124"/>
      <c r="AI499" s="74"/>
      <c r="AM499" s="74"/>
      <c r="AQ499" s="74"/>
    </row>
    <row r="500" spans="2:43" s="123" customFormat="1">
      <c r="B500" s="125"/>
      <c r="D500" s="125"/>
      <c r="AA500" s="74"/>
      <c r="AE500" s="124"/>
      <c r="AI500" s="74"/>
      <c r="AM500" s="74"/>
      <c r="AQ500" s="74"/>
    </row>
    <row r="501" spans="2:43" s="123" customFormat="1">
      <c r="B501" s="125"/>
      <c r="D501" s="125"/>
      <c r="AA501" s="74"/>
      <c r="AE501" s="124"/>
      <c r="AI501" s="74"/>
      <c r="AM501" s="74"/>
      <c r="AQ501" s="74"/>
    </row>
    <row r="502" spans="2:43" s="123" customFormat="1">
      <c r="B502" s="125"/>
      <c r="D502" s="125"/>
      <c r="AA502" s="74"/>
      <c r="AE502" s="124"/>
      <c r="AI502" s="74"/>
      <c r="AM502" s="74"/>
      <c r="AQ502" s="74"/>
    </row>
    <row r="503" spans="2:43" s="123" customFormat="1">
      <c r="B503" s="125"/>
      <c r="D503" s="125"/>
      <c r="AA503" s="74"/>
      <c r="AE503" s="124"/>
      <c r="AI503" s="74"/>
      <c r="AM503" s="74"/>
      <c r="AQ503" s="74"/>
    </row>
    <row r="504" spans="2:43" s="123" customFormat="1">
      <c r="B504" s="125"/>
      <c r="D504" s="125"/>
      <c r="AA504" s="74"/>
      <c r="AE504" s="124"/>
      <c r="AI504" s="74"/>
      <c r="AM504" s="74"/>
      <c r="AQ504" s="74"/>
    </row>
    <row r="505" spans="2:43" s="123" customFormat="1">
      <c r="B505" s="125"/>
      <c r="D505" s="125"/>
      <c r="AA505" s="74"/>
      <c r="AE505" s="124"/>
      <c r="AI505" s="74"/>
      <c r="AM505" s="74"/>
      <c r="AQ505" s="74"/>
    </row>
    <row r="506" spans="2:43" s="123" customFormat="1">
      <c r="B506" s="125"/>
      <c r="D506" s="125"/>
      <c r="AA506" s="74"/>
      <c r="AE506" s="124"/>
      <c r="AI506" s="74"/>
      <c r="AM506" s="74"/>
      <c r="AQ506" s="74"/>
    </row>
    <row r="507" spans="2:43" s="123" customFormat="1">
      <c r="B507" s="125"/>
      <c r="D507" s="125"/>
      <c r="AA507" s="74"/>
      <c r="AE507" s="124"/>
      <c r="AI507" s="74"/>
      <c r="AM507" s="74"/>
      <c r="AQ507" s="74"/>
    </row>
    <row r="508" spans="2:43" s="123" customFormat="1">
      <c r="B508" s="125"/>
      <c r="D508" s="125"/>
      <c r="AA508" s="74"/>
      <c r="AE508" s="124"/>
      <c r="AI508" s="74"/>
      <c r="AM508" s="74"/>
      <c r="AQ508" s="74"/>
    </row>
    <row r="509" spans="2:43" s="123" customFormat="1">
      <c r="B509" s="125"/>
      <c r="D509" s="125"/>
      <c r="AA509" s="74"/>
      <c r="AE509" s="124"/>
      <c r="AI509" s="74"/>
      <c r="AM509" s="74"/>
      <c r="AQ509" s="74"/>
    </row>
    <row r="510" spans="2:43" s="123" customFormat="1">
      <c r="B510" s="125"/>
      <c r="D510" s="125"/>
      <c r="AA510" s="74"/>
      <c r="AE510" s="124"/>
      <c r="AI510" s="74"/>
      <c r="AM510" s="74"/>
      <c r="AQ510" s="74"/>
    </row>
    <row r="511" spans="2:43" s="123" customFormat="1">
      <c r="B511" s="125"/>
      <c r="D511" s="125"/>
      <c r="AA511" s="74"/>
      <c r="AE511" s="124"/>
      <c r="AI511" s="74"/>
      <c r="AM511" s="74"/>
      <c r="AQ511" s="74"/>
    </row>
    <row r="512" spans="2:43" s="123" customFormat="1">
      <c r="B512" s="125"/>
      <c r="D512" s="125"/>
      <c r="AA512" s="74"/>
      <c r="AE512" s="124"/>
      <c r="AI512" s="74"/>
      <c r="AM512" s="74"/>
      <c r="AQ512" s="74"/>
    </row>
    <row r="513" spans="2:43" s="123" customFormat="1">
      <c r="B513" s="125"/>
      <c r="D513" s="125"/>
      <c r="AA513" s="74"/>
      <c r="AE513" s="124"/>
      <c r="AI513" s="74"/>
      <c r="AM513" s="74"/>
      <c r="AQ513" s="74"/>
    </row>
    <row r="514" spans="2:43" s="123" customFormat="1">
      <c r="B514" s="125"/>
      <c r="D514" s="125"/>
      <c r="AA514" s="74"/>
      <c r="AE514" s="124"/>
      <c r="AI514" s="74"/>
      <c r="AM514" s="74"/>
      <c r="AQ514" s="74"/>
    </row>
    <row r="515" spans="2:43" s="123" customFormat="1">
      <c r="B515" s="125"/>
      <c r="D515" s="125"/>
      <c r="AA515" s="74"/>
      <c r="AE515" s="124"/>
      <c r="AI515" s="74"/>
      <c r="AM515" s="74"/>
      <c r="AQ515" s="74"/>
    </row>
    <row r="516" spans="2:43" s="123" customFormat="1">
      <c r="B516" s="125"/>
      <c r="D516" s="125"/>
      <c r="AA516" s="74"/>
      <c r="AE516" s="124"/>
      <c r="AI516" s="74"/>
      <c r="AM516" s="74"/>
      <c r="AQ516" s="74"/>
    </row>
    <row r="517" spans="2:43" s="123" customFormat="1">
      <c r="B517" s="125"/>
      <c r="D517" s="125"/>
      <c r="AA517" s="74"/>
      <c r="AE517" s="124"/>
      <c r="AI517" s="74"/>
      <c r="AM517" s="74"/>
      <c r="AQ517" s="74"/>
    </row>
    <row r="518" spans="2:43" s="123" customFormat="1">
      <c r="B518" s="125"/>
      <c r="D518" s="125"/>
      <c r="AA518" s="74"/>
      <c r="AE518" s="124"/>
      <c r="AI518" s="74"/>
      <c r="AM518" s="74"/>
      <c r="AQ518" s="74"/>
    </row>
    <row r="519" spans="2:43" s="123" customFormat="1">
      <c r="B519" s="125"/>
      <c r="D519" s="125"/>
      <c r="AA519" s="74"/>
      <c r="AE519" s="124"/>
      <c r="AI519" s="74"/>
      <c r="AM519" s="74"/>
      <c r="AQ519" s="74"/>
    </row>
    <row r="520" spans="2:43" s="123" customFormat="1">
      <c r="B520" s="125"/>
      <c r="D520" s="125"/>
      <c r="AA520" s="74"/>
      <c r="AE520" s="124"/>
      <c r="AI520" s="74"/>
      <c r="AM520" s="74"/>
      <c r="AQ520" s="74"/>
    </row>
    <row r="521" spans="2:43" s="123" customFormat="1">
      <c r="B521" s="125"/>
      <c r="D521" s="125"/>
      <c r="AA521" s="74"/>
      <c r="AE521" s="124"/>
      <c r="AI521" s="74"/>
      <c r="AM521" s="74"/>
      <c r="AQ521" s="74"/>
    </row>
    <row r="522" spans="2:43" s="123" customFormat="1">
      <c r="B522" s="125"/>
      <c r="D522" s="125"/>
      <c r="AA522" s="74"/>
      <c r="AE522" s="124"/>
      <c r="AI522" s="74"/>
      <c r="AM522" s="74"/>
      <c r="AQ522" s="74"/>
    </row>
    <row r="523" spans="2:43" s="123" customFormat="1">
      <c r="B523" s="125"/>
      <c r="D523" s="125"/>
      <c r="AA523" s="74"/>
      <c r="AE523" s="124"/>
      <c r="AI523" s="74"/>
      <c r="AM523" s="74"/>
      <c r="AQ523" s="74"/>
    </row>
    <row r="524" spans="2:43" s="123" customFormat="1">
      <c r="B524" s="125"/>
      <c r="D524" s="125"/>
      <c r="AA524" s="74"/>
      <c r="AE524" s="124"/>
      <c r="AI524" s="74"/>
      <c r="AM524" s="74"/>
      <c r="AQ524" s="74"/>
    </row>
    <row r="525" spans="2:43" s="123" customFormat="1">
      <c r="B525" s="125"/>
      <c r="D525" s="125"/>
      <c r="AA525" s="74"/>
      <c r="AE525" s="124"/>
      <c r="AI525" s="74"/>
      <c r="AM525" s="74"/>
      <c r="AQ525" s="74"/>
    </row>
    <row r="526" spans="2:43" s="123" customFormat="1">
      <c r="B526" s="125"/>
      <c r="D526" s="125"/>
      <c r="AA526" s="74"/>
      <c r="AE526" s="124"/>
      <c r="AI526" s="74"/>
      <c r="AM526" s="74"/>
      <c r="AQ526" s="74"/>
    </row>
    <row r="527" spans="2:43" s="123" customFormat="1">
      <c r="B527" s="125"/>
      <c r="D527" s="125"/>
      <c r="AA527" s="74"/>
      <c r="AE527" s="124"/>
      <c r="AI527" s="74"/>
      <c r="AM527" s="74"/>
      <c r="AQ527" s="74"/>
    </row>
    <row r="528" spans="2:43" s="123" customFormat="1">
      <c r="B528" s="125"/>
      <c r="D528" s="125"/>
      <c r="AA528" s="74"/>
      <c r="AE528" s="124"/>
      <c r="AI528" s="74"/>
      <c r="AM528" s="74"/>
      <c r="AQ528" s="74"/>
    </row>
    <row r="529" spans="2:43" s="123" customFormat="1">
      <c r="B529" s="125"/>
      <c r="D529" s="125"/>
      <c r="AA529" s="74"/>
      <c r="AE529" s="124"/>
      <c r="AI529" s="74"/>
      <c r="AM529" s="74"/>
      <c r="AQ529" s="74"/>
    </row>
    <row r="530" spans="2:43" s="123" customFormat="1">
      <c r="B530" s="125"/>
      <c r="D530" s="125"/>
      <c r="AA530" s="74"/>
      <c r="AE530" s="124"/>
      <c r="AI530" s="74"/>
      <c r="AM530" s="74"/>
      <c r="AQ530" s="74"/>
    </row>
    <row r="531" spans="2:43" s="123" customFormat="1">
      <c r="B531" s="125"/>
      <c r="D531" s="125"/>
      <c r="AA531" s="74"/>
      <c r="AE531" s="124"/>
      <c r="AI531" s="74"/>
      <c r="AM531" s="74"/>
      <c r="AQ531" s="74"/>
    </row>
    <row r="532" spans="2:43" s="123" customFormat="1">
      <c r="B532" s="125"/>
      <c r="D532" s="125"/>
      <c r="AA532" s="74"/>
      <c r="AE532" s="124"/>
      <c r="AI532" s="74"/>
      <c r="AM532" s="74"/>
      <c r="AQ532" s="74"/>
    </row>
    <row r="533" spans="2:43" s="123" customFormat="1">
      <c r="B533" s="125"/>
      <c r="D533" s="125"/>
      <c r="AA533" s="74"/>
      <c r="AE533" s="124"/>
      <c r="AI533" s="74"/>
      <c r="AM533" s="74"/>
      <c r="AQ533" s="74"/>
    </row>
    <row r="534" spans="2:43" s="123" customFormat="1">
      <c r="B534" s="125"/>
      <c r="D534" s="125"/>
      <c r="AA534" s="74"/>
      <c r="AE534" s="124"/>
      <c r="AI534" s="74"/>
      <c r="AM534" s="74"/>
      <c r="AQ534" s="74"/>
    </row>
    <row r="535" spans="2:43" s="123" customFormat="1">
      <c r="B535" s="125"/>
      <c r="D535" s="125"/>
      <c r="AA535" s="74"/>
      <c r="AE535" s="124"/>
      <c r="AI535" s="74"/>
      <c r="AM535" s="74"/>
      <c r="AQ535" s="74"/>
    </row>
    <row r="536" spans="2:43" s="123" customFormat="1">
      <c r="B536" s="125"/>
      <c r="D536" s="125"/>
      <c r="AA536" s="74"/>
      <c r="AE536" s="124"/>
      <c r="AI536" s="74"/>
      <c r="AM536" s="74"/>
      <c r="AQ536" s="74"/>
    </row>
    <row r="537" spans="2:43" s="123" customFormat="1">
      <c r="B537" s="125"/>
      <c r="D537" s="125"/>
      <c r="AA537" s="74"/>
      <c r="AE537" s="124"/>
      <c r="AI537" s="74"/>
      <c r="AM537" s="74"/>
      <c r="AQ537" s="74"/>
    </row>
    <row r="538" spans="2:43" s="123" customFormat="1">
      <c r="B538" s="125"/>
      <c r="D538" s="125"/>
      <c r="AA538" s="74"/>
      <c r="AE538" s="124"/>
      <c r="AI538" s="74"/>
      <c r="AM538" s="74"/>
      <c r="AQ538" s="74"/>
    </row>
    <row r="539" spans="2:43" s="123" customFormat="1">
      <c r="B539" s="125"/>
      <c r="D539" s="125"/>
      <c r="AA539" s="74"/>
      <c r="AE539" s="124"/>
      <c r="AI539" s="74"/>
      <c r="AM539" s="74"/>
      <c r="AQ539" s="74"/>
    </row>
    <row r="540" spans="2:43" s="123" customFormat="1">
      <c r="B540" s="125"/>
      <c r="D540" s="125"/>
      <c r="AA540" s="74"/>
      <c r="AE540" s="124"/>
      <c r="AI540" s="74"/>
      <c r="AM540" s="74"/>
      <c r="AQ540" s="74"/>
    </row>
    <row r="541" spans="2:43" s="123" customFormat="1">
      <c r="B541" s="125"/>
      <c r="D541" s="125"/>
      <c r="AA541" s="74"/>
      <c r="AE541" s="124"/>
      <c r="AI541" s="74"/>
      <c r="AM541" s="74"/>
      <c r="AQ541" s="74"/>
    </row>
    <row r="542" spans="2:43" s="123" customFormat="1">
      <c r="B542" s="125"/>
      <c r="D542" s="125"/>
      <c r="AA542" s="74"/>
      <c r="AE542" s="124"/>
      <c r="AI542" s="74"/>
      <c r="AM542" s="74"/>
      <c r="AQ542" s="74"/>
    </row>
    <row r="543" spans="2:43" s="123" customFormat="1">
      <c r="B543" s="125"/>
      <c r="D543" s="125"/>
      <c r="AA543" s="74"/>
      <c r="AE543" s="124"/>
      <c r="AI543" s="74"/>
      <c r="AM543" s="74"/>
      <c r="AQ543" s="74"/>
    </row>
    <row r="544" spans="2:43" s="123" customFormat="1">
      <c r="B544" s="125"/>
      <c r="D544" s="125"/>
      <c r="AA544" s="74"/>
      <c r="AE544" s="124"/>
      <c r="AI544" s="74"/>
      <c r="AM544" s="74"/>
      <c r="AQ544" s="74"/>
    </row>
    <row r="545" spans="2:43" s="123" customFormat="1">
      <c r="B545" s="125"/>
      <c r="D545" s="125"/>
      <c r="AA545" s="74"/>
      <c r="AE545" s="124"/>
      <c r="AI545" s="74"/>
      <c r="AM545" s="74"/>
      <c r="AQ545" s="74"/>
    </row>
    <row r="546" spans="2:43" s="123" customFormat="1">
      <c r="B546" s="125"/>
      <c r="D546" s="125"/>
      <c r="AA546" s="74"/>
      <c r="AE546" s="124"/>
      <c r="AI546" s="74"/>
      <c r="AM546" s="74"/>
      <c r="AQ546" s="74"/>
    </row>
    <row r="547" spans="2:43" s="123" customFormat="1">
      <c r="B547" s="125"/>
      <c r="D547" s="125"/>
      <c r="AA547" s="74"/>
      <c r="AE547" s="124"/>
      <c r="AI547" s="74"/>
      <c r="AM547" s="74"/>
      <c r="AQ547" s="74"/>
    </row>
    <row r="548" spans="2:43" s="123" customFormat="1">
      <c r="B548" s="125"/>
      <c r="D548" s="125"/>
      <c r="AA548" s="74"/>
      <c r="AE548" s="124"/>
      <c r="AI548" s="74"/>
      <c r="AM548" s="74"/>
      <c r="AQ548" s="74"/>
    </row>
    <row r="549" spans="2:43" s="123" customFormat="1">
      <c r="B549" s="125"/>
      <c r="D549" s="125"/>
      <c r="AA549" s="74"/>
      <c r="AE549" s="124"/>
      <c r="AI549" s="74"/>
      <c r="AM549" s="74"/>
      <c r="AQ549" s="74"/>
    </row>
    <row r="550" spans="2:43" s="123" customFormat="1">
      <c r="B550" s="125"/>
      <c r="D550" s="125"/>
      <c r="AA550" s="74"/>
      <c r="AE550" s="124"/>
      <c r="AI550" s="74"/>
      <c r="AM550" s="74"/>
      <c r="AQ550" s="74"/>
    </row>
    <row r="551" spans="2:43" s="123" customFormat="1">
      <c r="B551" s="125"/>
      <c r="D551" s="125"/>
      <c r="AA551" s="74"/>
      <c r="AE551" s="124"/>
      <c r="AI551" s="74"/>
      <c r="AM551" s="74"/>
      <c r="AQ551" s="74"/>
    </row>
    <row r="552" spans="2:43" s="123" customFormat="1">
      <c r="B552" s="125"/>
      <c r="D552" s="125"/>
      <c r="AA552" s="74"/>
      <c r="AE552" s="124"/>
      <c r="AI552" s="74"/>
      <c r="AM552" s="74"/>
      <c r="AQ552" s="74"/>
    </row>
    <row r="553" spans="2:43" s="123" customFormat="1">
      <c r="B553" s="125"/>
      <c r="D553" s="125"/>
      <c r="AA553" s="74"/>
      <c r="AE553" s="124"/>
      <c r="AI553" s="74"/>
      <c r="AM553" s="74"/>
      <c r="AQ553" s="74"/>
    </row>
    <row r="554" spans="2:43" s="123" customFormat="1">
      <c r="B554" s="125"/>
      <c r="D554" s="125"/>
      <c r="AA554" s="74"/>
      <c r="AE554" s="124"/>
      <c r="AI554" s="74"/>
      <c r="AM554" s="74"/>
      <c r="AQ554" s="74"/>
    </row>
    <row r="555" spans="2:43" s="123" customFormat="1">
      <c r="B555" s="125"/>
      <c r="D555" s="125"/>
      <c r="AA555" s="74"/>
      <c r="AE555" s="124"/>
      <c r="AI555" s="74"/>
      <c r="AM555" s="74"/>
      <c r="AQ555" s="74"/>
    </row>
    <row r="556" spans="2:43" s="123" customFormat="1">
      <c r="B556" s="125"/>
      <c r="D556" s="125"/>
      <c r="AA556" s="74"/>
      <c r="AE556" s="124"/>
      <c r="AI556" s="74"/>
      <c r="AM556" s="74"/>
      <c r="AQ556" s="74"/>
    </row>
    <row r="557" spans="2:43" s="123" customFormat="1">
      <c r="B557" s="125"/>
      <c r="D557" s="125"/>
      <c r="AA557" s="74"/>
      <c r="AE557" s="124"/>
      <c r="AI557" s="74"/>
      <c r="AM557" s="74"/>
      <c r="AQ557" s="74"/>
    </row>
    <row r="558" spans="2:43" s="123" customFormat="1">
      <c r="B558" s="125"/>
      <c r="D558" s="125"/>
      <c r="AA558" s="74"/>
      <c r="AE558" s="124"/>
      <c r="AI558" s="74"/>
      <c r="AM558" s="74"/>
      <c r="AQ558" s="74"/>
    </row>
    <row r="559" spans="2:43" s="123" customFormat="1">
      <c r="B559" s="125"/>
      <c r="D559" s="125"/>
      <c r="AA559" s="74"/>
      <c r="AE559" s="124"/>
      <c r="AI559" s="74"/>
      <c r="AM559" s="74"/>
      <c r="AQ559" s="74"/>
    </row>
    <row r="560" spans="2:43" s="123" customFormat="1">
      <c r="B560" s="125"/>
      <c r="D560" s="125"/>
      <c r="AA560" s="74"/>
      <c r="AE560" s="124"/>
      <c r="AI560" s="74"/>
      <c r="AM560" s="74"/>
      <c r="AQ560" s="74"/>
    </row>
    <row r="561" spans="2:43" s="123" customFormat="1">
      <c r="B561" s="125"/>
      <c r="D561" s="125"/>
      <c r="AA561" s="74"/>
      <c r="AE561" s="124"/>
      <c r="AI561" s="74"/>
      <c r="AM561" s="74"/>
      <c r="AQ561" s="74"/>
    </row>
    <row r="562" spans="2:43" s="123" customFormat="1">
      <c r="B562" s="125"/>
      <c r="D562" s="125"/>
      <c r="AA562" s="74"/>
      <c r="AE562" s="124"/>
      <c r="AI562" s="74"/>
      <c r="AM562" s="74"/>
      <c r="AQ562" s="74"/>
    </row>
    <row r="563" spans="2:43" s="123" customFormat="1">
      <c r="B563" s="125"/>
      <c r="D563" s="125"/>
      <c r="AA563" s="74"/>
      <c r="AE563" s="124"/>
      <c r="AI563" s="74"/>
      <c r="AM563" s="74"/>
      <c r="AQ563" s="74"/>
    </row>
    <row r="564" spans="2:43" s="123" customFormat="1">
      <c r="B564" s="125"/>
      <c r="D564" s="125"/>
      <c r="AA564" s="74"/>
      <c r="AE564" s="124"/>
      <c r="AI564" s="74"/>
      <c r="AM564" s="74"/>
      <c r="AQ564" s="74"/>
    </row>
    <row r="565" spans="2:43" s="123" customFormat="1">
      <c r="B565" s="125"/>
      <c r="D565" s="125"/>
      <c r="AA565" s="74"/>
      <c r="AE565" s="124"/>
      <c r="AI565" s="74"/>
      <c r="AM565" s="74"/>
      <c r="AQ565" s="74"/>
    </row>
    <row r="566" spans="2:43" s="123" customFormat="1">
      <c r="B566" s="125"/>
      <c r="D566" s="125"/>
      <c r="AA566" s="74"/>
      <c r="AE566" s="124"/>
      <c r="AI566" s="74"/>
      <c r="AM566" s="74"/>
      <c r="AQ566" s="74"/>
    </row>
    <row r="567" spans="2:43" s="123" customFormat="1">
      <c r="B567" s="125"/>
      <c r="D567" s="125"/>
      <c r="AA567" s="74"/>
      <c r="AE567" s="124"/>
      <c r="AI567" s="74"/>
      <c r="AM567" s="74"/>
      <c r="AQ567" s="74"/>
    </row>
    <row r="568" spans="2:43" s="123" customFormat="1">
      <c r="B568" s="125"/>
      <c r="D568" s="125"/>
      <c r="AA568" s="74"/>
      <c r="AE568" s="124"/>
      <c r="AI568" s="74"/>
      <c r="AM568" s="74"/>
      <c r="AQ568" s="74"/>
    </row>
    <row r="569" spans="2:43" s="123" customFormat="1">
      <c r="B569" s="125"/>
      <c r="D569" s="125"/>
      <c r="AA569" s="74"/>
      <c r="AE569" s="124"/>
      <c r="AI569" s="74"/>
      <c r="AM569" s="74"/>
      <c r="AQ569" s="74"/>
    </row>
    <row r="570" spans="2:43" s="123" customFormat="1">
      <c r="B570" s="125"/>
      <c r="D570" s="125"/>
      <c r="AA570" s="74"/>
      <c r="AE570" s="124"/>
      <c r="AI570" s="74"/>
      <c r="AM570" s="74"/>
      <c r="AQ570" s="74"/>
    </row>
    <row r="571" spans="2:43" s="123" customFormat="1">
      <c r="B571" s="125"/>
      <c r="D571" s="125"/>
      <c r="AA571" s="74"/>
      <c r="AE571" s="124"/>
      <c r="AI571" s="74"/>
      <c r="AM571" s="74"/>
      <c r="AQ571" s="74"/>
    </row>
    <row r="572" spans="2:43" s="123" customFormat="1">
      <c r="B572" s="125"/>
      <c r="D572" s="125"/>
      <c r="AA572" s="74"/>
      <c r="AE572" s="124"/>
      <c r="AI572" s="74"/>
      <c r="AM572" s="74"/>
      <c r="AQ572" s="74"/>
    </row>
    <row r="573" spans="2:43" s="123" customFormat="1">
      <c r="B573" s="125"/>
      <c r="D573" s="125"/>
      <c r="AA573" s="74"/>
      <c r="AE573" s="124"/>
      <c r="AI573" s="74"/>
      <c r="AM573" s="74"/>
      <c r="AQ573" s="74"/>
    </row>
    <row r="574" spans="2:43" s="123" customFormat="1">
      <c r="B574" s="125"/>
      <c r="D574" s="125"/>
      <c r="AA574" s="74"/>
      <c r="AE574" s="124"/>
      <c r="AI574" s="74"/>
      <c r="AM574" s="74"/>
      <c r="AQ574" s="74"/>
    </row>
    <row r="575" spans="2:43" s="123" customFormat="1">
      <c r="B575" s="125"/>
      <c r="D575" s="125"/>
      <c r="AA575" s="74"/>
      <c r="AE575" s="124"/>
      <c r="AI575" s="74"/>
      <c r="AM575" s="74"/>
      <c r="AQ575" s="74"/>
    </row>
    <row r="576" spans="2:43" s="123" customFormat="1">
      <c r="B576" s="125"/>
      <c r="D576" s="125"/>
      <c r="AA576" s="74"/>
      <c r="AE576" s="124"/>
      <c r="AI576" s="74"/>
      <c r="AM576" s="74"/>
      <c r="AQ576" s="74"/>
    </row>
    <row r="577" spans="2:43" s="123" customFormat="1">
      <c r="B577" s="125"/>
      <c r="D577" s="125"/>
      <c r="AA577" s="74"/>
      <c r="AE577" s="124"/>
      <c r="AI577" s="74"/>
      <c r="AM577" s="74"/>
      <c r="AQ577" s="74"/>
    </row>
    <row r="578" spans="2:43" s="123" customFormat="1">
      <c r="B578" s="125"/>
      <c r="D578" s="125"/>
      <c r="AA578" s="74"/>
      <c r="AE578" s="124"/>
      <c r="AI578" s="74"/>
      <c r="AM578" s="74"/>
      <c r="AQ578" s="74"/>
    </row>
    <row r="579" spans="2:43" s="123" customFormat="1">
      <c r="B579" s="125"/>
      <c r="D579" s="125"/>
      <c r="AA579" s="74"/>
      <c r="AE579" s="124"/>
      <c r="AI579" s="74"/>
      <c r="AM579" s="74"/>
      <c r="AQ579" s="74"/>
    </row>
    <row r="580" spans="2:43" s="123" customFormat="1">
      <c r="B580" s="125"/>
      <c r="D580" s="125"/>
      <c r="AA580" s="74"/>
      <c r="AE580" s="124"/>
      <c r="AI580" s="74"/>
      <c r="AM580" s="74"/>
      <c r="AQ580" s="74"/>
    </row>
    <row r="581" spans="2:43" s="123" customFormat="1">
      <c r="B581" s="125"/>
      <c r="D581" s="125"/>
      <c r="AA581" s="74"/>
      <c r="AE581" s="124"/>
      <c r="AI581" s="74"/>
      <c r="AM581" s="74"/>
      <c r="AQ581" s="74"/>
    </row>
    <row r="582" spans="2:43" s="123" customFormat="1">
      <c r="B582" s="125"/>
      <c r="D582" s="125"/>
      <c r="AA582" s="74"/>
      <c r="AE582" s="124"/>
      <c r="AI582" s="74"/>
      <c r="AM582" s="74"/>
      <c r="AQ582" s="74"/>
    </row>
    <row r="583" spans="2:43" s="123" customFormat="1">
      <c r="B583" s="125"/>
      <c r="D583" s="125"/>
      <c r="AA583" s="74"/>
      <c r="AE583" s="124"/>
      <c r="AI583" s="74"/>
      <c r="AM583" s="74"/>
      <c r="AQ583" s="74"/>
    </row>
    <row r="584" spans="2:43" s="123" customFormat="1">
      <c r="B584" s="125"/>
      <c r="D584" s="125"/>
      <c r="AA584" s="74"/>
      <c r="AE584" s="124"/>
      <c r="AI584" s="74"/>
      <c r="AM584" s="74"/>
      <c r="AQ584" s="74"/>
    </row>
    <row r="585" spans="2:43" s="123" customFormat="1">
      <c r="B585" s="125"/>
      <c r="D585" s="125"/>
      <c r="AA585" s="74"/>
      <c r="AE585" s="124"/>
      <c r="AI585" s="74"/>
      <c r="AM585" s="74"/>
      <c r="AQ585" s="74"/>
    </row>
    <row r="586" spans="2:43" s="123" customFormat="1">
      <c r="B586" s="125"/>
      <c r="D586" s="125"/>
      <c r="AA586" s="74"/>
      <c r="AE586" s="124"/>
      <c r="AI586" s="74"/>
      <c r="AM586" s="74"/>
      <c r="AQ586" s="74"/>
    </row>
    <row r="587" spans="2:43" s="123" customFormat="1">
      <c r="B587" s="125"/>
      <c r="D587" s="125"/>
      <c r="AA587" s="74"/>
      <c r="AE587" s="124"/>
      <c r="AI587" s="74"/>
      <c r="AM587" s="74"/>
      <c r="AQ587" s="74"/>
    </row>
    <row r="588" spans="2:43" s="123" customFormat="1">
      <c r="B588" s="125"/>
      <c r="D588" s="125"/>
      <c r="AA588" s="74"/>
      <c r="AE588" s="124"/>
      <c r="AI588" s="74"/>
      <c r="AM588" s="74"/>
      <c r="AQ588" s="74"/>
    </row>
    <row r="589" spans="2:43" s="123" customFormat="1">
      <c r="B589" s="125"/>
      <c r="D589" s="125"/>
      <c r="AA589" s="74"/>
      <c r="AE589" s="124"/>
      <c r="AI589" s="74"/>
      <c r="AM589" s="74"/>
      <c r="AQ589" s="74"/>
    </row>
    <row r="590" spans="2:43" s="123" customFormat="1">
      <c r="B590" s="125"/>
      <c r="D590" s="125"/>
      <c r="AA590" s="74"/>
      <c r="AE590" s="124"/>
      <c r="AI590" s="74"/>
      <c r="AM590" s="74"/>
      <c r="AQ590" s="74"/>
    </row>
    <row r="591" spans="2:43" s="123" customFormat="1">
      <c r="B591" s="125"/>
      <c r="D591" s="125"/>
      <c r="AA591" s="74"/>
      <c r="AE591" s="124"/>
      <c r="AI591" s="74"/>
      <c r="AM591" s="74"/>
      <c r="AQ591" s="74"/>
    </row>
    <row r="592" spans="2:43" s="123" customFormat="1">
      <c r="B592" s="125"/>
      <c r="D592" s="125"/>
      <c r="AA592" s="74"/>
      <c r="AE592" s="124"/>
      <c r="AI592" s="74"/>
      <c r="AM592" s="74"/>
      <c r="AQ592" s="74"/>
    </row>
    <row r="593" spans="2:43" s="123" customFormat="1">
      <c r="B593" s="125"/>
      <c r="D593" s="125"/>
      <c r="AA593" s="74"/>
      <c r="AE593" s="124"/>
      <c r="AI593" s="74"/>
      <c r="AM593" s="74"/>
      <c r="AQ593" s="74"/>
    </row>
    <row r="594" spans="2:43" s="123" customFormat="1">
      <c r="B594" s="125"/>
      <c r="D594" s="125"/>
      <c r="AA594" s="74"/>
      <c r="AE594" s="124"/>
      <c r="AI594" s="74"/>
      <c r="AM594" s="74"/>
      <c r="AQ594" s="74"/>
    </row>
    <row r="595" spans="2:43" s="123" customFormat="1">
      <c r="B595" s="125"/>
      <c r="D595" s="125"/>
      <c r="AA595" s="74"/>
      <c r="AE595" s="124"/>
      <c r="AI595" s="74"/>
      <c r="AM595" s="74"/>
      <c r="AQ595" s="74"/>
    </row>
    <row r="596" spans="2:43" s="123" customFormat="1">
      <c r="B596" s="125"/>
      <c r="D596" s="125"/>
      <c r="AA596" s="74"/>
      <c r="AE596" s="124"/>
      <c r="AI596" s="74"/>
      <c r="AM596" s="74"/>
      <c r="AQ596" s="74"/>
    </row>
    <row r="597" spans="2:43" s="123" customFormat="1">
      <c r="B597" s="125"/>
      <c r="D597" s="125"/>
      <c r="AA597" s="74"/>
      <c r="AE597" s="124"/>
      <c r="AI597" s="74"/>
      <c r="AM597" s="74"/>
      <c r="AQ597" s="74"/>
    </row>
    <row r="598" spans="2:43" s="123" customFormat="1">
      <c r="B598" s="125"/>
      <c r="D598" s="125"/>
      <c r="AA598" s="74"/>
      <c r="AE598" s="124"/>
      <c r="AI598" s="74"/>
      <c r="AM598" s="74"/>
      <c r="AQ598" s="74"/>
    </row>
    <row r="599" spans="2:43" s="123" customFormat="1">
      <c r="B599" s="125"/>
      <c r="D599" s="125"/>
      <c r="AA599" s="74"/>
      <c r="AE599" s="124"/>
      <c r="AI599" s="74"/>
      <c r="AM599" s="74"/>
      <c r="AQ599" s="74"/>
    </row>
    <row r="600" spans="2:43" s="123" customFormat="1">
      <c r="B600" s="125"/>
      <c r="D600" s="125"/>
      <c r="AA600" s="74"/>
      <c r="AE600" s="124"/>
      <c r="AI600" s="74"/>
      <c r="AM600" s="74"/>
      <c r="AQ600" s="74"/>
    </row>
    <row r="601" spans="2:43" s="123" customFormat="1">
      <c r="B601" s="125"/>
      <c r="D601" s="125"/>
      <c r="AA601" s="74"/>
      <c r="AE601" s="124"/>
      <c r="AI601" s="74"/>
      <c r="AM601" s="74"/>
      <c r="AQ601" s="74"/>
    </row>
    <row r="602" spans="2:43" s="123" customFormat="1">
      <c r="B602" s="125"/>
      <c r="D602" s="125"/>
      <c r="AA602" s="74"/>
      <c r="AE602" s="124"/>
      <c r="AI602" s="74"/>
      <c r="AM602" s="74"/>
      <c r="AQ602" s="74"/>
    </row>
    <row r="603" spans="2:43" s="123" customFormat="1">
      <c r="B603" s="125"/>
      <c r="D603" s="125"/>
      <c r="AA603" s="74"/>
      <c r="AE603" s="124"/>
      <c r="AI603" s="74"/>
      <c r="AM603" s="74"/>
      <c r="AQ603" s="74"/>
    </row>
    <row r="604" spans="2:43" s="123" customFormat="1">
      <c r="B604" s="125"/>
      <c r="D604" s="125"/>
      <c r="AA604" s="74"/>
      <c r="AE604" s="124"/>
      <c r="AI604" s="74"/>
      <c r="AM604" s="74"/>
      <c r="AQ604" s="74"/>
    </row>
    <row r="605" spans="2:43" s="123" customFormat="1">
      <c r="B605" s="125"/>
      <c r="D605" s="125"/>
      <c r="AA605" s="74"/>
      <c r="AE605" s="124"/>
      <c r="AI605" s="74"/>
      <c r="AM605" s="74"/>
      <c r="AQ605" s="74"/>
    </row>
    <row r="606" spans="2:43" s="123" customFormat="1">
      <c r="B606" s="125"/>
      <c r="D606" s="125"/>
      <c r="AA606" s="74"/>
      <c r="AE606" s="124"/>
      <c r="AI606" s="74"/>
      <c r="AM606" s="74"/>
      <c r="AQ606" s="74"/>
    </row>
    <row r="607" spans="2:43" s="123" customFormat="1">
      <c r="B607" s="125"/>
      <c r="D607" s="125"/>
      <c r="AA607" s="74"/>
      <c r="AE607" s="124"/>
      <c r="AI607" s="74"/>
      <c r="AM607" s="74"/>
      <c r="AQ607" s="74"/>
    </row>
    <row r="608" spans="2:43" s="123" customFormat="1">
      <c r="B608" s="125"/>
      <c r="D608" s="125"/>
      <c r="AA608" s="74"/>
      <c r="AE608" s="124"/>
      <c r="AI608" s="74"/>
      <c r="AM608" s="74"/>
      <c r="AQ608" s="74"/>
    </row>
    <row r="609" spans="2:43" s="123" customFormat="1">
      <c r="B609" s="125"/>
      <c r="D609" s="125"/>
      <c r="AA609" s="74"/>
      <c r="AE609" s="124"/>
      <c r="AI609" s="74"/>
      <c r="AM609" s="74"/>
      <c r="AQ609" s="74"/>
    </row>
    <row r="610" spans="2:43" s="123" customFormat="1">
      <c r="B610" s="125"/>
      <c r="D610" s="125"/>
      <c r="AA610" s="74"/>
      <c r="AE610" s="124"/>
      <c r="AI610" s="74"/>
      <c r="AM610" s="74"/>
      <c r="AQ610" s="74"/>
    </row>
    <row r="611" spans="2:43" s="123" customFormat="1">
      <c r="B611" s="125"/>
      <c r="D611" s="125"/>
      <c r="AA611" s="74"/>
      <c r="AE611" s="124"/>
      <c r="AI611" s="74"/>
      <c r="AM611" s="74"/>
      <c r="AQ611" s="74"/>
    </row>
    <row r="612" spans="2:43" s="123" customFormat="1">
      <c r="B612" s="125"/>
      <c r="D612" s="125"/>
      <c r="AA612" s="74"/>
      <c r="AE612" s="124"/>
      <c r="AI612" s="74"/>
      <c r="AM612" s="74"/>
      <c r="AQ612" s="74"/>
    </row>
    <row r="613" spans="2:43" s="123" customFormat="1">
      <c r="B613" s="125"/>
      <c r="D613" s="125"/>
      <c r="AA613" s="74"/>
      <c r="AE613" s="124"/>
      <c r="AI613" s="74"/>
      <c r="AM613" s="74"/>
      <c r="AQ613" s="74"/>
    </row>
    <row r="614" spans="2:43" s="123" customFormat="1">
      <c r="B614" s="125"/>
      <c r="D614" s="125"/>
      <c r="AA614" s="74"/>
      <c r="AE614" s="124"/>
      <c r="AI614" s="74"/>
      <c r="AM614" s="74"/>
      <c r="AQ614" s="74"/>
    </row>
    <row r="615" spans="2:43" s="123" customFormat="1">
      <c r="B615" s="125"/>
      <c r="D615" s="125"/>
      <c r="AA615" s="74"/>
      <c r="AE615" s="124"/>
      <c r="AI615" s="74"/>
      <c r="AM615" s="74"/>
      <c r="AQ615" s="74"/>
    </row>
    <row r="616" spans="2:43" s="123" customFormat="1">
      <c r="B616" s="125"/>
      <c r="D616" s="125"/>
      <c r="AA616" s="74"/>
      <c r="AE616" s="124"/>
      <c r="AI616" s="74"/>
      <c r="AM616" s="74"/>
      <c r="AQ616" s="74"/>
    </row>
    <row r="617" spans="2:43" s="123" customFormat="1">
      <c r="B617" s="125"/>
      <c r="D617" s="125"/>
      <c r="AA617" s="74"/>
      <c r="AE617" s="124"/>
      <c r="AI617" s="74"/>
      <c r="AM617" s="74"/>
      <c r="AQ617" s="74"/>
    </row>
    <row r="618" spans="2:43" s="123" customFormat="1">
      <c r="B618" s="125"/>
      <c r="D618" s="125"/>
      <c r="AA618" s="74"/>
      <c r="AE618" s="124"/>
      <c r="AI618" s="74"/>
      <c r="AM618" s="74"/>
      <c r="AQ618" s="74"/>
    </row>
    <row r="619" spans="2:43" s="123" customFormat="1">
      <c r="B619" s="125"/>
      <c r="D619" s="125"/>
      <c r="AA619" s="74"/>
      <c r="AE619" s="124"/>
      <c r="AI619" s="74"/>
      <c r="AM619" s="74"/>
      <c r="AQ619" s="74"/>
    </row>
    <row r="620" spans="2:43" s="123" customFormat="1">
      <c r="B620" s="125"/>
      <c r="D620" s="125"/>
      <c r="AA620" s="74"/>
      <c r="AE620" s="124"/>
      <c r="AI620" s="74"/>
      <c r="AM620" s="74"/>
      <c r="AQ620" s="74"/>
    </row>
    <row r="621" spans="2:43" s="123" customFormat="1">
      <c r="B621" s="125"/>
      <c r="D621" s="125"/>
      <c r="AA621" s="74"/>
      <c r="AE621" s="124"/>
      <c r="AI621" s="74"/>
      <c r="AM621" s="74"/>
      <c r="AQ621" s="74"/>
    </row>
    <row r="622" spans="2:43" s="123" customFormat="1">
      <c r="B622" s="125"/>
      <c r="D622" s="125"/>
      <c r="AA622" s="74"/>
      <c r="AE622" s="124"/>
      <c r="AI622" s="74"/>
      <c r="AM622" s="74"/>
      <c r="AQ622" s="74"/>
    </row>
    <row r="623" spans="2:43" s="123" customFormat="1">
      <c r="B623" s="125"/>
      <c r="D623" s="125"/>
      <c r="AA623" s="74"/>
      <c r="AE623" s="124"/>
      <c r="AI623" s="74"/>
      <c r="AM623" s="74"/>
      <c r="AQ623" s="74"/>
    </row>
    <row r="624" spans="2:43" s="123" customFormat="1">
      <c r="B624" s="125"/>
      <c r="D624" s="125"/>
      <c r="AA624" s="74"/>
      <c r="AE624" s="124"/>
      <c r="AI624" s="74"/>
      <c r="AM624" s="74"/>
      <c r="AQ624" s="74"/>
    </row>
    <row r="625" spans="2:43" s="123" customFormat="1">
      <c r="B625" s="125"/>
      <c r="D625" s="125"/>
      <c r="AA625" s="74"/>
      <c r="AE625" s="124"/>
      <c r="AI625" s="74"/>
      <c r="AM625" s="74"/>
      <c r="AQ625" s="74"/>
    </row>
    <row r="626" spans="2:43" s="123" customFormat="1">
      <c r="B626" s="125"/>
      <c r="D626" s="125"/>
      <c r="AA626" s="74"/>
      <c r="AE626" s="124"/>
      <c r="AI626" s="74"/>
      <c r="AM626" s="74"/>
      <c r="AQ626" s="74"/>
    </row>
    <row r="627" spans="2:43" s="123" customFormat="1">
      <c r="B627" s="125"/>
      <c r="D627" s="125"/>
      <c r="AA627" s="74"/>
      <c r="AE627" s="124"/>
      <c r="AI627" s="74"/>
      <c r="AM627" s="74"/>
      <c r="AQ627" s="74"/>
    </row>
    <row r="628" spans="2:43" s="123" customFormat="1">
      <c r="B628" s="125"/>
      <c r="D628" s="125"/>
      <c r="AA628" s="74"/>
      <c r="AE628" s="124"/>
      <c r="AI628" s="74"/>
      <c r="AM628" s="74"/>
      <c r="AQ628" s="74"/>
    </row>
    <row r="629" spans="2:43" s="123" customFormat="1">
      <c r="B629" s="125"/>
      <c r="D629" s="125"/>
      <c r="AA629" s="74"/>
      <c r="AE629" s="124"/>
      <c r="AI629" s="74"/>
      <c r="AM629" s="74"/>
      <c r="AQ629" s="74"/>
    </row>
    <row r="630" spans="2:43" s="123" customFormat="1">
      <c r="B630" s="125"/>
      <c r="D630" s="125"/>
      <c r="AA630" s="74"/>
      <c r="AE630" s="124"/>
      <c r="AI630" s="74"/>
      <c r="AM630" s="74"/>
      <c r="AQ630" s="74"/>
    </row>
    <row r="631" spans="2:43" s="123" customFormat="1">
      <c r="B631" s="125"/>
      <c r="D631" s="125"/>
      <c r="AA631" s="74"/>
      <c r="AE631" s="124"/>
      <c r="AI631" s="74"/>
      <c r="AM631" s="74"/>
      <c r="AQ631" s="74"/>
    </row>
    <row r="632" spans="2:43" s="123" customFormat="1">
      <c r="B632" s="125"/>
      <c r="D632" s="125"/>
      <c r="AA632" s="74"/>
      <c r="AE632" s="124"/>
      <c r="AI632" s="74"/>
      <c r="AM632" s="74"/>
      <c r="AQ632" s="74"/>
    </row>
    <row r="633" spans="2:43" s="123" customFormat="1">
      <c r="B633" s="125"/>
      <c r="D633" s="125"/>
      <c r="AA633" s="74"/>
      <c r="AE633" s="124"/>
      <c r="AI633" s="74"/>
      <c r="AM633" s="74"/>
      <c r="AQ633" s="74"/>
    </row>
    <row r="634" spans="2:43" s="123" customFormat="1">
      <c r="B634" s="125"/>
      <c r="D634" s="125"/>
      <c r="AA634" s="74"/>
      <c r="AE634" s="124"/>
      <c r="AI634" s="74"/>
      <c r="AM634" s="74"/>
      <c r="AQ634" s="74"/>
    </row>
    <row r="635" spans="2:43" s="123" customFormat="1">
      <c r="B635" s="125"/>
      <c r="D635" s="125"/>
      <c r="AA635" s="74"/>
      <c r="AE635" s="124"/>
      <c r="AI635" s="74"/>
      <c r="AM635" s="74"/>
      <c r="AQ635" s="74"/>
    </row>
    <row r="636" spans="2:43" s="123" customFormat="1">
      <c r="B636" s="125"/>
      <c r="D636" s="125"/>
      <c r="AA636" s="74"/>
      <c r="AE636" s="124"/>
      <c r="AI636" s="74"/>
      <c r="AM636" s="74"/>
      <c r="AQ636" s="74"/>
    </row>
    <row r="637" spans="2:43" s="123" customFormat="1">
      <c r="B637" s="125"/>
      <c r="D637" s="125"/>
      <c r="AA637" s="74"/>
      <c r="AE637" s="124"/>
      <c r="AI637" s="74"/>
      <c r="AM637" s="74"/>
      <c r="AQ637" s="74"/>
    </row>
    <row r="638" spans="2:43" s="123" customFormat="1">
      <c r="B638" s="125"/>
      <c r="D638" s="125"/>
      <c r="AA638" s="74"/>
      <c r="AE638" s="124"/>
      <c r="AI638" s="74"/>
      <c r="AM638" s="74"/>
      <c r="AQ638" s="74"/>
    </row>
    <row r="639" spans="2:43" s="123" customFormat="1">
      <c r="B639" s="125"/>
      <c r="D639" s="125"/>
      <c r="AA639" s="74"/>
      <c r="AE639" s="124"/>
      <c r="AI639" s="74"/>
      <c r="AM639" s="74"/>
      <c r="AQ639" s="74"/>
    </row>
    <row r="640" spans="2:43" s="123" customFormat="1">
      <c r="B640" s="125"/>
      <c r="D640" s="125"/>
      <c r="AA640" s="74"/>
      <c r="AE640" s="124"/>
      <c r="AI640" s="74"/>
      <c r="AM640" s="74"/>
      <c r="AQ640" s="74"/>
    </row>
    <row r="641" spans="2:43" s="123" customFormat="1">
      <c r="B641" s="125"/>
      <c r="D641" s="125"/>
      <c r="AA641" s="74"/>
      <c r="AE641" s="124"/>
      <c r="AI641" s="74"/>
      <c r="AM641" s="74"/>
      <c r="AQ641" s="74"/>
    </row>
    <row r="642" spans="2:43" s="123" customFormat="1">
      <c r="B642" s="125"/>
      <c r="D642" s="125"/>
      <c r="AA642" s="74"/>
      <c r="AE642" s="124"/>
      <c r="AI642" s="74"/>
      <c r="AM642" s="74"/>
      <c r="AQ642" s="74"/>
    </row>
    <row r="643" spans="2:43" s="123" customFormat="1">
      <c r="B643" s="125"/>
      <c r="D643" s="125"/>
      <c r="AA643" s="74"/>
      <c r="AE643" s="124"/>
      <c r="AI643" s="74"/>
      <c r="AM643" s="74"/>
      <c r="AQ643" s="74"/>
    </row>
    <row r="644" spans="2:43" s="123" customFormat="1">
      <c r="B644" s="125"/>
      <c r="D644" s="125"/>
      <c r="AA644" s="74"/>
      <c r="AE644" s="124"/>
      <c r="AI644" s="74"/>
      <c r="AM644" s="74"/>
      <c r="AQ644" s="74"/>
    </row>
    <row r="645" spans="2:43" s="123" customFormat="1">
      <c r="B645" s="125"/>
      <c r="D645" s="125"/>
      <c r="AA645" s="74"/>
      <c r="AE645" s="124"/>
      <c r="AI645" s="74"/>
      <c r="AM645" s="74"/>
      <c r="AQ645" s="74"/>
    </row>
    <row r="646" spans="2:43" s="123" customFormat="1">
      <c r="B646" s="125"/>
      <c r="D646" s="125"/>
      <c r="AA646" s="74"/>
      <c r="AE646" s="124"/>
      <c r="AI646" s="74"/>
      <c r="AM646" s="74"/>
      <c r="AQ646" s="74"/>
    </row>
    <row r="647" spans="2:43" s="123" customFormat="1">
      <c r="B647" s="125"/>
      <c r="D647" s="125"/>
      <c r="AA647" s="74"/>
      <c r="AE647" s="124"/>
      <c r="AI647" s="74"/>
      <c r="AM647" s="74"/>
      <c r="AQ647" s="74"/>
    </row>
    <row r="648" spans="2:43" s="123" customFormat="1">
      <c r="B648" s="125"/>
      <c r="D648" s="125"/>
      <c r="AA648" s="74"/>
      <c r="AE648" s="124"/>
      <c r="AI648" s="74"/>
      <c r="AM648" s="74"/>
      <c r="AQ648" s="74"/>
    </row>
    <row r="649" spans="2:43" s="123" customFormat="1">
      <c r="B649" s="125"/>
      <c r="D649" s="125"/>
      <c r="AA649" s="74"/>
      <c r="AE649" s="124"/>
      <c r="AI649" s="74"/>
      <c r="AM649" s="74"/>
      <c r="AQ649" s="74"/>
    </row>
    <row r="650" spans="2:43" s="123" customFormat="1">
      <c r="B650" s="125"/>
      <c r="D650" s="125"/>
      <c r="AA650" s="74"/>
      <c r="AE650" s="124"/>
      <c r="AI650" s="74"/>
      <c r="AM650" s="74"/>
      <c r="AQ650" s="74"/>
    </row>
    <row r="651" spans="2:43" s="123" customFormat="1">
      <c r="B651" s="125"/>
      <c r="D651" s="125"/>
      <c r="AA651" s="74"/>
      <c r="AE651" s="124"/>
      <c r="AI651" s="74"/>
      <c r="AM651" s="74"/>
      <c r="AQ651" s="74"/>
    </row>
    <row r="652" spans="2:43" s="123" customFormat="1">
      <c r="B652" s="125"/>
      <c r="D652" s="125"/>
      <c r="AA652" s="74"/>
      <c r="AE652" s="124"/>
      <c r="AI652" s="74"/>
      <c r="AM652" s="74"/>
      <c r="AQ652" s="74"/>
    </row>
    <row r="653" spans="2:43" s="123" customFormat="1">
      <c r="B653" s="125"/>
      <c r="D653" s="125"/>
      <c r="AA653" s="74"/>
      <c r="AE653" s="124"/>
      <c r="AI653" s="74"/>
      <c r="AM653" s="74"/>
      <c r="AQ653" s="74"/>
    </row>
    <row r="654" spans="2:43" s="123" customFormat="1">
      <c r="B654" s="125"/>
      <c r="D654" s="125"/>
      <c r="AA654" s="74"/>
      <c r="AE654" s="124"/>
      <c r="AI654" s="74"/>
      <c r="AM654" s="74"/>
      <c r="AQ654" s="74"/>
    </row>
    <row r="655" spans="2:43" s="123" customFormat="1">
      <c r="B655" s="125"/>
      <c r="D655" s="125"/>
      <c r="AA655" s="74"/>
      <c r="AE655" s="124"/>
      <c r="AI655" s="74"/>
      <c r="AM655" s="74"/>
      <c r="AQ655" s="74"/>
    </row>
    <row r="656" spans="2:43" s="123" customFormat="1">
      <c r="B656" s="125"/>
      <c r="D656" s="125"/>
      <c r="AA656" s="74"/>
      <c r="AE656" s="124"/>
      <c r="AI656" s="74"/>
      <c r="AM656" s="74"/>
      <c r="AQ656" s="74"/>
    </row>
    <row r="657" spans="2:43" s="123" customFormat="1">
      <c r="B657" s="125"/>
      <c r="D657" s="125"/>
      <c r="AA657" s="74"/>
      <c r="AE657" s="124"/>
      <c r="AI657" s="74"/>
      <c r="AM657" s="74"/>
      <c r="AQ657" s="74"/>
    </row>
    <row r="658" spans="2:43" s="123" customFormat="1">
      <c r="B658" s="125"/>
      <c r="D658" s="125"/>
      <c r="AA658" s="74"/>
      <c r="AE658" s="124"/>
      <c r="AI658" s="74"/>
      <c r="AM658" s="74"/>
      <c r="AQ658" s="74"/>
    </row>
    <row r="659" spans="2:43" s="123" customFormat="1">
      <c r="B659" s="125"/>
      <c r="D659" s="125"/>
      <c r="AA659" s="74"/>
      <c r="AE659" s="124"/>
      <c r="AI659" s="74"/>
      <c r="AM659" s="74"/>
      <c r="AQ659" s="74"/>
    </row>
    <row r="660" spans="2:43" s="123" customFormat="1">
      <c r="B660" s="125"/>
      <c r="D660" s="125"/>
      <c r="AA660" s="74"/>
      <c r="AE660" s="124"/>
      <c r="AI660" s="74"/>
      <c r="AM660" s="74"/>
      <c r="AQ660" s="74"/>
    </row>
    <row r="661" spans="2:43" s="123" customFormat="1">
      <c r="B661" s="125"/>
      <c r="D661" s="125"/>
      <c r="AA661" s="74"/>
      <c r="AE661" s="124"/>
      <c r="AI661" s="74"/>
      <c r="AM661" s="74"/>
      <c r="AQ661" s="74"/>
    </row>
    <row r="662" spans="2:43" s="123" customFormat="1">
      <c r="B662" s="125"/>
      <c r="D662" s="125"/>
      <c r="AA662" s="74"/>
      <c r="AE662" s="124"/>
      <c r="AI662" s="74"/>
      <c r="AM662" s="74"/>
      <c r="AQ662" s="74"/>
    </row>
    <row r="663" spans="2:43" s="123" customFormat="1">
      <c r="B663" s="125"/>
      <c r="D663" s="125"/>
      <c r="AA663" s="74"/>
      <c r="AE663" s="124"/>
      <c r="AI663" s="74"/>
      <c r="AM663" s="74"/>
      <c r="AQ663" s="74"/>
    </row>
    <row r="664" spans="2:43" s="123" customFormat="1">
      <c r="B664" s="125"/>
      <c r="D664" s="125"/>
      <c r="AA664" s="74"/>
      <c r="AE664" s="124"/>
      <c r="AI664" s="74"/>
      <c r="AM664" s="74"/>
      <c r="AQ664" s="74"/>
    </row>
    <row r="665" spans="2:43" s="123" customFormat="1">
      <c r="B665" s="125"/>
      <c r="D665" s="125"/>
      <c r="AA665" s="74"/>
      <c r="AE665" s="124"/>
      <c r="AI665" s="74"/>
      <c r="AM665" s="74"/>
      <c r="AQ665" s="74"/>
    </row>
    <row r="666" spans="2:43" s="123" customFormat="1">
      <c r="B666" s="125"/>
      <c r="D666" s="125"/>
      <c r="AA666" s="74"/>
      <c r="AE666" s="124"/>
      <c r="AI666" s="74"/>
      <c r="AM666" s="74"/>
      <c r="AQ666" s="74"/>
    </row>
    <row r="667" spans="2:43" s="123" customFormat="1">
      <c r="B667" s="125"/>
      <c r="D667" s="125"/>
      <c r="AA667" s="74"/>
      <c r="AE667" s="124"/>
      <c r="AI667" s="74"/>
      <c r="AM667" s="74"/>
      <c r="AQ667" s="74"/>
    </row>
    <row r="668" spans="2:43" s="123" customFormat="1">
      <c r="B668" s="125"/>
      <c r="D668" s="125"/>
      <c r="AA668" s="74"/>
      <c r="AE668" s="124"/>
      <c r="AI668" s="74"/>
      <c r="AM668" s="74"/>
      <c r="AQ668" s="74"/>
    </row>
    <row r="669" spans="2:43" s="123" customFormat="1">
      <c r="B669" s="125"/>
      <c r="D669" s="125"/>
      <c r="AA669" s="74"/>
      <c r="AE669" s="124"/>
      <c r="AI669" s="74"/>
      <c r="AM669" s="74"/>
      <c r="AQ669" s="74"/>
    </row>
    <row r="670" spans="2:43" s="123" customFormat="1">
      <c r="B670" s="125"/>
      <c r="D670" s="125"/>
      <c r="AA670" s="74"/>
      <c r="AE670" s="124"/>
      <c r="AI670" s="74"/>
      <c r="AM670" s="74"/>
      <c r="AQ670" s="74"/>
    </row>
    <row r="671" spans="2:43" s="123" customFormat="1">
      <c r="B671" s="125"/>
      <c r="D671" s="125"/>
      <c r="AA671" s="74"/>
      <c r="AE671" s="124"/>
      <c r="AI671" s="74"/>
      <c r="AM671" s="74"/>
      <c r="AQ671" s="74"/>
    </row>
    <row r="672" spans="2:43" s="123" customFormat="1">
      <c r="B672" s="125"/>
      <c r="D672" s="125"/>
      <c r="AA672" s="74"/>
      <c r="AE672" s="124"/>
      <c r="AI672" s="74"/>
      <c r="AM672" s="74"/>
      <c r="AQ672" s="74"/>
    </row>
    <row r="673" spans="2:43" s="123" customFormat="1">
      <c r="B673" s="125"/>
      <c r="D673" s="125"/>
      <c r="AA673" s="74"/>
      <c r="AE673" s="124"/>
      <c r="AI673" s="74"/>
      <c r="AM673" s="74"/>
      <c r="AQ673" s="74"/>
    </row>
    <row r="674" spans="2:43" s="123" customFormat="1">
      <c r="B674" s="125"/>
      <c r="D674" s="125"/>
      <c r="AA674" s="74"/>
      <c r="AE674" s="124"/>
      <c r="AI674" s="74"/>
      <c r="AM674" s="74"/>
      <c r="AQ674" s="74"/>
    </row>
    <row r="675" spans="2:43" s="123" customFormat="1">
      <c r="B675" s="125"/>
      <c r="D675" s="125"/>
      <c r="AA675" s="74"/>
      <c r="AE675" s="124"/>
      <c r="AI675" s="74"/>
      <c r="AM675" s="74"/>
      <c r="AQ675" s="74"/>
    </row>
    <row r="676" spans="2:43" s="123" customFormat="1">
      <c r="B676" s="125"/>
      <c r="D676" s="125"/>
      <c r="AA676" s="74"/>
      <c r="AE676" s="124"/>
      <c r="AI676" s="74"/>
      <c r="AM676" s="74"/>
      <c r="AQ676" s="74"/>
    </row>
    <row r="677" spans="2:43" s="123" customFormat="1">
      <c r="B677" s="125"/>
      <c r="D677" s="125"/>
      <c r="AA677" s="74"/>
      <c r="AE677" s="124"/>
      <c r="AI677" s="74"/>
      <c r="AM677" s="74"/>
      <c r="AQ677" s="74"/>
    </row>
    <row r="678" spans="2:43" s="123" customFormat="1">
      <c r="B678" s="125"/>
      <c r="D678" s="125"/>
      <c r="AA678" s="74"/>
      <c r="AE678" s="124"/>
      <c r="AI678" s="74"/>
      <c r="AM678" s="74"/>
      <c r="AQ678" s="74"/>
    </row>
    <row r="679" spans="2:43" s="123" customFormat="1">
      <c r="B679" s="125"/>
      <c r="D679" s="125"/>
      <c r="AA679" s="74"/>
      <c r="AE679" s="124"/>
      <c r="AI679" s="74"/>
      <c r="AM679" s="74"/>
      <c r="AQ679" s="74"/>
    </row>
    <row r="680" spans="2:43" s="123" customFormat="1">
      <c r="B680" s="125"/>
      <c r="D680" s="125"/>
      <c r="AA680" s="74"/>
      <c r="AE680" s="124"/>
      <c r="AI680" s="74"/>
      <c r="AM680" s="74"/>
      <c r="AQ680" s="74"/>
    </row>
    <row r="681" spans="2:43" s="123" customFormat="1">
      <c r="B681" s="125"/>
      <c r="D681" s="125"/>
      <c r="AA681" s="74"/>
      <c r="AE681" s="124"/>
      <c r="AI681" s="74"/>
      <c r="AM681" s="74"/>
      <c r="AQ681" s="74"/>
    </row>
    <row r="682" spans="2:43" s="123" customFormat="1">
      <c r="B682" s="125"/>
      <c r="D682" s="125"/>
      <c r="AA682" s="74"/>
      <c r="AE682" s="124"/>
      <c r="AI682" s="74"/>
      <c r="AM682" s="74"/>
      <c r="AQ682" s="74"/>
    </row>
    <row r="683" spans="2:43" s="123" customFormat="1">
      <c r="B683" s="125"/>
      <c r="D683" s="125"/>
      <c r="AA683" s="74"/>
      <c r="AE683" s="124"/>
      <c r="AI683" s="74"/>
      <c r="AM683" s="74"/>
      <c r="AQ683" s="74"/>
    </row>
    <row r="684" spans="2:43" s="123" customFormat="1">
      <c r="B684" s="125"/>
      <c r="D684" s="125"/>
      <c r="AA684" s="74"/>
      <c r="AE684" s="124"/>
      <c r="AI684" s="74"/>
      <c r="AM684" s="74"/>
      <c r="AQ684" s="74"/>
    </row>
    <row r="685" spans="2:43" s="123" customFormat="1">
      <c r="B685" s="125"/>
      <c r="D685" s="125"/>
      <c r="AA685" s="74"/>
      <c r="AE685" s="124"/>
      <c r="AI685" s="74"/>
      <c r="AM685" s="74"/>
      <c r="AQ685" s="74"/>
    </row>
    <row r="686" spans="2:43" s="123" customFormat="1">
      <c r="B686" s="125"/>
      <c r="D686" s="125"/>
      <c r="AA686" s="74"/>
      <c r="AE686" s="124"/>
      <c r="AI686" s="74"/>
      <c r="AM686" s="74"/>
      <c r="AQ686" s="74"/>
    </row>
    <row r="687" spans="2:43" s="123" customFormat="1">
      <c r="B687" s="125"/>
      <c r="D687" s="125"/>
      <c r="AA687" s="74"/>
      <c r="AE687" s="124"/>
      <c r="AI687" s="74"/>
      <c r="AM687" s="74"/>
      <c r="AQ687" s="74"/>
    </row>
    <row r="688" spans="2:43" s="123" customFormat="1">
      <c r="B688" s="125"/>
      <c r="D688" s="125"/>
      <c r="AA688" s="74"/>
      <c r="AE688" s="124"/>
      <c r="AI688" s="74"/>
      <c r="AM688" s="74"/>
      <c r="AQ688" s="74"/>
    </row>
    <row r="689" spans="2:43" s="123" customFormat="1">
      <c r="B689" s="125"/>
      <c r="D689" s="125"/>
      <c r="AA689" s="74"/>
      <c r="AE689" s="124"/>
      <c r="AI689" s="74"/>
      <c r="AM689" s="74"/>
      <c r="AQ689" s="74"/>
    </row>
    <row r="690" spans="2:43" s="123" customFormat="1">
      <c r="B690" s="125"/>
      <c r="D690" s="125"/>
      <c r="AA690" s="74"/>
      <c r="AE690" s="124"/>
      <c r="AI690" s="74"/>
      <c r="AM690" s="74"/>
      <c r="AQ690" s="74"/>
    </row>
    <row r="691" spans="2:43" s="123" customFormat="1">
      <c r="B691" s="125"/>
      <c r="D691" s="125"/>
      <c r="AA691" s="74"/>
      <c r="AE691" s="124"/>
      <c r="AI691" s="74"/>
      <c r="AM691" s="74"/>
      <c r="AQ691" s="74"/>
    </row>
    <row r="692" spans="2:43" s="123" customFormat="1">
      <c r="B692" s="125"/>
      <c r="D692" s="125"/>
      <c r="AA692" s="74"/>
      <c r="AE692" s="124"/>
      <c r="AI692" s="74"/>
      <c r="AM692" s="74"/>
      <c r="AQ692" s="74"/>
    </row>
    <row r="693" spans="2:43" s="123" customFormat="1">
      <c r="B693" s="125"/>
      <c r="D693" s="125"/>
      <c r="AA693" s="74"/>
      <c r="AE693" s="124"/>
      <c r="AI693" s="74"/>
      <c r="AM693" s="74"/>
      <c r="AQ693" s="74"/>
    </row>
    <row r="694" spans="2:43" s="123" customFormat="1">
      <c r="B694" s="125"/>
      <c r="D694" s="125"/>
      <c r="AA694" s="74"/>
      <c r="AE694" s="124"/>
      <c r="AI694" s="74"/>
      <c r="AM694" s="74"/>
      <c r="AQ694" s="74"/>
    </row>
    <row r="695" spans="2:43" s="123" customFormat="1">
      <c r="B695" s="125"/>
      <c r="D695" s="125"/>
      <c r="AA695" s="74"/>
      <c r="AE695" s="124"/>
      <c r="AI695" s="74"/>
      <c r="AM695" s="74"/>
      <c r="AQ695" s="74"/>
    </row>
    <row r="696" spans="2:43" s="123" customFormat="1">
      <c r="B696" s="125"/>
      <c r="D696" s="125"/>
      <c r="AA696" s="74"/>
      <c r="AE696" s="124"/>
      <c r="AI696" s="74"/>
      <c r="AM696" s="74"/>
      <c r="AQ696" s="74"/>
    </row>
    <row r="697" spans="2:43" s="123" customFormat="1">
      <c r="B697" s="125"/>
      <c r="D697" s="125"/>
      <c r="AA697" s="74"/>
      <c r="AE697" s="124"/>
      <c r="AI697" s="74"/>
      <c r="AM697" s="74"/>
      <c r="AQ697" s="74"/>
    </row>
    <row r="698" spans="2:43" s="123" customFormat="1">
      <c r="B698" s="125"/>
      <c r="D698" s="125"/>
      <c r="AA698" s="74"/>
      <c r="AE698" s="124"/>
      <c r="AI698" s="74"/>
      <c r="AM698" s="74"/>
      <c r="AQ698" s="74"/>
    </row>
    <row r="699" spans="2:43" s="123" customFormat="1">
      <c r="B699" s="125"/>
      <c r="D699" s="125"/>
      <c r="AA699" s="74"/>
      <c r="AE699" s="124"/>
      <c r="AI699" s="74"/>
      <c r="AM699" s="74"/>
      <c r="AQ699" s="74"/>
    </row>
    <row r="700" spans="2:43" s="123" customFormat="1">
      <c r="B700" s="125"/>
      <c r="D700" s="125"/>
      <c r="AA700" s="74"/>
      <c r="AE700" s="124"/>
      <c r="AI700" s="74"/>
      <c r="AM700" s="74"/>
      <c r="AQ700" s="74"/>
    </row>
    <row r="701" spans="2:43" s="123" customFormat="1">
      <c r="B701" s="125"/>
      <c r="D701" s="125"/>
      <c r="AA701" s="74"/>
      <c r="AE701" s="124"/>
      <c r="AI701" s="74"/>
      <c r="AM701" s="74"/>
      <c r="AQ701" s="74"/>
    </row>
    <row r="702" spans="2:43" s="123" customFormat="1">
      <c r="B702" s="125"/>
      <c r="D702" s="125"/>
      <c r="AA702" s="74"/>
      <c r="AE702" s="124"/>
      <c r="AI702" s="74"/>
      <c r="AM702" s="74"/>
      <c r="AQ702" s="74"/>
    </row>
    <row r="703" spans="2:43" s="123" customFormat="1">
      <c r="B703" s="125"/>
      <c r="D703" s="125"/>
      <c r="AA703" s="74"/>
      <c r="AE703" s="124"/>
      <c r="AI703" s="74"/>
      <c r="AM703" s="74"/>
      <c r="AQ703" s="74"/>
    </row>
    <row r="704" spans="2:43" s="123" customFormat="1">
      <c r="B704" s="125"/>
      <c r="D704" s="125"/>
      <c r="AA704" s="74"/>
      <c r="AE704" s="124"/>
      <c r="AI704" s="74"/>
      <c r="AM704" s="74"/>
      <c r="AQ704" s="74"/>
    </row>
    <row r="705" spans="2:43" s="123" customFormat="1">
      <c r="B705" s="125"/>
      <c r="D705" s="125"/>
      <c r="AA705" s="74"/>
      <c r="AE705" s="124"/>
      <c r="AI705" s="74"/>
      <c r="AM705" s="74"/>
      <c r="AQ705" s="74"/>
    </row>
    <row r="706" spans="2:43" s="123" customFormat="1">
      <c r="B706" s="125"/>
      <c r="D706" s="125"/>
      <c r="AA706" s="74"/>
      <c r="AE706" s="124"/>
      <c r="AI706" s="74"/>
      <c r="AM706" s="74"/>
      <c r="AQ706" s="74"/>
    </row>
    <row r="707" spans="2:43" s="123" customFormat="1">
      <c r="B707" s="125"/>
      <c r="D707" s="125"/>
      <c r="AA707" s="74"/>
      <c r="AE707" s="124"/>
      <c r="AI707" s="74"/>
      <c r="AM707" s="74"/>
      <c r="AQ707" s="74"/>
    </row>
    <row r="708" spans="2:43" s="123" customFormat="1">
      <c r="B708" s="125"/>
      <c r="D708" s="125"/>
      <c r="AA708" s="74"/>
      <c r="AE708" s="124"/>
      <c r="AI708" s="74"/>
      <c r="AM708" s="74"/>
      <c r="AQ708" s="74"/>
    </row>
    <row r="709" spans="2:43" s="123" customFormat="1">
      <c r="B709" s="125"/>
      <c r="D709" s="125"/>
      <c r="AA709" s="74"/>
      <c r="AE709" s="124"/>
      <c r="AI709" s="74"/>
      <c r="AM709" s="74"/>
      <c r="AQ709" s="74"/>
    </row>
    <row r="710" spans="2:43" s="123" customFormat="1">
      <c r="B710" s="125"/>
      <c r="D710" s="125"/>
      <c r="AA710" s="74"/>
      <c r="AE710" s="124"/>
      <c r="AI710" s="74"/>
      <c r="AM710" s="74"/>
      <c r="AQ710" s="74"/>
    </row>
    <row r="711" spans="2:43" s="123" customFormat="1">
      <c r="B711" s="125"/>
      <c r="D711" s="125"/>
      <c r="AA711" s="74"/>
      <c r="AE711" s="124"/>
      <c r="AI711" s="74"/>
      <c r="AM711" s="74"/>
      <c r="AQ711" s="74"/>
    </row>
    <row r="712" spans="2:43" s="123" customFormat="1">
      <c r="B712" s="125"/>
      <c r="D712" s="125"/>
      <c r="AA712" s="74"/>
      <c r="AE712" s="124"/>
      <c r="AI712" s="74"/>
      <c r="AM712" s="74"/>
      <c r="AQ712" s="74"/>
    </row>
    <row r="713" spans="2:43" s="123" customFormat="1">
      <c r="B713" s="125"/>
      <c r="D713" s="125"/>
      <c r="AA713" s="74"/>
      <c r="AE713" s="124"/>
      <c r="AI713" s="74"/>
      <c r="AM713" s="74"/>
      <c r="AQ713" s="74"/>
    </row>
    <row r="714" spans="2:43" s="123" customFormat="1">
      <c r="B714" s="125"/>
      <c r="D714" s="125"/>
      <c r="AA714" s="74"/>
      <c r="AE714" s="124"/>
      <c r="AI714" s="74"/>
      <c r="AM714" s="74"/>
      <c r="AQ714" s="74"/>
    </row>
    <row r="715" spans="2:43" s="123" customFormat="1">
      <c r="B715" s="125"/>
      <c r="D715" s="125"/>
      <c r="AA715" s="74"/>
      <c r="AE715" s="124"/>
      <c r="AI715" s="74"/>
      <c r="AM715" s="74"/>
      <c r="AQ715" s="74"/>
    </row>
    <row r="716" spans="2:43" s="123" customFormat="1">
      <c r="B716" s="125"/>
      <c r="D716" s="125"/>
      <c r="AA716" s="74"/>
      <c r="AE716" s="124"/>
      <c r="AI716" s="74"/>
      <c r="AM716" s="74"/>
      <c r="AQ716" s="74"/>
    </row>
    <row r="717" spans="2:43" s="123" customFormat="1">
      <c r="B717" s="125"/>
      <c r="D717" s="125"/>
      <c r="AA717" s="74"/>
      <c r="AE717" s="124"/>
      <c r="AI717" s="74"/>
      <c r="AM717" s="74"/>
      <c r="AQ717" s="74"/>
    </row>
    <row r="718" spans="2:43" s="123" customFormat="1">
      <c r="B718" s="125"/>
      <c r="D718" s="125"/>
      <c r="AA718" s="74"/>
      <c r="AE718" s="124"/>
      <c r="AI718" s="74"/>
      <c r="AM718" s="74"/>
      <c r="AQ718" s="74"/>
    </row>
    <row r="719" spans="2:43" s="123" customFormat="1">
      <c r="B719" s="125"/>
      <c r="D719" s="125"/>
      <c r="AA719" s="74"/>
      <c r="AE719" s="124"/>
      <c r="AI719" s="74"/>
      <c r="AM719" s="74"/>
      <c r="AQ719" s="74"/>
    </row>
    <row r="720" spans="2:43" s="123" customFormat="1">
      <c r="B720" s="125"/>
      <c r="D720" s="125"/>
      <c r="AA720" s="74"/>
      <c r="AE720" s="124"/>
      <c r="AI720" s="74"/>
      <c r="AM720" s="74"/>
      <c r="AQ720" s="74"/>
    </row>
    <row r="721" spans="2:43" s="123" customFormat="1">
      <c r="B721" s="125"/>
      <c r="D721" s="125"/>
      <c r="AA721" s="74"/>
      <c r="AE721" s="124"/>
      <c r="AI721" s="74"/>
      <c r="AM721" s="74"/>
      <c r="AQ721" s="74"/>
    </row>
    <row r="722" spans="2:43" s="123" customFormat="1">
      <c r="B722" s="125"/>
      <c r="D722" s="125"/>
      <c r="AA722" s="74"/>
      <c r="AE722" s="124"/>
      <c r="AI722" s="74"/>
      <c r="AM722" s="74"/>
      <c r="AQ722" s="74"/>
    </row>
    <row r="723" spans="2:43" s="123" customFormat="1">
      <c r="B723" s="125"/>
      <c r="D723" s="125"/>
      <c r="AA723" s="74"/>
      <c r="AE723" s="124"/>
      <c r="AI723" s="74"/>
      <c r="AM723" s="74"/>
      <c r="AQ723" s="74"/>
    </row>
    <row r="724" spans="2:43" s="123" customFormat="1">
      <c r="B724" s="125"/>
      <c r="D724" s="125"/>
      <c r="AA724" s="74"/>
      <c r="AE724" s="124"/>
      <c r="AI724" s="74"/>
      <c r="AM724" s="74"/>
      <c r="AQ724" s="74"/>
    </row>
    <row r="725" spans="2:43" s="123" customFormat="1">
      <c r="B725" s="125"/>
      <c r="D725" s="125"/>
      <c r="AA725" s="74"/>
      <c r="AE725" s="124"/>
      <c r="AI725" s="74"/>
      <c r="AM725" s="74"/>
      <c r="AQ725" s="74"/>
    </row>
    <row r="726" spans="2:43" s="123" customFormat="1">
      <c r="B726" s="125"/>
      <c r="D726" s="125"/>
      <c r="AA726" s="74"/>
      <c r="AE726" s="124"/>
      <c r="AI726" s="74"/>
      <c r="AM726" s="74"/>
      <c r="AQ726" s="74"/>
    </row>
    <row r="727" spans="2:43" s="123" customFormat="1">
      <c r="B727" s="125"/>
      <c r="D727" s="125"/>
      <c r="AA727" s="74"/>
      <c r="AE727" s="124"/>
      <c r="AI727" s="74"/>
      <c r="AM727" s="74"/>
      <c r="AQ727" s="74"/>
    </row>
    <row r="728" spans="2:43" s="123" customFormat="1">
      <c r="B728" s="125"/>
      <c r="D728" s="125"/>
      <c r="AA728" s="74"/>
      <c r="AE728" s="124"/>
      <c r="AI728" s="74"/>
      <c r="AM728" s="74"/>
      <c r="AQ728" s="74"/>
    </row>
    <row r="729" spans="2:43" s="123" customFormat="1">
      <c r="B729" s="125"/>
      <c r="D729" s="125"/>
      <c r="AA729" s="74"/>
      <c r="AE729" s="124"/>
      <c r="AI729" s="74"/>
      <c r="AM729" s="74"/>
      <c r="AQ729" s="74"/>
    </row>
    <row r="730" spans="2:43" s="123" customFormat="1">
      <c r="B730" s="125"/>
      <c r="D730" s="125"/>
      <c r="AA730" s="74"/>
      <c r="AE730" s="124"/>
      <c r="AI730" s="74"/>
      <c r="AM730" s="74"/>
      <c r="AQ730" s="74"/>
    </row>
    <row r="731" spans="2:43" s="123" customFormat="1">
      <c r="B731" s="125"/>
      <c r="D731" s="125"/>
      <c r="AA731" s="74"/>
      <c r="AE731" s="124"/>
      <c r="AI731" s="74"/>
      <c r="AM731" s="74"/>
      <c r="AQ731" s="74"/>
    </row>
    <row r="732" spans="2:43" s="123" customFormat="1">
      <c r="B732" s="125"/>
      <c r="D732" s="125"/>
      <c r="AA732" s="74"/>
      <c r="AE732" s="124"/>
      <c r="AI732" s="74"/>
      <c r="AM732" s="74"/>
      <c r="AQ732" s="74"/>
    </row>
    <row r="733" spans="2:43" s="123" customFormat="1">
      <c r="B733" s="125"/>
      <c r="D733" s="125"/>
      <c r="AA733" s="74"/>
      <c r="AE733" s="124"/>
      <c r="AI733" s="74"/>
      <c r="AM733" s="74"/>
      <c r="AQ733" s="74"/>
    </row>
    <row r="734" spans="2:43" s="123" customFormat="1">
      <c r="B734" s="125"/>
      <c r="D734" s="125"/>
      <c r="AA734" s="74"/>
      <c r="AE734" s="124"/>
      <c r="AI734" s="74"/>
      <c r="AM734" s="74"/>
      <c r="AQ734" s="74"/>
    </row>
    <row r="735" spans="2:43" s="123" customFormat="1">
      <c r="B735" s="125"/>
      <c r="D735" s="125"/>
      <c r="AA735" s="74"/>
      <c r="AE735" s="124"/>
      <c r="AI735" s="74"/>
      <c r="AM735" s="74"/>
      <c r="AQ735" s="74"/>
    </row>
    <row r="736" spans="2:43" s="123" customFormat="1">
      <c r="B736" s="125"/>
      <c r="D736" s="125"/>
      <c r="AA736" s="74"/>
      <c r="AE736" s="124"/>
      <c r="AI736" s="74"/>
      <c r="AM736" s="74"/>
      <c r="AQ736" s="74"/>
    </row>
    <row r="737" spans="2:43" s="123" customFormat="1">
      <c r="B737" s="125"/>
      <c r="D737" s="125"/>
      <c r="AA737" s="74"/>
      <c r="AE737" s="124"/>
      <c r="AI737" s="74"/>
      <c r="AM737" s="74"/>
      <c r="AQ737" s="74"/>
    </row>
    <row r="738" spans="2:43" s="123" customFormat="1">
      <c r="B738" s="125"/>
      <c r="D738" s="125"/>
      <c r="AA738" s="74"/>
      <c r="AE738" s="124"/>
      <c r="AI738" s="74"/>
      <c r="AM738" s="74"/>
      <c r="AQ738" s="74"/>
    </row>
    <row r="739" spans="2:43" s="123" customFormat="1">
      <c r="B739" s="125"/>
      <c r="D739" s="125"/>
      <c r="AA739" s="74"/>
      <c r="AE739" s="124"/>
      <c r="AI739" s="74"/>
      <c r="AM739" s="74"/>
      <c r="AQ739" s="74"/>
    </row>
    <row r="740" spans="2:43" s="123" customFormat="1">
      <c r="B740" s="125"/>
      <c r="D740" s="125"/>
      <c r="AA740" s="74"/>
      <c r="AE740" s="124"/>
      <c r="AI740" s="74"/>
      <c r="AM740" s="74"/>
      <c r="AQ740" s="74"/>
    </row>
    <row r="741" spans="2:43" s="123" customFormat="1">
      <c r="B741" s="125"/>
      <c r="D741" s="125"/>
      <c r="AA741" s="74"/>
      <c r="AE741" s="124"/>
      <c r="AI741" s="74"/>
      <c r="AM741" s="74"/>
      <c r="AQ741" s="74"/>
    </row>
    <row r="742" spans="2:43" s="123" customFormat="1">
      <c r="B742" s="125"/>
      <c r="D742" s="125"/>
      <c r="AA742" s="74"/>
      <c r="AE742" s="124"/>
      <c r="AI742" s="74"/>
      <c r="AM742" s="74"/>
      <c r="AQ742" s="74"/>
    </row>
    <row r="743" spans="2:43" s="123" customFormat="1">
      <c r="B743" s="125"/>
      <c r="D743" s="125"/>
      <c r="AA743" s="74"/>
      <c r="AE743" s="124"/>
      <c r="AI743" s="74"/>
      <c r="AM743" s="74"/>
      <c r="AQ743" s="74"/>
    </row>
    <row r="744" spans="2:43" s="123" customFormat="1">
      <c r="B744" s="125"/>
      <c r="D744" s="125"/>
      <c r="AA744" s="74"/>
      <c r="AE744" s="124"/>
      <c r="AI744" s="74"/>
      <c r="AM744" s="74"/>
      <c r="AQ744" s="74"/>
    </row>
    <row r="745" spans="2:43" s="123" customFormat="1">
      <c r="B745" s="125"/>
      <c r="D745" s="125"/>
      <c r="AA745" s="74"/>
      <c r="AE745" s="124"/>
      <c r="AI745" s="74"/>
      <c r="AM745" s="74"/>
      <c r="AQ745" s="74"/>
    </row>
    <row r="746" spans="2:43" s="123" customFormat="1">
      <c r="B746" s="125"/>
      <c r="D746" s="125"/>
      <c r="AA746" s="74"/>
      <c r="AE746" s="124"/>
      <c r="AI746" s="74"/>
      <c r="AM746" s="74"/>
      <c r="AQ746" s="74"/>
    </row>
    <row r="747" spans="2:43" s="123" customFormat="1">
      <c r="B747" s="125"/>
      <c r="D747" s="125"/>
      <c r="AA747" s="74"/>
      <c r="AE747" s="124"/>
      <c r="AI747" s="74"/>
      <c r="AM747" s="74"/>
      <c r="AQ747" s="74"/>
    </row>
    <row r="748" spans="2:43" s="123" customFormat="1">
      <c r="B748" s="125"/>
      <c r="D748" s="125"/>
      <c r="AA748" s="74"/>
      <c r="AE748" s="124"/>
      <c r="AI748" s="74"/>
      <c r="AM748" s="74"/>
      <c r="AQ748" s="74"/>
    </row>
    <row r="749" spans="2:43" s="123" customFormat="1">
      <c r="B749" s="125"/>
      <c r="D749" s="125"/>
      <c r="AA749" s="74"/>
      <c r="AE749" s="124"/>
      <c r="AI749" s="74"/>
      <c r="AM749" s="74"/>
      <c r="AQ749" s="74"/>
    </row>
    <row r="750" spans="2:43" s="123" customFormat="1">
      <c r="B750" s="125"/>
      <c r="D750" s="125"/>
      <c r="AA750" s="74"/>
      <c r="AE750" s="124"/>
      <c r="AI750" s="74"/>
      <c r="AM750" s="74"/>
      <c r="AQ750" s="74"/>
    </row>
    <row r="751" spans="2:43" s="123" customFormat="1">
      <c r="B751" s="125"/>
      <c r="D751" s="125"/>
      <c r="AA751" s="74"/>
      <c r="AE751" s="124"/>
      <c r="AI751" s="74"/>
      <c r="AM751" s="74"/>
      <c r="AQ751" s="74"/>
    </row>
    <row r="752" spans="2:43" s="123" customFormat="1">
      <c r="B752" s="125"/>
      <c r="D752" s="125"/>
      <c r="AA752" s="74"/>
      <c r="AE752" s="124"/>
      <c r="AI752" s="74"/>
      <c r="AM752" s="74"/>
      <c r="AQ752" s="74"/>
    </row>
    <row r="753" spans="2:43" s="123" customFormat="1">
      <c r="B753" s="125"/>
      <c r="D753" s="125"/>
      <c r="AA753" s="74"/>
      <c r="AE753" s="124"/>
      <c r="AI753" s="74"/>
      <c r="AM753" s="74"/>
      <c r="AQ753" s="74"/>
    </row>
    <row r="754" spans="2:43" s="123" customFormat="1">
      <c r="B754" s="125"/>
      <c r="D754" s="125"/>
      <c r="AA754" s="74"/>
      <c r="AE754" s="124"/>
      <c r="AI754" s="74"/>
      <c r="AM754" s="74"/>
      <c r="AQ754" s="74"/>
    </row>
    <row r="755" spans="2:43" s="123" customFormat="1">
      <c r="B755" s="125"/>
      <c r="D755" s="125"/>
      <c r="AA755" s="74"/>
      <c r="AE755" s="124"/>
      <c r="AI755" s="74"/>
      <c r="AM755" s="74"/>
      <c r="AQ755" s="74"/>
    </row>
    <row r="756" spans="2:43" s="123" customFormat="1">
      <c r="B756" s="125"/>
      <c r="D756" s="125"/>
      <c r="AA756" s="74"/>
      <c r="AE756" s="124"/>
      <c r="AI756" s="74"/>
      <c r="AM756" s="74"/>
      <c r="AQ756" s="74"/>
    </row>
    <row r="757" spans="2:43" s="123" customFormat="1">
      <c r="B757" s="125"/>
      <c r="D757" s="125"/>
      <c r="AA757" s="74"/>
      <c r="AE757" s="124"/>
      <c r="AI757" s="74"/>
      <c r="AM757" s="74"/>
      <c r="AQ757" s="74"/>
    </row>
    <row r="758" spans="2:43" s="123" customFormat="1">
      <c r="B758" s="125"/>
      <c r="D758" s="125"/>
      <c r="AA758" s="74"/>
      <c r="AE758" s="124"/>
      <c r="AI758" s="74"/>
      <c r="AM758" s="74"/>
      <c r="AQ758" s="74"/>
    </row>
    <row r="759" spans="2:43" s="123" customFormat="1">
      <c r="B759" s="125"/>
      <c r="D759" s="125"/>
      <c r="AA759" s="74"/>
      <c r="AE759" s="124"/>
      <c r="AI759" s="74"/>
      <c r="AM759" s="74"/>
      <c r="AQ759" s="74"/>
    </row>
    <row r="760" spans="2:43" s="123" customFormat="1">
      <c r="B760" s="125"/>
      <c r="D760" s="125"/>
      <c r="AA760" s="74"/>
      <c r="AE760" s="124"/>
      <c r="AI760" s="74"/>
      <c r="AM760" s="74"/>
      <c r="AQ760" s="74"/>
    </row>
    <row r="761" spans="2:43" s="123" customFormat="1">
      <c r="B761" s="125"/>
      <c r="D761" s="125"/>
      <c r="AA761" s="74"/>
      <c r="AE761" s="124"/>
      <c r="AI761" s="74"/>
      <c r="AM761" s="74"/>
      <c r="AQ761" s="74"/>
    </row>
    <row r="762" spans="2:43" s="123" customFormat="1">
      <c r="B762" s="125"/>
      <c r="D762" s="125"/>
      <c r="AA762" s="74"/>
      <c r="AE762" s="124"/>
      <c r="AI762" s="74"/>
      <c r="AM762" s="74"/>
      <c r="AQ762" s="74"/>
    </row>
    <row r="763" spans="2:43" s="123" customFormat="1">
      <c r="B763" s="125"/>
      <c r="D763" s="125"/>
      <c r="AA763" s="74"/>
      <c r="AE763" s="124"/>
      <c r="AI763" s="74"/>
      <c r="AM763" s="74"/>
      <c r="AQ763" s="74"/>
    </row>
    <row r="764" spans="2:43" s="123" customFormat="1">
      <c r="B764" s="125"/>
      <c r="D764" s="125"/>
      <c r="AA764" s="74"/>
      <c r="AE764" s="124"/>
      <c r="AI764" s="74"/>
      <c r="AM764" s="74"/>
      <c r="AQ764" s="74"/>
    </row>
    <row r="765" spans="2:43" s="123" customFormat="1">
      <c r="B765" s="125"/>
      <c r="D765" s="125"/>
      <c r="AA765" s="74"/>
      <c r="AE765" s="124"/>
      <c r="AI765" s="74"/>
      <c r="AM765" s="74"/>
      <c r="AQ765" s="74"/>
    </row>
    <row r="766" spans="2:43" s="123" customFormat="1">
      <c r="B766" s="125"/>
      <c r="D766" s="125"/>
      <c r="AA766" s="74"/>
      <c r="AE766" s="124"/>
      <c r="AI766" s="74"/>
      <c r="AM766" s="74"/>
      <c r="AQ766" s="74"/>
    </row>
    <row r="767" spans="2:43" s="123" customFormat="1">
      <c r="B767" s="125"/>
      <c r="D767" s="125"/>
      <c r="AA767" s="74"/>
      <c r="AE767" s="124"/>
      <c r="AI767" s="74"/>
      <c r="AM767" s="74"/>
      <c r="AQ767" s="74"/>
    </row>
    <row r="768" spans="2:43" s="123" customFormat="1">
      <c r="B768" s="125"/>
      <c r="D768" s="125"/>
      <c r="AA768" s="74"/>
      <c r="AE768" s="124"/>
      <c r="AI768" s="74"/>
      <c r="AM768" s="74"/>
      <c r="AQ768" s="74"/>
    </row>
    <row r="769" spans="2:43" s="123" customFormat="1">
      <c r="B769" s="125"/>
      <c r="D769" s="125"/>
      <c r="AA769" s="74"/>
      <c r="AE769" s="124"/>
      <c r="AI769" s="74"/>
      <c r="AM769" s="74"/>
      <c r="AQ769" s="74"/>
    </row>
    <row r="770" spans="2:43" s="123" customFormat="1">
      <c r="B770" s="125"/>
      <c r="D770" s="125"/>
      <c r="AA770" s="74"/>
      <c r="AE770" s="124"/>
      <c r="AI770" s="74"/>
      <c r="AM770" s="74"/>
      <c r="AQ770" s="74"/>
    </row>
    <row r="771" spans="2:43" s="123" customFormat="1">
      <c r="B771" s="125"/>
      <c r="D771" s="125"/>
      <c r="AA771" s="74"/>
      <c r="AE771" s="124"/>
      <c r="AI771" s="74"/>
      <c r="AM771" s="74"/>
      <c r="AQ771" s="74"/>
    </row>
    <row r="772" spans="2:43" s="123" customFormat="1">
      <c r="B772" s="125"/>
      <c r="D772" s="125"/>
      <c r="AA772" s="74"/>
      <c r="AE772" s="124"/>
      <c r="AI772" s="74"/>
      <c r="AM772" s="74"/>
      <c r="AQ772" s="74"/>
    </row>
    <row r="773" spans="2:43" s="123" customFormat="1">
      <c r="B773" s="125"/>
      <c r="D773" s="125"/>
      <c r="AA773" s="74"/>
      <c r="AE773" s="124"/>
      <c r="AI773" s="74"/>
      <c r="AM773" s="74"/>
      <c r="AQ773" s="74"/>
    </row>
    <row r="774" spans="2:43" s="123" customFormat="1">
      <c r="B774" s="125"/>
      <c r="D774" s="125"/>
      <c r="AA774" s="74"/>
      <c r="AE774" s="124"/>
      <c r="AI774" s="74"/>
      <c r="AM774" s="74"/>
      <c r="AQ774" s="74"/>
    </row>
    <row r="775" spans="2:43" s="123" customFormat="1">
      <c r="B775" s="125"/>
      <c r="D775" s="125"/>
      <c r="AA775" s="74"/>
      <c r="AE775" s="124"/>
      <c r="AI775" s="74"/>
      <c r="AM775" s="74"/>
      <c r="AQ775" s="74"/>
    </row>
    <row r="776" spans="2:43" s="123" customFormat="1">
      <c r="B776" s="125"/>
      <c r="D776" s="125"/>
      <c r="AA776" s="74"/>
      <c r="AE776" s="124"/>
      <c r="AI776" s="74"/>
      <c r="AM776" s="74"/>
      <c r="AQ776" s="74"/>
    </row>
    <row r="777" spans="2:43" s="123" customFormat="1">
      <c r="B777" s="125"/>
      <c r="D777" s="125"/>
      <c r="AA777" s="74"/>
      <c r="AE777" s="124"/>
      <c r="AI777" s="74"/>
      <c r="AM777" s="74"/>
      <c r="AQ777" s="74"/>
    </row>
    <row r="778" spans="2:43" s="123" customFormat="1">
      <c r="B778" s="125"/>
      <c r="D778" s="125"/>
      <c r="AA778" s="74"/>
      <c r="AE778" s="124"/>
      <c r="AI778" s="74"/>
      <c r="AM778" s="74"/>
      <c r="AQ778" s="74"/>
    </row>
    <row r="779" spans="2:43" s="123" customFormat="1">
      <c r="B779" s="125"/>
      <c r="D779" s="125"/>
      <c r="AA779" s="74"/>
      <c r="AE779" s="124"/>
      <c r="AI779" s="74"/>
      <c r="AM779" s="74"/>
      <c r="AQ779" s="74"/>
    </row>
    <row r="780" spans="2:43" s="123" customFormat="1">
      <c r="B780" s="125"/>
      <c r="D780" s="125"/>
      <c r="AA780" s="74"/>
      <c r="AE780" s="124"/>
      <c r="AI780" s="74"/>
      <c r="AM780" s="74"/>
      <c r="AQ780" s="74"/>
    </row>
    <row r="781" spans="2:43" s="123" customFormat="1">
      <c r="B781" s="125"/>
      <c r="D781" s="125"/>
      <c r="AA781" s="74"/>
      <c r="AE781" s="124"/>
      <c r="AI781" s="74"/>
      <c r="AM781" s="74"/>
      <c r="AQ781" s="74"/>
    </row>
    <row r="782" spans="2:43" s="123" customFormat="1">
      <c r="B782" s="125"/>
      <c r="D782" s="125"/>
      <c r="AA782" s="74"/>
      <c r="AE782" s="124"/>
      <c r="AI782" s="74"/>
      <c r="AM782" s="74"/>
      <c r="AQ782" s="74"/>
    </row>
    <row r="783" spans="2:43" s="123" customFormat="1">
      <c r="B783" s="125"/>
      <c r="D783" s="125"/>
      <c r="AA783" s="74"/>
      <c r="AE783" s="124"/>
      <c r="AI783" s="74"/>
      <c r="AM783" s="74"/>
      <c r="AQ783" s="74"/>
    </row>
    <row r="784" spans="2:43" s="123" customFormat="1">
      <c r="B784" s="125"/>
      <c r="D784" s="125"/>
      <c r="AA784" s="74"/>
      <c r="AE784" s="124"/>
      <c r="AI784" s="74"/>
      <c r="AM784" s="74"/>
      <c r="AQ784" s="74"/>
    </row>
    <row r="785" spans="2:43" s="123" customFormat="1">
      <c r="B785" s="125"/>
      <c r="D785" s="125"/>
      <c r="AA785" s="74"/>
      <c r="AE785" s="124"/>
      <c r="AI785" s="74"/>
      <c r="AM785" s="74"/>
      <c r="AQ785" s="74"/>
    </row>
    <row r="786" spans="2:43" s="123" customFormat="1">
      <c r="B786" s="125"/>
      <c r="D786" s="125"/>
      <c r="AA786" s="74"/>
      <c r="AE786" s="124"/>
      <c r="AI786" s="74"/>
      <c r="AM786" s="74"/>
      <c r="AQ786" s="74"/>
    </row>
    <row r="787" spans="2:43" s="123" customFormat="1">
      <c r="B787" s="125"/>
      <c r="D787" s="125"/>
      <c r="AA787" s="74"/>
      <c r="AE787" s="124"/>
      <c r="AI787" s="74"/>
      <c r="AM787" s="74"/>
      <c r="AQ787" s="74"/>
    </row>
    <row r="788" spans="2:43" s="123" customFormat="1">
      <c r="B788" s="125"/>
      <c r="D788" s="125"/>
      <c r="AA788" s="74"/>
      <c r="AE788" s="124"/>
      <c r="AI788" s="74"/>
      <c r="AM788" s="74"/>
      <c r="AQ788" s="74"/>
    </row>
    <row r="789" spans="2:43" s="123" customFormat="1">
      <c r="B789" s="125"/>
      <c r="D789" s="125"/>
      <c r="AA789" s="74"/>
      <c r="AE789" s="124"/>
      <c r="AI789" s="74"/>
      <c r="AM789" s="74"/>
      <c r="AQ789" s="74"/>
    </row>
    <row r="790" spans="2:43" s="123" customFormat="1">
      <c r="B790" s="125"/>
      <c r="D790" s="125"/>
      <c r="AA790" s="74"/>
      <c r="AE790" s="124"/>
      <c r="AI790" s="74"/>
      <c r="AM790" s="74"/>
      <c r="AQ790" s="74"/>
    </row>
    <row r="791" spans="2:43" s="123" customFormat="1">
      <c r="B791" s="125"/>
      <c r="D791" s="125"/>
      <c r="AA791" s="74"/>
      <c r="AE791" s="124"/>
      <c r="AI791" s="74"/>
      <c r="AM791" s="74"/>
      <c r="AQ791" s="74"/>
    </row>
    <row r="792" spans="2:43" s="123" customFormat="1">
      <c r="B792" s="125"/>
      <c r="D792" s="125"/>
      <c r="AA792" s="74"/>
      <c r="AE792" s="124"/>
      <c r="AI792" s="74"/>
      <c r="AM792" s="74"/>
      <c r="AQ792" s="74"/>
    </row>
    <row r="793" spans="2:43" s="123" customFormat="1">
      <c r="B793" s="125"/>
      <c r="D793" s="125"/>
      <c r="AA793" s="74"/>
      <c r="AE793" s="124"/>
      <c r="AI793" s="74"/>
      <c r="AM793" s="74"/>
      <c r="AQ793" s="74"/>
    </row>
    <row r="794" spans="2:43" s="123" customFormat="1">
      <c r="B794" s="125"/>
      <c r="D794" s="125"/>
      <c r="AA794" s="74"/>
      <c r="AE794" s="124"/>
      <c r="AI794" s="74"/>
      <c r="AM794" s="74"/>
      <c r="AQ794" s="74"/>
    </row>
    <row r="795" spans="2:43" s="123" customFormat="1">
      <c r="B795" s="125"/>
      <c r="D795" s="125"/>
      <c r="AA795" s="74"/>
      <c r="AE795" s="124"/>
      <c r="AI795" s="74"/>
      <c r="AM795" s="74"/>
      <c r="AQ795" s="74"/>
    </row>
    <row r="796" spans="2:43" s="123" customFormat="1">
      <c r="B796" s="125"/>
      <c r="D796" s="125"/>
      <c r="AA796" s="74"/>
      <c r="AE796" s="124"/>
      <c r="AI796" s="74"/>
      <c r="AM796" s="74"/>
      <c r="AQ796" s="74"/>
    </row>
    <row r="797" spans="2:43" s="123" customFormat="1">
      <c r="B797" s="125"/>
      <c r="D797" s="125"/>
      <c r="AA797" s="74"/>
      <c r="AE797" s="124"/>
      <c r="AI797" s="74"/>
      <c r="AM797" s="74"/>
      <c r="AQ797" s="74"/>
    </row>
    <row r="798" spans="2:43" s="123" customFormat="1">
      <c r="B798" s="125"/>
      <c r="D798" s="125"/>
      <c r="AA798" s="74"/>
      <c r="AE798" s="124"/>
      <c r="AI798" s="74"/>
      <c r="AM798" s="74"/>
      <c r="AQ798" s="74"/>
    </row>
    <row r="799" spans="2:43" s="123" customFormat="1">
      <c r="B799" s="125"/>
      <c r="D799" s="125"/>
      <c r="AA799" s="74"/>
      <c r="AE799" s="124"/>
      <c r="AI799" s="74"/>
      <c r="AM799" s="74"/>
      <c r="AQ799" s="74"/>
    </row>
    <row r="800" spans="2:43" s="123" customFormat="1">
      <c r="B800" s="125"/>
      <c r="D800" s="125"/>
      <c r="AA800" s="74"/>
      <c r="AE800" s="124"/>
      <c r="AI800" s="74"/>
      <c r="AM800" s="74"/>
      <c r="AQ800" s="74"/>
    </row>
    <row r="801" spans="2:43" s="123" customFormat="1">
      <c r="B801" s="125"/>
      <c r="D801" s="125"/>
      <c r="AA801" s="74"/>
      <c r="AE801" s="124"/>
      <c r="AI801" s="74"/>
      <c r="AM801" s="74"/>
      <c r="AQ801" s="74"/>
    </row>
    <row r="802" spans="2:43" s="123" customFormat="1">
      <c r="B802" s="125"/>
      <c r="D802" s="125"/>
      <c r="AA802" s="74"/>
      <c r="AE802" s="124"/>
      <c r="AI802" s="74"/>
      <c r="AM802" s="74"/>
      <c r="AQ802" s="74"/>
    </row>
    <row r="803" spans="2:43" s="123" customFormat="1">
      <c r="B803" s="125"/>
      <c r="D803" s="125"/>
      <c r="AA803" s="74"/>
      <c r="AE803" s="124"/>
      <c r="AI803" s="74"/>
      <c r="AM803" s="74"/>
      <c r="AQ803" s="74"/>
    </row>
    <row r="804" spans="2:43" s="123" customFormat="1">
      <c r="B804" s="125"/>
      <c r="D804" s="125"/>
      <c r="AA804" s="74"/>
      <c r="AE804" s="124"/>
      <c r="AI804" s="74"/>
      <c r="AM804" s="74"/>
      <c r="AQ804" s="74"/>
    </row>
    <row r="805" spans="2:43" s="123" customFormat="1">
      <c r="B805" s="125"/>
      <c r="D805" s="125"/>
      <c r="AA805" s="74"/>
      <c r="AE805" s="124"/>
      <c r="AI805" s="74"/>
      <c r="AM805" s="74"/>
      <c r="AQ805" s="74"/>
    </row>
    <row r="806" spans="2:43" s="123" customFormat="1">
      <c r="B806" s="125"/>
      <c r="D806" s="125"/>
      <c r="AA806" s="74"/>
      <c r="AE806" s="124"/>
      <c r="AI806" s="74"/>
      <c r="AM806" s="74"/>
      <c r="AQ806" s="74"/>
    </row>
    <row r="807" spans="2:43" s="123" customFormat="1">
      <c r="B807" s="125"/>
      <c r="D807" s="125"/>
      <c r="AA807" s="74"/>
      <c r="AE807" s="124"/>
      <c r="AI807" s="74"/>
      <c r="AM807" s="74"/>
      <c r="AQ807" s="74"/>
    </row>
    <row r="808" spans="2:43" s="123" customFormat="1">
      <c r="B808" s="125"/>
      <c r="D808" s="125"/>
      <c r="AA808" s="74"/>
      <c r="AE808" s="124"/>
      <c r="AI808" s="74"/>
      <c r="AM808" s="74"/>
      <c r="AQ808" s="74"/>
    </row>
    <row r="809" spans="2:43" s="123" customFormat="1">
      <c r="B809" s="125"/>
      <c r="D809" s="125"/>
      <c r="AA809" s="74"/>
      <c r="AE809" s="124"/>
      <c r="AI809" s="74"/>
      <c r="AM809" s="74"/>
      <c r="AQ809" s="74"/>
    </row>
    <row r="810" spans="2:43" s="123" customFormat="1">
      <c r="B810" s="125"/>
      <c r="D810" s="125"/>
      <c r="AA810" s="74"/>
      <c r="AE810" s="124"/>
      <c r="AI810" s="74"/>
      <c r="AM810" s="74"/>
      <c r="AQ810" s="74"/>
    </row>
    <row r="811" spans="2:43" s="123" customFormat="1">
      <c r="B811" s="125"/>
      <c r="D811" s="125"/>
      <c r="AA811" s="74"/>
      <c r="AE811" s="124"/>
      <c r="AI811" s="74"/>
      <c r="AM811" s="74"/>
      <c r="AQ811" s="74"/>
    </row>
    <row r="812" spans="2:43" s="123" customFormat="1">
      <c r="B812" s="125"/>
      <c r="D812" s="125"/>
      <c r="AA812" s="74"/>
      <c r="AE812" s="124"/>
      <c r="AI812" s="74"/>
      <c r="AM812" s="74"/>
      <c r="AQ812" s="74"/>
    </row>
    <row r="813" spans="2:43" s="123" customFormat="1">
      <c r="B813" s="125"/>
      <c r="D813" s="125"/>
      <c r="AA813" s="74"/>
      <c r="AE813" s="124"/>
      <c r="AI813" s="74"/>
      <c r="AM813" s="74"/>
      <c r="AQ813" s="74"/>
    </row>
    <row r="814" spans="2:43" s="123" customFormat="1">
      <c r="B814" s="125"/>
      <c r="D814" s="125"/>
      <c r="AA814" s="74"/>
      <c r="AE814" s="124"/>
      <c r="AI814" s="74"/>
      <c r="AM814" s="74"/>
      <c r="AQ814" s="74"/>
    </row>
    <row r="815" spans="2:43" s="123" customFormat="1">
      <c r="B815" s="125"/>
      <c r="D815" s="125"/>
      <c r="AA815" s="74"/>
      <c r="AE815" s="124"/>
      <c r="AI815" s="74"/>
      <c r="AM815" s="74"/>
      <c r="AQ815" s="74"/>
    </row>
    <row r="816" spans="2:43" s="123" customFormat="1">
      <c r="B816" s="125"/>
      <c r="D816" s="125"/>
      <c r="AA816" s="74"/>
      <c r="AE816" s="124"/>
      <c r="AI816" s="74"/>
      <c r="AM816" s="74"/>
      <c r="AQ816" s="74"/>
    </row>
    <row r="817" spans="2:43" s="123" customFormat="1">
      <c r="B817" s="125"/>
      <c r="D817" s="125"/>
      <c r="AA817" s="74"/>
      <c r="AE817" s="124"/>
      <c r="AI817" s="74"/>
      <c r="AM817" s="74"/>
      <c r="AQ817" s="74"/>
    </row>
    <row r="818" spans="2:43" s="123" customFormat="1">
      <c r="B818" s="125"/>
      <c r="D818" s="125"/>
      <c r="AA818" s="74"/>
      <c r="AE818" s="124"/>
      <c r="AI818" s="74"/>
      <c r="AM818" s="74"/>
      <c r="AQ818" s="74"/>
    </row>
    <row r="819" spans="2:43" s="123" customFormat="1">
      <c r="B819" s="125"/>
      <c r="D819" s="125"/>
      <c r="AA819" s="74"/>
      <c r="AE819" s="124"/>
      <c r="AI819" s="74"/>
      <c r="AM819" s="74"/>
      <c r="AQ819" s="74"/>
    </row>
    <row r="820" spans="2:43" s="123" customFormat="1">
      <c r="B820" s="125"/>
      <c r="D820" s="125"/>
      <c r="AA820" s="74"/>
      <c r="AE820" s="124"/>
      <c r="AI820" s="74"/>
      <c r="AM820" s="74"/>
      <c r="AQ820" s="74"/>
    </row>
    <row r="821" spans="2:43" s="123" customFormat="1">
      <c r="B821" s="125"/>
      <c r="D821" s="125"/>
      <c r="AA821" s="74"/>
      <c r="AE821" s="124"/>
      <c r="AI821" s="74"/>
      <c r="AM821" s="74"/>
      <c r="AQ821" s="74"/>
    </row>
    <row r="822" spans="2:43" s="123" customFormat="1">
      <c r="B822" s="125"/>
      <c r="D822" s="125"/>
      <c r="AA822" s="74"/>
      <c r="AE822" s="124"/>
      <c r="AI822" s="74"/>
      <c r="AM822" s="74"/>
      <c r="AQ822" s="74"/>
    </row>
    <row r="823" spans="2:43" s="123" customFormat="1">
      <c r="B823" s="125"/>
      <c r="D823" s="125"/>
      <c r="AA823" s="74"/>
      <c r="AE823" s="124"/>
      <c r="AI823" s="74"/>
      <c r="AM823" s="74"/>
      <c r="AQ823" s="74"/>
    </row>
    <row r="824" spans="2:43" s="123" customFormat="1">
      <c r="B824" s="125"/>
      <c r="D824" s="125"/>
      <c r="AA824" s="74"/>
      <c r="AE824" s="124"/>
      <c r="AI824" s="74"/>
      <c r="AM824" s="74"/>
      <c r="AQ824" s="74"/>
    </row>
    <row r="825" spans="2:43" s="123" customFormat="1">
      <c r="B825" s="125"/>
      <c r="D825" s="125"/>
      <c r="AA825" s="74"/>
      <c r="AE825" s="124"/>
      <c r="AI825" s="74"/>
      <c r="AM825" s="74"/>
      <c r="AQ825" s="74"/>
    </row>
    <row r="826" spans="2:43" s="123" customFormat="1">
      <c r="B826" s="125"/>
      <c r="D826" s="125"/>
      <c r="AA826" s="74"/>
      <c r="AE826" s="124"/>
      <c r="AI826" s="74"/>
      <c r="AM826" s="74"/>
      <c r="AQ826" s="74"/>
    </row>
    <row r="827" spans="2:43" s="123" customFormat="1">
      <c r="B827" s="125"/>
      <c r="D827" s="125"/>
      <c r="AA827" s="74"/>
      <c r="AE827" s="124"/>
      <c r="AI827" s="74"/>
      <c r="AM827" s="74"/>
      <c r="AQ827" s="74"/>
    </row>
    <row r="828" spans="2:43" s="123" customFormat="1">
      <c r="B828" s="125"/>
      <c r="D828" s="125"/>
      <c r="AA828" s="74"/>
      <c r="AE828" s="124"/>
      <c r="AI828" s="74"/>
      <c r="AM828" s="74"/>
      <c r="AQ828" s="74"/>
    </row>
    <row r="829" spans="2:43" s="123" customFormat="1">
      <c r="B829" s="125"/>
      <c r="D829" s="125"/>
      <c r="AA829" s="74"/>
      <c r="AE829" s="124"/>
      <c r="AI829" s="74"/>
      <c r="AM829" s="74"/>
      <c r="AQ829" s="74"/>
    </row>
    <row r="830" spans="2:43" s="123" customFormat="1">
      <c r="B830" s="125"/>
      <c r="D830" s="125"/>
      <c r="AA830" s="74"/>
      <c r="AE830" s="124"/>
      <c r="AI830" s="74"/>
      <c r="AM830" s="74"/>
      <c r="AQ830" s="74"/>
    </row>
    <row r="831" spans="2:43" s="123" customFormat="1">
      <c r="B831" s="125"/>
      <c r="D831" s="125"/>
      <c r="AA831" s="74"/>
      <c r="AE831" s="124"/>
      <c r="AI831" s="74"/>
      <c r="AM831" s="74"/>
      <c r="AQ831" s="74"/>
    </row>
    <row r="832" spans="2:43" s="123" customFormat="1">
      <c r="B832" s="125"/>
      <c r="D832" s="125"/>
      <c r="AA832" s="74"/>
      <c r="AE832" s="124"/>
      <c r="AI832" s="74"/>
      <c r="AM832" s="74"/>
      <c r="AQ832" s="74"/>
    </row>
    <row r="833" spans="2:43" s="123" customFormat="1">
      <c r="B833" s="125"/>
      <c r="D833" s="125"/>
      <c r="AA833" s="74"/>
      <c r="AE833" s="124"/>
      <c r="AI833" s="74"/>
      <c r="AM833" s="74"/>
      <c r="AQ833" s="74"/>
    </row>
    <row r="834" spans="2:43" s="123" customFormat="1">
      <c r="B834" s="125"/>
      <c r="D834" s="125"/>
      <c r="AA834" s="74"/>
      <c r="AE834" s="124"/>
      <c r="AI834" s="74"/>
      <c r="AM834" s="74"/>
      <c r="AQ834" s="74"/>
    </row>
    <row r="835" spans="2:43" s="123" customFormat="1">
      <c r="B835" s="125"/>
      <c r="D835" s="125"/>
      <c r="AA835" s="74"/>
      <c r="AE835" s="124"/>
      <c r="AI835" s="74"/>
      <c r="AM835" s="74"/>
      <c r="AQ835" s="74"/>
    </row>
    <row r="836" spans="2:43" s="123" customFormat="1">
      <c r="B836" s="125"/>
      <c r="D836" s="125"/>
      <c r="AA836" s="74"/>
      <c r="AE836" s="124"/>
      <c r="AI836" s="74"/>
      <c r="AM836" s="74"/>
      <c r="AQ836" s="74"/>
    </row>
    <row r="837" spans="2:43" s="123" customFormat="1">
      <c r="B837" s="125"/>
      <c r="D837" s="125"/>
      <c r="AA837" s="74"/>
      <c r="AE837" s="124"/>
      <c r="AI837" s="74"/>
      <c r="AM837" s="74"/>
      <c r="AQ837" s="74"/>
    </row>
    <row r="838" spans="2:43" s="123" customFormat="1">
      <c r="B838" s="125"/>
      <c r="D838" s="125"/>
      <c r="AA838" s="74"/>
      <c r="AE838" s="124"/>
      <c r="AI838" s="74"/>
      <c r="AM838" s="74"/>
      <c r="AQ838" s="74"/>
    </row>
    <row r="839" spans="2:43" s="123" customFormat="1">
      <c r="B839" s="125"/>
      <c r="D839" s="125"/>
      <c r="AA839" s="74"/>
      <c r="AE839" s="124"/>
      <c r="AI839" s="74"/>
      <c r="AM839" s="74"/>
      <c r="AQ839" s="74"/>
    </row>
    <row r="840" spans="2:43" s="123" customFormat="1">
      <c r="B840" s="125"/>
      <c r="D840" s="125"/>
      <c r="AA840" s="74"/>
      <c r="AE840" s="124"/>
      <c r="AI840" s="74"/>
      <c r="AM840" s="74"/>
      <c r="AQ840" s="74"/>
    </row>
    <row r="841" spans="2:43" s="123" customFormat="1">
      <c r="B841" s="125"/>
      <c r="D841" s="125"/>
      <c r="AA841" s="74"/>
      <c r="AE841" s="124"/>
      <c r="AI841" s="74"/>
      <c r="AM841" s="74"/>
      <c r="AQ841" s="74"/>
    </row>
    <row r="842" spans="2:43" s="123" customFormat="1">
      <c r="B842" s="125"/>
      <c r="D842" s="125"/>
      <c r="AA842" s="74"/>
      <c r="AE842" s="124"/>
      <c r="AI842" s="74"/>
      <c r="AM842" s="74"/>
      <c r="AQ842" s="74"/>
    </row>
    <row r="843" spans="2:43" s="123" customFormat="1">
      <c r="B843" s="125"/>
      <c r="D843" s="125"/>
      <c r="AA843" s="74"/>
      <c r="AE843" s="124"/>
      <c r="AI843" s="74"/>
      <c r="AM843" s="74"/>
      <c r="AQ843" s="74"/>
    </row>
    <row r="844" spans="2:43" s="123" customFormat="1">
      <c r="B844" s="125"/>
      <c r="D844" s="125"/>
      <c r="AA844" s="74"/>
      <c r="AE844" s="124"/>
      <c r="AI844" s="74"/>
      <c r="AM844" s="74"/>
      <c r="AQ844" s="74"/>
    </row>
    <row r="845" spans="2:43" s="123" customFormat="1">
      <c r="B845" s="125"/>
      <c r="D845" s="125"/>
      <c r="AA845" s="74"/>
      <c r="AE845" s="124"/>
      <c r="AI845" s="74"/>
      <c r="AM845" s="74"/>
      <c r="AQ845" s="74"/>
    </row>
    <row r="846" spans="2:43" s="123" customFormat="1">
      <c r="B846" s="125"/>
      <c r="D846" s="125"/>
      <c r="AA846" s="74"/>
      <c r="AE846" s="124"/>
      <c r="AI846" s="74"/>
      <c r="AM846" s="74"/>
      <c r="AQ846" s="74"/>
    </row>
    <row r="847" spans="2:43" s="123" customFormat="1">
      <c r="B847" s="125"/>
      <c r="D847" s="125"/>
      <c r="AA847" s="74"/>
      <c r="AE847" s="124"/>
      <c r="AI847" s="74"/>
      <c r="AM847" s="74"/>
      <c r="AQ847" s="74"/>
    </row>
    <row r="848" spans="2:43" s="123" customFormat="1">
      <c r="B848" s="125"/>
      <c r="D848" s="125"/>
      <c r="AA848" s="74"/>
      <c r="AE848" s="124"/>
      <c r="AI848" s="74"/>
      <c r="AM848" s="74"/>
      <c r="AQ848" s="74"/>
    </row>
    <row r="849" spans="2:43" s="123" customFormat="1">
      <c r="B849" s="125"/>
      <c r="D849" s="125"/>
      <c r="AA849" s="74"/>
      <c r="AE849" s="124"/>
      <c r="AI849" s="74"/>
      <c r="AM849" s="74"/>
      <c r="AQ849" s="74"/>
    </row>
    <row r="850" spans="2:43" s="123" customFormat="1">
      <c r="B850" s="125"/>
      <c r="D850" s="125"/>
      <c r="AA850" s="74"/>
      <c r="AE850" s="124"/>
      <c r="AI850" s="74"/>
      <c r="AM850" s="74"/>
      <c r="AQ850" s="74"/>
    </row>
    <row r="851" spans="2:43" s="123" customFormat="1">
      <c r="B851" s="125"/>
      <c r="D851" s="125"/>
      <c r="AA851" s="74"/>
      <c r="AE851" s="124"/>
      <c r="AI851" s="74"/>
      <c r="AM851" s="74"/>
      <c r="AQ851" s="74"/>
    </row>
    <row r="852" spans="2:43" s="123" customFormat="1">
      <c r="B852" s="125"/>
      <c r="D852" s="125"/>
      <c r="AA852" s="74"/>
      <c r="AE852" s="124"/>
      <c r="AI852" s="74"/>
      <c r="AM852" s="74"/>
      <c r="AQ852" s="74"/>
    </row>
    <row r="853" spans="2:43" s="123" customFormat="1">
      <c r="B853" s="125"/>
      <c r="D853" s="125"/>
      <c r="AA853" s="74"/>
      <c r="AE853" s="124"/>
      <c r="AI853" s="74"/>
      <c r="AM853" s="74"/>
      <c r="AQ853" s="74"/>
    </row>
    <row r="854" spans="2:43" s="123" customFormat="1">
      <c r="B854" s="125"/>
      <c r="D854" s="125"/>
      <c r="AA854" s="74"/>
      <c r="AE854" s="124"/>
      <c r="AI854" s="74"/>
      <c r="AM854" s="74"/>
      <c r="AQ854" s="74"/>
    </row>
    <row r="855" spans="2:43" s="123" customFormat="1">
      <c r="B855" s="125"/>
      <c r="D855" s="125"/>
      <c r="AA855" s="74"/>
      <c r="AE855" s="124"/>
      <c r="AI855" s="74"/>
      <c r="AM855" s="74"/>
      <c r="AQ855" s="74"/>
    </row>
    <row r="856" spans="2:43" s="123" customFormat="1">
      <c r="B856" s="125"/>
      <c r="D856" s="125"/>
      <c r="AA856" s="74"/>
      <c r="AE856" s="124"/>
      <c r="AI856" s="74"/>
      <c r="AM856" s="74"/>
      <c r="AQ856" s="74"/>
    </row>
    <row r="857" spans="2:43" s="123" customFormat="1">
      <c r="B857" s="125"/>
      <c r="D857" s="125"/>
      <c r="AA857" s="74"/>
      <c r="AE857" s="124"/>
      <c r="AI857" s="74"/>
      <c r="AM857" s="74"/>
      <c r="AQ857" s="74"/>
    </row>
    <row r="858" spans="2:43" s="123" customFormat="1">
      <c r="B858" s="125"/>
      <c r="D858" s="125"/>
      <c r="AA858" s="74"/>
      <c r="AE858" s="124"/>
      <c r="AI858" s="74"/>
      <c r="AM858" s="74"/>
      <c r="AQ858" s="74"/>
    </row>
    <row r="859" spans="2:43" s="123" customFormat="1">
      <c r="B859" s="125"/>
      <c r="D859" s="125"/>
      <c r="AA859" s="74"/>
      <c r="AE859" s="124"/>
      <c r="AI859" s="74"/>
      <c r="AM859" s="74"/>
      <c r="AQ859" s="74"/>
    </row>
    <row r="860" spans="2:43" s="123" customFormat="1">
      <c r="B860" s="125"/>
      <c r="D860" s="125"/>
      <c r="AA860" s="74"/>
      <c r="AE860" s="124"/>
      <c r="AI860" s="74"/>
      <c r="AM860" s="74"/>
      <c r="AQ860" s="74"/>
    </row>
    <row r="861" spans="2:43" s="123" customFormat="1">
      <c r="B861" s="125"/>
      <c r="D861" s="125"/>
      <c r="AA861" s="74"/>
      <c r="AE861" s="124"/>
      <c r="AI861" s="74"/>
      <c r="AM861" s="74"/>
      <c r="AQ861" s="74"/>
    </row>
    <row r="862" spans="2:43" s="123" customFormat="1">
      <c r="B862" s="125"/>
      <c r="D862" s="125"/>
      <c r="AA862" s="74"/>
      <c r="AE862" s="124"/>
      <c r="AI862" s="74"/>
      <c r="AM862" s="74"/>
      <c r="AQ862" s="74"/>
    </row>
    <row r="863" spans="2:43" s="123" customFormat="1">
      <c r="B863" s="125"/>
      <c r="D863" s="125"/>
      <c r="AA863" s="74"/>
      <c r="AE863" s="124"/>
      <c r="AI863" s="74"/>
      <c r="AM863" s="74"/>
      <c r="AQ863" s="74"/>
    </row>
    <row r="864" spans="2:43" s="123" customFormat="1">
      <c r="B864" s="125"/>
      <c r="D864" s="125"/>
      <c r="AA864" s="74"/>
      <c r="AE864" s="124"/>
      <c r="AI864" s="74"/>
      <c r="AM864" s="74"/>
      <c r="AQ864" s="74"/>
    </row>
    <row r="865" spans="2:43" s="123" customFormat="1">
      <c r="B865" s="125"/>
      <c r="D865" s="125"/>
      <c r="AA865" s="74"/>
      <c r="AE865" s="124"/>
      <c r="AI865" s="74"/>
      <c r="AM865" s="74"/>
      <c r="AQ865" s="74"/>
    </row>
    <row r="866" spans="2:43" s="123" customFormat="1">
      <c r="B866" s="125"/>
      <c r="D866" s="125"/>
      <c r="AA866" s="74"/>
      <c r="AE866" s="124"/>
      <c r="AI866" s="74"/>
      <c r="AM866" s="74"/>
      <c r="AQ866" s="74"/>
    </row>
    <row r="867" spans="2:43" s="123" customFormat="1">
      <c r="B867" s="125"/>
      <c r="D867" s="125"/>
      <c r="AA867" s="74"/>
      <c r="AE867" s="124"/>
      <c r="AI867" s="74"/>
      <c r="AM867" s="74"/>
      <c r="AQ867" s="74"/>
    </row>
    <row r="868" spans="2:43" s="123" customFormat="1">
      <c r="B868" s="125"/>
      <c r="D868" s="125"/>
      <c r="AA868" s="74"/>
      <c r="AE868" s="124"/>
      <c r="AI868" s="74"/>
      <c r="AM868" s="74"/>
      <c r="AQ868" s="74"/>
    </row>
    <row r="869" spans="2:43" s="123" customFormat="1">
      <c r="B869" s="125"/>
      <c r="D869" s="125"/>
      <c r="AA869" s="74"/>
      <c r="AE869" s="124"/>
      <c r="AI869" s="74"/>
      <c r="AM869" s="74"/>
      <c r="AQ869" s="74"/>
    </row>
    <row r="870" spans="2:43" s="123" customFormat="1">
      <c r="B870" s="125"/>
      <c r="D870" s="125"/>
      <c r="AA870" s="74"/>
      <c r="AE870" s="124"/>
      <c r="AI870" s="74"/>
      <c r="AM870" s="74"/>
      <c r="AQ870" s="74"/>
    </row>
    <row r="871" spans="2:43" s="123" customFormat="1">
      <c r="B871" s="125"/>
      <c r="D871" s="125"/>
      <c r="AA871" s="74"/>
      <c r="AE871" s="124"/>
      <c r="AI871" s="74"/>
      <c r="AM871" s="74"/>
      <c r="AQ871" s="74"/>
    </row>
    <row r="872" spans="2:43" s="123" customFormat="1">
      <c r="B872" s="125"/>
      <c r="D872" s="125"/>
      <c r="AA872" s="74"/>
      <c r="AE872" s="124"/>
      <c r="AI872" s="74"/>
      <c r="AM872" s="74"/>
      <c r="AQ872" s="74"/>
    </row>
    <row r="873" spans="2:43" s="123" customFormat="1">
      <c r="B873" s="125"/>
      <c r="D873" s="125"/>
      <c r="AA873" s="74"/>
      <c r="AE873" s="124"/>
      <c r="AI873" s="74"/>
      <c r="AM873" s="74"/>
      <c r="AQ873" s="74"/>
    </row>
    <row r="874" spans="2:43" s="123" customFormat="1">
      <c r="B874" s="125"/>
      <c r="D874" s="125"/>
      <c r="AA874" s="74"/>
      <c r="AE874" s="124"/>
      <c r="AI874" s="74"/>
      <c r="AM874" s="74"/>
      <c r="AQ874" s="74"/>
    </row>
    <row r="875" spans="2:43" s="123" customFormat="1">
      <c r="B875" s="125"/>
      <c r="D875" s="125"/>
      <c r="AA875" s="74"/>
      <c r="AE875" s="124"/>
      <c r="AI875" s="74"/>
      <c r="AM875" s="74"/>
      <c r="AQ875" s="74"/>
    </row>
    <row r="876" spans="2:43" s="123" customFormat="1">
      <c r="B876" s="125"/>
      <c r="D876" s="125"/>
      <c r="AA876" s="74"/>
      <c r="AE876" s="124"/>
      <c r="AI876" s="74"/>
      <c r="AM876" s="74"/>
      <c r="AQ876" s="74"/>
    </row>
    <row r="877" spans="2:43" s="123" customFormat="1">
      <c r="B877" s="125"/>
      <c r="D877" s="125"/>
      <c r="AA877" s="74"/>
      <c r="AE877" s="124"/>
      <c r="AI877" s="74"/>
      <c r="AM877" s="74"/>
      <c r="AQ877" s="74"/>
    </row>
    <row r="878" spans="2:43" s="123" customFormat="1">
      <c r="B878" s="125"/>
      <c r="D878" s="125"/>
      <c r="AA878" s="74"/>
      <c r="AE878" s="124"/>
      <c r="AI878" s="74"/>
      <c r="AM878" s="74"/>
      <c r="AQ878" s="74"/>
    </row>
    <row r="879" spans="2:43" s="123" customFormat="1">
      <c r="B879" s="125"/>
      <c r="D879" s="125"/>
      <c r="AA879" s="74"/>
      <c r="AE879" s="124"/>
      <c r="AI879" s="74"/>
      <c r="AM879" s="74"/>
      <c r="AQ879" s="74"/>
    </row>
    <row r="880" spans="2:43" s="123" customFormat="1">
      <c r="B880" s="125"/>
      <c r="D880" s="125"/>
      <c r="AA880" s="74"/>
      <c r="AE880" s="124"/>
      <c r="AI880" s="74"/>
      <c r="AM880" s="74"/>
      <c r="AQ880" s="74"/>
    </row>
    <row r="881" spans="2:43" s="123" customFormat="1">
      <c r="B881" s="125"/>
      <c r="D881" s="125"/>
      <c r="AA881" s="74"/>
      <c r="AE881" s="124"/>
      <c r="AI881" s="74"/>
      <c r="AM881" s="74"/>
      <c r="AQ881" s="74"/>
    </row>
    <row r="882" spans="2:43" s="123" customFormat="1">
      <c r="B882" s="125"/>
      <c r="D882" s="125"/>
      <c r="AA882" s="74"/>
      <c r="AE882" s="124"/>
      <c r="AI882" s="74"/>
      <c r="AM882" s="74"/>
      <c r="AQ882" s="74"/>
    </row>
    <row r="883" spans="2:43" s="123" customFormat="1">
      <c r="B883" s="125"/>
      <c r="D883" s="125"/>
      <c r="AA883" s="74"/>
      <c r="AE883" s="124"/>
      <c r="AI883" s="74"/>
      <c r="AM883" s="74"/>
      <c r="AQ883" s="74"/>
    </row>
    <row r="884" spans="2:43" s="123" customFormat="1">
      <c r="B884" s="125"/>
      <c r="D884" s="125"/>
      <c r="AA884" s="74"/>
      <c r="AE884" s="124"/>
      <c r="AI884" s="74"/>
      <c r="AM884" s="74"/>
      <c r="AQ884" s="74"/>
    </row>
    <row r="885" spans="2:43" s="123" customFormat="1">
      <c r="B885" s="125"/>
      <c r="D885" s="125"/>
      <c r="AA885" s="74"/>
      <c r="AE885" s="124"/>
      <c r="AI885" s="74"/>
      <c r="AM885" s="74"/>
      <c r="AQ885" s="74"/>
    </row>
    <row r="886" spans="2:43" s="123" customFormat="1">
      <c r="B886" s="125"/>
      <c r="D886" s="125"/>
      <c r="AA886" s="74"/>
      <c r="AE886" s="124"/>
      <c r="AI886" s="74"/>
      <c r="AM886" s="74"/>
      <c r="AQ886" s="74"/>
    </row>
    <row r="887" spans="2:43" s="123" customFormat="1">
      <c r="B887" s="125"/>
      <c r="D887" s="125"/>
      <c r="AA887" s="74"/>
      <c r="AE887" s="124"/>
      <c r="AI887" s="74"/>
      <c r="AM887" s="74"/>
      <c r="AQ887" s="74"/>
    </row>
    <row r="888" spans="2:43" s="123" customFormat="1">
      <c r="B888" s="125"/>
      <c r="D888" s="125"/>
      <c r="AA888" s="74"/>
      <c r="AE888" s="124"/>
      <c r="AI888" s="74"/>
      <c r="AM888" s="74"/>
      <c r="AQ888" s="74"/>
    </row>
    <row r="889" spans="2:43" s="123" customFormat="1">
      <c r="B889" s="125"/>
      <c r="D889" s="125"/>
      <c r="AA889" s="74"/>
      <c r="AE889" s="124"/>
      <c r="AI889" s="74"/>
      <c r="AM889" s="74"/>
      <c r="AQ889" s="74"/>
    </row>
    <row r="890" spans="2:43" s="123" customFormat="1">
      <c r="B890" s="125"/>
      <c r="D890" s="125"/>
      <c r="AA890" s="74"/>
      <c r="AE890" s="124"/>
      <c r="AI890" s="74"/>
      <c r="AM890" s="74"/>
      <c r="AQ890" s="74"/>
    </row>
    <row r="891" spans="2:43" s="123" customFormat="1">
      <c r="B891" s="125"/>
      <c r="D891" s="125"/>
      <c r="AA891" s="74"/>
      <c r="AE891" s="124"/>
      <c r="AI891" s="74"/>
      <c r="AM891" s="74"/>
      <c r="AQ891" s="74"/>
    </row>
    <row r="892" spans="2:43" s="123" customFormat="1">
      <c r="B892" s="125"/>
      <c r="D892" s="125"/>
      <c r="AA892" s="74"/>
      <c r="AE892" s="124"/>
      <c r="AI892" s="74"/>
      <c r="AM892" s="74"/>
      <c r="AQ892" s="74"/>
    </row>
    <row r="893" spans="2:43" s="123" customFormat="1">
      <c r="B893" s="125"/>
      <c r="D893" s="125"/>
      <c r="AA893" s="74"/>
      <c r="AE893" s="124"/>
      <c r="AI893" s="74"/>
      <c r="AM893" s="74"/>
      <c r="AQ893" s="74"/>
    </row>
    <row r="894" spans="2:43" s="123" customFormat="1">
      <c r="B894" s="125"/>
      <c r="D894" s="125"/>
      <c r="AA894" s="74"/>
      <c r="AE894" s="124"/>
      <c r="AI894" s="74"/>
      <c r="AM894" s="74"/>
      <c r="AQ894" s="74"/>
    </row>
    <row r="895" spans="2:43" s="123" customFormat="1">
      <c r="B895" s="125"/>
      <c r="D895" s="125"/>
      <c r="AA895" s="74"/>
      <c r="AE895" s="124"/>
      <c r="AI895" s="74"/>
      <c r="AM895" s="74"/>
      <c r="AQ895" s="74"/>
    </row>
    <row r="896" spans="2:43" s="123" customFormat="1">
      <c r="B896" s="125"/>
      <c r="D896" s="125"/>
      <c r="AA896" s="74"/>
      <c r="AE896" s="124"/>
      <c r="AI896" s="74"/>
      <c r="AM896" s="74"/>
      <c r="AQ896" s="74"/>
    </row>
    <row r="897" spans="2:43" s="123" customFormat="1">
      <c r="B897" s="125"/>
      <c r="D897" s="125"/>
      <c r="AA897" s="74"/>
      <c r="AE897" s="124"/>
      <c r="AI897" s="74"/>
      <c r="AM897" s="74"/>
      <c r="AQ897" s="74"/>
    </row>
    <row r="898" spans="2:43" s="123" customFormat="1">
      <c r="B898" s="125"/>
      <c r="D898" s="125"/>
      <c r="AA898" s="74"/>
      <c r="AE898" s="124"/>
      <c r="AI898" s="74"/>
      <c r="AM898" s="74"/>
      <c r="AQ898" s="74"/>
    </row>
    <row r="899" spans="2:43" s="123" customFormat="1">
      <c r="B899" s="125"/>
      <c r="D899" s="125"/>
      <c r="AA899" s="74"/>
      <c r="AE899" s="124"/>
      <c r="AI899" s="74"/>
      <c r="AM899" s="74"/>
      <c r="AQ899" s="74"/>
    </row>
    <row r="900" spans="2:43" s="123" customFormat="1">
      <c r="B900" s="125"/>
      <c r="D900" s="125"/>
      <c r="AA900" s="74"/>
      <c r="AE900" s="124"/>
      <c r="AI900" s="74"/>
      <c r="AM900" s="74"/>
      <c r="AQ900" s="74"/>
    </row>
    <row r="901" spans="2:43" s="123" customFormat="1">
      <c r="B901" s="125"/>
      <c r="D901" s="125"/>
      <c r="AA901" s="74"/>
      <c r="AE901" s="124"/>
      <c r="AI901" s="74"/>
      <c r="AM901" s="74"/>
      <c r="AQ901" s="74"/>
    </row>
    <row r="902" spans="2:43" s="123" customFormat="1">
      <c r="B902" s="125"/>
      <c r="D902" s="125"/>
      <c r="AA902" s="74"/>
      <c r="AE902" s="124"/>
      <c r="AI902" s="74"/>
      <c r="AM902" s="74"/>
      <c r="AQ902" s="74"/>
    </row>
    <row r="903" spans="2:43" s="123" customFormat="1">
      <c r="B903" s="125"/>
      <c r="D903" s="125"/>
      <c r="AA903" s="74"/>
      <c r="AE903" s="124"/>
      <c r="AI903" s="74"/>
      <c r="AM903" s="74"/>
      <c r="AQ903" s="74"/>
    </row>
    <row r="904" spans="2:43" s="123" customFormat="1">
      <c r="B904" s="125"/>
      <c r="D904" s="125"/>
      <c r="AA904" s="74"/>
      <c r="AE904" s="124"/>
      <c r="AI904" s="74"/>
      <c r="AM904" s="74"/>
      <c r="AQ904" s="74"/>
    </row>
    <row r="905" spans="2:43" s="123" customFormat="1">
      <c r="B905" s="125"/>
      <c r="D905" s="125"/>
      <c r="AA905" s="74"/>
      <c r="AE905" s="124"/>
      <c r="AI905" s="74"/>
      <c r="AM905" s="74"/>
      <c r="AQ905" s="74"/>
    </row>
    <row r="906" spans="2:43" s="123" customFormat="1">
      <c r="B906" s="125"/>
      <c r="D906" s="125"/>
      <c r="AA906" s="74"/>
      <c r="AE906" s="124"/>
      <c r="AI906" s="74"/>
      <c r="AM906" s="74"/>
      <c r="AQ906" s="74"/>
    </row>
    <row r="907" spans="2:43" s="123" customFormat="1">
      <c r="B907" s="125"/>
      <c r="D907" s="125"/>
      <c r="AA907" s="74"/>
      <c r="AE907" s="124"/>
      <c r="AI907" s="74"/>
      <c r="AM907" s="74"/>
      <c r="AQ907" s="74"/>
    </row>
    <row r="908" spans="2:43" s="123" customFormat="1">
      <c r="B908" s="125"/>
      <c r="D908" s="125"/>
      <c r="AA908" s="74"/>
      <c r="AE908" s="124"/>
      <c r="AI908" s="74"/>
      <c r="AM908" s="74"/>
      <c r="AQ908" s="74"/>
    </row>
    <row r="909" spans="2:43" s="123" customFormat="1">
      <c r="B909" s="125"/>
      <c r="D909" s="125"/>
      <c r="AA909" s="74"/>
      <c r="AE909" s="124"/>
      <c r="AI909" s="74"/>
      <c r="AM909" s="74"/>
      <c r="AQ909" s="74"/>
    </row>
    <row r="910" spans="2:43" s="123" customFormat="1">
      <c r="B910" s="125"/>
      <c r="D910" s="125"/>
      <c r="AA910" s="74"/>
      <c r="AE910" s="124"/>
      <c r="AI910" s="74"/>
      <c r="AM910" s="74"/>
      <c r="AQ910" s="74"/>
    </row>
    <row r="911" spans="2:43" s="123" customFormat="1">
      <c r="B911" s="125"/>
      <c r="D911" s="125"/>
      <c r="AA911" s="74"/>
      <c r="AE911" s="124"/>
      <c r="AI911" s="74"/>
      <c r="AM911" s="74"/>
      <c r="AQ911" s="74"/>
    </row>
    <row r="912" spans="2:43" s="123" customFormat="1">
      <c r="B912" s="125"/>
      <c r="D912" s="125"/>
      <c r="AA912" s="74"/>
      <c r="AE912" s="124"/>
      <c r="AI912" s="74"/>
      <c r="AM912" s="74"/>
      <c r="AQ912" s="74"/>
    </row>
    <row r="913" spans="2:43" s="123" customFormat="1">
      <c r="B913" s="125"/>
      <c r="D913" s="125"/>
      <c r="AA913" s="74"/>
      <c r="AE913" s="124"/>
      <c r="AI913" s="74"/>
      <c r="AM913" s="74"/>
      <c r="AQ913" s="74"/>
    </row>
    <row r="914" spans="2:43" s="123" customFormat="1">
      <c r="B914" s="125"/>
      <c r="D914" s="125"/>
      <c r="AA914" s="74"/>
      <c r="AE914" s="124"/>
      <c r="AI914" s="74"/>
      <c r="AM914" s="74"/>
      <c r="AQ914" s="74"/>
    </row>
    <row r="915" spans="2:43" s="123" customFormat="1">
      <c r="B915" s="125"/>
      <c r="D915" s="125"/>
      <c r="AA915" s="74"/>
      <c r="AE915" s="124"/>
      <c r="AI915" s="74"/>
      <c r="AM915" s="74"/>
      <c r="AQ915" s="74"/>
    </row>
    <row r="916" spans="2:43" s="123" customFormat="1">
      <c r="B916" s="125"/>
      <c r="D916" s="125"/>
      <c r="AA916" s="74"/>
      <c r="AE916" s="124"/>
      <c r="AI916" s="74"/>
      <c r="AM916" s="74"/>
      <c r="AQ916" s="74"/>
    </row>
    <row r="917" spans="2:43" s="123" customFormat="1">
      <c r="B917" s="125"/>
      <c r="D917" s="125"/>
      <c r="AA917" s="74"/>
      <c r="AE917" s="124"/>
      <c r="AI917" s="74"/>
      <c r="AM917" s="74"/>
      <c r="AQ917" s="74"/>
    </row>
    <row r="918" spans="2:43" s="123" customFormat="1">
      <c r="B918" s="125"/>
      <c r="D918" s="125"/>
      <c r="AA918" s="74"/>
      <c r="AE918" s="124"/>
      <c r="AI918" s="74"/>
      <c r="AM918" s="74"/>
      <c r="AQ918" s="74"/>
    </row>
    <row r="919" spans="2:43" s="123" customFormat="1">
      <c r="B919" s="125"/>
      <c r="D919" s="125"/>
      <c r="AA919" s="74"/>
      <c r="AE919" s="124"/>
      <c r="AI919" s="74"/>
      <c r="AM919" s="74"/>
      <c r="AQ919" s="74"/>
    </row>
    <row r="920" spans="2:43" s="123" customFormat="1">
      <c r="B920" s="125"/>
      <c r="D920" s="125"/>
      <c r="AA920" s="74"/>
      <c r="AE920" s="124"/>
      <c r="AI920" s="74"/>
      <c r="AM920" s="74"/>
      <c r="AQ920" s="74"/>
    </row>
    <row r="921" spans="2:43" s="123" customFormat="1">
      <c r="B921" s="125"/>
      <c r="D921" s="125"/>
      <c r="AA921" s="74"/>
      <c r="AE921" s="124"/>
      <c r="AI921" s="74"/>
      <c r="AM921" s="74"/>
      <c r="AQ921" s="74"/>
    </row>
    <row r="922" spans="2:43" s="123" customFormat="1">
      <c r="B922" s="125"/>
      <c r="D922" s="125"/>
      <c r="AA922" s="74"/>
      <c r="AE922" s="124"/>
      <c r="AI922" s="74"/>
      <c r="AM922" s="74"/>
      <c r="AQ922" s="74"/>
    </row>
    <row r="923" spans="2:43" s="123" customFormat="1">
      <c r="B923" s="125"/>
      <c r="D923" s="125"/>
      <c r="AA923" s="74"/>
      <c r="AE923" s="124"/>
      <c r="AI923" s="74"/>
      <c r="AM923" s="74"/>
      <c r="AQ923" s="74"/>
    </row>
    <row r="924" spans="2:43" s="123" customFormat="1">
      <c r="B924" s="125"/>
      <c r="D924" s="125"/>
      <c r="AA924" s="74"/>
      <c r="AE924" s="124"/>
      <c r="AI924" s="74"/>
      <c r="AM924" s="74"/>
      <c r="AQ924" s="74"/>
    </row>
    <row r="925" spans="2:43" s="123" customFormat="1">
      <c r="B925" s="125"/>
      <c r="D925" s="125"/>
      <c r="AA925" s="74"/>
      <c r="AE925" s="124"/>
      <c r="AI925" s="74"/>
      <c r="AM925" s="74"/>
      <c r="AQ925" s="74"/>
    </row>
    <row r="926" spans="2:43" s="123" customFormat="1">
      <c r="B926" s="125"/>
      <c r="D926" s="125"/>
      <c r="AA926" s="74"/>
      <c r="AE926" s="124"/>
      <c r="AI926" s="74"/>
      <c r="AM926" s="74"/>
      <c r="AQ926" s="74"/>
    </row>
    <row r="927" spans="2:43" s="123" customFormat="1">
      <c r="B927" s="125"/>
      <c r="D927" s="125"/>
      <c r="AA927" s="74"/>
      <c r="AE927" s="124"/>
      <c r="AI927" s="74"/>
      <c r="AM927" s="74"/>
      <c r="AQ927" s="74"/>
    </row>
    <row r="928" spans="2:43" s="123" customFormat="1">
      <c r="B928" s="125"/>
      <c r="D928" s="125"/>
      <c r="AA928" s="74"/>
      <c r="AE928" s="124"/>
      <c r="AI928" s="74"/>
      <c r="AM928" s="74"/>
      <c r="AQ928" s="74"/>
    </row>
    <row r="929" spans="2:43" s="123" customFormat="1">
      <c r="B929" s="125"/>
      <c r="D929" s="125"/>
      <c r="AA929" s="74"/>
      <c r="AE929" s="124"/>
      <c r="AI929" s="74"/>
      <c r="AM929" s="74"/>
      <c r="AQ929" s="74"/>
    </row>
    <row r="930" spans="2:43" s="123" customFormat="1">
      <c r="B930" s="125"/>
      <c r="D930" s="125"/>
      <c r="AA930" s="74"/>
      <c r="AE930" s="124"/>
      <c r="AI930" s="74"/>
      <c r="AM930" s="74"/>
      <c r="AQ930" s="74"/>
    </row>
    <row r="931" spans="2:43" s="123" customFormat="1">
      <c r="B931" s="125"/>
      <c r="D931" s="125"/>
      <c r="AA931" s="74"/>
      <c r="AE931" s="124"/>
      <c r="AI931" s="74"/>
      <c r="AM931" s="74"/>
      <c r="AQ931" s="74"/>
    </row>
    <row r="932" spans="2:43" s="123" customFormat="1">
      <c r="B932" s="125"/>
      <c r="D932" s="125"/>
      <c r="AA932" s="74"/>
      <c r="AE932" s="124"/>
      <c r="AI932" s="74"/>
      <c r="AM932" s="74"/>
      <c r="AQ932" s="74"/>
    </row>
    <row r="933" spans="2:43" s="123" customFormat="1">
      <c r="B933" s="125"/>
      <c r="D933" s="125"/>
      <c r="AA933" s="74"/>
      <c r="AE933" s="124"/>
      <c r="AI933" s="74"/>
      <c r="AM933" s="74"/>
      <c r="AQ933" s="74"/>
    </row>
    <row r="934" spans="2:43" s="123" customFormat="1">
      <c r="B934" s="125"/>
      <c r="D934" s="125"/>
      <c r="AA934" s="74"/>
      <c r="AE934" s="124"/>
      <c r="AI934" s="74"/>
      <c r="AM934" s="74"/>
      <c r="AQ934" s="74"/>
    </row>
    <row r="935" spans="2:43" s="123" customFormat="1">
      <c r="B935" s="125"/>
      <c r="D935" s="125"/>
      <c r="AA935" s="74"/>
      <c r="AE935" s="124"/>
      <c r="AI935" s="74"/>
      <c r="AM935" s="74"/>
      <c r="AQ935" s="74"/>
    </row>
    <row r="936" spans="2:43" s="123" customFormat="1">
      <c r="B936" s="125"/>
      <c r="D936" s="125"/>
      <c r="AA936" s="74"/>
      <c r="AE936" s="124"/>
      <c r="AI936" s="74"/>
      <c r="AM936" s="74"/>
      <c r="AQ936" s="74"/>
    </row>
    <row r="937" spans="2:43" s="123" customFormat="1">
      <c r="B937" s="125"/>
      <c r="D937" s="125"/>
      <c r="AA937" s="74"/>
      <c r="AE937" s="124"/>
      <c r="AI937" s="74"/>
      <c r="AM937" s="74"/>
      <c r="AQ937" s="74"/>
    </row>
    <row r="938" spans="2:43" s="123" customFormat="1">
      <c r="B938" s="125"/>
      <c r="D938" s="125"/>
      <c r="AA938" s="74"/>
      <c r="AE938" s="124"/>
      <c r="AI938" s="74"/>
      <c r="AM938" s="74"/>
      <c r="AQ938" s="74"/>
    </row>
    <row r="939" spans="2:43" s="123" customFormat="1">
      <c r="B939" s="125"/>
      <c r="D939" s="125"/>
      <c r="AA939" s="74"/>
      <c r="AE939" s="124"/>
      <c r="AI939" s="74"/>
      <c r="AM939" s="74"/>
      <c r="AQ939" s="74"/>
    </row>
    <row r="940" spans="2:43" s="123" customFormat="1">
      <c r="B940" s="125"/>
      <c r="D940" s="125"/>
      <c r="AA940" s="74"/>
      <c r="AE940" s="124"/>
      <c r="AI940" s="74"/>
      <c r="AM940" s="74"/>
      <c r="AQ940" s="74"/>
    </row>
    <row r="941" spans="2:43" s="123" customFormat="1">
      <c r="B941" s="125"/>
      <c r="D941" s="125"/>
      <c r="AA941" s="74"/>
      <c r="AE941" s="124"/>
      <c r="AI941" s="74"/>
      <c r="AM941" s="74"/>
      <c r="AQ941" s="74"/>
    </row>
    <row r="942" spans="2:43" s="123" customFormat="1">
      <c r="B942" s="125"/>
      <c r="D942" s="125"/>
      <c r="AA942" s="74"/>
      <c r="AE942" s="124"/>
      <c r="AI942" s="74"/>
      <c r="AM942" s="74"/>
      <c r="AQ942" s="74"/>
    </row>
    <row r="943" spans="2:43" s="123" customFormat="1">
      <c r="B943" s="125"/>
      <c r="D943" s="125"/>
      <c r="AA943" s="74"/>
      <c r="AE943" s="124"/>
      <c r="AI943" s="74"/>
      <c r="AM943" s="74"/>
      <c r="AQ943" s="74"/>
    </row>
    <row r="944" spans="2:43" s="123" customFormat="1">
      <c r="B944" s="125"/>
      <c r="D944" s="125"/>
      <c r="AA944" s="74"/>
      <c r="AE944" s="124"/>
      <c r="AI944" s="74"/>
      <c r="AM944" s="74"/>
      <c r="AQ944" s="74"/>
    </row>
    <row r="945" spans="2:43" s="123" customFormat="1">
      <c r="B945" s="125"/>
      <c r="D945" s="125"/>
      <c r="AA945" s="74"/>
      <c r="AE945" s="124"/>
      <c r="AI945" s="74"/>
      <c r="AM945" s="74"/>
      <c r="AQ945" s="74"/>
    </row>
    <row r="946" spans="2:43" s="123" customFormat="1">
      <c r="B946" s="125"/>
      <c r="D946" s="125"/>
      <c r="AA946" s="74"/>
      <c r="AE946" s="124"/>
      <c r="AI946" s="74"/>
      <c r="AM946" s="74"/>
      <c r="AQ946" s="74"/>
    </row>
    <row r="947" spans="2:43" s="123" customFormat="1">
      <c r="B947" s="125"/>
      <c r="D947" s="125"/>
      <c r="AA947" s="74"/>
      <c r="AE947" s="124"/>
      <c r="AI947" s="74"/>
      <c r="AM947" s="74"/>
      <c r="AQ947" s="74"/>
    </row>
    <row r="948" spans="2:43" s="123" customFormat="1">
      <c r="B948" s="125"/>
      <c r="D948" s="125"/>
      <c r="AA948" s="74"/>
      <c r="AE948" s="124"/>
      <c r="AI948" s="74"/>
      <c r="AM948" s="74"/>
      <c r="AQ948" s="74"/>
    </row>
    <row r="949" spans="2:43" s="123" customFormat="1">
      <c r="B949" s="125"/>
      <c r="D949" s="125"/>
      <c r="AA949" s="74"/>
      <c r="AE949" s="124"/>
      <c r="AI949" s="74"/>
      <c r="AM949" s="74"/>
      <c r="AQ949" s="74"/>
    </row>
    <row r="950" spans="2:43" s="123" customFormat="1">
      <c r="B950" s="125"/>
      <c r="D950" s="125"/>
      <c r="AA950" s="74"/>
      <c r="AE950" s="124"/>
      <c r="AI950" s="74"/>
      <c r="AM950" s="74"/>
      <c r="AQ950" s="74"/>
    </row>
    <row r="951" spans="2:43" s="123" customFormat="1">
      <c r="B951" s="125"/>
      <c r="D951" s="125"/>
      <c r="AA951" s="74"/>
      <c r="AE951" s="124"/>
      <c r="AI951" s="74"/>
      <c r="AM951" s="74"/>
      <c r="AQ951" s="74"/>
    </row>
    <row r="952" spans="2:43" s="123" customFormat="1">
      <c r="B952" s="125"/>
      <c r="D952" s="125"/>
      <c r="AA952" s="74"/>
      <c r="AE952" s="124"/>
      <c r="AI952" s="74"/>
      <c r="AM952" s="74"/>
      <c r="AQ952" s="74"/>
    </row>
    <row r="953" spans="2:43" s="123" customFormat="1">
      <c r="B953" s="125"/>
      <c r="D953" s="125"/>
      <c r="AA953" s="74"/>
      <c r="AE953" s="124"/>
      <c r="AI953" s="74"/>
      <c r="AM953" s="74"/>
      <c r="AQ953" s="74"/>
    </row>
    <row r="954" spans="2:43" s="123" customFormat="1">
      <c r="B954" s="125"/>
      <c r="D954" s="125"/>
      <c r="AA954" s="74"/>
      <c r="AE954" s="124"/>
      <c r="AI954" s="74"/>
      <c r="AM954" s="74"/>
      <c r="AQ954" s="74"/>
    </row>
    <row r="955" spans="2:43" s="123" customFormat="1">
      <c r="B955" s="125"/>
      <c r="D955" s="125"/>
      <c r="AA955" s="74"/>
      <c r="AE955" s="124"/>
      <c r="AI955" s="74"/>
      <c r="AM955" s="74"/>
      <c r="AQ955" s="74"/>
    </row>
    <row r="956" spans="2:43" s="123" customFormat="1">
      <c r="B956" s="125"/>
      <c r="D956" s="125"/>
      <c r="AA956" s="74"/>
      <c r="AE956" s="124"/>
      <c r="AI956" s="74"/>
      <c r="AM956" s="74"/>
      <c r="AQ956" s="74"/>
    </row>
    <row r="957" spans="2:43" s="123" customFormat="1">
      <c r="B957" s="125"/>
      <c r="D957" s="125"/>
      <c r="AA957" s="74"/>
      <c r="AE957" s="124"/>
      <c r="AI957" s="74"/>
      <c r="AM957" s="74"/>
      <c r="AQ957" s="74"/>
    </row>
    <row r="958" spans="2:43" s="123" customFormat="1">
      <c r="B958" s="125"/>
      <c r="D958" s="125"/>
      <c r="AA958" s="74"/>
      <c r="AE958" s="124"/>
      <c r="AI958" s="74"/>
      <c r="AM958" s="74"/>
      <c r="AQ958" s="74"/>
    </row>
    <row r="959" spans="2:43" s="123" customFormat="1">
      <c r="B959" s="125"/>
      <c r="D959" s="125"/>
      <c r="AA959" s="74"/>
      <c r="AE959" s="124"/>
      <c r="AI959" s="74"/>
      <c r="AM959" s="74"/>
      <c r="AQ959" s="74"/>
    </row>
    <row r="960" spans="2:43" s="123" customFormat="1">
      <c r="B960" s="125"/>
      <c r="D960" s="125"/>
      <c r="AA960" s="74"/>
      <c r="AE960" s="124"/>
      <c r="AI960" s="74"/>
      <c r="AM960" s="74"/>
      <c r="AQ960" s="74"/>
    </row>
    <row r="961" spans="2:43" s="123" customFormat="1">
      <c r="B961" s="125"/>
      <c r="D961" s="125"/>
      <c r="AA961" s="74"/>
      <c r="AE961" s="124"/>
      <c r="AI961" s="74"/>
      <c r="AM961" s="74"/>
      <c r="AQ961" s="74"/>
    </row>
    <row r="962" spans="2:43" s="123" customFormat="1">
      <c r="B962" s="125"/>
      <c r="D962" s="125"/>
      <c r="AA962" s="74"/>
      <c r="AE962" s="124"/>
      <c r="AI962" s="74"/>
      <c r="AM962" s="74"/>
      <c r="AQ962" s="74"/>
    </row>
    <row r="963" spans="2:43" s="123" customFormat="1">
      <c r="B963" s="125"/>
      <c r="D963" s="125"/>
      <c r="AA963" s="74"/>
      <c r="AE963" s="124"/>
      <c r="AI963" s="74"/>
      <c r="AM963" s="74"/>
      <c r="AQ963" s="74"/>
    </row>
    <row r="964" spans="2:43" s="123" customFormat="1">
      <c r="B964" s="125"/>
      <c r="D964" s="125"/>
      <c r="AA964" s="74"/>
      <c r="AE964" s="124"/>
      <c r="AI964" s="74"/>
      <c r="AM964" s="74"/>
      <c r="AQ964" s="74"/>
    </row>
    <row r="965" spans="2:43" s="123" customFormat="1">
      <c r="B965" s="125"/>
      <c r="D965" s="125"/>
      <c r="AA965" s="74"/>
      <c r="AE965" s="124"/>
      <c r="AI965" s="74"/>
      <c r="AM965" s="74"/>
      <c r="AQ965" s="74"/>
    </row>
    <row r="966" spans="2:43" s="123" customFormat="1">
      <c r="B966" s="125"/>
      <c r="D966" s="125"/>
      <c r="AA966" s="74"/>
      <c r="AE966" s="124"/>
      <c r="AI966" s="74"/>
      <c r="AM966" s="74"/>
      <c r="AQ966" s="74"/>
    </row>
    <row r="967" spans="2:43" s="123" customFormat="1">
      <c r="B967" s="125"/>
      <c r="D967" s="125"/>
      <c r="AA967" s="74"/>
      <c r="AE967" s="124"/>
      <c r="AI967" s="74"/>
      <c r="AM967" s="74"/>
      <c r="AQ967" s="74"/>
    </row>
    <row r="968" spans="2:43" s="123" customFormat="1">
      <c r="B968" s="125"/>
      <c r="D968" s="125"/>
      <c r="AA968" s="74"/>
      <c r="AE968" s="124"/>
      <c r="AI968" s="74"/>
      <c r="AM968" s="74"/>
      <c r="AQ968" s="74"/>
    </row>
    <row r="969" spans="2:43" s="123" customFormat="1">
      <c r="B969" s="125"/>
      <c r="D969" s="125"/>
      <c r="AA969" s="74"/>
      <c r="AE969" s="124"/>
      <c r="AI969" s="74"/>
      <c r="AM969" s="74"/>
      <c r="AQ969" s="74"/>
    </row>
    <row r="970" spans="2:43" s="123" customFormat="1">
      <c r="B970" s="125"/>
      <c r="D970" s="125"/>
      <c r="AA970" s="74"/>
      <c r="AE970" s="124"/>
      <c r="AI970" s="74"/>
      <c r="AM970" s="74"/>
      <c r="AQ970" s="74"/>
    </row>
    <row r="971" spans="2:43" s="123" customFormat="1">
      <c r="B971" s="125"/>
      <c r="D971" s="125"/>
      <c r="AA971" s="74"/>
      <c r="AE971" s="124"/>
      <c r="AI971" s="74"/>
      <c r="AM971" s="74"/>
      <c r="AQ971" s="74"/>
    </row>
    <row r="972" spans="2:43" s="123" customFormat="1">
      <c r="B972" s="125"/>
      <c r="D972" s="125"/>
      <c r="AA972" s="74"/>
      <c r="AE972" s="124"/>
      <c r="AI972" s="74"/>
      <c r="AM972" s="74"/>
      <c r="AQ972" s="74"/>
    </row>
    <row r="973" spans="2:43" s="123" customFormat="1">
      <c r="B973" s="125"/>
      <c r="D973" s="125"/>
      <c r="AA973" s="74"/>
      <c r="AE973" s="124"/>
      <c r="AI973" s="74"/>
      <c r="AM973" s="74"/>
      <c r="AQ973" s="74"/>
    </row>
    <row r="974" spans="2:43" s="123" customFormat="1">
      <c r="B974" s="125"/>
      <c r="D974" s="125"/>
      <c r="AA974" s="74"/>
      <c r="AE974" s="124"/>
      <c r="AI974" s="74"/>
      <c r="AM974" s="74"/>
      <c r="AQ974" s="74"/>
    </row>
    <row r="975" spans="2:43" s="123" customFormat="1">
      <c r="B975" s="125"/>
      <c r="D975" s="125"/>
      <c r="AA975" s="74"/>
      <c r="AE975" s="124"/>
      <c r="AI975" s="74"/>
      <c r="AM975" s="74"/>
      <c r="AQ975" s="74"/>
    </row>
    <row r="976" spans="2:43" s="123" customFormat="1">
      <c r="B976" s="125"/>
      <c r="D976" s="125"/>
      <c r="AA976" s="74"/>
      <c r="AE976" s="124"/>
      <c r="AI976" s="74"/>
      <c r="AM976" s="74"/>
      <c r="AQ976" s="74"/>
    </row>
    <row r="977" spans="2:43" s="123" customFormat="1">
      <c r="B977" s="125"/>
      <c r="D977" s="125"/>
      <c r="AA977" s="74"/>
      <c r="AE977" s="124"/>
      <c r="AI977" s="74"/>
      <c r="AM977" s="74"/>
      <c r="AQ977" s="74"/>
    </row>
    <row r="978" spans="2:43" s="123" customFormat="1">
      <c r="B978" s="125"/>
      <c r="D978" s="125"/>
      <c r="AA978" s="74"/>
      <c r="AE978" s="124"/>
      <c r="AI978" s="74"/>
      <c r="AM978" s="74"/>
      <c r="AQ978" s="74"/>
    </row>
    <row r="979" spans="2:43" s="123" customFormat="1">
      <c r="B979" s="125"/>
      <c r="D979" s="125"/>
      <c r="AA979" s="74"/>
      <c r="AE979" s="124"/>
      <c r="AI979" s="74"/>
      <c r="AM979" s="74"/>
      <c r="AQ979" s="74"/>
    </row>
    <row r="980" spans="2:43" s="123" customFormat="1">
      <c r="B980" s="125"/>
      <c r="D980" s="125"/>
      <c r="AA980" s="74"/>
      <c r="AE980" s="124"/>
      <c r="AI980" s="74"/>
      <c r="AM980" s="74"/>
      <c r="AQ980" s="74"/>
    </row>
    <row r="981" spans="2:43" s="123" customFormat="1">
      <c r="B981" s="125"/>
      <c r="D981" s="125"/>
      <c r="AA981" s="74"/>
      <c r="AE981" s="124"/>
      <c r="AI981" s="74"/>
      <c r="AM981" s="74"/>
      <c r="AQ981" s="74"/>
    </row>
    <row r="982" spans="2:43" s="123" customFormat="1">
      <c r="B982" s="125"/>
      <c r="D982" s="125"/>
      <c r="AA982" s="74"/>
      <c r="AE982" s="124"/>
      <c r="AI982" s="74"/>
      <c r="AM982" s="74"/>
      <c r="AQ982" s="74"/>
    </row>
    <row r="983" spans="2:43" s="123" customFormat="1">
      <c r="B983" s="125"/>
      <c r="D983" s="125"/>
      <c r="AA983" s="74"/>
      <c r="AE983" s="124"/>
      <c r="AI983" s="74"/>
      <c r="AM983" s="74"/>
      <c r="AQ983" s="74"/>
    </row>
    <row r="984" spans="2:43" s="123" customFormat="1">
      <c r="B984" s="125"/>
      <c r="D984" s="125"/>
      <c r="AA984" s="74"/>
      <c r="AE984" s="124"/>
      <c r="AI984" s="74"/>
      <c r="AM984" s="74"/>
      <c r="AQ984" s="74"/>
    </row>
    <row r="985" spans="2:43" s="123" customFormat="1">
      <c r="B985" s="125"/>
      <c r="D985" s="125"/>
      <c r="AA985" s="74"/>
      <c r="AE985" s="124"/>
      <c r="AI985" s="74"/>
      <c r="AM985" s="74"/>
      <c r="AQ985" s="74"/>
    </row>
    <row r="986" spans="2:43" s="123" customFormat="1">
      <c r="B986" s="125"/>
      <c r="D986" s="125"/>
      <c r="AA986" s="74"/>
      <c r="AE986" s="124"/>
      <c r="AI986" s="74"/>
      <c r="AM986" s="74"/>
      <c r="AQ986" s="74"/>
    </row>
    <row r="987" spans="2:43" s="123" customFormat="1">
      <c r="B987" s="125"/>
      <c r="D987" s="125"/>
      <c r="AA987" s="74"/>
      <c r="AE987" s="124"/>
      <c r="AI987" s="74"/>
      <c r="AM987" s="74"/>
      <c r="AQ987" s="74"/>
    </row>
    <row r="988" spans="2:43" s="123" customFormat="1">
      <c r="B988" s="125"/>
      <c r="D988" s="125"/>
      <c r="AA988" s="74"/>
      <c r="AE988" s="124"/>
      <c r="AI988" s="74"/>
      <c r="AM988" s="74"/>
      <c r="AQ988" s="74"/>
    </row>
    <row r="989" spans="2:43" s="123" customFormat="1">
      <c r="B989" s="125"/>
      <c r="D989" s="125"/>
      <c r="AA989" s="74"/>
      <c r="AE989" s="124"/>
      <c r="AI989" s="74"/>
      <c r="AM989" s="74"/>
      <c r="AQ989" s="74"/>
    </row>
    <row r="990" spans="2:43" s="123" customFormat="1">
      <c r="B990" s="125"/>
      <c r="D990" s="125"/>
      <c r="AA990" s="74"/>
      <c r="AE990" s="124"/>
      <c r="AI990" s="74"/>
      <c r="AM990" s="74"/>
      <c r="AQ990" s="74"/>
    </row>
    <row r="991" spans="2:43" s="123" customFormat="1">
      <c r="B991" s="125"/>
      <c r="D991" s="125"/>
      <c r="AA991" s="74"/>
      <c r="AE991" s="124"/>
      <c r="AI991" s="74"/>
      <c r="AM991" s="74"/>
      <c r="AQ991" s="74"/>
    </row>
    <row r="992" spans="2:43" s="123" customFormat="1">
      <c r="B992" s="125"/>
      <c r="D992" s="125"/>
      <c r="AA992" s="74"/>
      <c r="AE992" s="124"/>
      <c r="AI992" s="74"/>
      <c r="AM992" s="74"/>
      <c r="AQ992" s="74"/>
    </row>
    <row r="993" spans="2:43" s="123" customFormat="1">
      <c r="B993" s="125"/>
      <c r="D993" s="125"/>
      <c r="AA993" s="74"/>
      <c r="AE993" s="124"/>
      <c r="AI993" s="74"/>
      <c r="AM993" s="74"/>
      <c r="AQ993" s="74"/>
    </row>
    <row r="994" spans="2:43" s="123" customFormat="1">
      <c r="B994" s="125"/>
      <c r="D994" s="125"/>
      <c r="AA994" s="74"/>
      <c r="AE994" s="124"/>
      <c r="AI994" s="74"/>
      <c r="AM994" s="74"/>
      <c r="AQ994" s="74"/>
    </row>
    <row r="995" spans="2:43" s="123" customFormat="1">
      <c r="B995" s="125"/>
      <c r="D995" s="125"/>
      <c r="AA995" s="74"/>
      <c r="AE995" s="124"/>
      <c r="AI995" s="74"/>
      <c r="AM995" s="74"/>
      <c r="AQ995" s="74"/>
    </row>
    <row r="996" spans="2:43" s="123" customFormat="1">
      <c r="B996" s="125"/>
      <c r="D996" s="125"/>
      <c r="AA996" s="74"/>
      <c r="AE996" s="124"/>
      <c r="AI996" s="74"/>
      <c r="AM996" s="74"/>
      <c r="AQ996" s="74"/>
    </row>
    <row r="997" spans="2:43" s="123" customFormat="1">
      <c r="B997" s="125"/>
      <c r="D997" s="125"/>
      <c r="AA997" s="74"/>
      <c r="AE997" s="124"/>
      <c r="AI997" s="74"/>
      <c r="AM997" s="74"/>
      <c r="AQ997" s="74"/>
    </row>
    <row r="998" spans="2:43" s="123" customFormat="1">
      <c r="B998" s="125"/>
      <c r="D998" s="125"/>
      <c r="AA998" s="74"/>
      <c r="AE998" s="124"/>
      <c r="AI998" s="74"/>
      <c r="AM998" s="74"/>
      <c r="AQ998" s="74"/>
    </row>
    <row r="999" spans="2:43" s="123" customFormat="1">
      <c r="B999" s="125"/>
      <c r="D999" s="125"/>
      <c r="AA999" s="74"/>
      <c r="AE999" s="124"/>
      <c r="AI999" s="74"/>
      <c r="AM999" s="74"/>
      <c r="AQ999" s="74"/>
    </row>
    <row r="1000" spans="2:43" s="123" customFormat="1">
      <c r="B1000" s="125"/>
      <c r="D1000" s="125"/>
      <c r="AA1000" s="74"/>
      <c r="AE1000" s="124"/>
      <c r="AI1000" s="74"/>
      <c r="AM1000" s="74"/>
      <c r="AQ1000" s="74"/>
    </row>
    <row r="1001" spans="2:43" s="123" customFormat="1">
      <c r="B1001" s="125"/>
      <c r="D1001" s="125"/>
      <c r="AA1001" s="74"/>
      <c r="AE1001" s="124"/>
      <c r="AI1001" s="74"/>
      <c r="AM1001" s="74"/>
      <c r="AQ1001" s="74"/>
    </row>
    <row r="1002" spans="2:43" s="123" customFormat="1">
      <c r="B1002" s="125"/>
      <c r="D1002" s="125"/>
      <c r="AA1002" s="74"/>
      <c r="AE1002" s="124"/>
      <c r="AI1002" s="74"/>
      <c r="AM1002" s="74"/>
      <c r="AQ1002" s="74"/>
    </row>
    <row r="1003" spans="2:43" s="123" customFormat="1">
      <c r="B1003" s="125"/>
      <c r="D1003" s="125"/>
      <c r="AA1003" s="74"/>
      <c r="AE1003" s="124"/>
      <c r="AI1003" s="74"/>
      <c r="AM1003" s="74"/>
      <c r="AQ1003" s="74"/>
    </row>
    <row r="1004" spans="2:43" s="123" customFormat="1">
      <c r="B1004" s="125"/>
      <c r="D1004" s="125"/>
      <c r="AA1004" s="74"/>
      <c r="AE1004" s="124"/>
      <c r="AI1004" s="74"/>
      <c r="AM1004" s="74"/>
      <c r="AQ1004" s="74"/>
    </row>
    <row r="1005" spans="2:43" s="123" customFormat="1">
      <c r="B1005" s="125"/>
      <c r="D1005" s="125"/>
      <c r="AA1005" s="74"/>
      <c r="AE1005" s="124"/>
      <c r="AI1005" s="74"/>
      <c r="AM1005" s="74"/>
      <c r="AQ1005" s="74"/>
    </row>
    <row r="1006" spans="2:43" s="123" customFormat="1">
      <c r="B1006" s="125"/>
      <c r="D1006" s="125"/>
      <c r="AA1006" s="74"/>
      <c r="AE1006" s="124"/>
      <c r="AI1006" s="74"/>
      <c r="AM1006" s="74"/>
      <c r="AQ1006" s="74"/>
    </row>
    <row r="1007" spans="2:43" s="123" customFormat="1">
      <c r="B1007" s="125"/>
      <c r="D1007" s="125"/>
      <c r="AA1007" s="74"/>
      <c r="AE1007" s="124"/>
      <c r="AI1007" s="74"/>
      <c r="AM1007" s="74"/>
      <c r="AQ1007" s="74"/>
    </row>
    <row r="1008" spans="2:43" s="123" customFormat="1">
      <c r="B1008" s="125"/>
      <c r="D1008" s="125"/>
      <c r="AA1008" s="74"/>
      <c r="AE1008" s="124"/>
      <c r="AI1008" s="74"/>
      <c r="AM1008" s="74"/>
      <c r="AQ1008" s="74"/>
    </row>
    <row r="1009" spans="2:43" s="123" customFormat="1">
      <c r="B1009" s="125"/>
      <c r="D1009" s="125"/>
      <c r="AA1009" s="74"/>
      <c r="AE1009" s="124"/>
      <c r="AI1009" s="74"/>
      <c r="AM1009" s="74"/>
      <c r="AQ1009" s="74"/>
    </row>
    <row r="1010" spans="2:43" s="123" customFormat="1">
      <c r="B1010" s="125"/>
      <c r="D1010" s="125"/>
      <c r="AA1010" s="74"/>
      <c r="AE1010" s="124"/>
      <c r="AI1010" s="74"/>
      <c r="AM1010" s="74"/>
      <c r="AQ1010" s="74"/>
    </row>
    <row r="1011" spans="2:43" s="123" customFormat="1">
      <c r="B1011" s="125"/>
      <c r="D1011" s="125"/>
      <c r="AA1011" s="74"/>
      <c r="AE1011" s="124"/>
      <c r="AI1011" s="74"/>
      <c r="AM1011" s="74"/>
      <c r="AQ1011" s="74"/>
    </row>
    <row r="1012" spans="2:43" s="123" customFormat="1">
      <c r="B1012" s="125"/>
      <c r="D1012" s="125"/>
      <c r="AA1012" s="74"/>
      <c r="AE1012" s="124"/>
      <c r="AI1012" s="74"/>
      <c r="AM1012" s="74"/>
      <c r="AQ1012" s="74"/>
    </row>
    <row r="1013" spans="2:43" s="123" customFormat="1">
      <c r="B1013" s="125"/>
      <c r="D1013" s="125"/>
      <c r="AA1013" s="74"/>
      <c r="AE1013" s="124"/>
      <c r="AI1013" s="74"/>
      <c r="AM1013" s="74"/>
      <c r="AQ1013" s="74"/>
    </row>
    <row r="1014" spans="2:43" s="123" customFormat="1">
      <c r="B1014" s="125"/>
      <c r="D1014" s="125"/>
      <c r="AA1014" s="74"/>
      <c r="AE1014" s="124"/>
      <c r="AI1014" s="74"/>
      <c r="AM1014" s="74"/>
      <c r="AQ1014" s="74"/>
    </row>
    <row r="1015" spans="2:43" s="123" customFormat="1">
      <c r="B1015" s="125"/>
      <c r="D1015" s="125"/>
      <c r="AA1015" s="74"/>
      <c r="AE1015" s="124"/>
      <c r="AI1015" s="74"/>
      <c r="AM1015" s="74"/>
      <c r="AQ1015" s="74"/>
    </row>
    <row r="1016" spans="2:43" s="123" customFormat="1">
      <c r="B1016" s="125"/>
      <c r="D1016" s="125"/>
      <c r="AA1016" s="74"/>
      <c r="AE1016" s="124"/>
      <c r="AI1016" s="74"/>
      <c r="AM1016" s="74"/>
      <c r="AQ1016" s="74"/>
    </row>
    <row r="1017" spans="2:43" s="123" customFormat="1">
      <c r="B1017" s="125"/>
      <c r="D1017" s="125"/>
      <c r="AA1017" s="74"/>
      <c r="AE1017" s="124"/>
      <c r="AI1017" s="74"/>
      <c r="AM1017" s="74"/>
      <c r="AQ1017" s="74"/>
    </row>
    <row r="1018" spans="2:43" s="123" customFormat="1">
      <c r="B1018" s="125"/>
      <c r="D1018" s="125"/>
      <c r="AA1018" s="74"/>
      <c r="AE1018" s="124"/>
      <c r="AI1018" s="74"/>
      <c r="AM1018" s="74"/>
      <c r="AQ1018" s="74"/>
    </row>
    <row r="1019" spans="2:43" s="123" customFormat="1">
      <c r="B1019" s="125"/>
      <c r="D1019" s="125"/>
      <c r="AA1019" s="74"/>
      <c r="AE1019" s="124"/>
      <c r="AI1019" s="74"/>
      <c r="AM1019" s="74"/>
      <c r="AQ1019" s="74"/>
    </row>
    <row r="1020" spans="2:43" s="123" customFormat="1">
      <c r="B1020" s="125"/>
      <c r="D1020" s="125"/>
      <c r="AA1020" s="74"/>
      <c r="AE1020" s="124"/>
      <c r="AI1020" s="74"/>
      <c r="AM1020" s="74"/>
      <c r="AQ1020" s="74"/>
    </row>
    <row r="1021" spans="2:43" s="123" customFormat="1">
      <c r="B1021" s="125"/>
      <c r="D1021" s="125"/>
      <c r="AA1021" s="74"/>
      <c r="AE1021" s="124"/>
      <c r="AI1021" s="74"/>
      <c r="AM1021" s="74"/>
      <c r="AQ1021" s="74"/>
    </row>
    <row r="1022" spans="2:43" s="123" customFormat="1">
      <c r="B1022" s="125"/>
      <c r="D1022" s="125"/>
      <c r="AA1022" s="74"/>
      <c r="AE1022" s="124"/>
      <c r="AI1022" s="74"/>
      <c r="AM1022" s="74"/>
      <c r="AQ1022" s="74"/>
    </row>
    <row r="1023" spans="2:43" s="123" customFormat="1">
      <c r="B1023" s="125"/>
      <c r="D1023" s="125"/>
      <c r="AA1023" s="74"/>
      <c r="AE1023" s="124"/>
      <c r="AI1023" s="74"/>
      <c r="AM1023" s="74"/>
      <c r="AQ1023" s="74"/>
    </row>
    <row r="1024" spans="2:43" s="123" customFormat="1">
      <c r="B1024" s="125"/>
      <c r="D1024" s="125"/>
      <c r="AA1024" s="74"/>
      <c r="AE1024" s="124"/>
      <c r="AI1024" s="74"/>
      <c r="AM1024" s="74"/>
      <c r="AQ1024" s="74"/>
    </row>
    <row r="1025" spans="2:43" s="123" customFormat="1">
      <c r="B1025" s="125"/>
      <c r="D1025" s="125"/>
      <c r="AA1025" s="74"/>
      <c r="AE1025" s="124"/>
      <c r="AI1025" s="74"/>
      <c r="AM1025" s="74"/>
      <c r="AQ1025" s="74"/>
    </row>
    <row r="1026" spans="2:43" s="123" customFormat="1">
      <c r="B1026" s="125"/>
      <c r="D1026" s="125"/>
      <c r="AA1026" s="74"/>
      <c r="AE1026" s="124"/>
      <c r="AI1026" s="74"/>
      <c r="AM1026" s="74"/>
      <c r="AQ1026" s="74"/>
    </row>
    <row r="1027" spans="2:43" s="123" customFormat="1">
      <c r="B1027" s="125"/>
      <c r="D1027" s="125"/>
      <c r="AA1027" s="74"/>
      <c r="AE1027" s="124"/>
      <c r="AI1027" s="74"/>
      <c r="AM1027" s="74"/>
      <c r="AQ1027" s="74"/>
    </row>
    <row r="1028" spans="2:43" s="123" customFormat="1">
      <c r="B1028" s="125"/>
      <c r="D1028" s="125"/>
      <c r="AA1028" s="74"/>
      <c r="AE1028" s="124"/>
      <c r="AI1028" s="74"/>
      <c r="AM1028" s="74"/>
      <c r="AQ1028" s="74"/>
    </row>
    <row r="1029" spans="2:43" s="123" customFormat="1">
      <c r="B1029" s="125"/>
      <c r="D1029" s="125"/>
      <c r="AA1029" s="74"/>
      <c r="AE1029" s="124"/>
      <c r="AI1029" s="74"/>
      <c r="AM1029" s="74"/>
      <c r="AQ1029" s="74"/>
    </row>
    <row r="1030" spans="2:43" s="123" customFormat="1">
      <c r="B1030" s="125"/>
      <c r="D1030" s="125"/>
      <c r="AA1030" s="74"/>
      <c r="AE1030" s="124"/>
      <c r="AI1030" s="74"/>
      <c r="AM1030" s="74"/>
      <c r="AQ1030" s="74"/>
    </row>
    <row r="1031" spans="2:43" s="123" customFormat="1">
      <c r="B1031" s="125"/>
      <c r="D1031" s="125"/>
      <c r="AA1031" s="74"/>
      <c r="AE1031" s="124"/>
      <c r="AI1031" s="74"/>
      <c r="AM1031" s="74"/>
      <c r="AQ1031" s="74"/>
    </row>
    <row r="1032" spans="2:43" s="123" customFormat="1">
      <c r="B1032" s="125"/>
      <c r="D1032" s="125"/>
      <c r="AA1032" s="74"/>
      <c r="AE1032" s="124"/>
      <c r="AI1032" s="74"/>
      <c r="AM1032" s="74"/>
      <c r="AQ1032" s="74"/>
    </row>
    <row r="1033" spans="2:43" s="123" customFormat="1">
      <c r="B1033" s="125"/>
      <c r="D1033" s="125"/>
      <c r="AA1033" s="74"/>
      <c r="AE1033" s="124"/>
      <c r="AI1033" s="74"/>
      <c r="AM1033" s="74"/>
      <c r="AQ1033" s="74"/>
    </row>
    <row r="1034" spans="2:43" s="123" customFormat="1">
      <c r="B1034" s="125"/>
      <c r="D1034" s="125"/>
      <c r="AA1034" s="74"/>
      <c r="AE1034" s="124"/>
      <c r="AI1034" s="74"/>
      <c r="AM1034" s="74"/>
      <c r="AQ1034" s="74"/>
    </row>
    <row r="1035" spans="2:43" s="123" customFormat="1">
      <c r="B1035" s="125"/>
      <c r="D1035" s="125"/>
      <c r="AA1035" s="74"/>
      <c r="AE1035" s="124"/>
      <c r="AI1035" s="74"/>
      <c r="AM1035" s="74"/>
      <c r="AQ1035" s="74"/>
    </row>
    <row r="1036" spans="2:43" s="123" customFormat="1">
      <c r="B1036" s="125"/>
      <c r="D1036" s="125"/>
      <c r="AA1036" s="74"/>
      <c r="AE1036" s="124"/>
      <c r="AI1036" s="74"/>
      <c r="AM1036" s="74"/>
      <c r="AQ1036" s="74"/>
    </row>
    <row r="1037" spans="2:43" s="123" customFormat="1">
      <c r="B1037" s="125"/>
      <c r="D1037" s="125"/>
      <c r="AA1037" s="74"/>
      <c r="AE1037" s="124"/>
      <c r="AI1037" s="74"/>
      <c r="AM1037" s="74"/>
      <c r="AQ1037" s="74"/>
    </row>
    <row r="1038" spans="2:43" s="123" customFormat="1">
      <c r="B1038" s="125"/>
      <c r="D1038" s="125"/>
      <c r="AA1038" s="74"/>
      <c r="AE1038" s="124"/>
      <c r="AI1038" s="74"/>
      <c r="AM1038" s="74"/>
      <c r="AQ1038" s="74"/>
    </row>
    <row r="1039" spans="2:43" s="123" customFormat="1">
      <c r="B1039" s="125"/>
      <c r="D1039" s="125"/>
      <c r="AA1039" s="74"/>
      <c r="AE1039" s="124"/>
      <c r="AI1039" s="74"/>
      <c r="AM1039" s="74"/>
      <c r="AQ1039" s="74"/>
    </row>
    <row r="1040" spans="2:43" s="123" customFormat="1">
      <c r="B1040" s="125"/>
      <c r="D1040" s="125"/>
      <c r="AA1040" s="74"/>
      <c r="AE1040" s="124"/>
      <c r="AI1040" s="74"/>
      <c r="AM1040" s="74"/>
      <c r="AQ1040" s="74"/>
    </row>
    <row r="1041" spans="2:43" s="123" customFormat="1">
      <c r="B1041" s="125"/>
      <c r="D1041" s="125"/>
      <c r="AA1041" s="74"/>
      <c r="AE1041" s="124"/>
      <c r="AI1041" s="74"/>
      <c r="AM1041" s="74"/>
      <c r="AQ1041" s="74"/>
    </row>
    <row r="1042" spans="2:43" s="123" customFormat="1">
      <c r="B1042" s="125"/>
      <c r="D1042" s="125"/>
      <c r="AA1042" s="74"/>
      <c r="AE1042" s="124"/>
      <c r="AI1042" s="74"/>
      <c r="AM1042" s="74"/>
      <c r="AQ1042" s="74"/>
    </row>
    <row r="1043" spans="2:43" s="123" customFormat="1">
      <c r="B1043" s="125"/>
      <c r="D1043" s="125"/>
      <c r="AA1043" s="74"/>
      <c r="AE1043" s="124"/>
      <c r="AI1043" s="74"/>
      <c r="AM1043" s="74"/>
      <c r="AQ1043" s="74"/>
    </row>
    <row r="1044" spans="2:43" s="123" customFormat="1">
      <c r="B1044" s="125"/>
      <c r="D1044" s="125"/>
      <c r="AA1044" s="74"/>
      <c r="AE1044" s="124"/>
      <c r="AI1044" s="74"/>
      <c r="AM1044" s="74"/>
      <c r="AQ1044" s="74"/>
    </row>
    <row r="1045" spans="2:43" s="123" customFormat="1">
      <c r="B1045" s="125"/>
      <c r="D1045" s="125"/>
      <c r="AA1045" s="74"/>
      <c r="AE1045" s="124"/>
      <c r="AI1045" s="74"/>
      <c r="AM1045" s="74"/>
      <c r="AQ1045" s="74"/>
    </row>
    <row r="1046" spans="2:43" s="123" customFormat="1">
      <c r="B1046" s="125"/>
      <c r="D1046" s="125"/>
      <c r="AA1046" s="74"/>
      <c r="AE1046" s="124"/>
      <c r="AI1046" s="74"/>
      <c r="AM1046" s="74"/>
      <c r="AQ1046" s="74"/>
    </row>
    <row r="1047" spans="2:43" s="123" customFormat="1">
      <c r="B1047" s="125"/>
      <c r="D1047" s="125"/>
      <c r="AA1047" s="74"/>
      <c r="AE1047" s="124"/>
      <c r="AI1047" s="74"/>
      <c r="AM1047" s="74"/>
      <c r="AQ1047" s="74"/>
    </row>
    <row r="1048" spans="2:43" s="123" customFormat="1">
      <c r="B1048" s="125"/>
      <c r="D1048" s="125"/>
      <c r="AA1048" s="74"/>
      <c r="AE1048" s="124"/>
      <c r="AI1048" s="74"/>
      <c r="AM1048" s="74"/>
      <c r="AQ1048" s="74"/>
    </row>
    <row r="1049" spans="2:43" s="123" customFormat="1">
      <c r="B1049" s="125"/>
      <c r="D1049" s="125"/>
      <c r="AA1049" s="74"/>
      <c r="AE1049" s="124"/>
      <c r="AI1049" s="74"/>
      <c r="AM1049" s="74"/>
      <c r="AQ1049" s="74"/>
    </row>
    <row r="1050" spans="2:43" s="123" customFormat="1">
      <c r="B1050" s="125"/>
      <c r="D1050" s="125"/>
      <c r="AA1050" s="74"/>
      <c r="AE1050" s="124"/>
      <c r="AI1050" s="74"/>
      <c r="AM1050" s="74"/>
      <c r="AQ1050" s="74"/>
    </row>
    <row r="1051" spans="2:43" s="123" customFormat="1">
      <c r="B1051" s="125"/>
      <c r="D1051" s="125"/>
      <c r="AA1051" s="74"/>
      <c r="AE1051" s="124"/>
      <c r="AI1051" s="74"/>
      <c r="AM1051" s="74"/>
      <c r="AQ1051" s="74"/>
    </row>
    <row r="1052" spans="2:43" s="123" customFormat="1">
      <c r="B1052" s="125"/>
      <c r="D1052" s="125"/>
      <c r="AA1052" s="74"/>
      <c r="AE1052" s="124"/>
      <c r="AI1052" s="74"/>
      <c r="AM1052" s="74"/>
      <c r="AQ1052" s="74"/>
    </row>
    <row r="1053" spans="2:43" s="123" customFormat="1">
      <c r="B1053" s="125"/>
      <c r="D1053" s="125"/>
      <c r="AA1053" s="74"/>
      <c r="AE1053" s="124"/>
      <c r="AI1053" s="74"/>
      <c r="AM1053" s="74"/>
      <c r="AQ1053" s="74"/>
    </row>
    <row r="1054" spans="2:43" s="123" customFormat="1">
      <c r="B1054" s="125"/>
      <c r="D1054" s="125"/>
      <c r="AA1054" s="74"/>
      <c r="AE1054" s="124"/>
      <c r="AI1054" s="74"/>
      <c r="AM1054" s="74"/>
      <c r="AQ1054" s="74"/>
    </row>
    <row r="1055" spans="2:43" s="123" customFormat="1">
      <c r="B1055" s="125"/>
      <c r="D1055" s="125"/>
      <c r="AA1055" s="74"/>
      <c r="AE1055" s="124"/>
      <c r="AI1055" s="74"/>
      <c r="AM1055" s="74"/>
      <c r="AQ1055" s="74"/>
    </row>
    <row r="1056" spans="2:43" s="123" customFormat="1">
      <c r="B1056" s="125"/>
      <c r="D1056" s="125"/>
      <c r="AA1056" s="74"/>
      <c r="AE1056" s="124"/>
      <c r="AI1056" s="74"/>
      <c r="AM1056" s="74"/>
      <c r="AQ1056" s="74"/>
    </row>
    <row r="1057" spans="2:43" s="123" customFormat="1">
      <c r="B1057" s="125"/>
      <c r="D1057" s="125"/>
      <c r="AA1057" s="74"/>
      <c r="AE1057" s="124"/>
      <c r="AI1057" s="74"/>
      <c r="AM1057" s="74"/>
      <c r="AQ1057" s="74"/>
    </row>
    <row r="1058" spans="2:43" s="123" customFormat="1">
      <c r="B1058" s="125"/>
      <c r="D1058" s="125"/>
      <c r="AA1058" s="74"/>
      <c r="AE1058" s="124"/>
      <c r="AI1058" s="74"/>
      <c r="AM1058" s="74"/>
      <c r="AQ1058" s="74"/>
    </row>
    <row r="1059" spans="2:43" s="123" customFormat="1">
      <c r="B1059" s="125"/>
      <c r="D1059" s="125"/>
      <c r="AA1059" s="74"/>
      <c r="AE1059" s="124"/>
      <c r="AI1059" s="74"/>
      <c r="AM1059" s="74"/>
      <c r="AQ1059" s="74"/>
    </row>
    <row r="1060" spans="2:43" s="123" customFormat="1">
      <c r="B1060" s="125"/>
      <c r="D1060" s="125"/>
      <c r="AA1060" s="74"/>
      <c r="AE1060" s="124"/>
      <c r="AI1060" s="74"/>
      <c r="AM1060" s="74"/>
      <c r="AQ1060" s="74"/>
    </row>
    <row r="1061" spans="2:43" s="123" customFormat="1">
      <c r="B1061" s="125"/>
      <c r="D1061" s="125"/>
      <c r="AA1061" s="74"/>
      <c r="AE1061" s="124"/>
      <c r="AI1061" s="74"/>
      <c r="AM1061" s="74"/>
      <c r="AQ1061" s="74"/>
    </row>
    <row r="1062" spans="2:43" s="123" customFormat="1">
      <c r="B1062" s="125"/>
      <c r="D1062" s="125"/>
      <c r="AA1062" s="74"/>
      <c r="AE1062" s="124"/>
      <c r="AI1062" s="74"/>
      <c r="AM1062" s="74"/>
      <c r="AQ1062" s="74"/>
    </row>
    <row r="1063" spans="2:43" s="123" customFormat="1">
      <c r="B1063" s="125"/>
      <c r="D1063" s="125"/>
      <c r="AA1063" s="74"/>
      <c r="AE1063" s="124"/>
      <c r="AI1063" s="74"/>
      <c r="AM1063" s="74"/>
      <c r="AQ1063" s="74"/>
    </row>
    <row r="1064" spans="2:43" s="123" customFormat="1">
      <c r="B1064" s="125"/>
      <c r="D1064" s="125"/>
      <c r="AA1064" s="74"/>
      <c r="AE1064" s="124"/>
      <c r="AI1064" s="74"/>
      <c r="AM1064" s="74"/>
      <c r="AQ1064" s="74"/>
    </row>
    <row r="1065" spans="2:43" s="123" customFormat="1">
      <c r="B1065" s="125"/>
      <c r="D1065" s="125"/>
      <c r="AA1065" s="74"/>
      <c r="AE1065" s="124"/>
      <c r="AI1065" s="74"/>
      <c r="AM1065" s="74"/>
      <c r="AQ1065" s="74"/>
    </row>
    <row r="1066" spans="2:43" s="123" customFormat="1">
      <c r="B1066" s="125"/>
      <c r="D1066" s="125"/>
      <c r="AA1066" s="74"/>
      <c r="AE1066" s="124"/>
      <c r="AI1066" s="74"/>
      <c r="AM1066" s="74"/>
      <c r="AQ1066" s="74"/>
    </row>
    <row r="1067" spans="2:43" s="123" customFormat="1">
      <c r="B1067" s="125"/>
      <c r="D1067" s="125"/>
      <c r="AA1067" s="74"/>
      <c r="AE1067" s="124"/>
      <c r="AI1067" s="74"/>
      <c r="AM1067" s="74"/>
      <c r="AQ1067" s="74"/>
    </row>
    <row r="1068" spans="2:43" s="123" customFormat="1">
      <c r="B1068" s="125"/>
      <c r="D1068" s="125"/>
      <c r="AA1068" s="74"/>
      <c r="AE1068" s="124"/>
      <c r="AI1068" s="74"/>
      <c r="AM1068" s="74"/>
      <c r="AQ1068" s="74"/>
    </row>
    <row r="1069" spans="2:43" s="123" customFormat="1">
      <c r="B1069" s="125"/>
      <c r="D1069" s="125"/>
      <c r="AA1069" s="74"/>
      <c r="AE1069" s="124"/>
      <c r="AI1069" s="74"/>
      <c r="AM1069" s="74"/>
      <c r="AQ1069" s="74"/>
    </row>
    <row r="1070" spans="2:43" s="123" customFormat="1">
      <c r="B1070" s="125"/>
      <c r="D1070" s="125"/>
      <c r="AA1070" s="74"/>
      <c r="AE1070" s="124"/>
      <c r="AI1070" s="74"/>
      <c r="AM1070" s="74"/>
      <c r="AQ1070" s="74"/>
    </row>
    <row r="1071" spans="2:43" s="123" customFormat="1">
      <c r="B1071" s="125"/>
      <c r="D1071" s="125"/>
      <c r="AA1071" s="74"/>
      <c r="AE1071" s="124"/>
      <c r="AI1071" s="74"/>
      <c r="AM1071" s="74"/>
      <c r="AQ1071" s="74"/>
    </row>
    <row r="1072" spans="2:43" s="123" customFormat="1">
      <c r="B1072" s="125"/>
      <c r="D1072" s="125"/>
      <c r="AA1072" s="74"/>
      <c r="AE1072" s="124"/>
      <c r="AI1072" s="74"/>
      <c r="AM1072" s="74"/>
      <c r="AQ1072" s="74"/>
    </row>
    <row r="1073" spans="2:43" s="123" customFormat="1">
      <c r="B1073" s="125"/>
      <c r="D1073" s="125"/>
      <c r="AA1073" s="74"/>
      <c r="AE1073" s="124"/>
      <c r="AI1073" s="74"/>
      <c r="AM1073" s="74"/>
      <c r="AQ1073" s="74"/>
    </row>
    <row r="1074" spans="2:43" s="123" customFormat="1">
      <c r="B1074" s="125"/>
      <c r="D1074" s="125"/>
      <c r="AA1074" s="74"/>
      <c r="AE1074" s="124"/>
      <c r="AI1074" s="74"/>
      <c r="AM1074" s="74"/>
      <c r="AQ1074" s="74"/>
    </row>
    <row r="1075" spans="2:43" s="123" customFormat="1">
      <c r="B1075" s="125"/>
      <c r="D1075" s="125"/>
      <c r="AA1075" s="74"/>
      <c r="AE1075" s="124"/>
      <c r="AI1075" s="74"/>
      <c r="AM1075" s="74"/>
      <c r="AQ1075" s="74"/>
    </row>
    <row r="1076" spans="2:43" s="123" customFormat="1">
      <c r="B1076" s="125"/>
      <c r="D1076" s="125"/>
      <c r="AA1076" s="74"/>
      <c r="AE1076" s="124"/>
      <c r="AI1076" s="74"/>
      <c r="AM1076" s="74"/>
      <c r="AQ1076" s="74"/>
    </row>
    <row r="1077" spans="2:43" s="123" customFormat="1">
      <c r="B1077" s="125"/>
      <c r="D1077" s="125"/>
      <c r="AA1077" s="74"/>
      <c r="AE1077" s="124"/>
      <c r="AI1077" s="74"/>
      <c r="AM1077" s="74"/>
      <c r="AQ1077" s="74"/>
    </row>
    <row r="1078" spans="2:43" s="123" customFormat="1">
      <c r="B1078" s="125"/>
      <c r="D1078" s="125"/>
      <c r="AA1078" s="74"/>
      <c r="AE1078" s="124"/>
      <c r="AI1078" s="74"/>
      <c r="AM1078" s="74"/>
      <c r="AQ1078" s="74"/>
    </row>
    <row r="1079" spans="2:43" s="123" customFormat="1">
      <c r="B1079" s="125"/>
      <c r="D1079" s="125"/>
      <c r="AA1079" s="74"/>
      <c r="AE1079" s="124"/>
      <c r="AI1079" s="74"/>
      <c r="AM1079" s="74"/>
      <c r="AQ1079" s="74"/>
    </row>
    <row r="1080" spans="2:43" s="123" customFormat="1">
      <c r="B1080" s="125"/>
      <c r="D1080" s="125"/>
      <c r="AA1080" s="74"/>
      <c r="AE1080" s="124"/>
      <c r="AI1080" s="74"/>
      <c r="AM1080" s="74"/>
      <c r="AQ1080" s="74"/>
    </row>
    <row r="1081" spans="2:43" s="123" customFormat="1">
      <c r="B1081" s="125"/>
      <c r="D1081" s="125"/>
      <c r="AA1081" s="74"/>
      <c r="AE1081" s="124"/>
      <c r="AI1081" s="74"/>
      <c r="AM1081" s="74"/>
      <c r="AQ1081" s="74"/>
    </row>
    <row r="1082" spans="2:43" s="123" customFormat="1">
      <c r="B1082" s="125"/>
      <c r="D1082" s="125"/>
      <c r="AA1082" s="74"/>
      <c r="AE1082" s="124"/>
      <c r="AI1082" s="74"/>
      <c r="AM1082" s="74"/>
      <c r="AQ1082" s="74"/>
    </row>
    <row r="1083" spans="2:43" s="123" customFormat="1">
      <c r="B1083" s="125"/>
      <c r="D1083" s="125"/>
      <c r="AA1083" s="74"/>
      <c r="AE1083" s="124"/>
      <c r="AI1083" s="74"/>
      <c r="AM1083" s="74"/>
      <c r="AQ1083" s="74"/>
    </row>
    <row r="1084" spans="2:43" s="123" customFormat="1">
      <c r="B1084" s="125"/>
      <c r="D1084" s="125"/>
      <c r="AA1084" s="74"/>
      <c r="AE1084" s="124"/>
      <c r="AI1084" s="74"/>
      <c r="AM1084" s="74"/>
      <c r="AQ1084" s="74"/>
    </row>
    <row r="1085" spans="2:43" s="123" customFormat="1">
      <c r="B1085" s="125"/>
      <c r="D1085" s="125"/>
      <c r="AA1085" s="74"/>
      <c r="AE1085" s="124"/>
      <c r="AI1085" s="74"/>
      <c r="AM1085" s="74"/>
      <c r="AQ1085" s="74"/>
    </row>
    <row r="1086" spans="2:43" s="123" customFormat="1">
      <c r="B1086" s="125"/>
      <c r="D1086" s="125"/>
      <c r="AA1086" s="74"/>
      <c r="AE1086" s="124"/>
      <c r="AI1086" s="74"/>
      <c r="AM1086" s="74"/>
      <c r="AQ1086" s="74"/>
    </row>
    <row r="1087" spans="2:43" s="123" customFormat="1">
      <c r="B1087" s="125"/>
      <c r="D1087" s="125"/>
      <c r="AA1087" s="74"/>
      <c r="AE1087" s="124"/>
      <c r="AI1087" s="74"/>
      <c r="AM1087" s="74"/>
      <c r="AQ1087" s="74"/>
    </row>
    <row r="1088" spans="2:43" s="123" customFormat="1">
      <c r="B1088" s="125"/>
      <c r="D1088" s="125"/>
      <c r="AA1088" s="74"/>
      <c r="AE1088" s="124"/>
      <c r="AI1088" s="74"/>
      <c r="AM1088" s="74"/>
      <c r="AQ1088" s="74"/>
    </row>
    <row r="1089" spans="2:43" s="123" customFormat="1">
      <c r="B1089" s="125"/>
      <c r="D1089" s="125"/>
      <c r="AA1089" s="74"/>
      <c r="AE1089" s="124"/>
      <c r="AI1089" s="74"/>
      <c r="AM1089" s="74"/>
      <c r="AQ1089" s="74"/>
    </row>
    <row r="1090" spans="2:43" s="123" customFormat="1">
      <c r="B1090" s="125"/>
      <c r="D1090" s="125"/>
      <c r="AA1090" s="74"/>
      <c r="AE1090" s="124"/>
      <c r="AI1090" s="74"/>
      <c r="AM1090" s="74"/>
      <c r="AQ1090" s="74"/>
    </row>
    <row r="1091" spans="2:43" s="123" customFormat="1">
      <c r="B1091" s="125"/>
      <c r="D1091" s="125"/>
      <c r="AA1091" s="74"/>
      <c r="AE1091" s="124"/>
      <c r="AI1091" s="74"/>
      <c r="AM1091" s="74"/>
      <c r="AQ1091" s="74"/>
    </row>
    <row r="1092" spans="2:43" s="123" customFormat="1">
      <c r="B1092" s="125"/>
      <c r="D1092" s="125"/>
      <c r="AA1092" s="74"/>
      <c r="AE1092" s="124"/>
      <c r="AI1092" s="74"/>
      <c r="AM1092" s="74"/>
      <c r="AQ1092" s="74"/>
    </row>
    <row r="1093" spans="2:43" s="123" customFormat="1">
      <c r="B1093" s="125"/>
      <c r="D1093" s="125"/>
      <c r="AA1093" s="74"/>
      <c r="AE1093" s="124"/>
      <c r="AI1093" s="74"/>
      <c r="AM1093" s="74"/>
      <c r="AQ1093" s="74"/>
    </row>
    <row r="1094" spans="2:43" s="123" customFormat="1">
      <c r="B1094" s="125"/>
      <c r="D1094" s="125"/>
      <c r="AA1094" s="74"/>
      <c r="AE1094" s="124"/>
      <c r="AI1094" s="74"/>
      <c r="AM1094" s="74"/>
      <c r="AQ1094" s="74"/>
    </row>
    <row r="1095" spans="2:43" s="123" customFormat="1">
      <c r="B1095" s="125"/>
      <c r="D1095" s="125"/>
      <c r="AA1095" s="74"/>
      <c r="AE1095" s="124"/>
      <c r="AI1095" s="74"/>
      <c r="AM1095" s="74"/>
      <c r="AQ1095" s="74"/>
    </row>
    <row r="1096" spans="2:43" s="123" customFormat="1">
      <c r="B1096" s="125"/>
      <c r="D1096" s="125"/>
      <c r="AA1096" s="74"/>
      <c r="AE1096" s="124"/>
      <c r="AI1096" s="74"/>
      <c r="AM1096" s="74"/>
      <c r="AQ1096" s="74"/>
    </row>
    <row r="1097" spans="2:43" s="123" customFormat="1">
      <c r="B1097" s="125"/>
      <c r="D1097" s="125"/>
      <c r="AA1097" s="74"/>
      <c r="AE1097" s="124"/>
      <c r="AI1097" s="74"/>
      <c r="AM1097" s="74"/>
      <c r="AQ1097" s="74"/>
    </row>
    <row r="1098" spans="2:43" s="123" customFormat="1">
      <c r="B1098" s="125"/>
      <c r="D1098" s="125"/>
      <c r="AA1098" s="74"/>
      <c r="AE1098" s="124"/>
      <c r="AI1098" s="74"/>
      <c r="AM1098" s="74"/>
      <c r="AQ1098" s="74"/>
    </row>
    <row r="1099" spans="2:43" s="123" customFormat="1">
      <c r="B1099" s="125"/>
      <c r="D1099" s="125"/>
      <c r="AA1099" s="74"/>
      <c r="AE1099" s="124"/>
      <c r="AI1099" s="74"/>
      <c r="AM1099" s="74"/>
      <c r="AQ1099" s="74"/>
    </row>
    <row r="1100" spans="2:43" s="123" customFormat="1">
      <c r="B1100" s="125"/>
      <c r="D1100" s="125"/>
      <c r="AA1100" s="74"/>
      <c r="AE1100" s="124"/>
      <c r="AI1100" s="74"/>
      <c r="AM1100" s="74"/>
      <c r="AQ1100" s="74"/>
    </row>
    <row r="1101" spans="2:43" s="123" customFormat="1">
      <c r="B1101" s="125"/>
      <c r="D1101" s="125"/>
      <c r="AA1101" s="74"/>
      <c r="AE1101" s="124"/>
      <c r="AI1101" s="74"/>
      <c r="AM1101" s="74"/>
      <c r="AQ1101" s="74"/>
    </row>
    <row r="1102" spans="2:43" s="123" customFormat="1">
      <c r="B1102" s="125"/>
      <c r="D1102" s="125"/>
      <c r="AA1102" s="74"/>
      <c r="AE1102" s="124"/>
      <c r="AI1102" s="74"/>
      <c r="AM1102" s="74"/>
      <c r="AQ1102" s="74"/>
    </row>
    <row r="1103" spans="2:43" s="123" customFormat="1">
      <c r="B1103" s="125"/>
      <c r="D1103" s="125"/>
      <c r="AA1103" s="74"/>
      <c r="AE1103" s="124"/>
      <c r="AI1103" s="74"/>
      <c r="AM1103" s="74"/>
      <c r="AQ1103" s="74"/>
    </row>
    <row r="1104" spans="2:43" s="123" customFormat="1">
      <c r="B1104" s="125"/>
      <c r="D1104" s="125"/>
      <c r="AA1104" s="74"/>
      <c r="AE1104" s="124"/>
      <c r="AI1104" s="74"/>
      <c r="AM1104" s="74"/>
      <c r="AQ1104" s="74"/>
    </row>
    <row r="1105" spans="2:43" s="123" customFormat="1">
      <c r="B1105" s="125"/>
      <c r="D1105" s="125"/>
      <c r="AA1105" s="74"/>
      <c r="AE1105" s="124"/>
      <c r="AI1105" s="74"/>
      <c r="AM1105" s="74"/>
      <c r="AQ1105" s="74"/>
    </row>
    <row r="1106" spans="2:43" s="123" customFormat="1">
      <c r="B1106" s="125"/>
      <c r="D1106" s="125"/>
      <c r="AA1106" s="74"/>
      <c r="AE1106" s="124"/>
      <c r="AI1106" s="74"/>
      <c r="AM1106" s="74"/>
      <c r="AQ1106" s="74"/>
    </row>
    <row r="1107" spans="2:43" s="123" customFormat="1">
      <c r="B1107" s="125"/>
      <c r="D1107" s="125"/>
      <c r="AA1107" s="74"/>
      <c r="AE1107" s="124"/>
      <c r="AI1107" s="74"/>
      <c r="AM1107" s="74"/>
      <c r="AQ1107" s="74"/>
    </row>
    <row r="1108" spans="2:43" s="123" customFormat="1">
      <c r="B1108" s="125"/>
      <c r="D1108" s="125"/>
      <c r="AA1108" s="74"/>
      <c r="AE1108" s="124"/>
      <c r="AI1108" s="74"/>
      <c r="AM1108" s="74"/>
      <c r="AQ1108" s="74"/>
    </row>
    <row r="1109" spans="2:43" s="123" customFormat="1">
      <c r="B1109" s="125"/>
      <c r="D1109" s="125"/>
      <c r="AA1109" s="74"/>
      <c r="AE1109" s="124"/>
      <c r="AI1109" s="74"/>
      <c r="AM1109" s="74"/>
      <c r="AQ1109" s="74"/>
    </row>
    <row r="1110" spans="2:43" s="123" customFormat="1">
      <c r="B1110" s="125"/>
      <c r="D1110" s="125"/>
      <c r="AA1110" s="74"/>
      <c r="AE1110" s="124"/>
      <c r="AI1110" s="74"/>
      <c r="AM1110" s="74"/>
      <c r="AQ1110" s="74"/>
    </row>
    <row r="1111" spans="2:43" s="123" customFormat="1">
      <c r="B1111" s="125"/>
      <c r="D1111" s="125"/>
      <c r="AA1111" s="74"/>
      <c r="AE1111" s="124"/>
      <c r="AI1111" s="74"/>
      <c r="AM1111" s="74"/>
      <c r="AQ1111" s="74"/>
    </row>
    <row r="1112" spans="2:43" s="123" customFormat="1">
      <c r="B1112" s="125"/>
      <c r="D1112" s="125"/>
      <c r="AA1112" s="74"/>
      <c r="AE1112" s="124"/>
      <c r="AI1112" s="74"/>
      <c r="AM1112" s="74"/>
      <c r="AQ1112" s="74"/>
    </row>
    <row r="1113" spans="2:43" s="123" customFormat="1">
      <c r="B1113" s="125"/>
      <c r="D1113" s="125"/>
      <c r="AA1113" s="74"/>
      <c r="AE1113" s="124"/>
      <c r="AI1113" s="74"/>
      <c r="AM1113" s="74"/>
      <c r="AQ1113" s="74"/>
    </row>
    <row r="1114" spans="2:43" s="123" customFormat="1">
      <c r="B1114" s="125"/>
      <c r="D1114" s="125"/>
      <c r="AA1114" s="74"/>
      <c r="AE1114" s="124"/>
      <c r="AI1114" s="74"/>
      <c r="AM1114" s="74"/>
      <c r="AQ1114" s="74"/>
    </row>
    <row r="1115" spans="2:43" s="123" customFormat="1">
      <c r="B1115" s="125"/>
      <c r="D1115" s="125"/>
      <c r="AA1115" s="74"/>
      <c r="AE1115" s="124"/>
      <c r="AI1115" s="74"/>
      <c r="AM1115" s="74"/>
      <c r="AQ1115" s="74"/>
    </row>
    <row r="1116" spans="2:43" s="123" customFormat="1">
      <c r="B1116" s="125"/>
      <c r="D1116" s="125"/>
      <c r="AA1116" s="74"/>
      <c r="AE1116" s="124"/>
      <c r="AI1116" s="74"/>
      <c r="AM1116" s="74"/>
      <c r="AQ1116" s="74"/>
    </row>
    <row r="1117" spans="2:43" s="123" customFormat="1">
      <c r="B1117" s="125"/>
      <c r="D1117" s="125"/>
      <c r="AA1117" s="74"/>
      <c r="AE1117" s="124"/>
      <c r="AI1117" s="74"/>
      <c r="AM1117" s="74"/>
      <c r="AQ1117" s="74"/>
    </row>
    <row r="1118" spans="2:43" s="123" customFormat="1">
      <c r="B1118" s="125"/>
      <c r="D1118" s="125"/>
      <c r="AA1118" s="74"/>
      <c r="AE1118" s="124"/>
      <c r="AI1118" s="74"/>
      <c r="AM1118" s="74"/>
      <c r="AQ1118" s="74"/>
    </row>
    <row r="1119" spans="2:43" s="123" customFormat="1">
      <c r="B1119" s="125"/>
      <c r="D1119" s="125"/>
      <c r="AA1119" s="74"/>
      <c r="AE1119" s="124"/>
      <c r="AI1119" s="74"/>
      <c r="AM1119" s="74"/>
      <c r="AQ1119" s="74"/>
    </row>
    <row r="1120" spans="2:43" s="123" customFormat="1">
      <c r="B1120" s="125"/>
      <c r="D1120" s="125"/>
      <c r="AA1120" s="74"/>
      <c r="AE1120" s="124"/>
      <c r="AI1120" s="74"/>
      <c r="AM1120" s="74"/>
      <c r="AQ1120" s="74"/>
    </row>
    <row r="1121" spans="2:43" s="123" customFormat="1">
      <c r="B1121" s="125"/>
      <c r="D1121" s="125"/>
      <c r="AA1121" s="74"/>
      <c r="AE1121" s="124"/>
      <c r="AI1121" s="74"/>
      <c r="AM1121" s="74"/>
      <c r="AQ1121" s="74"/>
    </row>
    <row r="1122" spans="2:43" s="123" customFormat="1">
      <c r="B1122" s="125"/>
      <c r="D1122" s="125"/>
      <c r="AA1122" s="74"/>
      <c r="AE1122" s="124"/>
      <c r="AI1122" s="74"/>
      <c r="AM1122" s="74"/>
      <c r="AQ1122" s="74"/>
    </row>
    <row r="1123" spans="2:43" s="123" customFormat="1">
      <c r="B1123" s="125"/>
      <c r="D1123" s="125"/>
      <c r="AA1123" s="74"/>
      <c r="AE1123" s="124"/>
      <c r="AI1123" s="74"/>
      <c r="AM1123" s="74"/>
      <c r="AQ1123" s="74"/>
    </row>
    <row r="1124" spans="2:43" s="123" customFormat="1">
      <c r="B1124" s="125"/>
      <c r="D1124" s="125"/>
      <c r="AA1124" s="74"/>
      <c r="AE1124" s="124"/>
      <c r="AI1124" s="74"/>
      <c r="AM1124" s="74"/>
      <c r="AQ1124" s="74"/>
    </row>
    <row r="1125" spans="2:43" s="123" customFormat="1">
      <c r="B1125" s="125"/>
      <c r="D1125" s="125"/>
      <c r="AA1125" s="74"/>
      <c r="AE1125" s="124"/>
      <c r="AI1125" s="74"/>
      <c r="AM1125" s="74"/>
      <c r="AQ1125" s="74"/>
    </row>
    <row r="1126" spans="2:43" s="123" customFormat="1">
      <c r="B1126" s="125"/>
      <c r="D1126" s="125"/>
      <c r="AA1126" s="74"/>
      <c r="AE1126" s="124"/>
      <c r="AI1126" s="74"/>
      <c r="AM1126" s="74"/>
      <c r="AQ1126" s="74"/>
    </row>
    <row r="1127" spans="2:43" s="123" customFormat="1">
      <c r="B1127" s="125"/>
      <c r="D1127" s="125"/>
      <c r="AA1127" s="74"/>
      <c r="AE1127" s="124"/>
      <c r="AI1127" s="74"/>
      <c r="AM1127" s="74"/>
      <c r="AQ1127" s="74"/>
    </row>
  </sheetData>
  <mergeCells count="18">
    <mergeCell ref="AL14:AO14"/>
    <mergeCell ref="AP14:AS14"/>
    <mergeCell ref="B1:AC2"/>
    <mergeCell ref="B3:AC4"/>
    <mergeCell ref="B5:AC5"/>
    <mergeCell ref="B6:AC6"/>
    <mergeCell ref="B7:AC7"/>
    <mergeCell ref="B8:AC8"/>
    <mergeCell ref="B90:I90"/>
    <mergeCell ref="B9:AD10"/>
    <mergeCell ref="Z14:AC14"/>
    <mergeCell ref="AD14:AG14"/>
    <mergeCell ref="AH14:AK14"/>
    <mergeCell ref="AT14:AW14"/>
    <mergeCell ref="AX14:BA14"/>
    <mergeCell ref="BB14:BE14"/>
    <mergeCell ref="BF14:BI14"/>
    <mergeCell ref="BJ14:BK14"/>
  </mergeCells>
  <conditionalFormatting sqref="D86:D87">
    <cfRule type="duplicateValues" dxfId="202" priority="1"/>
  </conditionalFormatting>
  <conditionalFormatting sqref="D51:D54 D83 D88">
    <cfRule type="duplicateValues" dxfId="201" priority="52"/>
  </conditionalFormatting>
  <conditionalFormatting sqref="D51:D54">
    <cfRule type="duplicateValues" dxfId="200" priority="53"/>
  </conditionalFormatting>
  <conditionalFormatting sqref="D89">
    <cfRule type="duplicateValues" dxfId="199" priority="54"/>
  </conditionalFormatting>
  <conditionalFormatting sqref="D50">
    <cfRule type="duplicateValues" dxfId="198" priority="50" stopIfTrue="1"/>
  </conditionalFormatting>
  <conditionalFormatting sqref="D47">
    <cfRule type="duplicateValues" dxfId="197" priority="45" stopIfTrue="1"/>
  </conditionalFormatting>
  <conditionalFormatting sqref="D32">
    <cfRule type="duplicateValues" dxfId="196" priority="44" stopIfTrue="1"/>
  </conditionalFormatting>
  <conditionalFormatting sqref="D42">
    <cfRule type="duplicateValues" dxfId="195" priority="43" stopIfTrue="1"/>
  </conditionalFormatting>
  <conditionalFormatting sqref="D49">
    <cfRule type="duplicateValues" dxfId="194" priority="46" stopIfTrue="1"/>
  </conditionalFormatting>
  <conditionalFormatting sqref="D33">
    <cfRule type="duplicateValues" dxfId="193" priority="47" stopIfTrue="1"/>
  </conditionalFormatting>
  <conditionalFormatting sqref="D44 D46">
    <cfRule type="duplicateValues" dxfId="192" priority="42" stopIfTrue="1"/>
  </conditionalFormatting>
  <conditionalFormatting sqref="D45">
    <cfRule type="duplicateValues" dxfId="191" priority="48" stopIfTrue="1"/>
  </conditionalFormatting>
  <conditionalFormatting sqref="D38">
    <cfRule type="duplicateValues" dxfId="190" priority="35" stopIfTrue="1"/>
  </conditionalFormatting>
  <conditionalFormatting sqref="D43">
    <cfRule type="duplicateValues" dxfId="189" priority="36" stopIfTrue="1"/>
  </conditionalFormatting>
  <conditionalFormatting sqref="D37">
    <cfRule type="duplicateValues" dxfId="188" priority="33" stopIfTrue="1"/>
  </conditionalFormatting>
  <conditionalFormatting sqref="D20">
    <cfRule type="duplicateValues" dxfId="187" priority="34" stopIfTrue="1"/>
  </conditionalFormatting>
  <conditionalFormatting sqref="D21">
    <cfRule type="duplicateValues" dxfId="186" priority="32" stopIfTrue="1"/>
  </conditionalFormatting>
  <conditionalFormatting sqref="D18:D19">
    <cfRule type="duplicateValues" dxfId="185" priority="37" stopIfTrue="1"/>
  </conditionalFormatting>
  <conditionalFormatting sqref="D25">
    <cfRule type="duplicateValues" dxfId="184" priority="38" stopIfTrue="1"/>
  </conditionalFormatting>
  <conditionalFormatting sqref="D40">
    <cfRule type="duplicateValues" dxfId="183" priority="39" stopIfTrue="1"/>
  </conditionalFormatting>
  <conditionalFormatting sqref="D30 D27">
    <cfRule type="duplicateValues" dxfId="182" priority="31" stopIfTrue="1"/>
  </conditionalFormatting>
  <conditionalFormatting sqref="D29">
    <cfRule type="duplicateValues" dxfId="181" priority="40" stopIfTrue="1"/>
  </conditionalFormatting>
  <conditionalFormatting sqref="D41 D39 D35">
    <cfRule type="duplicateValues" dxfId="180" priority="30" stopIfTrue="1"/>
  </conditionalFormatting>
  <conditionalFormatting sqref="D48">
    <cfRule type="duplicateValues" dxfId="179" priority="41" stopIfTrue="1"/>
  </conditionalFormatting>
  <conditionalFormatting sqref="D36">
    <cfRule type="duplicateValues" dxfId="178" priority="29" stopIfTrue="1"/>
  </conditionalFormatting>
  <conditionalFormatting sqref="D31">
    <cfRule type="duplicateValues" dxfId="177" priority="49" stopIfTrue="1"/>
  </conditionalFormatting>
  <conditionalFormatting sqref="D23:D24 D28 D26">
    <cfRule type="duplicateValues" dxfId="176" priority="51" stopIfTrue="1"/>
  </conditionalFormatting>
  <conditionalFormatting sqref="D62">
    <cfRule type="duplicateValues" dxfId="175" priority="27" stopIfTrue="1"/>
  </conditionalFormatting>
  <conditionalFormatting sqref="D55">
    <cfRule type="duplicateValues" dxfId="174" priority="26" stopIfTrue="1"/>
  </conditionalFormatting>
  <conditionalFormatting sqref="D60">
    <cfRule type="duplicateValues" dxfId="173" priority="24" stopIfTrue="1"/>
  </conditionalFormatting>
  <conditionalFormatting sqref="D63">
    <cfRule type="duplicateValues" dxfId="172" priority="25" stopIfTrue="1"/>
  </conditionalFormatting>
  <conditionalFormatting sqref="D59">
    <cfRule type="duplicateValues" dxfId="171" priority="23" stopIfTrue="1"/>
  </conditionalFormatting>
  <conditionalFormatting sqref="D61">
    <cfRule type="duplicateValues" dxfId="170" priority="22" stopIfTrue="1"/>
  </conditionalFormatting>
  <conditionalFormatting sqref="D58">
    <cfRule type="duplicateValues" dxfId="169" priority="21" stopIfTrue="1"/>
  </conditionalFormatting>
  <conditionalFormatting sqref="D56">
    <cfRule type="duplicateValues" dxfId="168" priority="28" stopIfTrue="1"/>
  </conditionalFormatting>
  <conditionalFormatting sqref="D65">
    <cfRule type="duplicateValues" dxfId="167" priority="20" stopIfTrue="1"/>
  </conditionalFormatting>
  <conditionalFormatting sqref="D64">
    <cfRule type="duplicateValues" dxfId="166" priority="19" stopIfTrue="1"/>
  </conditionalFormatting>
  <conditionalFormatting sqref="D66">
    <cfRule type="duplicateValues" dxfId="165" priority="18" stopIfTrue="1"/>
  </conditionalFormatting>
  <conditionalFormatting sqref="D68">
    <cfRule type="duplicateValues" dxfId="164" priority="17" stopIfTrue="1"/>
  </conditionalFormatting>
  <conditionalFormatting sqref="D67">
    <cfRule type="duplicateValues" dxfId="163" priority="16" stopIfTrue="1"/>
  </conditionalFormatting>
  <conditionalFormatting sqref="D70">
    <cfRule type="duplicateValues" dxfId="162" priority="15" stopIfTrue="1"/>
  </conditionalFormatting>
  <conditionalFormatting sqref="D69">
    <cfRule type="duplicateValues" dxfId="161" priority="14" stopIfTrue="1"/>
  </conditionalFormatting>
  <conditionalFormatting sqref="D71">
    <cfRule type="duplicateValues" dxfId="160" priority="13" stopIfTrue="1"/>
  </conditionalFormatting>
  <conditionalFormatting sqref="D72">
    <cfRule type="duplicateValues" dxfId="159" priority="12" stopIfTrue="1"/>
  </conditionalFormatting>
  <conditionalFormatting sqref="D73">
    <cfRule type="duplicateValues" dxfId="158" priority="11" stopIfTrue="1"/>
  </conditionalFormatting>
  <conditionalFormatting sqref="D74">
    <cfRule type="duplicateValues" dxfId="157" priority="10" stopIfTrue="1"/>
  </conditionalFormatting>
  <conditionalFormatting sqref="D75">
    <cfRule type="duplicateValues" dxfId="156" priority="9" stopIfTrue="1"/>
  </conditionalFormatting>
  <conditionalFormatting sqref="D76">
    <cfRule type="duplicateValues" dxfId="155" priority="8" stopIfTrue="1"/>
  </conditionalFormatting>
  <conditionalFormatting sqref="D77">
    <cfRule type="duplicateValues" dxfId="154" priority="7" stopIfTrue="1"/>
  </conditionalFormatting>
  <conditionalFormatting sqref="D78">
    <cfRule type="duplicateValues" dxfId="153" priority="6" stopIfTrue="1"/>
  </conditionalFormatting>
  <conditionalFormatting sqref="D80">
    <cfRule type="duplicateValues" dxfId="152" priority="5" stopIfTrue="1"/>
  </conditionalFormatting>
  <conditionalFormatting sqref="D81">
    <cfRule type="duplicateValues" dxfId="151" priority="4" stopIfTrue="1"/>
  </conditionalFormatting>
  <conditionalFormatting sqref="D82">
    <cfRule type="duplicateValues" dxfId="150" priority="3" stopIfTrue="1"/>
  </conditionalFormatting>
  <conditionalFormatting sqref="D84:D85">
    <cfRule type="duplicateValues" dxfId="149" priority="2"/>
  </conditionalFormatting>
  <pageMargins left="0.7" right="0.7" top="0.75" bottom="0.75" header="0.3" footer="0.3"/>
  <ignoredErrors>
    <ignoredError sqref="K90:V90 W90:X90 Y16:Y89" formulaRange="1"/>
  </ignoredErrors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492"/>
  <sheetViews>
    <sheetView topLeftCell="AJ11" workbookViewId="0">
      <selection activeCell="AW202" sqref="AW202"/>
    </sheetView>
  </sheetViews>
  <sheetFormatPr baseColWidth="10" defaultRowHeight="11.25"/>
  <cols>
    <col min="1" max="1" width="5" style="123" customWidth="1"/>
    <col min="2" max="2" width="10.140625" style="86" customWidth="1"/>
    <col min="3" max="3" width="9.85546875" style="83" customWidth="1"/>
    <col min="4" max="4" width="11.42578125" style="86" customWidth="1"/>
    <col min="5" max="5" width="37" style="83" customWidth="1"/>
    <col min="6" max="6" width="13.140625" style="83" customWidth="1"/>
    <col min="7" max="7" width="11.28515625" style="83" customWidth="1"/>
    <col min="8" max="8" width="18.85546875" style="83" customWidth="1"/>
    <col min="9" max="9" width="9.7109375" style="83" customWidth="1"/>
    <col min="10" max="10" width="12.140625" style="83" customWidth="1"/>
    <col min="11" max="11" width="12" style="83" customWidth="1"/>
    <col min="12" max="12" width="12.28515625" style="83" customWidth="1"/>
    <col min="13" max="13" width="10.42578125" style="83" customWidth="1"/>
    <col min="14" max="15" width="12" style="83" customWidth="1"/>
    <col min="16" max="16" width="12.42578125" style="83" customWidth="1"/>
    <col min="17" max="17" width="13.28515625" style="83" customWidth="1"/>
    <col min="18" max="18" width="13.85546875" style="83" customWidth="1"/>
    <col min="19" max="19" width="11.28515625" style="83" customWidth="1"/>
    <col min="20" max="20" width="10.28515625" style="83" customWidth="1"/>
    <col min="21" max="21" width="12.140625" style="83" customWidth="1"/>
    <col min="22" max="22" width="11" style="83" customWidth="1"/>
    <col min="23" max="23" width="13.7109375" style="83" customWidth="1"/>
    <col min="24" max="24" width="10.140625" style="60" customWidth="1"/>
    <col min="25" max="26" width="10.140625" style="83" customWidth="1"/>
    <col min="27" max="27" width="12.5703125" style="83" customWidth="1"/>
    <col min="28" max="31" width="10.140625" style="83" customWidth="1"/>
    <col min="32" max="32" width="10.140625" style="268" customWidth="1"/>
    <col min="33" max="34" width="10.140625" style="83" customWidth="1"/>
    <col min="35" max="35" width="11.5703125" style="83" customWidth="1"/>
    <col min="36" max="38" width="10.140625" style="83" customWidth="1"/>
    <col min="39" max="39" width="11.140625" style="83" customWidth="1"/>
    <col min="40" max="58" width="10.140625" style="83" customWidth="1"/>
    <col min="59" max="60" width="11.42578125" style="83"/>
    <col min="61" max="103" width="11.42578125" style="123"/>
    <col min="104" max="16384" width="11.42578125" style="83"/>
  </cols>
  <sheetData>
    <row r="1" spans="1:103" s="123" customFormat="1" ht="13.5" hidden="1" customHeight="1"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  <c r="Q1" s="757"/>
      <c r="R1" s="757"/>
      <c r="S1" s="757"/>
      <c r="T1" s="757"/>
      <c r="U1" s="757"/>
      <c r="V1" s="757"/>
      <c r="W1" s="757"/>
      <c r="X1" s="757"/>
      <c r="Y1" s="757"/>
      <c r="Z1" s="757"/>
      <c r="AA1" s="61"/>
      <c r="AB1" s="61"/>
      <c r="AC1" s="61"/>
      <c r="AD1" s="61"/>
      <c r="AE1" s="61"/>
      <c r="AF1" s="233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</row>
    <row r="2" spans="1:103" s="123" customFormat="1" ht="13.5" customHeight="1"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61"/>
      <c r="AB2" s="61"/>
      <c r="AC2" s="61"/>
      <c r="AD2" s="61"/>
      <c r="AE2" s="61"/>
      <c r="AF2" s="233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</row>
    <row r="3" spans="1:103" s="123" customFormat="1" ht="13.5" customHeight="1"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7"/>
      <c r="S3" s="757"/>
      <c r="T3" s="757"/>
      <c r="U3" s="757"/>
      <c r="V3" s="757"/>
      <c r="W3" s="757"/>
      <c r="X3" s="757"/>
      <c r="Y3" s="757"/>
      <c r="Z3" s="757"/>
      <c r="AA3" s="61"/>
      <c r="AB3" s="61"/>
      <c r="AC3" s="61"/>
      <c r="AD3" s="61"/>
      <c r="AE3" s="61"/>
      <c r="AF3" s="233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</row>
    <row r="4" spans="1:103" s="123" customFormat="1" ht="13.5" customHeight="1"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57"/>
      <c r="S4" s="757"/>
      <c r="T4" s="757"/>
      <c r="U4" s="757"/>
      <c r="V4" s="757"/>
      <c r="W4" s="757"/>
      <c r="X4" s="757"/>
      <c r="Y4" s="757"/>
      <c r="Z4" s="757"/>
      <c r="AA4" s="61"/>
      <c r="AB4" s="61"/>
      <c r="AC4" s="61"/>
      <c r="AD4" s="61"/>
      <c r="AE4" s="61"/>
      <c r="AF4" s="233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</row>
    <row r="5" spans="1:103" ht="13.5" customHeight="1">
      <c r="B5" s="733" t="s">
        <v>0</v>
      </c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33"/>
      <c r="N5" s="733"/>
      <c r="O5" s="733"/>
      <c r="P5" s="733"/>
      <c r="Q5" s="733"/>
      <c r="R5" s="733"/>
      <c r="S5" s="733"/>
      <c r="T5" s="733"/>
      <c r="U5" s="733"/>
      <c r="V5" s="733"/>
      <c r="W5" s="733"/>
      <c r="X5" s="733"/>
      <c r="Y5" s="733"/>
      <c r="Z5" s="733"/>
      <c r="AA5" s="733"/>
      <c r="AB5" s="733"/>
      <c r="AC5" s="733"/>
      <c r="AD5" s="65"/>
      <c r="AE5" s="61"/>
      <c r="AF5" s="233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123"/>
      <c r="BH5" s="123"/>
    </row>
    <row r="6" spans="1:103" s="123" customFormat="1" ht="13.5" customHeight="1">
      <c r="B6" s="733"/>
      <c r="C6" s="733"/>
      <c r="D6" s="733"/>
      <c r="E6" s="733"/>
      <c r="F6" s="733"/>
      <c r="G6" s="733"/>
      <c r="H6" s="733"/>
      <c r="I6" s="733"/>
      <c r="J6" s="733"/>
      <c r="K6" s="733"/>
      <c r="L6" s="733"/>
      <c r="M6" s="733"/>
      <c r="N6" s="733"/>
      <c r="O6" s="733"/>
      <c r="P6" s="733"/>
      <c r="Q6" s="733"/>
      <c r="R6" s="733"/>
      <c r="S6" s="733"/>
      <c r="T6" s="733"/>
      <c r="U6" s="733"/>
      <c r="V6" s="733"/>
      <c r="W6" s="733"/>
      <c r="X6" s="733"/>
      <c r="Y6" s="733"/>
      <c r="Z6" s="733"/>
      <c r="AA6" s="733"/>
      <c r="AB6" s="733"/>
      <c r="AC6" s="733"/>
      <c r="AD6" s="65"/>
      <c r="AF6" s="238"/>
    </row>
    <row r="7" spans="1:103" s="123" customFormat="1" ht="13.5" customHeight="1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F7" s="238"/>
    </row>
    <row r="8" spans="1:103" ht="33" customHeight="1">
      <c r="B8" s="4" t="s">
        <v>1</v>
      </c>
      <c r="C8" s="4" t="s">
        <v>2</v>
      </c>
      <c r="D8" s="5" t="s">
        <v>3</v>
      </c>
      <c r="E8" s="6" t="s">
        <v>4</v>
      </c>
      <c r="F8" s="7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123"/>
      <c r="AF8" s="238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</row>
    <row r="9" spans="1:103" ht="13.5" customHeight="1">
      <c r="B9" s="66">
        <v>56652651</v>
      </c>
      <c r="C9" s="66">
        <v>56652651</v>
      </c>
      <c r="D9" s="66">
        <v>45738680</v>
      </c>
      <c r="E9" s="66">
        <f>+V238</f>
        <v>41087953.877000004</v>
      </c>
      <c r="F9" s="67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123"/>
      <c r="AF9" s="238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</row>
    <row r="10" spans="1:103" ht="15">
      <c r="C10" s="9"/>
      <c r="D10" s="10"/>
      <c r="E10" s="9"/>
      <c r="F10" s="68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742" t="s">
        <v>5</v>
      </c>
      <c r="X10" s="743"/>
      <c r="Y10" s="743"/>
      <c r="Z10" s="744"/>
      <c r="AA10" s="745" t="s">
        <v>6</v>
      </c>
      <c r="AB10" s="746"/>
      <c r="AC10" s="746"/>
      <c r="AD10" s="747"/>
      <c r="AE10" s="745" t="s">
        <v>6</v>
      </c>
      <c r="AF10" s="746"/>
      <c r="AG10" s="746"/>
      <c r="AH10" s="747"/>
      <c r="AI10" s="745" t="s">
        <v>6</v>
      </c>
      <c r="AJ10" s="746"/>
      <c r="AK10" s="746"/>
      <c r="AL10" s="747"/>
      <c r="AM10" s="745" t="s">
        <v>6</v>
      </c>
      <c r="AN10" s="746"/>
      <c r="AO10" s="746"/>
      <c r="AP10" s="747"/>
      <c r="AQ10" s="745" t="s">
        <v>6</v>
      </c>
      <c r="AR10" s="746"/>
      <c r="AS10" s="746"/>
      <c r="AT10" s="747"/>
      <c r="AU10" s="745" t="s">
        <v>6</v>
      </c>
      <c r="AV10" s="746"/>
      <c r="AW10" s="746"/>
      <c r="AX10" s="747"/>
      <c r="AY10" s="745" t="s">
        <v>6</v>
      </c>
      <c r="AZ10" s="746"/>
      <c r="BA10" s="746"/>
      <c r="BB10" s="747"/>
      <c r="BC10" s="745" t="s">
        <v>6</v>
      </c>
      <c r="BD10" s="746"/>
      <c r="BE10" s="746"/>
      <c r="BF10" s="747"/>
      <c r="BG10" s="729" t="s">
        <v>7</v>
      </c>
      <c r="BH10" s="729"/>
    </row>
    <row r="11" spans="1:103" s="96" customFormat="1" ht="60">
      <c r="A11" s="39"/>
      <c r="B11" s="11" t="s">
        <v>8</v>
      </c>
      <c r="C11" s="11" t="s">
        <v>9</v>
      </c>
      <c r="D11" s="11" t="s">
        <v>10</v>
      </c>
      <c r="E11" s="12" t="s">
        <v>11</v>
      </c>
      <c r="F11" s="4" t="s">
        <v>12</v>
      </c>
      <c r="G11" s="12" t="s">
        <v>13</v>
      </c>
      <c r="H11" s="12" t="s">
        <v>14</v>
      </c>
      <c r="I11" s="12" t="s">
        <v>15</v>
      </c>
      <c r="J11" s="12" t="s">
        <v>16</v>
      </c>
      <c r="K11" s="12" t="s">
        <v>17</v>
      </c>
      <c r="L11" s="12" t="s">
        <v>18</v>
      </c>
      <c r="M11" s="13" t="s">
        <v>19</v>
      </c>
      <c r="N11" s="13" t="s">
        <v>20</v>
      </c>
      <c r="O11" s="13" t="s">
        <v>21</v>
      </c>
      <c r="P11" s="13" t="s">
        <v>22</v>
      </c>
      <c r="Q11" s="220" t="s">
        <v>23</v>
      </c>
      <c r="R11" s="220" t="s">
        <v>1889</v>
      </c>
      <c r="S11" s="220" t="s">
        <v>1890</v>
      </c>
      <c r="T11" s="220" t="s">
        <v>1891</v>
      </c>
      <c r="U11" s="220" t="s">
        <v>1892</v>
      </c>
      <c r="V11" s="15" t="s">
        <v>31</v>
      </c>
      <c r="W11" s="16" t="s">
        <v>32</v>
      </c>
      <c r="X11" s="17" t="s">
        <v>33</v>
      </c>
      <c r="Y11" s="16" t="s">
        <v>34</v>
      </c>
      <c r="Z11" s="16" t="s">
        <v>35</v>
      </c>
      <c r="AA11" s="18" t="s">
        <v>36</v>
      </c>
      <c r="AB11" s="19" t="s">
        <v>33</v>
      </c>
      <c r="AC11" s="18" t="s">
        <v>34</v>
      </c>
      <c r="AD11" s="18" t="s">
        <v>35</v>
      </c>
      <c r="AE11" s="18" t="s">
        <v>36</v>
      </c>
      <c r="AF11" s="19" t="s">
        <v>33</v>
      </c>
      <c r="AG11" s="18" t="s">
        <v>34</v>
      </c>
      <c r="AH11" s="18" t="s">
        <v>35</v>
      </c>
      <c r="AI11" s="18" t="s">
        <v>36</v>
      </c>
      <c r="AJ11" s="19" t="s">
        <v>33</v>
      </c>
      <c r="AK11" s="18" t="s">
        <v>34</v>
      </c>
      <c r="AL11" s="18" t="s">
        <v>35</v>
      </c>
      <c r="AM11" s="18" t="s">
        <v>36</v>
      </c>
      <c r="AN11" s="19" t="s">
        <v>33</v>
      </c>
      <c r="AO11" s="18" t="s">
        <v>34</v>
      </c>
      <c r="AP11" s="18" t="s">
        <v>35</v>
      </c>
      <c r="AQ11" s="18" t="s">
        <v>36</v>
      </c>
      <c r="AR11" s="19" t="s">
        <v>33</v>
      </c>
      <c r="AS11" s="18" t="s">
        <v>34</v>
      </c>
      <c r="AT11" s="18" t="s">
        <v>35</v>
      </c>
      <c r="AU11" s="18" t="s">
        <v>36</v>
      </c>
      <c r="AV11" s="19" t="s">
        <v>33</v>
      </c>
      <c r="AW11" s="18" t="s">
        <v>34</v>
      </c>
      <c r="AX11" s="18" t="s">
        <v>35</v>
      </c>
      <c r="AY11" s="18" t="s">
        <v>36</v>
      </c>
      <c r="AZ11" s="19" t="s">
        <v>33</v>
      </c>
      <c r="BA11" s="18" t="s">
        <v>34</v>
      </c>
      <c r="BB11" s="18" t="s">
        <v>35</v>
      </c>
      <c r="BC11" s="18" t="s">
        <v>36</v>
      </c>
      <c r="BD11" s="19" t="s">
        <v>33</v>
      </c>
      <c r="BE11" s="18" t="s">
        <v>34</v>
      </c>
      <c r="BF11" s="18" t="s">
        <v>35</v>
      </c>
      <c r="BG11" s="20" t="s">
        <v>37</v>
      </c>
      <c r="BH11" s="20" t="s">
        <v>38</v>
      </c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</row>
    <row r="12" spans="1:103" s="39" customFormat="1" ht="13.5" customHeight="1">
      <c r="B12" s="22">
        <v>1</v>
      </c>
      <c r="C12" s="22" t="s">
        <v>39</v>
      </c>
      <c r="D12" s="23" t="s">
        <v>1893</v>
      </c>
      <c r="E12" s="503" t="s">
        <v>1894</v>
      </c>
      <c r="F12" s="26" t="s">
        <v>146</v>
      </c>
      <c r="G12" s="26" t="s">
        <v>1895</v>
      </c>
      <c r="H12" s="26" t="s">
        <v>1896</v>
      </c>
      <c r="I12" s="49" t="s">
        <v>44</v>
      </c>
      <c r="J12" s="34">
        <v>3292451</v>
      </c>
      <c r="K12" s="34">
        <v>1022650</v>
      </c>
      <c r="L12" s="34">
        <v>91611</v>
      </c>
      <c r="M12" s="34">
        <v>0</v>
      </c>
      <c r="N12" s="34">
        <v>215850.33</v>
      </c>
      <c r="O12" s="34">
        <f>4200+384150</f>
        <v>388350</v>
      </c>
      <c r="P12" s="504">
        <v>38560.843999999997</v>
      </c>
      <c r="Q12" s="493">
        <v>332304.913</v>
      </c>
      <c r="R12" s="493">
        <v>1400</v>
      </c>
      <c r="S12" s="493">
        <v>521379.67300000001</v>
      </c>
      <c r="T12" s="493"/>
      <c r="U12" s="493">
        <v>163929.89600000001</v>
      </c>
      <c r="V12" s="34">
        <f>SUM(M12:U12)</f>
        <v>1661775.656</v>
      </c>
      <c r="W12" s="31">
        <v>604200</v>
      </c>
      <c r="X12" s="27">
        <v>1</v>
      </c>
      <c r="Y12" s="101">
        <v>44200</v>
      </c>
      <c r="Z12" s="36">
        <v>44223</v>
      </c>
      <c r="AA12" s="31">
        <v>1049000</v>
      </c>
      <c r="AB12" s="214">
        <v>42</v>
      </c>
      <c r="AC12" s="494">
        <v>44294</v>
      </c>
      <c r="AD12" s="494">
        <v>44313</v>
      </c>
      <c r="AE12" s="31">
        <v>2</v>
      </c>
      <c r="AF12" s="214">
        <v>55</v>
      </c>
      <c r="AG12" s="494">
        <v>44323</v>
      </c>
      <c r="AH12" s="494">
        <v>44350</v>
      </c>
      <c r="AI12" s="214">
        <v>458567</v>
      </c>
      <c r="AJ12" s="214">
        <v>103</v>
      </c>
      <c r="AK12" s="494">
        <v>44448</v>
      </c>
      <c r="AL12" s="494">
        <v>44460</v>
      </c>
      <c r="AM12" s="494"/>
      <c r="AN12" s="494"/>
      <c r="AO12" s="494"/>
      <c r="AP12" s="494"/>
      <c r="AQ12" s="494"/>
      <c r="AR12" s="214"/>
      <c r="AS12" s="494"/>
      <c r="AT12" s="494"/>
      <c r="AU12" s="494"/>
      <c r="AV12" s="494"/>
      <c r="AW12" s="494"/>
      <c r="AX12" s="494"/>
      <c r="AY12" s="494"/>
      <c r="AZ12" s="494"/>
      <c r="BA12" s="494"/>
      <c r="BB12" s="494"/>
      <c r="BC12" s="494"/>
      <c r="BD12" s="494"/>
      <c r="BE12" s="494"/>
      <c r="BF12" s="494"/>
      <c r="BG12" s="37">
        <f>+W12+AA12+AE12+AI12+AM12+AQ12+AU12+AY12+BC12</f>
        <v>2111769</v>
      </c>
      <c r="BH12" s="525">
        <f t="shared" ref="BH12:BH75" si="0">+BG12-V12</f>
        <v>449993.34400000004</v>
      </c>
    </row>
    <row r="13" spans="1:103" s="39" customFormat="1" ht="13.5" customHeight="1">
      <c r="B13" s="261">
        <v>2</v>
      </c>
      <c r="C13" s="22" t="s">
        <v>39</v>
      </c>
      <c r="D13" s="23" t="s">
        <v>1897</v>
      </c>
      <c r="E13" s="503" t="s">
        <v>1898</v>
      </c>
      <c r="F13" s="26" t="s">
        <v>146</v>
      </c>
      <c r="G13" s="26" t="s">
        <v>1895</v>
      </c>
      <c r="H13" s="26" t="s">
        <v>1896</v>
      </c>
      <c r="I13" s="49" t="s">
        <v>44</v>
      </c>
      <c r="J13" s="34">
        <v>7070438</v>
      </c>
      <c r="K13" s="34">
        <v>6972438</v>
      </c>
      <c r="L13" s="34">
        <v>0</v>
      </c>
      <c r="M13" s="34">
        <v>0</v>
      </c>
      <c r="N13" s="34">
        <v>0</v>
      </c>
      <c r="O13" s="34">
        <v>0</v>
      </c>
      <c r="P13" s="492"/>
      <c r="Q13" s="493"/>
      <c r="R13" s="493"/>
      <c r="S13" s="493"/>
      <c r="T13" s="493"/>
      <c r="U13" s="493"/>
      <c r="V13" s="34">
        <f t="shared" ref="V13:V76" si="1">SUM(M13:U13)</f>
        <v>0</v>
      </c>
      <c r="W13" s="31">
        <v>98000</v>
      </c>
      <c r="X13" s="27">
        <v>1</v>
      </c>
      <c r="Y13" s="101">
        <v>44200</v>
      </c>
      <c r="Z13" s="36">
        <v>44223</v>
      </c>
      <c r="AA13" s="31">
        <v>-98000</v>
      </c>
      <c r="AB13" s="214">
        <v>93</v>
      </c>
      <c r="AC13" s="494">
        <v>44426</v>
      </c>
      <c r="AD13" s="494">
        <v>44442</v>
      </c>
      <c r="AE13" s="31"/>
      <c r="AF13" s="214"/>
      <c r="AG13" s="228"/>
      <c r="AH13" s="494"/>
      <c r="AI13" s="494"/>
      <c r="AJ13" s="494"/>
      <c r="AK13" s="494"/>
      <c r="AL13" s="494"/>
      <c r="AM13" s="494"/>
      <c r="AN13" s="494"/>
      <c r="AO13" s="494"/>
      <c r="AP13" s="494"/>
      <c r="AQ13" s="494"/>
      <c r="AR13" s="214"/>
      <c r="AS13" s="494"/>
      <c r="AT13" s="494"/>
      <c r="AU13" s="494"/>
      <c r="AV13" s="494"/>
      <c r="AW13" s="494"/>
      <c r="AX13" s="494"/>
      <c r="AY13" s="494"/>
      <c r="AZ13" s="494"/>
      <c r="BA13" s="494"/>
      <c r="BB13" s="494"/>
      <c r="BC13" s="494"/>
      <c r="BD13" s="494"/>
      <c r="BE13" s="494"/>
      <c r="BF13" s="494"/>
      <c r="BG13" s="37">
        <f t="shared" ref="BG13:BG76" si="2">+W13+AA13+AE13+AI13+AM13+AQ13+AU13+AY13+BC13</f>
        <v>0</v>
      </c>
      <c r="BH13" s="525">
        <f t="shared" si="0"/>
        <v>0</v>
      </c>
    </row>
    <row r="14" spans="1:103" s="39" customFormat="1" ht="13.5" customHeight="1">
      <c r="B14" s="22">
        <v>3</v>
      </c>
      <c r="C14" s="22" t="s">
        <v>39</v>
      </c>
      <c r="D14" s="23" t="s">
        <v>1899</v>
      </c>
      <c r="E14" s="503" t="s">
        <v>1900</v>
      </c>
      <c r="F14" s="26" t="s">
        <v>146</v>
      </c>
      <c r="G14" s="26" t="s">
        <v>1895</v>
      </c>
      <c r="H14" s="26" t="s">
        <v>1896</v>
      </c>
      <c r="I14" s="49" t="s">
        <v>44</v>
      </c>
      <c r="J14" s="34">
        <v>1062965</v>
      </c>
      <c r="K14" s="34">
        <v>237752</v>
      </c>
      <c r="L14" s="34">
        <v>0</v>
      </c>
      <c r="M14" s="34">
        <v>0</v>
      </c>
      <c r="N14" s="34">
        <v>0</v>
      </c>
      <c r="O14" s="34">
        <v>0</v>
      </c>
      <c r="P14" s="505">
        <v>127474.075</v>
      </c>
      <c r="Q14" s="493">
        <v>138472.59599999999</v>
      </c>
      <c r="R14" s="493">
        <v>106186.46400000001</v>
      </c>
      <c r="S14" s="493"/>
      <c r="T14" s="493">
        <v>15348.906999999999</v>
      </c>
      <c r="U14" s="493">
        <v>53840.315999999999</v>
      </c>
      <c r="V14" s="34">
        <f t="shared" si="1"/>
        <v>441322.35800000001</v>
      </c>
      <c r="W14" s="31">
        <v>560000</v>
      </c>
      <c r="X14" s="27">
        <v>1</v>
      </c>
      <c r="Y14" s="101">
        <v>44200</v>
      </c>
      <c r="Z14" s="36">
        <v>44223</v>
      </c>
      <c r="AA14" s="31">
        <v>-187866</v>
      </c>
      <c r="AB14" s="214">
        <v>93</v>
      </c>
      <c r="AC14" s="494">
        <v>44426</v>
      </c>
      <c r="AD14" s="494">
        <v>44442</v>
      </c>
      <c r="AE14" s="132"/>
      <c r="AF14" s="214"/>
      <c r="AG14" s="494"/>
      <c r="AH14" s="494"/>
      <c r="AI14" s="494"/>
      <c r="AJ14" s="494"/>
      <c r="AK14" s="494"/>
      <c r="AL14" s="494"/>
      <c r="AM14" s="494"/>
      <c r="AN14" s="494"/>
      <c r="AO14" s="494"/>
      <c r="AP14" s="494"/>
      <c r="AQ14" s="494"/>
      <c r="AR14" s="214"/>
      <c r="AS14" s="494"/>
      <c r="AT14" s="494"/>
      <c r="AU14" s="494"/>
      <c r="AV14" s="494"/>
      <c r="AW14" s="494"/>
      <c r="AX14" s="494"/>
      <c r="AY14" s="494"/>
      <c r="AZ14" s="494"/>
      <c r="BA14" s="494"/>
      <c r="BB14" s="494"/>
      <c r="BC14" s="494"/>
      <c r="BD14" s="494"/>
      <c r="BE14" s="494"/>
      <c r="BF14" s="494"/>
      <c r="BG14" s="37">
        <f t="shared" si="2"/>
        <v>372134</v>
      </c>
      <c r="BH14" s="525">
        <f t="shared" si="0"/>
        <v>-69188.358000000007</v>
      </c>
    </row>
    <row r="15" spans="1:103" s="39" customFormat="1" ht="13.5" customHeight="1">
      <c r="B15" s="261">
        <v>4</v>
      </c>
      <c r="C15" s="22" t="s">
        <v>39</v>
      </c>
      <c r="D15" s="23" t="s">
        <v>1901</v>
      </c>
      <c r="E15" s="503" t="s">
        <v>1902</v>
      </c>
      <c r="F15" s="26" t="s">
        <v>146</v>
      </c>
      <c r="G15" s="26" t="s">
        <v>1895</v>
      </c>
      <c r="H15" s="26" t="s">
        <v>1896</v>
      </c>
      <c r="I15" s="49" t="s">
        <v>44</v>
      </c>
      <c r="J15" s="34">
        <v>7399741</v>
      </c>
      <c r="K15" s="34">
        <v>1273627</v>
      </c>
      <c r="L15" s="34">
        <v>109619</v>
      </c>
      <c r="M15" s="34">
        <v>1300</v>
      </c>
      <c r="N15" s="34">
        <v>188795.77600000001</v>
      </c>
      <c r="O15" s="34">
        <v>156176</v>
      </c>
      <c r="P15" s="505">
        <v>459963.576</v>
      </c>
      <c r="Q15" s="493">
        <v>248560.326</v>
      </c>
      <c r="R15" s="493">
        <v>301444.82299999997</v>
      </c>
      <c r="S15" s="493">
        <v>377937.35200000001</v>
      </c>
      <c r="T15" s="493">
        <v>1300</v>
      </c>
      <c r="U15" s="493">
        <v>209012.486</v>
      </c>
      <c r="V15" s="34">
        <f t="shared" si="1"/>
        <v>1944490.3389999997</v>
      </c>
      <c r="W15" s="31">
        <v>783900</v>
      </c>
      <c r="X15" s="27">
        <v>1</v>
      </c>
      <c r="Y15" s="101">
        <v>44200</v>
      </c>
      <c r="Z15" s="36">
        <v>44223</v>
      </c>
      <c r="AA15" s="31">
        <v>1515872</v>
      </c>
      <c r="AB15" s="214">
        <v>42</v>
      </c>
      <c r="AC15" s="494">
        <v>44294</v>
      </c>
      <c r="AD15" s="494">
        <v>44313</v>
      </c>
      <c r="AE15" s="31">
        <v>-561031</v>
      </c>
      <c r="AF15" s="214">
        <v>62</v>
      </c>
      <c r="AG15" s="494">
        <v>44327</v>
      </c>
      <c r="AH15" s="494">
        <v>44355</v>
      </c>
      <c r="AI15" s="214">
        <v>800000</v>
      </c>
      <c r="AJ15" s="214">
        <v>83</v>
      </c>
      <c r="AK15" s="494">
        <v>44403</v>
      </c>
      <c r="AL15" s="494">
        <v>44412</v>
      </c>
      <c r="AM15" s="494"/>
      <c r="AN15" s="494"/>
      <c r="AO15" s="494"/>
      <c r="AP15" s="494"/>
      <c r="AQ15" s="494"/>
      <c r="AR15" s="214"/>
      <c r="AS15" s="494"/>
      <c r="AT15" s="494"/>
      <c r="AU15" s="494"/>
      <c r="AV15" s="494"/>
      <c r="AW15" s="494"/>
      <c r="AX15" s="494"/>
      <c r="AY15" s="494"/>
      <c r="AZ15" s="494"/>
      <c r="BA15" s="494"/>
      <c r="BB15" s="494"/>
      <c r="BC15" s="494"/>
      <c r="BD15" s="494"/>
      <c r="BE15" s="494"/>
      <c r="BF15" s="494"/>
      <c r="BG15" s="37">
        <f t="shared" si="2"/>
        <v>2538741</v>
      </c>
      <c r="BH15" s="525">
        <f t="shared" si="0"/>
        <v>594250.66100000031</v>
      </c>
    </row>
    <row r="16" spans="1:103" s="39" customFormat="1" ht="13.5" customHeight="1">
      <c r="B16" s="22">
        <v>5</v>
      </c>
      <c r="C16" s="22" t="s">
        <v>39</v>
      </c>
      <c r="D16" s="23" t="s">
        <v>1903</v>
      </c>
      <c r="E16" s="503" t="s">
        <v>1904</v>
      </c>
      <c r="F16" s="26" t="s">
        <v>158</v>
      </c>
      <c r="G16" s="26" t="s">
        <v>1895</v>
      </c>
      <c r="H16" s="73" t="s">
        <v>1905</v>
      </c>
      <c r="I16" s="49" t="s">
        <v>44</v>
      </c>
      <c r="J16" s="34">
        <v>182004</v>
      </c>
      <c r="K16" s="34">
        <v>165117</v>
      </c>
      <c r="L16" s="34">
        <v>0</v>
      </c>
      <c r="M16" s="34">
        <v>16887</v>
      </c>
      <c r="N16" s="34">
        <v>0</v>
      </c>
      <c r="O16" s="34">
        <v>0</v>
      </c>
      <c r="P16" s="492"/>
      <c r="Q16" s="493"/>
      <c r="R16" s="493"/>
      <c r="S16" s="493"/>
      <c r="T16" s="493"/>
      <c r="U16" s="493"/>
      <c r="V16" s="34">
        <f t="shared" si="1"/>
        <v>16887</v>
      </c>
      <c r="W16" s="31">
        <v>16887</v>
      </c>
      <c r="X16" s="27">
        <v>1</v>
      </c>
      <c r="Y16" s="101">
        <v>44200</v>
      </c>
      <c r="Z16" s="36">
        <v>44223</v>
      </c>
      <c r="AA16" s="31"/>
      <c r="AB16" s="214"/>
      <c r="AC16" s="494"/>
      <c r="AD16" s="494"/>
      <c r="AE16" s="31"/>
      <c r="AF16" s="214"/>
      <c r="AG16" s="494"/>
      <c r="AH16" s="494"/>
      <c r="AI16" s="494"/>
      <c r="AJ16" s="494"/>
      <c r="AK16" s="494"/>
      <c r="AL16" s="494"/>
      <c r="AM16" s="494"/>
      <c r="AN16" s="494"/>
      <c r="AO16" s="494"/>
      <c r="AP16" s="494"/>
      <c r="AQ16" s="494"/>
      <c r="AR16" s="214"/>
      <c r="AS16" s="494"/>
      <c r="AT16" s="494"/>
      <c r="AU16" s="494"/>
      <c r="AV16" s="494"/>
      <c r="AW16" s="494"/>
      <c r="AX16" s="494"/>
      <c r="AY16" s="494"/>
      <c r="AZ16" s="494"/>
      <c r="BA16" s="494"/>
      <c r="BB16" s="494"/>
      <c r="BC16" s="494"/>
      <c r="BD16" s="494"/>
      <c r="BE16" s="494"/>
      <c r="BF16" s="494"/>
      <c r="BG16" s="37">
        <f t="shared" si="2"/>
        <v>16887</v>
      </c>
      <c r="BH16" s="525">
        <f t="shared" si="0"/>
        <v>0</v>
      </c>
    </row>
    <row r="17" spans="2:60" s="39" customFormat="1" ht="13.5" customHeight="1">
      <c r="B17" s="261">
        <v>6</v>
      </c>
      <c r="C17" s="22" t="s">
        <v>39</v>
      </c>
      <c r="D17" s="23" t="s">
        <v>1906</v>
      </c>
      <c r="E17" s="503" t="s">
        <v>1907</v>
      </c>
      <c r="F17" s="26" t="s">
        <v>146</v>
      </c>
      <c r="G17" s="26" t="s">
        <v>1895</v>
      </c>
      <c r="H17" s="73" t="s">
        <v>1908</v>
      </c>
      <c r="I17" s="49" t="s">
        <v>44</v>
      </c>
      <c r="J17" s="34">
        <v>3727745</v>
      </c>
      <c r="K17" s="34">
        <v>3376794</v>
      </c>
      <c r="L17" s="34">
        <v>0</v>
      </c>
      <c r="M17" s="34">
        <v>0</v>
      </c>
      <c r="N17" s="34">
        <v>0</v>
      </c>
      <c r="O17" s="34">
        <v>905</v>
      </c>
      <c r="P17" s="492"/>
      <c r="Q17" s="493"/>
      <c r="R17" s="493"/>
      <c r="S17" s="493"/>
      <c r="T17" s="493"/>
      <c r="U17" s="493"/>
      <c r="V17" s="34">
        <f t="shared" si="1"/>
        <v>905</v>
      </c>
      <c r="W17" s="31">
        <v>350000</v>
      </c>
      <c r="X17" s="27">
        <v>1</v>
      </c>
      <c r="Y17" s="101">
        <v>44200</v>
      </c>
      <c r="Z17" s="36">
        <v>44223</v>
      </c>
      <c r="AA17" s="31">
        <v>906</v>
      </c>
      <c r="AB17" s="214">
        <v>17</v>
      </c>
      <c r="AC17" s="494">
        <v>44242</v>
      </c>
      <c r="AD17" s="494">
        <v>44271</v>
      </c>
      <c r="AE17" s="228">
        <v>45</v>
      </c>
      <c r="AF17" s="228">
        <v>40</v>
      </c>
      <c r="AG17" s="494">
        <v>44294</v>
      </c>
      <c r="AH17" s="494">
        <v>44312</v>
      </c>
      <c r="AI17" s="228"/>
      <c r="AJ17" s="494"/>
      <c r="AK17" s="494"/>
      <c r="AL17" s="494"/>
      <c r="AM17" s="494"/>
      <c r="AN17" s="494"/>
      <c r="AO17" s="494"/>
      <c r="AP17" s="494"/>
      <c r="AQ17" s="494"/>
      <c r="AR17" s="214"/>
      <c r="AS17" s="494"/>
      <c r="AT17" s="494"/>
      <c r="AU17" s="494"/>
      <c r="AV17" s="494"/>
      <c r="AW17" s="494"/>
      <c r="AX17" s="494"/>
      <c r="AY17" s="494"/>
      <c r="AZ17" s="494"/>
      <c r="BA17" s="494"/>
      <c r="BB17" s="494"/>
      <c r="BC17" s="494"/>
      <c r="BD17" s="494"/>
      <c r="BE17" s="494"/>
      <c r="BF17" s="494"/>
      <c r="BG17" s="37">
        <f t="shared" si="2"/>
        <v>350951</v>
      </c>
      <c r="BH17" s="525">
        <f t="shared" si="0"/>
        <v>350046</v>
      </c>
    </row>
    <row r="18" spans="2:60" s="39" customFormat="1" ht="13.5" customHeight="1">
      <c r="B18" s="22">
        <v>7</v>
      </c>
      <c r="C18" s="22" t="s">
        <v>39</v>
      </c>
      <c r="D18" s="23" t="s">
        <v>1909</v>
      </c>
      <c r="E18" s="503" t="s">
        <v>1910</v>
      </c>
      <c r="F18" s="26" t="s">
        <v>146</v>
      </c>
      <c r="G18" s="26" t="s">
        <v>1895</v>
      </c>
      <c r="H18" s="73" t="s">
        <v>1911</v>
      </c>
      <c r="I18" s="49" t="s">
        <v>44</v>
      </c>
      <c r="J18" s="34">
        <v>162567</v>
      </c>
      <c r="K18" s="34">
        <v>132741</v>
      </c>
      <c r="L18" s="34">
        <v>0</v>
      </c>
      <c r="M18" s="34">
        <v>17292</v>
      </c>
      <c r="N18" s="34">
        <v>0</v>
      </c>
      <c r="O18" s="34">
        <f>1190+11044</f>
        <v>12234</v>
      </c>
      <c r="P18" s="492"/>
      <c r="Q18" s="493"/>
      <c r="R18" s="493"/>
      <c r="S18" s="493"/>
      <c r="T18" s="493"/>
      <c r="U18" s="493"/>
      <c r="V18" s="34">
        <f t="shared" si="1"/>
        <v>29526</v>
      </c>
      <c r="W18" s="31">
        <v>29826</v>
      </c>
      <c r="X18" s="27">
        <v>1</v>
      </c>
      <c r="Y18" s="101">
        <v>44200</v>
      </c>
      <c r="Z18" s="36">
        <v>44223</v>
      </c>
      <c r="AA18" s="526"/>
      <c r="AB18" s="494"/>
      <c r="AC18" s="494"/>
      <c r="AD18" s="494"/>
      <c r="AE18" s="31"/>
      <c r="AF18" s="214"/>
      <c r="AG18" s="228"/>
      <c r="AH18" s="494"/>
      <c r="AI18" s="228"/>
      <c r="AJ18" s="494"/>
      <c r="AK18" s="494"/>
      <c r="AL18" s="494"/>
      <c r="AM18" s="494"/>
      <c r="AN18" s="494"/>
      <c r="AO18" s="494"/>
      <c r="AP18" s="494"/>
      <c r="AQ18" s="494"/>
      <c r="AR18" s="214"/>
      <c r="AS18" s="494"/>
      <c r="AT18" s="494"/>
      <c r="AU18" s="494"/>
      <c r="AV18" s="494"/>
      <c r="AW18" s="494"/>
      <c r="AX18" s="494"/>
      <c r="AY18" s="494"/>
      <c r="AZ18" s="494"/>
      <c r="BA18" s="494"/>
      <c r="BB18" s="494"/>
      <c r="BC18" s="494"/>
      <c r="BD18" s="494"/>
      <c r="BE18" s="494"/>
      <c r="BF18" s="494"/>
      <c r="BG18" s="37">
        <f t="shared" si="2"/>
        <v>29826</v>
      </c>
      <c r="BH18" s="525">
        <f t="shared" si="0"/>
        <v>300</v>
      </c>
    </row>
    <row r="19" spans="2:60" s="39" customFormat="1" ht="13.5" customHeight="1">
      <c r="B19" s="261">
        <v>8</v>
      </c>
      <c r="C19" s="22" t="s">
        <v>39</v>
      </c>
      <c r="D19" s="23" t="s">
        <v>1912</v>
      </c>
      <c r="E19" s="503" t="s">
        <v>1913</v>
      </c>
      <c r="F19" s="26" t="s">
        <v>146</v>
      </c>
      <c r="G19" s="26" t="s">
        <v>1895</v>
      </c>
      <c r="H19" s="73" t="s">
        <v>1911</v>
      </c>
      <c r="I19" s="49" t="s">
        <v>44</v>
      </c>
      <c r="J19" s="34">
        <v>659221</v>
      </c>
      <c r="K19" s="34">
        <v>656805</v>
      </c>
      <c r="L19" s="34">
        <v>0</v>
      </c>
      <c r="M19" s="34">
        <v>2415</v>
      </c>
      <c r="N19" s="34">
        <v>0</v>
      </c>
      <c r="O19" s="34">
        <v>0</v>
      </c>
      <c r="P19" s="492"/>
      <c r="Q19" s="493"/>
      <c r="R19" s="493"/>
      <c r="S19" s="493"/>
      <c r="T19" s="493"/>
      <c r="U19" s="493"/>
      <c r="V19" s="34">
        <f t="shared" si="1"/>
        <v>2415</v>
      </c>
      <c r="W19" s="31">
        <v>2416</v>
      </c>
      <c r="X19" s="27">
        <v>1</v>
      </c>
      <c r="Y19" s="101">
        <v>44200</v>
      </c>
      <c r="Z19" s="36">
        <v>44223</v>
      </c>
      <c r="AA19" s="526"/>
      <c r="AB19" s="494"/>
      <c r="AC19" s="494"/>
      <c r="AD19" s="494"/>
      <c r="AE19" s="31"/>
      <c r="AF19" s="214"/>
      <c r="AG19" s="228"/>
      <c r="AH19" s="494"/>
      <c r="AI19" s="228"/>
      <c r="AJ19" s="494"/>
      <c r="AK19" s="494"/>
      <c r="AL19" s="494"/>
      <c r="AM19" s="494"/>
      <c r="AN19" s="494"/>
      <c r="AO19" s="494"/>
      <c r="AP19" s="494"/>
      <c r="AQ19" s="494"/>
      <c r="AR19" s="214"/>
      <c r="AS19" s="494"/>
      <c r="AT19" s="494"/>
      <c r="AU19" s="494"/>
      <c r="AV19" s="494"/>
      <c r="AW19" s="494"/>
      <c r="AX19" s="494"/>
      <c r="AY19" s="494"/>
      <c r="AZ19" s="494"/>
      <c r="BA19" s="494"/>
      <c r="BB19" s="494"/>
      <c r="BC19" s="494"/>
      <c r="BD19" s="494"/>
      <c r="BE19" s="494"/>
      <c r="BF19" s="494"/>
      <c r="BG19" s="37">
        <f t="shared" si="2"/>
        <v>2416</v>
      </c>
      <c r="BH19" s="525">
        <f t="shared" si="0"/>
        <v>1</v>
      </c>
    </row>
    <row r="20" spans="2:60" s="39" customFormat="1" ht="13.5" customHeight="1">
      <c r="B20" s="261">
        <v>9</v>
      </c>
      <c r="C20" s="22" t="s">
        <v>39</v>
      </c>
      <c r="D20" s="23" t="s">
        <v>1914</v>
      </c>
      <c r="E20" s="503" t="s">
        <v>1915</v>
      </c>
      <c r="F20" s="26" t="s">
        <v>146</v>
      </c>
      <c r="G20" s="26" t="s">
        <v>1895</v>
      </c>
      <c r="H20" s="73" t="s">
        <v>1916</v>
      </c>
      <c r="I20" s="49" t="s">
        <v>44</v>
      </c>
      <c r="J20" s="34">
        <v>548516</v>
      </c>
      <c r="K20" s="34">
        <v>208378</v>
      </c>
      <c r="L20" s="34">
        <v>0</v>
      </c>
      <c r="M20" s="34">
        <v>0</v>
      </c>
      <c r="N20" s="34">
        <v>181093.88</v>
      </c>
      <c r="O20" s="34">
        <v>0</v>
      </c>
      <c r="P20" s="505">
        <v>59896.377</v>
      </c>
      <c r="Q20" s="493"/>
      <c r="R20" s="493"/>
      <c r="S20" s="493"/>
      <c r="T20" s="493"/>
      <c r="U20" s="493"/>
      <c r="V20" s="34">
        <f t="shared" si="1"/>
        <v>240990.25700000001</v>
      </c>
      <c r="W20" s="31">
        <v>317759</v>
      </c>
      <c r="X20" s="27">
        <v>1</v>
      </c>
      <c r="Y20" s="101">
        <v>44200</v>
      </c>
      <c r="Z20" s="36">
        <v>44223</v>
      </c>
      <c r="AA20" s="527">
        <v>19292</v>
      </c>
      <c r="AB20" s="528">
        <v>55</v>
      </c>
      <c r="AC20" s="494">
        <v>44323</v>
      </c>
      <c r="AD20" s="494">
        <v>44350</v>
      </c>
      <c r="AE20" s="31">
        <v>-96060</v>
      </c>
      <c r="AF20" s="214">
        <v>93</v>
      </c>
      <c r="AG20" s="494">
        <v>44426</v>
      </c>
      <c r="AH20" s="494">
        <v>44442</v>
      </c>
      <c r="AI20" s="228"/>
      <c r="AJ20" s="494"/>
      <c r="AK20" s="494"/>
      <c r="AL20" s="494"/>
      <c r="AM20" s="494"/>
      <c r="AN20" s="494"/>
      <c r="AO20" s="494"/>
      <c r="AP20" s="494"/>
      <c r="AQ20" s="494"/>
      <c r="AR20" s="214"/>
      <c r="AS20" s="494"/>
      <c r="AT20" s="494"/>
      <c r="AU20" s="494"/>
      <c r="AV20" s="494"/>
      <c r="AW20" s="494"/>
      <c r="AX20" s="494"/>
      <c r="AY20" s="494"/>
      <c r="AZ20" s="494"/>
      <c r="BA20" s="494"/>
      <c r="BB20" s="494"/>
      <c r="BC20" s="494"/>
      <c r="BD20" s="494"/>
      <c r="BE20" s="494"/>
      <c r="BF20" s="494"/>
      <c r="BG20" s="37">
        <f t="shared" si="2"/>
        <v>240991</v>
      </c>
      <c r="BH20" s="525">
        <f t="shared" si="0"/>
        <v>0.74299999998765998</v>
      </c>
    </row>
    <row r="21" spans="2:60" s="39" customFormat="1" ht="13.5" customHeight="1">
      <c r="B21" s="261">
        <v>10</v>
      </c>
      <c r="C21" s="22" t="s">
        <v>39</v>
      </c>
      <c r="D21" s="23" t="s">
        <v>1917</v>
      </c>
      <c r="E21" s="503" t="s">
        <v>1918</v>
      </c>
      <c r="F21" s="26" t="s">
        <v>146</v>
      </c>
      <c r="G21" s="26" t="s">
        <v>1895</v>
      </c>
      <c r="H21" s="73" t="s">
        <v>1919</v>
      </c>
      <c r="I21" s="49" t="s">
        <v>44</v>
      </c>
      <c r="J21" s="34">
        <v>368358</v>
      </c>
      <c r="K21" s="34">
        <v>364828</v>
      </c>
      <c r="L21" s="34">
        <v>0</v>
      </c>
      <c r="M21" s="34">
        <v>0</v>
      </c>
      <c r="N21" s="34">
        <v>0</v>
      </c>
      <c r="O21" s="34">
        <v>0</v>
      </c>
      <c r="P21" s="505">
        <v>3529.297</v>
      </c>
      <c r="Q21" s="493"/>
      <c r="R21" s="493"/>
      <c r="S21" s="493"/>
      <c r="T21" s="493"/>
      <c r="U21" s="493"/>
      <c r="V21" s="34">
        <f t="shared" si="1"/>
        <v>3529.297</v>
      </c>
      <c r="W21" s="31">
        <v>3530</v>
      </c>
      <c r="X21" s="27">
        <v>1</v>
      </c>
      <c r="Y21" s="101">
        <v>44200</v>
      </c>
      <c r="Z21" s="36">
        <v>44223</v>
      </c>
      <c r="AA21" s="527">
        <v>359</v>
      </c>
      <c r="AB21" s="528">
        <v>55</v>
      </c>
      <c r="AC21" s="494">
        <v>44323</v>
      </c>
      <c r="AD21" s="494">
        <v>44350</v>
      </c>
      <c r="AE21" s="31"/>
      <c r="AF21" s="214"/>
      <c r="AG21" s="228"/>
      <c r="AH21" s="494"/>
      <c r="AI21" s="228"/>
      <c r="AJ21" s="494"/>
      <c r="AK21" s="494"/>
      <c r="AL21" s="494"/>
      <c r="AM21" s="494"/>
      <c r="AN21" s="494"/>
      <c r="AO21" s="494"/>
      <c r="AP21" s="494"/>
      <c r="AQ21" s="494"/>
      <c r="AR21" s="214"/>
      <c r="AS21" s="494"/>
      <c r="AT21" s="494"/>
      <c r="AU21" s="494"/>
      <c r="AV21" s="494"/>
      <c r="AW21" s="494"/>
      <c r="AX21" s="494"/>
      <c r="AY21" s="494"/>
      <c r="AZ21" s="494"/>
      <c r="BA21" s="494"/>
      <c r="BB21" s="494"/>
      <c r="BC21" s="494"/>
      <c r="BD21" s="494"/>
      <c r="BE21" s="494"/>
      <c r="BF21" s="494"/>
      <c r="BG21" s="37">
        <f t="shared" si="2"/>
        <v>3889</v>
      </c>
      <c r="BH21" s="525">
        <f t="shared" si="0"/>
        <v>359.70299999999997</v>
      </c>
    </row>
    <row r="22" spans="2:60" s="39" customFormat="1" ht="13.5" customHeight="1">
      <c r="B22" s="22">
        <v>11</v>
      </c>
      <c r="C22" s="22" t="s">
        <v>39</v>
      </c>
      <c r="D22" s="23" t="s">
        <v>1920</v>
      </c>
      <c r="E22" s="503" t="s">
        <v>1921</v>
      </c>
      <c r="F22" s="26" t="s">
        <v>146</v>
      </c>
      <c r="G22" s="26" t="s">
        <v>1895</v>
      </c>
      <c r="H22" s="73" t="s">
        <v>1919</v>
      </c>
      <c r="I22" s="49" t="s">
        <v>44</v>
      </c>
      <c r="J22" s="34">
        <v>369197</v>
      </c>
      <c r="K22" s="34">
        <v>66980</v>
      </c>
      <c r="L22" s="34">
        <v>0</v>
      </c>
      <c r="M22" s="34">
        <v>0</v>
      </c>
      <c r="N22" s="34"/>
      <c r="O22" s="34"/>
      <c r="P22" s="492"/>
      <c r="Q22" s="493"/>
      <c r="R22" s="493">
        <v>141402.48199999999</v>
      </c>
      <c r="S22" s="493"/>
      <c r="T22" s="493"/>
      <c r="U22" s="493">
        <v>129438.783</v>
      </c>
      <c r="V22" s="34">
        <f t="shared" si="1"/>
        <v>270841.26500000001</v>
      </c>
      <c r="W22" s="31">
        <v>6562</v>
      </c>
      <c r="X22" s="27">
        <v>1</v>
      </c>
      <c r="Y22" s="101">
        <v>44200</v>
      </c>
      <c r="Z22" s="36">
        <v>44223</v>
      </c>
      <c r="AA22" s="527">
        <v>190900</v>
      </c>
      <c r="AB22" s="528">
        <v>55</v>
      </c>
      <c r="AC22" s="494">
        <v>44323</v>
      </c>
      <c r="AD22" s="494">
        <v>44350</v>
      </c>
      <c r="AE22" s="31">
        <v>-56059</v>
      </c>
      <c r="AF22" s="214">
        <v>93</v>
      </c>
      <c r="AG22" s="494">
        <v>44426</v>
      </c>
      <c r="AH22" s="494">
        <v>44442</v>
      </c>
      <c r="AI22" s="228">
        <v>149106</v>
      </c>
      <c r="AJ22" s="214">
        <v>103</v>
      </c>
      <c r="AK22" s="494">
        <v>44448</v>
      </c>
      <c r="AL22" s="494">
        <v>44460</v>
      </c>
      <c r="AM22" s="528">
        <v>15395</v>
      </c>
      <c r="AN22" s="528">
        <v>105</v>
      </c>
      <c r="AO22" s="494">
        <v>44452</v>
      </c>
      <c r="AP22" s="494">
        <v>44466</v>
      </c>
      <c r="AQ22" s="494"/>
      <c r="AR22" s="214"/>
      <c r="AS22" s="494"/>
      <c r="AT22" s="494"/>
      <c r="AU22" s="494"/>
      <c r="AV22" s="494"/>
      <c r="AW22" s="494"/>
      <c r="AX22" s="494"/>
      <c r="AY22" s="494"/>
      <c r="AZ22" s="494"/>
      <c r="BA22" s="494"/>
      <c r="BB22" s="494"/>
      <c r="BC22" s="494"/>
      <c r="BD22" s="494"/>
      <c r="BE22" s="494"/>
      <c r="BF22" s="494"/>
      <c r="BG22" s="37">
        <f t="shared" si="2"/>
        <v>305904</v>
      </c>
      <c r="BH22" s="525">
        <f t="shared" si="0"/>
        <v>35062.734999999986</v>
      </c>
    </row>
    <row r="23" spans="2:60" s="39" customFormat="1" ht="13.5" customHeight="1">
      <c r="B23" s="261">
        <v>12</v>
      </c>
      <c r="C23" s="22" t="s">
        <v>39</v>
      </c>
      <c r="D23" s="23" t="s">
        <v>1922</v>
      </c>
      <c r="E23" s="503" t="s">
        <v>1923</v>
      </c>
      <c r="F23" s="26" t="s">
        <v>146</v>
      </c>
      <c r="G23" s="26" t="s">
        <v>1895</v>
      </c>
      <c r="H23" s="73" t="s">
        <v>1924</v>
      </c>
      <c r="I23" s="49" t="s">
        <v>44</v>
      </c>
      <c r="J23" s="34">
        <v>299437</v>
      </c>
      <c r="K23" s="34">
        <v>237397</v>
      </c>
      <c r="L23" s="34">
        <v>0</v>
      </c>
      <c r="M23" s="34">
        <v>62039</v>
      </c>
      <c r="N23" s="34"/>
      <c r="O23" s="34"/>
      <c r="P23" s="492"/>
      <c r="Q23" s="493"/>
      <c r="R23" s="493"/>
      <c r="S23" s="493"/>
      <c r="T23" s="493"/>
      <c r="U23" s="493"/>
      <c r="V23" s="34">
        <f t="shared" si="1"/>
        <v>62039</v>
      </c>
      <c r="W23" s="31">
        <v>62040</v>
      </c>
      <c r="X23" s="27">
        <v>1</v>
      </c>
      <c r="Y23" s="101">
        <v>44200</v>
      </c>
      <c r="Z23" s="36">
        <v>44223</v>
      </c>
      <c r="AA23" s="526"/>
      <c r="AB23" s="494"/>
      <c r="AC23" s="494"/>
      <c r="AD23" s="494"/>
      <c r="AE23" s="31"/>
      <c r="AF23" s="214"/>
      <c r="AG23" s="228"/>
      <c r="AH23" s="494"/>
      <c r="AI23" s="228"/>
      <c r="AJ23" s="494"/>
      <c r="AK23" s="494"/>
      <c r="AL23" s="494"/>
      <c r="AM23" s="494"/>
      <c r="AN23" s="494"/>
      <c r="AO23" s="494"/>
      <c r="AP23" s="494"/>
      <c r="AQ23" s="494"/>
      <c r="AR23" s="214"/>
      <c r="AS23" s="494"/>
      <c r="AT23" s="494"/>
      <c r="AU23" s="494"/>
      <c r="AV23" s="494"/>
      <c r="AW23" s="494"/>
      <c r="AX23" s="494"/>
      <c r="AY23" s="494"/>
      <c r="AZ23" s="494"/>
      <c r="BA23" s="494"/>
      <c r="BB23" s="494"/>
      <c r="BC23" s="494"/>
      <c r="BD23" s="494"/>
      <c r="BE23" s="494"/>
      <c r="BF23" s="494"/>
      <c r="BG23" s="37">
        <f t="shared" si="2"/>
        <v>62040</v>
      </c>
      <c r="BH23" s="525">
        <f t="shared" si="0"/>
        <v>1</v>
      </c>
    </row>
    <row r="24" spans="2:60" s="39" customFormat="1" ht="13.5" customHeight="1">
      <c r="B24" s="22">
        <v>13</v>
      </c>
      <c r="C24" s="22" t="s">
        <v>39</v>
      </c>
      <c r="D24" s="489" t="s">
        <v>1925</v>
      </c>
      <c r="E24" s="503" t="s">
        <v>1926</v>
      </c>
      <c r="F24" s="26" t="s">
        <v>146</v>
      </c>
      <c r="G24" s="26" t="s">
        <v>1895</v>
      </c>
      <c r="H24" s="73" t="s">
        <v>1927</v>
      </c>
      <c r="I24" s="49" t="s">
        <v>44</v>
      </c>
      <c r="J24" s="34">
        <v>322251</v>
      </c>
      <c r="K24" s="34">
        <v>54940</v>
      </c>
      <c r="L24" s="34">
        <v>0</v>
      </c>
      <c r="M24" s="34">
        <v>57781</v>
      </c>
      <c r="N24" s="34"/>
      <c r="O24" s="34"/>
      <c r="P24" s="505">
        <v>1399.279</v>
      </c>
      <c r="Q24" s="493"/>
      <c r="R24" s="493"/>
      <c r="S24" s="493"/>
      <c r="T24" s="493"/>
      <c r="U24" s="493"/>
      <c r="V24" s="34">
        <f t="shared" si="1"/>
        <v>59180.279000000002</v>
      </c>
      <c r="W24" s="31">
        <v>241800</v>
      </c>
      <c r="X24" s="27">
        <v>1</v>
      </c>
      <c r="Y24" s="101">
        <v>44200</v>
      </c>
      <c r="Z24" s="36">
        <v>44223</v>
      </c>
      <c r="AA24" s="527">
        <v>1387</v>
      </c>
      <c r="AB24" s="528">
        <v>11</v>
      </c>
      <c r="AC24" s="494">
        <v>44221</v>
      </c>
      <c r="AD24" s="494">
        <v>44246</v>
      </c>
      <c r="AE24" s="31">
        <v>1252</v>
      </c>
      <c r="AF24" s="214">
        <v>17</v>
      </c>
      <c r="AG24" s="494">
        <v>44242</v>
      </c>
      <c r="AH24" s="494">
        <v>44271</v>
      </c>
      <c r="AI24" s="228">
        <v>-185257</v>
      </c>
      <c r="AJ24" s="528">
        <v>93</v>
      </c>
      <c r="AK24" s="494">
        <v>44426</v>
      </c>
      <c r="AL24" s="494">
        <v>44442</v>
      </c>
      <c r="AM24" s="494"/>
      <c r="AN24" s="494"/>
      <c r="AO24" s="494"/>
      <c r="AP24" s="494"/>
      <c r="AQ24" s="494"/>
      <c r="AR24" s="214"/>
      <c r="AS24" s="494"/>
      <c r="AT24" s="494"/>
      <c r="AU24" s="494"/>
      <c r="AV24" s="494"/>
      <c r="AW24" s="494"/>
      <c r="AX24" s="494"/>
      <c r="AY24" s="494"/>
      <c r="AZ24" s="494"/>
      <c r="BA24" s="494"/>
      <c r="BB24" s="494"/>
      <c r="BC24" s="494"/>
      <c r="BD24" s="494"/>
      <c r="BE24" s="494"/>
      <c r="BF24" s="494"/>
      <c r="BG24" s="37">
        <f t="shared" si="2"/>
        <v>59182</v>
      </c>
      <c r="BH24" s="525">
        <f t="shared" si="0"/>
        <v>1.7209999999977299</v>
      </c>
    </row>
    <row r="25" spans="2:60" s="39" customFormat="1" ht="13.5" customHeight="1">
      <c r="B25" s="261">
        <v>14</v>
      </c>
      <c r="C25" s="22" t="s">
        <v>39</v>
      </c>
      <c r="D25" s="23" t="s">
        <v>1928</v>
      </c>
      <c r="E25" s="503" t="s">
        <v>1929</v>
      </c>
      <c r="F25" s="26" t="s">
        <v>146</v>
      </c>
      <c r="G25" s="26" t="s">
        <v>1895</v>
      </c>
      <c r="H25" s="73" t="s">
        <v>1911</v>
      </c>
      <c r="I25" s="49" t="s">
        <v>44</v>
      </c>
      <c r="J25" s="34">
        <v>691446</v>
      </c>
      <c r="K25" s="34">
        <v>262662</v>
      </c>
      <c r="L25" s="34">
        <v>0</v>
      </c>
      <c r="M25" s="34">
        <v>93881</v>
      </c>
      <c r="N25" s="34">
        <f>3500+104990</f>
        <v>108490</v>
      </c>
      <c r="O25" s="34">
        <v>27438</v>
      </c>
      <c r="P25" s="505">
        <v>32894.716</v>
      </c>
      <c r="Q25" s="493">
        <v>1750</v>
      </c>
      <c r="R25" s="493">
        <v>13166.844999999999</v>
      </c>
      <c r="S25" s="493">
        <v>3500</v>
      </c>
      <c r="T25" s="493">
        <v>11498.592000000001</v>
      </c>
      <c r="U25" s="493">
        <v>17808.417000000001</v>
      </c>
      <c r="V25" s="34">
        <f t="shared" si="1"/>
        <v>310427.57</v>
      </c>
      <c r="W25" s="31">
        <v>408651</v>
      </c>
      <c r="X25" s="27">
        <v>1</v>
      </c>
      <c r="Y25" s="101">
        <v>44200</v>
      </c>
      <c r="Z25" s="36">
        <v>44223</v>
      </c>
      <c r="AA25" s="31">
        <v>108750</v>
      </c>
      <c r="AB25" s="214">
        <v>22</v>
      </c>
      <c r="AC25" s="494">
        <v>44256</v>
      </c>
      <c r="AD25" s="494">
        <v>44277</v>
      </c>
      <c r="AE25" s="31">
        <v>4045</v>
      </c>
      <c r="AF25" s="214">
        <v>25</v>
      </c>
      <c r="AG25" s="494">
        <v>44263</v>
      </c>
      <c r="AH25" s="494">
        <v>44292</v>
      </c>
      <c r="AI25" s="228">
        <v>1950</v>
      </c>
      <c r="AJ25" s="528">
        <v>55</v>
      </c>
      <c r="AK25" s="494">
        <v>44323</v>
      </c>
      <c r="AL25" s="494">
        <v>44350</v>
      </c>
      <c r="AM25" s="528">
        <v>-117247</v>
      </c>
      <c r="AN25" s="528">
        <v>70</v>
      </c>
      <c r="AO25" s="494">
        <v>44354</v>
      </c>
      <c r="AP25" s="494">
        <v>44372</v>
      </c>
      <c r="AQ25" s="494"/>
      <c r="AR25" s="21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37">
        <f t="shared" si="2"/>
        <v>406149</v>
      </c>
      <c r="BH25" s="525">
        <f t="shared" si="0"/>
        <v>95721.43</v>
      </c>
    </row>
    <row r="26" spans="2:60" s="39" customFormat="1" ht="13.5" customHeight="1">
      <c r="B26" s="22">
        <v>15</v>
      </c>
      <c r="C26" s="22" t="s">
        <v>39</v>
      </c>
      <c r="D26" s="23" t="s">
        <v>1930</v>
      </c>
      <c r="E26" s="503" t="s">
        <v>1931</v>
      </c>
      <c r="F26" s="26" t="s">
        <v>146</v>
      </c>
      <c r="G26" s="26" t="s">
        <v>1895</v>
      </c>
      <c r="H26" s="73" t="s">
        <v>1932</v>
      </c>
      <c r="I26" s="49" t="s">
        <v>44</v>
      </c>
      <c r="J26" s="34">
        <v>271223</v>
      </c>
      <c r="K26" s="34">
        <v>201141</v>
      </c>
      <c r="L26" s="34">
        <v>0</v>
      </c>
      <c r="M26" s="34">
        <v>49101</v>
      </c>
      <c r="N26" s="34">
        <v>8264</v>
      </c>
      <c r="O26" s="34"/>
      <c r="P26" s="505">
        <v>2651.875</v>
      </c>
      <c r="Q26" s="493"/>
      <c r="R26" s="493"/>
      <c r="S26" s="493"/>
      <c r="T26" s="493"/>
      <c r="U26" s="493"/>
      <c r="V26" s="34">
        <f t="shared" si="1"/>
        <v>60016.875</v>
      </c>
      <c r="W26" s="31">
        <v>69266</v>
      </c>
      <c r="X26" s="27">
        <v>1</v>
      </c>
      <c r="Y26" s="101">
        <v>44200</v>
      </c>
      <c r="Z26" s="36">
        <v>44223</v>
      </c>
      <c r="AA26" s="31">
        <v>-9248</v>
      </c>
      <c r="AB26" s="31">
        <v>65</v>
      </c>
      <c r="AC26" s="494">
        <v>44340</v>
      </c>
      <c r="AD26" s="494">
        <v>44356</v>
      </c>
      <c r="AE26" s="31"/>
      <c r="AF26" s="214"/>
      <c r="AG26" s="228"/>
      <c r="AH26" s="494"/>
      <c r="AI26" s="228"/>
      <c r="AJ26" s="494"/>
      <c r="AK26" s="494"/>
      <c r="AL26" s="494"/>
      <c r="AM26" s="494"/>
      <c r="AN26" s="494"/>
      <c r="AO26" s="494"/>
      <c r="AP26" s="494"/>
      <c r="AQ26" s="494"/>
      <c r="AR26" s="214"/>
      <c r="AS26" s="494"/>
      <c r="AT26" s="494"/>
      <c r="AU26" s="494"/>
      <c r="AV26" s="494"/>
      <c r="AW26" s="494"/>
      <c r="AX26" s="494"/>
      <c r="AY26" s="494"/>
      <c r="AZ26" s="494"/>
      <c r="BA26" s="494"/>
      <c r="BB26" s="494"/>
      <c r="BC26" s="494"/>
      <c r="BD26" s="494"/>
      <c r="BE26" s="494"/>
      <c r="BF26" s="494"/>
      <c r="BG26" s="37">
        <f t="shared" si="2"/>
        <v>60018</v>
      </c>
      <c r="BH26" s="525">
        <f t="shared" si="0"/>
        <v>1.125</v>
      </c>
    </row>
    <row r="27" spans="2:60" s="39" customFormat="1" ht="13.5" customHeight="1">
      <c r="B27" s="261">
        <v>16</v>
      </c>
      <c r="C27" s="22" t="s">
        <v>39</v>
      </c>
      <c r="D27" s="23" t="s">
        <v>1933</v>
      </c>
      <c r="E27" s="503" t="s">
        <v>1934</v>
      </c>
      <c r="F27" s="26" t="s">
        <v>146</v>
      </c>
      <c r="G27" s="26" t="s">
        <v>1895</v>
      </c>
      <c r="H27" s="73" t="s">
        <v>1932</v>
      </c>
      <c r="I27" s="49" t="s">
        <v>44</v>
      </c>
      <c r="J27" s="34">
        <v>257055</v>
      </c>
      <c r="K27" s="34">
        <v>235140</v>
      </c>
      <c r="L27" s="34">
        <v>0</v>
      </c>
      <c r="M27" s="34">
        <v>0</v>
      </c>
      <c r="N27" s="34"/>
      <c r="O27" s="34">
        <v>5637</v>
      </c>
      <c r="P27" s="492"/>
      <c r="Q27" s="493"/>
      <c r="R27" s="493"/>
      <c r="S27" s="493"/>
      <c r="T27" s="493"/>
      <c r="U27" s="493"/>
      <c r="V27" s="34">
        <f t="shared" si="1"/>
        <v>5637</v>
      </c>
      <c r="W27" s="31">
        <v>21915</v>
      </c>
      <c r="X27" s="27">
        <v>1</v>
      </c>
      <c r="Y27" s="101">
        <v>44200</v>
      </c>
      <c r="Z27" s="36">
        <v>44223</v>
      </c>
      <c r="AA27" s="494"/>
      <c r="AB27" s="494"/>
      <c r="AC27" s="494"/>
      <c r="AD27" s="494"/>
      <c r="AE27" s="31"/>
      <c r="AF27" s="214"/>
      <c r="AG27" s="228"/>
      <c r="AH27" s="494"/>
      <c r="AI27" s="228"/>
      <c r="AJ27" s="494"/>
      <c r="AK27" s="494"/>
      <c r="AL27" s="494"/>
      <c r="AM27" s="494"/>
      <c r="AN27" s="494"/>
      <c r="AO27" s="494"/>
      <c r="AP27" s="494"/>
      <c r="AQ27" s="494"/>
      <c r="AR27" s="214"/>
      <c r="AS27" s="494"/>
      <c r="AT27" s="494"/>
      <c r="AU27" s="494"/>
      <c r="AV27" s="494"/>
      <c r="AW27" s="494"/>
      <c r="AX27" s="494"/>
      <c r="AY27" s="494"/>
      <c r="AZ27" s="494"/>
      <c r="BA27" s="494"/>
      <c r="BB27" s="494"/>
      <c r="BC27" s="494"/>
      <c r="BD27" s="494"/>
      <c r="BE27" s="494"/>
      <c r="BF27" s="494"/>
      <c r="BG27" s="37">
        <f t="shared" si="2"/>
        <v>21915</v>
      </c>
      <c r="BH27" s="525">
        <f t="shared" si="0"/>
        <v>16278</v>
      </c>
    </row>
    <row r="28" spans="2:60" s="39" customFormat="1" ht="13.5" customHeight="1">
      <c r="B28" s="22">
        <v>17</v>
      </c>
      <c r="C28" s="22" t="s">
        <v>39</v>
      </c>
      <c r="D28" s="23" t="s">
        <v>1935</v>
      </c>
      <c r="E28" s="503" t="s">
        <v>1936</v>
      </c>
      <c r="F28" s="26" t="s">
        <v>146</v>
      </c>
      <c r="G28" s="26" t="s">
        <v>1895</v>
      </c>
      <c r="H28" s="73" t="s">
        <v>1932</v>
      </c>
      <c r="I28" s="49" t="s">
        <v>44</v>
      </c>
      <c r="J28" s="34">
        <v>1302195</v>
      </c>
      <c r="K28" s="34">
        <v>4473</v>
      </c>
      <c r="L28" s="34">
        <v>0</v>
      </c>
      <c r="M28" s="34">
        <v>0</v>
      </c>
      <c r="N28" s="34">
        <f>4375+58412</f>
        <v>62787</v>
      </c>
      <c r="O28" s="34">
        <f>8750+39826</f>
        <v>48576</v>
      </c>
      <c r="P28" s="505">
        <v>55613.824999999997</v>
      </c>
      <c r="Q28" s="493">
        <v>21339.201000000001</v>
      </c>
      <c r="R28" s="493">
        <v>20811.896000000001</v>
      </c>
      <c r="S28" s="493">
        <v>8750</v>
      </c>
      <c r="T28" s="493">
        <v>97740.930999999997</v>
      </c>
      <c r="U28" s="493">
        <v>65722.760999999999</v>
      </c>
      <c r="V28" s="34">
        <f t="shared" si="1"/>
        <v>381341.614</v>
      </c>
      <c r="W28" s="31">
        <v>399018</v>
      </c>
      <c r="X28" s="27">
        <v>1</v>
      </c>
      <c r="Y28" s="101">
        <v>44200</v>
      </c>
      <c r="Z28" s="36">
        <v>44223</v>
      </c>
      <c r="AA28" s="31">
        <v>2</v>
      </c>
      <c r="AB28" s="31">
        <v>15</v>
      </c>
      <c r="AC28" s="494">
        <v>44228</v>
      </c>
      <c r="AD28" s="494">
        <v>44260</v>
      </c>
      <c r="AE28" s="31">
        <v>107341</v>
      </c>
      <c r="AF28" s="214">
        <v>25</v>
      </c>
      <c r="AG28" s="494">
        <v>44263</v>
      </c>
      <c r="AH28" s="494">
        <v>44292</v>
      </c>
      <c r="AI28" s="228">
        <v>4375</v>
      </c>
      <c r="AJ28" s="528">
        <v>46</v>
      </c>
      <c r="AK28" s="494">
        <v>44295</v>
      </c>
      <c r="AL28" s="494">
        <v>44327</v>
      </c>
      <c r="AM28" s="228">
        <v>8751</v>
      </c>
      <c r="AN28" s="228">
        <v>55</v>
      </c>
      <c r="AO28" s="494">
        <v>44323</v>
      </c>
      <c r="AP28" s="494">
        <v>44350</v>
      </c>
      <c r="AQ28" s="494"/>
      <c r="AR28" s="214"/>
      <c r="AS28" s="494"/>
      <c r="AT28" s="494"/>
      <c r="AU28" s="494"/>
      <c r="AV28" s="494"/>
      <c r="AW28" s="494"/>
      <c r="AX28" s="494"/>
      <c r="AY28" s="494"/>
      <c r="AZ28" s="494"/>
      <c r="BA28" s="494"/>
      <c r="BB28" s="494"/>
      <c r="BC28" s="494"/>
      <c r="BD28" s="494"/>
      <c r="BE28" s="494"/>
      <c r="BF28" s="494"/>
      <c r="BG28" s="37">
        <f t="shared" si="2"/>
        <v>519487</v>
      </c>
      <c r="BH28" s="525">
        <f t="shared" si="0"/>
        <v>138145.386</v>
      </c>
    </row>
    <row r="29" spans="2:60" s="39" customFormat="1" ht="13.5" customHeight="1">
      <c r="B29" s="261">
        <v>18</v>
      </c>
      <c r="C29" s="22" t="s">
        <v>39</v>
      </c>
      <c r="D29" s="23" t="s">
        <v>1937</v>
      </c>
      <c r="E29" s="503" t="s">
        <v>1938</v>
      </c>
      <c r="F29" s="26" t="s">
        <v>146</v>
      </c>
      <c r="G29" s="26" t="s">
        <v>1895</v>
      </c>
      <c r="H29" s="73" t="s">
        <v>1932</v>
      </c>
      <c r="I29" s="49" t="s">
        <v>44</v>
      </c>
      <c r="J29" s="34">
        <v>300667</v>
      </c>
      <c r="K29" s="34">
        <v>0</v>
      </c>
      <c r="L29" s="34">
        <v>0</v>
      </c>
      <c r="M29" s="34">
        <v>32239</v>
      </c>
      <c r="N29" s="34"/>
      <c r="O29" s="34">
        <v>246696</v>
      </c>
      <c r="P29" s="492"/>
      <c r="Q29" s="493"/>
      <c r="R29" s="493"/>
      <c r="S29" s="493"/>
      <c r="T29" s="493"/>
      <c r="U29" s="493"/>
      <c r="V29" s="34">
        <f t="shared" si="1"/>
        <v>278935</v>
      </c>
      <c r="W29" s="31">
        <v>278935</v>
      </c>
      <c r="X29" s="27">
        <v>1</v>
      </c>
      <c r="Y29" s="101">
        <v>44200</v>
      </c>
      <c r="Z29" s="36">
        <v>44223</v>
      </c>
      <c r="AA29" s="31"/>
      <c r="AB29" s="31"/>
      <c r="AC29" s="494"/>
      <c r="AD29" s="494"/>
      <c r="AE29" s="31"/>
      <c r="AF29" s="214"/>
      <c r="AG29" s="228"/>
      <c r="AH29" s="494"/>
      <c r="AI29" s="228"/>
      <c r="AJ29" s="528"/>
      <c r="AK29" s="494"/>
      <c r="AL29" s="494"/>
      <c r="AM29" s="494"/>
      <c r="AN29" s="494"/>
      <c r="AO29" s="494"/>
      <c r="AP29" s="494"/>
      <c r="AQ29" s="494"/>
      <c r="AR29" s="214"/>
      <c r="AS29" s="494"/>
      <c r="AT29" s="494"/>
      <c r="AU29" s="494"/>
      <c r="AV29" s="494"/>
      <c r="AW29" s="494"/>
      <c r="AX29" s="494"/>
      <c r="AY29" s="494"/>
      <c r="AZ29" s="494"/>
      <c r="BA29" s="494"/>
      <c r="BB29" s="494"/>
      <c r="BC29" s="494"/>
      <c r="BD29" s="494"/>
      <c r="BE29" s="494"/>
      <c r="BF29" s="494"/>
      <c r="BG29" s="37">
        <f t="shared" si="2"/>
        <v>278935</v>
      </c>
      <c r="BH29" s="525">
        <f t="shared" si="0"/>
        <v>0</v>
      </c>
    </row>
    <row r="30" spans="2:60" s="39" customFormat="1" ht="13.5" customHeight="1">
      <c r="B30" s="22">
        <v>19</v>
      </c>
      <c r="C30" s="22" t="s">
        <v>39</v>
      </c>
      <c r="D30" s="23" t="s">
        <v>1939</v>
      </c>
      <c r="E30" s="503" t="s">
        <v>1940</v>
      </c>
      <c r="F30" s="26" t="s">
        <v>146</v>
      </c>
      <c r="G30" s="26" t="s">
        <v>1895</v>
      </c>
      <c r="H30" s="73" t="s">
        <v>1941</v>
      </c>
      <c r="I30" s="49" t="s">
        <v>44</v>
      </c>
      <c r="J30" s="34">
        <v>1000149</v>
      </c>
      <c r="K30" s="34">
        <v>240242</v>
      </c>
      <c r="L30" s="34">
        <v>0</v>
      </c>
      <c r="M30" s="34">
        <f>1800+38261</f>
        <v>40061</v>
      </c>
      <c r="N30" s="34">
        <v>97519.235000000001</v>
      </c>
      <c r="O30" s="34">
        <f>3600+90226</f>
        <v>93826</v>
      </c>
      <c r="P30" s="492">
        <v>88163.076000000001</v>
      </c>
      <c r="Q30" s="493">
        <v>72149.180999999997</v>
      </c>
      <c r="R30" s="493"/>
      <c r="S30" s="493">
        <v>78593.881999999998</v>
      </c>
      <c r="T30" s="493">
        <v>43129.603999999999</v>
      </c>
      <c r="U30" s="493">
        <v>70061.737999999998</v>
      </c>
      <c r="V30" s="34">
        <f t="shared" si="1"/>
        <v>583503.7159999999</v>
      </c>
      <c r="W30" s="31">
        <v>224502</v>
      </c>
      <c r="X30" s="27">
        <v>1</v>
      </c>
      <c r="Y30" s="101">
        <v>44200</v>
      </c>
      <c r="Z30" s="36">
        <v>44223</v>
      </c>
      <c r="AA30" s="31">
        <v>386730</v>
      </c>
      <c r="AB30" s="31">
        <v>25</v>
      </c>
      <c r="AC30" s="494">
        <v>44263</v>
      </c>
      <c r="AD30" s="494">
        <v>44292</v>
      </c>
      <c r="AE30" s="31">
        <v>1800</v>
      </c>
      <c r="AF30" s="214">
        <v>46</v>
      </c>
      <c r="AG30" s="494">
        <v>44295</v>
      </c>
      <c r="AH30" s="494">
        <v>44327</v>
      </c>
      <c r="AI30" s="228">
        <v>156281</v>
      </c>
      <c r="AJ30" s="528">
        <v>55</v>
      </c>
      <c r="AK30" s="494">
        <v>44323</v>
      </c>
      <c r="AL30" s="494">
        <v>44350</v>
      </c>
      <c r="AM30" s="494"/>
      <c r="AN30" s="228"/>
      <c r="AO30" s="494"/>
      <c r="AP30" s="494"/>
      <c r="AQ30" s="494"/>
      <c r="AR30" s="494"/>
      <c r="AS30" s="494"/>
      <c r="AT30" s="494"/>
      <c r="AU30" s="494"/>
      <c r="AV30" s="494"/>
      <c r="AW30" s="494"/>
      <c r="AX30" s="494"/>
      <c r="AY30" s="494"/>
      <c r="AZ30" s="494"/>
      <c r="BA30" s="494"/>
      <c r="BB30" s="494"/>
      <c r="BC30" s="494"/>
      <c r="BD30" s="494"/>
      <c r="BE30" s="494"/>
      <c r="BF30" s="494"/>
      <c r="BG30" s="37">
        <f t="shared" si="2"/>
        <v>769313</v>
      </c>
      <c r="BH30" s="525">
        <f t="shared" si="0"/>
        <v>185809.2840000001</v>
      </c>
    </row>
    <row r="31" spans="2:60" s="39" customFormat="1" ht="13.5" customHeight="1">
      <c r="B31" s="261">
        <v>20</v>
      </c>
      <c r="C31" s="22" t="s">
        <v>39</v>
      </c>
      <c r="D31" s="23" t="s">
        <v>1942</v>
      </c>
      <c r="E31" s="503" t="s">
        <v>1943</v>
      </c>
      <c r="F31" s="26" t="s">
        <v>158</v>
      </c>
      <c r="G31" s="26" t="s">
        <v>1895</v>
      </c>
      <c r="H31" s="73" t="s">
        <v>1941</v>
      </c>
      <c r="I31" s="49" t="s">
        <v>52</v>
      </c>
      <c r="J31" s="34">
        <v>51891</v>
      </c>
      <c r="K31" s="34">
        <v>0</v>
      </c>
      <c r="L31" s="34">
        <v>0</v>
      </c>
      <c r="M31" s="34">
        <v>0</v>
      </c>
      <c r="N31" s="34"/>
      <c r="O31" s="34"/>
      <c r="P31" s="492"/>
      <c r="Q31" s="493"/>
      <c r="R31" s="493"/>
      <c r="S31" s="493"/>
      <c r="T31" s="493"/>
      <c r="U31" s="493"/>
      <c r="V31" s="34">
        <f t="shared" si="1"/>
        <v>0</v>
      </c>
      <c r="W31" s="31">
        <v>29193</v>
      </c>
      <c r="X31" s="27">
        <v>1</v>
      </c>
      <c r="Y31" s="101">
        <v>44200</v>
      </c>
      <c r="Z31" s="36">
        <v>44223</v>
      </c>
      <c r="AA31" s="31">
        <v>1</v>
      </c>
      <c r="AB31" s="31">
        <v>15</v>
      </c>
      <c r="AC31" s="494">
        <v>44228</v>
      </c>
      <c r="AD31" s="494">
        <v>44260</v>
      </c>
      <c r="AE31" s="31"/>
      <c r="AF31" s="214"/>
      <c r="AG31" s="494"/>
      <c r="AH31" s="494"/>
      <c r="AI31" s="228"/>
      <c r="AJ31" s="528"/>
      <c r="AK31" s="494"/>
      <c r="AL31" s="494"/>
      <c r="AM31" s="494"/>
      <c r="AN31" s="228"/>
      <c r="AO31" s="494"/>
      <c r="AP31" s="494"/>
      <c r="AQ31" s="494"/>
      <c r="AR31" s="494"/>
      <c r="AS31" s="494"/>
      <c r="AT31" s="494"/>
      <c r="AU31" s="494"/>
      <c r="AV31" s="494"/>
      <c r="AW31" s="494"/>
      <c r="AX31" s="494"/>
      <c r="AY31" s="494"/>
      <c r="AZ31" s="494"/>
      <c r="BA31" s="494"/>
      <c r="BB31" s="494"/>
      <c r="BC31" s="494"/>
      <c r="BD31" s="494"/>
      <c r="BE31" s="494"/>
      <c r="BF31" s="494"/>
      <c r="BG31" s="37">
        <f t="shared" si="2"/>
        <v>29194</v>
      </c>
      <c r="BH31" s="525">
        <f t="shared" si="0"/>
        <v>29194</v>
      </c>
    </row>
    <row r="32" spans="2:60" s="39" customFormat="1" ht="13.5" customHeight="1">
      <c r="B32" s="22">
        <v>21</v>
      </c>
      <c r="C32" s="22" t="s">
        <v>39</v>
      </c>
      <c r="D32" s="23" t="s">
        <v>1944</v>
      </c>
      <c r="E32" s="503" t="s">
        <v>1945</v>
      </c>
      <c r="F32" s="26" t="s">
        <v>158</v>
      </c>
      <c r="G32" s="26" t="s">
        <v>1895</v>
      </c>
      <c r="H32" s="73" t="s">
        <v>1941</v>
      </c>
      <c r="I32" s="49" t="s">
        <v>44</v>
      </c>
      <c r="J32" s="34">
        <v>23759</v>
      </c>
      <c r="K32" s="34">
        <v>0</v>
      </c>
      <c r="L32" s="34">
        <v>0</v>
      </c>
      <c r="M32" s="34">
        <v>6150</v>
      </c>
      <c r="N32" s="34"/>
      <c r="O32" s="34"/>
      <c r="P32" s="492"/>
      <c r="Q32" s="493"/>
      <c r="R32" s="493"/>
      <c r="S32" s="493"/>
      <c r="T32" s="493"/>
      <c r="U32" s="493"/>
      <c r="V32" s="34">
        <f t="shared" si="1"/>
        <v>6150</v>
      </c>
      <c r="W32" s="31">
        <v>12300</v>
      </c>
      <c r="X32" s="27">
        <v>1</v>
      </c>
      <c r="Y32" s="101">
        <v>44200</v>
      </c>
      <c r="Z32" s="36">
        <v>44223</v>
      </c>
      <c r="AA32" s="31"/>
      <c r="AB32" s="31"/>
      <c r="AC32" s="494"/>
      <c r="AD32" s="494"/>
      <c r="AE32" s="31"/>
      <c r="AF32" s="214"/>
      <c r="AG32" s="228"/>
      <c r="AH32" s="494"/>
      <c r="AI32" s="228"/>
      <c r="AJ32" s="528"/>
      <c r="AK32" s="494"/>
      <c r="AL32" s="494"/>
      <c r="AM32" s="494"/>
      <c r="AN32" s="228"/>
      <c r="AO32" s="494"/>
      <c r="AP32" s="494"/>
      <c r="AQ32" s="494"/>
      <c r="AR32" s="494"/>
      <c r="AS32" s="494"/>
      <c r="AT32" s="494"/>
      <c r="AU32" s="494"/>
      <c r="AV32" s="494"/>
      <c r="AW32" s="494"/>
      <c r="AX32" s="494"/>
      <c r="AY32" s="494"/>
      <c r="AZ32" s="494"/>
      <c r="BA32" s="494"/>
      <c r="BB32" s="494"/>
      <c r="BC32" s="494"/>
      <c r="BD32" s="494"/>
      <c r="BE32" s="494"/>
      <c r="BF32" s="494"/>
      <c r="BG32" s="37">
        <f t="shared" si="2"/>
        <v>12300</v>
      </c>
      <c r="BH32" s="525">
        <f t="shared" si="0"/>
        <v>6150</v>
      </c>
    </row>
    <row r="33" spans="2:60" s="39" customFormat="1" ht="13.5" customHeight="1">
      <c r="B33" s="261">
        <v>22</v>
      </c>
      <c r="C33" s="22" t="s">
        <v>39</v>
      </c>
      <c r="D33" s="23" t="s">
        <v>1946</v>
      </c>
      <c r="E33" s="503" t="s">
        <v>1947</v>
      </c>
      <c r="F33" s="26" t="s">
        <v>158</v>
      </c>
      <c r="G33" s="26" t="s">
        <v>1895</v>
      </c>
      <c r="H33" s="73" t="s">
        <v>1948</v>
      </c>
      <c r="I33" s="49" t="s">
        <v>44</v>
      </c>
      <c r="J33" s="34">
        <v>30418</v>
      </c>
      <c r="K33" s="34">
        <v>13418</v>
      </c>
      <c r="L33" s="34">
        <v>0</v>
      </c>
      <c r="M33" s="34">
        <v>0</v>
      </c>
      <c r="N33" s="34">
        <v>9541</v>
      </c>
      <c r="O33" s="34"/>
      <c r="P33" s="492"/>
      <c r="Q33" s="493"/>
      <c r="R33" s="493"/>
      <c r="S33" s="493"/>
      <c r="T33" s="493"/>
      <c r="U33" s="493"/>
      <c r="V33" s="34">
        <f t="shared" si="1"/>
        <v>9541</v>
      </c>
      <c r="W33" s="31">
        <v>13600</v>
      </c>
      <c r="X33" s="27">
        <v>1</v>
      </c>
      <c r="Y33" s="101">
        <v>44200</v>
      </c>
      <c r="Z33" s="36">
        <v>44223</v>
      </c>
      <c r="AA33" s="31">
        <v>2756</v>
      </c>
      <c r="AB33" s="31">
        <v>25</v>
      </c>
      <c r="AC33" s="494">
        <v>44263</v>
      </c>
      <c r="AD33" s="494">
        <v>44292</v>
      </c>
      <c r="AE33" s="31"/>
      <c r="AF33" s="214"/>
      <c r="AG33" s="228"/>
      <c r="AH33" s="494"/>
      <c r="AI33" s="228"/>
      <c r="AJ33" s="528"/>
      <c r="AK33" s="494"/>
      <c r="AL33" s="494"/>
      <c r="AM33" s="494"/>
      <c r="AN33" s="228"/>
      <c r="AO33" s="494"/>
      <c r="AP33" s="494"/>
      <c r="AQ33" s="494"/>
      <c r="AR33" s="494"/>
      <c r="AS33" s="494"/>
      <c r="AT33" s="494"/>
      <c r="AU33" s="494"/>
      <c r="AV33" s="494"/>
      <c r="AW33" s="494"/>
      <c r="AX33" s="494"/>
      <c r="AY33" s="494"/>
      <c r="AZ33" s="494"/>
      <c r="BA33" s="494"/>
      <c r="BB33" s="494"/>
      <c r="BC33" s="494"/>
      <c r="BD33" s="494"/>
      <c r="BE33" s="494"/>
      <c r="BF33" s="494"/>
      <c r="BG33" s="37">
        <f t="shared" si="2"/>
        <v>16356</v>
      </c>
      <c r="BH33" s="525">
        <f t="shared" si="0"/>
        <v>6815</v>
      </c>
    </row>
    <row r="34" spans="2:60" s="39" customFormat="1" ht="13.5" customHeight="1">
      <c r="B34" s="22">
        <v>23</v>
      </c>
      <c r="C34" s="22" t="s">
        <v>39</v>
      </c>
      <c r="D34" s="23" t="s">
        <v>1949</v>
      </c>
      <c r="E34" s="503" t="s">
        <v>1950</v>
      </c>
      <c r="F34" s="26" t="s">
        <v>146</v>
      </c>
      <c r="G34" s="26" t="s">
        <v>1895</v>
      </c>
      <c r="H34" s="73" t="s">
        <v>1948</v>
      </c>
      <c r="I34" s="49" t="s">
        <v>44</v>
      </c>
      <c r="J34" s="34">
        <v>668999</v>
      </c>
      <c r="K34" s="34">
        <v>549542</v>
      </c>
      <c r="L34" s="34">
        <v>0</v>
      </c>
      <c r="M34" s="34">
        <v>0</v>
      </c>
      <c r="N34" s="34">
        <f>4300+82846</f>
        <v>87146</v>
      </c>
      <c r="O34" s="34"/>
      <c r="P34" s="492"/>
      <c r="Q34" s="493"/>
      <c r="R34" s="493"/>
      <c r="S34" s="493">
        <v>27013.371999999999</v>
      </c>
      <c r="T34" s="493"/>
      <c r="U34" s="493"/>
      <c r="V34" s="34">
        <f t="shared" si="1"/>
        <v>114159.372</v>
      </c>
      <c r="W34" s="31">
        <v>116310</v>
      </c>
      <c r="X34" s="27">
        <v>1</v>
      </c>
      <c r="Y34" s="101">
        <v>44200</v>
      </c>
      <c r="Z34" s="36">
        <v>44223</v>
      </c>
      <c r="AA34" s="31"/>
      <c r="AB34" s="31"/>
      <c r="AC34" s="494"/>
      <c r="AD34" s="494"/>
      <c r="AE34" s="31"/>
      <c r="AF34" s="214"/>
      <c r="AG34" s="228"/>
      <c r="AH34" s="494"/>
      <c r="AI34" s="228"/>
      <c r="AJ34" s="528"/>
      <c r="AK34" s="494"/>
      <c r="AL34" s="494"/>
      <c r="AM34" s="494"/>
      <c r="AN34" s="228"/>
      <c r="AO34" s="494"/>
      <c r="AP34" s="494"/>
      <c r="AQ34" s="494"/>
      <c r="AR34" s="494"/>
      <c r="AS34" s="494"/>
      <c r="AT34" s="494"/>
      <c r="AU34" s="494"/>
      <c r="AV34" s="494"/>
      <c r="AW34" s="494"/>
      <c r="AX34" s="494"/>
      <c r="AY34" s="494"/>
      <c r="AZ34" s="494"/>
      <c r="BA34" s="494"/>
      <c r="BB34" s="494"/>
      <c r="BC34" s="494"/>
      <c r="BD34" s="494"/>
      <c r="BE34" s="494"/>
      <c r="BF34" s="494"/>
      <c r="BG34" s="37">
        <f t="shared" si="2"/>
        <v>116310</v>
      </c>
      <c r="BH34" s="525">
        <f t="shared" si="0"/>
        <v>2150.627999999997</v>
      </c>
    </row>
    <row r="35" spans="2:60" s="39" customFormat="1" ht="13.5" customHeight="1">
      <c r="B35" s="261">
        <v>24</v>
      </c>
      <c r="C35" s="22" t="s">
        <v>39</v>
      </c>
      <c r="D35" s="23" t="s">
        <v>1951</v>
      </c>
      <c r="E35" s="503" t="s">
        <v>1952</v>
      </c>
      <c r="F35" s="26" t="s">
        <v>158</v>
      </c>
      <c r="G35" s="26" t="s">
        <v>1895</v>
      </c>
      <c r="H35" s="73" t="s">
        <v>1948</v>
      </c>
      <c r="I35" s="49" t="s">
        <v>44</v>
      </c>
      <c r="J35" s="34">
        <v>44887</v>
      </c>
      <c r="K35" s="34">
        <v>25460</v>
      </c>
      <c r="L35" s="34">
        <v>0</v>
      </c>
      <c r="M35" s="34">
        <v>0</v>
      </c>
      <c r="N35" s="34"/>
      <c r="O35" s="34"/>
      <c r="P35" s="492"/>
      <c r="Q35" s="493">
        <v>9100</v>
      </c>
      <c r="R35" s="493"/>
      <c r="S35" s="493"/>
      <c r="T35" s="493"/>
      <c r="U35" s="493"/>
      <c r="V35" s="34">
        <f t="shared" si="1"/>
        <v>9100</v>
      </c>
      <c r="W35" s="31">
        <v>30316</v>
      </c>
      <c r="X35" s="27">
        <v>1</v>
      </c>
      <c r="Y35" s="101">
        <v>44200</v>
      </c>
      <c r="Z35" s="36">
        <v>44223</v>
      </c>
      <c r="AA35" s="31"/>
      <c r="AB35" s="31"/>
      <c r="AC35" s="494"/>
      <c r="AD35" s="494"/>
      <c r="AE35" s="31"/>
      <c r="AF35" s="214"/>
      <c r="AG35" s="228"/>
      <c r="AH35" s="494"/>
      <c r="AI35" s="228"/>
      <c r="AJ35" s="528"/>
      <c r="AK35" s="494"/>
      <c r="AL35" s="494"/>
      <c r="AM35" s="494"/>
      <c r="AN35" s="228"/>
      <c r="AO35" s="494"/>
      <c r="AP35" s="494"/>
      <c r="AQ35" s="494"/>
      <c r="AR35" s="494"/>
      <c r="AS35" s="494"/>
      <c r="AT35" s="494"/>
      <c r="AU35" s="494"/>
      <c r="AV35" s="494"/>
      <c r="AW35" s="494"/>
      <c r="AX35" s="494"/>
      <c r="AY35" s="494"/>
      <c r="AZ35" s="494"/>
      <c r="BA35" s="494"/>
      <c r="BB35" s="494"/>
      <c r="BC35" s="494"/>
      <c r="BD35" s="494"/>
      <c r="BE35" s="494"/>
      <c r="BF35" s="494"/>
      <c r="BG35" s="37">
        <f t="shared" si="2"/>
        <v>30316</v>
      </c>
      <c r="BH35" s="525">
        <f t="shared" si="0"/>
        <v>21216</v>
      </c>
    </row>
    <row r="36" spans="2:60" s="39" customFormat="1" ht="13.5" customHeight="1">
      <c r="B36" s="22">
        <v>25</v>
      </c>
      <c r="C36" s="22" t="s">
        <v>39</v>
      </c>
      <c r="D36" s="23" t="s">
        <v>1953</v>
      </c>
      <c r="E36" s="503" t="s">
        <v>1954</v>
      </c>
      <c r="F36" s="26" t="s">
        <v>158</v>
      </c>
      <c r="G36" s="26" t="s">
        <v>1895</v>
      </c>
      <c r="H36" s="73" t="s">
        <v>1948</v>
      </c>
      <c r="I36" s="49" t="s">
        <v>44</v>
      </c>
      <c r="J36" s="34">
        <v>34393</v>
      </c>
      <c r="K36" s="34">
        <v>21233</v>
      </c>
      <c r="L36" s="34">
        <v>0</v>
      </c>
      <c r="M36" s="34">
        <v>13160</v>
      </c>
      <c r="N36" s="34"/>
      <c r="O36" s="34"/>
      <c r="P36" s="492"/>
      <c r="Q36" s="493"/>
      <c r="R36" s="493"/>
      <c r="S36" s="493"/>
      <c r="T36" s="493"/>
      <c r="U36" s="493"/>
      <c r="V36" s="34">
        <f t="shared" si="1"/>
        <v>13160</v>
      </c>
      <c r="W36" s="31">
        <v>13160</v>
      </c>
      <c r="X36" s="27">
        <v>1</v>
      </c>
      <c r="Y36" s="101">
        <v>44200</v>
      </c>
      <c r="Z36" s="36">
        <v>44223</v>
      </c>
      <c r="AA36" s="31"/>
      <c r="AB36" s="31"/>
      <c r="AC36" s="494"/>
      <c r="AD36" s="494"/>
      <c r="AE36" s="31"/>
      <c r="AF36" s="214"/>
      <c r="AG36" s="228"/>
      <c r="AH36" s="494"/>
      <c r="AI36" s="228"/>
      <c r="AJ36" s="528"/>
      <c r="AK36" s="494"/>
      <c r="AL36" s="494"/>
      <c r="AM36" s="494"/>
      <c r="AN36" s="228"/>
      <c r="AO36" s="494"/>
      <c r="AP36" s="494"/>
      <c r="AQ36" s="494"/>
      <c r="AR36" s="494"/>
      <c r="AS36" s="494"/>
      <c r="AT36" s="494"/>
      <c r="AU36" s="494"/>
      <c r="AV36" s="494"/>
      <c r="AW36" s="494"/>
      <c r="AX36" s="494"/>
      <c r="AY36" s="494"/>
      <c r="AZ36" s="494"/>
      <c r="BA36" s="494"/>
      <c r="BB36" s="494"/>
      <c r="BC36" s="494"/>
      <c r="BD36" s="494"/>
      <c r="BE36" s="494"/>
      <c r="BF36" s="494"/>
      <c r="BG36" s="37">
        <f t="shared" si="2"/>
        <v>13160</v>
      </c>
      <c r="BH36" s="525">
        <f t="shared" si="0"/>
        <v>0</v>
      </c>
    </row>
    <row r="37" spans="2:60" s="39" customFormat="1" ht="13.5" customHeight="1">
      <c r="B37" s="261">
        <v>26</v>
      </c>
      <c r="C37" s="22" t="s">
        <v>39</v>
      </c>
      <c r="D37" s="23" t="s">
        <v>1955</v>
      </c>
      <c r="E37" s="503" t="s">
        <v>1956</v>
      </c>
      <c r="F37" s="26" t="s">
        <v>158</v>
      </c>
      <c r="G37" s="26" t="s">
        <v>1895</v>
      </c>
      <c r="H37" s="73" t="s">
        <v>1957</v>
      </c>
      <c r="I37" s="49" t="s">
        <v>44</v>
      </c>
      <c r="J37" s="34">
        <v>135783</v>
      </c>
      <c r="K37" s="34">
        <v>23270</v>
      </c>
      <c r="L37" s="34">
        <v>0</v>
      </c>
      <c r="M37" s="34">
        <v>0</v>
      </c>
      <c r="N37" s="34"/>
      <c r="O37" s="34"/>
      <c r="P37" s="492"/>
      <c r="Q37" s="493"/>
      <c r="R37" s="493"/>
      <c r="S37" s="493"/>
      <c r="T37" s="493"/>
      <c r="U37" s="493"/>
      <c r="V37" s="34">
        <f t="shared" si="1"/>
        <v>0</v>
      </c>
      <c r="W37" s="31">
        <v>35000</v>
      </c>
      <c r="X37" s="27">
        <v>1</v>
      </c>
      <c r="Y37" s="101">
        <v>44200</v>
      </c>
      <c r="Z37" s="36">
        <v>44223</v>
      </c>
      <c r="AA37" s="31">
        <v>56030</v>
      </c>
      <c r="AB37" s="31">
        <v>25</v>
      </c>
      <c r="AC37" s="494">
        <v>44263</v>
      </c>
      <c r="AD37" s="494">
        <v>44292</v>
      </c>
      <c r="AE37" s="31"/>
      <c r="AF37" s="214"/>
      <c r="AG37" s="228"/>
      <c r="AH37" s="494"/>
      <c r="AI37" s="228"/>
      <c r="AJ37" s="528"/>
      <c r="AK37" s="494"/>
      <c r="AL37" s="494"/>
      <c r="AM37" s="494"/>
      <c r="AN37" s="228"/>
      <c r="AO37" s="494"/>
      <c r="AP37" s="494"/>
      <c r="AQ37" s="494"/>
      <c r="AR37" s="494"/>
      <c r="AS37" s="494"/>
      <c r="AT37" s="494"/>
      <c r="AU37" s="494"/>
      <c r="AV37" s="494"/>
      <c r="AW37" s="494"/>
      <c r="AX37" s="494"/>
      <c r="AY37" s="494"/>
      <c r="AZ37" s="494"/>
      <c r="BA37" s="494"/>
      <c r="BB37" s="494"/>
      <c r="BC37" s="494"/>
      <c r="BD37" s="494"/>
      <c r="BE37" s="494"/>
      <c r="BF37" s="494"/>
      <c r="BG37" s="37">
        <f t="shared" si="2"/>
        <v>91030</v>
      </c>
      <c r="BH37" s="525">
        <f t="shared" si="0"/>
        <v>91030</v>
      </c>
    </row>
    <row r="38" spans="2:60" s="39" customFormat="1" ht="13.5" customHeight="1">
      <c r="B38" s="22">
        <v>27</v>
      </c>
      <c r="C38" s="22" t="s">
        <v>39</v>
      </c>
      <c r="D38" s="23" t="s">
        <v>1958</v>
      </c>
      <c r="E38" s="503" t="s">
        <v>1959</v>
      </c>
      <c r="F38" s="26" t="s">
        <v>158</v>
      </c>
      <c r="G38" s="26" t="s">
        <v>1895</v>
      </c>
      <c r="H38" s="73" t="s">
        <v>1960</v>
      </c>
      <c r="I38" s="49" t="s">
        <v>44</v>
      </c>
      <c r="J38" s="34">
        <v>312378</v>
      </c>
      <c r="K38" s="34">
        <v>234857</v>
      </c>
      <c r="L38" s="34">
        <v>0</v>
      </c>
      <c r="M38" s="34">
        <v>0</v>
      </c>
      <c r="N38" s="34"/>
      <c r="O38" s="34"/>
      <c r="P38" s="492"/>
      <c r="Q38" s="493"/>
      <c r="R38" s="493"/>
      <c r="S38" s="493">
        <v>24490.2</v>
      </c>
      <c r="T38" s="493"/>
      <c r="U38" s="493"/>
      <c r="V38" s="34">
        <f t="shared" si="1"/>
        <v>24490.2</v>
      </c>
      <c r="W38" s="31">
        <v>77144</v>
      </c>
      <c r="X38" s="27">
        <v>1</v>
      </c>
      <c r="Y38" s="101">
        <v>44200</v>
      </c>
      <c r="Z38" s="36">
        <v>44223</v>
      </c>
      <c r="AA38" s="31"/>
      <c r="AB38" s="31"/>
      <c r="AC38" s="494"/>
      <c r="AD38" s="494"/>
      <c r="AE38" s="31"/>
      <c r="AF38" s="214"/>
      <c r="AG38" s="228"/>
      <c r="AH38" s="494"/>
      <c r="AI38" s="228"/>
      <c r="AJ38" s="528"/>
      <c r="AK38" s="494"/>
      <c r="AL38" s="494"/>
      <c r="AM38" s="494"/>
      <c r="AN38" s="228"/>
      <c r="AO38" s="494"/>
      <c r="AP38" s="494"/>
      <c r="AQ38" s="494"/>
      <c r="AR38" s="494"/>
      <c r="AS38" s="494"/>
      <c r="AT38" s="494"/>
      <c r="AU38" s="494"/>
      <c r="AV38" s="494"/>
      <c r="AW38" s="494"/>
      <c r="AX38" s="494"/>
      <c r="AY38" s="494"/>
      <c r="AZ38" s="494"/>
      <c r="BA38" s="494"/>
      <c r="BB38" s="494"/>
      <c r="BC38" s="494"/>
      <c r="BD38" s="494"/>
      <c r="BE38" s="494"/>
      <c r="BF38" s="494"/>
      <c r="BG38" s="37">
        <f t="shared" si="2"/>
        <v>77144</v>
      </c>
      <c r="BH38" s="525">
        <f t="shared" si="0"/>
        <v>52653.8</v>
      </c>
    </row>
    <row r="39" spans="2:60" s="39" customFormat="1" ht="13.5" customHeight="1">
      <c r="B39" s="261">
        <v>28</v>
      </c>
      <c r="C39" s="22" t="s">
        <v>39</v>
      </c>
      <c r="D39" s="23" t="s">
        <v>1961</v>
      </c>
      <c r="E39" s="503" t="s">
        <v>1962</v>
      </c>
      <c r="F39" s="26" t="s">
        <v>146</v>
      </c>
      <c r="G39" s="26" t="s">
        <v>1895</v>
      </c>
      <c r="H39" s="73" t="s">
        <v>1963</v>
      </c>
      <c r="I39" s="49" t="s">
        <v>44</v>
      </c>
      <c r="J39" s="34">
        <v>323489</v>
      </c>
      <c r="K39" s="34">
        <v>206720</v>
      </c>
      <c r="L39" s="34">
        <v>0</v>
      </c>
      <c r="M39" s="34">
        <v>0</v>
      </c>
      <c r="N39" s="34"/>
      <c r="O39" s="34"/>
      <c r="P39" s="492"/>
      <c r="Q39" s="493"/>
      <c r="R39" s="493"/>
      <c r="S39" s="493">
        <v>62372.771000000001</v>
      </c>
      <c r="T39" s="493">
        <v>46941.743000000002</v>
      </c>
      <c r="U39" s="493"/>
      <c r="V39" s="34">
        <f t="shared" si="1"/>
        <v>109314.514</v>
      </c>
      <c r="W39" s="31">
        <v>98990</v>
      </c>
      <c r="X39" s="27">
        <v>1</v>
      </c>
      <c r="Y39" s="101">
        <v>44200</v>
      </c>
      <c r="Z39" s="36">
        <v>44223</v>
      </c>
      <c r="AA39" s="31">
        <v>25000</v>
      </c>
      <c r="AB39" s="31">
        <v>70</v>
      </c>
      <c r="AC39" s="494">
        <v>44354</v>
      </c>
      <c r="AD39" s="494">
        <v>44372</v>
      </c>
      <c r="AE39" s="31">
        <v>44099</v>
      </c>
      <c r="AF39" s="214">
        <v>89</v>
      </c>
      <c r="AG39" s="494">
        <v>44413</v>
      </c>
      <c r="AH39" s="494">
        <v>44438</v>
      </c>
      <c r="AI39" s="228"/>
      <c r="AJ39" s="528"/>
      <c r="AK39" s="494"/>
      <c r="AL39" s="494"/>
      <c r="AM39" s="494"/>
      <c r="AN39" s="228"/>
      <c r="AO39" s="494"/>
      <c r="AP39" s="494"/>
      <c r="AQ39" s="494"/>
      <c r="AR39" s="494"/>
      <c r="AS39" s="494"/>
      <c r="AT39" s="494"/>
      <c r="AU39" s="494"/>
      <c r="AV39" s="494"/>
      <c r="AW39" s="494"/>
      <c r="AX39" s="494"/>
      <c r="AY39" s="494"/>
      <c r="AZ39" s="494"/>
      <c r="BA39" s="494"/>
      <c r="BB39" s="494"/>
      <c r="BC39" s="494"/>
      <c r="BD39" s="494"/>
      <c r="BE39" s="494"/>
      <c r="BF39" s="494"/>
      <c r="BG39" s="37">
        <f t="shared" si="2"/>
        <v>168089</v>
      </c>
      <c r="BH39" s="525">
        <f t="shared" si="0"/>
        <v>58774.486000000004</v>
      </c>
    </row>
    <row r="40" spans="2:60" s="39" customFormat="1" ht="13.5" customHeight="1">
      <c r="B40" s="22">
        <v>29</v>
      </c>
      <c r="C40" s="22" t="s">
        <v>39</v>
      </c>
      <c r="D40" s="23" t="s">
        <v>1964</v>
      </c>
      <c r="E40" s="503" t="s">
        <v>1965</v>
      </c>
      <c r="F40" s="26" t="s">
        <v>146</v>
      </c>
      <c r="G40" s="26" t="s">
        <v>1895</v>
      </c>
      <c r="H40" s="73" t="s">
        <v>1966</v>
      </c>
      <c r="I40" s="49" t="s">
        <v>44</v>
      </c>
      <c r="J40" s="34">
        <v>394530</v>
      </c>
      <c r="K40" s="34">
        <v>348187</v>
      </c>
      <c r="L40" s="34">
        <v>0</v>
      </c>
      <c r="M40" s="34">
        <v>0</v>
      </c>
      <c r="N40" s="34"/>
      <c r="O40" s="34">
        <v>12651</v>
      </c>
      <c r="P40" s="505">
        <v>1330</v>
      </c>
      <c r="Q40" s="493">
        <v>3990</v>
      </c>
      <c r="R40" s="493"/>
      <c r="S40" s="493">
        <v>1330</v>
      </c>
      <c r="T40" s="493"/>
      <c r="U40" s="493">
        <v>13173.302</v>
      </c>
      <c r="V40" s="34">
        <f t="shared" si="1"/>
        <v>32474.302</v>
      </c>
      <c r="W40" s="31">
        <v>52733</v>
      </c>
      <c r="X40" s="27">
        <v>1</v>
      </c>
      <c r="Y40" s="101">
        <v>44200</v>
      </c>
      <c r="Z40" s="36">
        <v>44223</v>
      </c>
      <c r="AA40" s="31">
        <v>2660</v>
      </c>
      <c r="AB40" s="31">
        <v>62</v>
      </c>
      <c r="AC40" s="494">
        <v>44327</v>
      </c>
      <c r="AD40" s="494">
        <v>44355</v>
      </c>
      <c r="AE40" s="31"/>
      <c r="AF40" s="214"/>
      <c r="AG40" s="228"/>
      <c r="AH40" s="494"/>
      <c r="AI40" s="228"/>
      <c r="AJ40" s="528"/>
      <c r="AK40" s="494"/>
      <c r="AL40" s="494"/>
      <c r="AM40" s="494"/>
      <c r="AN40" s="494"/>
      <c r="AO40" s="494"/>
      <c r="AP40" s="494"/>
      <c r="AQ40" s="494"/>
      <c r="AR40" s="494"/>
      <c r="AS40" s="494"/>
      <c r="AT40" s="494"/>
      <c r="AU40" s="494"/>
      <c r="AV40" s="494"/>
      <c r="AW40" s="494"/>
      <c r="AX40" s="494"/>
      <c r="AY40" s="494"/>
      <c r="AZ40" s="494"/>
      <c r="BA40" s="494"/>
      <c r="BB40" s="494"/>
      <c r="BC40" s="494"/>
      <c r="BD40" s="494"/>
      <c r="BE40" s="494"/>
      <c r="BF40" s="494"/>
      <c r="BG40" s="37">
        <f t="shared" si="2"/>
        <v>55393</v>
      </c>
      <c r="BH40" s="525">
        <f t="shared" si="0"/>
        <v>22918.698</v>
      </c>
    </row>
    <row r="41" spans="2:60" s="39" customFormat="1" ht="13.5" customHeight="1">
      <c r="B41" s="261">
        <v>30</v>
      </c>
      <c r="C41" s="22" t="s">
        <v>39</v>
      </c>
      <c r="D41" s="23" t="s">
        <v>1967</v>
      </c>
      <c r="E41" s="503" t="s">
        <v>1968</v>
      </c>
      <c r="F41" s="26" t="s">
        <v>158</v>
      </c>
      <c r="G41" s="26" t="s">
        <v>1895</v>
      </c>
      <c r="H41" s="73" t="s">
        <v>1969</v>
      </c>
      <c r="I41" s="49" t="s">
        <v>44</v>
      </c>
      <c r="J41" s="34">
        <v>137464</v>
      </c>
      <c r="K41" s="34">
        <v>74364</v>
      </c>
      <c r="L41" s="34">
        <v>0</v>
      </c>
      <c r="M41" s="34">
        <v>0</v>
      </c>
      <c r="N41" s="34">
        <v>29500</v>
      </c>
      <c r="O41" s="34"/>
      <c r="P41" s="505">
        <v>24175.24</v>
      </c>
      <c r="Q41" s="493"/>
      <c r="R41" s="493"/>
      <c r="S41" s="493"/>
      <c r="T41" s="493"/>
      <c r="U41" s="493"/>
      <c r="V41" s="34">
        <f t="shared" si="1"/>
        <v>53675.240000000005</v>
      </c>
      <c r="W41" s="31">
        <v>50676</v>
      </c>
      <c r="X41" s="27">
        <v>1</v>
      </c>
      <c r="Y41" s="101">
        <v>44200</v>
      </c>
      <c r="Z41" s="36">
        <v>44223</v>
      </c>
      <c r="AA41" s="31">
        <v>3000</v>
      </c>
      <c r="AB41" s="31">
        <v>33</v>
      </c>
      <c r="AC41" s="494">
        <v>44266</v>
      </c>
      <c r="AD41" s="494">
        <v>44298</v>
      </c>
      <c r="AE41" s="31"/>
      <c r="AF41" s="214"/>
      <c r="AG41" s="228"/>
      <c r="AH41" s="494"/>
      <c r="AI41" s="228"/>
      <c r="AJ41" s="528"/>
      <c r="AK41" s="494"/>
      <c r="AL41" s="494"/>
      <c r="AM41" s="494"/>
      <c r="AN41" s="494"/>
      <c r="AO41" s="494"/>
      <c r="AP41" s="494"/>
      <c r="AQ41" s="494"/>
      <c r="AR41" s="494"/>
      <c r="AS41" s="494"/>
      <c r="AT41" s="494"/>
      <c r="AU41" s="494"/>
      <c r="AV41" s="494"/>
      <c r="AW41" s="494"/>
      <c r="AX41" s="494"/>
      <c r="AY41" s="494"/>
      <c r="AZ41" s="494"/>
      <c r="BA41" s="494"/>
      <c r="BB41" s="494"/>
      <c r="BC41" s="494"/>
      <c r="BD41" s="494"/>
      <c r="BE41" s="494"/>
      <c r="BF41" s="494"/>
      <c r="BG41" s="37">
        <f t="shared" si="2"/>
        <v>53676</v>
      </c>
      <c r="BH41" s="525">
        <f t="shared" si="0"/>
        <v>0.75999999999476131</v>
      </c>
    </row>
    <row r="42" spans="2:60" s="39" customFormat="1" ht="13.5" customHeight="1">
      <c r="B42" s="22">
        <v>31</v>
      </c>
      <c r="C42" s="22" t="s">
        <v>39</v>
      </c>
      <c r="D42" s="23" t="s">
        <v>1970</v>
      </c>
      <c r="E42" s="503" t="s">
        <v>1971</v>
      </c>
      <c r="F42" s="26" t="s">
        <v>146</v>
      </c>
      <c r="G42" s="26" t="s">
        <v>1895</v>
      </c>
      <c r="H42" s="73" t="s">
        <v>1972</v>
      </c>
      <c r="I42" s="49" t="s">
        <v>44</v>
      </c>
      <c r="J42" s="34">
        <v>4217787</v>
      </c>
      <c r="K42" s="34">
        <v>4131915</v>
      </c>
      <c r="L42" s="34">
        <v>0</v>
      </c>
      <c r="M42" s="34">
        <v>0</v>
      </c>
      <c r="N42" s="34"/>
      <c r="O42" s="34"/>
      <c r="P42" s="492"/>
      <c r="Q42" s="493"/>
      <c r="R42" s="493"/>
      <c r="S42" s="493"/>
      <c r="T42" s="493"/>
      <c r="U42" s="493"/>
      <c r="V42" s="34">
        <f t="shared" si="1"/>
        <v>0</v>
      </c>
      <c r="W42" s="31">
        <v>21250</v>
      </c>
      <c r="X42" s="27">
        <v>1</v>
      </c>
      <c r="Y42" s="101">
        <v>44200</v>
      </c>
      <c r="Z42" s="36">
        <v>44223</v>
      </c>
      <c r="AA42" s="31">
        <v>27453</v>
      </c>
      <c r="AB42" s="31">
        <v>55</v>
      </c>
      <c r="AC42" s="494">
        <v>44323</v>
      </c>
      <c r="AD42" s="494">
        <v>44380</v>
      </c>
      <c r="AE42" s="31"/>
      <c r="AF42" s="214"/>
      <c r="AG42" s="228"/>
      <c r="AH42" s="494"/>
      <c r="AI42" s="228"/>
      <c r="AJ42" s="528"/>
      <c r="AK42" s="494"/>
      <c r="AL42" s="494"/>
      <c r="AM42" s="494"/>
      <c r="AN42" s="494"/>
      <c r="AO42" s="494"/>
      <c r="AP42" s="494"/>
      <c r="AQ42" s="494"/>
      <c r="AR42" s="494"/>
      <c r="AS42" s="494"/>
      <c r="AT42" s="494"/>
      <c r="AU42" s="494"/>
      <c r="AV42" s="494"/>
      <c r="AW42" s="494"/>
      <c r="AX42" s="494"/>
      <c r="AY42" s="494"/>
      <c r="AZ42" s="494"/>
      <c r="BA42" s="494"/>
      <c r="BB42" s="494"/>
      <c r="BC42" s="494"/>
      <c r="BD42" s="494"/>
      <c r="BE42" s="494"/>
      <c r="BF42" s="494"/>
      <c r="BG42" s="37">
        <f t="shared" si="2"/>
        <v>48703</v>
      </c>
      <c r="BH42" s="525">
        <f t="shared" si="0"/>
        <v>48703</v>
      </c>
    </row>
    <row r="43" spans="2:60" s="39" customFormat="1" ht="13.5" customHeight="1">
      <c r="B43" s="261">
        <v>32</v>
      </c>
      <c r="C43" s="22" t="s">
        <v>39</v>
      </c>
      <c r="D43" s="23" t="s">
        <v>1973</v>
      </c>
      <c r="E43" s="503" t="s">
        <v>1974</v>
      </c>
      <c r="F43" s="26" t="s">
        <v>146</v>
      </c>
      <c r="G43" s="26" t="s">
        <v>1895</v>
      </c>
      <c r="H43" s="73" t="s">
        <v>1972</v>
      </c>
      <c r="I43" s="49" t="s">
        <v>44</v>
      </c>
      <c r="J43" s="34">
        <v>3691386</v>
      </c>
      <c r="K43" s="34">
        <v>3603092</v>
      </c>
      <c r="L43" s="34">
        <v>1</v>
      </c>
      <c r="M43" s="34">
        <v>0</v>
      </c>
      <c r="N43" s="34"/>
      <c r="O43" s="34"/>
      <c r="P43" s="492"/>
      <c r="Q43" s="493"/>
      <c r="R43" s="493"/>
      <c r="S43" s="493"/>
      <c r="T43" s="493"/>
      <c r="U43" s="493"/>
      <c r="V43" s="34">
        <f t="shared" si="1"/>
        <v>0</v>
      </c>
      <c r="W43" s="31">
        <v>28018</v>
      </c>
      <c r="X43" s="27">
        <v>1</v>
      </c>
      <c r="Y43" s="101">
        <v>44200</v>
      </c>
      <c r="Z43" s="36">
        <v>44223</v>
      </c>
      <c r="AA43" s="31">
        <v>28016</v>
      </c>
      <c r="AB43" s="31">
        <v>25</v>
      </c>
      <c r="AC43" s="494">
        <v>44263</v>
      </c>
      <c r="AD43" s="494">
        <v>44292</v>
      </c>
      <c r="AE43" s="31"/>
      <c r="AF43" s="214"/>
      <c r="AG43" s="228"/>
      <c r="AH43" s="494"/>
      <c r="AI43" s="228"/>
      <c r="AJ43" s="528"/>
      <c r="AK43" s="494"/>
      <c r="AL43" s="494"/>
      <c r="AM43" s="494"/>
      <c r="AN43" s="494"/>
      <c r="AO43" s="494"/>
      <c r="AP43" s="494"/>
      <c r="AQ43" s="494"/>
      <c r="AR43" s="494"/>
      <c r="AS43" s="494"/>
      <c r="AT43" s="494"/>
      <c r="AU43" s="494"/>
      <c r="AV43" s="494"/>
      <c r="AW43" s="494"/>
      <c r="AX43" s="494"/>
      <c r="AY43" s="494"/>
      <c r="AZ43" s="494"/>
      <c r="BA43" s="494"/>
      <c r="BB43" s="494"/>
      <c r="BC43" s="494"/>
      <c r="BD43" s="494"/>
      <c r="BE43" s="494"/>
      <c r="BF43" s="494"/>
      <c r="BG43" s="37">
        <f t="shared" si="2"/>
        <v>56034</v>
      </c>
      <c r="BH43" s="525">
        <f t="shared" si="0"/>
        <v>56034</v>
      </c>
    </row>
    <row r="44" spans="2:60" s="39" customFormat="1" ht="13.5" customHeight="1">
      <c r="B44" s="22">
        <v>33</v>
      </c>
      <c r="C44" s="22" t="s">
        <v>39</v>
      </c>
      <c r="D44" s="23" t="s">
        <v>1975</v>
      </c>
      <c r="E44" s="503" t="s">
        <v>1976</v>
      </c>
      <c r="F44" s="26" t="s">
        <v>146</v>
      </c>
      <c r="G44" s="26" t="s">
        <v>1895</v>
      </c>
      <c r="H44" s="73" t="s">
        <v>1972</v>
      </c>
      <c r="I44" s="49" t="s">
        <v>44</v>
      </c>
      <c r="J44" s="34">
        <v>701747</v>
      </c>
      <c r="K44" s="34">
        <v>599230</v>
      </c>
      <c r="L44" s="34">
        <v>0</v>
      </c>
      <c r="M44" s="34">
        <v>0</v>
      </c>
      <c r="N44" s="34"/>
      <c r="O44" s="34">
        <v>6114</v>
      </c>
      <c r="P44" s="492"/>
      <c r="Q44" s="493"/>
      <c r="R44" s="493"/>
      <c r="S44" s="493">
        <v>28720.789000000001</v>
      </c>
      <c r="T44" s="493"/>
      <c r="U44" s="493"/>
      <c r="V44" s="34">
        <f t="shared" si="1"/>
        <v>34834.789000000004</v>
      </c>
      <c r="W44" s="31">
        <v>50440</v>
      </c>
      <c r="X44" s="27">
        <v>1</v>
      </c>
      <c r="Y44" s="101">
        <v>44200</v>
      </c>
      <c r="Z44" s="36">
        <v>44223</v>
      </c>
      <c r="AA44" s="31">
        <v>31209</v>
      </c>
      <c r="AB44" s="31">
        <v>25</v>
      </c>
      <c r="AC44" s="494">
        <v>44263</v>
      </c>
      <c r="AD44" s="494">
        <v>44292</v>
      </c>
      <c r="AE44" s="31"/>
      <c r="AF44" s="214"/>
      <c r="AG44" s="228"/>
      <c r="AH44" s="494"/>
      <c r="AI44" s="228"/>
      <c r="AJ44" s="528"/>
      <c r="AK44" s="494"/>
      <c r="AL44" s="494"/>
      <c r="AM44" s="494"/>
      <c r="AN44" s="494"/>
      <c r="AO44" s="494"/>
      <c r="AP44" s="494"/>
      <c r="AQ44" s="494"/>
      <c r="AR44" s="494"/>
      <c r="AS44" s="494"/>
      <c r="AT44" s="494"/>
      <c r="AU44" s="494"/>
      <c r="AV44" s="494"/>
      <c r="AW44" s="494"/>
      <c r="AX44" s="494"/>
      <c r="AY44" s="494"/>
      <c r="AZ44" s="494"/>
      <c r="BA44" s="494"/>
      <c r="BB44" s="494"/>
      <c r="BC44" s="494"/>
      <c r="BD44" s="494"/>
      <c r="BE44" s="494"/>
      <c r="BF44" s="494"/>
      <c r="BG44" s="37">
        <f t="shared" si="2"/>
        <v>81649</v>
      </c>
      <c r="BH44" s="525">
        <f t="shared" si="0"/>
        <v>46814.210999999996</v>
      </c>
    </row>
    <row r="45" spans="2:60" s="39" customFormat="1" ht="13.5" customHeight="1">
      <c r="B45" s="261">
        <v>34</v>
      </c>
      <c r="C45" s="22" t="s">
        <v>39</v>
      </c>
      <c r="D45" s="23" t="s">
        <v>1977</v>
      </c>
      <c r="E45" s="503" t="s">
        <v>1978</v>
      </c>
      <c r="F45" s="26" t="s">
        <v>146</v>
      </c>
      <c r="G45" s="26" t="s">
        <v>1895</v>
      </c>
      <c r="H45" s="73" t="s">
        <v>1979</v>
      </c>
      <c r="I45" s="49" t="s">
        <v>44</v>
      </c>
      <c r="J45" s="34">
        <v>645926</v>
      </c>
      <c r="K45" s="34">
        <v>570048</v>
      </c>
      <c r="L45" s="34">
        <v>0</v>
      </c>
      <c r="M45" s="34">
        <v>35724</v>
      </c>
      <c r="N45" s="34"/>
      <c r="O45" s="34"/>
      <c r="P45" s="492"/>
      <c r="Q45" s="493">
        <v>30584.605</v>
      </c>
      <c r="R45" s="493">
        <v>6589.7960000000003</v>
      </c>
      <c r="S45" s="493">
        <v>771.88</v>
      </c>
      <c r="T45" s="493">
        <v>2674.567</v>
      </c>
      <c r="U45" s="493">
        <v>406.11799999999999</v>
      </c>
      <c r="V45" s="34">
        <f t="shared" si="1"/>
        <v>76750.966</v>
      </c>
      <c r="W45" s="31">
        <v>87823</v>
      </c>
      <c r="X45" s="27">
        <v>1</v>
      </c>
      <c r="Y45" s="101">
        <v>44200</v>
      </c>
      <c r="Z45" s="36">
        <v>44223</v>
      </c>
      <c r="AA45" s="31"/>
      <c r="AB45" s="214"/>
      <c r="AC45" s="494"/>
      <c r="AD45" s="494"/>
      <c r="AE45" s="31"/>
      <c r="AF45" s="214"/>
      <c r="AG45" s="228"/>
      <c r="AH45" s="494"/>
      <c r="AI45" s="228"/>
      <c r="AJ45" s="528"/>
      <c r="AK45" s="494"/>
      <c r="AL45" s="494"/>
      <c r="AM45" s="494"/>
      <c r="AN45" s="494"/>
      <c r="AO45" s="494"/>
      <c r="AP45" s="494"/>
      <c r="AQ45" s="494"/>
      <c r="AR45" s="494"/>
      <c r="AS45" s="494"/>
      <c r="AT45" s="494"/>
      <c r="AU45" s="528"/>
      <c r="AV45" s="494"/>
      <c r="AW45" s="494"/>
      <c r="AX45" s="494"/>
      <c r="AY45" s="494"/>
      <c r="AZ45" s="494"/>
      <c r="BA45" s="494"/>
      <c r="BB45" s="494"/>
      <c r="BC45" s="494"/>
      <c r="BD45" s="494"/>
      <c r="BE45" s="494"/>
      <c r="BF45" s="494"/>
      <c r="BG45" s="37">
        <f t="shared" si="2"/>
        <v>87823</v>
      </c>
      <c r="BH45" s="525">
        <f t="shared" si="0"/>
        <v>11072.034</v>
      </c>
    </row>
    <row r="46" spans="2:60" s="39" customFormat="1" ht="13.5" customHeight="1">
      <c r="B46" s="22">
        <v>35</v>
      </c>
      <c r="C46" s="22" t="s">
        <v>39</v>
      </c>
      <c r="D46" s="23" t="s">
        <v>1980</v>
      </c>
      <c r="E46" s="503" t="s">
        <v>1981</v>
      </c>
      <c r="F46" s="26" t="s">
        <v>1982</v>
      </c>
      <c r="G46" s="26" t="s">
        <v>1895</v>
      </c>
      <c r="H46" s="73" t="s">
        <v>1979</v>
      </c>
      <c r="I46" s="49" t="s">
        <v>52</v>
      </c>
      <c r="J46" s="34">
        <v>672376</v>
      </c>
      <c r="K46" s="34">
        <v>562376</v>
      </c>
      <c r="L46" s="34">
        <v>0</v>
      </c>
      <c r="M46" s="34">
        <v>0</v>
      </c>
      <c r="N46" s="34"/>
      <c r="O46" s="34"/>
      <c r="P46" s="492"/>
      <c r="Q46" s="493"/>
      <c r="R46" s="493">
        <v>10894.95</v>
      </c>
      <c r="S46" s="493">
        <v>188363.943</v>
      </c>
      <c r="T46" s="493">
        <v>11315</v>
      </c>
      <c r="U46" s="493">
        <v>149520.133</v>
      </c>
      <c r="V46" s="34">
        <f t="shared" si="1"/>
        <v>360094.02600000001</v>
      </c>
      <c r="W46" s="31">
        <v>102912</v>
      </c>
      <c r="X46" s="27">
        <v>1</v>
      </c>
      <c r="Y46" s="101">
        <v>44200</v>
      </c>
      <c r="Z46" s="36">
        <v>44223</v>
      </c>
      <c r="AA46" s="31">
        <v>2912</v>
      </c>
      <c r="AB46" s="214">
        <v>25</v>
      </c>
      <c r="AC46" s="494">
        <v>44263</v>
      </c>
      <c r="AD46" s="494">
        <v>44292</v>
      </c>
      <c r="AE46" s="31">
        <v>14376</v>
      </c>
      <c r="AF46" s="214">
        <v>46</v>
      </c>
      <c r="AG46" s="494">
        <v>44295</v>
      </c>
      <c r="AH46" s="494">
        <v>44327</v>
      </c>
      <c r="AI46" s="228">
        <v>88744</v>
      </c>
      <c r="AJ46" s="528">
        <v>55</v>
      </c>
      <c r="AK46" s="494">
        <v>44323</v>
      </c>
      <c r="AL46" s="494">
        <v>44350</v>
      </c>
      <c r="AM46" s="528">
        <v>212262</v>
      </c>
      <c r="AN46" s="528">
        <v>78</v>
      </c>
      <c r="AO46" s="494">
        <v>44382</v>
      </c>
      <c r="AP46" s="494">
        <v>44404</v>
      </c>
      <c r="AQ46" s="528">
        <v>149483</v>
      </c>
      <c r="AR46" s="528">
        <v>89</v>
      </c>
      <c r="AS46" s="494">
        <v>44413</v>
      </c>
      <c r="AT46" s="494">
        <v>44438</v>
      </c>
      <c r="AU46" s="528">
        <v>-168311</v>
      </c>
      <c r="AV46" s="528">
        <v>105</v>
      </c>
      <c r="AW46" s="494">
        <v>44452</v>
      </c>
      <c r="AX46" s="494">
        <v>44466</v>
      </c>
      <c r="AY46" s="494"/>
      <c r="AZ46" s="494"/>
      <c r="BA46" s="494"/>
      <c r="BB46" s="494"/>
      <c r="BC46" s="494"/>
      <c r="BD46" s="494"/>
      <c r="BE46" s="494"/>
      <c r="BF46" s="494"/>
      <c r="BG46" s="37">
        <f t="shared" si="2"/>
        <v>402378</v>
      </c>
      <c r="BH46" s="525">
        <f t="shared" si="0"/>
        <v>42283.973999999987</v>
      </c>
    </row>
    <row r="47" spans="2:60" s="39" customFormat="1" ht="13.5" customHeight="1">
      <c r="B47" s="261">
        <v>36</v>
      </c>
      <c r="C47" s="22" t="s">
        <v>39</v>
      </c>
      <c r="D47" s="23" t="s">
        <v>1983</v>
      </c>
      <c r="E47" s="503" t="s">
        <v>1984</v>
      </c>
      <c r="F47" s="26" t="s">
        <v>146</v>
      </c>
      <c r="G47" s="26" t="s">
        <v>1895</v>
      </c>
      <c r="H47" s="73" t="s">
        <v>1969</v>
      </c>
      <c r="I47" s="49" t="s">
        <v>44</v>
      </c>
      <c r="J47" s="34">
        <v>9113946</v>
      </c>
      <c r="K47" s="34">
        <v>146940</v>
      </c>
      <c r="L47" s="34">
        <v>6516735</v>
      </c>
      <c r="M47" s="34">
        <v>0</v>
      </c>
      <c r="N47" s="34"/>
      <c r="O47" s="34"/>
      <c r="P47" s="505">
        <v>90.706999999999994</v>
      </c>
      <c r="Q47" s="493">
        <v>89.573999999999998</v>
      </c>
      <c r="R47" s="493">
        <v>5639.1139999999996</v>
      </c>
      <c r="S47" s="493"/>
      <c r="T47" s="493">
        <v>3824.1019999999999</v>
      </c>
      <c r="U47" s="493">
        <v>81.432000000000002</v>
      </c>
      <c r="V47" s="34">
        <f t="shared" si="1"/>
        <v>9724.9290000000001</v>
      </c>
      <c r="W47" s="31">
        <v>337802</v>
      </c>
      <c r="X47" s="27">
        <v>1</v>
      </c>
      <c r="Y47" s="101">
        <v>44200</v>
      </c>
      <c r="Z47" s="36">
        <v>44223</v>
      </c>
      <c r="AA47" s="31">
        <v>15000</v>
      </c>
      <c r="AB47" s="214">
        <v>13</v>
      </c>
      <c r="AC47" s="494">
        <v>44221</v>
      </c>
      <c r="AD47" s="494">
        <v>44249</v>
      </c>
      <c r="AE47" s="31">
        <v>1162198</v>
      </c>
      <c r="AF47" s="214">
        <v>43</v>
      </c>
      <c r="AG47" s="494">
        <v>44294</v>
      </c>
      <c r="AH47" s="494">
        <v>44314</v>
      </c>
      <c r="AI47" s="228">
        <v>792299</v>
      </c>
      <c r="AJ47" s="528">
        <v>55</v>
      </c>
      <c r="AK47" s="494">
        <v>44323</v>
      </c>
      <c r="AL47" s="494">
        <v>44350</v>
      </c>
      <c r="AM47" s="528">
        <v>-1892292</v>
      </c>
      <c r="AN47" s="528">
        <v>104</v>
      </c>
      <c r="AO47" s="494">
        <v>44452</v>
      </c>
      <c r="AP47" s="494">
        <v>44462</v>
      </c>
      <c r="AQ47" s="494"/>
      <c r="AR47" s="494"/>
      <c r="AS47" s="494"/>
      <c r="AT47" s="494"/>
      <c r="AU47" s="528"/>
      <c r="AV47" s="494"/>
      <c r="AW47" s="494"/>
      <c r="AX47" s="494"/>
      <c r="AY47" s="494"/>
      <c r="AZ47" s="494"/>
      <c r="BA47" s="494"/>
      <c r="BB47" s="494"/>
      <c r="BC47" s="494"/>
      <c r="BD47" s="494"/>
      <c r="BE47" s="494"/>
      <c r="BF47" s="494"/>
      <c r="BG47" s="37">
        <f t="shared" si="2"/>
        <v>415007</v>
      </c>
      <c r="BH47" s="525">
        <f t="shared" si="0"/>
        <v>405282.071</v>
      </c>
    </row>
    <row r="48" spans="2:60" s="39" customFormat="1" ht="13.5" customHeight="1">
      <c r="B48" s="22">
        <v>37</v>
      </c>
      <c r="C48" s="22" t="s">
        <v>39</v>
      </c>
      <c r="D48" s="23" t="s">
        <v>1985</v>
      </c>
      <c r="E48" s="503" t="s">
        <v>1986</v>
      </c>
      <c r="F48" s="26" t="s">
        <v>146</v>
      </c>
      <c r="G48" s="26" t="s">
        <v>1895</v>
      </c>
      <c r="H48" s="73" t="s">
        <v>1987</v>
      </c>
      <c r="I48" s="49" t="s">
        <v>44</v>
      </c>
      <c r="J48" s="34">
        <v>28699842</v>
      </c>
      <c r="K48" s="34">
        <v>10243</v>
      </c>
      <c r="L48" s="34">
        <v>22779393</v>
      </c>
      <c r="M48" s="34">
        <v>96539</v>
      </c>
      <c r="N48" s="34"/>
      <c r="O48" s="34">
        <v>86</v>
      </c>
      <c r="P48" s="505">
        <v>620.11500000000001</v>
      </c>
      <c r="Q48" s="493">
        <v>10780.643</v>
      </c>
      <c r="R48" s="493">
        <v>3101.038</v>
      </c>
      <c r="S48" s="493">
        <v>25.065000000000001</v>
      </c>
      <c r="T48" s="493">
        <v>95309.726999999999</v>
      </c>
      <c r="U48" s="493">
        <v>224186.70300000001</v>
      </c>
      <c r="V48" s="34">
        <f t="shared" si="1"/>
        <v>430648.29099999997</v>
      </c>
      <c r="W48" s="31">
        <v>100000</v>
      </c>
      <c r="X48" s="27">
        <v>1</v>
      </c>
      <c r="Y48" s="101">
        <v>44200</v>
      </c>
      <c r="Z48" s="36">
        <v>44223</v>
      </c>
      <c r="AA48" s="31">
        <v>170000</v>
      </c>
      <c r="AB48" s="214">
        <v>13</v>
      </c>
      <c r="AC48" s="494">
        <v>44221</v>
      </c>
      <c r="AD48" s="494">
        <v>44249</v>
      </c>
      <c r="AE48" s="31">
        <v>500000</v>
      </c>
      <c r="AF48" s="214">
        <v>25</v>
      </c>
      <c r="AG48" s="494">
        <v>44263</v>
      </c>
      <c r="AH48" s="494">
        <v>44292</v>
      </c>
      <c r="AI48" s="228">
        <v>4500000</v>
      </c>
      <c r="AJ48" s="528">
        <v>54</v>
      </c>
      <c r="AK48" s="494">
        <v>44323</v>
      </c>
      <c r="AL48" s="494">
        <v>44341</v>
      </c>
      <c r="AM48" s="528">
        <v>-2910000</v>
      </c>
      <c r="AN48" s="528">
        <v>89</v>
      </c>
      <c r="AO48" s="494">
        <v>44413</v>
      </c>
      <c r="AP48" s="494">
        <v>44438</v>
      </c>
      <c r="AQ48" s="528">
        <v>-1225434</v>
      </c>
      <c r="AR48" s="528">
        <v>104</v>
      </c>
      <c r="AS48" s="494">
        <v>44452</v>
      </c>
      <c r="AT48" s="494">
        <v>44462</v>
      </c>
      <c r="AU48" s="528"/>
      <c r="AV48" s="494"/>
      <c r="AW48" s="494"/>
      <c r="AX48" s="494"/>
      <c r="AY48" s="494"/>
      <c r="AZ48" s="494"/>
      <c r="BA48" s="494"/>
      <c r="BB48" s="494"/>
      <c r="BC48" s="494"/>
      <c r="BD48" s="494"/>
      <c r="BE48" s="494"/>
      <c r="BF48" s="494"/>
      <c r="BG48" s="37">
        <f t="shared" si="2"/>
        <v>1134566</v>
      </c>
      <c r="BH48" s="525">
        <f t="shared" si="0"/>
        <v>703917.70900000003</v>
      </c>
    </row>
    <row r="49" spans="2:60" s="39" customFormat="1" ht="13.5" customHeight="1">
      <c r="B49" s="261">
        <v>38</v>
      </c>
      <c r="C49" s="22" t="s">
        <v>39</v>
      </c>
      <c r="D49" s="23" t="s">
        <v>1988</v>
      </c>
      <c r="E49" s="503" t="s">
        <v>1989</v>
      </c>
      <c r="F49" s="26" t="s">
        <v>146</v>
      </c>
      <c r="G49" s="26" t="s">
        <v>1895</v>
      </c>
      <c r="H49" s="73" t="s">
        <v>1969</v>
      </c>
      <c r="I49" s="49" t="s">
        <v>44</v>
      </c>
      <c r="J49" s="34">
        <v>469545</v>
      </c>
      <c r="K49" s="34">
        <v>23620</v>
      </c>
      <c r="L49" s="34">
        <v>0</v>
      </c>
      <c r="M49" s="34"/>
      <c r="N49" s="34">
        <v>81750</v>
      </c>
      <c r="O49" s="34"/>
      <c r="P49" s="492"/>
      <c r="Q49" s="493"/>
      <c r="R49" s="493"/>
      <c r="S49" s="493">
        <v>66700</v>
      </c>
      <c r="T49" s="493"/>
      <c r="U49" s="493"/>
      <c r="V49" s="34">
        <f t="shared" si="1"/>
        <v>148450</v>
      </c>
      <c r="W49" s="31">
        <v>81750</v>
      </c>
      <c r="X49" s="27">
        <v>1</v>
      </c>
      <c r="Y49" s="101">
        <v>44200</v>
      </c>
      <c r="Z49" s="36">
        <v>44223</v>
      </c>
      <c r="AA49" s="31">
        <v>84807</v>
      </c>
      <c r="AB49" s="214">
        <v>78</v>
      </c>
      <c r="AC49" s="494">
        <v>44382</v>
      </c>
      <c r="AD49" s="494">
        <v>44404</v>
      </c>
      <c r="AE49" s="31">
        <v>39643</v>
      </c>
      <c r="AF49" s="214">
        <v>89</v>
      </c>
      <c r="AG49" s="494">
        <v>44413</v>
      </c>
      <c r="AH49" s="494">
        <v>44438</v>
      </c>
      <c r="AI49" s="228"/>
      <c r="AJ49" s="528"/>
      <c r="AK49" s="494"/>
      <c r="AL49" s="494"/>
      <c r="AM49" s="494"/>
      <c r="AN49" s="494"/>
      <c r="AO49" s="494"/>
      <c r="AP49" s="494"/>
      <c r="AQ49" s="494"/>
      <c r="AR49" s="494"/>
      <c r="AS49" s="494"/>
      <c r="AT49" s="494"/>
      <c r="AU49" s="528"/>
      <c r="AV49" s="494"/>
      <c r="AW49" s="494"/>
      <c r="AX49" s="494"/>
      <c r="AY49" s="494"/>
      <c r="AZ49" s="494"/>
      <c r="BA49" s="494"/>
      <c r="BB49" s="494"/>
      <c r="BC49" s="494"/>
      <c r="BD49" s="494"/>
      <c r="BE49" s="494"/>
      <c r="BF49" s="494"/>
      <c r="BG49" s="37">
        <f t="shared" si="2"/>
        <v>206200</v>
      </c>
      <c r="BH49" s="525">
        <f t="shared" si="0"/>
        <v>57750</v>
      </c>
    </row>
    <row r="50" spans="2:60" s="39" customFormat="1" ht="13.5" customHeight="1">
      <c r="B50" s="22">
        <v>39</v>
      </c>
      <c r="C50" s="22" t="s">
        <v>39</v>
      </c>
      <c r="D50" s="23" t="s">
        <v>1990</v>
      </c>
      <c r="E50" s="503" t="s">
        <v>1991</v>
      </c>
      <c r="F50" s="26" t="s">
        <v>146</v>
      </c>
      <c r="G50" s="26" t="s">
        <v>1895</v>
      </c>
      <c r="H50" s="73" t="s">
        <v>1987</v>
      </c>
      <c r="I50" s="49" t="s">
        <v>44</v>
      </c>
      <c r="J50" s="34">
        <v>2571601</v>
      </c>
      <c r="K50" s="34">
        <v>514560</v>
      </c>
      <c r="L50" s="34">
        <v>0</v>
      </c>
      <c r="M50" s="34">
        <f>1792+181046</f>
        <v>182838</v>
      </c>
      <c r="N50" s="34">
        <v>324389</v>
      </c>
      <c r="O50" s="34">
        <f>507+3583</f>
        <v>4090</v>
      </c>
      <c r="P50" s="505">
        <v>144495.05900000001</v>
      </c>
      <c r="Q50" s="493">
        <v>126842.77800000001</v>
      </c>
      <c r="R50" s="493">
        <v>103226.548</v>
      </c>
      <c r="S50" s="493">
        <v>93415.27399999999</v>
      </c>
      <c r="T50" s="493">
        <v>174364.32399999999</v>
      </c>
      <c r="U50" s="493">
        <v>122513.821</v>
      </c>
      <c r="V50" s="34">
        <f t="shared" si="1"/>
        <v>1276174.804</v>
      </c>
      <c r="W50" s="31">
        <v>815968</v>
      </c>
      <c r="X50" s="27">
        <v>1</v>
      </c>
      <c r="Y50" s="101">
        <v>44200</v>
      </c>
      <c r="Z50" s="36">
        <v>44223</v>
      </c>
      <c r="AA50" s="31">
        <v>297227</v>
      </c>
      <c r="AB50" s="214">
        <v>25</v>
      </c>
      <c r="AC50" s="494">
        <v>44263</v>
      </c>
      <c r="AD50" s="494">
        <v>44292</v>
      </c>
      <c r="AE50" s="31">
        <v>220338</v>
      </c>
      <c r="AF50" s="214">
        <v>55</v>
      </c>
      <c r="AG50" s="494">
        <v>44323</v>
      </c>
      <c r="AH50" s="494">
        <v>44350</v>
      </c>
      <c r="AI50" s="228">
        <v>5375</v>
      </c>
      <c r="AJ50" s="528">
        <v>78</v>
      </c>
      <c r="AK50" s="494">
        <v>44382</v>
      </c>
      <c r="AL50" s="494">
        <v>44404</v>
      </c>
      <c r="AM50" s="528">
        <v>1791</v>
      </c>
      <c r="AN50" s="528">
        <v>89</v>
      </c>
      <c r="AO50" s="494">
        <v>44413</v>
      </c>
      <c r="AP50" s="494">
        <v>44438</v>
      </c>
      <c r="AQ50" s="528">
        <v>59146</v>
      </c>
      <c r="AR50" s="528">
        <v>105</v>
      </c>
      <c r="AS50" s="494">
        <v>44452</v>
      </c>
      <c r="AT50" s="494">
        <v>44466</v>
      </c>
      <c r="AU50" s="528"/>
      <c r="AV50" s="528"/>
      <c r="AW50" s="494"/>
      <c r="AX50" s="494"/>
      <c r="AY50" s="494"/>
      <c r="AZ50" s="494"/>
      <c r="BA50" s="494"/>
      <c r="BB50" s="494"/>
      <c r="BC50" s="494"/>
      <c r="BD50" s="494"/>
      <c r="BE50" s="494"/>
      <c r="BF50" s="494"/>
      <c r="BG50" s="37">
        <f t="shared" si="2"/>
        <v>1399845</v>
      </c>
      <c r="BH50" s="525">
        <f t="shared" si="0"/>
        <v>123670.196</v>
      </c>
    </row>
    <row r="51" spans="2:60" s="39" customFormat="1" ht="13.5" customHeight="1">
      <c r="B51" s="261">
        <v>40</v>
      </c>
      <c r="C51" s="22" t="s">
        <v>39</v>
      </c>
      <c r="D51" s="23" t="s">
        <v>1992</v>
      </c>
      <c r="E51" s="503" t="s">
        <v>1993</v>
      </c>
      <c r="F51" s="26" t="s">
        <v>146</v>
      </c>
      <c r="G51" s="26" t="s">
        <v>1895</v>
      </c>
      <c r="H51" s="73" t="s">
        <v>1941</v>
      </c>
      <c r="I51" s="49" t="s">
        <v>52</v>
      </c>
      <c r="J51" s="34">
        <v>8491459</v>
      </c>
      <c r="K51" s="34">
        <v>4249</v>
      </c>
      <c r="L51" s="34">
        <v>7358814</v>
      </c>
      <c r="M51" s="34"/>
      <c r="N51" s="34"/>
      <c r="O51" s="34">
        <f>11467+60380</f>
        <v>71847</v>
      </c>
      <c r="P51" s="505">
        <v>125982.433</v>
      </c>
      <c r="Q51" s="493">
        <v>146354.24600000001</v>
      </c>
      <c r="R51" s="493">
        <v>165734.549</v>
      </c>
      <c r="S51" s="493">
        <v>133280.07699999999</v>
      </c>
      <c r="T51" s="493">
        <v>111211.622</v>
      </c>
      <c r="U51" s="493">
        <v>8600</v>
      </c>
      <c r="V51" s="34">
        <f t="shared" si="1"/>
        <v>763009.92699999991</v>
      </c>
      <c r="W51" s="31">
        <v>340800</v>
      </c>
      <c r="X51" s="27">
        <v>1</v>
      </c>
      <c r="Y51" s="101">
        <v>44200</v>
      </c>
      <c r="Z51" s="36">
        <v>44223</v>
      </c>
      <c r="AA51" s="31">
        <v>200000</v>
      </c>
      <c r="AB51" s="214">
        <v>17</v>
      </c>
      <c r="AC51" s="494">
        <v>44242</v>
      </c>
      <c r="AD51" s="494">
        <v>44271</v>
      </c>
      <c r="AE51" s="31">
        <v>11467</v>
      </c>
      <c r="AF51" s="214">
        <v>46</v>
      </c>
      <c r="AG51" s="494">
        <v>44295</v>
      </c>
      <c r="AH51" s="494">
        <v>44327</v>
      </c>
      <c r="AI51" s="228">
        <v>271363</v>
      </c>
      <c r="AJ51" s="528">
        <v>55</v>
      </c>
      <c r="AK51" s="494">
        <v>44323</v>
      </c>
      <c r="AL51" s="494">
        <v>44350</v>
      </c>
      <c r="AM51" s="528">
        <v>8600</v>
      </c>
      <c r="AN51" s="528">
        <v>70</v>
      </c>
      <c r="AO51" s="494">
        <v>44354</v>
      </c>
      <c r="AP51" s="494">
        <v>44372</v>
      </c>
      <c r="AQ51" s="528">
        <v>164138</v>
      </c>
      <c r="AR51" s="528">
        <v>78</v>
      </c>
      <c r="AS51" s="494">
        <v>44382</v>
      </c>
      <c r="AT51" s="494">
        <v>44404</v>
      </c>
      <c r="AU51" s="528">
        <v>589904</v>
      </c>
      <c r="AV51" s="528">
        <v>96</v>
      </c>
      <c r="AW51" s="494">
        <v>44438</v>
      </c>
      <c r="AX51" s="494">
        <v>44448</v>
      </c>
      <c r="AY51" s="494"/>
      <c r="AZ51" s="494"/>
      <c r="BA51" s="494"/>
      <c r="BB51" s="494"/>
      <c r="BC51" s="494"/>
      <c r="BD51" s="494"/>
      <c r="BE51" s="494"/>
      <c r="BF51" s="494"/>
      <c r="BG51" s="37">
        <f t="shared" si="2"/>
        <v>1586272</v>
      </c>
      <c r="BH51" s="525">
        <f t="shared" si="0"/>
        <v>823262.07300000009</v>
      </c>
    </row>
    <row r="52" spans="2:60" s="39" customFormat="1" ht="13.5" customHeight="1">
      <c r="B52" s="22">
        <v>41</v>
      </c>
      <c r="C52" s="22" t="s">
        <v>39</v>
      </c>
      <c r="D52" s="23" t="s">
        <v>1994</v>
      </c>
      <c r="E52" s="503" t="s">
        <v>1995</v>
      </c>
      <c r="F52" s="26" t="s">
        <v>146</v>
      </c>
      <c r="G52" s="26" t="s">
        <v>1895</v>
      </c>
      <c r="H52" s="73" t="s">
        <v>1941</v>
      </c>
      <c r="I52" s="49" t="s">
        <v>44</v>
      </c>
      <c r="J52" s="34">
        <v>3291323</v>
      </c>
      <c r="K52" s="34">
        <v>3108758</v>
      </c>
      <c r="L52" s="34">
        <v>0</v>
      </c>
      <c r="M52" s="34">
        <f>3800+9559</f>
        <v>13359</v>
      </c>
      <c r="N52" s="34"/>
      <c r="O52" s="34"/>
      <c r="P52" s="492"/>
      <c r="Q52" s="493"/>
      <c r="R52" s="493"/>
      <c r="S52" s="493"/>
      <c r="T52" s="493"/>
      <c r="U52" s="493"/>
      <c r="V52" s="34">
        <f t="shared" si="1"/>
        <v>13359</v>
      </c>
      <c r="W52" s="31">
        <v>13359</v>
      </c>
      <c r="X52" s="27">
        <v>1</v>
      </c>
      <c r="Y52" s="101">
        <v>44200</v>
      </c>
      <c r="Z52" s="36">
        <v>44223</v>
      </c>
      <c r="AA52" s="31"/>
      <c r="AB52" s="214"/>
      <c r="AC52" s="228"/>
      <c r="AD52" s="494"/>
      <c r="AE52" s="31"/>
      <c r="AF52" s="214"/>
      <c r="AG52" s="228"/>
      <c r="AH52" s="494"/>
      <c r="AI52" s="228"/>
      <c r="AJ52" s="528"/>
      <c r="AK52" s="494"/>
      <c r="AL52" s="494"/>
      <c r="AM52" s="494"/>
      <c r="AN52" s="528"/>
      <c r="AO52" s="494"/>
      <c r="AP52" s="494"/>
      <c r="AQ52" s="494"/>
      <c r="AR52" s="494"/>
      <c r="AS52" s="494"/>
      <c r="AT52" s="494"/>
      <c r="AU52" s="528"/>
      <c r="AV52" s="528"/>
      <c r="AW52" s="494"/>
      <c r="AX52" s="494"/>
      <c r="AY52" s="494"/>
      <c r="AZ52" s="494"/>
      <c r="BA52" s="494"/>
      <c r="BB52" s="494"/>
      <c r="BC52" s="494"/>
      <c r="BD52" s="494"/>
      <c r="BE52" s="494"/>
      <c r="BF52" s="494"/>
      <c r="BG52" s="37">
        <f t="shared" si="2"/>
        <v>13359</v>
      </c>
      <c r="BH52" s="525">
        <f t="shared" si="0"/>
        <v>0</v>
      </c>
    </row>
    <row r="53" spans="2:60" s="39" customFormat="1" ht="13.5" customHeight="1">
      <c r="B53" s="261">
        <v>42</v>
      </c>
      <c r="C53" s="22" t="s">
        <v>39</v>
      </c>
      <c r="D53" s="23" t="s">
        <v>1996</v>
      </c>
      <c r="E53" s="503" t="s">
        <v>1997</v>
      </c>
      <c r="F53" s="26" t="s">
        <v>146</v>
      </c>
      <c r="G53" s="26" t="s">
        <v>1895</v>
      </c>
      <c r="H53" s="73" t="s">
        <v>1941</v>
      </c>
      <c r="I53" s="49" t="s">
        <v>52</v>
      </c>
      <c r="J53" s="34">
        <v>974613</v>
      </c>
      <c r="K53" s="34">
        <v>0</v>
      </c>
      <c r="L53" s="34">
        <v>738522</v>
      </c>
      <c r="M53" s="34"/>
      <c r="N53" s="34"/>
      <c r="O53" s="34"/>
      <c r="P53" s="492"/>
      <c r="Q53" s="493"/>
      <c r="R53" s="493"/>
      <c r="S53" s="493"/>
      <c r="T53" s="493"/>
      <c r="U53" s="493"/>
      <c r="V53" s="34">
        <f t="shared" si="1"/>
        <v>0</v>
      </c>
      <c r="W53" s="31">
        <v>52002</v>
      </c>
      <c r="X53" s="27">
        <v>1</v>
      </c>
      <c r="Y53" s="101">
        <v>44200</v>
      </c>
      <c r="Z53" s="36">
        <v>44223</v>
      </c>
      <c r="AA53" s="31"/>
      <c r="AB53" s="214"/>
      <c r="AC53" s="228"/>
      <c r="AD53" s="494"/>
      <c r="AE53" s="31"/>
      <c r="AF53" s="214"/>
      <c r="AG53" s="228"/>
      <c r="AH53" s="494"/>
      <c r="AI53" s="228"/>
      <c r="AJ53" s="528"/>
      <c r="AK53" s="494"/>
      <c r="AL53" s="494"/>
      <c r="AM53" s="494"/>
      <c r="AN53" s="528"/>
      <c r="AO53" s="494"/>
      <c r="AP53" s="494"/>
      <c r="AQ53" s="494"/>
      <c r="AR53" s="494"/>
      <c r="AS53" s="494"/>
      <c r="AT53" s="494"/>
      <c r="AU53" s="494"/>
      <c r="AV53" s="494"/>
      <c r="AW53" s="494"/>
      <c r="AX53" s="494"/>
      <c r="AY53" s="494"/>
      <c r="AZ53" s="494"/>
      <c r="BA53" s="494"/>
      <c r="BB53" s="494"/>
      <c r="BC53" s="494"/>
      <c r="BD53" s="494"/>
      <c r="BE53" s="494"/>
      <c r="BF53" s="494"/>
      <c r="BG53" s="37">
        <f t="shared" si="2"/>
        <v>52002</v>
      </c>
      <c r="BH53" s="525">
        <f t="shared" si="0"/>
        <v>52002</v>
      </c>
    </row>
    <row r="54" spans="2:60" s="39" customFormat="1" ht="13.5" customHeight="1">
      <c r="B54" s="22">
        <v>43</v>
      </c>
      <c r="C54" s="22" t="s">
        <v>39</v>
      </c>
      <c r="D54" s="23" t="s">
        <v>1998</v>
      </c>
      <c r="E54" s="503" t="s">
        <v>1999</v>
      </c>
      <c r="F54" s="26" t="s">
        <v>146</v>
      </c>
      <c r="G54" s="26" t="s">
        <v>1895</v>
      </c>
      <c r="H54" s="73" t="s">
        <v>1941</v>
      </c>
      <c r="I54" s="49" t="s">
        <v>52</v>
      </c>
      <c r="J54" s="34">
        <v>477264</v>
      </c>
      <c r="K54" s="34">
        <v>0</v>
      </c>
      <c r="L54" s="34">
        <v>0</v>
      </c>
      <c r="M54" s="34"/>
      <c r="N54" s="34"/>
      <c r="O54" s="34"/>
      <c r="P54" s="492"/>
      <c r="Q54" s="493">
        <v>70801.45</v>
      </c>
      <c r="R54" s="493">
        <v>41140.991000000002</v>
      </c>
      <c r="S54" s="493">
        <v>37094.485999999997</v>
      </c>
      <c r="T54" s="493">
        <v>41565.231</v>
      </c>
      <c r="U54" s="493"/>
      <c r="V54" s="34">
        <f t="shared" si="1"/>
        <v>190602.158</v>
      </c>
      <c r="W54" s="31">
        <v>61002</v>
      </c>
      <c r="X54" s="27">
        <v>1</v>
      </c>
      <c r="Y54" s="101">
        <v>44200</v>
      </c>
      <c r="Z54" s="36">
        <v>44223</v>
      </c>
      <c r="AA54" s="31">
        <v>80000</v>
      </c>
      <c r="AB54" s="214">
        <v>46</v>
      </c>
      <c r="AC54" s="494">
        <v>44295</v>
      </c>
      <c r="AD54" s="494">
        <v>44327</v>
      </c>
      <c r="AE54" s="31">
        <v>18498</v>
      </c>
      <c r="AF54" s="214">
        <v>55</v>
      </c>
      <c r="AG54" s="494">
        <v>44323</v>
      </c>
      <c r="AH54" s="494">
        <v>44350</v>
      </c>
      <c r="AI54" s="228">
        <v>36303</v>
      </c>
      <c r="AJ54" s="528">
        <v>70</v>
      </c>
      <c r="AK54" s="494">
        <v>44354</v>
      </c>
      <c r="AL54" s="494">
        <v>44372</v>
      </c>
      <c r="AM54" s="528">
        <v>240714</v>
      </c>
      <c r="AN54" s="528">
        <v>89</v>
      </c>
      <c r="AO54" s="494">
        <v>44413</v>
      </c>
      <c r="AP54" s="494">
        <v>44438</v>
      </c>
      <c r="AQ54" s="494"/>
      <c r="AR54" s="494"/>
      <c r="AS54" s="494"/>
      <c r="AT54" s="494"/>
      <c r="AU54" s="494"/>
      <c r="AV54" s="494"/>
      <c r="AW54" s="494"/>
      <c r="AX54" s="494"/>
      <c r="AY54" s="494"/>
      <c r="AZ54" s="494"/>
      <c r="BA54" s="494"/>
      <c r="BB54" s="494"/>
      <c r="BC54" s="494"/>
      <c r="BD54" s="494"/>
      <c r="BE54" s="494"/>
      <c r="BF54" s="494"/>
      <c r="BG54" s="37">
        <f t="shared" si="2"/>
        <v>436517</v>
      </c>
      <c r="BH54" s="525">
        <f t="shared" si="0"/>
        <v>245914.842</v>
      </c>
    </row>
    <row r="55" spans="2:60" s="39" customFormat="1" ht="13.5" customHeight="1">
      <c r="B55" s="261">
        <v>44</v>
      </c>
      <c r="C55" s="22" t="s">
        <v>39</v>
      </c>
      <c r="D55" s="23" t="s">
        <v>2000</v>
      </c>
      <c r="E55" s="503" t="s">
        <v>2001</v>
      </c>
      <c r="F55" s="26" t="s">
        <v>146</v>
      </c>
      <c r="G55" s="26" t="s">
        <v>1895</v>
      </c>
      <c r="H55" s="73" t="s">
        <v>1941</v>
      </c>
      <c r="I55" s="49" t="s">
        <v>44</v>
      </c>
      <c r="J55" s="34">
        <v>3858633</v>
      </c>
      <c r="K55" s="34">
        <v>426795</v>
      </c>
      <c r="L55" s="34">
        <v>1864043</v>
      </c>
      <c r="M55" s="34">
        <v>125596</v>
      </c>
      <c r="N55" s="34">
        <v>3278.31</v>
      </c>
      <c r="O55" s="34">
        <v>505962</v>
      </c>
      <c r="P55" s="505">
        <v>224253.36799999999</v>
      </c>
      <c r="Q55" s="493">
        <v>208521.73699999999</v>
      </c>
      <c r="R55" s="493">
        <v>150468.95300000001</v>
      </c>
      <c r="S55" s="493">
        <v>106581.69100000001</v>
      </c>
      <c r="T55" s="493">
        <v>115251.79300000001</v>
      </c>
      <c r="U55" s="507">
        <v>130672.25900000001</v>
      </c>
      <c r="V55" s="34">
        <f t="shared" si="1"/>
        <v>1570586.1110000003</v>
      </c>
      <c r="W55" s="31">
        <v>315000</v>
      </c>
      <c r="X55" s="27">
        <v>1</v>
      </c>
      <c r="Y55" s="101">
        <v>44200</v>
      </c>
      <c r="Z55" s="36">
        <v>44223</v>
      </c>
      <c r="AA55" s="31">
        <v>200000</v>
      </c>
      <c r="AB55" s="214">
        <v>17</v>
      </c>
      <c r="AC55" s="494">
        <v>44242</v>
      </c>
      <c r="AD55" s="494">
        <v>44271</v>
      </c>
      <c r="AE55" s="31">
        <v>380045</v>
      </c>
      <c r="AF55" s="214">
        <v>25</v>
      </c>
      <c r="AG55" s="494">
        <v>44263</v>
      </c>
      <c r="AH55" s="494">
        <v>44292</v>
      </c>
      <c r="AI55" s="228">
        <v>501513</v>
      </c>
      <c r="AJ55" s="528">
        <v>46</v>
      </c>
      <c r="AK55" s="494">
        <v>44295</v>
      </c>
      <c r="AL55" s="494">
        <v>44327</v>
      </c>
      <c r="AM55" s="228">
        <v>74253</v>
      </c>
      <c r="AN55" s="528">
        <v>55</v>
      </c>
      <c r="AO55" s="494">
        <v>44323</v>
      </c>
      <c r="AP55" s="494">
        <v>44350</v>
      </c>
      <c r="AQ55" s="528">
        <v>58522</v>
      </c>
      <c r="AR55" s="528">
        <v>70</v>
      </c>
      <c r="AS55" s="494">
        <v>44354</v>
      </c>
      <c r="AT55" s="494">
        <v>44372</v>
      </c>
      <c r="AU55" s="528">
        <v>30469</v>
      </c>
      <c r="AV55" s="528">
        <v>78</v>
      </c>
      <c r="AW55" s="494">
        <v>44382</v>
      </c>
      <c r="AX55" s="494">
        <v>44404</v>
      </c>
      <c r="AY55" s="528">
        <v>226582</v>
      </c>
      <c r="AZ55" s="528">
        <v>89</v>
      </c>
      <c r="BA55" s="494">
        <v>44413</v>
      </c>
      <c r="BB55" s="494">
        <v>44438</v>
      </c>
      <c r="BC55" s="528">
        <v>114279</v>
      </c>
      <c r="BD55" s="528">
        <v>104</v>
      </c>
      <c r="BE55" s="494">
        <v>44452</v>
      </c>
      <c r="BF55" s="494">
        <v>44462</v>
      </c>
      <c r="BG55" s="37">
        <f t="shared" si="2"/>
        <v>1900663</v>
      </c>
      <c r="BH55" s="525">
        <f t="shared" si="0"/>
        <v>330076.88899999973</v>
      </c>
    </row>
    <row r="56" spans="2:60" s="39" customFormat="1" ht="13.5" customHeight="1">
      <c r="B56" s="22">
        <v>45</v>
      </c>
      <c r="C56" s="22" t="s">
        <v>39</v>
      </c>
      <c r="D56" s="23" t="s">
        <v>2002</v>
      </c>
      <c r="E56" s="503" t="s">
        <v>2003</v>
      </c>
      <c r="F56" s="26" t="s">
        <v>158</v>
      </c>
      <c r="G56" s="26" t="s">
        <v>1895</v>
      </c>
      <c r="H56" s="73" t="s">
        <v>1948</v>
      </c>
      <c r="I56" s="49" t="s">
        <v>52</v>
      </c>
      <c r="J56" s="34">
        <v>103809</v>
      </c>
      <c r="K56" s="34">
        <v>0</v>
      </c>
      <c r="L56" s="34">
        <v>0</v>
      </c>
      <c r="M56" s="34">
        <v>19832</v>
      </c>
      <c r="N56" s="34">
        <v>1992.4680000000001</v>
      </c>
      <c r="O56" s="34">
        <v>19832</v>
      </c>
      <c r="P56" s="505">
        <v>24789.441999999999</v>
      </c>
      <c r="Q56" s="493">
        <v>24789.440999999999</v>
      </c>
      <c r="R56" s="493"/>
      <c r="S56" s="493"/>
      <c r="T56" s="493"/>
      <c r="U56" s="493"/>
      <c r="V56" s="34">
        <f t="shared" si="1"/>
        <v>91235.350999999995</v>
      </c>
      <c r="W56" s="31">
        <v>68507</v>
      </c>
      <c r="X56" s="27">
        <v>1</v>
      </c>
      <c r="Y56" s="101">
        <v>44200</v>
      </c>
      <c r="Z56" s="36">
        <v>44223</v>
      </c>
      <c r="AA56" s="31">
        <v>2000</v>
      </c>
      <c r="AB56" s="214">
        <v>11</v>
      </c>
      <c r="AC56" s="494">
        <v>44221</v>
      </c>
      <c r="AD56" s="494">
        <v>44246</v>
      </c>
      <c r="AE56" s="31">
        <v>30651</v>
      </c>
      <c r="AF56" s="214">
        <v>46</v>
      </c>
      <c r="AG56" s="494">
        <v>44295</v>
      </c>
      <c r="AH56" s="494">
        <v>44327</v>
      </c>
      <c r="AI56" s="228"/>
      <c r="AJ56" s="528"/>
      <c r="AK56" s="494"/>
      <c r="AL56" s="494"/>
      <c r="AM56" s="494"/>
      <c r="AN56" s="494"/>
      <c r="AO56" s="494"/>
      <c r="AP56" s="494"/>
      <c r="AQ56" s="494"/>
      <c r="AR56" s="494"/>
      <c r="AS56" s="494"/>
      <c r="AT56" s="494"/>
      <c r="AU56" s="494"/>
      <c r="AV56" s="494"/>
      <c r="AW56" s="494"/>
      <c r="AX56" s="494"/>
      <c r="AY56" s="494"/>
      <c r="AZ56" s="494"/>
      <c r="BA56" s="494"/>
      <c r="BB56" s="494"/>
      <c r="BC56" s="494"/>
      <c r="BD56" s="494"/>
      <c r="BE56" s="494"/>
      <c r="BF56" s="494"/>
      <c r="BG56" s="37">
        <f t="shared" si="2"/>
        <v>101158</v>
      </c>
      <c r="BH56" s="525">
        <f t="shared" si="0"/>
        <v>9922.6490000000049</v>
      </c>
    </row>
    <row r="57" spans="2:60" s="39" customFormat="1" ht="13.5" customHeight="1">
      <c r="B57" s="261">
        <v>46</v>
      </c>
      <c r="C57" s="22" t="s">
        <v>39</v>
      </c>
      <c r="D57" s="23" t="s">
        <v>2004</v>
      </c>
      <c r="E57" s="503" t="s">
        <v>2005</v>
      </c>
      <c r="F57" s="26" t="s">
        <v>146</v>
      </c>
      <c r="G57" s="26" t="s">
        <v>1895</v>
      </c>
      <c r="H57" s="73" t="s">
        <v>1963</v>
      </c>
      <c r="I57" s="49" t="s">
        <v>44</v>
      </c>
      <c r="J57" s="34">
        <v>729067</v>
      </c>
      <c r="K57" s="34">
        <v>602391</v>
      </c>
      <c r="L57" s="34">
        <v>0</v>
      </c>
      <c r="M57" s="34">
        <v>63815</v>
      </c>
      <c r="N57" s="34"/>
      <c r="O57" s="34"/>
      <c r="P57" s="492"/>
      <c r="Q57" s="493"/>
      <c r="R57" s="493"/>
      <c r="S57" s="493"/>
      <c r="T57" s="493"/>
      <c r="U57" s="493"/>
      <c r="V57" s="34">
        <f t="shared" si="1"/>
        <v>63815</v>
      </c>
      <c r="W57" s="31">
        <v>65816</v>
      </c>
      <c r="X57" s="27">
        <v>1</v>
      </c>
      <c r="Y57" s="101">
        <v>44200</v>
      </c>
      <c r="Z57" s="36">
        <v>44223</v>
      </c>
      <c r="AA57" s="31">
        <v>6615</v>
      </c>
      <c r="AB57" s="214">
        <v>55</v>
      </c>
      <c r="AC57" s="494">
        <v>44323</v>
      </c>
      <c r="AD57" s="494">
        <v>44350</v>
      </c>
      <c r="AE57" s="31"/>
      <c r="AF57" s="214"/>
      <c r="AG57" s="228"/>
      <c r="AH57" s="494"/>
      <c r="AI57" s="228"/>
      <c r="AJ57" s="528"/>
      <c r="AK57" s="494"/>
      <c r="AL57" s="494"/>
      <c r="AM57" s="494"/>
      <c r="AN57" s="494"/>
      <c r="AO57" s="494"/>
      <c r="AP57" s="494"/>
      <c r="AQ57" s="494"/>
      <c r="AR57" s="494"/>
      <c r="AS57" s="494"/>
      <c r="AT57" s="494"/>
      <c r="AU57" s="494"/>
      <c r="AV57" s="494"/>
      <c r="AW57" s="494"/>
      <c r="AX57" s="494"/>
      <c r="AY57" s="494"/>
      <c r="AZ57" s="494"/>
      <c r="BA57" s="494"/>
      <c r="BB57" s="494"/>
      <c r="BC57" s="494"/>
      <c r="BD57" s="494"/>
      <c r="BE57" s="494"/>
      <c r="BF57" s="494"/>
      <c r="BG57" s="37">
        <f t="shared" si="2"/>
        <v>72431</v>
      </c>
      <c r="BH57" s="525">
        <f t="shared" si="0"/>
        <v>8616</v>
      </c>
    </row>
    <row r="58" spans="2:60" s="39" customFormat="1" ht="13.5" customHeight="1">
      <c r="B58" s="22">
        <v>47</v>
      </c>
      <c r="C58" s="22" t="s">
        <v>39</v>
      </c>
      <c r="D58" s="23" t="s">
        <v>2006</v>
      </c>
      <c r="E58" s="503" t="s">
        <v>2007</v>
      </c>
      <c r="F58" s="26" t="s">
        <v>146</v>
      </c>
      <c r="G58" s="26" t="s">
        <v>1895</v>
      </c>
      <c r="H58" s="73" t="s">
        <v>1963</v>
      </c>
      <c r="I58" s="49" t="s">
        <v>44</v>
      </c>
      <c r="J58" s="34">
        <v>1192459</v>
      </c>
      <c r="K58" s="34">
        <v>997421</v>
      </c>
      <c r="L58" s="34">
        <v>0</v>
      </c>
      <c r="M58" s="34"/>
      <c r="N58" s="34"/>
      <c r="O58" s="34"/>
      <c r="P58" s="492"/>
      <c r="Q58" s="493"/>
      <c r="R58" s="493"/>
      <c r="S58" s="493">
        <v>103128.232</v>
      </c>
      <c r="T58" s="493">
        <v>156939.38399999999</v>
      </c>
      <c r="U58" s="493">
        <v>13771.165999999999</v>
      </c>
      <c r="V58" s="34">
        <f t="shared" si="1"/>
        <v>273838.78200000001</v>
      </c>
      <c r="W58" s="31">
        <v>189038</v>
      </c>
      <c r="X58" s="27">
        <v>1</v>
      </c>
      <c r="Y58" s="101">
        <v>44200</v>
      </c>
      <c r="Z58" s="36">
        <v>44223</v>
      </c>
      <c r="AA58" s="31">
        <v>147425</v>
      </c>
      <c r="AB58" s="214">
        <v>89</v>
      </c>
      <c r="AC58" s="494">
        <v>44413</v>
      </c>
      <c r="AD58" s="494">
        <v>44438</v>
      </c>
      <c r="AE58" s="31">
        <v>3750</v>
      </c>
      <c r="AF58" s="214">
        <v>105</v>
      </c>
      <c r="AG58" s="494">
        <v>44452</v>
      </c>
      <c r="AH58" s="494">
        <v>44466</v>
      </c>
      <c r="AI58" s="228"/>
      <c r="AJ58" s="528"/>
      <c r="AK58" s="494"/>
      <c r="AL58" s="494"/>
      <c r="AM58" s="494"/>
      <c r="AN58" s="494"/>
      <c r="AO58" s="494"/>
      <c r="AP58" s="494"/>
      <c r="AQ58" s="494"/>
      <c r="AR58" s="494"/>
      <c r="AS58" s="494"/>
      <c r="AT58" s="494"/>
      <c r="AU58" s="494"/>
      <c r="AV58" s="494"/>
      <c r="AW58" s="494"/>
      <c r="AX58" s="494"/>
      <c r="AY58" s="494"/>
      <c r="AZ58" s="494"/>
      <c r="BA58" s="494"/>
      <c r="BB58" s="494"/>
      <c r="BC58" s="494"/>
      <c r="BD58" s="494"/>
      <c r="BE58" s="494"/>
      <c r="BF58" s="494"/>
      <c r="BG58" s="37">
        <f t="shared" si="2"/>
        <v>340213</v>
      </c>
      <c r="BH58" s="525">
        <f t="shared" si="0"/>
        <v>66374.217999999993</v>
      </c>
    </row>
    <row r="59" spans="2:60" s="39" customFormat="1" ht="13.5" customHeight="1">
      <c r="B59" s="261">
        <v>48</v>
      </c>
      <c r="C59" s="22" t="s">
        <v>39</v>
      </c>
      <c r="D59" s="23" t="s">
        <v>2008</v>
      </c>
      <c r="E59" s="503" t="s">
        <v>2009</v>
      </c>
      <c r="F59" s="26" t="s">
        <v>146</v>
      </c>
      <c r="G59" s="26" t="s">
        <v>1895</v>
      </c>
      <c r="H59" s="73" t="s">
        <v>1963</v>
      </c>
      <c r="I59" s="49" t="s">
        <v>52</v>
      </c>
      <c r="J59" s="34">
        <v>731640</v>
      </c>
      <c r="K59" s="34">
        <v>0</v>
      </c>
      <c r="L59" s="34">
        <v>406845</v>
      </c>
      <c r="M59" s="34"/>
      <c r="N59" s="34"/>
      <c r="O59" s="34"/>
      <c r="P59" s="492"/>
      <c r="Q59" s="493">
        <v>15525.311</v>
      </c>
      <c r="R59" s="493">
        <v>78840.384999999995</v>
      </c>
      <c r="S59" s="493"/>
      <c r="T59" s="493">
        <v>141761.56899999999</v>
      </c>
      <c r="U59" s="493">
        <v>81765.269</v>
      </c>
      <c r="V59" s="34">
        <f t="shared" si="1"/>
        <v>317892.53399999999</v>
      </c>
      <c r="W59" s="31">
        <v>2</v>
      </c>
      <c r="X59" s="27">
        <v>1</v>
      </c>
      <c r="Y59" s="101">
        <v>44200</v>
      </c>
      <c r="Z59" s="36">
        <v>44223</v>
      </c>
      <c r="AA59" s="31">
        <v>49999</v>
      </c>
      <c r="AB59" s="214">
        <v>46</v>
      </c>
      <c r="AC59" s="494">
        <v>44295</v>
      </c>
      <c r="AD59" s="494">
        <v>44327</v>
      </c>
      <c r="AE59" s="31">
        <v>79499</v>
      </c>
      <c r="AF59" s="214">
        <v>55</v>
      </c>
      <c r="AG59" s="494">
        <v>44323</v>
      </c>
      <c r="AH59" s="494">
        <v>44350</v>
      </c>
      <c r="AI59" s="228">
        <v>134366</v>
      </c>
      <c r="AJ59" s="528">
        <v>78</v>
      </c>
      <c r="AK59" s="494">
        <v>44382</v>
      </c>
      <c r="AL59" s="494">
        <v>44404</v>
      </c>
      <c r="AM59" s="228">
        <v>106762</v>
      </c>
      <c r="AN59" s="528">
        <v>105</v>
      </c>
      <c r="AO59" s="494">
        <v>44452</v>
      </c>
      <c r="AP59" s="494">
        <v>44466</v>
      </c>
      <c r="AQ59" s="494"/>
      <c r="AR59" s="494"/>
      <c r="AS59" s="494"/>
      <c r="AT59" s="494"/>
      <c r="AU59" s="528"/>
      <c r="AV59" s="494"/>
      <c r="AW59" s="494"/>
      <c r="AX59" s="494"/>
      <c r="AY59" s="494"/>
      <c r="AZ59" s="494"/>
      <c r="BA59" s="494"/>
      <c r="BB59" s="494"/>
      <c r="BC59" s="494"/>
      <c r="BD59" s="494"/>
      <c r="BE59" s="494"/>
      <c r="BF59" s="494"/>
      <c r="BG59" s="37">
        <f t="shared" si="2"/>
        <v>370628</v>
      </c>
      <c r="BH59" s="525">
        <f t="shared" si="0"/>
        <v>52735.466000000015</v>
      </c>
    </row>
    <row r="60" spans="2:60" s="39" customFormat="1" ht="13.5" customHeight="1">
      <c r="B60" s="22">
        <v>49</v>
      </c>
      <c r="C60" s="22" t="s">
        <v>39</v>
      </c>
      <c r="D60" s="23" t="s">
        <v>2010</v>
      </c>
      <c r="E60" s="503" t="s">
        <v>2011</v>
      </c>
      <c r="F60" s="26" t="s">
        <v>146</v>
      </c>
      <c r="G60" s="26" t="s">
        <v>1895</v>
      </c>
      <c r="H60" s="73" t="s">
        <v>1963</v>
      </c>
      <c r="I60" s="49" t="s">
        <v>52</v>
      </c>
      <c r="J60" s="34">
        <v>964227</v>
      </c>
      <c r="K60" s="34">
        <v>0</v>
      </c>
      <c r="L60" s="34">
        <v>383158</v>
      </c>
      <c r="M60" s="34"/>
      <c r="N60" s="34"/>
      <c r="O60" s="34"/>
      <c r="P60" s="492"/>
      <c r="Q60" s="493"/>
      <c r="R60" s="493"/>
      <c r="S60" s="493"/>
      <c r="T60" s="493"/>
      <c r="U60" s="493"/>
      <c r="V60" s="34">
        <f t="shared" si="1"/>
        <v>0</v>
      </c>
      <c r="W60" s="31">
        <v>2</v>
      </c>
      <c r="X60" s="27">
        <v>1</v>
      </c>
      <c r="Y60" s="101">
        <v>44200</v>
      </c>
      <c r="Z60" s="36">
        <v>44223</v>
      </c>
      <c r="AA60" s="31"/>
      <c r="AB60" s="214"/>
      <c r="AC60" s="494"/>
      <c r="AD60" s="494"/>
      <c r="AE60" s="31"/>
      <c r="AF60" s="214"/>
      <c r="AG60" s="228"/>
      <c r="AH60" s="494"/>
      <c r="AI60" s="228"/>
      <c r="AJ60" s="528"/>
      <c r="AK60" s="494"/>
      <c r="AL60" s="494"/>
      <c r="AM60" s="494"/>
      <c r="AN60" s="494"/>
      <c r="AO60" s="494"/>
      <c r="AP60" s="494"/>
      <c r="AQ60" s="494"/>
      <c r="AR60" s="494"/>
      <c r="AS60" s="494"/>
      <c r="AT60" s="494"/>
      <c r="AU60" s="528"/>
      <c r="AV60" s="494"/>
      <c r="AW60" s="494"/>
      <c r="AX60" s="494"/>
      <c r="AY60" s="494"/>
      <c r="AZ60" s="494"/>
      <c r="BA60" s="494"/>
      <c r="BB60" s="494"/>
      <c r="BC60" s="494"/>
      <c r="BD60" s="494"/>
      <c r="BE60" s="494"/>
      <c r="BF60" s="494"/>
      <c r="BG60" s="37">
        <f t="shared" si="2"/>
        <v>2</v>
      </c>
      <c r="BH60" s="525">
        <f t="shared" si="0"/>
        <v>2</v>
      </c>
    </row>
    <row r="61" spans="2:60" s="39" customFormat="1" ht="13.5" customHeight="1">
      <c r="B61" s="261">
        <v>50</v>
      </c>
      <c r="C61" s="22" t="s">
        <v>39</v>
      </c>
      <c r="D61" s="23" t="s">
        <v>2012</v>
      </c>
      <c r="E61" s="503" t="s">
        <v>2013</v>
      </c>
      <c r="F61" s="26" t="s">
        <v>146</v>
      </c>
      <c r="G61" s="26" t="s">
        <v>1895</v>
      </c>
      <c r="H61" s="73" t="s">
        <v>2014</v>
      </c>
      <c r="I61" s="49" t="s">
        <v>44</v>
      </c>
      <c r="J61" s="34">
        <v>173664</v>
      </c>
      <c r="K61" s="34">
        <v>107567</v>
      </c>
      <c r="L61" s="34">
        <v>0</v>
      </c>
      <c r="M61" s="34">
        <v>53498</v>
      </c>
      <c r="N61" s="34"/>
      <c r="O61" s="34"/>
      <c r="P61" s="492"/>
      <c r="Q61" s="493"/>
      <c r="R61" s="493"/>
      <c r="S61" s="493"/>
      <c r="T61" s="493"/>
      <c r="U61" s="493"/>
      <c r="V61" s="34">
        <f t="shared" si="1"/>
        <v>53498</v>
      </c>
      <c r="W61" s="31">
        <v>57267</v>
      </c>
      <c r="X61" s="27">
        <v>1</v>
      </c>
      <c r="Y61" s="101">
        <v>44200</v>
      </c>
      <c r="Z61" s="36">
        <v>44223</v>
      </c>
      <c r="AA61" s="31">
        <v>1</v>
      </c>
      <c r="AB61" s="214">
        <v>46</v>
      </c>
      <c r="AC61" s="494">
        <v>44295</v>
      </c>
      <c r="AD61" s="494">
        <v>44327</v>
      </c>
      <c r="AE61" s="31">
        <v>6400</v>
      </c>
      <c r="AF61" s="214">
        <v>78</v>
      </c>
      <c r="AG61" s="494">
        <v>44382</v>
      </c>
      <c r="AH61" s="494">
        <v>44404</v>
      </c>
      <c r="AI61" s="228"/>
      <c r="AJ61" s="528"/>
      <c r="AK61" s="494"/>
      <c r="AL61" s="494"/>
      <c r="AM61" s="494"/>
      <c r="AN61" s="494"/>
      <c r="AO61" s="494"/>
      <c r="AP61" s="494"/>
      <c r="AQ61" s="494"/>
      <c r="AR61" s="494"/>
      <c r="AS61" s="494"/>
      <c r="AT61" s="494"/>
      <c r="AU61" s="528"/>
      <c r="AV61" s="494"/>
      <c r="AW61" s="494"/>
      <c r="AX61" s="494"/>
      <c r="AY61" s="494"/>
      <c r="AZ61" s="494"/>
      <c r="BA61" s="494"/>
      <c r="BB61" s="494"/>
      <c r="BC61" s="494"/>
      <c r="BD61" s="494"/>
      <c r="BE61" s="494"/>
      <c r="BF61" s="494"/>
      <c r="BG61" s="37">
        <f t="shared" si="2"/>
        <v>63668</v>
      </c>
      <c r="BH61" s="525">
        <f t="shared" si="0"/>
        <v>10170</v>
      </c>
    </row>
    <row r="62" spans="2:60" s="39" customFormat="1" ht="13.5" customHeight="1">
      <c r="B62" s="22">
        <v>51</v>
      </c>
      <c r="C62" s="22" t="s">
        <v>39</v>
      </c>
      <c r="D62" s="23" t="s">
        <v>2015</v>
      </c>
      <c r="E62" s="503" t="s">
        <v>2016</v>
      </c>
      <c r="F62" s="26" t="s">
        <v>146</v>
      </c>
      <c r="G62" s="26" t="s">
        <v>1895</v>
      </c>
      <c r="H62" s="73" t="s">
        <v>2014</v>
      </c>
      <c r="I62" s="49" t="s">
        <v>44</v>
      </c>
      <c r="J62" s="34">
        <v>6691476</v>
      </c>
      <c r="K62" s="34">
        <v>849028</v>
      </c>
      <c r="L62" s="34">
        <v>0</v>
      </c>
      <c r="M62" s="34">
        <f>3870+1813537</f>
        <v>1817407</v>
      </c>
      <c r="N62" s="34">
        <v>444785.152</v>
      </c>
      <c r="O62" s="34">
        <f>2580+332567</f>
        <v>335147</v>
      </c>
      <c r="P62" s="505">
        <v>360948.24800000002</v>
      </c>
      <c r="Q62" s="493">
        <v>287759.288</v>
      </c>
      <c r="R62" s="493">
        <v>417397.01500000001</v>
      </c>
      <c r="S62" s="493">
        <v>502358.277</v>
      </c>
      <c r="T62" s="493">
        <v>748294.10499999998</v>
      </c>
      <c r="U62" s="493">
        <v>275594.21999999997</v>
      </c>
      <c r="V62" s="34">
        <f t="shared" si="1"/>
        <v>5189690.3050000006</v>
      </c>
      <c r="W62" s="31">
        <v>2053870</v>
      </c>
      <c r="X62" s="27">
        <v>1</v>
      </c>
      <c r="Y62" s="101">
        <v>44200</v>
      </c>
      <c r="Z62" s="36">
        <v>44223</v>
      </c>
      <c r="AA62" s="31">
        <v>1003870</v>
      </c>
      <c r="AB62" s="214">
        <v>13</v>
      </c>
      <c r="AC62" s="494">
        <v>44221</v>
      </c>
      <c r="AD62" s="494">
        <v>44249</v>
      </c>
      <c r="AE62" s="31">
        <v>1096180</v>
      </c>
      <c r="AF62" s="214">
        <v>46</v>
      </c>
      <c r="AG62" s="494">
        <v>44295</v>
      </c>
      <c r="AH62" s="494">
        <v>44327</v>
      </c>
      <c r="AI62" s="228">
        <v>1021891</v>
      </c>
      <c r="AJ62" s="528">
        <v>89</v>
      </c>
      <c r="AK62" s="494">
        <v>44413</v>
      </c>
      <c r="AL62" s="494">
        <v>44438</v>
      </c>
      <c r="AM62" s="228">
        <v>450910</v>
      </c>
      <c r="AN62" s="528">
        <v>105</v>
      </c>
      <c r="AO62" s="494">
        <v>44452</v>
      </c>
      <c r="AP62" s="494">
        <v>44466</v>
      </c>
      <c r="AQ62" s="494"/>
      <c r="AR62" s="494"/>
      <c r="AS62" s="494"/>
      <c r="AT62" s="494"/>
      <c r="AU62" s="528"/>
      <c r="AV62" s="494"/>
      <c r="AW62" s="494"/>
      <c r="AX62" s="494"/>
      <c r="AY62" s="494"/>
      <c r="AZ62" s="494"/>
      <c r="BA62" s="494"/>
      <c r="BB62" s="494"/>
      <c r="BC62" s="494"/>
      <c r="BD62" s="494"/>
      <c r="BE62" s="494"/>
      <c r="BF62" s="494"/>
      <c r="BG62" s="37">
        <f t="shared" si="2"/>
        <v>5626721</v>
      </c>
      <c r="BH62" s="525">
        <f t="shared" si="0"/>
        <v>437030.69499999937</v>
      </c>
    </row>
    <row r="63" spans="2:60" s="39" customFormat="1" ht="13.5" customHeight="1">
      <c r="B63" s="261">
        <v>52</v>
      </c>
      <c r="C63" s="22" t="s">
        <v>39</v>
      </c>
      <c r="D63" s="23" t="s">
        <v>2017</v>
      </c>
      <c r="E63" s="503" t="s">
        <v>2018</v>
      </c>
      <c r="F63" s="26" t="s">
        <v>146</v>
      </c>
      <c r="G63" s="26" t="s">
        <v>1895</v>
      </c>
      <c r="H63" s="73" t="s">
        <v>1957</v>
      </c>
      <c r="I63" s="49" t="s">
        <v>44</v>
      </c>
      <c r="J63" s="34">
        <v>1391412</v>
      </c>
      <c r="K63" s="34">
        <v>1375192</v>
      </c>
      <c r="L63" s="34">
        <v>0</v>
      </c>
      <c r="M63" s="34"/>
      <c r="N63" s="34"/>
      <c r="O63" s="34">
        <v>13184</v>
      </c>
      <c r="P63" s="492"/>
      <c r="Q63" s="493"/>
      <c r="R63" s="493"/>
      <c r="S63" s="493"/>
      <c r="T63" s="493"/>
      <c r="U63" s="493"/>
      <c r="V63" s="34">
        <f t="shared" si="1"/>
        <v>13184</v>
      </c>
      <c r="W63" s="31">
        <v>16220</v>
      </c>
      <c r="X63" s="27">
        <v>1</v>
      </c>
      <c r="Y63" s="101">
        <v>44200</v>
      </c>
      <c r="Z63" s="36">
        <v>44223</v>
      </c>
      <c r="AA63" s="31"/>
      <c r="AB63" s="214"/>
      <c r="AC63" s="228"/>
      <c r="AD63" s="494"/>
      <c r="AE63" s="31"/>
      <c r="AF63" s="214"/>
      <c r="AG63" s="228"/>
      <c r="AH63" s="494"/>
      <c r="AI63" s="228"/>
      <c r="AJ63" s="528"/>
      <c r="AK63" s="494"/>
      <c r="AL63" s="494"/>
      <c r="AM63" s="494"/>
      <c r="AN63" s="494"/>
      <c r="AO63" s="494"/>
      <c r="AP63" s="494"/>
      <c r="AQ63" s="494"/>
      <c r="AR63" s="494"/>
      <c r="AS63" s="494"/>
      <c r="AT63" s="494"/>
      <c r="AU63" s="528"/>
      <c r="AV63" s="494"/>
      <c r="AW63" s="494"/>
      <c r="AX63" s="494"/>
      <c r="AY63" s="494"/>
      <c r="AZ63" s="494"/>
      <c r="BA63" s="494"/>
      <c r="BB63" s="494"/>
      <c r="BC63" s="494"/>
      <c r="BD63" s="494"/>
      <c r="BE63" s="494"/>
      <c r="BF63" s="494"/>
      <c r="BG63" s="37">
        <f t="shared" si="2"/>
        <v>16220</v>
      </c>
      <c r="BH63" s="525">
        <f t="shared" si="0"/>
        <v>3036</v>
      </c>
    </row>
    <row r="64" spans="2:60" s="39" customFormat="1" ht="13.5" customHeight="1">
      <c r="B64" s="22">
        <v>53</v>
      </c>
      <c r="C64" s="22" t="s">
        <v>39</v>
      </c>
      <c r="D64" s="23" t="s">
        <v>2019</v>
      </c>
      <c r="E64" s="503" t="s">
        <v>2020</v>
      </c>
      <c r="F64" s="26" t="s">
        <v>146</v>
      </c>
      <c r="G64" s="26" t="s">
        <v>1895</v>
      </c>
      <c r="H64" s="73" t="s">
        <v>1957</v>
      </c>
      <c r="I64" s="49" t="s">
        <v>44</v>
      </c>
      <c r="J64" s="34">
        <v>7319283</v>
      </c>
      <c r="K64" s="34">
        <v>6980759</v>
      </c>
      <c r="L64" s="34">
        <v>0</v>
      </c>
      <c r="M64" s="34">
        <f>23324+1220</f>
        <v>24544</v>
      </c>
      <c r="N64" s="34">
        <v>937</v>
      </c>
      <c r="O64" s="34">
        <v>51</v>
      </c>
      <c r="P64" s="505">
        <v>179.14</v>
      </c>
      <c r="Q64" s="493">
        <v>1631.913</v>
      </c>
      <c r="R64" s="493">
        <v>84.98</v>
      </c>
      <c r="S64" s="493">
        <v>5896.1790000000001</v>
      </c>
      <c r="T64" s="493">
        <v>114943.05900000001</v>
      </c>
      <c r="U64" s="493"/>
      <c r="V64" s="34">
        <f t="shared" si="1"/>
        <v>148267.27100000001</v>
      </c>
      <c r="W64" s="31">
        <v>227604</v>
      </c>
      <c r="X64" s="27">
        <v>1</v>
      </c>
      <c r="Y64" s="101">
        <v>44200</v>
      </c>
      <c r="Z64" s="36">
        <v>44223</v>
      </c>
      <c r="AA64" s="31">
        <v>8731</v>
      </c>
      <c r="AB64" s="214">
        <v>25</v>
      </c>
      <c r="AC64" s="494">
        <v>44263</v>
      </c>
      <c r="AD64" s="494">
        <v>44292</v>
      </c>
      <c r="AE64" s="31">
        <v>131</v>
      </c>
      <c r="AF64" s="214">
        <v>55</v>
      </c>
      <c r="AG64" s="494">
        <v>44323</v>
      </c>
      <c r="AH64" s="494">
        <v>44350</v>
      </c>
      <c r="AI64" s="228">
        <v>70040</v>
      </c>
      <c r="AJ64" s="528">
        <v>89</v>
      </c>
      <c r="AK64" s="494">
        <v>44413</v>
      </c>
      <c r="AL64" s="494">
        <v>44438</v>
      </c>
      <c r="AM64" s="494"/>
      <c r="AN64" s="494"/>
      <c r="AO64" s="494"/>
      <c r="AP64" s="494"/>
      <c r="AQ64" s="494"/>
      <c r="AR64" s="494"/>
      <c r="AS64" s="494"/>
      <c r="AT64" s="494"/>
      <c r="AU64" s="528"/>
      <c r="AV64" s="494"/>
      <c r="AW64" s="494"/>
      <c r="AX64" s="494"/>
      <c r="AY64" s="494"/>
      <c r="AZ64" s="494"/>
      <c r="BA64" s="494"/>
      <c r="BB64" s="494"/>
      <c r="BC64" s="494"/>
      <c r="BD64" s="494"/>
      <c r="BE64" s="494"/>
      <c r="BF64" s="494"/>
      <c r="BG64" s="37">
        <f t="shared" si="2"/>
        <v>306506</v>
      </c>
      <c r="BH64" s="525">
        <f t="shared" si="0"/>
        <v>158238.72899999999</v>
      </c>
    </row>
    <row r="65" spans="2:60" s="39" customFormat="1" ht="13.5" customHeight="1">
      <c r="B65" s="261">
        <v>54</v>
      </c>
      <c r="C65" s="22" t="s">
        <v>39</v>
      </c>
      <c r="D65" s="23" t="s">
        <v>2021</v>
      </c>
      <c r="E65" s="503" t="s">
        <v>2022</v>
      </c>
      <c r="F65" s="26" t="s">
        <v>146</v>
      </c>
      <c r="G65" s="26" t="s">
        <v>1895</v>
      </c>
      <c r="H65" s="73" t="s">
        <v>2023</v>
      </c>
      <c r="I65" s="49" t="s">
        <v>52</v>
      </c>
      <c r="J65" s="34">
        <v>2096917</v>
      </c>
      <c r="K65" s="34">
        <v>0</v>
      </c>
      <c r="L65" s="34">
        <v>2008137</v>
      </c>
      <c r="M65" s="34"/>
      <c r="N65" s="34"/>
      <c r="O65" s="34">
        <v>19084</v>
      </c>
      <c r="P65" s="492"/>
      <c r="Q65" s="493"/>
      <c r="R65" s="493"/>
      <c r="S65" s="493"/>
      <c r="T65" s="493">
        <v>56679.985000000001</v>
      </c>
      <c r="U65" s="493"/>
      <c r="V65" s="34">
        <f t="shared" si="1"/>
        <v>75763.985000000001</v>
      </c>
      <c r="W65" s="31">
        <v>23000</v>
      </c>
      <c r="X65" s="27">
        <v>1</v>
      </c>
      <c r="Y65" s="101">
        <v>44200</v>
      </c>
      <c r="Z65" s="36">
        <v>44223</v>
      </c>
      <c r="AA65" s="31">
        <v>28085</v>
      </c>
      <c r="AB65" s="214">
        <v>46</v>
      </c>
      <c r="AC65" s="494">
        <v>44295</v>
      </c>
      <c r="AD65" s="494">
        <v>44327</v>
      </c>
      <c r="AE65" s="31">
        <v>47454</v>
      </c>
      <c r="AF65" s="214">
        <v>55</v>
      </c>
      <c r="AG65" s="494">
        <v>44323</v>
      </c>
      <c r="AH65" s="494">
        <v>44350</v>
      </c>
      <c r="AI65" s="228"/>
      <c r="AJ65" s="528"/>
      <c r="AK65" s="494"/>
      <c r="AL65" s="494"/>
      <c r="AM65" s="494"/>
      <c r="AN65" s="494"/>
      <c r="AO65" s="494"/>
      <c r="AP65" s="494"/>
      <c r="AQ65" s="494"/>
      <c r="AR65" s="494"/>
      <c r="AS65" s="494"/>
      <c r="AT65" s="494"/>
      <c r="AU65" s="528"/>
      <c r="AV65" s="494"/>
      <c r="AW65" s="494"/>
      <c r="AX65" s="494"/>
      <c r="AY65" s="494"/>
      <c r="AZ65" s="494"/>
      <c r="BA65" s="494"/>
      <c r="BB65" s="494"/>
      <c r="BC65" s="494"/>
      <c r="BD65" s="494"/>
      <c r="BE65" s="494"/>
      <c r="BF65" s="494"/>
      <c r="BG65" s="37">
        <f t="shared" si="2"/>
        <v>98539</v>
      </c>
      <c r="BH65" s="525">
        <f t="shared" si="0"/>
        <v>22775.014999999999</v>
      </c>
    </row>
    <row r="66" spans="2:60" s="39" customFormat="1" ht="13.5" customHeight="1">
      <c r="B66" s="22">
        <v>55</v>
      </c>
      <c r="C66" s="22" t="s">
        <v>39</v>
      </c>
      <c r="D66" s="23" t="s">
        <v>2024</v>
      </c>
      <c r="E66" s="503" t="s">
        <v>2025</v>
      </c>
      <c r="F66" s="26" t="s">
        <v>146</v>
      </c>
      <c r="G66" s="26" t="s">
        <v>1895</v>
      </c>
      <c r="H66" s="73" t="s">
        <v>1960</v>
      </c>
      <c r="I66" s="49" t="s">
        <v>44</v>
      </c>
      <c r="J66" s="34">
        <v>10376427</v>
      </c>
      <c r="K66" s="34">
        <v>124285</v>
      </c>
      <c r="L66" s="34">
        <v>2904998</v>
      </c>
      <c r="M66" s="34"/>
      <c r="N66" s="34">
        <v>4355.75</v>
      </c>
      <c r="O66" s="34">
        <f>4356+230940</f>
        <v>235296</v>
      </c>
      <c r="P66" s="505">
        <v>186917.962</v>
      </c>
      <c r="Q66" s="493">
        <v>85908.635999999999</v>
      </c>
      <c r="R66" s="493">
        <v>4355.75</v>
      </c>
      <c r="S66" s="493">
        <v>75516.548999999999</v>
      </c>
      <c r="T66" s="493">
        <v>108387.486</v>
      </c>
      <c r="U66" s="493">
        <v>230743.829</v>
      </c>
      <c r="V66" s="34">
        <f t="shared" si="1"/>
        <v>931481.96200000006</v>
      </c>
      <c r="W66" s="31">
        <v>569280</v>
      </c>
      <c r="X66" s="27">
        <v>1</v>
      </c>
      <c r="Y66" s="101">
        <v>44200</v>
      </c>
      <c r="Z66" s="36">
        <v>44223</v>
      </c>
      <c r="AA66" s="31">
        <v>10000</v>
      </c>
      <c r="AB66" s="214">
        <v>13</v>
      </c>
      <c r="AC66" s="494">
        <v>44221</v>
      </c>
      <c r="AD66" s="494">
        <v>44249</v>
      </c>
      <c r="AE66" s="31">
        <v>60516</v>
      </c>
      <c r="AF66" s="214">
        <v>25</v>
      </c>
      <c r="AG66" s="494">
        <v>44263</v>
      </c>
      <c r="AH66" s="494">
        <v>44292</v>
      </c>
      <c r="AI66" s="228">
        <v>200312</v>
      </c>
      <c r="AJ66" s="528">
        <v>46</v>
      </c>
      <c r="AK66" s="494">
        <v>44295</v>
      </c>
      <c r="AL66" s="494">
        <v>44327</v>
      </c>
      <c r="AM66" s="228">
        <v>306014</v>
      </c>
      <c r="AN66" s="528">
        <v>55</v>
      </c>
      <c r="AO66" s="494">
        <v>44323</v>
      </c>
      <c r="AP66" s="494">
        <v>44350</v>
      </c>
      <c r="AQ66" s="528">
        <v>4355</v>
      </c>
      <c r="AR66" s="528">
        <v>70</v>
      </c>
      <c r="AS66" s="494">
        <v>44354</v>
      </c>
      <c r="AT66" s="494">
        <v>44372</v>
      </c>
      <c r="AU66" s="528">
        <v>4356</v>
      </c>
      <c r="AV66" s="528">
        <v>78</v>
      </c>
      <c r="AW66" s="494">
        <v>44382</v>
      </c>
      <c r="AX66" s="494">
        <v>44404</v>
      </c>
      <c r="AY66" s="528">
        <v>64618</v>
      </c>
      <c r="AZ66" s="528">
        <v>105</v>
      </c>
      <c r="BA66" s="494">
        <v>44452</v>
      </c>
      <c r="BB66" s="494">
        <v>44466</v>
      </c>
      <c r="BC66" s="494"/>
      <c r="BD66" s="494"/>
      <c r="BE66" s="494"/>
      <c r="BF66" s="494"/>
      <c r="BG66" s="37">
        <f t="shared" si="2"/>
        <v>1219451</v>
      </c>
      <c r="BH66" s="525">
        <f t="shared" si="0"/>
        <v>287969.03799999994</v>
      </c>
    </row>
    <row r="67" spans="2:60" s="39" customFormat="1" ht="13.5" customHeight="1">
      <c r="B67" s="261">
        <v>56</v>
      </c>
      <c r="C67" s="22" t="s">
        <v>39</v>
      </c>
      <c r="D67" s="23" t="s">
        <v>2026</v>
      </c>
      <c r="E67" s="503" t="s">
        <v>2027</v>
      </c>
      <c r="F67" s="26" t="s">
        <v>146</v>
      </c>
      <c r="G67" s="26" t="s">
        <v>1895</v>
      </c>
      <c r="H67" s="73" t="s">
        <v>1960</v>
      </c>
      <c r="I67" s="49" t="s">
        <v>44</v>
      </c>
      <c r="J67" s="34">
        <v>1374637</v>
      </c>
      <c r="K67" s="34">
        <v>1292774</v>
      </c>
      <c r="L67" s="34">
        <v>0</v>
      </c>
      <c r="M67" s="34"/>
      <c r="N67" s="34">
        <v>659.4</v>
      </c>
      <c r="O67" s="34">
        <f>1474+892</f>
        <v>2366</v>
      </c>
      <c r="P67" s="492"/>
      <c r="Q67" s="493"/>
      <c r="R67" s="493">
        <v>51303.47</v>
      </c>
      <c r="S67" s="493"/>
      <c r="T67" s="493">
        <v>601.29999999999995</v>
      </c>
      <c r="U67" s="493"/>
      <c r="V67" s="34">
        <f t="shared" si="1"/>
        <v>54930.170000000006</v>
      </c>
      <c r="W67" s="31">
        <v>81863</v>
      </c>
      <c r="X67" s="27">
        <v>1</v>
      </c>
      <c r="Y67" s="101">
        <v>44200</v>
      </c>
      <c r="Z67" s="36">
        <v>44223</v>
      </c>
      <c r="AA67" s="31">
        <v>1</v>
      </c>
      <c r="AB67" s="214">
        <v>89</v>
      </c>
      <c r="AC67" s="494">
        <v>44413</v>
      </c>
      <c r="AD67" s="494">
        <v>44438</v>
      </c>
      <c r="AE67" s="31"/>
      <c r="AF67" s="214"/>
      <c r="AG67" s="228"/>
      <c r="AH67" s="494"/>
      <c r="AI67" s="228"/>
      <c r="AJ67" s="528"/>
      <c r="AK67" s="494"/>
      <c r="AL67" s="494"/>
      <c r="AM67" s="228"/>
      <c r="AN67" s="494"/>
      <c r="AO67" s="494"/>
      <c r="AP67" s="494"/>
      <c r="AQ67" s="494"/>
      <c r="AR67" s="494"/>
      <c r="AS67" s="494"/>
      <c r="AT67" s="494"/>
      <c r="AU67" s="528"/>
      <c r="AV67" s="494"/>
      <c r="AW67" s="494"/>
      <c r="AX67" s="494"/>
      <c r="AY67" s="494"/>
      <c r="AZ67" s="494"/>
      <c r="BA67" s="494"/>
      <c r="BB67" s="494"/>
      <c r="BC67" s="494"/>
      <c r="BD67" s="494"/>
      <c r="BE67" s="494"/>
      <c r="BF67" s="494"/>
      <c r="BG67" s="37">
        <f t="shared" si="2"/>
        <v>81864</v>
      </c>
      <c r="BH67" s="525">
        <f t="shared" si="0"/>
        <v>26933.829999999994</v>
      </c>
    </row>
    <row r="68" spans="2:60" s="39" customFormat="1" ht="13.5" customHeight="1">
      <c r="B68" s="22">
        <v>57</v>
      </c>
      <c r="C68" s="22" t="s">
        <v>39</v>
      </c>
      <c r="D68" s="23" t="s">
        <v>2028</v>
      </c>
      <c r="E68" s="503" t="s">
        <v>2029</v>
      </c>
      <c r="F68" s="26" t="s">
        <v>146</v>
      </c>
      <c r="G68" s="26" t="s">
        <v>1895</v>
      </c>
      <c r="H68" s="73" t="s">
        <v>1932</v>
      </c>
      <c r="I68" s="49" t="s">
        <v>44</v>
      </c>
      <c r="J68" s="34">
        <v>205922</v>
      </c>
      <c r="K68" s="34">
        <v>25607</v>
      </c>
      <c r="L68" s="34">
        <v>0</v>
      </c>
      <c r="M68" s="34">
        <f>2250+63178</f>
        <v>65428</v>
      </c>
      <c r="N68" s="34"/>
      <c r="O68" s="34">
        <v>2250</v>
      </c>
      <c r="P68" s="505">
        <v>40365.245999999999</v>
      </c>
      <c r="Q68" s="493"/>
      <c r="R68" s="493"/>
      <c r="S68" s="493"/>
      <c r="T68" s="493"/>
      <c r="U68" s="493">
        <v>59308.917999999998</v>
      </c>
      <c r="V68" s="34">
        <f t="shared" si="1"/>
        <v>167352.16399999999</v>
      </c>
      <c r="W68" s="31">
        <v>103375</v>
      </c>
      <c r="X68" s="27">
        <v>1</v>
      </c>
      <c r="Y68" s="101">
        <v>44200</v>
      </c>
      <c r="Z68" s="36">
        <v>44223</v>
      </c>
      <c r="AA68" s="31">
        <v>26290</v>
      </c>
      <c r="AB68" s="214">
        <v>24</v>
      </c>
      <c r="AC68" s="494">
        <v>44263</v>
      </c>
      <c r="AD68" s="494">
        <v>44284</v>
      </c>
      <c r="AE68" s="31">
        <v>2639</v>
      </c>
      <c r="AF68" s="214">
        <v>25</v>
      </c>
      <c r="AG68" s="494">
        <v>44263</v>
      </c>
      <c r="AH68" s="494">
        <v>44292</v>
      </c>
      <c r="AI68" s="228">
        <v>47011</v>
      </c>
      <c r="AJ68" s="528">
        <v>103</v>
      </c>
      <c r="AK68" s="494">
        <v>44448</v>
      </c>
      <c r="AL68" s="494">
        <v>44460</v>
      </c>
      <c r="AM68" s="228"/>
      <c r="AN68" s="494"/>
      <c r="AO68" s="494"/>
      <c r="AP68" s="494"/>
      <c r="AQ68" s="494"/>
      <c r="AR68" s="494"/>
      <c r="AS68" s="494"/>
      <c r="AT68" s="494"/>
      <c r="AU68" s="528"/>
      <c r="AV68" s="494"/>
      <c r="AW68" s="494"/>
      <c r="AX68" s="494"/>
      <c r="AY68" s="494"/>
      <c r="AZ68" s="494"/>
      <c r="BA68" s="494"/>
      <c r="BB68" s="494"/>
      <c r="BC68" s="494"/>
      <c r="BD68" s="494"/>
      <c r="BE68" s="494"/>
      <c r="BF68" s="494"/>
      <c r="BG68" s="37">
        <f t="shared" si="2"/>
        <v>179315</v>
      </c>
      <c r="BH68" s="525">
        <f t="shared" si="0"/>
        <v>11962.83600000001</v>
      </c>
    </row>
    <row r="69" spans="2:60" s="39" customFormat="1" ht="13.5" customHeight="1">
      <c r="B69" s="261">
        <v>58</v>
      </c>
      <c r="C69" s="22" t="s">
        <v>39</v>
      </c>
      <c r="D69" s="23" t="s">
        <v>2030</v>
      </c>
      <c r="E69" s="503" t="s">
        <v>2031</v>
      </c>
      <c r="F69" s="26" t="s">
        <v>158</v>
      </c>
      <c r="G69" s="26" t="s">
        <v>1895</v>
      </c>
      <c r="H69" s="73" t="s">
        <v>1941</v>
      </c>
      <c r="I69" s="49" t="s">
        <v>52</v>
      </c>
      <c r="J69" s="34">
        <v>11254189</v>
      </c>
      <c r="K69" s="34">
        <v>0</v>
      </c>
      <c r="L69" s="34">
        <v>11135152</v>
      </c>
      <c r="M69" s="34"/>
      <c r="N69" s="34"/>
      <c r="O69" s="34"/>
      <c r="P69" s="492"/>
      <c r="Q69" s="493"/>
      <c r="R69" s="493"/>
      <c r="S69" s="493"/>
      <c r="T69" s="493"/>
      <c r="U69" s="493"/>
      <c r="V69" s="34">
        <f t="shared" si="1"/>
        <v>0</v>
      </c>
      <c r="W69" s="31">
        <v>1</v>
      </c>
      <c r="X69" s="27">
        <v>1</v>
      </c>
      <c r="Y69" s="101">
        <v>44200</v>
      </c>
      <c r="Z69" s="36">
        <v>44223</v>
      </c>
      <c r="AA69" s="31"/>
      <c r="AB69" s="214"/>
      <c r="AC69" s="228"/>
      <c r="AD69" s="494"/>
      <c r="AE69" s="31"/>
      <c r="AF69" s="214"/>
      <c r="AG69" s="228"/>
      <c r="AH69" s="494"/>
      <c r="AI69" s="228"/>
      <c r="AJ69" s="528"/>
      <c r="AK69" s="494"/>
      <c r="AL69" s="494"/>
      <c r="AM69" s="228"/>
      <c r="AN69" s="494"/>
      <c r="AO69" s="494"/>
      <c r="AP69" s="494"/>
      <c r="AQ69" s="494"/>
      <c r="AR69" s="494"/>
      <c r="AS69" s="494"/>
      <c r="AT69" s="494"/>
      <c r="AU69" s="528"/>
      <c r="AV69" s="494"/>
      <c r="AW69" s="494"/>
      <c r="AX69" s="494"/>
      <c r="AY69" s="494"/>
      <c r="AZ69" s="494"/>
      <c r="BA69" s="494"/>
      <c r="BB69" s="494"/>
      <c r="BC69" s="494"/>
      <c r="BD69" s="494"/>
      <c r="BE69" s="494"/>
      <c r="BF69" s="494"/>
      <c r="BG69" s="37">
        <f t="shared" si="2"/>
        <v>1</v>
      </c>
      <c r="BH69" s="525">
        <f t="shared" si="0"/>
        <v>1</v>
      </c>
    </row>
    <row r="70" spans="2:60" s="39" customFormat="1" ht="13.5" customHeight="1">
      <c r="B70" s="22">
        <v>59</v>
      </c>
      <c r="C70" s="22" t="s">
        <v>39</v>
      </c>
      <c r="D70" s="23" t="s">
        <v>2032</v>
      </c>
      <c r="E70" s="503" t="s">
        <v>2033</v>
      </c>
      <c r="F70" s="26" t="s">
        <v>146</v>
      </c>
      <c r="G70" s="26" t="s">
        <v>1895</v>
      </c>
      <c r="H70" s="73" t="s">
        <v>1911</v>
      </c>
      <c r="I70" s="49" t="s">
        <v>52</v>
      </c>
      <c r="J70" s="34">
        <v>591240</v>
      </c>
      <c r="K70" s="34">
        <v>0</v>
      </c>
      <c r="L70" s="34">
        <v>24528</v>
      </c>
      <c r="M70" s="34"/>
      <c r="N70" s="34">
        <v>98190.475000000006</v>
      </c>
      <c r="O70" s="34"/>
      <c r="P70" s="505">
        <v>39598.879000000001</v>
      </c>
      <c r="Q70" s="493">
        <v>153531.682</v>
      </c>
      <c r="R70" s="493">
        <v>64420.498</v>
      </c>
      <c r="S70" s="493">
        <v>38856.684000000001</v>
      </c>
      <c r="T70" s="493">
        <v>90857.615000000005</v>
      </c>
      <c r="U70" s="493">
        <v>3224</v>
      </c>
      <c r="V70" s="34">
        <f t="shared" si="1"/>
        <v>488679.83299999998</v>
      </c>
      <c r="W70" s="31">
        <v>75151</v>
      </c>
      <c r="X70" s="27">
        <v>1</v>
      </c>
      <c r="Y70" s="101">
        <v>44200</v>
      </c>
      <c r="Z70" s="36">
        <v>44223</v>
      </c>
      <c r="AA70" s="31">
        <v>103438</v>
      </c>
      <c r="AB70" s="214">
        <v>3</v>
      </c>
      <c r="AC70" s="494">
        <v>44202</v>
      </c>
      <c r="AD70" s="494">
        <v>44231</v>
      </c>
      <c r="AE70" s="31">
        <v>182477</v>
      </c>
      <c r="AF70" s="214">
        <v>46</v>
      </c>
      <c r="AG70" s="494">
        <v>44295</v>
      </c>
      <c r="AH70" s="494">
        <v>44327</v>
      </c>
      <c r="AI70" s="228">
        <v>113322</v>
      </c>
      <c r="AJ70" s="528">
        <v>55</v>
      </c>
      <c r="AK70" s="494">
        <v>44323</v>
      </c>
      <c r="AL70" s="494">
        <v>44350</v>
      </c>
      <c r="AM70" s="228">
        <v>47781</v>
      </c>
      <c r="AN70" s="228">
        <v>78</v>
      </c>
      <c r="AO70" s="494">
        <v>44382</v>
      </c>
      <c r="AP70" s="494">
        <v>44404</v>
      </c>
      <c r="AQ70" s="228">
        <v>40000</v>
      </c>
      <c r="AR70" s="228">
        <v>87</v>
      </c>
      <c r="AS70" s="494">
        <v>44410</v>
      </c>
      <c r="AT70" s="494">
        <v>44414</v>
      </c>
      <c r="AU70" s="528"/>
      <c r="AV70" s="494"/>
      <c r="AW70" s="494"/>
      <c r="AX70" s="494"/>
      <c r="AY70" s="494"/>
      <c r="AZ70" s="494"/>
      <c r="BA70" s="494"/>
      <c r="BB70" s="494"/>
      <c r="BC70" s="494"/>
      <c r="BD70" s="494"/>
      <c r="BE70" s="494"/>
      <c r="BF70" s="494"/>
      <c r="BG70" s="37">
        <f t="shared" si="2"/>
        <v>562169</v>
      </c>
      <c r="BH70" s="525">
        <f t="shared" si="0"/>
        <v>73489.167000000016</v>
      </c>
    </row>
    <row r="71" spans="2:60" s="39" customFormat="1" ht="13.5" customHeight="1">
      <c r="B71" s="261">
        <v>60</v>
      </c>
      <c r="C71" s="22" t="s">
        <v>39</v>
      </c>
      <c r="D71" s="23" t="s">
        <v>2034</v>
      </c>
      <c r="E71" s="503" t="s">
        <v>2035</v>
      </c>
      <c r="F71" s="26" t="s">
        <v>146</v>
      </c>
      <c r="G71" s="26" t="s">
        <v>1895</v>
      </c>
      <c r="H71" s="73" t="s">
        <v>1948</v>
      </c>
      <c r="I71" s="217" t="s">
        <v>44</v>
      </c>
      <c r="J71" s="34">
        <v>444083</v>
      </c>
      <c r="K71" s="34">
        <v>75118</v>
      </c>
      <c r="L71" s="34">
        <v>0</v>
      </c>
      <c r="M71" s="34">
        <v>170144</v>
      </c>
      <c r="N71" s="34"/>
      <c r="O71" s="34"/>
      <c r="P71" s="505">
        <v>107726.943</v>
      </c>
      <c r="Q71" s="493"/>
      <c r="R71" s="493"/>
      <c r="S71" s="493"/>
      <c r="T71" s="493"/>
      <c r="U71" s="493"/>
      <c r="V71" s="34">
        <f t="shared" si="1"/>
        <v>277870.94299999997</v>
      </c>
      <c r="W71" s="31">
        <v>278166</v>
      </c>
      <c r="X71" s="27">
        <v>2</v>
      </c>
      <c r="Y71" s="101">
        <v>44200</v>
      </c>
      <c r="Z71" s="36">
        <v>44224</v>
      </c>
      <c r="AA71" s="31"/>
      <c r="AB71" s="214"/>
      <c r="AC71" s="228"/>
      <c r="AD71" s="494"/>
      <c r="AE71" s="31"/>
      <c r="AF71" s="214"/>
      <c r="AG71" s="228"/>
      <c r="AH71" s="494"/>
      <c r="AI71" s="228"/>
      <c r="AJ71" s="528"/>
      <c r="AK71" s="494"/>
      <c r="AL71" s="494"/>
      <c r="AM71" s="228"/>
      <c r="AN71" s="494"/>
      <c r="AO71" s="494"/>
      <c r="AP71" s="494"/>
      <c r="AQ71" s="494"/>
      <c r="AR71" s="494"/>
      <c r="AS71" s="494"/>
      <c r="AT71" s="494"/>
      <c r="AU71" s="494"/>
      <c r="AV71" s="494"/>
      <c r="AW71" s="494"/>
      <c r="AX71" s="494"/>
      <c r="AY71" s="494"/>
      <c r="AZ71" s="494"/>
      <c r="BA71" s="494"/>
      <c r="BB71" s="494"/>
      <c r="BC71" s="494"/>
      <c r="BD71" s="494"/>
      <c r="BE71" s="494"/>
      <c r="BF71" s="494"/>
      <c r="BG71" s="37">
        <f t="shared" si="2"/>
        <v>278166</v>
      </c>
      <c r="BH71" s="525">
        <f t="shared" si="0"/>
        <v>295.0570000000298</v>
      </c>
    </row>
    <row r="72" spans="2:60" s="39" customFormat="1" ht="13.5" customHeight="1">
      <c r="B72" s="22">
        <v>61</v>
      </c>
      <c r="C72" s="22" t="s">
        <v>39</v>
      </c>
      <c r="D72" s="23" t="s">
        <v>2036</v>
      </c>
      <c r="E72" s="503" t="s">
        <v>2037</v>
      </c>
      <c r="F72" s="26" t="s">
        <v>146</v>
      </c>
      <c r="G72" s="26" t="s">
        <v>1895</v>
      </c>
      <c r="H72" s="73" t="s">
        <v>1987</v>
      </c>
      <c r="I72" s="217" t="s">
        <v>44</v>
      </c>
      <c r="J72" s="34">
        <v>5055141</v>
      </c>
      <c r="K72" s="34">
        <v>4981794</v>
      </c>
      <c r="L72" s="34">
        <v>0</v>
      </c>
      <c r="M72" s="34"/>
      <c r="N72" s="34"/>
      <c r="O72" s="34"/>
      <c r="P72" s="492"/>
      <c r="Q72" s="493"/>
      <c r="R72" s="493"/>
      <c r="S72" s="493"/>
      <c r="T72" s="493"/>
      <c r="U72" s="493"/>
      <c r="V72" s="34">
        <f t="shared" si="1"/>
        <v>0</v>
      </c>
      <c r="W72" s="31">
        <v>71733</v>
      </c>
      <c r="X72" s="27">
        <v>2</v>
      </c>
      <c r="Y72" s="101">
        <v>44200</v>
      </c>
      <c r="Z72" s="36">
        <v>44224</v>
      </c>
      <c r="AA72" s="31">
        <v>-71733</v>
      </c>
      <c r="AB72" s="214">
        <v>41</v>
      </c>
      <c r="AC72" s="494">
        <v>44294</v>
      </c>
      <c r="AD72" s="494">
        <v>44305</v>
      </c>
      <c r="AE72" s="31"/>
      <c r="AF72" s="214"/>
      <c r="AG72" s="228"/>
      <c r="AH72" s="494"/>
      <c r="AI72" s="228"/>
      <c r="AJ72" s="494"/>
      <c r="AK72" s="494"/>
      <c r="AL72" s="494"/>
      <c r="AM72" s="228"/>
      <c r="AN72" s="494"/>
      <c r="AO72" s="494"/>
      <c r="AP72" s="494"/>
      <c r="AQ72" s="494"/>
      <c r="AR72" s="494"/>
      <c r="AS72" s="494"/>
      <c r="AT72" s="494"/>
      <c r="AU72" s="494"/>
      <c r="AV72" s="494"/>
      <c r="AW72" s="494"/>
      <c r="AX72" s="494"/>
      <c r="AY72" s="494"/>
      <c r="AZ72" s="494"/>
      <c r="BA72" s="494"/>
      <c r="BB72" s="494"/>
      <c r="BC72" s="494"/>
      <c r="BD72" s="494"/>
      <c r="BE72" s="494"/>
      <c r="BF72" s="494"/>
      <c r="BG72" s="37">
        <f t="shared" si="2"/>
        <v>0</v>
      </c>
      <c r="BH72" s="525">
        <f t="shared" si="0"/>
        <v>0</v>
      </c>
    </row>
    <row r="73" spans="2:60" s="39" customFormat="1" ht="13.5" customHeight="1">
      <c r="B73" s="261">
        <v>62</v>
      </c>
      <c r="C73" s="22" t="s">
        <v>39</v>
      </c>
      <c r="D73" s="23" t="s">
        <v>2038</v>
      </c>
      <c r="E73" s="503" t="s">
        <v>2039</v>
      </c>
      <c r="F73" s="26" t="s">
        <v>146</v>
      </c>
      <c r="G73" s="26" t="s">
        <v>1895</v>
      </c>
      <c r="H73" s="73" t="s">
        <v>1987</v>
      </c>
      <c r="I73" s="217" t="s">
        <v>52</v>
      </c>
      <c r="J73" s="34">
        <v>111420</v>
      </c>
      <c r="K73" s="34">
        <v>48592</v>
      </c>
      <c r="L73" s="34">
        <v>0</v>
      </c>
      <c r="M73" s="34"/>
      <c r="N73" s="34"/>
      <c r="O73" s="34"/>
      <c r="P73" s="492"/>
      <c r="Q73" s="493"/>
      <c r="R73" s="493"/>
      <c r="S73" s="493"/>
      <c r="T73" s="493"/>
      <c r="U73" s="493"/>
      <c r="V73" s="34">
        <f t="shared" si="1"/>
        <v>0</v>
      </c>
      <c r="W73" s="31">
        <v>13924</v>
      </c>
      <c r="X73" s="27">
        <v>2</v>
      </c>
      <c r="Y73" s="101">
        <v>44200</v>
      </c>
      <c r="Z73" s="36">
        <v>44224</v>
      </c>
      <c r="AA73" s="31"/>
      <c r="AB73" s="214"/>
      <c r="AC73" s="228"/>
      <c r="AD73" s="494"/>
      <c r="AE73" s="31"/>
      <c r="AF73" s="214"/>
      <c r="AG73" s="228"/>
      <c r="AH73" s="494"/>
      <c r="AI73" s="228"/>
      <c r="AJ73" s="494"/>
      <c r="AK73" s="494"/>
      <c r="AL73" s="494"/>
      <c r="AM73" s="228"/>
      <c r="AN73" s="494"/>
      <c r="AO73" s="494"/>
      <c r="AP73" s="494"/>
      <c r="AQ73" s="494"/>
      <c r="AR73" s="494"/>
      <c r="AS73" s="494"/>
      <c r="AT73" s="494"/>
      <c r="AU73" s="494"/>
      <c r="AV73" s="494"/>
      <c r="AW73" s="494"/>
      <c r="AX73" s="494"/>
      <c r="AY73" s="494"/>
      <c r="AZ73" s="494"/>
      <c r="BA73" s="494"/>
      <c r="BB73" s="494"/>
      <c r="BC73" s="494"/>
      <c r="BD73" s="494"/>
      <c r="BE73" s="494"/>
      <c r="BF73" s="494"/>
      <c r="BG73" s="37">
        <f t="shared" si="2"/>
        <v>13924</v>
      </c>
      <c r="BH73" s="525">
        <f t="shared" si="0"/>
        <v>13924</v>
      </c>
    </row>
    <row r="74" spans="2:60" s="39" customFormat="1" ht="13.5" customHeight="1">
      <c r="B74" s="22">
        <v>63</v>
      </c>
      <c r="C74" s="22" t="s">
        <v>39</v>
      </c>
      <c r="D74" s="23" t="s">
        <v>2040</v>
      </c>
      <c r="E74" s="503" t="s">
        <v>2041</v>
      </c>
      <c r="F74" s="26" t="s">
        <v>146</v>
      </c>
      <c r="G74" s="26" t="s">
        <v>1895</v>
      </c>
      <c r="H74" s="73" t="s">
        <v>1941</v>
      </c>
      <c r="I74" s="217" t="s">
        <v>52</v>
      </c>
      <c r="J74" s="34">
        <v>2747319</v>
      </c>
      <c r="K74" s="34">
        <v>1031</v>
      </c>
      <c r="L74" s="34">
        <v>1170882</v>
      </c>
      <c r="M74" s="34"/>
      <c r="N74" s="34"/>
      <c r="O74" s="34"/>
      <c r="P74" s="492"/>
      <c r="Q74" s="493"/>
      <c r="R74" s="493"/>
      <c r="S74" s="493"/>
      <c r="T74" s="493"/>
      <c r="U74" s="493"/>
      <c r="V74" s="34">
        <f t="shared" si="1"/>
        <v>0</v>
      </c>
      <c r="W74" s="31">
        <v>167490</v>
      </c>
      <c r="X74" s="27">
        <v>2</v>
      </c>
      <c r="Y74" s="101">
        <v>44200</v>
      </c>
      <c r="Z74" s="36">
        <v>44224</v>
      </c>
      <c r="AA74" s="31">
        <v>1406869</v>
      </c>
      <c r="AB74" s="214">
        <v>8</v>
      </c>
      <c r="AC74" s="494">
        <v>44214</v>
      </c>
      <c r="AD74" s="494">
        <v>44246</v>
      </c>
      <c r="AE74" s="31"/>
      <c r="AF74" s="214"/>
      <c r="AG74" s="494"/>
      <c r="AH74" s="494"/>
      <c r="AI74" s="228"/>
      <c r="AJ74" s="494"/>
      <c r="AK74" s="494"/>
      <c r="AL74" s="494"/>
      <c r="AM74" s="228"/>
      <c r="AN74" s="494"/>
      <c r="AO74" s="494"/>
      <c r="AP74" s="494"/>
      <c r="AQ74" s="494"/>
      <c r="AR74" s="494"/>
      <c r="AS74" s="494"/>
      <c r="AT74" s="494"/>
      <c r="AU74" s="494"/>
      <c r="AV74" s="494"/>
      <c r="AW74" s="494"/>
      <c r="AX74" s="494"/>
      <c r="AY74" s="494"/>
      <c r="AZ74" s="494"/>
      <c r="BA74" s="494"/>
      <c r="BB74" s="494"/>
      <c r="BC74" s="494"/>
      <c r="BD74" s="494"/>
      <c r="BE74" s="494"/>
      <c r="BF74" s="494"/>
      <c r="BG74" s="37">
        <f t="shared" si="2"/>
        <v>1574359</v>
      </c>
      <c r="BH74" s="525">
        <f t="shared" si="0"/>
        <v>1574359</v>
      </c>
    </row>
    <row r="75" spans="2:60" s="39" customFormat="1" ht="13.5" customHeight="1">
      <c r="B75" s="261">
        <v>64</v>
      </c>
      <c r="C75" s="22" t="s">
        <v>39</v>
      </c>
      <c r="D75" s="23" t="s">
        <v>2042</v>
      </c>
      <c r="E75" s="503" t="s">
        <v>2043</v>
      </c>
      <c r="F75" s="26" t="s">
        <v>146</v>
      </c>
      <c r="G75" s="26" t="s">
        <v>1895</v>
      </c>
      <c r="H75" s="73" t="s">
        <v>1932</v>
      </c>
      <c r="I75" s="217" t="s">
        <v>44</v>
      </c>
      <c r="J75" s="34">
        <v>830014</v>
      </c>
      <c r="K75" s="34">
        <v>624725</v>
      </c>
      <c r="L75" s="34">
        <v>0</v>
      </c>
      <c r="M75" s="34">
        <v>205288</v>
      </c>
      <c r="N75" s="34"/>
      <c r="O75" s="34"/>
      <c r="P75" s="492"/>
      <c r="Q75" s="493"/>
      <c r="R75" s="493"/>
      <c r="S75" s="493"/>
      <c r="T75" s="493"/>
      <c r="U75" s="493"/>
      <c r="V75" s="34">
        <f t="shared" si="1"/>
        <v>205288</v>
      </c>
      <c r="W75" s="31">
        <v>205289</v>
      </c>
      <c r="X75" s="27">
        <v>2</v>
      </c>
      <c r="Y75" s="101">
        <v>44200</v>
      </c>
      <c r="Z75" s="36">
        <v>44224</v>
      </c>
      <c r="AA75" s="31"/>
      <c r="AB75" s="214"/>
      <c r="AC75" s="228"/>
      <c r="AD75" s="494"/>
      <c r="AE75" s="31"/>
      <c r="AF75" s="214"/>
      <c r="AG75" s="228"/>
      <c r="AH75" s="494"/>
      <c r="AI75" s="228"/>
      <c r="AJ75" s="494"/>
      <c r="AK75" s="494"/>
      <c r="AL75" s="494"/>
      <c r="AM75" s="228"/>
      <c r="AN75" s="494"/>
      <c r="AO75" s="494"/>
      <c r="AP75" s="494"/>
      <c r="AQ75" s="494"/>
      <c r="AR75" s="494"/>
      <c r="AS75" s="494"/>
      <c r="AT75" s="494"/>
      <c r="AU75" s="494"/>
      <c r="AV75" s="494"/>
      <c r="AW75" s="494"/>
      <c r="AX75" s="494"/>
      <c r="AY75" s="494"/>
      <c r="AZ75" s="494"/>
      <c r="BA75" s="494"/>
      <c r="BB75" s="494"/>
      <c r="BC75" s="494"/>
      <c r="BD75" s="494"/>
      <c r="BE75" s="494"/>
      <c r="BF75" s="494"/>
      <c r="BG75" s="37">
        <f t="shared" si="2"/>
        <v>205289</v>
      </c>
      <c r="BH75" s="525">
        <f t="shared" si="0"/>
        <v>1</v>
      </c>
    </row>
    <row r="76" spans="2:60" s="39" customFormat="1" ht="13.5" customHeight="1">
      <c r="B76" s="22">
        <v>65</v>
      </c>
      <c r="C76" s="22" t="s">
        <v>39</v>
      </c>
      <c r="D76" s="23" t="s">
        <v>2044</v>
      </c>
      <c r="E76" s="503" t="s">
        <v>2045</v>
      </c>
      <c r="F76" s="26" t="s">
        <v>146</v>
      </c>
      <c r="G76" s="26" t="s">
        <v>1895</v>
      </c>
      <c r="H76" s="73" t="s">
        <v>2046</v>
      </c>
      <c r="I76" s="217" t="s">
        <v>44</v>
      </c>
      <c r="J76" s="34">
        <v>3923117</v>
      </c>
      <c r="K76" s="34">
        <v>3746816</v>
      </c>
      <c r="L76" s="34">
        <v>0</v>
      </c>
      <c r="M76" s="34"/>
      <c r="N76" s="34"/>
      <c r="O76" s="34"/>
      <c r="P76" s="492"/>
      <c r="Q76" s="493"/>
      <c r="R76" s="493"/>
      <c r="S76" s="493">
        <v>157984.52100000001</v>
      </c>
      <c r="T76" s="493"/>
      <c r="U76" s="493"/>
      <c r="V76" s="34">
        <f t="shared" si="1"/>
        <v>157984.52100000001</v>
      </c>
      <c r="W76" s="31">
        <v>50000</v>
      </c>
      <c r="X76" s="27">
        <v>2</v>
      </c>
      <c r="Y76" s="101">
        <v>44200</v>
      </c>
      <c r="Z76" s="36">
        <v>44224</v>
      </c>
      <c r="AA76" s="31">
        <v>7772</v>
      </c>
      <c r="AB76" s="214">
        <v>12</v>
      </c>
      <c r="AC76" s="494">
        <v>44221</v>
      </c>
      <c r="AD76" s="494">
        <v>44263</v>
      </c>
      <c r="AE76" s="31">
        <v>23740</v>
      </c>
      <c r="AF76" s="214">
        <v>71</v>
      </c>
      <c r="AG76" s="494">
        <v>44354</v>
      </c>
      <c r="AH76" s="494">
        <v>44376</v>
      </c>
      <c r="AI76" s="228">
        <v>79696</v>
      </c>
      <c r="AJ76" s="528">
        <v>79</v>
      </c>
      <c r="AK76" s="494">
        <v>44382</v>
      </c>
      <c r="AL76" s="494">
        <v>44400</v>
      </c>
      <c r="AM76" s="228"/>
      <c r="AN76" s="494"/>
      <c r="AO76" s="494"/>
      <c r="AP76" s="494"/>
      <c r="AQ76" s="494"/>
      <c r="AR76" s="494"/>
      <c r="AS76" s="494"/>
      <c r="AT76" s="494"/>
      <c r="AU76" s="494"/>
      <c r="AV76" s="494"/>
      <c r="AW76" s="494"/>
      <c r="AX76" s="494"/>
      <c r="AY76" s="494"/>
      <c r="AZ76" s="494"/>
      <c r="BA76" s="494"/>
      <c r="BB76" s="494"/>
      <c r="BC76" s="494"/>
      <c r="BD76" s="494"/>
      <c r="BE76" s="494"/>
      <c r="BF76" s="494"/>
      <c r="BG76" s="37">
        <f t="shared" si="2"/>
        <v>161208</v>
      </c>
      <c r="BH76" s="525">
        <f t="shared" ref="BH76:BH139" si="3">+BG76-V76</f>
        <v>3223.4789999999921</v>
      </c>
    </row>
    <row r="77" spans="2:60" s="39" customFormat="1" ht="13.5" customHeight="1">
      <c r="B77" s="22">
        <v>66</v>
      </c>
      <c r="C77" s="22" t="s">
        <v>39</v>
      </c>
      <c r="D77" s="22" t="s">
        <v>2047</v>
      </c>
      <c r="E77" s="508" t="s">
        <v>2048</v>
      </c>
      <c r="F77" s="26" t="s">
        <v>158</v>
      </c>
      <c r="G77" s="26" t="s">
        <v>1895</v>
      </c>
      <c r="H77" s="26" t="s">
        <v>1911</v>
      </c>
      <c r="I77" s="217" t="s">
        <v>44</v>
      </c>
      <c r="J77" s="34">
        <v>101683</v>
      </c>
      <c r="K77" s="34">
        <v>30982</v>
      </c>
      <c r="L77" s="34">
        <v>0</v>
      </c>
      <c r="M77" s="34">
        <v>40400</v>
      </c>
      <c r="N77" s="34"/>
      <c r="O77" s="34"/>
      <c r="P77" s="492"/>
      <c r="Q77" s="493"/>
      <c r="R77" s="493"/>
      <c r="S77" s="493"/>
      <c r="T77" s="493"/>
      <c r="U77" s="493"/>
      <c r="V77" s="34">
        <f t="shared" ref="V77:V140" si="4">SUM(M77:U77)</f>
        <v>40400</v>
      </c>
      <c r="W77" s="31">
        <v>70700</v>
      </c>
      <c r="X77" s="27">
        <v>3</v>
      </c>
      <c r="Y77" s="36">
        <v>44202</v>
      </c>
      <c r="Z77" s="36">
        <v>44231</v>
      </c>
      <c r="AA77" s="31"/>
      <c r="AB77" s="214"/>
      <c r="AC77" s="228"/>
      <c r="AD77" s="494"/>
      <c r="AE77" s="31"/>
      <c r="AF77" s="214"/>
      <c r="AG77" s="228"/>
      <c r="AH77" s="494"/>
      <c r="AI77" s="228"/>
      <c r="AJ77" s="494"/>
      <c r="AK77" s="494"/>
      <c r="AL77" s="494"/>
      <c r="AM77" s="228"/>
      <c r="AN77" s="494"/>
      <c r="AO77" s="494"/>
      <c r="AP77" s="494"/>
      <c r="AQ77" s="494"/>
      <c r="AR77" s="494"/>
      <c r="AS77" s="494"/>
      <c r="AT77" s="494"/>
      <c r="AU77" s="494"/>
      <c r="AV77" s="494"/>
      <c r="AW77" s="494"/>
      <c r="AX77" s="494"/>
      <c r="AY77" s="494"/>
      <c r="AZ77" s="494"/>
      <c r="BA77" s="494"/>
      <c r="BB77" s="494"/>
      <c r="BC77" s="494"/>
      <c r="BD77" s="494"/>
      <c r="BE77" s="494"/>
      <c r="BF77" s="494"/>
      <c r="BG77" s="37">
        <f t="shared" ref="BG77:BG140" si="5">+W77+AA77+AE77+AI77+AM77+AQ77+AU77+AY77+BC77</f>
        <v>70700</v>
      </c>
      <c r="BH77" s="525">
        <f t="shared" si="3"/>
        <v>30300</v>
      </c>
    </row>
    <row r="78" spans="2:60" s="39" customFormat="1" ht="13.5" customHeight="1">
      <c r="B78" s="22">
        <v>67</v>
      </c>
      <c r="C78" s="22" t="s">
        <v>39</v>
      </c>
      <c r="D78" s="22" t="s">
        <v>2049</v>
      </c>
      <c r="E78" s="508" t="s">
        <v>2050</v>
      </c>
      <c r="F78" s="26" t="s">
        <v>146</v>
      </c>
      <c r="G78" s="26" t="s">
        <v>1895</v>
      </c>
      <c r="H78" s="26" t="s">
        <v>1916</v>
      </c>
      <c r="I78" s="217" t="s">
        <v>44</v>
      </c>
      <c r="J78" s="34">
        <v>1678558</v>
      </c>
      <c r="K78" s="34">
        <v>540319</v>
      </c>
      <c r="L78" s="34">
        <v>0</v>
      </c>
      <c r="M78" s="34">
        <f>943+12017</f>
        <v>12960</v>
      </c>
      <c r="N78" s="34"/>
      <c r="O78" s="34">
        <v>943</v>
      </c>
      <c r="P78" s="505">
        <v>943.41300000000001</v>
      </c>
      <c r="Q78" s="493"/>
      <c r="R78" s="493"/>
      <c r="S78" s="493"/>
      <c r="T78" s="493"/>
      <c r="U78" s="493"/>
      <c r="V78" s="34">
        <f t="shared" si="4"/>
        <v>14846.413</v>
      </c>
      <c r="W78" s="31">
        <v>14849</v>
      </c>
      <c r="X78" s="27">
        <v>3</v>
      </c>
      <c r="Y78" s="36">
        <v>44202</v>
      </c>
      <c r="Z78" s="36">
        <v>44231</v>
      </c>
      <c r="AA78" s="31">
        <v>7100</v>
      </c>
      <c r="AB78" s="214">
        <v>11</v>
      </c>
      <c r="AC78" s="494">
        <v>44221</v>
      </c>
      <c r="AD78" s="494">
        <v>44246</v>
      </c>
      <c r="AE78" s="31">
        <v>943</v>
      </c>
      <c r="AF78" s="214">
        <v>46</v>
      </c>
      <c r="AG78" s="494">
        <v>44295</v>
      </c>
      <c r="AH78" s="494">
        <v>44327</v>
      </c>
      <c r="AI78" s="228"/>
      <c r="AJ78" s="494"/>
      <c r="AK78" s="494"/>
      <c r="AL78" s="494"/>
      <c r="AM78" s="228"/>
      <c r="AN78" s="494"/>
      <c r="AO78" s="494"/>
      <c r="AP78" s="494"/>
      <c r="AQ78" s="494"/>
      <c r="AR78" s="494"/>
      <c r="AS78" s="494"/>
      <c r="AT78" s="494"/>
      <c r="AU78" s="494"/>
      <c r="AV78" s="494"/>
      <c r="AW78" s="494"/>
      <c r="AX78" s="494"/>
      <c r="AY78" s="494"/>
      <c r="AZ78" s="494"/>
      <c r="BA78" s="494"/>
      <c r="BB78" s="494"/>
      <c r="BC78" s="494"/>
      <c r="BD78" s="494"/>
      <c r="BE78" s="494"/>
      <c r="BF78" s="494"/>
      <c r="BG78" s="37">
        <f t="shared" si="5"/>
        <v>22892</v>
      </c>
      <c r="BH78" s="525">
        <f t="shared" si="3"/>
        <v>8045.5869999999995</v>
      </c>
    </row>
    <row r="79" spans="2:60" s="39" customFormat="1" ht="13.5" customHeight="1">
      <c r="B79" s="22">
        <v>68</v>
      </c>
      <c r="C79" s="22" t="s">
        <v>39</v>
      </c>
      <c r="D79" s="22" t="s">
        <v>2051</v>
      </c>
      <c r="E79" s="508" t="s">
        <v>2052</v>
      </c>
      <c r="F79" s="26" t="s">
        <v>158</v>
      </c>
      <c r="G79" s="26" t="s">
        <v>1895</v>
      </c>
      <c r="H79" s="26" t="s">
        <v>1916</v>
      </c>
      <c r="I79" s="217" t="s">
        <v>44</v>
      </c>
      <c r="J79" s="34">
        <v>291792</v>
      </c>
      <c r="K79" s="34">
        <v>195707</v>
      </c>
      <c r="L79" s="34">
        <v>0</v>
      </c>
      <c r="M79" s="34">
        <v>56290</v>
      </c>
      <c r="N79" s="34"/>
      <c r="O79" s="34"/>
      <c r="P79" s="492"/>
      <c r="Q79" s="493"/>
      <c r="R79" s="493"/>
      <c r="S79" s="493"/>
      <c r="T79" s="493"/>
      <c r="U79" s="493"/>
      <c r="V79" s="34">
        <f t="shared" si="4"/>
        <v>56290</v>
      </c>
      <c r="W79" s="31">
        <v>56621</v>
      </c>
      <c r="X79" s="27">
        <v>3</v>
      </c>
      <c r="Y79" s="36">
        <v>44202</v>
      </c>
      <c r="Z79" s="36">
        <v>44231</v>
      </c>
      <c r="AA79" s="31"/>
      <c r="AB79" s="214"/>
      <c r="AC79" s="494"/>
      <c r="AD79" s="494"/>
      <c r="AE79" s="31"/>
      <c r="AF79" s="214"/>
      <c r="AG79" s="228"/>
      <c r="AH79" s="494"/>
      <c r="AI79" s="228"/>
      <c r="AJ79" s="494"/>
      <c r="AK79" s="494"/>
      <c r="AL79" s="494"/>
      <c r="AM79" s="228"/>
      <c r="AN79" s="494"/>
      <c r="AO79" s="494"/>
      <c r="AP79" s="494"/>
      <c r="AQ79" s="494"/>
      <c r="AR79" s="494"/>
      <c r="AS79" s="494"/>
      <c r="AT79" s="494"/>
      <c r="AU79" s="494"/>
      <c r="AV79" s="494"/>
      <c r="AW79" s="494"/>
      <c r="AX79" s="494"/>
      <c r="AY79" s="494"/>
      <c r="AZ79" s="494"/>
      <c r="BA79" s="494"/>
      <c r="BB79" s="494"/>
      <c r="BC79" s="494"/>
      <c r="BD79" s="494"/>
      <c r="BE79" s="494"/>
      <c r="BF79" s="494"/>
      <c r="BG79" s="37">
        <f t="shared" si="5"/>
        <v>56621</v>
      </c>
      <c r="BH79" s="525">
        <f t="shared" si="3"/>
        <v>331</v>
      </c>
    </row>
    <row r="80" spans="2:60" s="39" customFormat="1" ht="13.5" customHeight="1">
      <c r="B80" s="22">
        <v>69</v>
      </c>
      <c r="C80" s="22" t="s">
        <v>39</v>
      </c>
      <c r="D80" s="22" t="s">
        <v>2053</v>
      </c>
      <c r="E80" s="508" t="s">
        <v>2054</v>
      </c>
      <c r="F80" s="26" t="s">
        <v>146</v>
      </c>
      <c r="G80" s="26" t="s">
        <v>1895</v>
      </c>
      <c r="H80" s="26" t="s">
        <v>1919</v>
      </c>
      <c r="I80" s="217" t="s">
        <v>44</v>
      </c>
      <c r="J80" s="34">
        <v>320509</v>
      </c>
      <c r="K80" s="34">
        <v>139069</v>
      </c>
      <c r="L80" s="34">
        <v>0</v>
      </c>
      <c r="M80" s="34"/>
      <c r="N80" s="34">
        <f>3000+55500</f>
        <v>58500</v>
      </c>
      <c r="O80" s="34">
        <v>37090</v>
      </c>
      <c r="P80" s="505">
        <v>47616.144</v>
      </c>
      <c r="Q80" s="493"/>
      <c r="R80" s="493">
        <v>33130.563999999998</v>
      </c>
      <c r="S80" s="493"/>
      <c r="T80" s="493"/>
      <c r="U80" s="493"/>
      <c r="V80" s="34">
        <f t="shared" si="4"/>
        <v>176336.70799999998</v>
      </c>
      <c r="W80" s="31">
        <v>178961</v>
      </c>
      <c r="X80" s="27">
        <v>3</v>
      </c>
      <c r="Y80" s="36">
        <v>44202</v>
      </c>
      <c r="Z80" s="36">
        <v>44231</v>
      </c>
      <c r="AA80" s="31">
        <v>1430</v>
      </c>
      <c r="AB80" s="214">
        <v>46</v>
      </c>
      <c r="AC80" s="494">
        <v>44295</v>
      </c>
      <c r="AD80" s="494">
        <v>44327</v>
      </c>
      <c r="AE80" s="31"/>
      <c r="AF80" s="214"/>
      <c r="AG80" s="228"/>
      <c r="AH80" s="494"/>
      <c r="AI80" s="228"/>
      <c r="AJ80" s="494"/>
      <c r="AK80" s="494"/>
      <c r="AL80" s="494"/>
      <c r="AM80" s="228"/>
      <c r="AN80" s="494"/>
      <c r="AO80" s="494"/>
      <c r="AP80" s="494"/>
      <c r="AQ80" s="494"/>
      <c r="AR80" s="494"/>
      <c r="AS80" s="494"/>
      <c r="AT80" s="494"/>
      <c r="AU80" s="494"/>
      <c r="AV80" s="494"/>
      <c r="AW80" s="494"/>
      <c r="AX80" s="494"/>
      <c r="AY80" s="494"/>
      <c r="AZ80" s="494"/>
      <c r="BA80" s="494"/>
      <c r="BB80" s="494"/>
      <c r="BC80" s="494"/>
      <c r="BD80" s="494"/>
      <c r="BE80" s="494"/>
      <c r="BF80" s="494"/>
      <c r="BG80" s="37">
        <f t="shared" si="5"/>
        <v>180391</v>
      </c>
      <c r="BH80" s="525">
        <f t="shared" si="3"/>
        <v>4054.2920000000158</v>
      </c>
    </row>
    <row r="81" spans="2:60" s="39" customFormat="1" ht="13.5" customHeight="1">
      <c r="B81" s="22">
        <v>70</v>
      </c>
      <c r="C81" s="22" t="s">
        <v>39</v>
      </c>
      <c r="D81" s="22" t="s">
        <v>2055</v>
      </c>
      <c r="E81" s="508" t="s">
        <v>2056</v>
      </c>
      <c r="F81" s="26" t="s">
        <v>158</v>
      </c>
      <c r="G81" s="26" t="s">
        <v>1895</v>
      </c>
      <c r="H81" s="73" t="s">
        <v>1919</v>
      </c>
      <c r="I81" s="217" t="s">
        <v>44</v>
      </c>
      <c r="J81" s="34">
        <v>19907</v>
      </c>
      <c r="K81" s="34">
        <v>7069</v>
      </c>
      <c r="L81" s="34">
        <v>0</v>
      </c>
      <c r="M81" s="34"/>
      <c r="N81" s="34"/>
      <c r="O81" s="34"/>
      <c r="P81" s="492"/>
      <c r="Q81" s="493"/>
      <c r="R81" s="493"/>
      <c r="S81" s="493"/>
      <c r="T81" s="493"/>
      <c r="U81" s="493"/>
      <c r="V81" s="34">
        <f t="shared" si="4"/>
        <v>0</v>
      </c>
      <c r="W81" s="31">
        <v>5925</v>
      </c>
      <c r="X81" s="27">
        <v>3</v>
      </c>
      <c r="Y81" s="36">
        <v>44202</v>
      </c>
      <c r="Z81" s="36">
        <v>44231</v>
      </c>
      <c r="AA81" s="31">
        <v>6913</v>
      </c>
      <c r="AB81" s="214">
        <v>55</v>
      </c>
      <c r="AC81" s="494">
        <v>44323</v>
      </c>
      <c r="AD81" s="494">
        <v>44350</v>
      </c>
      <c r="AE81" s="31"/>
      <c r="AF81" s="214"/>
      <c r="AG81" s="228"/>
      <c r="AH81" s="494"/>
      <c r="AI81" s="228"/>
      <c r="AJ81" s="494"/>
      <c r="AK81" s="494"/>
      <c r="AL81" s="494"/>
      <c r="AM81" s="228"/>
      <c r="AN81" s="494"/>
      <c r="AO81" s="494"/>
      <c r="AP81" s="494"/>
      <c r="AQ81" s="494"/>
      <c r="AR81" s="494"/>
      <c r="AS81" s="494"/>
      <c r="AT81" s="494"/>
      <c r="AU81" s="494"/>
      <c r="AV81" s="494"/>
      <c r="AW81" s="494"/>
      <c r="AX81" s="494"/>
      <c r="AY81" s="494"/>
      <c r="AZ81" s="494"/>
      <c r="BA81" s="494"/>
      <c r="BB81" s="494"/>
      <c r="BC81" s="494"/>
      <c r="BD81" s="494"/>
      <c r="BE81" s="494"/>
      <c r="BF81" s="494"/>
      <c r="BG81" s="37">
        <f t="shared" si="5"/>
        <v>12838</v>
      </c>
      <c r="BH81" s="525">
        <f t="shared" si="3"/>
        <v>12838</v>
      </c>
    </row>
    <row r="82" spans="2:60" s="39" customFormat="1" ht="13.5" customHeight="1">
      <c r="B82" s="22">
        <v>71</v>
      </c>
      <c r="C82" s="22" t="s">
        <v>39</v>
      </c>
      <c r="D82" s="22" t="s">
        <v>2057</v>
      </c>
      <c r="E82" s="508" t="s">
        <v>2058</v>
      </c>
      <c r="F82" s="26" t="s">
        <v>146</v>
      </c>
      <c r="G82" s="26" t="s">
        <v>1895</v>
      </c>
      <c r="H82" s="73" t="s">
        <v>1911</v>
      </c>
      <c r="I82" s="49" t="s">
        <v>52</v>
      </c>
      <c r="J82" s="34">
        <v>193667</v>
      </c>
      <c r="K82" s="34">
        <v>0</v>
      </c>
      <c r="L82" s="34">
        <v>0</v>
      </c>
      <c r="M82" s="34"/>
      <c r="N82" s="34">
        <v>189406</v>
      </c>
      <c r="O82" s="34"/>
      <c r="P82" s="492"/>
      <c r="Q82" s="493"/>
      <c r="R82" s="493"/>
      <c r="S82" s="493"/>
      <c r="T82" s="493"/>
      <c r="U82" s="493"/>
      <c r="V82" s="34">
        <f t="shared" si="4"/>
        <v>189406</v>
      </c>
      <c r="W82" s="31">
        <v>189406</v>
      </c>
      <c r="X82" s="27">
        <v>3</v>
      </c>
      <c r="Y82" s="36">
        <v>44202</v>
      </c>
      <c r="Z82" s="36">
        <v>44231</v>
      </c>
      <c r="AA82" s="31"/>
      <c r="AB82" s="214"/>
      <c r="AC82" s="494"/>
      <c r="AD82" s="494"/>
      <c r="AE82" s="31"/>
      <c r="AF82" s="214"/>
      <c r="AG82" s="228"/>
      <c r="AH82" s="494"/>
      <c r="AI82" s="228"/>
      <c r="AJ82" s="494"/>
      <c r="AK82" s="494"/>
      <c r="AL82" s="494"/>
      <c r="AM82" s="228"/>
      <c r="AN82" s="494"/>
      <c r="AO82" s="494"/>
      <c r="AP82" s="494"/>
      <c r="AQ82" s="494"/>
      <c r="AR82" s="494"/>
      <c r="AS82" s="494"/>
      <c r="AT82" s="494"/>
      <c r="AU82" s="494"/>
      <c r="AV82" s="494"/>
      <c r="AW82" s="494"/>
      <c r="AX82" s="494"/>
      <c r="AY82" s="494"/>
      <c r="AZ82" s="494"/>
      <c r="BA82" s="494"/>
      <c r="BB82" s="494"/>
      <c r="BC82" s="494"/>
      <c r="BD82" s="494"/>
      <c r="BE82" s="494"/>
      <c r="BF82" s="494"/>
      <c r="BG82" s="37">
        <f t="shared" si="5"/>
        <v>189406</v>
      </c>
      <c r="BH82" s="525">
        <f t="shared" si="3"/>
        <v>0</v>
      </c>
    </row>
    <row r="83" spans="2:60" s="39" customFormat="1" ht="13.5" customHeight="1">
      <c r="B83" s="22">
        <v>72</v>
      </c>
      <c r="C83" s="22" t="s">
        <v>39</v>
      </c>
      <c r="D83" s="22" t="s">
        <v>2059</v>
      </c>
      <c r="E83" s="508" t="s">
        <v>2060</v>
      </c>
      <c r="F83" s="26" t="s">
        <v>146</v>
      </c>
      <c r="G83" s="26" t="s">
        <v>1895</v>
      </c>
      <c r="H83" s="73" t="s">
        <v>2023</v>
      </c>
      <c r="I83" s="49" t="s">
        <v>52</v>
      </c>
      <c r="J83" s="34">
        <v>150824</v>
      </c>
      <c r="K83" s="34">
        <v>0</v>
      </c>
      <c r="L83" s="34">
        <v>0</v>
      </c>
      <c r="M83" s="34"/>
      <c r="N83" s="34">
        <v>147506</v>
      </c>
      <c r="O83" s="34"/>
      <c r="P83" s="492"/>
      <c r="Q83" s="493"/>
      <c r="R83" s="493"/>
      <c r="S83" s="493"/>
      <c r="T83" s="493"/>
      <c r="U83" s="493"/>
      <c r="V83" s="34">
        <f t="shared" si="4"/>
        <v>147506</v>
      </c>
      <c r="W83" s="31">
        <v>147506</v>
      </c>
      <c r="X83" s="27">
        <v>3</v>
      </c>
      <c r="Y83" s="36">
        <v>44202</v>
      </c>
      <c r="Z83" s="36">
        <v>44231</v>
      </c>
      <c r="AA83" s="31"/>
      <c r="AB83" s="214"/>
      <c r="AC83" s="494"/>
      <c r="AD83" s="494"/>
      <c r="AE83" s="31"/>
      <c r="AF83" s="214"/>
      <c r="AG83" s="228"/>
      <c r="AH83" s="494"/>
      <c r="AI83" s="228"/>
      <c r="AJ83" s="494"/>
      <c r="AK83" s="494"/>
      <c r="AL83" s="494"/>
      <c r="AM83" s="228"/>
      <c r="AN83" s="494"/>
      <c r="AO83" s="494"/>
      <c r="AP83" s="494"/>
      <c r="AQ83" s="494"/>
      <c r="AR83" s="494"/>
      <c r="AS83" s="494"/>
      <c r="AT83" s="494"/>
      <c r="AU83" s="494"/>
      <c r="AV83" s="494"/>
      <c r="AW83" s="494"/>
      <c r="AX83" s="494"/>
      <c r="AY83" s="494"/>
      <c r="AZ83" s="494"/>
      <c r="BA83" s="494"/>
      <c r="BB83" s="494"/>
      <c r="BC83" s="494"/>
      <c r="BD83" s="494"/>
      <c r="BE83" s="494"/>
      <c r="BF83" s="494"/>
      <c r="BG83" s="37">
        <f t="shared" si="5"/>
        <v>147506</v>
      </c>
      <c r="BH83" s="525">
        <f t="shared" si="3"/>
        <v>0</v>
      </c>
    </row>
    <row r="84" spans="2:60" s="39" customFormat="1" ht="13.5" customHeight="1">
      <c r="B84" s="22">
        <v>73</v>
      </c>
      <c r="C84" s="22" t="s">
        <v>39</v>
      </c>
      <c r="D84" s="22" t="s">
        <v>2061</v>
      </c>
      <c r="E84" s="508" t="s">
        <v>2062</v>
      </c>
      <c r="F84" s="26" t="s">
        <v>146</v>
      </c>
      <c r="G84" s="26" t="s">
        <v>1895</v>
      </c>
      <c r="H84" s="73" t="s">
        <v>1948</v>
      </c>
      <c r="I84" s="49" t="s">
        <v>52</v>
      </c>
      <c r="J84" s="34">
        <v>117661</v>
      </c>
      <c r="K84" s="34">
        <v>0</v>
      </c>
      <c r="L84" s="34">
        <v>0</v>
      </c>
      <c r="M84" s="34"/>
      <c r="N84" s="34">
        <v>115072</v>
      </c>
      <c r="O84" s="34"/>
      <c r="P84" s="492"/>
      <c r="Q84" s="493"/>
      <c r="R84" s="493"/>
      <c r="S84" s="493"/>
      <c r="T84" s="493"/>
      <c r="U84" s="493"/>
      <c r="V84" s="34">
        <f t="shared" si="4"/>
        <v>115072</v>
      </c>
      <c r="W84" s="31">
        <v>115072</v>
      </c>
      <c r="X84" s="27">
        <v>3</v>
      </c>
      <c r="Y84" s="36">
        <v>44202</v>
      </c>
      <c r="Z84" s="36">
        <v>44231</v>
      </c>
      <c r="AA84" s="31"/>
      <c r="AB84" s="214"/>
      <c r="AC84" s="494"/>
      <c r="AD84" s="494"/>
      <c r="AE84" s="31"/>
      <c r="AF84" s="214"/>
      <c r="AG84" s="228"/>
      <c r="AH84" s="494"/>
      <c r="AI84" s="228"/>
      <c r="AJ84" s="494"/>
      <c r="AK84" s="494"/>
      <c r="AL84" s="494"/>
      <c r="AM84" s="228"/>
      <c r="AN84" s="494"/>
      <c r="AO84" s="494"/>
      <c r="AP84" s="494"/>
      <c r="AQ84" s="494"/>
      <c r="AR84" s="494"/>
      <c r="AS84" s="494"/>
      <c r="AT84" s="494"/>
      <c r="AU84" s="494"/>
      <c r="AV84" s="494"/>
      <c r="AW84" s="494"/>
      <c r="AX84" s="494"/>
      <c r="AY84" s="494"/>
      <c r="AZ84" s="494"/>
      <c r="BA84" s="494"/>
      <c r="BB84" s="494"/>
      <c r="BC84" s="494"/>
      <c r="BD84" s="494"/>
      <c r="BE84" s="494"/>
      <c r="BF84" s="494"/>
      <c r="BG84" s="37">
        <f t="shared" si="5"/>
        <v>115072</v>
      </c>
      <c r="BH84" s="525">
        <f t="shared" si="3"/>
        <v>0</v>
      </c>
    </row>
    <row r="85" spans="2:60" s="39" customFormat="1" ht="13.5" customHeight="1">
      <c r="B85" s="22">
        <v>74</v>
      </c>
      <c r="C85" s="22" t="s">
        <v>39</v>
      </c>
      <c r="D85" s="22" t="s">
        <v>2063</v>
      </c>
      <c r="E85" s="508" t="s">
        <v>2064</v>
      </c>
      <c r="F85" s="26" t="s">
        <v>146</v>
      </c>
      <c r="G85" s="26" t="s">
        <v>1895</v>
      </c>
      <c r="H85" s="73" t="s">
        <v>1987</v>
      </c>
      <c r="I85" s="49" t="s">
        <v>52</v>
      </c>
      <c r="J85" s="34">
        <v>204810</v>
      </c>
      <c r="K85" s="34">
        <v>0</v>
      </c>
      <c r="L85" s="34">
        <v>0</v>
      </c>
      <c r="M85" s="34"/>
      <c r="N85" s="34">
        <v>200303</v>
      </c>
      <c r="O85" s="34"/>
      <c r="P85" s="492"/>
      <c r="Q85" s="493"/>
      <c r="R85" s="493"/>
      <c r="S85" s="493"/>
      <c r="T85" s="493"/>
      <c r="U85" s="493"/>
      <c r="V85" s="34">
        <f t="shared" si="4"/>
        <v>200303</v>
      </c>
      <c r="W85" s="31">
        <v>202303</v>
      </c>
      <c r="X85" s="27">
        <v>3</v>
      </c>
      <c r="Y85" s="36">
        <v>44202</v>
      </c>
      <c r="Z85" s="36">
        <v>44231</v>
      </c>
      <c r="AA85" s="31"/>
      <c r="AB85" s="214"/>
      <c r="AC85" s="494"/>
      <c r="AD85" s="494"/>
      <c r="AE85" s="31"/>
      <c r="AF85" s="214"/>
      <c r="AG85" s="228"/>
      <c r="AH85" s="494"/>
      <c r="AI85" s="228"/>
      <c r="AJ85" s="494"/>
      <c r="AK85" s="494"/>
      <c r="AL85" s="494"/>
      <c r="AM85" s="228"/>
      <c r="AN85" s="494"/>
      <c r="AO85" s="494"/>
      <c r="AP85" s="494"/>
      <c r="AQ85" s="494"/>
      <c r="AR85" s="494"/>
      <c r="AS85" s="494"/>
      <c r="AT85" s="494"/>
      <c r="AU85" s="494"/>
      <c r="AV85" s="494"/>
      <c r="AW85" s="494"/>
      <c r="AX85" s="494"/>
      <c r="AY85" s="494"/>
      <c r="AZ85" s="494"/>
      <c r="BA85" s="494"/>
      <c r="BB85" s="494"/>
      <c r="BC85" s="494"/>
      <c r="BD85" s="494"/>
      <c r="BE85" s="494"/>
      <c r="BF85" s="494"/>
      <c r="BG85" s="37">
        <f t="shared" si="5"/>
        <v>202303</v>
      </c>
      <c r="BH85" s="525">
        <f t="shared" si="3"/>
        <v>2000</v>
      </c>
    </row>
    <row r="86" spans="2:60" s="39" customFormat="1" ht="13.5" customHeight="1">
      <c r="B86" s="22">
        <v>75</v>
      </c>
      <c r="C86" s="22" t="s">
        <v>39</v>
      </c>
      <c r="D86" s="22" t="s">
        <v>2065</v>
      </c>
      <c r="E86" s="508" t="s">
        <v>2066</v>
      </c>
      <c r="F86" s="26" t="s">
        <v>146</v>
      </c>
      <c r="G86" s="26" t="s">
        <v>1895</v>
      </c>
      <c r="H86" s="73" t="s">
        <v>2014</v>
      </c>
      <c r="I86" s="49" t="s">
        <v>52</v>
      </c>
      <c r="J86" s="34">
        <v>435323</v>
      </c>
      <c r="K86" s="34">
        <v>0</v>
      </c>
      <c r="L86" s="34">
        <v>0</v>
      </c>
      <c r="M86" s="34"/>
      <c r="N86" s="34"/>
      <c r="O86" s="34"/>
      <c r="P86" s="492"/>
      <c r="Q86" s="493"/>
      <c r="R86" s="493"/>
      <c r="S86" s="493"/>
      <c r="T86" s="493"/>
      <c r="U86" s="493"/>
      <c r="V86" s="34">
        <f t="shared" si="4"/>
        <v>0</v>
      </c>
      <c r="W86" s="31">
        <v>410108</v>
      </c>
      <c r="X86" s="27">
        <v>3</v>
      </c>
      <c r="Y86" s="36">
        <v>44202</v>
      </c>
      <c r="Z86" s="36">
        <v>44231</v>
      </c>
      <c r="AA86" s="31">
        <v>-406608</v>
      </c>
      <c r="AB86" s="214">
        <v>93</v>
      </c>
      <c r="AC86" s="494">
        <v>44426</v>
      </c>
      <c r="AD86" s="494">
        <v>44442</v>
      </c>
      <c r="AE86" s="31"/>
      <c r="AF86" s="214"/>
      <c r="AG86" s="228"/>
      <c r="AH86" s="494"/>
      <c r="AI86" s="228"/>
      <c r="AJ86" s="494"/>
      <c r="AK86" s="494"/>
      <c r="AL86" s="494"/>
      <c r="AM86" s="228"/>
      <c r="AN86" s="494"/>
      <c r="AO86" s="494"/>
      <c r="AP86" s="494"/>
      <c r="AQ86" s="494"/>
      <c r="AR86" s="494"/>
      <c r="AS86" s="494"/>
      <c r="AT86" s="494"/>
      <c r="AU86" s="494"/>
      <c r="AV86" s="494"/>
      <c r="AW86" s="494"/>
      <c r="AX86" s="494"/>
      <c r="AY86" s="494"/>
      <c r="AZ86" s="494"/>
      <c r="BA86" s="494"/>
      <c r="BB86" s="494"/>
      <c r="BC86" s="494"/>
      <c r="BD86" s="494"/>
      <c r="BE86" s="494"/>
      <c r="BF86" s="494"/>
      <c r="BG86" s="37">
        <f t="shared" si="5"/>
        <v>3500</v>
      </c>
      <c r="BH86" s="525">
        <f t="shared" si="3"/>
        <v>3500</v>
      </c>
    </row>
    <row r="87" spans="2:60" s="39" customFormat="1" ht="13.5" customHeight="1">
      <c r="B87" s="22">
        <v>76</v>
      </c>
      <c r="C87" s="22" t="s">
        <v>39</v>
      </c>
      <c r="D87" s="22" t="s">
        <v>2067</v>
      </c>
      <c r="E87" s="508" t="s">
        <v>2068</v>
      </c>
      <c r="F87" s="26" t="s">
        <v>146</v>
      </c>
      <c r="G87" s="26" t="s">
        <v>1895</v>
      </c>
      <c r="H87" s="73" t="s">
        <v>1896</v>
      </c>
      <c r="I87" s="217" t="s">
        <v>44</v>
      </c>
      <c r="J87" s="34">
        <v>573690</v>
      </c>
      <c r="K87" s="34">
        <v>48548</v>
      </c>
      <c r="L87" s="34">
        <v>0</v>
      </c>
      <c r="M87" s="34"/>
      <c r="N87" s="34"/>
      <c r="O87" s="34"/>
      <c r="P87" s="492"/>
      <c r="Q87" s="493"/>
      <c r="R87" s="493"/>
      <c r="S87" s="493"/>
      <c r="T87" s="493"/>
      <c r="U87" s="493"/>
      <c r="V87" s="34">
        <f t="shared" si="4"/>
        <v>0</v>
      </c>
      <c r="W87" s="31">
        <v>52000</v>
      </c>
      <c r="X87" s="27">
        <v>3</v>
      </c>
      <c r="Y87" s="36">
        <v>44202</v>
      </c>
      <c r="Z87" s="36">
        <v>44231</v>
      </c>
      <c r="AA87" s="31">
        <v>82000</v>
      </c>
      <c r="AB87" s="214">
        <v>25</v>
      </c>
      <c r="AC87" s="494">
        <v>44263</v>
      </c>
      <c r="AD87" s="494">
        <v>44292</v>
      </c>
      <c r="AE87" s="31">
        <v>-134000</v>
      </c>
      <c r="AF87" s="214">
        <v>93</v>
      </c>
      <c r="AG87" s="494">
        <v>44426</v>
      </c>
      <c r="AH87" s="494">
        <v>44442</v>
      </c>
      <c r="AI87" s="228"/>
      <c r="AJ87" s="494"/>
      <c r="AK87" s="494"/>
      <c r="AL87" s="494"/>
      <c r="AM87" s="228"/>
      <c r="AN87" s="494"/>
      <c r="AO87" s="494"/>
      <c r="AP87" s="494"/>
      <c r="AQ87" s="494"/>
      <c r="AR87" s="494"/>
      <c r="AS87" s="494"/>
      <c r="AT87" s="494"/>
      <c r="AU87" s="494"/>
      <c r="AV87" s="494"/>
      <c r="AW87" s="494"/>
      <c r="AX87" s="494"/>
      <c r="AY87" s="494"/>
      <c r="AZ87" s="494"/>
      <c r="BA87" s="494"/>
      <c r="BB87" s="494"/>
      <c r="BC87" s="494"/>
      <c r="BD87" s="494"/>
      <c r="BE87" s="494"/>
      <c r="BF87" s="494"/>
      <c r="BG87" s="37">
        <f t="shared" si="5"/>
        <v>0</v>
      </c>
      <c r="BH87" s="525">
        <f t="shared" si="3"/>
        <v>0</v>
      </c>
    </row>
    <row r="88" spans="2:60" s="39" customFormat="1" ht="13.5" customHeight="1">
      <c r="B88" s="22">
        <v>77</v>
      </c>
      <c r="C88" s="22" t="s">
        <v>39</v>
      </c>
      <c r="D88" s="22" t="s">
        <v>2069</v>
      </c>
      <c r="E88" s="508" t="s">
        <v>2070</v>
      </c>
      <c r="F88" s="26" t="s">
        <v>146</v>
      </c>
      <c r="G88" s="26" t="s">
        <v>1895</v>
      </c>
      <c r="H88" s="73" t="s">
        <v>1896</v>
      </c>
      <c r="I88" s="49" t="s">
        <v>52</v>
      </c>
      <c r="J88" s="34">
        <v>650792</v>
      </c>
      <c r="K88" s="34">
        <v>0</v>
      </c>
      <c r="L88" s="34">
        <v>0</v>
      </c>
      <c r="M88" s="34"/>
      <c r="N88" s="34"/>
      <c r="O88" s="34"/>
      <c r="P88" s="492"/>
      <c r="Q88" s="493"/>
      <c r="R88" s="493"/>
      <c r="S88" s="493"/>
      <c r="T88" s="493"/>
      <c r="U88" s="493"/>
      <c r="V88" s="34">
        <f t="shared" si="4"/>
        <v>0</v>
      </c>
      <c r="W88" s="31">
        <v>200000</v>
      </c>
      <c r="X88" s="27">
        <v>3</v>
      </c>
      <c r="Y88" s="36">
        <v>44202</v>
      </c>
      <c r="Z88" s="36">
        <v>44231</v>
      </c>
      <c r="AA88" s="31"/>
      <c r="AB88" s="214"/>
      <c r="AC88" s="494"/>
      <c r="AD88" s="494"/>
      <c r="AE88" s="31"/>
      <c r="AF88" s="214"/>
      <c r="AG88" s="228"/>
      <c r="AH88" s="494"/>
      <c r="AI88" s="228"/>
      <c r="AJ88" s="494"/>
      <c r="AK88" s="494"/>
      <c r="AL88" s="494"/>
      <c r="AM88" s="228"/>
      <c r="AN88" s="494"/>
      <c r="AO88" s="494"/>
      <c r="AP88" s="494"/>
      <c r="AQ88" s="494"/>
      <c r="AR88" s="494"/>
      <c r="AS88" s="494"/>
      <c r="AT88" s="494"/>
      <c r="AU88" s="494"/>
      <c r="AV88" s="494"/>
      <c r="AW88" s="494"/>
      <c r="AX88" s="494"/>
      <c r="AY88" s="494"/>
      <c r="AZ88" s="494"/>
      <c r="BA88" s="494"/>
      <c r="BB88" s="494"/>
      <c r="BC88" s="494"/>
      <c r="BD88" s="494"/>
      <c r="BE88" s="494"/>
      <c r="BF88" s="494"/>
      <c r="BG88" s="37">
        <f t="shared" si="5"/>
        <v>200000</v>
      </c>
      <c r="BH88" s="525">
        <f t="shared" si="3"/>
        <v>200000</v>
      </c>
    </row>
    <row r="89" spans="2:60" s="39" customFormat="1" ht="13.5" customHeight="1">
      <c r="B89" s="22">
        <v>78</v>
      </c>
      <c r="C89" s="22" t="s">
        <v>39</v>
      </c>
      <c r="D89" s="22" t="s">
        <v>2071</v>
      </c>
      <c r="E89" s="508" t="s">
        <v>2072</v>
      </c>
      <c r="F89" s="26" t="s">
        <v>146</v>
      </c>
      <c r="G89" s="26" t="s">
        <v>1895</v>
      </c>
      <c r="H89" s="73" t="s">
        <v>1896</v>
      </c>
      <c r="I89" s="49" t="s">
        <v>52</v>
      </c>
      <c r="J89" s="34">
        <v>4237431</v>
      </c>
      <c r="K89" s="34">
        <v>0</v>
      </c>
      <c r="L89" s="34">
        <v>2117489</v>
      </c>
      <c r="M89" s="34"/>
      <c r="N89" s="34"/>
      <c r="O89" s="34">
        <v>27013</v>
      </c>
      <c r="P89" s="505">
        <v>64222.207999999999</v>
      </c>
      <c r="Q89" s="493">
        <v>55855.464</v>
      </c>
      <c r="R89" s="493">
        <v>372525.81400000001</v>
      </c>
      <c r="S89" s="493"/>
      <c r="T89" s="493">
        <v>126022.788</v>
      </c>
      <c r="U89" s="493">
        <v>190662.19399999999</v>
      </c>
      <c r="V89" s="34">
        <f t="shared" si="4"/>
        <v>836301.46799999999</v>
      </c>
      <c r="W89" s="31">
        <v>154000</v>
      </c>
      <c r="X89" s="27">
        <v>3</v>
      </c>
      <c r="Y89" s="36">
        <v>44202</v>
      </c>
      <c r="Z89" s="36">
        <v>44231</v>
      </c>
      <c r="AA89" s="31">
        <v>600000</v>
      </c>
      <c r="AB89" s="214">
        <v>17</v>
      </c>
      <c r="AC89" s="494">
        <v>44242</v>
      </c>
      <c r="AD89" s="494">
        <v>44271</v>
      </c>
      <c r="AE89" s="31">
        <v>207344</v>
      </c>
      <c r="AF89" s="214">
        <v>25</v>
      </c>
      <c r="AG89" s="494">
        <v>44263</v>
      </c>
      <c r="AH89" s="494">
        <v>44292</v>
      </c>
      <c r="AI89" s="228">
        <v>2000</v>
      </c>
      <c r="AJ89" s="214">
        <v>55</v>
      </c>
      <c r="AK89" s="494">
        <v>44323</v>
      </c>
      <c r="AL89" s="494">
        <v>44350</v>
      </c>
      <c r="AM89" s="228">
        <v>64273</v>
      </c>
      <c r="AN89" s="214">
        <v>89</v>
      </c>
      <c r="AO89" s="494">
        <v>44413</v>
      </c>
      <c r="AP89" s="494">
        <v>44438</v>
      </c>
      <c r="AQ89" s="494"/>
      <c r="AR89" s="494"/>
      <c r="AS89" s="494"/>
      <c r="AT89" s="494"/>
      <c r="AU89" s="494"/>
      <c r="AV89" s="494"/>
      <c r="AW89" s="494"/>
      <c r="AX89" s="494"/>
      <c r="AY89" s="494"/>
      <c r="AZ89" s="494"/>
      <c r="BA89" s="494"/>
      <c r="BB89" s="494"/>
      <c r="BC89" s="494"/>
      <c r="BD89" s="494"/>
      <c r="BE89" s="494"/>
      <c r="BF89" s="494"/>
      <c r="BG89" s="37">
        <f t="shared" si="5"/>
        <v>1027617</v>
      </c>
      <c r="BH89" s="525">
        <f t="shared" si="3"/>
        <v>191315.53200000001</v>
      </c>
    </row>
    <row r="90" spans="2:60" s="39" customFormat="1" ht="13.5" customHeight="1">
      <c r="B90" s="22">
        <v>79</v>
      </c>
      <c r="C90" s="22" t="s">
        <v>39</v>
      </c>
      <c r="D90" s="22" t="s">
        <v>2073</v>
      </c>
      <c r="E90" s="508" t="s">
        <v>2074</v>
      </c>
      <c r="F90" s="26" t="s">
        <v>146</v>
      </c>
      <c r="G90" s="26" t="s">
        <v>1895</v>
      </c>
      <c r="H90" s="73" t="s">
        <v>1896</v>
      </c>
      <c r="I90" s="49" t="s">
        <v>52</v>
      </c>
      <c r="J90" s="34">
        <v>1815521</v>
      </c>
      <c r="K90" s="34">
        <v>0</v>
      </c>
      <c r="L90" s="34">
        <v>1210351</v>
      </c>
      <c r="M90" s="34"/>
      <c r="N90" s="34"/>
      <c r="O90" s="34"/>
      <c r="P90" s="492"/>
      <c r="Q90" s="493"/>
      <c r="R90" s="493"/>
      <c r="S90" s="493">
        <v>20968.609</v>
      </c>
      <c r="T90" s="493">
        <v>91004.114000000001</v>
      </c>
      <c r="U90" s="493">
        <v>165339.27100000001</v>
      </c>
      <c r="V90" s="34">
        <f t="shared" si="4"/>
        <v>277311.99400000001</v>
      </c>
      <c r="W90" s="31">
        <v>50000</v>
      </c>
      <c r="X90" s="27">
        <v>3</v>
      </c>
      <c r="Y90" s="36">
        <v>44202</v>
      </c>
      <c r="Z90" s="36">
        <v>44231</v>
      </c>
      <c r="AA90" s="31">
        <v>50000</v>
      </c>
      <c r="AB90" s="214">
        <v>25</v>
      </c>
      <c r="AC90" s="494">
        <v>44263</v>
      </c>
      <c r="AD90" s="494">
        <v>44292</v>
      </c>
      <c r="AE90" s="31">
        <v>80000</v>
      </c>
      <c r="AF90" s="214">
        <v>78</v>
      </c>
      <c r="AG90" s="494">
        <v>44382</v>
      </c>
      <c r="AH90" s="494">
        <v>44404</v>
      </c>
      <c r="AI90" s="228">
        <v>160969</v>
      </c>
      <c r="AJ90" s="214">
        <v>89</v>
      </c>
      <c r="AK90" s="494">
        <v>44413</v>
      </c>
      <c r="AL90" s="494">
        <v>44438</v>
      </c>
      <c r="AM90" s="228">
        <v>86404</v>
      </c>
      <c r="AN90" s="214">
        <v>105</v>
      </c>
      <c r="AO90" s="494">
        <v>44452</v>
      </c>
      <c r="AP90" s="494">
        <v>44466</v>
      </c>
      <c r="AQ90" s="494"/>
      <c r="AR90" s="494"/>
      <c r="AS90" s="494"/>
      <c r="AT90" s="494"/>
      <c r="AU90" s="494"/>
      <c r="AV90" s="494"/>
      <c r="AW90" s="494"/>
      <c r="AX90" s="494"/>
      <c r="AY90" s="494"/>
      <c r="AZ90" s="494"/>
      <c r="BA90" s="494"/>
      <c r="BB90" s="494"/>
      <c r="BC90" s="494"/>
      <c r="BD90" s="494"/>
      <c r="BE90" s="494"/>
      <c r="BF90" s="494"/>
      <c r="BG90" s="37">
        <f t="shared" si="5"/>
        <v>427373</v>
      </c>
      <c r="BH90" s="525">
        <f t="shared" si="3"/>
        <v>150061.00599999999</v>
      </c>
    </row>
    <row r="91" spans="2:60" s="39" customFormat="1" ht="13.5" customHeight="1">
      <c r="B91" s="22">
        <v>80</v>
      </c>
      <c r="C91" s="22" t="s">
        <v>39</v>
      </c>
      <c r="D91" s="22" t="s">
        <v>2075</v>
      </c>
      <c r="E91" s="508" t="s">
        <v>2076</v>
      </c>
      <c r="F91" s="26" t="s">
        <v>146</v>
      </c>
      <c r="G91" s="26" t="s">
        <v>1895</v>
      </c>
      <c r="H91" s="73" t="s">
        <v>1896</v>
      </c>
      <c r="I91" s="49" t="s">
        <v>52</v>
      </c>
      <c r="J91" s="34">
        <v>77873</v>
      </c>
      <c r="K91" s="34">
        <v>0</v>
      </c>
      <c r="L91" s="34">
        <v>0</v>
      </c>
      <c r="M91" s="34"/>
      <c r="N91" s="34"/>
      <c r="O91" s="34"/>
      <c r="P91" s="492"/>
      <c r="Q91" s="493"/>
      <c r="R91" s="493">
        <v>7497</v>
      </c>
      <c r="S91" s="493"/>
      <c r="T91" s="493"/>
      <c r="U91" s="493"/>
      <c r="V91" s="34">
        <f t="shared" si="4"/>
        <v>7497</v>
      </c>
      <c r="W91" s="31">
        <v>10000</v>
      </c>
      <c r="X91" s="27">
        <v>3</v>
      </c>
      <c r="Y91" s="36">
        <v>44202</v>
      </c>
      <c r="Z91" s="36">
        <v>44231</v>
      </c>
      <c r="AA91" s="31">
        <v>7497</v>
      </c>
      <c r="AB91" s="214">
        <v>89</v>
      </c>
      <c r="AC91" s="494">
        <v>44413</v>
      </c>
      <c r="AD91" s="494">
        <v>44438</v>
      </c>
      <c r="AE91" s="31"/>
      <c r="AF91" s="214"/>
      <c r="AG91" s="228"/>
      <c r="AH91" s="494"/>
      <c r="AI91" s="228"/>
      <c r="AJ91" s="494"/>
      <c r="AK91" s="494"/>
      <c r="AL91" s="494"/>
      <c r="AM91" s="228"/>
      <c r="AN91" s="494"/>
      <c r="AO91" s="494"/>
      <c r="AP91" s="494"/>
      <c r="AQ91" s="494"/>
      <c r="AR91" s="494"/>
      <c r="AS91" s="494"/>
      <c r="AT91" s="494"/>
      <c r="AU91" s="494"/>
      <c r="AV91" s="494"/>
      <c r="AW91" s="494"/>
      <c r="AX91" s="494"/>
      <c r="AY91" s="494"/>
      <c r="AZ91" s="494"/>
      <c r="BA91" s="494"/>
      <c r="BB91" s="494"/>
      <c r="BC91" s="494"/>
      <c r="BD91" s="494"/>
      <c r="BE91" s="494"/>
      <c r="BF91" s="494"/>
      <c r="BG91" s="37">
        <f t="shared" si="5"/>
        <v>17497</v>
      </c>
      <c r="BH91" s="525">
        <f t="shared" si="3"/>
        <v>10000</v>
      </c>
    </row>
    <row r="92" spans="2:60" s="39" customFormat="1" ht="13.5" customHeight="1">
      <c r="B92" s="22">
        <v>81</v>
      </c>
      <c r="C92" s="22" t="s">
        <v>39</v>
      </c>
      <c r="D92" s="22" t="s">
        <v>2077</v>
      </c>
      <c r="E92" s="508" t="s">
        <v>2078</v>
      </c>
      <c r="F92" s="26" t="s">
        <v>146</v>
      </c>
      <c r="G92" s="26" t="s">
        <v>1895</v>
      </c>
      <c r="H92" s="73" t="s">
        <v>2079</v>
      </c>
      <c r="I92" s="217" t="s">
        <v>44</v>
      </c>
      <c r="J92" s="34">
        <v>451945</v>
      </c>
      <c r="K92" s="34">
        <v>0</v>
      </c>
      <c r="L92" s="34">
        <v>63395</v>
      </c>
      <c r="M92" s="34"/>
      <c r="N92" s="34"/>
      <c r="O92" s="34"/>
      <c r="P92" s="492"/>
      <c r="Q92" s="493"/>
      <c r="R92" s="493"/>
      <c r="S92" s="493"/>
      <c r="T92" s="493"/>
      <c r="U92" s="493"/>
      <c r="V92" s="34">
        <f t="shared" si="4"/>
        <v>0</v>
      </c>
      <c r="W92" s="31">
        <v>10871</v>
      </c>
      <c r="X92" s="27">
        <v>3</v>
      </c>
      <c r="Y92" s="36">
        <v>44202</v>
      </c>
      <c r="Z92" s="36">
        <v>44231</v>
      </c>
      <c r="AA92" s="31"/>
      <c r="AB92" s="214"/>
      <c r="AC92" s="228"/>
      <c r="AD92" s="494"/>
      <c r="AE92" s="31"/>
      <c r="AF92" s="214"/>
      <c r="AG92" s="228"/>
      <c r="AH92" s="494"/>
      <c r="AI92" s="228"/>
      <c r="AJ92" s="494"/>
      <c r="AK92" s="494"/>
      <c r="AL92" s="494"/>
      <c r="AM92" s="228"/>
      <c r="AN92" s="494"/>
      <c r="AO92" s="494"/>
      <c r="AP92" s="494"/>
      <c r="AQ92" s="494"/>
      <c r="AR92" s="494"/>
      <c r="AS92" s="494"/>
      <c r="AT92" s="494"/>
      <c r="AU92" s="494"/>
      <c r="AV92" s="494"/>
      <c r="AW92" s="494"/>
      <c r="AX92" s="494"/>
      <c r="AY92" s="494"/>
      <c r="AZ92" s="494"/>
      <c r="BA92" s="494"/>
      <c r="BB92" s="494"/>
      <c r="BC92" s="494"/>
      <c r="BD92" s="494"/>
      <c r="BE92" s="494"/>
      <c r="BF92" s="494"/>
      <c r="BG92" s="37">
        <f t="shared" si="5"/>
        <v>10871</v>
      </c>
      <c r="BH92" s="525">
        <f t="shared" si="3"/>
        <v>10871</v>
      </c>
    </row>
    <row r="93" spans="2:60" s="39" customFormat="1" ht="13.5" customHeight="1">
      <c r="B93" s="22">
        <v>82</v>
      </c>
      <c r="C93" s="22" t="s">
        <v>39</v>
      </c>
      <c r="D93" s="22" t="s">
        <v>2080</v>
      </c>
      <c r="E93" s="508" t="s">
        <v>2081</v>
      </c>
      <c r="F93" s="26" t="s">
        <v>146</v>
      </c>
      <c r="G93" s="26" t="s">
        <v>1895</v>
      </c>
      <c r="H93" s="73" t="s">
        <v>2079</v>
      </c>
      <c r="I93" s="49" t="s">
        <v>52</v>
      </c>
      <c r="J93" s="34">
        <v>3582170</v>
      </c>
      <c r="K93" s="34">
        <v>0</v>
      </c>
      <c r="L93" s="34">
        <v>539023</v>
      </c>
      <c r="M93" s="34">
        <v>320554</v>
      </c>
      <c r="N93" s="34"/>
      <c r="O93" s="34">
        <v>280008</v>
      </c>
      <c r="P93" s="505">
        <v>530009.84499999997</v>
      </c>
      <c r="Q93" s="493">
        <v>234537.05100000001</v>
      </c>
      <c r="R93" s="493">
        <v>218004.16500000001</v>
      </c>
      <c r="S93" s="493">
        <v>202473.45800000001</v>
      </c>
      <c r="T93" s="493">
        <v>219001.03700000001</v>
      </c>
      <c r="U93" s="493">
        <v>207724.07699999999</v>
      </c>
      <c r="V93" s="34">
        <f t="shared" si="4"/>
        <v>2212311.6329999999</v>
      </c>
      <c r="W93" s="31">
        <v>885555</v>
      </c>
      <c r="X93" s="27">
        <v>3</v>
      </c>
      <c r="Y93" s="36">
        <v>44202</v>
      </c>
      <c r="Z93" s="36">
        <v>44231</v>
      </c>
      <c r="AA93" s="31">
        <v>560000</v>
      </c>
      <c r="AB93" s="214">
        <v>17</v>
      </c>
      <c r="AC93" s="494">
        <v>44242</v>
      </c>
      <c r="AD93" s="494">
        <v>44271</v>
      </c>
      <c r="AE93" s="31">
        <v>2500</v>
      </c>
      <c r="AF93" s="214">
        <v>25</v>
      </c>
      <c r="AG93" s="494">
        <v>44263</v>
      </c>
      <c r="AH93" s="494">
        <v>44292</v>
      </c>
      <c r="AI93" s="228">
        <v>2000</v>
      </c>
      <c r="AJ93" s="214">
        <v>55</v>
      </c>
      <c r="AK93" s="494">
        <v>44323</v>
      </c>
      <c r="AL93" s="494">
        <v>44350</v>
      </c>
      <c r="AM93" s="228">
        <v>500000</v>
      </c>
      <c r="AN93" s="214">
        <v>62</v>
      </c>
      <c r="AO93" s="494">
        <v>44327</v>
      </c>
      <c r="AP93" s="494">
        <v>44355</v>
      </c>
      <c r="AQ93" s="214">
        <v>2000</v>
      </c>
      <c r="AR93" s="214">
        <v>70</v>
      </c>
      <c r="AS93" s="494">
        <v>44354</v>
      </c>
      <c r="AT93" s="494">
        <v>44372</v>
      </c>
      <c r="AU93" s="214">
        <v>566532</v>
      </c>
      <c r="AV93" s="214">
        <v>89</v>
      </c>
      <c r="AW93" s="494">
        <v>44413</v>
      </c>
      <c r="AX93" s="494">
        <v>44438</v>
      </c>
      <c r="AY93" s="494"/>
      <c r="AZ93" s="494"/>
      <c r="BA93" s="494"/>
      <c r="BB93" s="494"/>
      <c r="BC93" s="494"/>
      <c r="BD93" s="494"/>
      <c r="BE93" s="494"/>
      <c r="BF93" s="494"/>
      <c r="BG93" s="37">
        <f t="shared" si="5"/>
        <v>2518587</v>
      </c>
      <c r="BH93" s="525">
        <f t="shared" si="3"/>
        <v>306275.36700000009</v>
      </c>
    </row>
    <row r="94" spans="2:60" s="39" customFormat="1" ht="13.5" customHeight="1">
      <c r="B94" s="22">
        <v>83</v>
      </c>
      <c r="C94" s="22" t="s">
        <v>39</v>
      </c>
      <c r="D94" s="22" t="s">
        <v>2082</v>
      </c>
      <c r="E94" s="508" t="s">
        <v>2083</v>
      </c>
      <c r="F94" s="26" t="s">
        <v>146</v>
      </c>
      <c r="G94" s="26" t="s">
        <v>1895</v>
      </c>
      <c r="H94" s="73" t="s">
        <v>2084</v>
      </c>
      <c r="I94" s="217" t="s">
        <v>44</v>
      </c>
      <c r="J94" s="34">
        <v>6037053</v>
      </c>
      <c r="K94" s="34">
        <v>191490</v>
      </c>
      <c r="L94" s="34">
        <v>0</v>
      </c>
      <c r="M94" s="34"/>
      <c r="N94" s="34"/>
      <c r="O94" s="34"/>
      <c r="P94" s="492"/>
      <c r="Q94" s="493"/>
      <c r="R94" s="493"/>
      <c r="S94" s="493"/>
      <c r="T94" s="493"/>
      <c r="U94" s="493"/>
      <c r="V94" s="34">
        <f t="shared" si="4"/>
        <v>0</v>
      </c>
      <c r="W94" s="31">
        <v>50000</v>
      </c>
      <c r="X94" s="27">
        <v>3</v>
      </c>
      <c r="Y94" s="36">
        <v>44202</v>
      </c>
      <c r="Z94" s="36">
        <v>44231</v>
      </c>
      <c r="AA94" s="31"/>
      <c r="AB94" s="214"/>
      <c r="AC94" s="228"/>
      <c r="AD94" s="494"/>
      <c r="AE94" s="31"/>
      <c r="AF94" s="214"/>
      <c r="AG94" s="228"/>
      <c r="AH94" s="494"/>
      <c r="AI94" s="228"/>
      <c r="AJ94" s="494"/>
      <c r="AK94" s="494"/>
      <c r="AL94" s="494"/>
      <c r="AM94" s="228"/>
      <c r="AN94" s="494"/>
      <c r="AO94" s="494"/>
      <c r="AP94" s="494"/>
      <c r="AQ94" s="494"/>
      <c r="AR94" s="494"/>
      <c r="AS94" s="494"/>
      <c r="AT94" s="494"/>
      <c r="AU94" s="494"/>
      <c r="AV94" s="494"/>
      <c r="AW94" s="494"/>
      <c r="AX94" s="494"/>
      <c r="AY94" s="494"/>
      <c r="AZ94" s="494"/>
      <c r="BA94" s="494"/>
      <c r="BB94" s="494"/>
      <c r="BC94" s="494"/>
      <c r="BD94" s="494"/>
      <c r="BE94" s="494"/>
      <c r="BF94" s="494"/>
      <c r="BG94" s="37">
        <f t="shared" si="5"/>
        <v>50000</v>
      </c>
      <c r="BH94" s="525">
        <f t="shared" si="3"/>
        <v>50000</v>
      </c>
    </row>
    <row r="95" spans="2:60" s="39" customFormat="1" ht="13.5" customHeight="1">
      <c r="B95" s="22">
        <v>84</v>
      </c>
      <c r="C95" s="22" t="s">
        <v>39</v>
      </c>
      <c r="D95" s="22" t="s">
        <v>2085</v>
      </c>
      <c r="E95" s="508" t="s">
        <v>2086</v>
      </c>
      <c r="F95" s="26" t="s">
        <v>146</v>
      </c>
      <c r="G95" s="26" t="s">
        <v>1895</v>
      </c>
      <c r="H95" s="73" t="s">
        <v>2087</v>
      </c>
      <c r="I95" s="217" t="s">
        <v>44</v>
      </c>
      <c r="J95" s="34">
        <v>545741</v>
      </c>
      <c r="K95" s="34">
        <v>499000</v>
      </c>
      <c r="L95" s="34">
        <v>0</v>
      </c>
      <c r="M95" s="34"/>
      <c r="N95" s="34"/>
      <c r="O95" s="34"/>
      <c r="P95" s="492"/>
      <c r="Q95" s="493"/>
      <c r="R95" s="493">
        <v>7512.2619999999997</v>
      </c>
      <c r="S95" s="493">
        <v>25127.328000000001</v>
      </c>
      <c r="T95" s="493"/>
      <c r="U95" s="493"/>
      <c r="V95" s="34">
        <f t="shared" si="4"/>
        <v>32639.59</v>
      </c>
      <c r="W95" s="31">
        <v>40000</v>
      </c>
      <c r="X95" s="27">
        <v>3</v>
      </c>
      <c r="Y95" s="36">
        <v>44202</v>
      </c>
      <c r="Z95" s="36">
        <v>44231</v>
      </c>
      <c r="AA95" s="31"/>
      <c r="AB95" s="214"/>
      <c r="AC95" s="228"/>
      <c r="AD95" s="494"/>
      <c r="AE95" s="31"/>
      <c r="AF95" s="214"/>
      <c r="AG95" s="228"/>
      <c r="AH95" s="494"/>
      <c r="AI95" s="228"/>
      <c r="AJ95" s="494"/>
      <c r="AK95" s="494"/>
      <c r="AL95" s="494"/>
      <c r="AM95" s="228"/>
      <c r="AN95" s="494"/>
      <c r="AO95" s="494"/>
      <c r="AP95" s="494"/>
      <c r="AQ95" s="494"/>
      <c r="AR95" s="494"/>
      <c r="AS95" s="494"/>
      <c r="AT95" s="494"/>
      <c r="AU95" s="494"/>
      <c r="AV95" s="494"/>
      <c r="AW95" s="494"/>
      <c r="AX95" s="494"/>
      <c r="AY95" s="494"/>
      <c r="AZ95" s="494"/>
      <c r="BA95" s="494"/>
      <c r="BB95" s="494"/>
      <c r="BC95" s="494"/>
      <c r="BD95" s="494"/>
      <c r="BE95" s="494"/>
      <c r="BF95" s="494"/>
      <c r="BG95" s="37">
        <f t="shared" si="5"/>
        <v>40000</v>
      </c>
      <c r="BH95" s="525">
        <f t="shared" si="3"/>
        <v>7360.41</v>
      </c>
    </row>
    <row r="96" spans="2:60" s="39" customFormat="1" ht="13.5" customHeight="1">
      <c r="B96" s="22">
        <v>85</v>
      </c>
      <c r="C96" s="22" t="s">
        <v>39</v>
      </c>
      <c r="D96" s="22" t="s">
        <v>2088</v>
      </c>
      <c r="E96" s="508" t="s">
        <v>2089</v>
      </c>
      <c r="F96" s="26" t="s">
        <v>146</v>
      </c>
      <c r="G96" s="26" t="s">
        <v>1895</v>
      </c>
      <c r="H96" s="73" t="s">
        <v>2087</v>
      </c>
      <c r="I96" s="217" t="s">
        <v>44</v>
      </c>
      <c r="J96" s="34">
        <v>1066998</v>
      </c>
      <c r="K96" s="34">
        <v>945566</v>
      </c>
      <c r="L96" s="34">
        <v>0</v>
      </c>
      <c r="M96" s="34"/>
      <c r="N96" s="34"/>
      <c r="O96" s="34"/>
      <c r="P96" s="492"/>
      <c r="Q96" s="493"/>
      <c r="R96" s="493">
        <v>74552.614000000001</v>
      </c>
      <c r="S96" s="493"/>
      <c r="T96" s="493"/>
      <c r="U96" s="493"/>
      <c r="V96" s="34">
        <f t="shared" si="4"/>
        <v>74552.614000000001</v>
      </c>
      <c r="W96" s="31">
        <v>88211</v>
      </c>
      <c r="X96" s="27">
        <v>3</v>
      </c>
      <c r="Y96" s="36">
        <v>44202</v>
      </c>
      <c r="Z96" s="36">
        <v>44231</v>
      </c>
      <c r="AA96" s="31"/>
      <c r="AB96" s="214"/>
      <c r="AC96" s="228"/>
      <c r="AD96" s="494"/>
      <c r="AE96" s="31"/>
      <c r="AF96" s="214"/>
      <c r="AG96" s="228"/>
      <c r="AH96" s="494"/>
      <c r="AI96" s="228"/>
      <c r="AJ96" s="494"/>
      <c r="AK96" s="494"/>
      <c r="AL96" s="494"/>
      <c r="AM96" s="228"/>
      <c r="AN96" s="494"/>
      <c r="AO96" s="494"/>
      <c r="AP96" s="494"/>
      <c r="AQ96" s="494"/>
      <c r="AR96" s="494"/>
      <c r="AS96" s="494"/>
      <c r="AT96" s="494"/>
      <c r="AU96" s="494"/>
      <c r="AV96" s="494"/>
      <c r="AW96" s="494"/>
      <c r="AX96" s="494"/>
      <c r="AY96" s="494"/>
      <c r="AZ96" s="494"/>
      <c r="BA96" s="494"/>
      <c r="BB96" s="494"/>
      <c r="BC96" s="494"/>
      <c r="BD96" s="494"/>
      <c r="BE96" s="494"/>
      <c r="BF96" s="494"/>
      <c r="BG96" s="37">
        <f t="shared" si="5"/>
        <v>88211</v>
      </c>
      <c r="BH96" s="525">
        <f t="shared" si="3"/>
        <v>13658.385999999999</v>
      </c>
    </row>
    <row r="97" spans="2:60" s="39" customFormat="1" ht="13.5" customHeight="1">
      <c r="B97" s="22">
        <v>86</v>
      </c>
      <c r="C97" s="22" t="s">
        <v>39</v>
      </c>
      <c r="D97" s="22" t="s">
        <v>2090</v>
      </c>
      <c r="E97" s="508" t="s">
        <v>2091</v>
      </c>
      <c r="F97" s="26" t="s">
        <v>146</v>
      </c>
      <c r="G97" s="26" t="s">
        <v>1895</v>
      </c>
      <c r="H97" s="73" t="s">
        <v>2092</v>
      </c>
      <c r="I97" s="217" t="s">
        <v>44</v>
      </c>
      <c r="J97" s="34">
        <v>2795634</v>
      </c>
      <c r="K97" s="34">
        <v>27244</v>
      </c>
      <c r="L97" s="34">
        <v>0</v>
      </c>
      <c r="M97" s="34"/>
      <c r="N97" s="34"/>
      <c r="O97" s="34"/>
      <c r="P97" s="492"/>
      <c r="Q97" s="493"/>
      <c r="R97" s="493"/>
      <c r="S97" s="493"/>
      <c r="T97" s="493"/>
      <c r="U97" s="493"/>
      <c r="V97" s="34">
        <f t="shared" si="4"/>
        <v>0</v>
      </c>
      <c r="W97" s="31">
        <v>75000</v>
      </c>
      <c r="X97" s="27">
        <v>3</v>
      </c>
      <c r="Y97" s="36">
        <v>44202</v>
      </c>
      <c r="Z97" s="36">
        <v>44231</v>
      </c>
      <c r="AA97" s="31">
        <v>25000</v>
      </c>
      <c r="AB97" s="214">
        <v>25</v>
      </c>
      <c r="AC97" s="494">
        <v>44263</v>
      </c>
      <c r="AD97" s="494">
        <v>44292</v>
      </c>
      <c r="AE97" s="31">
        <v>13658</v>
      </c>
      <c r="AF97" s="214">
        <v>46</v>
      </c>
      <c r="AG97" s="494">
        <v>44295</v>
      </c>
      <c r="AH97" s="494">
        <v>44327</v>
      </c>
      <c r="AI97" s="228"/>
      <c r="AJ97" s="494"/>
      <c r="AK97" s="494"/>
      <c r="AL97" s="494"/>
      <c r="AM97" s="228"/>
      <c r="AN97" s="494"/>
      <c r="AO97" s="494"/>
      <c r="AP97" s="494"/>
      <c r="AQ97" s="494"/>
      <c r="AR97" s="494"/>
      <c r="AS97" s="494"/>
      <c r="AT97" s="494"/>
      <c r="AU97" s="494"/>
      <c r="AV97" s="494"/>
      <c r="AW97" s="494"/>
      <c r="AX97" s="494"/>
      <c r="AY97" s="494"/>
      <c r="AZ97" s="494"/>
      <c r="BA97" s="494"/>
      <c r="BB97" s="494"/>
      <c r="BC97" s="494"/>
      <c r="BD97" s="494"/>
      <c r="BE97" s="494"/>
      <c r="BF97" s="494"/>
      <c r="BG97" s="37">
        <f t="shared" si="5"/>
        <v>113658</v>
      </c>
      <c r="BH97" s="525">
        <f t="shared" si="3"/>
        <v>113658</v>
      </c>
    </row>
    <row r="98" spans="2:60" s="39" customFormat="1" ht="13.5" customHeight="1">
      <c r="B98" s="22">
        <v>87</v>
      </c>
      <c r="C98" s="22" t="s">
        <v>39</v>
      </c>
      <c r="D98" s="22" t="s">
        <v>2093</v>
      </c>
      <c r="E98" s="508" t="s">
        <v>2094</v>
      </c>
      <c r="F98" s="26" t="s">
        <v>146</v>
      </c>
      <c r="G98" s="26" t="s">
        <v>1895</v>
      </c>
      <c r="H98" s="73" t="s">
        <v>2095</v>
      </c>
      <c r="I98" s="217" t="s">
        <v>44</v>
      </c>
      <c r="J98" s="34">
        <v>1368250</v>
      </c>
      <c r="K98" s="34">
        <v>1009820</v>
      </c>
      <c r="L98" s="34">
        <v>0</v>
      </c>
      <c r="M98" s="34">
        <v>150000</v>
      </c>
      <c r="N98" s="34">
        <v>86446</v>
      </c>
      <c r="O98" s="34"/>
      <c r="P98" s="505">
        <v>20717.376</v>
      </c>
      <c r="Q98" s="493">
        <v>245.25700000000001</v>
      </c>
      <c r="R98" s="493"/>
      <c r="S98" s="493">
        <v>28458.85</v>
      </c>
      <c r="T98" s="493">
        <v>19145.576000000001</v>
      </c>
      <c r="U98" s="493"/>
      <c r="V98" s="34">
        <f t="shared" si="4"/>
        <v>305013.05900000001</v>
      </c>
      <c r="W98" s="31">
        <v>338840</v>
      </c>
      <c r="X98" s="27">
        <v>3</v>
      </c>
      <c r="Y98" s="36">
        <v>44202</v>
      </c>
      <c r="Z98" s="36">
        <v>44231</v>
      </c>
      <c r="AA98" s="31">
        <v>390</v>
      </c>
      <c r="AB98" s="214">
        <v>9</v>
      </c>
      <c r="AC98" s="494">
        <v>44214</v>
      </c>
      <c r="AD98" s="494">
        <v>44246</v>
      </c>
      <c r="AE98" s="31"/>
      <c r="AF98" s="214"/>
      <c r="AG98" s="494"/>
      <c r="AH98" s="494"/>
      <c r="AI98" s="228"/>
      <c r="AJ98" s="494"/>
      <c r="AK98" s="494"/>
      <c r="AL98" s="494"/>
      <c r="AM98" s="228"/>
      <c r="AN98" s="494"/>
      <c r="AO98" s="494"/>
      <c r="AP98" s="494"/>
      <c r="AQ98" s="494"/>
      <c r="AR98" s="494"/>
      <c r="AS98" s="494"/>
      <c r="AT98" s="494"/>
      <c r="AU98" s="494"/>
      <c r="AV98" s="494"/>
      <c r="AW98" s="494"/>
      <c r="AX98" s="494"/>
      <c r="AY98" s="494"/>
      <c r="AZ98" s="494"/>
      <c r="BA98" s="494"/>
      <c r="BB98" s="494"/>
      <c r="BC98" s="494"/>
      <c r="BD98" s="494"/>
      <c r="BE98" s="494"/>
      <c r="BF98" s="494"/>
      <c r="BG98" s="37">
        <f t="shared" si="5"/>
        <v>339230</v>
      </c>
      <c r="BH98" s="525">
        <f t="shared" si="3"/>
        <v>34216.940999999992</v>
      </c>
    </row>
    <row r="99" spans="2:60" s="39" customFormat="1" ht="13.5" customHeight="1">
      <c r="B99" s="22">
        <v>88</v>
      </c>
      <c r="C99" s="22" t="s">
        <v>39</v>
      </c>
      <c r="D99" s="22" t="s">
        <v>2096</v>
      </c>
      <c r="E99" s="508" t="s">
        <v>2097</v>
      </c>
      <c r="F99" s="26" t="s">
        <v>158</v>
      </c>
      <c r="G99" s="26" t="s">
        <v>1895</v>
      </c>
      <c r="H99" s="73" t="s">
        <v>2098</v>
      </c>
      <c r="I99" s="217" t="s">
        <v>44</v>
      </c>
      <c r="J99" s="34">
        <v>27830</v>
      </c>
      <c r="K99" s="34">
        <v>15859</v>
      </c>
      <c r="L99" s="34">
        <v>0</v>
      </c>
      <c r="M99" s="34"/>
      <c r="N99" s="34"/>
      <c r="O99" s="34"/>
      <c r="P99" s="492"/>
      <c r="Q99" s="493">
        <v>1441</v>
      </c>
      <c r="R99" s="493"/>
      <c r="S99" s="493"/>
      <c r="T99" s="493"/>
      <c r="U99" s="493"/>
      <c r="V99" s="34">
        <f t="shared" si="4"/>
        <v>1441</v>
      </c>
      <c r="W99" s="31">
        <v>1441</v>
      </c>
      <c r="X99" s="27">
        <v>3</v>
      </c>
      <c r="Y99" s="36">
        <v>44202</v>
      </c>
      <c r="Z99" s="36">
        <v>44231</v>
      </c>
      <c r="AA99" s="31"/>
      <c r="AB99" s="214"/>
      <c r="AC99" s="228"/>
      <c r="AD99" s="494"/>
      <c r="AE99" s="31"/>
      <c r="AF99" s="214"/>
      <c r="AG99" s="228"/>
      <c r="AH99" s="494"/>
      <c r="AI99" s="228"/>
      <c r="AJ99" s="494"/>
      <c r="AK99" s="494"/>
      <c r="AL99" s="494"/>
      <c r="AM99" s="228"/>
      <c r="AN99" s="494"/>
      <c r="AO99" s="494"/>
      <c r="AP99" s="494"/>
      <c r="AQ99" s="494"/>
      <c r="AR99" s="494"/>
      <c r="AS99" s="494"/>
      <c r="AT99" s="494"/>
      <c r="AU99" s="494"/>
      <c r="AV99" s="494"/>
      <c r="AW99" s="494"/>
      <c r="AX99" s="494"/>
      <c r="AY99" s="494"/>
      <c r="AZ99" s="494"/>
      <c r="BA99" s="494"/>
      <c r="BB99" s="494"/>
      <c r="BC99" s="494"/>
      <c r="BD99" s="494"/>
      <c r="BE99" s="494"/>
      <c r="BF99" s="494"/>
      <c r="BG99" s="37">
        <f t="shared" si="5"/>
        <v>1441</v>
      </c>
      <c r="BH99" s="525">
        <f t="shared" si="3"/>
        <v>0</v>
      </c>
    </row>
    <row r="100" spans="2:60" s="39" customFormat="1" ht="13.5" customHeight="1">
      <c r="B100" s="22">
        <v>89</v>
      </c>
      <c r="C100" s="22" t="s">
        <v>39</v>
      </c>
      <c r="D100" s="22" t="s">
        <v>2099</v>
      </c>
      <c r="E100" s="508" t="s">
        <v>2100</v>
      </c>
      <c r="F100" s="26" t="s">
        <v>146</v>
      </c>
      <c r="G100" s="26" t="s">
        <v>1895</v>
      </c>
      <c r="H100" s="73" t="s">
        <v>2084</v>
      </c>
      <c r="I100" s="217" t="s">
        <v>44</v>
      </c>
      <c r="J100" s="34">
        <v>701476</v>
      </c>
      <c r="K100" s="34">
        <v>683165</v>
      </c>
      <c r="L100" s="34">
        <v>0</v>
      </c>
      <c r="M100" s="34"/>
      <c r="N100" s="34"/>
      <c r="O100" s="34">
        <v>629</v>
      </c>
      <c r="P100" s="492"/>
      <c r="Q100" s="493"/>
      <c r="R100" s="493"/>
      <c r="S100" s="493"/>
      <c r="T100" s="493"/>
      <c r="U100" s="493">
        <v>17681.847000000002</v>
      </c>
      <c r="V100" s="34">
        <f t="shared" si="4"/>
        <v>18310.847000000002</v>
      </c>
      <c r="W100" s="31">
        <v>18311</v>
      </c>
      <c r="X100" s="27">
        <v>3</v>
      </c>
      <c r="Y100" s="36">
        <v>44202</v>
      </c>
      <c r="Z100" s="36">
        <v>44231</v>
      </c>
      <c r="AA100" s="31"/>
      <c r="AB100" s="214"/>
      <c r="AC100" s="228"/>
      <c r="AD100" s="494"/>
      <c r="AE100" s="31"/>
      <c r="AF100" s="214"/>
      <c r="AG100" s="228"/>
      <c r="AH100" s="494"/>
      <c r="AI100" s="228"/>
      <c r="AJ100" s="494"/>
      <c r="AK100" s="494"/>
      <c r="AL100" s="494"/>
      <c r="AM100" s="228"/>
      <c r="AN100" s="494"/>
      <c r="AO100" s="494"/>
      <c r="AP100" s="494"/>
      <c r="AQ100" s="494"/>
      <c r="AR100" s="494"/>
      <c r="AS100" s="494"/>
      <c r="AT100" s="494"/>
      <c r="AU100" s="494"/>
      <c r="AV100" s="494"/>
      <c r="AW100" s="494"/>
      <c r="AX100" s="494"/>
      <c r="AY100" s="494"/>
      <c r="AZ100" s="494"/>
      <c r="BA100" s="494"/>
      <c r="BB100" s="494"/>
      <c r="BC100" s="494"/>
      <c r="BD100" s="494"/>
      <c r="BE100" s="494"/>
      <c r="BF100" s="494"/>
      <c r="BG100" s="37">
        <f t="shared" si="5"/>
        <v>18311</v>
      </c>
      <c r="BH100" s="525">
        <f t="shared" si="3"/>
        <v>0.15299999999842839</v>
      </c>
    </row>
    <row r="101" spans="2:60" s="39" customFormat="1" ht="13.5" customHeight="1">
      <c r="B101" s="22">
        <v>90</v>
      </c>
      <c r="C101" s="22" t="s">
        <v>39</v>
      </c>
      <c r="D101" s="22" t="s">
        <v>2101</v>
      </c>
      <c r="E101" s="508" t="s">
        <v>2102</v>
      </c>
      <c r="F101" s="26" t="s">
        <v>146</v>
      </c>
      <c r="G101" s="26" t="s">
        <v>1895</v>
      </c>
      <c r="H101" s="73" t="s">
        <v>2084</v>
      </c>
      <c r="I101" s="49" t="s">
        <v>52</v>
      </c>
      <c r="J101" s="34">
        <v>29138</v>
      </c>
      <c r="K101" s="34">
        <v>0</v>
      </c>
      <c r="L101" s="34">
        <v>0</v>
      </c>
      <c r="M101" s="34">
        <v>0</v>
      </c>
      <c r="N101" s="34">
        <v>4774</v>
      </c>
      <c r="O101" s="34">
        <v>16709</v>
      </c>
      <c r="P101" s="492"/>
      <c r="Q101" s="493">
        <v>2387</v>
      </c>
      <c r="R101" s="493"/>
      <c r="S101" s="493"/>
      <c r="T101" s="493"/>
      <c r="U101" s="493"/>
      <c r="V101" s="34">
        <f t="shared" si="4"/>
        <v>23870</v>
      </c>
      <c r="W101" s="31">
        <v>21483</v>
      </c>
      <c r="X101" s="27">
        <v>3</v>
      </c>
      <c r="Y101" s="36">
        <v>44202</v>
      </c>
      <c r="Z101" s="36">
        <v>44231</v>
      </c>
      <c r="AA101" s="31">
        <v>2387</v>
      </c>
      <c r="AB101" s="214">
        <v>25</v>
      </c>
      <c r="AC101" s="494">
        <v>44263</v>
      </c>
      <c r="AD101" s="494">
        <v>44292</v>
      </c>
      <c r="AE101" s="31"/>
      <c r="AF101" s="214"/>
      <c r="AG101" s="228"/>
      <c r="AH101" s="494"/>
      <c r="AI101" s="228"/>
      <c r="AJ101" s="494"/>
      <c r="AK101" s="494"/>
      <c r="AL101" s="494"/>
      <c r="AM101" s="228"/>
      <c r="AN101" s="494"/>
      <c r="AO101" s="494"/>
      <c r="AP101" s="494"/>
      <c r="AQ101" s="494"/>
      <c r="AR101" s="494"/>
      <c r="AS101" s="494"/>
      <c r="AT101" s="494"/>
      <c r="AU101" s="494"/>
      <c r="AV101" s="494"/>
      <c r="AW101" s="494"/>
      <c r="AX101" s="494"/>
      <c r="AY101" s="494"/>
      <c r="AZ101" s="494"/>
      <c r="BA101" s="494"/>
      <c r="BB101" s="494"/>
      <c r="BC101" s="494"/>
      <c r="BD101" s="494"/>
      <c r="BE101" s="494"/>
      <c r="BF101" s="494"/>
      <c r="BG101" s="37">
        <f t="shared" si="5"/>
        <v>23870</v>
      </c>
      <c r="BH101" s="525">
        <f t="shared" si="3"/>
        <v>0</v>
      </c>
    </row>
    <row r="102" spans="2:60" s="39" customFormat="1" ht="13.5" customHeight="1">
      <c r="B102" s="22">
        <v>91</v>
      </c>
      <c r="C102" s="22" t="s">
        <v>39</v>
      </c>
      <c r="D102" s="22" t="s">
        <v>2103</v>
      </c>
      <c r="E102" s="508" t="s">
        <v>2104</v>
      </c>
      <c r="F102" s="26" t="s">
        <v>146</v>
      </c>
      <c r="G102" s="26" t="s">
        <v>1895</v>
      </c>
      <c r="H102" s="73" t="s">
        <v>2098</v>
      </c>
      <c r="I102" s="49" t="s">
        <v>52</v>
      </c>
      <c r="J102" s="34">
        <v>108073</v>
      </c>
      <c r="K102" s="34">
        <v>60569</v>
      </c>
      <c r="L102" s="34">
        <v>0</v>
      </c>
      <c r="M102" s="34">
        <v>20998</v>
      </c>
      <c r="N102" s="34"/>
      <c r="O102" s="34">
        <v>10418</v>
      </c>
      <c r="P102" s="492"/>
      <c r="Q102" s="493"/>
      <c r="R102" s="493"/>
      <c r="S102" s="493"/>
      <c r="T102" s="493"/>
      <c r="U102" s="493"/>
      <c r="V102" s="34">
        <f t="shared" si="4"/>
        <v>31416</v>
      </c>
      <c r="W102" s="31">
        <v>31416</v>
      </c>
      <c r="X102" s="27">
        <v>3</v>
      </c>
      <c r="Y102" s="36">
        <v>44202</v>
      </c>
      <c r="Z102" s="36">
        <v>44231</v>
      </c>
      <c r="AA102" s="31">
        <v>10419</v>
      </c>
      <c r="AB102" s="214">
        <v>17</v>
      </c>
      <c r="AC102" s="494">
        <v>44242</v>
      </c>
      <c r="AD102" s="494">
        <v>44271</v>
      </c>
      <c r="AE102" s="31"/>
      <c r="AF102" s="214"/>
      <c r="AG102" s="494"/>
      <c r="AH102" s="494"/>
      <c r="AI102" s="228"/>
      <c r="AJ102" s="494"/>
      <c r="AK102" s="494"/>
      <c r="AL102" s="494"/>
      <c r="AM102" s="228"/>
      <c r="AN102" s="494"/>
      <c r="AO102" s="494"/>
      <c r="AP102" s="494"/>
      <c r="AQ102" s="494"/>
      <c r="AR102" s="494"/>
      <c r="AS102" s="494"/>
      <c r="AT102" s="494"/>
      <c r="AU102" s="494"/>
      <c r="AV102" s="494"/>
      <c r="AW102" s="494"/>
      <c r="AX102" s="494"/>
      <c r="AY102" s="494"/>
      <c r="AZ102" s="494"/>
      <c r="BA102" s="494"/>
      <c r="BB102" s="494"/>
      <c r="BC102" s="494"/>
      <c r="BD102" s="494"/>
      <c r="BE102" s="494"/>
      <c r="BF102" s="494"/>
      <c r="BG102" s="37">
        <f t="shared" si="5"/>
        <v>41835</v>
      </c>
      <c r="BH102" s="525">
        <f t="shared" si="3"/>
        <v>10419</v>
      </c>
    </row>
    <row r="103" spans="2:60" s="39" customFormat="1" ht="13.5" customHeight="1">
      <c r="B103" s="22">
        <v>93</v>
      </c>
      <c r="C103" s="22" t="s">
        <v>39</v>
      </c>
      <c r="D103" s="22" t="s">
        <v>2105</v>
      </c>
      <c r="E103" s="508" t="s">
        <v>2106</v>
      </c>
      <c r="F103" s="26" t="s">
        <v>146</v>
      </c>
      <c r="G103" s="26" t="s">
        <v>1895</v>
      </c>
      <c r="H103" s="73" t="s">
        <v>1916</v>
      </c>
      <c r="I103" s="217" t="s">
        <v>44</v>
      </c>
      <c r="J103" s="34">
        <v>466469</v>
      </c>
      <c r="K103" s="34">
        <v>445755</v>
      </c>
      <c r="L103" s="34">
        <v>0</v>
      </c>
      <c r="M103" s="34"/>
      <c r="N103" s="34"/>
      <c r="O103" s="34"/>
      <c r="P103" s="492"/>
      <c r="Q103" s="493"/>
      <c r="R103" s="493"/>
      <c r="S103" s="493"/>
      <c r="T103" s="493"/>
      <c r="U103" s="493"/>
      <c r="V103" s="34">
        <f t="shared" si="4"/>
        <v>0</v>
      </c>
      <c r="W103" s="31">
        <v>20714</v>
      </c>
      <c r="X103" s="27">
        <v>4</v>
      </c>
      <c r="Y103" s="36">
        <v>44202</v>
      </c>
      <c r="Z103" s="36">
        <v>44231</v>
      </c>
      <c r="AA103" s="31"/>
      <c r="AB103" s="214"/>
      <c r="AC103" s="228"/>
      <c r="AD103" s="494"/>
      <c r="AE103" s="31"/>
      <c r="AF103" s="214"/>
      <c r="AG103" s="228"/>
      <c r="AH103" s="494"/>
      <c r="AI103" s="228"/>
      <c r="AJ103" s="494"/>
      <c r="AK103" s="494"/>
      <c r="AL103" s="494"/>
      <c r="AM103" s="228"/>
      <c r="AN103" s="494"/>
      <c r="AO103" s="494"/>
      <c r="AP103" s="494"/>
      <c r="AQ103" s="494"/>
      <c r="AR103" s="494"/>
      <c r="AS103" s="494"/>
      <c r="AT103" s="494"/>
      <c r="AU103" s="494"/>
      <c r="AV103" s="494"/>
      <c r="AW103" s="494"/>
      <c r="AX103" s="494"/>
      <c r="AY103" s="494"/>
      <c r="AZ103" s="494"/>
      <c r="BA103" s="494"/>
      <c r="BB103" s="494"/>
      <c r="BC103" s="494"/>
      <c r="BD103" s="494"/>
      <c r="BE103" s="494"/>
      <c r="BF103" s="494"/>
      <c r="BG103" s="37">
        <f t="shared" si="5"/>
        <v>20714</v>
      </c>
      <c r="BH103" s="525">
        <f t="shared" si="3"/>
        <v>20714</v>
      </c>
    </row>
    <row r="104" spans="2:60" s="39" customFormat="1" ht="13.5" customHeight="1">
      <c r="B104" s="22">
        <v>94</v>
      </c>
      <c r="C104" s="22" t="s">
        <v>39</v>
      </c>
      <c r="D104" s="22" t="s">
        <v>2107</v>
      </c>
      <c r="E104" s="508" t="s">
        <v>2108</v>
      </c>
      <c r="F104" s="26" t="s">
        <v>146</v>
      </c>
      <c r="G104" s="26" t="s">
        <v>1895</v>
      </c>
      <c r="H104" s="73" t="s">
        <v>1916</v>
      </c>
      <c r="I104" s="217" t="s">
        <v>44</v>
      </c>
      <c r="J104" s="34">
        <v>584686</v>
      </c>
      <c r="K104" s="34">
        <v>457299</v>
      </c>
      <c r="L104" s="34">
        <v>0</v>
      </c>
      <c r="M104" s="34">
        <v>29699</v>
      </c>
      <c r="N104" s="34"/>
      <c r="O104" s="34">
        <v>80416</v>
      </c>
      <c r="P104" s="492"/>
      <c r="Q104" s="493"/>
      <c r="R104" s="493"/>
      <c r="S104" s="493"/>
      <c r="T104" s="493"/>
      <c r="U104" s="493">
        <v>3525.5920000000001</v>
      </c>
      <c r="V104" s="34">
        <f t="shared" si="4"/>
        <v>113640.592</v>
      </c>
      <c r="W104" s="31">
        <v>122071</v>
      </c>
      <c r="X104" s="27">
        <v>4</v>
      </c>
      <c r="Y104" s="36">
        <v>44202</v>
      </c>
      <c r="Z104" s="36">
        <v>44231</v>
      </c>
      <c r="AA104" s="31">
        <v>2000</v>
      </c>
      <c r="AB104" s="214">
        <v>47</v>
      </c>
      <c r="AC104" s="494">
        <v>44295</v>
      </c>
      <c r="AD104" s="494">
        <v>44315</v>
      </c>
      <c r="AE104" s="31">
        <v>1570</v>
      </c>
      <c r="AF104" s="214">
        <v>56</v>
      </c>
      <c r="AG104" s="494">
        <v>44323</v>
      </c>
      <c r="AH104" s="494">
        <v>44344</v>
      </c>
      <c r="AI104" s="228"/>
      <c r="AJ104" s="494"/>
      <c r="AK104" s="494"/>
      <c r="AL104" s="494"/>
      <c r="AM104" s="228"/>
      <c r="AN104" s="494"/>
      <c r="AO104" s="494"/>
      <c r="AP104" s="494"/>
      <c r="AQ104" s="494"/>
      <c r="AR104" s="494"/>
      <c r="AS104" s="494"/>
      <c r="AT104" s="494"/>
      <c r="AU104" s="494"/>
      <c r="AV104" s="494"/>
      <c r="AW104" s="494"/>
      <c r="AX104" s="494"/>
      <c r="AY104" s="494"/>
      <c r="AZ104" s="494"/>
      <c r="BA104" s="494"/>
      <c r="BB104" s="494"/>
      <c r="BC104" s="494"/>
      <c r="BD104" s="494"/>
      <c r="BE104" s="494"/>
      <c r="BF104" s="494"/>
      <c r="BG104" s="37">
        <f t="shared" si="5"/>
        <v>125641</v>
      </c>
      <c r="BH104" s="525">
        <f t="shared" si="3"/>
        <v>12000.407999999996</v>
      </c>
    </row>
    <row r="105" spans="2:60" s="39" customFormat="1" ht="13.5" customHeight="1">
      <c r="B105" s="22">
        <v>95</v>
      </c>
      <c r="C105" s="22" t="s">
        <v>39</v>
      </c>
      <c r="D105" s="22" t="s">
        <v>2109</v>
      </c>
      <c r="E105" s="508" t="s">
        <v>2110</v>
      </c>
      <c r="F105" s="26" t="s">
        <v>146</v>
      </c>
      <c r="G105" s="26" t="s">
        <v>1895</v>
      </c>
      <c r="H105" s="73" t="s">
        <v>2111</v>
      </c>
      <c r="I105" s="217" t="s">
        <v>44</v>
      </c>
      <c r="J105" s="34">
        <v>375074</v>
      </c>
      <c r="K105" s="34">
        <v>325569</v>
      </c>
      <c r="L105" s="34">
        <v>0</v>
      </c>
      <c r="M105" s="34">
        <f>25982+10999</f>
        <v>36981</v>
      </c>
      <c r="N105" s="34"/>
      <c r="O105" s="34"/>
      <c r="P105" s="505">
        <v>10395.376</v>
      </c>
      <c r="Q105" s="493"/>
      <c r="R105" s="493"/>
      <c r="S105" s="493"/>
      <c r="T105" s="493"/>
      <c r="U105" s="493"/>
      <c r="V105" s="34">
        <f t="shared" si="4"/>
        <v>47376.376000000004</v>
      </c>
      <c r="W105" s="31">
        <v>49505</v>
      </c>
      <c r="X105" s="27">
        <v>4</v>
      </c>
      <c r="Y105" s="36">
        <v>44202</v>
      </c>
      <c r="Z105" s="36">
        <v>44231</v>
      </c>
      <c r="AA105" s="31"/>
      <c r="AB105" s="214"/>
      <c r="AC105" s="228"/>
      <c r="AD105" s="494"/>
      <c r="AE105" s="31"/>
      <c r="AF105" s="214"/>
      <c r="AG105" s="228"/>
      <c r="AH105" s="494"/>
      <c r="AI105" s="228"/>
      <c r="AJ105" s="494"/>
      <c r="AK105" s="494"/>
      <c r="AL105" s="494"/>
      <c r="AM105" s="228"/>
      <c r="AN105" s="494"/>
      <c r="AO105" s="494"/>
      <c r="AP105" s="494"/>
      <c r="AQ105" s="494"/>
      <c r="AR105" s="494"/>
      <c r="AS105" s="494"/>
      <c r="AT105" s="494"/>
      <c r="AU105" s="494"/>
      <c r="AV105" s="494"/>
      <c r="AW105" s="494"/>
      <c r="AX105" s="494"/>
      <c r="AY105" s="494"/>
      <c r="AZ105" s="494"/>
      <c r="BA105" s="494"/>
      <c r="BB105" s="494"/>
      <c r="BC105" s="494"/>
      <c r="BD105" s="494"/>
      <c r="BE105" s="494"/>
      <c r="BF105" s="494"/>
      <c r="BG105" s="37">
        <f t="shared" si="5"/>
        <v>49505</v>
      </c>
      <c r="BH105" s="525">
        <f t="shared" si="3"/>
        <v>2128.6239999999962</v>
      </c>
    </row>
    <row r="106" spans="2:60" s="39" customFormat="1" ht="13.5" customHeight="1">
      <c r="B106" s="22">
        <v>96</v>
      </c>
      <c r="C106" s="22" t="s">
        <v>39</v>
      </c>
      <c r="D106" s="22" t="s">
        <v>2112</v>
      </c>
      <c r="E106" s="508" t="s">
        <v>2113</v>
      </c>
      <c r="F106" s="26" t="s">
        <v>146</v>
      </c>
      <c r="G106" s="26" t="s">
        <v>1895</v>
      </c>
      <c r="H106" s="73" t="s">
        <v>1896</v>
      </c>
      <c r="I106" s="217" t="s">
        <v>44</v>
      </c>
      <c r="J106" s="34">
        <v>838087</v>
      </c>
      <c r="K106" s="34">
        <v>729498</v>
      </c>
      <c r="L106" s="34">
        <v>0</v>
      </c>
      <c r="M106" s="34"/>
      <c r="N106" s="34"/>
      <c r="O106" s="34">
        <v>266</v>
      </c>
      <c r="P106" s="505">
        <v>34658.142</v>
      </c>
      <c r="Q106" s="493">
        <v>3385.03</v>
      </c>
      <c r="R106" s="493"/>
      <c r="S106" s="493">
        <v>4892.3379999999997</v>
      </c>
      <c r="T106" s="493">
        <v>3819.9</v>
      </c>
      <c r="U106" s="493"/>
      <c r="V106" s="34">
        <f t="shared" si="4"/>
        <v>47021.409999999996</v>
      </c>
      <c r="W106" s="31">
        <v>103322</v>
      </c>
      <c r="X106" s="27">
        <v>4</v>
      </c>
      <c r="Y106" s="36">
        <v>44202</v>
      </c>
      <c r="Z106" s="36">
        <v>44231</v>
      </c>
      <c r="AA106" s="31">
        <v>5267</v>
      </c>
      <c r="AB106" s="214">
        <v>47</v>
      </c>
      <c r="AC106" s="494">
        <v>44295</v>
      </c>
      <c r="AD106" s="494">
        <v>44315</v>
      </c>
      <c r="AE106" s="31">
        <v>1887</v>
      </c>
      <c r="AF106" s="214">
        <v>90</v>
      </c>
      <c r="AG106" s="494">
        <v>44413</v>
      </c>
      <c r="AH106" s="494">
        <v>44428</v>
      </c>
      <c r="AI106" s="228"/>
      <c r="AJ106" s="494"/>
      <c r="AK106" s="494"/>
      <c r="AL106" s="494"/>
      <c r="AM106" s="228"/>
      <c r="AN106" s="494"/>
      <c r="AO106" s="494"/>
      <c r="AP106" s="494"/>
      <c r="AQ106" s="494"/>
      <c r="AR106" s="494"/>
      <c r="AS106" s="494"/>
      <c r="AT106" s="494"/>
      <c r="AU106" s="494"/>
      <c r="AV106" s="494"/>
      <c r="AW106" s="494"/>
      <c r="AX106" s="494"/>
      <c r="AY106" s="494"/>
      <c r="AZ106" s="494"/>
      <c r="BA106" s="494"/>
      <c r="BB106" s="494"/>
      <c r="BC106" s="494"/>
      <c r="BD106" s="494"/>
      <c r="BE106" s="494"/>
      <c r="BF106" s="494"/>
      <c r="BG106" s="37">
        <f t="shared" si="5"/>
        <v>110476</v>
      </c>
      <c r="BH106" s="525">
        <f t="shared" si="3"/>
        <v>63454.590000000004</v>
      </c>
    </row>
    <row r="107" spans="2:60" s="39" customFormat="1" ht="13.5" customHeight="1">
      <c r="B107" s="22">
        <v>97</v>
      </c>
      <c r="C107" s="22" t="s">
        <v>39</v>
      </c>
      <c r="D107" s="22" t="s">
        <v>2114</v>
      </c>
      <c r="E107" s="508" t="s">
        <v>2115</v>
      </c>
      <c r="F107" s="26" t="s">
        <v>146</v>
      </c>
      <c r="G107" s="26" t="s">
        <v>1895</v>
      </c>
      <c r="H107" s="73" t="s">
        <v>2087</v>
      </c>
      <c r="I107" s="49" t="s">
        <v>52</v>
      </c>
      <c r="J107" s="34">
        <v>410657</v>
      </c>
      <c r="K107" s="34">
        <v>0</v>
      </c>
      <c r="L107" s="34">
        <v>0</v>
      </c>
      <c r="M107" s="34"/>
      <c r="N107" s="34"/>
      <c r="O107" s="34"/>
      <c r="P107" s="505">
        <v>47935.68</v>
      </c>
      <c r="Q107" s="493">
        <v>56038.497000000003</v>
      </c>
      <c r="R107" s="493">
        <v>78902.827000000005</v>
      </c>
      <c r="S107" s="493">
        <v>21558.146000000001</v>
      </c>
      <c r="T107" s="493"/>
      <c r="U107" s="493">
        <v>104378.72100000001</v>
      </c>
      <c r="V107" s="34">
        <f t="shared" si="4"/>
        <v>308813.87100000004</v>
      </c>
      <c r="W107" s="31">
        <v>120000</v>
      </c>
      <c r="X107" s="27">
        <v>4</v>
      </c>
      <c r="Y107" s="36">
        <v>44202</v>
      </c>
      <c r="Z107" s="36">
        <v>44231</v>
      </c>
      <c r="AA107" s="31">
        <v>80000</v>
      </c>
      <c r="AB107" s="214">
        <v>26</v>
      </c>
      <c r="AC107" s="494">
        <v>44263</v>
      </c>
      <c r="AD107" s="494">
        <v>44293</v>
      </c>
      <c r="AE107" s="31">
        <v>33975</v>
      </c>
      <c r="AF107" s="214">
        <v>71</v>
      </c>
      <c r="AG107" s="494">
        <v>44354</v>
      </c>
      <c r="AH107" s="494">
        <v>44376</v>
      </c>
      <c r="AI107" s="228">
        <v>98903</v>
      </c>
      <c r="AJ107" s="228">
        <v>79</v>
      </c>
      <c r="AK107" s="494">
        <v>44382</v>
      </c>
      <c r="AL107" s="494">
        <v>44400</v>
      </c>
      <c r="AM107" s="228">
        <v>1558</v>
      </c>
      <c r="AN107" s="528">
        <v>90</v>
      </c>
      <c r="AO107" s="494">
        <v>44413</v>
      </c>
      <c r="AP107" s="494">
        <v>44428</v>
      </c>
      <c r="AQ107" s="494"/>
      <c r="AR107" s="494"/>
      <c r="AS107" s="494"/>
      <c r="AT107" s="494"/>
      <c r="AU107" s="494"/>
      <c r="AV107" s="494"/>
      <c r="AW107" s="494"/>
      <c r="AX107" s="494"/>
      <c r="AY107" s="494"/>
      <c r="AZ107" s="494"/>
      <c r="BA107" s="494"/>
      <c r="BB107" s="494"/>
      <c r="BC107" s="494"/>
      <c r="BD107" s="494"/>
      <c r="BE107" s="494"/>
      <c r="BF107" s="494"/>
      <c r="BG107" s="37">
        <f t="shared" si="5"/>
        <v>334436</v>
      </c>
      <c r="BH107" s="525">
        <f t="shared" si="3"/>
        <v>25622.128999999957</v>
      </c>
    </row>
    <row r="108" spans="2:60" s="39" customFormat="1" ht="13.5" customHeight="1">
      <c r="B108" s="22">
        <v>98</v>
      </c>
      <c r="C108" s="22" t="s">
        <v>39</v>
      </c>
      <c r="D108" s="22" t="s">
        <v>2116</v>
      </c>
      <c r="E108" s="508" t="s">
        <v>2117</v>
      </c>
      <c r="F108" s="26" t="s">
        <v>146</v>
      </c>
      <c r="G108" s="26" t="s">
        <v>1895</v>
      </c>
      <c r="H108" s="73" t="s">
        <v>2095</v>
      </c>
      <c r="I108" s="49" t="s">
        <v>52</v>
      </c>
      <c r="J108" s="34">
        <v>540229</v>
      </c>
      <c r="K108" s="34">
        <v>79163</v>
      </c>
      <c r="L108" s="34">
        <v>0</v>
      </c>
      <c r="M108" s="34">
        <f>2000+112278</f>
        <v>114278</v>
      </c>
      <c r="N108" s="34">
        <f>2000+108475</f>
        <v>110475</v>
      </c>
      <c r="O108" s="34">
        <f>2000+96522</f>
        <v>98522</v>
      </c>
      <c r="P108" s="505">
        <v>22333.477999999999</v>
      </c>
      <c r="Q108" s="493">
        <v>14431.574000000001</v>
      </c>
      <c r="R108" s="493"/>
      <c r="S108" s="493">
        <v>20289.448</v>
      </c>
      <c r="T108" s="493"/>
      <c r="U108" s="493">
        <v>2000</v>
      </c>
      <c r="V108" s="34">
        <f t="shared" si="4"/>
        <v>382329.5</v>
      </c>
      <c r="W108" s="31">
        <v>331000</v>
      </c>
      <c r="X108" s="27">
        <v>4</v>
      </c>
      <c r="Y108" s="36">
        <v>44202</v>
      </c>
      <c r="Z108" s="36">
        <v>44231</v>
      </c>
      <c r="AA108" s="31">
        <v>359</v>
      </c>
      <c r="AB108" s="214">
        <v>18</v>
      </c>
      <c r="AC108" s="494">
        <v>44242</v>
      </c>
      <c r="AD108" s="494">
        <v>44270</v>
      </c>
      <c r="AE108" s="31">
        <v>51060</v>
      </c>
      <c r="AF108" s="214">
        <v>26</v>
      </c>
      <c r="AG108" s="494">
        <v>44263</v>
      </c>
      <c r="AH108" s="494">
        <v>44293</v>
      </c>
      <c r="AI108" s="228"/>
      <c r="AJ108" s="494"/>
      <c r="AK108" s="494"/>
      <c r="AL108" s="494"/>
      <c r="AM108" s="228"/>
      <c r="AN108" s="494"/>
      <c r="AO108" s="494"/>
      <c r="AP108" s="494"/>
      <c r="AQ108" s="494"/>
      <c r="AR108" s="494"/>
      <c r="AS108" s="494"/>
      <c r="AT108" s="494"/>
      <c r="AU108" s="494"/>
      <c r="AV108" s="494"/>
      <c r="AW108" s="494"/>
      <c r="AX108" s="494"/>
      <c r="AY108" s="494"/>
      <c r="AZ108" s="494"/>
      <c r="BA108" s="494"/>
      <c r="BB108" s="494"/>
      <c r="BC108" s="494"/>
      <c r="BD108" s="494"/>
      <c r="BE108" s="494"/>
      <c r="BF108" s="494"/>
      <c r="BG108" s="37">
        <f t="shared" si="5"/>
        <v>382419</v>
      </c>
      <c r="BH108" s="525">
        <f t="shared" si="3"/>
        <v>89.5</v>
      </c>
    </row>
    <row r="109" spans="2:60" s="39" customFormat="1" ht="13.5" customHeight="1">
      <c r="B109" s="22">
        <v>99</v>
      </c>
      <c r="C109" s="22" t="s">
        <v>39</v>
      </c>
      <c r="D109" s="22" t="s">
        <v>2118</v>
      </c>
      <c r="E109" s="508" t="s">
        <v>2119</v>
      </c>
      <c r="F109" s="26" t="s">
        <v>146</v>
      </c>
      <c r="G109" s="26" t="s">
        <v>1895</v>
      </c>
      <c r="H109" s="73" t="s">
        <v>1896</v>
      </c>
      <c r="I109" s="49" t="s">
        <v>44</v>
      </c>
      <c r="J109" s="34">
        <v>415779</v>
      </c>
      <c r="K109" s="34">
        <v>407157</v>
      </c>
      <c r="L109" s="34">
        <v>0</v>
      </c>
      <c r="M109" s="34">
        <v>8622</v>
      </c>
      <c r="N109" s="34"/>
      <c r="O109" s="34"/>
      <c r="P109" s="492"/>
      <c r="Q109" s="493"/>
      <c r="R109" s="493"/>
      <c r="S109" s="493"/>
      <c r="T109" s="493"/>
      <c r="U109" s="493"/>
      <c r="V109" s="34">
        <f t="shared" si="4"/>
        <v>8622</v>
      </c>
      <c r="W109" s="31">
        <v>8622</v>
      </c>
      <c r="X109" s="27">
        <v>4</v>
      </c>
      <c r="Y109" s="36">
        <v>44202</v>
      </c>
      <c r="Z109" s="36">
        <v>44231</v>
      </c>
      <c r="AA109" s="31"/>
      <c r="AB109" s="214"/>
      <c r="AC109" s="228"/>
      <c r="AD109" s="494"/>
      <c r="AE109" s="31"/>
      <c r="AF109" s="214"/>
      <c r="AG109" s="228"/>
      <c r="AH109" s="494"/>
      <c r="AI109" s="228"/>
      <c r="AJ109" s="494"/>
      <c r="AK109" s="494"/>
      <c r="AL109" s="494"/>
      <c r="AM109" s="228"/>
      <c r="AN109" s="494"/>
      <c r="AO109" s="494"/>
      <c r="AP109" s="494"/>
      <c r="AQ109" s="494"/>
      <c r="AR109" s="494"/>
      <c r="AS109" s="494"/>
      <c r="AT109" s="494"/>
      <c r="AU109" s="494"/>
      <c r="AV109" s="494"/>
      <c r="AW109" s="494"/>
      <c r="AX109" s="494"/>
      <c r="AY109" s="494"/>
      <c r="AZ109" s="494"/>
      <c r="BA109" s="494"/>
      <c r="BB109" s="494"/>
      <c r="BC109" s="494"/>
      <c r="BD109" s="494"/>
      <c r="BE109" s="494"/>
      <c r="BF109" s="494"/>
      <c r="BG109" s="37">
        <f t="shared" si="5"/>
        <v>8622</v>
      </c>
      <c r="BH109" s="525">
        <f t="shared" si="3"/>
        <v>0</v>
      </c>
    </row>
    <row r="110" spans="2:60" s="39" customFormat="1" ht="13.5" customHeight="1">
      <c r="B110" s="22">
        <v>100</v>
      </c>
      <c r="C110" s="22" t="s">
        <v>39</v>
      </c>
      <c r="D110" s="22" t="s">
        <v>2120</v>
      </c>
      <c r="E110" s="508" t="s">
        <v>2121</v>
      </c>
      <c r="F110" s="26" t="s">
        <v>146</v>
      </c>
      <c r="G110" s="26" t="s">
        <v>1895</v>
      </c>
      <c r="H110" s="73" t="s">
        <v>2046</v>
      </c>
      <c r="I110" s="49" t="s">
        <v>44</v>
      </c>
      <c r="J110" s="34">
        <v>9994858</v>
      </c>
      <c r="K110" s="34">
        <v>8878159</v>
      </c>
      <c r="L110" s="34">
        <v>0</v>
      </c>
      <c r="M110" s="34">
        <v>330006</v>
      </c>
      <c r="N110" s="34"/>
      <c r="O110" s="34">
        <v>8055</v>
      </c>
      <c r="P110" s="492"/>
      <c r="Q110" s="493"/>
      <c r="R110" s="493"/>
      <c r="S110" s="493">
        <v>6391.94</v>
      </c>
      <c r="T110" s="493"/>
      <c r="U110" s="493"/>
      <c r="V110" s="34">
        <f t="shared" si="4"/>
        <v>344452.94</v>
      </c>
      <c r="W110" s="31">
        <v>450000</v>
      </c>
      <c r="X110" s="27">
        <v>4</v>
      </c>
      <c r="Y110" s="36">
        <v>44202</v>
      </c>
      <c r="Z110" s="36">
        <v>44231</v>
      </c>
      <c r="AA110" s="31">
        <v>508056</v>
      </c>
      <c r="AB110" s="214">
        <v>18</v>
      </c>
      <c r="AC110" s="494">
        <v>44242</v>
      </c>
      <c r="AD110" s="494">
        <v>44270</v>
      </c>
      <c r="AE110" s="31">
        <v>-613603</v>
      </c>
      <c r="AF110" s="214">
        <v>90</v>
      </c>
      <c r="AG110" s="494">
        <v>44413</v>
      </c>
      <c r="AH110" s="494">
        <v>44428</v>
      </c>
      <c r="AI110" s="228"/>
      <c r="AJ110" s="494"/>
      <c r="AK110" s="494"/>
      <c r="AL110" s="494"/>
      <c r="AM110" s="228"/>
      <c r="AN110" s="494"/>
      <c r="AO110" s="494"/>
      <c r="AP110" s="494"/>
      <c r="AQ110" s="494"/>
      <c r="AR110" s="494"/>
      <c r="AS110" s="494"/>
      <c r="AT110" s="494"/>
      <c r="AU110" s="494"/>
      <c r="AV110" s="494"/>
      <c r="AW110" s="494"/>
      <c r="AX110" s="494"/>
      <c r="AY110" s="494"/>
      <c r="AZ110" s="494"/>
      <c r="BA110" s="494"/>
      <c r="BB110" s="494"/>
      <c r="BC110" s="494"/>
      <c r="BD110" s="494"/>
      <c r="BE110" s="494"/>
      <c r="BF110" s="494"/>
      <c r="BG110" s="37">
        <f t="shared" si="5"/>
        <v>344453</v>
      </c>
      <c r="BH110" s="525">
        <f t="shared" si="3"/>
        <v>5.9999999997671694E-2</v>
      </c>
    </row>
    <row r="111" spans="2:60" s="39" customFormat="1" ht="13.5" customHeight="1">
      <c r="B111" s="22">
        <v>101</v>
      </c>
      <c r="C111" s="22" t="s">
        <v>39</v>
      </c>
      <c r="D111" s="22" t="s">
        <v>2122</v>
      </c>
      <c r="E111" s="508" t="s">
        <v>2123</v>
      </c>
      <c r="F111" s="26" t="s">
        <v>146</v>
      </c>
      <c r="G111" s="26" t="s">
        <v>1895</v>
      </c>
      <c r="H111" s="73" t="s">
        <v>2046</v>
      </c>
      <c r="I111" s="49" t="s">
        <v>52</v>
      </c>
      <c r="J111" s="34">
        <v>2073722</v>
      </c>
      <c r="K111" s="34">
        <v>1034259</v>
      </c>
      <c r="L111" s="34">
        <v>0</v>
      </c>
      <c r="M111" s="34"/>
      <c r="N111" s="34"/>
      <c r="O111" s="34"/>
      <c r="P111" s="492"/>
      <c r="Q111" s="493">
        <v>359048.64500000002</v>
      </c>
      <c r="R111" s="493">
        <v>236208.92</v>
      </c>
      <c r="S111" s="493">
        <v>257415.04800000001</v>
      </c>
      <c r="T111" s="493">
        <v>223926.177</v>
      </c>
      <c r="U111" s="493">
        <v>236765.88</v>
      </c>
      <c r="V111" s="34">
        <f t="shared" si="4"/>
        <v>1313364.67</v>
      </c>
      <c r="W111" s="31">
        <v>750001</v>
      </c>
      <c r="X111" s="27">
        <v>4</v>
      </c>
      <c r="Y111" s="36">
        <v>44202</v>
      </c>
      <c r="Z111" s="36">
        <v>44231</v>
      </c>
      <c r="AA111" s="31">
        <v>409049</v>
      </c>
      <c r="AB111" s="214">
        <v>71</v>
      </c>
      <c r="AC111" s="494">
        <v>44354</v>
      </c>
      <c r="AD111" s="494">
        <v>44376</v>
      </c>
      <c r="AE111" s="31">
        <v>493624</v>
      </c>
      <c r="AF111" s="214">
        <v>90</v>
      </c>
      <c r="AG111" s="494">
        <v>44413</v>
      </c>
      <c r="AH111" s="494">
        <v>44428</v>
      </c>
      <c r="AI111" s="228"/>
      <c r="AJ111" s="494"/>
      <c r="AK111" s="494"/>
      <c r="AL111" s="494"/>
      <c r="AM111" s="228"/>
      <c r="AN111" s="494"/>
      <c r="AO111" s="494"/>
      <c r="AP111" s="494"/>
      <c r="AQ111" s="494"/>
      <c r="AR111" s="494"/>
      <c r="AS111" s="494"/>
      <c r="AT111" s="494"/>
      <c r="AU111" s="494"/>
      <c r="AV111" s="494"/>
      <c r="AW111" s="494"/>
      <c r="AX111" s="494"/>
      <c r="AY111" s="494"/>
      <c r="AZ111" s="494"/>
      <c r="BA111" s="494"/>
      <c r="BB111" s="494"/>
      <c r="BC111" s="494"/>
      <c r="BD111" s="494"/>
      <c r="BE111" s="494"/>
      <c r="BF111" s="494"/>
      <c r="BG111" s="37">
        <f t="shared" si="5"/>
        <v>1652674</v>
      </c>
      <c r="BH111" s="525">
        <f t="shared" si="3"/>
        <v>339309.33000000007</v>
      </c>
    </row>
    <row r="112" spans="2:60" s="39" customFormat="1" ht="13.5" customHeight="1">
      <c r="B112" s="22">
        <v>103</v>
      </c>
      <c r="C112" s="22" t="s">
        <v>39</v>
      </c>
      <c r="D112" s="22" t="s">
        <v>2124</v>
      </c>
      <c r="E112" s="508" t="s">
        <v>2125</v>
      </c>
      <c r="F112" s="26" t="s">
        <v>146</v>
      </c>
      <c r="G112" s="26" t="s">
        <v>1895</v>
      </c>
      <c r="H112" s="73" t="s">
        <v>1932</v>
      </c>
      <c r="I112" s="49" t="s">
        <v>44</v>
      </c>
      <c r="J112" s="34">
        <v>2194607</v>
      </c>
      <c r="K112" s="34">
        <v>9978</v>
      </c>
      <c r="L112" s="34">
        <v>216287</v>
      </c>
      <c r="M112" s="34"/>
      <c r="N112" s="34"/>
      <c r="O112" s="34"/>
      <c r="P112" s="492"/>
      <c r="Q112" s="493"/>
      <c r="R112" s="493"/>
      <c r="S112" s="493"/>
      <c r="T112" s="493"/>
      <c r="U112" s="493"/>
      <c r="V112" s="34">
        <f t="shared" si="4"/>
        <v>0</v>
      </c>
      <c r="W112" s="31">
        <v>1946591</v>
      </c>
      <c r="X112" s="27">
        <v>9</v>
      </c>
      <c r="Y112" s="36">
        <v>44214</v>
      </c>
      <c r="Z112" s="36">
        <v>44246</v>
      </c>
      <c r="AA112" s="31">
        <v>19839</v>
      </c>
      <c r="AB112" s="214">
        <v>55</v>
      </c>
      <c r="AC112" s="494">
        <v>44323</v>
      </c>
      <c r="AD112" s="494">
        <v>44350</v>
      </c>
      <c r="AE112" s="31">
        <v>-1721590</v>
      </c>
      <c r="AF112" s="214">
        <v>104</v>
      </c>
      <c r="AG112" s="494">
        <v>44452</v>
      </c>
      <c r="AH112" s="494">
        <v>44462</v>
      </c>
      <c r="AI112" s="228"/>
      <c r="AJ112" s="494"/>
      <c r="AK112" s="494"/>
      <c r="AL112" s="494"/>
      <c r="AM112" s="228"/>
      <c r="AN112" s="494"/>
      <c r="AO112" s="494"/>
      <c r="AP112" s="494"/>
      <c r="AQ112" s="494"/>
      <c r="AR112" s="494"/>
      <c r="AS112" s="494"/>
      <c r="AT112" s="494"/>
      <c r="AU112" s="494"/>
      <c r="AV112" s="494"/>
      <c r="AW112" s="494"/>
      <c r="AX112" s="494"/>
      <c r="AY112" s="494"/>
      <c r="AZ112" s="494"/>
      <c r="BA112" s="494"/>
      <c r="BB112" s="494"/>
      <c r="BC112" s="494"/>
      <c r="BD112" s="494"/>
      <c r="BE112" s="494"/>
      <c r="BF112" s="494"/>
      <c r="BG112" s="37">
        <f t="shared" si="5"/>
        <v>244840</v>
      </c>
      <c r="BH112" s="525">
        <f t="shared" si="3"/>
        <v>244840</v>
      </c>
    </row>
    <row r="113" spans="2:60" s="39" customFormat="1" ht="13.5" customHeight="1">
      <c r="B113" s="22">
        <v>104</v>
      </c>
      <c r="C113" s="22" t="s">
        <v>39</v>
      </c>
      <c r="D113" s="22" t="s">
        <v>2126</v>
      </c>
      <c r="E113" s="508" t="s">
        <v>2127</v>
      </c>
      <c r="F113" s="26" t="s">
        <v>146</v>
      </c>
      <c r="G113" s="26" t="s">
        <v>1895</v>
      </c>
      <c r="H113" s="73" t="s">
        <v>2128</v>
      </c>
      <c r="I113" s="49" t="s">
        <v>52</v>
      </c>
      <c r="J113" s="34">
        <v>1729307</v>
      </c>
      <c r="K113" s="34">
        <v>778</v>
      </c>
      <c r="L113" s="34">
        <v>724229</v>
      </c>
      <c r="M113" s="34"/>
      <c r="N113" s="34"/>
      <c r="O113" s="34"/>
      <c r="P113" s="492"/>
      <c r="Q113" s="493"/>
      <c r="R113" s="493"/>
      <c r="S113" s="493"/>
      <c r="T113" s="493"/>
      <c r="U113" s="493"/>
      <c r="V113" s="34">
        <f t="shared" si="4"/>
        <v>0</v>
      </c>
      <c r="W113" s="31">
        <v>983451</v>
      </c>
      <c r="X113" s="27">
        <v>9</v>
      </c>
      <c r="Y113" s="36">
        <v>44214</v>
      </c>
      <c r="Z113" s="36">
        <v>44246</v>
      </c>
      <c r="AA113" s="31">
        <v>33520</v>
      </c>
      <c r="AB113" s="214">
        <v>55</v>
      </c>
      <c r="AC113" s="494">
        <v>44323</v>
      </c>
      <c r="AD113" s="494">
        <v>44350</v>
      </c>
      <c r="AE113" s="31">
        <v>-626666</v>
      </c>
      <c r="AF113" s="214">
        <v>89</v>
      </c>
      <c r="AG113" s="494">
        <v>44413</v>
      </c>
      <c r="AH113" s="494">
        <v>44438</v>
      </c>
      <c r="AI113" s="228"/>
      <c r="AJ113" s="494"/>
      <c r="AK113" s="494"/>
      <c r="AL113" s="494"/>
      <c r="AM113" s="228"/>
      <c r="AN113" s="494"/>
      <c r="AO113" s="494"/>
      <c r="AP113" s="494"/>
      <c r="AQ113" s="494"/>
      <c r="AR113" s="494"/>
      <c r="AS113" s="494"/>
      <c r="AT113" s="494"/>
      <c r="AU113" s="494"/>
      <c r="AV113" s="494"/>
      <c r="AW113" s="494"/>
      <c r="AX113" s="494"/>
      <c r="AY113" s="494"/>
      <c r="AZ113" s="494"/>
      <c r="BA113" s="494"/>
      <c r="BB113" s="494"/>
      <c r="BC113" s="494"/>
      <c r="BD113" s="494"/>
      <c r="BE113" s="494"/>
      <c r="BF113" s="494"/>
      <c r="BG113" s="37">
        <f t="shared" si="5"/>
        <v>390305</v>
      </c>
      <c r="BH113" s="525">
        <f t="shared" si="3"/>
        <v>390305</v>
      </c>
    </row>
    <row r="114" spans="2:60" s="39" customFormat="1" ht="13.5" customHeight="1">
      <c r="B114" s="22">
        <v>105</v>
      </c>
      <c r="C114" s="22" t="s">
        <v>39</v>
      </c>
      <c r="D114" s="22" t="s">
        <v>2129</v>
      </c>
      <c r="E114" s="508" t="s">
        <v>2130</v>
      </c>
      <c r="F114" s="26" t="s">
        <v>146</v>
      </c>
      <c r="G114" s="26" t="s">
        <v>1895</v>
      </c>
      <c r="H114" s="73" t="s">
        <v>1896</v>
      </c>
      <c r="I114" s="49" t="s">
        <v>52</v>
      </c>
      <c r="J114" s="34">
        <v>198165</v>
      </c>
      <c r="K114" s="34">
        <v>0</v>
      </c>
      <c r="L114" s="34">
        <v>198163</v>
      </c>
      <c r="M114" s="34"/>
      <c r="N114" s="34"/>
      <c r="O114" s="34"/>
      <c r="P114" s="492"/>
      <c r="Q114" s="493"/>
      <c r="R114" s="493"/>
      <c r="S114" s="493"/>
      <c r="T114" s="493"/>
      <c r="U114" s="493"/>
      <c r="V114" s="34">
        <f t="shared" si="4"/>
        <v>0</v>
      </c>
      <c r="W114" s="31">
        <v>1</v>
      </c>
      <c r="X114" s="27">
        <v>9</v>
      </c>
      <c r="Y114" s="36">
        <v>44214</v>
      </c>
      <c r="Z114" s="36">
        <v>44246</v>
      </c>
      <c r="AA114" s="31">
        <v>2225</v>
      </c>
      <c r="AB114" s="214">
        <v>62</v>
      </c>
      <c r="AC114" s="494">
        <v>44327</v>
      </c>
      <c r="AD114" s="494">
        <v>44355</v>
      </c>
      <c r="AE114" s="31"/>
      <c r="AF114" s="214"/>
      <c r="AG114" s="228"/>
      <c r="AH114" s="494"/>
      <c r="AI114" s="228"/>
      <c r="AJ114" s="494"/>
      <c r="AK114" s="494"/>
      <c r="AL114" s="494"/>
      <c r="AM114" s="228"/>
      <c r="AN114" s="494"/>
      <c r="AO114" s="494"/>
      <c r="AP114" s="494"/>
      <c r="AQ114" s="494"/>
      <c r="AR114" s="494"/>
      <c r="AS114" s="494"/>
      <c r="AT114" s="494"/>
      <c r="AU114" s="494"/>
      <c r="AV114" s="494"/>
      <c r="AW114" s="494"/>
      <c r="AX114" s="494"/>
      <c r="AY114" s="494"/>
      <c r="AZ114" s="494"/>
      <c r="BA114" s="494"/>
      <c r="BB114" s="494"/>
      <c r="BC114" s="494"/>
      <c r="BD114" s="494"/>
      <c r="BE114" s="494"/>
      <c r="BF114" s="494"/>
      <c r="BG114" s="37">
        <f t="shared" si="5"/>
        <v>2226</v>
      </c>
      <c r="BH114" s="525">
        <f t="shared" si="3"/>
        <v>2226</v>
      </c>
    </row>
    <row r="115" spans="2:60" s="39" customFormat="1" ht="13.5" customHeight="1">
      <c r="B115" s="22">
        <v>106</v>
      </c>
      <c r="C115" s="22" t="s">
        <v>39</v>
      </c>
      <c r="D115" s="22" t="s">
        <v>2131</v>
      </c>
      <c r="E115" s="508" t="s">
        <v>2132</v>
      </c>
      <c r="F115" s="26" t="s">
        <v>158</v>
      </c>
      <c r="G115" s="26" t="s">
        <v>1895</v>
      </c>
      <c r="H115" s="73" t="s">
        <v>1941</v>
      </c>
      <c r="I115" s="49" t="s">
        <v>52</v>
      </c>
      <c r="J115" s="34">
        <v>5619966</v>
      </c>
      <c r="K115" s="34">
        <v>0</v>
      </c>
      <c r="L115" s="34">
        <v>5611312</v>
      </c>
      <c r="M115" s="34"/>
      <c r="N115" s="34"/>
      <c r="O115" s="34"/>
      <c r="P115" s="492"/>
      <c r="Q115" s="493"/>
      <c r="R115" s="493"/>
      <c r="S115" s="493"/>
      <c r="T115" s="493"/>
      <c r="U115" s="493"/>
      <c r="V115" s="34">
        <f t="shared" si="4"/>
        <v>0</v>
      </c>
      <c r="W115" s="31">
        <v>2</v>
      </c>
      <c r="X115" s="27">
        <v>9</v>
      </c>
      <c r="Y115" s="36">
        <v>44214</v>
      </c>
      <c r="Z115" s="36">
        <v>44246</v>
      </c>
      <c r="AA115" s="31">
        <v>5000</v>
      </c>
      <c r="AB115" s="214">
        <v>62</v>
      </c>
      <c r="AC115" s="494">
        <v>44327</v>
      </c>
      <c r="AD115" s="494">
        <v>44355</v>
      </c>
      <c r="AE115" s="31"/>
      <c r="AF115" s="214"/>
      <c r="AG115" s="228"/>
      <c r="AH115" s="494"/>
      <c r="AI115" s="228"/>
      <c r="AJ115" s="494"/>
      <c r="AK115" s="494"/>
      <c r="AL115" s="494"/>
      <c r="AM115" s="228"/>
      <c r="AN115" s="494"/>
      <c r="AO115" s="494"/>
      <c r="AP115" s="494"/>
      <c r="AQ115" s="494"/>
      <c r="AR115" s="494"/>
      <c r="AS115" s="494"/>
      <c r="AT115" s="494"/>
      <c r="AU115" s="494"/>
      <c r="AV115" s="494"/>
      <c r="AW115" s="494"/>
      <c r="AX115" s="494"/>
      <c r="AY115" s="494"/>
      <c r="AZ115" s="494"/>
      <c r="BA115" s="494"/>
      <c r="BB115" s="494"/>
      <c r="BC115" s="494"/>
      <c r="BD115" s="494"/>
      <c r="BE115" s="494"/>
      <c r="BF115" s="494"/>
      <c r="BG115" s="37">
        <f t="shared" si="5"/>
        <v>5002</v>
      </c>
      <c r="BH115" s="525">
        <f t="shared" si="3"/>
        <v>5002</v>
      </c>
    </row>
    <row r="116" spans="2:60" s="39" customFormat="1" ht="13.5" customHeight="1">
      <c r="B116" s="22">
        <v>107</v>
      </c>
      <c r="C116" s="22" t="s">
        <v>39</v>
      </c>
      <c r="D116" s="22" t="s">
        <v>2133</v>
      </c>
      <c r="E116" s="508" t="s">
        <v>2134</v>
      </c>
      <c r="F116" s="26" t="s">
        <v>146</v>
      </c>
      <c r="G116" s="26" t="s">
        <v>1895</v>
      </c>
      <c r="H116" s="73" t="s">
        <v>1969</v>
      </c>
      <c r="I116" s="49" t="s">
        <v>44</v>
      </c>
      <c r="J116" s="34">
        <v>2309162</v>
      </c>
      <c r="K116" s="34">
        <v>1014299</v>
      </c>
      <c r="L116" s="34">
        <v>0</v>
      </c>
      <c r="M116" s="34"/>
      <c r="N116" s="34"/>
      <c r="O116" s="34"/>
      <c r="P116" s="505">
        <v>1279460.7930000001</v>
      </c>
      <c r="Q116" s="493"/>
      <c r="R116" s="493"/>
      <c r="S116" s="493"/>
      <c r="T116" s="493"/>
      <c r="U116" s="493"/>
      <c r="V116" s="34">
        <f t="shared" si="4"/>
        <v>1279460.7930000001</v>
      </c>
      <c r="W116" s="31">
        <v>1303483</v>
      </c>
      <c r="X116" s="27">
        <v>9</v>
      </c>
      <c r="Y116" s="36">
        <v>44214</v>
      </c>
      <c r="Z116" s="36">
        <v>44246</v>
      </c>
      <c r="AA116" s="31"/>
      <c r="AB116" s="214"/>
      <c r="AC116" s="228"/>
      <c r="AD116" s="494"/>
      <c r="AE116" s="31"/>
      <c r="AF116" s="214"/>
      <c r="AG116" s="228"/>
      <c r="AH116" s="494"/>
      <c r="AI116" s="228"/>
      <c r="AJ116" s="494"/>
      <c r="AK116" s="494"/>
      <c r="AL116" s="494"/>
      <c r="AM116" s="228"/>
      <c r="AN116" s="494"/>
      <c r="AO116" s="494"/>
      <c r="AP116" s="494"/>
      <c r="AQ116" s="494"/>
      <c r="AR116" s="494"/>
      <c r="AS116" s="494"/>
      <c r="AT116" s="494"/>
      <c r="AU116" s="494"/>
      <c r="AV116" s="494"/>
      <c r="AW116" s="494"/>
      <c r="AX116" s="494"/>
      <c r="AY116" s="494"/>
      <c r="AZ116" s="494"/>
      <c r="BA116" s="494"/>
      <c r="BB116" s="494"/>
      <c r="BC116" s="494"/>
      <c r="BD116" s="494"/>
      <c r="BE116" s="494"/>
      <c r="BF116" s="494"/>
      <c r="BG116" s="37">
        <f t="shared" si="5"/>
        <v>1303483</v>
      </c>
      <c r="BH116" s="525">
        <f t="shared" si="3"/>
        <v>24022.206999999937</v>
      </c>
    </row>
    <row r="117" spans="2:60" s="39" customFormat="1" ht="13.5" customHeight="1">
      <c r="B117" s="22">
        <v>108</v>
      </c>
      <c r="C117" s="22" t="s">
        <v>39</v>
      </c>
      <c r="D117" s="22" t="s">
        <v>2135</v>
      </c>
      <c r="E117" s="508" t="s">
        <v>2136</v>
      </c>
      <c r="F117" s="26" t="s">
        <v>146</v>
      </c>
      <c r="G117" s="26" t="s">
        <v>1895</v>
      </c>
      <c r="H117" s="73" t="s">
        <v>2023</v>
      </c>
      <c r="I117" s="49" t="s">
        <v>44</v>
      </c>
      <c r="J117" s="34">
        <v>280668</v>
      </c>
      <c r="K117" s="34">
        <v>264860</v>
      </c>
      <c r="L117" s="34">
        <v>0</v>
      </c>
      <c r="M117" s="34"/>
      <c r="N117" s="34"/>
      <c r="O117" s="34"/>
      <c r="P117" s="492"/>
      <c r="Q117" s="493"/>
      <c r="R117" s="493">
        <v>9484.7759999999998</v>
      </c>
      <c r="S117" s="493"/>
      <c r="T117" s="493"/>
      <c r="U117" s="493"/>
      <c r="V117" s="34">
        <f t="shared" si="4"/>
        <v>9484.7759999999998</v>
      </c>
      <c r="W117" s="31">
        <v>15018</v>
      </c>
      <c r="X117" s="27">
        <v>9</v>
      </c>
      <c r="Y117" s="36">
        <v>44214</v>
      </c>
      <c r="Z117" s="36">
        <v>44246</v>
      </c>
      <c r="AA117" s="31">
        <v>790</v>
      </c>
      <c r="AB117" s="214">
        <v>46</v>
      </c>
      <c r="AC117" s="494">
        <v>44295</v>
      </c>
      <c r="AD117" s="494">
        <v>44327</v>
      </c>
      <c r="AE117" s="31"/>
      <c r="AF117" s="214"/>
      <c r="AG117" s="228"/>
      <c r="AH117" s="494"/>
      <c r="AI117" s="228"/>
      <c r="AJ117" s="494"/>
      <c r="AK117" s="494"/>
      <c r="AL117" s="494"/>
      <c r="AM117" s="228"/>
      <c r="AN117" s="494"/>
      <c r="AO117" s="494"/>
      <c r="AP117" s="494"/>
      <c r="AQ117" s="494"/>
      <c r="AR117" s="494"/>
      <c r="AS117" s="494"/>
      <c r="AT117" s="494"/>
      <c r="AU117" s="494"/>
      <c r="AV117" s="494"/>
      <c r="AW117" s="494"/>
      <c r="AX117" s="494"/>
      <c r="AY117" s="494"/>
      <c r="AZ117" s="494"/>
      <c r="BA117" s="494"/>
      <c r="BB117" s="494"/>
      <c r="BC117" s="494"/>
      <c r="BD117" s="494"/>
      <c r="BE117" s="494"/>
      <c r="BF117" s="494"/>
      <c r="BG117" s="37">
        <f t="shared" si="5"/>
        <v>15808</v>
      </c>
      <c r="BH117" s="525">
        <f t="shared" si="3"/>
        <v>6323.2240000000002</v>
      </c>
    </row>
    <row r="118" spans="2:60" s="39" customFormat="1" ht="13.5" customHeight="1">
      <c r="B118" s="22">
        <v>109</v>
      </c>
      <c r="C118" s="22" t="s">
        <v>39</v>
      </c>
      <c r="D118" s="22" t="s">
        <v>2137</v>
      </c>
      <c r="E118" s="508" t="s">
        <v>2138</v>
      </c>
      <c r="F118" s="26" t="s">
        <v>146</v>
      </c>
      <c r="G118" s="26" t="s">
        <v>1895</v>
      </c>
      <c r="H118" s="73" t="s">
        <v>1960</v>
      </c>
      <c r="I118" s="49" t="s">
        <v>44</v>
      </c>
      <c r="J118" s="34">
        <v>1976346</v>
      </c>
      <c r="K118" s="34">
        <v>181052</v>
      </c>
      <c r="L118" s="34">
        <v>0</v>
      </c>
      <c r="M118" s="34"/>
      <c r="N118" s="34"/>
      <c r="O118" s="34"/>
      <c r="P118" s="492"/>
      <c r="Q118" s="493"/>
      <c r="R118" s="493"/>
      <c r="S118" s="493"/>
      <c r="T118" s="493"/>
      <c r="U118" s="493"/>
      <c r="V118" s="34">
        <f t="shared" si="4"/>
        <v>0</v>
      </c>
      <c r="W118" s="31">
        <v>137635</v>
      </c>
      <c r="X118" s="27">
        <v>9</v>
      </c>
      <c r="Y118" s="36">
        <v>44214</v>
      </c>
      <c r="Z118" s="36">
        <v>44246</v>
      </c>
      <c r="AA118" s="31">
        <v>-137635</v>
      </c>
      <c r="AB118" s="214">
        <v>93</v>
      </c>
      <c r="AC118" s="494">
        <v>44426</v>
      </c>
      <c r="AD118" s="494">
        <v>44442</v>
      </c>
      <c r="AE118" s="31"/>
      <c r="AF118" s="214"/>
      <c r="AG118" s="228"/>
      <c r="AH118" s="494"/>
      <c r="AI118" s="228"/>
      <c r="AJ118" s="494"/>
      <c r="AK118" s="494"/>
      <c r="AL118" s="494"/>
      <c r="AM118" s="228"/>
      <c r="AN118" s="494"/>
      <c r="AO118" s="494"/>
      <c r="AP118" s="494"/>
      <c r="AQ118" s="494"/>
      <c r="AR118" s="494"/>
      <c r="AS118" s="494"/>
      <c r="AT118" s="494"/>
      <c r="AU118" s="494"/>
      <c r="AV118" s="494"/>
      <c r="AW118" s="494"/>
      <c r="AX118" s="494"/>
      <c r="AY118" s="494"/>
      <c r="AZ118" s="494"/>
      <c r="BA118" s="494"/>
      <c r="BB118" s="494"/>
      <c r="BC118" s="494"/>
      <c r="BD118" s="494"/>
      <c r="BE118" s="494"/>
      <c r="BF118" s="494"/>
      <c r="BG118" s="37">
        <f t="shared" si="5"/>
        <v>0</v>
      </c>
      <c r="BH118" s="525">
        <f t="shared" si="3"/>
        <v>0</v>
      </c>
    </row>
    <row r="119" spans="2:60" s="39" customFormat="1" ht="13.5" customHeight="1">
      <c r="B119" s="22">
        <v>110</v>
      </c>
      <c r="C119" s="22" t="s">
        <v>39</v>
      </c>
      <c r="D119" s="22" t="s">
        <v>2139</v>
      </c>
      <c r="E119" s="508" t="s">
        <v>2140</v>
      </c>
      <c r="F119" s="26" t="s">
        <v>146</v>
      </c>
      <c r="G119" s="26" t="s">
        <v>1895</v>
      </c>
      <c r="H119" s="73" t="s">
        <v>1948</v>
      </c>
      <c r="I119" s="49" t="s">
        <v>44</v>
      </c>
      <c r="J119" s="34">
        <v>1106026</v>
      </c>
      <c r="K119" s="34">
        <v>1049690</v>
      </c>
      <c r="L119" s="34">
        <v>0</v>
      </c>
      <c r="M119" s="34">
        <v>9360</v>
      </c>
      <c r="N119" s="34"/>
      <c r="O119" s="34"/>
      <c r="P119" s="492"/>
      <c r="Q119" s="493"/>
      <c r="R119" s="493"/>
      <c r="S119" s="493"/>
      <c r="T119" s="493"/>
      <c r="U119" s="493"/>
      <c r="V119" s="34">
        <f t="shared" si="4"/>
        <v>9360</v>
      </c>
      <c r="W119" s="31">
        <v>56336</v>
      </c>
      <c r="X119" s="27">
        <v>9</v>
      </c>
      <c r="Y119" s="36">
        <v>44214</v>
      </c>
      <c r="Z119" s="36">
        <v>44246</v>
      </c>
      <c r="AA119" s="31"/>
      <c r="AB119" s="214"/>
      <c r="AC119" s="228"/>
      <c r="AD119" s="494"/>
      <c r="AE119" s="31"/>
      <c r="AF119" s="214"/>
      <c r="AG119" s="228"/>
      <c r="AH119" s="494"/>
      <c r="AI119" s="228"/>
      <c r="AJ119" s="494"/>
      <c r="AK119" s="494"/>
      <c r="AL119" s="494"/>
      <c r="AM119" s="228"/>
      <c r="AN119" s="494"/>
      <c r="AO119" s="494"/>
      <c r="AP119" s="494"/>
      <c r="AQ119" s="494"/>
      <c r="AR119" s="494"/>
      <c r="AS119" s="494"/>
      <c r="AT119" s="494"/>
      <c r="AU119" s="494"/>
      <c r="AV119" s="494"/>
      <c r="AW119" s="494"/>
      <c r="AX119" s="494"/>
      <c r="AY119" s="494"/>
      <c r="AZ119" s="494"/>
      <c r="BA119" s="494"/>
      <c r="BB119" s="494"/>
      <c r="BC119" s="494"/>
      <c r="BD119" s="494"/>
      <c r="BE119" s="494"/>
      <c r="BF119" s="494"/>
      <c r="BG119" s="37">
        <f t="shared" si="5"/>
        <v>56336</v>
      </c>
      <c r="BH119" s="525">
        <f t="shared" si="3"/>
        <v>46976</v>
      </c>
    </row>
    <row r="120" spans="2:60" s="39" customFormat="1" ht="13.5" customHeight="1">
      <c r="B120" s="22">
        <v>111</v>
      </c>
      <c r="C120" s="22" t="s">
        <v>39</v>
      </c>
      <c r="D120" s="22" t="s">
        <v>2141</v>
      </c>
      <c r="E120" s="508" t="s">
        <v>2142</v>
      </c>
      <c r="F120" s="26" t="s">
        <v>146</v>
      </c>
      <c r="G120" s="26" t="s">
        <v>1895</v>
      </c>
      <c r="H120" s="73" t="s">
        <v>1966</v>
      </c>
      <c r="I120" s="49" t="s">
        <v>44</v>
      </c>
      <c r="J120" s="34">
        <v>3595094</v>
      </c>
      <c r="K120" s="34">
        <v>3548845</v>
      </c>
      <c r="L120" s="34">
        <v>0</v>
      </c>
      <c r="M120" s="34">
        <v>6329</v>
      </c>
      <c r="N120" s="34"/>
      <c r="O120" s="34"/>
      <c r="P120" s="492"/>
      <c r="Q120" s="493"/>
      <c r="R120" s="493"/>
      <c r="S120" s="493">
        <v>2723.4259999999999</v>
      </c>
      <c r="T120" s="493"/>
      <c r="U120" s="493"/>
      <c r="V120" s="34">
        <f t="shared" si="4"/>
        <v>9052.4259999999995</v>
      </c>
      <c r="W120" s="31">
        <v>46249</v>
      </c>
      <c r="X120" s="27">
        <v>9</v>
      </c>
      <c r="Y120" s="36">
        <v>44214</v>
      </c>
      <c r="Z120" s="36">
        <v>44246</v>
      </c>
      <c r="AA120" s="31">
        <v>19272</v>
      </c>
      <c r="AB120" s="214">
        <v>55</v>
      </c>
      <c r="AC120" s="494">
        <v>44323</v>
      </c>
      <c r="AD120" s="494">
        <v>44350</v>
      </c>
      <c r="AE120" s="31">
        <v>-18106</v>
      </c>
      <c r="AF120" s="214">
        <v>89</v>
      </c>
      <c r="AG120" s="494">
        <v>44413</v>
      </c>
      <c r="AH120" s="494">
        <v>44438</v>
      </c>
      <c r="AI120" s="228"/>
      <c r="AJ120" s="494"/>
      <c r="AK120" s="494"/>
      <c r="AL120" s="494"/>
      <c r="AM120" s="228"/>
      <c r="AN120" s="494"/>
      <c r="AO120" s="494"/>
      <c r="AP120" s="494"/>
      <c r="AQ120" s="494"/>
      <c r="AR120" s="494"/>
      <c r="AS120" s="494"/>
      <c r="AT120" s="494"/>
      <c r="AU120" s="494"/>
      <c r="AV120" s="494"/>
      <c r="AW120" s="494"/>
      <c r="AX120" s="494"/>
      <c r="AY120" s="494"/>
      <c r="AZ120" s="494"/>
      <c r="BA120" s="494"/>
      <c r="BB120" s="494"/>
      <c r="BC120" s="494"/>
      <c r="BD120" s="494"/>
      <c r="BE120" s="494"/>
      <c r="BF120" s="494"/>
      <c r="BG120" s="37">
        <f t="shared" si="5"/>
        <v>47415</v>
      </c>
      <c r="BH120" s="525">
        <f t="shared" si="3"/>
        <v>38362.574000000001</v>
      </c>
    </row>
    <row r="121" spans="2:60" s="39" customFormat="1" ht="13.5" customHeight="1">
      <c r="B121" s="22">
        <v>112</v>
      </c>
      <c r="C121" s="22" t="s">
        <v>39</v>
      </c>
      <c r="D121" s="22" t="s">
        <v>2143</v>
      </c>
      <c r="E121" s="508" t="s">
        <v>2144</v>
      </c>
      <c r="F121" s="26" t="s">
        <v>146</v>
      </c>
      <c r="G121" s="26" t="s">
        <v>1895</v>
      </c>
      <c r="H121" s="73" t="s">
        <v>1896</v>
      </c>
      <c r="I121" s="49" t="s">
        <v>44</v>
      </c>
      <c r="J121" s="34">
        <v>7037908</v>
      </c>
      <c r="K121" s="34">
        <v>5638060</v>
      </c>
      <c r="L121" s="34">
        <v>34848</v>
      </c>
      <c r="M121" s="34">
        <v>973057</v>
      </c>
      <c r="N121" s="34"/>
      <c r="O121" s="34"/>
      <c r="P121" s="505">
        <v>28952.330999999998</v>
      </c>
      <c r="Q121" s="493">
        <v>16384.196</v>
      </c>
      <c r="R121" s="493"/>
      <c r="S121" s="493"/>
      <c r="T121" s="493"/>
      <c r="U121" s="493"/>
      <c r="V121" s="34">
        <f t="shared" si="4"/>
        <v>1018393.527</v>
      </c>
      <c r="W121" s="31">
        <v>1311400</v>
      </c>
      <c r="X121" s="27">
        <v>9</v>
      </c>
      <c r="Y121" s="36">
        <v>44214</v>
      </c>
      <c r="Z121" s="36">
        <v>44246</v>
      </c>
      <c r="AA121" s="31">
        <v>-326942</v>
      </c>
      <c r="AB121" s="214">
        <v>22</v>
      </c>
      <c r="AC121" s="494">
        <v>44256</v>
      </c>
      <c r="AD121" s="494">
        <v>44277</v>
      </c>
      <c r="AE121" s="31">
        <v>33937</v>
      </c>
      <c r="AF121" s="214">
        <v>25</v>
      </c>
      <c r="AG121" s="494">
        <v>44263</v>
      </c>
      <c r="AH121" s="494">
        <v>44292</v>
      </c>
      <c r="AI121" s="228">
        <v>17023</v>
      </c>
      <c r="AJ121" s="228">
        <v>40</v>
      </c>
      <c r="AK121" s="494">
        <v>44294</v>
      </c>
      <c r="AL121" s="494">
        <v>44312</v>
      </c>
      <c r="AM121" s="228">
        <v>-17023</v>
      </c>
      <c r="AN121" s="228">
        <v>78</v>
      </c>
      <c r="AO121" s="494">
        <v>44382</v>
      </c>
      <c r="AP121" s="494">
        <v>44404</v>
      </c>
      <c r="AQ121" s="494"/>
      <c r="AR121" s="494"/>
      <c r="AS121" s="494"/>
      <c r="AT121" s="494"/>
      <c r="AU121" s="494"/>
      <c r="AV121" s="494"/>
      <c r="AW121" s="494"/>
      <c r="AX121" s="494"/>
      <c r="AY121" s="494"/>
      <c r="AZ121" s="494"/>
      <c r="BA121" s="494"/>
      <c r="BB121" s="494"/>
      <c r="BC121" s="494"/>
      <c r="BD121" s="494"/>
      <c r="BE121" s="494"/>
      <c r="BF121" s="494"/>
      <c r="BG121" s="37">
        <f t="shared" si="5"/>
        <v>1018395</v>
      </c>
      <c r="BH121" s="525">
        <f t="shared" si="3"/>
        <v>1.4729999999981374</v>
      </c>
    </row>
    <row r="122" spans="2:60" s="39" customFormat="1" ht="13.5" customHeight="1">
      <c r="B122" s="22">
        <v>113</v>
      </c>
      <c r="C122" s="22" t="s">
        <v>39</v>
      </c>
      <c r="D122" s="22" t="s">
        <v>2145</v>
      </c>
      <c r="E122" s="508" t="s">
        <v>2146</v>
      </c>
      <c r="F122" s="26" t="s">
        <v>146</v>
      </c>
      <c r="G122" s="26" t="s">
        <v>1895</v>
      </c>
      <c r="H122" s="73" t="s">
        <v>1979</v>
      </c>
      <c r="I122" s="49" t="s">
        <v>52</v>
      </c>
      <c r="J122" s="34">
        <v>485455</v>
      </c>
      <c r="K122" s="34">
        <v>0</v>
      </c>
      <c r="L122" s="34">
        <v>0</v>
      </c>
      <c r="M122" s="34"/>
      <c r="N122" s="34"/>
      <c r="O122" s="34"/>
      <c r="P122" s="492"/>
      <c r="Q122" s="493"/>
      <c r="R122" s="493"/>
      <c r="S122" s="493"/>
      <c r="T122" s="493">
        <v>67269.195000000007</v>
      </c>
      <c r="U122" s="493"/>
      <c r="V122" s="34">
        <f t="shared" si="4"/>
        <v>67269.195000000007</v>
      </c>
      <c r="W122" s="31">
        <v>67270</v>
      </c>
      <c r="X122" s="27">
        <v>9</v>
      </c>
      <c r="Y122" s="36">
        <v>44214</v>
      </c>
      <c r="Z122" s="36">
        <v>44246</v>
      </c>
      <c r="AA122" s="31"/>
      <c r="AB122" s="214"/>
      <c r="AC122" s="494"/>
      <c r="AD122" s="494"/>
      <c r="AE122" s="31"/>
      <c r="AF122" s="214"/>
      <c r="AG122" s="228"/>
      <c r="AH122" s="494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  <c r="BC122" s="228"/>
      <c r="BD122" s="228"/>
      <c r="BE122" s="228"/>
      <c r="BF122" s="228"/>
      <c r="BG122" s="37">
        <f t="shared" si="5"/>
        <v>67270</v>
      </c>
      <c r="BH122" s="525">
        <f t="shared" si="3"/>
        <v>0.80499999999301508</v>
      </c>
    </row>
    <row r="123" spans="2:60" s="39" customFormat="1" ht="13.5" customHeight="1">
      <c r="B123" s="22">
        <v>114</v>
      </c>
      <c r="C123" s="22" t="s">
        <v>39</v>
      </c>
      <c r="D123" s="22" t="s">
        <v>2147</v>
      </c>
      <c r="E123" s="508" t="s">
        <v>2148</v>
      </c>
      <c r="F123" s="26" t="s">
        <v>146</v>
      </c>
      <c r="G123" s="26" t="s">
        <v>1895</v>
      </c>
      <c r="H123" s="73" t="s">
        <v>1957</v>
      </c>
      <c r="I123" s="49" t="s">
        <v>52</v>
      </c>
      <c r="J123" s="34">
        <v>786405</v>
      </c>
      <c r="K123" s="34">
        <v>262135</v>
      </c>
      <c r="L123" s="34">
        <v>0</v>
      </c>
      <c r="M123" s="34"/>
      <c r="N123" s="34"/>
      <c r="O123" s="34"/>
      <c r="P123" s="492"/>
      <c r="Q123" s="493"/>
      <c r="R123" s="493"/>
      <c r="S123" s="493"/>
      <c r="T123" s="493"/>
      <c r="U123" s="493"/>
      <c r="V123" s="34">
        <f t="shared" si="4"/>
        <v>0</v>
      </c>
      <c r="W123" s="31">
        <v>105000</v>
      </c>
      <c r="X123" s="27">
        <v>9</v>
      </c>
      <c r="Y123" s="36">
        <v>44214</v>
      </c>
      <c r="Z123" s="36">
        <v>44246</v>
      </c>
      <c r="AA123" s="31"/>
      <c r="AB123" s="214"/>
      <c r="AC123" s="494"/>
      <c r="AD123" s="494"/>
      <c r="AE123" s="31"/>
      <c r="AF123" s="214"/>
      <c r="AG123" s="228"/>
      <c r="AH123" s="494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Y123" s="228"/>
      <c r="AZ123" s="228"/>
      <c r="BA123" s="228"/>
      <c r="BB123" s="228"/>
      <c r="BC123" s="228"/>
      <c r="BD123" s="228"/>
      <c r="BE123" s="228"/>
      <c r="BF123" s="228"/>
      <c r="BG123" s="37">
        <f t="shared" si="5"/>
        <v>105000</v>
      </c>
      <c r="BH123" s="525">
        <f t="shared" si="3"/>
        <v>105000</v>
      </c>
    </row>
    <row r="124" spans="2:60" s="39" customFormat="1" ht="13.5" customHeight="1">
      <c r="B124" s="22">
        <v>116</v>
      </c>
      <c r="C124" s="22" t="s">
        <v>39</v>
      </c>
      <c r="D124" s="22" t="s">
        <v>2149</v>
      </c>
      <c r="E124" s="508" t="s">
        <v>2150</v>
      </c>
      <c r="F124" s="26" t="s">
        <v>146</v>
      </c>
      <c r="G124" s="26" t="s">
        <v>1895</v>
      </c>
      <c r="H124" s="73" t="s">
        <v>1919</v>
      </c>
      <c r="I124" s="49" t="s">
        <v>44</v>
      </c>
      <c r="J124" s="34">
        <v>837754</v>
      </c>
      <c r="K124" s="34">
        <v>18959</v>
      </c>
      <c r="L124" s="34">
        <v>51289</v>
      </c>
      <c r="M124" s="34">
        <v>37000</v>
      </c>
      <c r="N124" s="34">
        <v>46845.042999999998</v>
      </c>
      <c r="O124" s="34"/>
      <c r="P124" s="505">
        <v>86623.434999999998</v>
      </c>
      <c r="Q124" s="493"/>
      <c r="R124" s="493">
        <v>45322.044000000002</v>
      </c>
      <c r="S124" s="493">
        <v>51552.589</v>
      </c>
      <c r="T124" s="493">
        <v>34993.360000000001</v>
      </c>
      <c r="U124" s="493">
        <v>1500</v>
      </c>
      <c r="V124" s="34">
        <f t="shared" si="4"/>
        <v>303836.47099999996</v>
      </c>
      <c r="W124" s="31">
        <v>413839</v>
      </c>
      <c r="X124" s="27">
        <v>11</v>
      </c>
      <c r="Y124" s="36">
        <v>44221</v>
      </c>
      <c r="Z124" s="36">
        <v>44246</v>
      </c>
      <c r="AA124" s="31">
        <v>119161</v>
      </c>
      <c r="AB124" s="214">
        <v>25</v>
      </c>
      <c r="AC124" s="494">
        <v>44263</v>
      </c>
      <c r="AD124" s="494">
        <v>44292</v>
      </c>
      <c r="AE124" s="31">
        <v>4500</v>
      </c>
      <c r="AF124" s="214">
        <v>62</v>
      </c>
      <c r="AG124" s="494">
        <v>44327</v>
      </c>
      <c r="AH124" s="494">
        <v>44355</v>
      </c>
      <c r="AI124" s="228">
        <v>344</v>
      </c>
      <c r="AJ124" s="228">
        <v>105</v>
      </c>
      <c r="AK124" s="494">
        <v>44452</v>
      </c>
      <c r="AL124" s="494">
        <v>44466</v>
      </c>
      <c r="AM124" s="228"/>
      <c r="AN124" s="228"/>
      <c r="AO124" s="228"/>
      <c r="AP124" s="228"/>
      <c r="AQ124" s="228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D124" s="228"/>
      <c r="BE124" s="228"/>
      <c r="BF124" s="228"/>
      <c r="BG124" s="37">
        <f t="shared" si="5"/>
        <v>537844</v>
      </c>
      <c r="BH124" s="525">
        <f t="shared" si="3"/>
        <v>234007.52900000004</v>
      </c>
    </row>
    <row r="125" spans="2:60" s="39" customFormat="1" ht="13.5" customHeight="1">
      <c r="B125" s="22">
        <v>117</v>
      </c>
      <c r="C125" s="22" t="s">
        <v>39</v>
      </c>
      <c r="D125" s="22" t="s">
        <v>2151</v>
      </c>
      <c r="E125" s="508" t="s">
        <v>2152</v>
      </c>
      <c r="F125" s="26" t="s">
        <v>146</v>
      </c>
      <c r="G125" s="26" t="s">
        <v>1895</v>
      </c>
      <c r="H125" s="73" t="s">
        <v>1969</v>
      </c>
      <c r="I125" s="49" t="s">
        <v>52</v>
      </c>
      <c r="J125" s="34">
        <v>16667069</v>
      </c>
      <c r="K125" s="34">
        <v>2118000</v>
      </c>
      <c r="L125" s="34">
        <v>14549069</v>
      </c>
      <c r="M125" s="34"/>
      <c r="N125" s="34"/>
      <c r="O125" s="34"/>
      <c r="P125" s="492"/>
      <c r="Q125" s="493"/>
      <c r="R125" s="493"/>
      <c r="S125" s="493"/>
      <c r="T125" s="493">
        <v>133432.50700000001</v>
      </c>
      <c r="U125" s="493">
        <v>416337.97899999999</v>
      </c>
      <c r="V125" s="34">
        <f t="shared" si="4"/>
        <v>549770.48600000003</v>
      </c>
      <c r="W125" s="31">
        <v>365171</v>
      </c>
      <c r="X125" s="27">
        <v>11</v>
      </c>
      <c r="Y125" s="36">
        <v>44221</v>
      </c>
      <c r="Z125" s="36">
        <v>44246</v>
      </c>
      <c r="AA125" s="31">
        <v>200000</v>
      </c>
      <c r="AB125" s="214">
        <v>25</v>
      </c>
      <c r="AC125" s="494">
        <v>44263</v>
      </c>
      <c r="AD125" s="494">
        <v>44292</v>
      </c>
      <c r="AE125" s="31">
        <v>250000</v>
      </c>
      <c r="AF125" s="214">
        <v>55</v>
      </c>
      <c r="AG125" s="494">
        <v>44323</v>
      </c>
      <c r="AH125" s="494">
        <v>44350</v>
      </c>
      <c r="AI125" s="228">
        <v>82427</v>
      </c>
      <c r="AJ125" s="228">
        <v>105</v>
      </c>
      <c r="AK125" s="494">
        <v>44452</v>
      </c>
      <c r="AL125" s="494">
        <v>44466</v>
      </c>
      <c r="AM125" s="228"/>
      <c r="AN125" s="228"/>
      <c r="AO125" s="228"/>
      <c r="AP125" s="228"/>
      <c r="AQ125" s="228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D125" s="228"/>
      <c r="BE125" s="228"/>
      <c r="BF125" s="228"/>
      <c r="BG125" s="37">
        <f t="shared" si="5"/>
        <v>897598</v>
      </c>
      <c r="BH125" s="525">
        <f t="shared" si="3"/>
        <v>347827.51399999997</v>
      </c>
    </row>
    <row r="126" spans="2:60" s="39" customFormat="1" ht="13.5" customHeight="1">
      <c r="B126" s="22">
        <v>118</v>
      </c>
      <c r="C126" s="22" t="s">
        <v>39</v>
      </c>
      <c r="D126" s="22" t="s">
        <v>2153</v>
      </c>
      <c r="E126" s="508" t="s">
        <v>2154</v>
      </c>
      <c r="F126" s="26" t="s">
        <v>146</v>
      </c>
      <c r="G126" s="26" t="s">
        <v>1895</v>
      </c>
      <c r="H126" s="73" t="s">
        <v>1927</v>
      </c>
      <c r="I126" s="49" t="s">
        <v>44</v>
      </c>
      <c r="J126" s="34">
        <v>518233</v>
      </c>
      <c r="K126" s="34">
        <v>416883</v>
      </c>
      <c r="L126" s="34">
        <v>0</v>
      </c>
      <c r="M126" s="34"/>
      <c r="N126" s="34"/>
      <c r="O126" s="34"/>
      <c r="P126" s="492"/>
      <c r="Q126" s="493">
        <v>40925.311999999998</v>
      </c>
      <c r="R126" s="493"/>
      <c r="S126" s="493"/>
      <c r="T126" s="493"/>
      <c r="U126" s="493"/>
      <c r="V126" s="34">
        <f t="shared" si="4"/>
        <v>40925.311999999998</v>
      </c>
      <c r="W126" s="31">
        <v>30000</v>
      </c>
      <c r="X126" s="27">
        <v>11</v>
      </c>
      <c r="Y126" s="36">
        <v>44221</v>
      </c>
      <c r="Z126" s="36">
        <v>44246</v>
      </c>
      <c r="AA126" s="31">
        <v>20000</v>
      </c>
      <c r="AB126" s="214">
        <v>25</v>
      </c>
      <c r="AC126" s="494">
        <v>44263</v>
      </c>
      <c r="AD126" s="494">
        <v>44292</v>
      </c>
      <c r="AE126" s="31">
        <v>40000</v>
      </c>
      <c r="AF126" s="214">
        <v>46</v>
      </c>
      <c r="AG126" s="494">
        <v>44295</v>
      </c>
      <c r="AH126" s="494">
        <v>44327</v>
      </c>
      <c r="AI126" s="228"/>
      <c r="AJ126" s="228"/>
      <c r="AK126" s="228"/>
      <c r="AL126" s="228"/>
      <c r="AM126" s="228"/>
      <c r="AN126" s="228"/>
      <c r="AO126" s="228"/>
      <c r="AP126" s="228"/>
      <c r="AQ126" s="228"/>
      <c r="AR126" s="228"/>
      <c r="AS126" s="228"/>
      <c r="AT126" s="228"/>
      <c r="AU126" s="228"/>
      <c r="AV126" s="228"/>
      <c r="AW126" s="228"/>
      <c r="AX126" s="228"/>
      <c r="AY126" s="228"/>
      <c r="AZ126" s="228"/>
      <c r="BA126" s="228"/>
      <c r="BB126" s="228"/>
      <c r="BC126" s="228"/>
      <c r="BD126" s="228"/>
      <c r="BE126" s="228"/>
      <c r="BF126" s="228"/>
      <c r="BG126" s="37">
        <f t="shared" si="5"/>
        <v>90000</v>
      </c>
      <c r="BH126" s="525">
        <f t="shared" si="3"/>
        <v>49074.688000000002</v>
      </c>
    </row>
    <row r="127" spans="2:60" s="39" customFormat="1" ht="13.5" customHeight="1">
      <c r="B127" s="22">
        <v>119</v>
      </c>
      <c r="C127" s="22" t="s">
        <v>39</v>
      </c>
      <c r="D127" s="22" t="s">
        <v>2155</v>
      </c>
      <c r="E127" s="508" t="s">
        <v>2156</v>
      </c>
      <c r="F127" s="26" t="s">
        <v>158</v>
      </c>
      <c r="G127" s="26" t="s">
        <v>1895</v>
      </c>
      <c r="H127" s="73" t="s">
        <v>1927</v>
      </c>
      <c r="I127" s="49" t="s">
        <v>44</v>
      </c>
      <c r="J127" s="34">
        <v>56679</v>
      </c>
      <c r="K127" s="34">
        <v>31288</v>
      </c>
      <c r="L127" s="34">
        <v>0</v>
      </c>
      <c r="M127" s="34"/>
      <c r="N127" s="34"/>
      <c r="O127" s="34"/>
      <c r="P127" s="505">
        <v>1399.279</v>
      </c>
      <c r="Q127" s="493">
        <v>20400</v>
      </c>
      <c r="R127" s="493"/>
      <c r="S127" s="493"/>
      <c r="T127" s="493"/>
      <c r="U127" s="493"/>
      <c r="V127" s="34">
        <f t="shared" si="4"/>
        <v>21799.278999999999</v>
      </c>
      <c r="W127" s="31">
        <v>1387</v>
      </c>
      <c r="X127" s="27">
        <v>11</v>
      </c>
      <c r="Y127" s="36">
        <v>44221</v>
      </c>
      <c r="Z127" s="36">
        <v>44246</v>
      </c>
      <c r="AA127" s="31">
        <v>20413</v>
      </c>
      <c r="AB127" s="214">
        <v>25</v>
      </c>
      <c r="AC127" s="494">
        <v>44263</v>
      </c>
      <c r="AD127" s="494">
        <v>44292</v>
      </c>
      <c r="AE127" s="31"/>
      <c r="AF127" s="214"/>
      <c r="AG127" s="228"/>
      <c r="AH127" s="494"/>
      <c r="AI127" s="228"/>
      <c r="AJ127" s="228"/>
      <c r="AK127" s="228"/>
      <c r="AL127" s="228"/>
      <c r="AM127" s="228"/>
      <c r="AN127" s="228"/>
      <c r="AO127" s="228"/>
      <c r="AP127" s="228"/>
      <c r="AQ127" s="228"/>
      <c r="AR127" s="228"/>
      <c r="AS127" s="228"/>
      <c r="AT127" s="228"/>
      <c r="AU127" s="228"/>
      <c r="AV127" s="228"/>
      <c r="AW127" s="228"/>
      <c r="AX127" s="228"/>
      <c r="AY127" s="228"/>
      <c r="AZ127" s="228"/>
      <c r="BA127" s="228"/>
      <c r="BB127" s="228"/>
      <c r="BC127" s="228"/>
      <c r="BD127" s="228"/>
      <c r="BE127" s="228"/>
      <c r="BF127" s="228"/>
      <c r="BG127" s="37">
        <f t="shared" si="5"/>
        <v>21800</v>
      </c>
      <c r="BH127" s="525">
        <f t="shared" si="3"/>
        <v>0.72100000000136788</v>
      </c>
    </row>
    <row r="128" spans="2:60" s="39" customFormat="1" ht="13.5" customHeight="1">
      <c r="B128" s="22">
        <v>120</v>
      </c>
      <c r="C128" s="22" t="s">
        <v>39</v>
      </c>
      <c r="D128" s="22" t="s">
        <v>2157</v>
      </c>
      <c r="E128" s="508" t="s">
        <v>2158</v>
      </c>
      <c r="F128" s="26" t="s">
        <v>146</v>
      </c>
      <c r="G128" s="26" t="s">
        <v>1895</v>
      </c>
      <c r="H128" s="73" t="s">
        <v>1927</v>
      </c>
      <c r="I128" s="49" t="s">
        <v>44</v>
      </c>
      <c r="J128" s="34">
        <v>61220</v>
      </c>
      <c r="K128" s="34">
        <v>36368</v>
      </c>
      <c r="L128" s="34">
        <v>0</v>
      </c>
      <c r="M128" s="34"/>
      <c r="N128" s="34"/>
      <c r="O128" s="34"/>
      <c r="P128" s="505">
        <v>745.68200000000002</v>
      </c>
      <c r="Q128" s="493"/>
      <c r="R128" s="493"/>
      <c r="S128" s="493"/>
      <c r="T128" s="493"/>
      <c r="U128" s="493"/>
      <c r="V128" s="34">
        <f t="shared" si="4"/>
        <v>745.68200000000002</v>
      </c>
      <c r="W128" s="31">
        <v>740</v>
      </c>
      <c r="X128" s="27">
        <v>11</v>
      </c>
      <c r="Y128" s="36">
        <v>44221</v>
      </c>
      <c r="Z128" s="36">
        <v>44246</v>
      </c>
      <c r="AA128" s="31">
        <v>6</v>
      </c>
      <c r="AB128" s="214">
        <v>33</v>
      </c>
      <c r="AC128" s="494">
        <v>44266</v>
      </c>
      <c r="AD128" s="494">
        <v>44298</v>
      </c>
      <c r="AE128" s="31">
        <v>23712</v>
      </c>
      <c r="AF128" s="214">
        <v>46</v>
      </c>
      <c r="AG128" s="494">
        <v>44295</v>
      </c>
      <c r="AH128" s="494">
        <v>44327</v>
      </c>
      <c r="AI128" s="228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AV128" s="228"/>
      <c r="AW128" s="228"/>
      <c r="AX128" s="228"/>
      <c r="AY128" s="228"/>
      <c r="AZ128" s="228"/>
      <c r="BA128" s="228"/>
      <c r="BB128" s="228"/>
      <c r="BC128" s="228"/>
      <c r="BD128" s="228"/>
      <c r="BE128" s="228"/>
      <c r="BF128" s="228"/>
      <c r="BG128" s="37">
        <f t="shared" si="5"/>
        <v>24458</v>
      </c>
      <c r="BH128" s="525">
        <f t="shared" si="3"/>
        <v>23712.317999999999</v>
      </c>
    </row>
    <row r="129" spans="2:60" s="39" customFormat="1" ht="13.5" customHeight="1">
      <c r="B129" s="22">
        <v>122</v>
      </c>
      <c r="C129" s="22" t="s">
        <v>39</v>
      </c>
      <c r="D129" s="22" t="s">
        <v>2159</v>
      </c>
      <c r="E129" s="508" t="s">
        <v>2160</v>
      </c>
      <c r="F129" s="26" t="s">
        <v>146</v>
      </c>
      <c r="G129" s="26" t="s">
        <v>1895</v>
      </c>
      <c r="H129" s="73" t="s">
        <v>1941</v>
      </c>
      <c r="I129" s="49" t="s">
        <v>52</v>
      </c>
      <c r="J129" s="34">
        <v>1019076</v>
      </c>
      <c r="K129" s="34">
        <v>0</v>
      </c>
      <c r="L129" s="34">
        <v>962839</v>
      </c>
      <c r="M129" s="34"/>
      <c r="N129" s="34"/>
      <c r="O129" s="34"/>
      <c r="P129" s="492"/>
      <c r="Q129" s="493"/>
      <c r="R129" s="493"/>
      <c r="S129" s="493"/>
      <c r="T129" s="493"/>
      <c r="U129" s="493"/>
      <c r="V129" s="34">
        <f t="shared" si="4"/>
        <v>0</v>
      </c>
      <c r="W129" s="31">
        <v>2</v>
      </c>
      <c r="X129" s="27">
        <v>11</v>
      </c>
      <c r="Y129" s="36">
        <v>44221</v>
      </c>
      <c r="Z129" s="36">
        <v>44246</v>
      </c>
      <c r="AA129" s="31"/>
      <c r="AB129" s="214"/>
      <c r="AC129" s="494"/>
      <c r="AD129" s="494"/>
      <c r="AE129" s="31"/>
      <c r="AF129" s="214"/>
      <c r="AG129" s="228"/>
      <c r="AH129" s="494"/>
      <c r="AI129" s="228"/>
      <c r="AJ129" s="228"/>
      <c r="AK129" s="228"/>
      <c r="AL129" s="228"/>
      <c r="AM129" s="228"/>
      <c r="AN129" s="228"/>
      <c r="AO129" s="228"/>
      <c r="AP129" s="228"/>
      <c r="AQ129" s="228"/>
      <c r="AR129" s="228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D129" s="228"/>
      <c r="BE129" s="228"/>
      <c r="BF129" s="228"/>
      <c r="BG129" s="37">
        <f t="shared" si="5"/>
        <v>2</v>
      </c>
      <c r="BH129" s="525">
        <f t="shared" si="3"/>
        <v>2</v>
      </c>
    </row>
    <row r="130" spans="2:60" s="39" customFormat="1" ht="13.5" customHeight="1">
      <c r="B130" s="22">
        <v>125</v>
      </c>
      <c r="C130" s="22" t="s">
        <v>39</v>
      </c>
      <c r="D130" s="22" t="s">
        <v>2161</v>
      </c>
      <c r="E130" s="508" t="s">
        <v>2162</v>
      </c>
      <c r="F130" s="26" t="s">
        <v>146</v>
      </c>
      <c r="G130" s="26" t="s">
        <v>1895</v>
      </c>
      <c r="H130" s="73" t="s">
        <v>1916</v>
      </c>
      <c r="I130" s="49" t="s">
        <v>44</v>
      </c>
      <c r="J130" s="34">
        <v>3981273</v>
      </c>
      <c r="K130" s="34">
        <v>224705</v>
      </c>
      <c r="L130" s="34">
        <v>1010000</v>
      </c>
      <c r="M130" s="34"/>
      <c r="N130" s="34">
        <v>483379</v>
      </c>
      <c r="O130" s="34">
        <f>9234+662063</f>
        <v>671297</v>
      </c>
      <c r="P130" s="492"/>
      <c r="Q130" s="493">
        <v>260277.27600000001</v>
      </c>
      <c r="R130" s="493">
        <v>513367.15700000001</v>
      </c>
      <c r="S130" s="493">
        <v>145357.984</v>
      </c>
      <c r="T130" s="493">
        <v>186103.38699999999</v>
      </c>
      <c r="U130" s="493">
        <v>144232.99600000001</v>
      </c>
      <c r="V130" s="34">
        <f t="shared" si="4"/>
        <v>2404014.7999999998</v>
      </c>
      <c r="W130" s="31">
        <v>812000</v>
      </c>
      <c r="X130" s="27">
        <v>13</v>
      </c>
      <c r="Y130" s="36">
        <v>44221</v>
      </c>
      <c r="Z130" s="36">
        <v>44249</v>
      </c>
      <c r="AA130" s="31">
        <v>1018000</v>
      </c>
      <c r="AB130" s="214">
        <v>22</v>
      </c>
      <c r="AC130" s="494">
        <v>44256</v>
      </c>
      <c r="AD130" s="494">
        <v>44277</v>
      </c>
      <c r="AE130" s="31">
        <v>645442</v>
      </c>
      <c r="AF130" s="214">
        <v>46</v>
      </c>
      <c r="AG130" s="494">
        <v>44295</v>
      </c>
      <c r="AH130" s="494">
        <v>44327</v>
      </c>
      <c r="AI130" s="228">
        <v>28782</v>
      </c>
      <c r="AJ130" s="228">
        <v>89</v>
      </c>
      <c r="AK130" s="494">
        <v>44413</v>
      </c>
      <c r="AL130" s="494">
        <v>44438</v>
      </c>
      <c r="AM130" s="228">
        <v>234993</v>
      </c>
      <c r="AN130" s="228">
        <v>105</v>
      </c>
      <c r="AO130" s="494">
        <v>44452</v>
      </c>
      <c r="AP130" s="494">
        <v>44466</v>
      </c>
      <c r="AQ130" s="228"/>
      <c r="AR130" s="228"/>
      <c r="AS130" s="228"/>
      <c r="AT130" s="228"/>
      <c r="AU130" s="228"/>
      <c r="AV130" s="228"/>
      <c r="AW130" s="228"/>
      <c r="AX130" s="228"/>
      <c r="AY130" s="228"/>
      <c r="AZ130" s="228"/>
      <c r="BA130" s="228"/>
      <c r="BB130" s="228"/>
      <c r="BC130" s="228"/>
      <c r="BD130" s="228"/>
      <c r="BE130" s="228"/>
      <c r="BF130" s="228"/>
      <c r="BG130" s="37">
        <f t="shared" si="5"/>
        <v>2739217</v>
      </c>
      <c r="BH130" s="525">
        <f t="shared" si="3"/>
        <v>335202.20000000019</v>
      </c>
    </row>
    <row r="131" spans="2:60" s="39" customFormat="1" ht="13.5" customHeight="1">
      <c r="B131" s="22">
        <v>130</v>
      </c>
      <c r="C131" s="22" t="s">
        <v>39</v>
      </c>
      <c r="D131" s="490" t="s">
        <v>2163</v>
      </c>
      <c r="E131" s="491" t="s">
        <v>2164</v>
      </c>
      <c r="F131" s="26" t="s">
        <v>317</v>
      </c>
      <c r="G131" s="26" t="s">
        <v>1895</v>
      </c>
      <c r="H131" s="73" t="s">
        <v>1896</v>
      </c>
      <c r="I131" s="49" t="s">
        <v>52</v>
      </c>
      <c r="J131" s="34">
        <v>1010950</v>
      </c>
      <c r="K131" s="34">
        <v>0</v>
      </c>
      <c r="L131" s="34">
        <v>0</v>
      </c>
      <c r="M131" s="34"/>
      <c r="N131" s="34"/>
      <c r="O131" s="34"/>
      <c r="P131" s="492"/>
      <c r="Q131" s="493"/>
      <c r="R131" s="493"/>
      <c r="S131" s="493"/>
      <c r="T131" s="493"/>
      <c r="U131" s="493"/>
      <c r="V131" s="34">
        <f t="shared" si="4"/>
        <v>0</v>
      </c>
      <c r="W131" s="31">
        <v>2</v>
      </c>
      <c r="X131" s="32">
        <v>15</v>
      </c>
      <c r="Y131" s="36">
        <v>44228</v>
      </c>
      <c r="Z131" s="36">
        <v>44260</v>
      </c>
      <c r="AA131" s="31"/>
      <c r="AB131" s="214"/>
      <c r="AC131" s="494"/>
      <c r="AD131" s="494"/>
      <c r="AE131" s="31"/>
      <c r="AF131" s="214"/>
      <c r="AG131" s="228"/>
      <c r="AH131" s="494"/>
      <c r="AI131" s="228"/>
      <c r="AJ131" s="494"/>
      <c r="AK131" s="494"/>
      <c r="AL131" s="494"/>
      <c r="AM131" s="228"/>
      <c r="AN131" s="494"/>
      <c r="AO131" s="494"/>
      <c r="AP131" s="494"/>
      <c r="AQ131" s="494"/>
      <c r="AR131" s="494"/>
      <c r="AS131" s="494"/>
      <c r="AT131" s="494"/>
      <c r="AU131" s="494"/>
      <c r="AV131" s="494"/>
      <c r="AW131" s="494"/>
      <c r="AX131" s="494"/>
      <c r="AY131" s="494"/>
      <c r="AZ131" s="494"/>
      <c r="BA131" s="494"/>
      <c r="BB131" s="494"/>
      <c r="BC131" s="494"/>
      <c r="BD131" s="494"/>
      <c r="BE131" s="494"/>
      <c r="BF131" s="494"/>
      <c r="BG131" s="37">
        <f t="shared" si="5"/>
        <v>2</v>
      </c>
      <c r="BH131" s="525">
        <f t="shared" si="3"/>
        <v>2</v>
      </c>
    </row>
    <row r="132" spans="2:60" s="39" customFormat="1" ht="13.5" customHeight="1">
      <c r="B132" s="22">
        <v>131</v>
      </c>
      <c r="C132" s="22" t="s">
        <v>39</v>
      </c>
      <c r="D132" s="490" t="s">
        <v>2165</v>
      </c>
      <c r="E132" s="491" t="s">
        <v>2166</v>
      </c>
      <c r="F132" s="26" t="s">
        <v>317</v>
      </c>
      <c r="G132" s="26" t="s">
        <v>1895</v>
      </c>
      <c r="H132" s="73" t="s">
        <v>2087</v>
      </c>
      <c r="I132" s="49" t="s">
        <v>52</v>
      </c>
      <c r="J132" s="34">
        <v>4210440</v>
      </c>
      <c r="K132" s="34">
        <v>0</v>
      </c>
      <c r="L132" s="34">
        <v>1189440</v>
      </c>
      <c r="M132" s="34"/>
      <c r="N132" s="34"/>
      <c r="O132" s="34"/>
      <c r="P132" s="492"/>
      <c r="Q132" s="493"/>
      <c r="R132" s="493"/>
      <c r="S132" s="493"/>
      <c r="T132" s="493"/>
      <c r="U132" s="493"/>
      <c r="V132" s="34">
        <f t="shared" si="4"/>
        <v>0</v>
      </c>
      <c r="W132" s="31">
        <v>2</v>
      </c>
      <c r="X132" s="32">
        <v>15</v>
      </c>
      <c r="Y132" s="36">
        <v>44228</v>
      </c>
      <c r="Z132" s="36">
        <v>44260</v>
      </c>
      <c r="AA132" s="31"/>
      <c r="AB132" s="214"/>
      <c r="AC132" s="494"/>
      <c r="AD132" s="494"/>
      <c r="AE132" s="31"/>
      <c r="AF132" s="214"/>
      <c r="AG132" s="228"/>
      <c r="AH132" s="494"/>
      <c r="AI132" s="228"/>
      <c r="AJ132" s="494"/>
      <c r="AK132" s="494"/>
      <c r="AL132" s="494"/>
      <c r="AM132" s="228"/>
      <c r="AN132" s="494"/>
      <c r="AO132" s="494"/>
      <c r="AP132" s="494"/>
      <c r="AQ132" s="494"/>
      <c r="AR132" s="494"/>
      <c r="AS132" s="494"/>
      <c r="AT132" s="494"/>
      <c r="AU132" s="494"/>
      <c r="AV132" s="494"/>
      <c r="AW132" s="494"/>
      <c r="AX132" s="494"/>
      <c r="AY132" s="494"/>
      <c r="AZ132" s="494"/>
      <c r="BA132" s="494"/>
      <c r="BB132" s="494"/>
      <c r="BC132" s="494"/>
      <c r="BD132" s="494"/>
      <c r="BE132" s="494"/>
      <c r="BF132" s="494"/>
      <c r="BG132" s="37">
        <f t="shared" si="5"/>
        <v>2</v>
      </c>
      <c r="BH132" s="525">
        <f t="shared" si="3"/>
        <v>2</v>
      </c>
    </row>
    <row r="133" spans="2:60" s="39" customFormat="1" ht="13.5" customHeight="1">
      <c r="B133" s="22">
        <v>132</v>
      </c>
      <c r="C133" s="22" t="s">
        <v>39</v>
      </c>
      <c r="D133" s="490" t="s">
        <v>2167</v>
      </c>
      <c r="E133" s="491" t="s">
        <v>2168</v>
      </c>
      <c r="F133" s="26" t="s">
        <v>317</v>
      </c>
      <c r="G133" s="26" t="s">
        <v>1895</v>
      </c>
      <c r="H133" s="73" t="s">
        <v>2098</v>
      </c>
      <c r="I133" s="49" t="s">
        <v>52</v>
      </c>
      <c r="J133" s="34">
        <v>374156</v>
      </c>
      <c r="K133" s="34">
        <v>0</v>
      </c>
      <c r="L133" s="34">
        <v>372605</v>
      </c>
      <c r="M133" s="34"/>
      <c r="N133" s="34"/>
      <c r="O133" s="34"/>
      <c r="P133" s="492"/>
      <c r="Q133" s="493"/>
      <c r="R133" s="493"/>
      <c r="S133" s="493"/>
      <c r="T133" s="493"/>
      <c r="U133" s="493"/>
      <c r="V133" s="34">
        <f t="shared" si="4"/>
        <v>0</v>
      </c>
      <c r="W133" s="31">
        <v>2</v>
      </c>
      <c r="X133" s="32">
        <v>15</v>
      </c>
      <c r="Y133" s="36">
        <v>44228</v>
      </c>
      <c r="Z133" s="36">
        <v>44260</v>
      </c>
      <c r="AA133" s="31"/>
      <c r="AB133" s="214"/>
      <c r="AC133" s="494"/>
      <c r="AD133" s="494"/>
      <c r="AE133" s="31"/>
      <c r="AF133" s="214"/>
      <c r="AG133" s="228"/>
      <c r="AH133" s="494"/>
      <c r="AI133" s="228"/>
      <c r="AJ133" s="494"/>
      <c r="AK133" s="494"/>
      <c r="AL133" s="494"/>
      <c r="AM133" s="228"/>
      <c r="AN133" s="494"/>
      <c r="AO133" s="494"/>
      <c r="AP133" s="494"/>
      <c r="AQ133" s="494"/>
      <c r="AR133" s="494"/>
      <c r="AS133" s="494"/>
      <c r="AT133" s="494"/>
      <c r="AU133" s="494"/>
      <c r="AV133" s="494"/>
      <c r="AW133" s="494"/>
      <c r="AX133" s="494"/>
      <c r="AY133" s="494"/>
      <c r="AZ133" s="494"/>
      <c r="BA133" s="494"/>
      <c r="BB133" s="494"/>
      <c r="BC133" s="494"/>
      <c r="BD133" s="494"/>
      <c r="BE133" s="494"/>
      <c r="BF133" s="494"/>
      <c r="BG133" s="37">
        <f t="shared" si="5"/>
        <v>2</v>
      </c>
      <c r="BH133" s="525">
        <f t="shared" si="3"/>
        <v>2</v>
      </c>
    </row>
    <row r="134" spans="2:60" s="39" customFormat="1" ht="13.5" customHeight="1">
      <c r="B134" s="22">
        <v>133</v>
      </c>
      <c r="C134" s="22" t="s">
        <v>39</v>
      </c>
      <c r="D134" s="490" t="s">
        <v>2169</v>
      </c>
      <c r="E134" s="491" t="s">
        <v>2170</v>
      </c>
      <c r="F134" s="26" t="s">
        <v>317</v>
      </c>
      <c r="G134" s="26" t="s">
        <v>1895</v>
      </c>
      <c r="H134" s="73" t="s">
        <v>2084</v>
      </c>
      <c r="I134" s="49" t="s">
        <v>52</v>
      </c>
      <c r="J134" s="34">
        <v>581883</v>
      </c>
      <c r="K134" s="34">
        <v>0</v>
      </c>
      <c r="L134" s="34">
        <v>54922</v>
      </c>
      <c r="M134" s="34"/>
      <c r="N134" s="34"/>
      <c r="O134" s="34"/>
      <c r="P134" s="492"/>
      <c r="Q134" s="493"/>
      <c r="R134" s="493"/>
      <c r="S134" s="493"/>
      <c r="T134" s="493"/>
      <c r="U134" s="493"/>
      <c r="V134" s="34">
        <f t="shared" si="4"/>
        <v>0</v>
      </c>
      <c r="W134" s="31">
        <v>2</v>
      </c>
      <c r="X134" s="32">
        <v>15</v>
      </c>
      <c r="Y134" s="36">
        <v>44228</v>
      </c>
      <c r="Z134" s="36">
        <v>44260</v>
      </c>
      <c r="AA134" s="31"/>
      <c r="AB134" s="214"/>
      <c r="AC134" s="494"/>
      <c r="AD134" s="494"/>
      <c r="AE134" s="31"/>
      <c r="AF134" s="214"/>
      <c r="AG134" s="228"/>
      <c r="AH134" s="494"/>
      <c r="AI134" s="228"/>
      <c r="AJ134" s="494"/>
      <c r="AK134" s="494"/>
      <c r="AL134" s="494"/>
      <c r="AM134" s="228"/>
      <c r="AN134" s="494"/>
      <c r="AO134" s="494"/>
      <c r="AP134" s="494"/>
      <c r="AQ134" s="494"/>
      <c r="AR134" s="494"/>
      <c r="AS134" s="494"/>
      <c r="AT134" s="494"/>
      <c r="AU134" s="494"/>
      <c r="AV134" s="494"/>
      <c r="AW134" s="494"/>
      <c r="AX134" s="494"/>
      <c r="AY134" s="494"/>
      <c r="AZ134" s="494"/>
      <c r="BA134" s="494"/>
      <c r="BB134" s="494"/>
      <c r="BC134" s="494"/>
      <c r="BD134" s="494"/>
      <c r="BE134" s="494"/>
      <c r="BF134" s="494"/>
      <c r="BG134" s="37">
        <f t="shared" si="5"/>
        <v>2</v>
      </c>
      <c r="BH134" s="525">
        <f t="shared" si="3"/>
        <v>2</v>
      </c>
    </row>
    <row r="135" spans="2:60" s="39" customFormat="1" ht="13.5" customHeight="1">
      <c r="B135" s="22">
        <v>134</v>
      </c>
      <c r="C135" s="22" t="s">
        <v>39</v>
      </c>
      <c r="D135" s="490" t="s">
        <v>2171</v>
      </c>
      <c r="E135" s="491" t="s">
        <v>2172</v>
      </c>
      <c r="F135" s="26" t="s">
        <v>317</v>
      </c>
      <c r="G135" s="26" t="s">
        <v>1895</v>
      </c>
      <c r="H135" s="73" t="s">
        <v>1908</v>
      </c>
      <c r="I135" s="49" t="s">
        <v>52</v>
      </c>
      <c r="J135" s="34">
        <v>601714</v>
      </c>
      <c r="K135" s="34">
        <v>0</v>
      </c>
      <c r="L135" s="34">
        <v>0</v>
      </c>
      <c r="M135" s="34"/>
      <c r="N135" s="34"/>
      <c r="O135" s="34"/>
      <c r="P135" s="492"/>
      <c r="Q135" s="493"/>
      <c r="R135" s="493"/>
      <c r="S135" s="493"/>
      <c r="T135" s="493"/>
      <c r="U135" s="493"/>
      <c r="V135" s="34">
        <f t="shared" si="4"/>
        <v>0</v>
      </c>
      <c r="W135" s="31">
        <v>2</v>
      </c>
      <c r="X135" s="32">
        <v>15</v>
      </c>
      <c r="Y135" s="36">
        <v>44228</v>
      </c>
      <c r="Z135" s="36">
        <v>44260</v>
      </c>
      <c r="AA135" s="31"/>
      <c r="AB135" s="214"/>
      <c r="AC135" s="494"/>
      <c r="AD135" s="494"/>
      <c r="AE135" s="31"/>
      <c r="AF135" s="214"/>
      <c r="AG135" s="228"/>
      <c r="AH135" s="494"/>
      <c r="AI135" s="228"/>
      <c r="AJ135" s="494"/>
      <c r="AK135" s="494"/>
      <c r="AL135" s="494"/>
      <c r="AM135" s="228"/>
      <c r="AN135" s="494"/>
      <c r="AO135" s="494"/>
      <c r="AP135" s="494"/>
      <c r="AQ135" s="494"/>
      <c r="AR135" s="494"/>
      <c r="AS135" s="494"/>
      <c r="AT135" s="494"/>
      <c r="AU135" s="494"/>
      <c r="AV135" s="494"/>
      <c r="AW135" s="494"/>
      <c r="AX135" s="494"/>
      <c r="AY135" s="494"/>
      <c r="AZ135" s="494"/>
      <c r="BA135" s="494"/>
      <c r="BB135" s="494"/>
      <c r="BC135" s="494"/>
      <c r="BD135" s="494"/>
      <c r="BE135" s="494"/>
      <c r="BF135" s="494"/>
      <c r="BG135" s="37">
        <f t="shared" si="5"/>
        <v>2</v>
      </c>
      <c r="BH135" s="525">
        <f t="shared" si="3"/>
        <v>2</v>
      </c>
    </row>
    <row r="136" spans="2:60" s="39" customFormat="1" ht="13.5" customHeight="1">
      <c r="B136" s="22">
        <v>135</v>
      </c>
      <c r="C136" s="22" t="s">
        <v>39</v>
      </c>
      <c r="D136" s="490" t="s">
        <v>2173</v>
      </c>
      <c r="E136" s="491" t="s">
        <v>2174</v>
      </c>
      <c r="F136" s="26" t="s">
        <v>317</v>
      </c>
      <c r="G136" s="26" t="s">
        <v>1895</v>
      </c>
      <c r="H136" s="73" t="s">
        <v>1960</v>
      </c>
      <c r="I136" s="49" t="s">
        <v>52</v>
      </c>
      <c r="J136" s="34">
        <v>373536</v>
      </c>
      <c r="K136" s="34">
        <v>0</v>
      </c>
      <c r="L136" s="34">
        <v>129672</v>
      </c>
      <c r="M136" s="34"/>
      <c r="N136" s="34"/>
      <c r="O136" s="34"/>
      <c r="P136" s="492"/>
      <c r="Q136" s="493"/>
      <c r="R136" s="493"/>
      <c r="S136" s="493">
        <v>59972.059000000001</v>
      </c>
      <c r="T136" s="493">
        <v>82473.251000000004</v>
      </c>
      <c r="U136" s="493">
        <v>81383.027000000002</v>
      </c>
      <c r="V136" s="34">
        <f t="shared" si="4"/>
        <v>223828.337</v>
      </c>
      <c r="W136" s="31">
        <v>2</v>
      </c>
      <c r="X136" s="32">
        <v>15</v>
      </c>
      <c r="Y136" s="36">
        <v>44228</v>
      </c>
      <c r="Z136" s="36">
        <v>44260</v>
      </c>
      <c r="AA136" s="31">
        <v>51498</v>
      </c>
      <c r="AB136" s="214">
        <v>55</v>
      </c>
      <c r="AC136" s="494">
        <v>44323</v>
      </c>
      <c r="AD136" s="494">
        <v>44350</v>
      </c>
      <c r="AE136" s="31">
        <v>15400</v>
      </c>
      <c r="AF136" s="214">
        <v>70</v>
      </c>
      <c r="AG136" s="494">
        <v>44354</v>
      </c>
      <c r="AH136" s="494">
        <v>44372</v>
      </c>
      <c r="AI136" s="228">
        <v>46888</v>
      </c>
      <c r="AJ136" s="214">
        <v>78</v>
      </c>
      <c r="AK136" s="494">
        <v>44382</v>
      </c>
      <c r="AL136" s="494">
        <v>44404</v>
      </c>
      <c r="AM136" s="228">
        <v>104085</v>
      </c>
      <c r="AN136" s="228">
        <v>89</v>
      </c>
      <c r="AO136" s="494">
        <v>44413</v>
      </c>
      <c r="AP136" s="494">
        <v>44438</v>
      </c>
      <c r="AQ136" s="228">
        <v>50993</v>
      </c>
      <c r="AR136" s="228">
        <v>105</v>
      </c>
      <c r="AS136" s="494">
        <v>44452</v>
      </c>
      <c r="AT136" s="494">
        <v>44466</v>
      </c>
      <c r="AU136" s="494"/>
      <c r="AV136" s="494"/>
      <c r="AW136" s="494"/>
      <c r="AX136" s="494"/>
      <c r="AY136" s="494"/>
      <c r="AZ136" s="494"/>
      <c r="BA136" s="494"/>
      <c r="BB136" s="494"/>
      <c r="BC136" s="494"/>
      <c r="BD136" s="494"/>
      <c r="BE136" s="494"/>
      <c r="BF136" s="494"/>
      <c r="BG136" s="37">
        <f t="shared" si="5"/>
        <v>268866</v>
      </c>
      <c r="BH136" s="525">
        <f t="shared" si="3"/>
        <v>45037.663</v>
      </c>
    </row>
    <row r="137" spans="2:60" s="39" customFormat="1" ht="13.5" customHeight="1">
      <c r="B137" s="22">
        <v>136</v>
      </c>
      <c r="C137" s="22" t="s">
        <v>39</v>
      </c>
      <c r="D137" s="490" t="s">
        <v>2175</v>
      </c>
      <c r="E137" s="491" t="s">
        <v>2176</v>
      </c>
      <c r="F137" s="26" t="s">
        <v>317</v>
      </c>
      <c r="G137" s="26" t="s">
        <v>1895</v>
      </c>
      <c r="H137" s="73" t="s">
        <v>1960</v>
      </c>
      <c r="I137" s="49" t="s">
        <v>52</v>
      </c>
      <c r="J137" s="34">
        <v>447388</v>
      </c>
      <c r="K137" s="34">
        <v>0</v>
      </c>
      <c r="L137" s="34">
        <v>104341</v>
      </c>
      <c r="M137" s="34"/>
      <c r="N137" s="34"/>
      <c r="O137" s="34"/>
      <c r="P137" s="492"/>
      <c r="Q137" s="493"/>
      <c r="R137" s="493"/>
      <c r="S137" s="493">
        <v>4900</v>
      </c>
      <c r="T137" s="493">
        <v>42043.599000000002</v>
      </c>
      <c r="U137" s="493">
        <v>2450</v>
      </c>
      <c r="V137" s="34">
        <f t="shared" si="4"/>
        <v>49393.599000000002</v>
      </c>
      <c r="W137" s="31">
        <v>2</v>
      </c>
      <c r="X137" s="32">
        <v>15</v>
      </c>
      <c r="Y137" s="36">
        <v>44228</v>
      </c>
      <c r="Z137" s="36">
        <v>44260</v>
      </c>
      <c r="AA137" s="31">
        <v>136998</v>
      </c>
      <c r="AB137" s="214">
        <v>25</v>
      </c>
      <c r="AC137" s="494">
        <v>44263</v>
      </c>
      <c r="AD137" s="494">
        <v>44292</v>
      </c>
      <c r="AE137" s="31">
        <v>4800</v>
      </c>
      <c r="AF137" s="214">
        <v>89</v>
      </c>
      <c r="AG137" s="494">
        <v>44413</v>
      </c>
      <c r="AH137" s="494">
        <v>44438</v>
      </c>
      <c r="AI137" s="228"/>
      <c r="AJ137" s="494"/>
      <c r="AK137" s="494"/>
      <c r="AL137" s="494"/>
      <c r="AM137" s="228"/>
      <c r="AN137" s="494"/>
      <c r="AO137" s="494"/>
      <c r="AP137" s="494"/>
      <c r="AQ137" s="494"/>
      <c r="AR137" s="494"/>
      <c r="AS137" s="494"/>
      <c r="AT137" s="494"/>
      <c r="AU137" s="494"/>
      <c r="AV137" s="494"/>
      <c r="AW137" s="494"/>
      <c r="AX137" s="494"/>
      <c r="AY137" s="494"/>
      <c r="AZ137" s="494"/>
      <c r="BA137" s="494"/>
      <c r="BB137" s="494"/>
      <c r="BC137" s="494"/>
      <c r="BD137" s="494"/>
      <c r="BE137" s="494"/>
      <c r="BF137" s="494"/>
      <c r="BG137" s="37">
        <f t="shared" si="5"/>
        <v>141800</v>
      </c>
      <c r="BH137" s="525">
        <f t="shared" si="3"/>
        <v>92406.400999999998</v>
      </c>
    </row>
    <row r="138" spans="2:60" s="39" customFormat="1" ht="13.5" customHeight="1">
      <c r="B138" s="22">
        <v>137</v>
      </c>
      <c r="C138" s="22" t="s">
        <v>39</v>
      </c>
      <c r="D138" s="490" t="s">
        <v>2177</v>
      </c>
      <c r="E138" s="491" t="s">
        <v>2178</v>
      </c>
      <c r="F138" s="26" t="s">
        <v>317</v>
      </c>
      <c r="G138" s="26" t="s">
        <v>1895</v>
      </c>
      <c r="H138" s="73" t="s">
        <v>1960</v>
      </c>
      <c r="I138" s="49" t="s">
        <v>52</v>
      </c>
      <c r="J138" s="34">
        <v>349394</v>
      </c>
      <c r="K138" s="34">
        <v>0</v>
      </c>
      <c r="L138" s="34">
        <v>115243</v>
      </c>
      <c r="M138" s="34"/>
      <c r="N138" s="34"/>
      <c r="O138" s="34"/>
      <c r="P138" s="492"/>
      <c r="Q138" s="493"/>
      <c r="R138" s="493"/>
      <c r="S138" s="493"/>
      <c r="T138" s="493"/>
      <c r="U138" s="493"/>
      <c r="V138" s="34">
        <f t="shared" si="4"/>
        <v>0</v>
      </c>
      <c r="W138" s="31">
        <v>2</v>
      </c>
      <c r="X138" s="32">
        <v>15</v>
      </c>
      <c r="Y138" s="36">
        <v>44228</v>
      </c>
      <c r="Z138" s="36">
        <v>44260</v>
      </c>
      <c r="AA138" s="31"/>
      <c r="AB138" s="214"/>
      <c r="AC138" s="494"/>
      <c r="AD138" s="494"/>
      <c r="AE138" s="31"/>
      <c r="AF138" s="214"/>
      <c r="AG138" s="228"/>
      <c r="AH138" s="494"/>
      <c r="AI138" s="228"/>
      <c r="AJ138" s="494"/>
      <c r="AK138" s="494"/>
      <c r="AL138" s="494"/>
      <c r="AM138" s="228"/>
      <c r="AN138" s="494"/>
      <c r="AO138" s="494"/>
      <c r="AP138" s="494"/>
      <c r="AQ138" s="494"/>
      <c r="AR138" s="494"/>
      <c r="AS138" s="494"/>
      <c r="AT138" s="494"/>
      <c r="AU138" s="494"/>
      <c r="AV138" s="494"/>
      <c r="AW138" s="494"/>
      <c r="AX138" s="494"/>
      <c r="AY138" s="494"/>
      <c r="AZ138" s="494"/>
      <c r="BA138" s="494"/>
      <c r="BB138" s="494"/>
      <c r="BC138" s="494"/>
      <c r="BD138" s="494"/>
      <c r="BE138" s="494"/>
      <c r="BF138" s="494"/>
      <c r="BG138" s="37">
        <f t="shared" si="5"/>
        <v>2</v>
      </c>
      <c r="BH138" s="525">
        <f t="shared" si="3"/>
        <v>2</v>
      </c>
    </row>
    <row r="139" spans="2:60" s="39" customFormat="1" ht="13.5" customHeight="1">
      <c r="B139" s="22">
        <v>138</v>
      </c>
      <c r="C139" s="22" t="s">
        <v>39</v>
      </c>
      <c r="D139" s="490" t="s">
        <v>2179</v>
      </c>
      <c r="E139" s="491" t="s">
        <v>2180</v>
      </c>
      <c r="F139" s="26" t="s">
        <v>317</v>
      </c>
      <c r="G139" s="26" t="s">
        <v>1895</v>
      </c>
      <c r="H139" s="73" t="s">
        <v>1960</v>
      </c>
      <c r="I139" s="49" t="s">
        <v>52</v>
      </c>
      <c r="J139" s="34">
        <v>969131</v>
      </c>
      <c r="K139" s="34">
        <v>0</v>
      </c>
      <c r="L139" s="34">
        <v>384684</v>
      </c>
      <c r="M139" s="34"/>
      <c r="N139" s="34"/>
      <c r="O139" s="34"/>
      <c r="P139" s="492"/>
      <c r="Q139" s="493">
        <v>130968.46</v>
      </c>
      <c r="R139" s="493">
        <v>130470.41</v>
      </c>
      <c r="S139" s="493">
        <v>120614.29399999999</v>
      </c>
      <c r="T139" s="493">
        <v>5000</v>
      </c>
      <c r="U139" s="493">
        <v>165696.465</v>
      </c>
      <c r="V139" s="34">
        <f t="shared" si="4"/>
        <v>552749.62899999996</v>
      </c>
      <c r="W139" s="31">
        <v>2</v>
      </c>
      <c r="X139" s="32">
        <v>15</v>
      </c>
      <c r="Y139" s="36">
        <v>44228</v>
      </c>
      <c r="Z139" s="36">
        <v>44260</v>
      </c>
      <c r="AA139" s="31">
        <v>127285</v>
      </c>
      <c r="AB139" s="214">
        <v>25</v>
      </c>
      <c r="AC139" s="494">
        <v>44263</v>
      </c>
      <c r="AD139" s="494">
        <v>44292</v>
      </c>
      <c r="AE139" s="31">
        <v>194528</v>
      </c>
      <c r="AF139" s="214">
        <v>46</v>
      </c>
      <c r="AG139" s="494">
        <v>44295</v>
      </c>
      <c r="AH139" s="494">
        <v>44327</v>
      </c>
      <c r="AI139" s="228">
        <v>145216</v>
      </c>
      <c r="AJ139" s="214">
        <v>55</v>
      </c>
      <c r="AK139" s="494">
        <v>44323</v>
      </c>
      <c r="AL139" s="494">
        <v>44350</v>
      </c>
      <c r="AM139" s="228">
        <v>2500</v>
      </c>
      <c r="AN139" s="228">
        <v>70</v>
      </c>
      <c r="AO139" s="494">
        <v>44354</v>
      </c>
      <c r="AP139" s="494">
        <v>44372</v>
      </c>
      <c r="AQ139" s="228">
        <v>72858</v>
      </c>
      <c r="AR139" s="228">
        <v>78</v>
      </c>
      <c r="AS139" s="494">
        <v>44382</v>
      </c>
      <c r="AT139" s="494">
        <v>44404</v>
      </c>
      <c r="AU139" s="228">
        <v>332973</v>
      </c>
      <c r="AV139" s="228">
        <v>89</v>
      </c>
      <c r="AW139" s="494">
        <v>44413</v>
      </c>
      <c r="AX139" s="494">
        <v>44438</v>
      </c>
      <c r="AY139" s="494"/>
      <c r="AZ139" s="494"/>
      <c r="BA139" s="494"/>
      <c r="BB139" s="494"/>
      <c r="BC139" s="494"/>
      <c r="BD139" s="494"/>
      <c r="BE139" s="494"/>
      <c r="BF139" s="494"/>
      <c r="BG139" s="37">
        <f t="shared" si="5"/>
        <v>875362</v>
      </c>
      <c r="BH139" s="525">
        <f t="shared" si="3"/>
        <v>322612.37100000004</v>
      </c>
    </row>
    <row r="140" spans="2:60" s="39" customFormat="1" ht="13.5" customHeight="1">
      <c r="B140" s="22">
        <v>139</v>
      </c>
      <c r="C140" s="22" t="s">
        <v>39</v>
      </c>
      <c r="D140" s="490" t="s">
        <v>2181</v>
      </c>
      <c r="E140" s="491" t="s">
        <v>2182</v>
      </c>
      <c r="F140" s="26" t="s">
        <v>47</v>
      </c>
      <c r="G140" s="26" t="s">
        <v>1895</v>
      </c>
      <c r="H140" s="73" t="s">
        <v>1957</v>
      </c>
      <c r="I140" s="49" t="s">
        <v>52</v>
      </c>
      <c r="J140" s="34">
        <v>25562</v>
      </c>
      <c r="K140" s="34">
        <v>0</v>
      </c>
      <c r="L140" s="34">
        <v>12014</v>
      </c>
      <c r="M140" s="34"/>
      <c r="N140" s="34"/>
      <c r="O140" s="34"/>
      <c r="P140" s="492"/>
      <c r="Q140" s="493"/>
      <c r="R140" s="493"/>
      <c r="S140" s="493"/>
      <c r="T140" s="493"/>
      <c r="U140" s="493"/>
      <c r="V140" s="34">
        <f t="shared" si="4"/>
        <v>0</v>
      </c>
      <c r="W140" s="31">
        <v>1</v>
      </c>
      <c r="X140" s="32">
        <v>15</v>
      </c>
      <c r="Y140" s="36">
        <v>44228</v>
      </c>
      <c r="Z140" s="36">
        <v>44260</v>
      </c>
      <c r="AA140" s="31">
        <v>7039</v>
      </c>
      <c r="AB140" s="214">
        <v>70</v>
      </c>
      <c r="AC140" s="494">
        <v>44354</v>
      </c>
      <c r="AD140" s="494">
        <v>44372</v>
      </c>
      <c r="AE140" s="31">
        <v>7040</v>
      </c>
      <c r="AF140" s="214">
        <v>89</v>
      </c>
      <c r="AG140" s="494">
        <v>44413</v>
      </c>
      <c r="AH140" s="494">
        <v>44438</v>
      </c>
      <c r="AI140" s="228"/>
      <c r="AJ140" s="214"/>
      <c r="AK140" s="494"/>
      <c r="AL140" s="494"/>
      <c r="AM140" s="228"/>
      <c r="AN140" s="228"/>
      <c r="AO140" s="494"/>
      <c r="AP140" s="494"/>
      <c r="AQ140" s="494"/>
      <c r="AR140" s="494"/>
      <c r="AS140" s="494"/>
      <c r="AT140" s="494"/>
      <c r="AU140" s="494"/>
      <c r="AV140" s="494"/>
      <c r="AW140" s="494"/>
      <c r="AX140" s="494"/>
      <c r="AY140" s="494"/>
      <c r="AZ140" s="494"/>
      <c r="BA140" s="494"/>
      <c r="BB140" s="494"/>
      <c r="BC140" s="494"/>
      <c r="BD140" s="494"/>
      <c r="BE140" s="494"/>
      <c r="BF140" s="494"/>
      <c r="BG140" s="37">
        <f t="shared" si="5"/>
        <v>14080</v>
      </c>
      <c r="BH140" s="525">
        <f t="shared" ref="BH140:BH203" si="6">+BG140-V140</f>
        <v>14080</v>
      </c>
    </row>
    <row r="141" spans="2:60" s="39" customFormat="1" ht="13.5" customHeight="1">
      <c r="B141" s="22">
        <v>140</v>
      </c>
      <c r="C141" s="22" t="s">
        <v>39</v>
      </c>
      <c r="D141" s="490" t="s">
        <v>2183</v>
      </c>
      <c r="E141" s="491" t="s">
        <v>2184</v>
      </c>
      <c r="F141" s="26" t="s">
        <v>47</v>
      </c>
      <c r="G141" s="26" t="s">
        <v>1895</v>
      </c>
      <c r="H141" s="73" t="s">
        <v>1957</v>
      </c>
      <c r="I141" s="49" t="s">
        <v>52</v>
      </c>
      <c r="J141" s="34">
        <v>43456</v>
      </c>
      <c r="K141" s="34">
        <v>0</v>
      </c>
      <c r="L141" s="34">
        <v>0</v>
      </c>
      <c r="M141" s="34"/>
      <c r="N141" s="34"/>
      <c r="O141" s="34"/>
      <c r="P141" s="492"/>
      <c r="Q141" s="493"/>
      <c r="R141" s="493"/>
      <c r="S141" s="493"/>
      <c r="T141" s="493"/>
      <c r="U141" s="493">
        <v>3830</v>
      </c>
      <c r="V141" s="34">
        <f t="shared" ref="V141:V204" si="7">SUM(M141:U141)</f>
        <v>3830</v>
      </c>
      <c r="W141" s="31">
        <v>1</v>
      </c>
      <c r="X141" s="32">
        <v>15</v>
      </c>
      <c r="Y141" s="36">
        <v>44228</v>
      </c>
      <c r="Z141" s="36">
        <v>44260</v>
      </c>
      <c r="AA141" s="31">
        <v>12301</v>
      </c>
      <c r="AB141" s="214">
        <v>70</v>
      </c>
      <c r="AC141" s="494">
        <v>44354</v>
      </c>
      <c r="AD141" s="494">
        <v>44372</v>
      </c>
      <c r="AE141" s="31">
        <v>9746</v>
      </c>
      <c r="AF141" s="214">
        <v>89</v>
      </c>
      <c r="AG141" s="494">
        <v>44413</v>
      </c>
      <c r="AH141" s="494">
        <v>44438</v>
      </c>
      <c r="AI141" s="228"/>
      <c r="AJ141" s="214"/>
      <c r="AK141" s="494"/>
      <c r="AL141" s="494"/>
      <c r="AM141" s="228"/>
      <c r="AN141" s="228"/>
      <c r="AO141" s="494"/>
      <c r="AP141" s="494"/>
      <c r="AQ141" s="494"/>
      <c r="AR141" s="494"/>
      <c r="AS141" s="494"/>
      <c r="AT141" s="494"/>
      <c r="AU141" s="494"/>
      <c r="AV141" s="494"/>
      <c r="AW141" s="494"/>
      <c r="AX141" s="494"/>
      <c r="AY141" s="494"/>
      <c r="AZ141" s="494"/>
      <c r="BA141" s="494"/>
      <c r="BB141" s="494"/>
      <c r="BC141" s="494"/>
      <c r="BD141" s="494"/>
      <c r="BE141" s="494"/>
      <c r="BF141" s="494"/>
      <c r="BG141" s="37">
        <f t="shared" ref="BG141:BG204" si="8">+W141+AA141+AE141+AI141+AM141+AQ141+AU141+AY141+BC141</f>
        <v>22048</v>
      </c>
      <c r="BH141" s="525">
        <f t="shared" si="6"/>
        <v>18218</v>
      </c>
    </row>
    <row r="142" spans="2:60" s="39" customFormat="1" ht="13.5" customHeight="1">
      <c r="B142" s="22">
        <v>141</v>
      </c>
      <c r="C142" s="22" t="s">
        <v>39</v>
      </c>
      <c r="D142" s="490" t="s">
        <v>2185</v>
      </c>
      <c r="E142" s="491" t="s">
        <v>2186</v>
      </c>
      <c r="F142" s="26" t="s">
        <v>317</v>
      </c>
      <c r="G142" s="26" t="s">
        <v>1895</v>
      </c>
      <c r="H142" s="73" t="s">
        <v>1963</v>
      </c>
      <c r="I142" s="49" t="s">
        <v>52</v>
      </c>
      <c r="J142" s="34">
        <v>244565</v>
      </c>
      <c r="K142" s="34">
        <v>0</v>
      </c>
      <c r="L142" s="34">
        <v>0</v>
      </c>
      <c r="M142" s="34"/>
      <c r="N142" s="34"/>
      <c r="O142" s="34"/>
      <c r="P142" s="492"/>
      <c r="Q142" s="493"/>
      <c r="R142" s="493">
        <v>66996.61</v>
      </c>
      <c r="S142" s="493"/>
      <c r="T142" s="493">
        <v>47644.188000000002</v>
      </c>
      <c r="U142" s="493">
        <v>30456.884999999998</v>
      </c>
      <c r="V142" s="34">
        <f t="shared" si="7"/>
        <v>145097.68300000002</v>
      </c>
      <c r="W142" s="31">
        <v>2</v>
      </c>
      <c r="X142" s="32">
        <v>15</v>
      </c>
      <c r="Y142" s="36">
        <v>44228</v>
      </c>
      <c r="Z142" s="36">
        <v>44260</v>
      </c>
      <c r="AA142" s="31">
        <v>84999</v>
      </c>
      <c r="AB142" s="214">
        <v>55</v>
      </c>
      <c r="AC142" s="494">
        <v>44323</v>
      </c>
      <c r="AD142" s="494">
        <v>44350</v>
      </c>
      <c r="AE142" s="31">
        <v>13599</v>
      </c>
      <c r="AF142" s="214">
        <v>70</v>
      </c>
      <c r="AG142" s="494">
        <v>44354</v>
      </c>
      <c r="AH142" s="494">
        <v>44372</v>
      </c>
      <c r="AI142" s="228">
        <v>76997</v>
      </c>
      <c r="AJ142" s="214">
        <v>78</v>
      </c>
      <c r="AK142" s="494">
        <v>44382</v>
      </c>
      <c r="AL142" s="494">
        <v>44404</v>
      </c>
      <c r="AM142" s="228">
        <v>56556</v>
      </c>
      <c r="AN142" s="228">
        <v>89</v>
      </c>
      <c r="AO142" s="494">
        <v>44413</v>
      </c>
      <c r="AP142" s="494">
        <v>44438</v>
      </c>
      <c r="AQ142" s="228"/>
      <c r="AR142" s="494"/>
      <c r="AS142" s="494"/>
      <c r="AT142" s="494"/>
      <c r="AU142" s="494"/>
      <c r="AV142" s="494"/>
      <c r="AW142" s="494"/>
      <c r="AX142" s="494"/>
      <c r="AY142" s="494"/>
      <c r="AZ142" s="494"/>
      <c r="BA142" s="494"/>
      <c r="BB142" s="494"/>
      <c r="BC142" s="494"/>
      <c r="BD142" s="494"/>
      <c r="BE142" s="494"/>
      <c r="BF142" s="494"/>
      <c r="BG142" s="37">
        <f t="shared" si="8"/>
        <v>232153</v>
      </c>
      <c r="BH142" s="525">
        <f t="shared" si="6"/>
        <v>87055.316999999981</v>
      </c>
    </row>
    <row r="143" spans="2:60" s="39" customFormat="1" ht="13.5" customHeight="1">
      <c r="B143" s="22">
        <v>142</v>
      </c>
      <c r="C143" s="22" t="s">
        <v>39</v>
      </c>
      <c r="D143" s="490" t="s">
        <v>2187</v>
      </c>
      <c r="E143" s="491" t="s">
        <v>2188</v>
      </c>
      <c r="F143" s="26" t="s">
        <v>317</v>
      </c>
      <c r="G143" s="26" t="s">
        <v>1895</v>
      </c>
      <c r="H143" s="73" t="s">
        <v>2014</v>
      </c>
      <c r="I143" s="49" t="s">
        <v>52</v>
      </c>
      <c r="J143" s="34">
        <v>329571</v>
      </c>
      <c r="K143" s="34">
        <v>0</v>
      </c>
      <c r="L143" s="34">
        <v>327524</v>
      </c>
      <c r="M143" s="34"/>
      <c r="N143" s="34"/>
      <c r="O143" s="34"/>
      <c r="P143" s="492"/>
      <c r="Q143" s="493"/>
      <c r="R143" s="493"/>
      <c r="S143" s="493"/>
      <c r="T143" s="493"/>
      <c r="U143" s="493"/>
      <c r="V143" s="34">
        <f t="shared" si="7"/>
        <v>0</v>
      </c>
      <c r="W143" s="31">
        <v>2</v>
      </c>
      <c r="X143" s="32">
        <v>15</v>
      </c>
      <c r="Y143" s="36">
        <v>44228</v>
      </c>
      <c r="Z143" s="36">
        <v>44260</v>
      </c>
      <c r="AA143" s="31"/>
      <c r="AB143" s="214"/>
      <c r="AC143" s="494"/>
      <c r="AD143" s="494"/>
      <c r="AE143" s="31"/>
      <c r="AF143" s="214"/>
      <c r="AG143" s="228"/>
      <c r="AH143" s="494"/>
      <c r="AI143" s="228"/>
      <c r="AJ143" s="214"/>
      <c r="AK143" s="494"/>
      <c r="AL143" s="494"/>
      <c r="AM143" s="228"/>
      <c r="AN143" s="228"/>
      <c r="AO143" s="494"/>
      <c r="AP143" s="494"/>
      <c r="AQ143" s="228"/>
      <c r="AR143" s="494"/>
      <c r="AS143" s="494"/>
      <c r="AT143" s="494"/>
      <c r="AU143" s="494"/>
      <c r="AV143" s="494"/>
      <c r="AW143" s="494"/>
      <c r="AX143" s="494"/>
      <c r="AY143" s="494"/>
      <c r="AZ143" s="494"/>
      <c r="BA143" s="494"/>
      <c r="BB143" s="494"/>
      <c r="BC143" s="494"/>
      <c r="BD143" s="494"/>
      <c r="BE143" s="494"/>
      <c r="BF143" s="494"/>
      <c r="BG143" s="37">
        <f t="shared" si="8"/>
        <v>2</v>
      </c>
      <c r="BH143" s="525">
        <f t="shared" si="6"/>
        <v>2</v>
      </c>
    </row>
    <row r="144" spans="2:60" s="39" customFormat="1" ht="13.5" customHeight="1">
      <c r="B144" s="22">
        <v>143</v>
      </c>
      <c r="C144" s="22" t="s">
        <v>39</v>
      </c>
      <c r="D144" s="490" t="s">
        <v>2189</v>
      </c>
      <c r="E144" s="491" t="s">
        <v>2190</v>
      </c>
      <c r="F144" s="26" t="s">
        <v>317</v>
      </c>
      <c r="G144" s="26" t="s">
        <v>1895</v>
      </c>
      <c r="H144" s="73" t="s">
        <v>1948</v>
      </c>
      <c r="I144" s="49" t="s">
        <v>52</v>
      </c>
      <c r="J144" s="34">
        <v>910812</v>
      </c>
      <c r="K144" s="34">
        <v>0</v>
      </c>
      <c r="L144" s="34">
        <v>0</v>
      </c>
      <c r="M144" s="34"/>
      <c r="N144" s="34"/>
      <c r="O144" s="34"/>
      <c r="P144" s="492"/>
      <c r="Q144" s="493"/>
      <c r="R144" s="493">
        <v>2536</v>
      </c>
      <c r="S144" s="493">
        <v>41521.271000000001</v>
      </c>
      <c r="T144" s="493"/>
      <c r="U144" s="493">
        <v>89687.434999999998</v>
      </c>
      <c r="V144" s="34">
        <f t="shared" si="7"/>
        <v>133744.70600000001</v>
      </c>
      <c r="W144" s="31">
        <v>2</v>
      </c>
      <c r="X144" s="32">
        <v>15</v>
      </c>
      <c r="Y144" s="36">
        <v>44228</v>
      </c>
      <c r="Z144" s="36">
        <v>44260</v>
      </c>
      <c r="AA144" s="31">
        <v>2536</v>
      </c>
      <c r="AB144" s="214">
        <v>55</v>
      </c>
      <c r="AC144" s="494">
        <v>44323</v>
      </c>
      <c r="AD144" s="494">
        <v>44350</v>
      </c>
      <c r="AE144" s="31">
        <v>137266</v>
      </c>
      <c r="AF144" s="214">
        <v>78</v>
      </c>
      <c r="AG144" s="494">
        <v>44382</v>
      </c>
      <c r="AH144" s="494">
        <v>44404</v>
      </c>
      <c r="AI144" s="228">
        <v>37511</v>
      </c>
      <c r="AJ144" s="214">
        <v>89</v>
      </c>
      <c r="AK144" s="494">
        <v>44413</v>
      </c>
      <c r="AL144" s="494">
        <v>44438</v>
      </c>
      <c r="AM144" s="228"/>
      <c r="AN144" s="228"/>
      <c r="AO144" s="494"/>
      <c r="AP144" s="494"/>
      <c r="AQ144" s="228"/>
      <c r="AR144" s="494"/>
      <c r="AS144" s="494"/>
      <c r="AT144" s="494"/>
      <c r="AU144" s="494"/>
      <c r="AV144" s="494"/>
      <c r="AW144" s="494"/>
      <c r="AX144" s="494"/>
      <c r="AY144" s="494"/>
      <c r="AZ144" s="494"/>
      <c r="BA144" s="494"/>
      <c r="BB144" s="494"/>
      <c r="BC144" s="494"/>
      <c r="BD144" s="494"/>
      <c r="BE144" s="494"/>
      <c r="BF144" s="494"/>
      <c r="BG144" s="37">
        <f t="shared" si="8"/>
        <v>177315</v>
      </c>
      <c r="BH144" s="525">
        <f t="shared" si="6"/>
        <v>43570.293999999994</v>
      </c>
    </row>
    <row r="145" spans="2:60" s="39" customFormat="1" ht="13.5" customHeight="1">
      <c r="B145" s="22">
        <v>144</v>
      </c>
      <c r="C145" s="22" t="s">
        <v>39</v>
      </c>
      <c r="D145" s="490" t="s">
        <v>2191</v>
      </c>
      <c r="E145" s="491" t="s">
        <v>2192</v>
      </c>
      <c r="F145" s="26" t="s">
        <v>47</v>
      </c>
      <c r="G145" s="26" t="s">
        <v>1895</v>
      </c>
      <c r="H145" s="73" t="s">
        <v>2023</v>
      </c>
      <c r="I145" s="49" t="s">
        <v>52</v>
      </c>
      <c r="J145" s="34">
        <v>140714</v>
      </c>
      <c r="K145" s="34">
        <v>0</v>
      </c>
      <c r="L145" s="34">
        <v>96748</v>
      </c>
      <c r="M145" s="34"/>
      <c r="N145" s="34"/>
      <c r="O145" s="34"/>
      <c r="P145" s="492"/>
      <c r="Q145" s="493"/>
      <c r="R145" s="493"/>
      <c r="S145" s="493"/>
      <c r="T145" s="493"/>
      <c r="U145" s="493"/>
      <c r="V145" s="34">
        <f t="shared" si="7"/>
        <v>0</v>
      </c>
      <c r="W145" s="31">
        <v>1</v>
      </c>
      <c r="X145" s="32">
        <v>15</v>
      </c>
      <c r="Y145" s="36">
        <v>44228</v>
      </c>
      <c r="Z145" s="36">
        <v>44260</v>
      </c>
      <c r="AA145" s="31"/>
      <c r="AB145" s="214"/>
      <c r="AC145" s="494"/>
      <c r="AD145" s="494"/>
      <c r="AE145" s="31"/>
      <c r="AF145" s="214"/>
      <c r="AG145" s="228"/>
      <c r="AH145" s="494"/>
      <c r="AI145" s="228"/>
      <c r="AJ145" s="214"/>
      <c r="AK145" s="494"/>
      <c r="AL145" s="494"/>
      <c r="AM145" s="228"/>
      <c r="AN145" s="228"/>
      <c r="AO145" s="494"/>
      <c r="AP145" s="494"/>
      <c r="AQ145" s="228"/>
      <c r="AR145" s="494"/>
      <c r="AS145" s="494"/>
      <c r="AT145" s="494"/>
      <c r="AU145" s="494"/>
      <c r="AV145" s="494"/>
      <c r="AW145" s="494"/>
      <c r="AX145" s="494"/>
      <c r="AY145" s="494"/>
      <c r="AZ145" s="494"/>
      <c r="BA145" s="494"/>
      <c r="BB145" s="494"/>
      <c r="BC145" s="494"/>
      <c r="BD145" s="494"/>
      <c r="BE145" s="494"/>
      <c r="BF145" s="494"/>
      <c r="BG145" s="37">
        <f t="shared" si="8"/>
        <v>1</v>
      </c>
      <c r="BH145" s="525">
        <f t="shared" si="6"/>
        <v>1</v>
      </c>
    </row>
    <row r="146" spans="2:60" s="39" customFormat="1" ht="13.5" customHeight="1">
      <c r="B146" s="22">
        <v>145</v>
      </c>
      <c r="C146" s="22" t="s">
        <v>39</v>
      </c>
      <c r="D146" s="490" t="s">
        <v>2193</v>
      </c>
      <c r="E146" s="491" t="s">
        <v>2194</v>
      </c>
      <c r="F146" s="26" t="s">
        <v>317</v>
      </c>
      <c r="G146" s="26" t="s">
        <v>1895</v>
      </c>
      <c r="H146" s="73" t="s">
        <v>2023</v>
      </c>
      <c r="I146" s="49" t="s">
        <v>52</v>
      </c>
      <c r="J146" s="34">
        <v>461362</v>
      </c>
      <c r="K146" s="34">
        <v>0</v>
      </c>
      <c r="L146" s="34">
        <v>358601</v>
      </c>
      <c r="M146" s="34"/>
      <c r="N146" s="34"/>
      <c r="O146" s="34"/>
      <c r="P146" s="492"/>
      <c r="Q146" s="493"/>
      <c r="R146" s="493"/>
      <c r="S146" s="493"/>
      <c r="T146" s="493"/>
      <c r="U146" s="493"/>
      <c r="V146" s="34">
        <f t="shared" si="7"/>
        <v>0</v>
      </c>
      <c r="W146" s="31">
        <v>2</v>
      </c>
      <c r="X146" s="32">
        <v>15</v>
      </c>
      <c r="Y146" s="36">
        <v>44228</v>
      </c>
      <c r="Z146" s="36">
        <v>44260</v>
      </c>
      <c r="AA146" s="31"/>
      <c r="AB146" s="214"/>
      <c r="AC146" s="494"/>
      <c r="AD146" s="494"/>
      <c r="AE146" s="31"/>
      <c r="AF146" s="214"/>
      <c r="AG146" s="228"/>
      <c r="AH146" s="494"/>
      <c r="AI146" s="228"/>
      <c r="AJ146" s="214"/>
      <c r="AK146" s="494"/>
      <c r="AL146" s="494"/>
      <c r="AM146" s="228"/>
      <c r="AN146" s="228"/>
      <c r="AO146" s="494"/>
      <c r="AP146" s="494"/>
      <c r="AQ146" s="228"/>
      <c r="AR146" s="494"/>
      <c r="AS146" s="494"/>
      <c r="AT146" s="494"/>
      <c r="AU146" s="494"/>
      <c r="AV146" s="494"/>
      <c r="AW146" s="494"/>
      <c r="AX146" s="494"/>
      <c r="AY146" s="494"/>
      <c r="AZ146" s="494"/>
      <c r="BA146" s="494"/>
      <c r="BB146" s="494"/>
      <c r="BC146" s="494"/>
      <c r="BD146" s="494"/>
      <c r="BE146" s="494"/>
      <c r="BF146" s="494"/>
      <c r="BG146" s="37">
        <f t="shared" si="8"/>
        <v>2</v>
      </c>
      <c r="BH146" s="525">
        <f t="shared" si="6"/>
        <v>2</v>
      </c>
    </row>
    <row r="147" spans="2:60" s="39" customFormat="1" ht="13.5" customHeight="1">
      <c r="B147" s="22">
        <v>146</v>
      </c>
      <c r="C147" s="22" t="s">
        <v>39</v>
      </c>
      <c r="D147" s="490" t="s">
        <v>2195</v>
      </c>
      <c r="E147" s="491" t="s">
        <v>2196</v>
      </c>
      <c r="F147" s="26" t="s">
        <v>317</v>
      </c>
      <c r="G147" s="26" t="s">
        <v>1895</v>
      </c>
      <c r="H147" s="73" t="s">
        <v>1932</v>
      </c>
      <c r="I147" s="49" t="s">
        <v>52</v>
      </c>
      <c r="J147" s="34">
        <v>722145</v>
      </c>
      <c r="K147" s="34">
        <v>0</v>
      </c>
      <c r="L147" s="34">
        <v>10215</v>
      </c>
      <c r="M147" s="34"/>
      <c r="N147" s="34"/>
      <c r="O147" s="34"/>
      <c r="P147" s="492"/>
      <c r="Q147" s="493"/>
      <c r="R147" s="493"/>
      <c r="S147" s="493"/>
      <c r="T147" s="493"/>
      <c r="U147" s="493"/>
      <c r="V147" s="34">
        <f t="shared" si="7"/>
        <v>0</v>
      </c>
      <c r="W147" s="31">
        <v>2</v>
      </c>
      <c r="X147" s="32">
        <v>15</v>
      </c>
      <c r="Y147" s="36">
        <v>44228</v>
      </c>
      <c r="Z147" s="36">
        <v>44260</v>
      </c>
      <c r="AA147" s="31"/>
      <c r="AB147" s="214"/>
      <c r="AC147" s="494"/>
      <c r="AD147" s="494"/>
      <c r="AE147" s="31"/>
      <c r="AF147" s="214"/>
      <c r="AG147" s="228"/>
      <c r="AH147" s="494"/>
      <c r="AI147" s="228"/>
      <c r="AJ147" s="214"/>
      <c r="AK147" s="494"/>
      <c r="AL147" s="494"/>
      <c r="AM147" s="228"/>
      <c r="AN147" s="228"/>
      <c r="AO147" s="494"/>
      <c r="AP147" s="494"/>
      <c r="AQ147" s="228"/>
      <c r="AR147" s="494"/>
      <c r="AS147" s="494"/>
      <c r="AT147" s="494"/>
      <c r="AU147" s="494"/>
      <c r="AV147" s="494"/>
      <c r="AW147" s="494"/>
      <c r="AX147" s="494"/>
      <c r="AY147" s="494"/>
      <c r="AZ147" s="494"/>
      <c r="BA147" s="494"/>
      <c r="BB147" s="494"/>
      <c r="BC147" s="494"/>
      <c r="BD147" s="494"/>
      <c r="BE147" s="494"/>
      <c r="BF147" s="494"/>
      <c r="BG147" s="37">
        <f t="shared" si="8"/>
        <v>2</v>
      </c>
      <c r="BH147" s="525">
        <f t="shared" si="6"/>
        <v>2</v>
      </c>
    </row>
    <row r="148" spans="2:60" s="39" customFormat="1" ht="13.5" customHeight="1">
      <c r="B148" s="22">
        <v>147</v>
      </c>
      <c r="C148" s="22" t="s">
        <v>39</v>
      </c>
      <c r="D148" s="490" t="s">
        <v>2197</v>
      </c>
      <c r="E148" s="491" t="s">
        <v>2198</v>
      </c>
      <c r="F148" s="26" t="s">
        <v>47</v>
      </c>
      <c r="G148" s="26" t="s">
        <v>1895</v>
      </c>
      <c r="H148" s="73" t="s">
        <v>1916</v>
      </c>
      <c r="I148" s="49" t="s">
        <v>52</v>
      </c>
      <c r="J148" s="34">
        <v>142767</v>
      </c>
      <c r="K148" s="34">
        <v>0</v>
      </c>
      <c r="L148" s="34">
        <v>142737</v>
      </c>
      <c r="M148" s="34"/>
      <c r="N148" s="34"/>
      <c r="O148" s="34"/>
      <c r="P148" s="492"/>
      <c r="Q148" s="493"/>
      <c r="R148" s="493"/>
      <c r="S148" s="493"/>
      <c r="T148" s="493"/>
      <c r="U148" s="493"/>
      <c r="V148" s="34">
        <f t="shared" si="7"/>
        <v>0</v>
      </c>
      <c r="W148" s="31">
        <v>1</v>
      </c>
      <c r="X148" s="32">
        <v>15</v>
      </c>
      <c r="Y148" s="36">
        <v>44228</v>
      </c>
      <c r="Z148" s="36">
        <v>44260</v>
      </c>
      <c r="AA148" s="31">
        <v>56310</v>
      </c>
      <c r="AB148" s="214">
        <v>105</v>
      </c>
      <c r="AC148" s="494">
        <v>44452</v>
      </c>
      <c r="AD148" s="494">
        <v>44466</v>
      </c>
      <c r="AE148" s="31"/>
      <c r="AF148" s="214"/>
      <c r="AG148" s="228"/>
      <c r="AH148" s="494"/>
      <c r="AI148" s="228"/>
      <c r="AJ148" s="214"/>
      <c r="AK148" s="494"/>
      <c r="AL148" s="494"/>
      <c r="AM148" s="228"/>
      <c r="AN148" s="228"/>
      <c r="AO148" s="494"/>
      <c r="AP148" s="494"/>
      <c r="AQ148" s="228"/>
      <c r="AR148" s="494"/>
      <c r="AS148" s="494"/>
      <c r="AT148" s="494"/>
      <c r="AU148" s="494"/>
      <c r="AV148" s="494"/>
      <c r="AW148" s="494"/>
      <c r="AX148" s="494"/>
      <c r="AY148" s="494"/>
      <c r="AZ148" s="494"/>
      <c r="BA148" s="494"/>
      <c r="BB148" s="494"/>
      <c r="BC148" s="494"/>
      <c r="BD148" s="494"/>
      <c r="BE148" s="494"/>
      <c r="BF148" s="494"/>
      <c r="BG148" s="37">
        <f t="shared" si="8"/>
        <v>56311</v>
      </c>
      <c r="BH148" s="525">
        <f t="shared" si="6"/>
        <v>56311</v>
      </c>
    </row>
    <row r="149" spans="2:60" s="39" customFormat="1" ht="13.5" customHeight="1">
      <c r="B149" s="22">
        <v>148</v>
      </c>
      <c r="C149" s="22" t="s">
        <v>39</v>
      </c>
      <c r="D149" s="490" t="s">
        <v>2199</v>
      </c>
      <c r="E149" s="491" t="s">
        <v>2200</v>
      </c>
      <c r="F149" s="26" t="s">
        <v>317</v>
      </c>
      <c r="G149" s="26" t="s">
        <v>1895</v>
      </c>
      <c r="H149" s="73" t="s">
        <v>1927</v>
      </c>
      <c r="I149" s="49" t="s">
        <v>52</v>
      </c>
      <c r="J149" s="34">
        <v>204499</v>
      </c>
      <c r="K149" s="34">
        <v>0</v>
      </c>
      <c r="L149" s="34">
        <v>171779</v>
      </c>
      <c r="M149" s="34"/>
      <c r="N149" s="34"/>
      <c r="O149" s="34"/>
      <c r="P149" s="492"/>
      <c r="Q149" s="493"/>
      <c r="R149" s="493"/>
      <c r="S149" s="493"/>
      <c r="T149" s="493"/>
      <c r="U149" s="493"/>
      <c r="V149" s="34">
        <f t="shared" si="7"/>
        <v>0</v>
      </c>
      <c r="W149" s="31">
        <v>2</v>
      </c>
      <c r="X149" s="32">
        <v>15</v>
      </c>
      <c r="Y149" s="36">
        <v>44228</v>
      </c>
      <c r="Z149" s="36">
        <v>44260</v>
      </c>
      <c r="AA149" s="31">
        <v>1349</v>
      </c>
      <c r="AB149" s="214">
        <v>89</v>
      </c>
      <c r="AC149" s="494">
        <v>44413</v>
      </c>
      <c r="AD149" s="494">
        <v>44438</v>
      </c>
      <c r="AE149" s="31">
        <v>49999</v>
      </c>
      <c r="AF149" s="214">
        <v>105</v>
      </c>
      <c r="AG149" s="494">
        <v>44452</v>
      </c>
      <c r="AH149" s="494">
        <v>44466</v>
      </c>
      <c r="AI149" s="228"/>
      <c r="AJ149" s="214"/>
      <c r="AK149" s="494"/>
      <c r="AL149" s="494"/>
      <c r="AM149" s="228"/>
      <c r="AN149" s="228"/>
      <c r="AO149" s="494"/>
      <c r="AP149" s="494"/>
      <c r="AQ149" s="228"/>
      <c r="AR149" s="494"/>
      <c r="AS149" s="494"/>
      <c r="AT149" s="494"/>
      <c r="AU149" s="494"/>
      <c r="AV149" s="494"/>
      <c r="AW149" s="494"/>
      <c r="AX149" s="494"/>
      <c r="AY149" s="494"/>
      <c r="AZ149" s="494"/>
      <c r="BA149" s="494"/>
      <c r="BB149" s="494"/>
      <c r="BC149" s="494"/>
      <c r="BD149" s="494"/>
      <c r="BE149" s="494"/>
      <c r="BF149" s="494"/>
      <c r="BG149" s="37">
        <f t="shared" si="8"/>
        <v>51350</v>
      </c>
      <c r="BH149" s="525">
        <f t="shared" si="6"/>
        <v>51350</v>
      </c>
    </row>
    <row r="150" spans="2:60" s="39" customFormat="1" ht="13.5" customHeight="1">
      <c r="B150" s="22">
        <v>149</v>
      </c>
      <c r="C150" s="22" t="s">
        <v>39</v>
      </c>
      <c r="D150" s="490" t="s">
        <v>2201</v>
      </c>
      <c r="E150" s="491" t="s">
        <v>2202</v>
      </c>
      <c r="F150" s="26" t="s">
        <v>317</v>
      </c>
      <c r="G150" s="26" t="s">
        <v>1895</v>
      </c>
      <c r="H150" s="73" t="s">
        <v>1919</v>
      </c>
      <c r="I150" s="49" t="s">
        <v>52</v>
      </c>
      <c r="J150" s="34">
        <v>656339</v>
      </c>
      <c r="K150" s="34">
        <v>0</v>
      </c>
      <c r="L150" s="34">
        <v>653246</v>
      </c>
      <c r="M150" s="34"/>
      <c r="N150" s="34"/>
      <c r="O150" s="34"/>
      <c r="P150" s="492"/>
      <c r="Q150" s="493"/>
      <c r="R150" s="493"/>
      <c r="S150" s="493"/>
      <c r="T150" s="493"/>
      <c r="U150" s="493"/>
      <c r="V150" s="34">
        <f t="shared" si="7"/>
        <v>0</v>
      </c>
      <c r="W150" s="31">
        <v>2</v>
      </c>
      <c r="X150" s="32">
        <v>15</v>
      </c>
      <c r="Y150" s="36">
        <v>44228</v>
      </c>
      <c r="Z150" s="36">
        <v>44260</v>
      </c>
      <c r="AA150" s="31"/>
      <c r="AB150" s="214"/>
      <c r="AC150" s="494"/>
      <c r="AD150" s="494"/>
      <c r="AE150" s="31"/>
      <c r="AF150" s="214"/>
      <c r="AG150" s="228"/>
      <c r="AH150" s="494"/>
      <c r="AI150" s="228"/>
      <c r="AJ150" s="214"/>
      <c r="AK150" s="494"/>
      <c r="AL150" s="494"/>
      <c r="AM150" s="228"/>
      <c r="AN150" s="228"/>
      <c r="AO150" s="494"/>
      <c r="AP150" s="494"/>
      <c r="AQ150" s="228"/>
      <c r="AR150" s="494"/>
      <c r="AS150" s="494"/>
      <c r="AT150" s="494"/>
      <c r="AU150" s="494"/>
      <c r="AV150" s="494"/>
      <c r="AW150" s="494"/>
      <c r="AX150" s="494"/>
      <c r="AY150" s="494"/>
      <c r="AZ150" s="494"/>
      <c r="BA150" s="494"/>
      <c r="BB150" s="494"/>
      <c r="BC150" s="494"/>
      <c r="BD150" s="494"/>
      <c r="BE150" s="494"/>
      <c r="BF150" s="494"/>
      <c r="BG150" s="37">
        <f t="shared" si="8"/>
        <v>2</v>
      </c>
      <c r="BH150" s="525">
        <f t="shared" si="6"/>
        <v>2</v>
      </c>
    </row>
    <row r="151" spans="2:60" s="39" customFormat="1" ht="13.5" customHeight="1">
      <c r="B151" s="22">
        <v>150</v>
      </c>
      <c r="C151" s="22" t="s">
        <v>39</v>
      </c>
      <c r="D151" s="490" t="s">
        <v>2203</v>
      </c>
      <c r="E151" s="491" t="s">
        <v>2204</v>
      </c>
      <c r="F151" s="26" t="s">
        <v>317</v>
      </c>
      <c r="G151" s="26" t="s">
        <v>1895</v>
      </c>
      <c r="H151" s="73" t="s">
        <v>2111</v>
      </c>
      <c r="I151" s="49" t="s">
        <v>52</v>
      </c>
      <c r="J151" s="34">
        <v>1381304</v>
      </c>
      <c r="K151" s="34">
        <v>0</v>
      </c>
      <c r="L151" s="34">
        <v>140449</v>
      </c>
      <c r="M151" s="34"/>
      <c r="N151" s="34"/>
      <c r="O151" s="34"/>
      <c r="P151" s="492"/>
      <c r="Q151" s="493"/>
      <c r="R151" s="493">
        <v>274819.53999999998</v>
      </c>
      <c r="S151" s="493">
        <v>57967.574999999997</v>
      </c>
      <c r="T151" s="493">
        <v>285687.60399999999</v>
      </c>
      <c r="U151" s="493">
        <v>1500</v>
      </c>
      <c r="V151" s="34">
        <f t="shared" si="7"/>
        <v>619974.71900000004</v>
      </c>
      <c r="W151" s="31">
        <v>2</v>
      </c>
      <c r="X151" s="32">
        <v>15</v>
      </c>
      <c r="Y151" s="36">
        <v>44228</v>
      </c>
      <c r="Z151" s="36">
        <v>44260</v>
      </c>
      <c r="AA151" s="31">
        <v>2999</v>
      </c>
      <c r="AB151" s="214">
        <v>46</v>
      </c>
      <c r="AC151" s="494">
        <v>44295</v>
      </c>
      <c r="AD151" s="494">
        <v>44327</v>
      </c>
      <c r="AE151" s="31">
        <v>570462</v>
      </c>
      <c r="AF151" s="214">
        <v>70</v>
      </c>
      <c r="AG151" s="494">
        <v>44354</v>
      </c>
      <c r="AH151" s="494">
        <v>44372</v>
      </c>
      <c r="AI151" s="228">
        <v>1100</v>
      </c>
      <c r="AJ151" s="214">
        <v>78</v>
      </c>
      <c r="AK151" s="494">
        <v>44382</v>
      </c>
      <c r="AL151" s="494">
        <v>44404</v>
      </c>
      <c r="AM151" s="228">
        <v>141589</v>
      </c>
      <c r="AN151" s="228">
        <v>83</v>
      </c>
      <c r="AO151" s="494">
        <v>44403</v>
      </c>
      <c r="AP151" s="494">
        <v>44412</v>
      </c>
      <c r="AQ151" s="228">
        <v>125879</v>
      </c>
      <c r="AR151" s="228">
        <v>89</v>
      </c>
      <c r="AS151" s="494">
        <v>44413</v>
      </c>
      <c r="AT151" s="494">
        <v>44438</v>
      </c>
      <c r="AU151" s="228">
        <v>195188</v>
      </c>
      <c r="AV151" s="228">
        <v>105</v>
      </c>
      <c r="AW151" s="494">
        <v>44452</v>
      </c>
      <c r="AX151" s="494">
        <v>44466</v>
      </c>
      <c r="AY151" s="494"/>
      <c r="AZ151" s="494"/>
      <c r="BA151" s="494"/>
      <c r="BB151" s="494"/>
      <c r="BC151" s="494"/>
      <c r="BD151" s="494"/>
      <c r="BE151" s="494"/>
      <c r="BF151" s="494"/>
      <c r="BG151" s="37">
        <f t="shared" si="8"/>
        <v>1037219</v>
      </c>
      <c r="BH151" s="525">
        <f t="shared" si="6"/>
        <v>417244.28099999996</v>
      </c>
    </row>
    <row r="152" spans="2:60" s="39" customFormat="1" ht="13.5" customHeight="1">
      <c r="B152" s="22">
        <v>151</v>
      </c>
      <c r="C152" s="22" t="s">
        <v>39</v>
      </c>
      <c r="D152" s="490" t="s">
        <v>2205</v>
      </c>
      <c r="E152" s="491" t="s">
        <v>2206</v>
      </c>
      <c r="F152" s="26" t="s">
        <v>317</v>
      </c>
      <c r="G152" s="26" t="s">
        <v>1895</v>
      </c>
      <c r="H152" s="73" t="s">
        <v>1924</v>
      </c>
      <c r="I152" s="49" t="s">
        <v>52</v>
      </c>
      <c r="J152" s="34">
        <v>854054</v>
      </c>
      <c r="K152" s="34">
        <v>0</v>
      </c>
      <c r="L152" s="34">
        <v>192203</v>
      </c>
      <c r="M152" s="34"/>
      <c r="N152" s="34"/>
      <c r="O152" s="34"/>
      <c r="P152" s="492"/>
      <c r="Q152" s="493"/>
      <c r="R152" s="493"/>
      <c r="S152" s="493"/>
      <c r="T152" s="493"/>
      <c r="U152" s="493"/>
      <c r="V152" s="34">
        <f t="shared" si="7"/>
        <v>0</v>
      </c>
      <c r="W152" s="31">
        <v>2</v>
      </c>
      <c r="X152" s="32">
        <v>15</v>
      </c>
      <c r="Y152" s="36">
        <v>44228</v>
      </c>
      <c r="Z152" s="36">
        <v>44260</v>
      </c>
      <c r="AA152" s="31"/>
      <c r="AB152" s="214"/>
      <c r="AC152" s="494"/>
      <c r="AD152" s="494"/>
      <c r="AE152" s="31"/>
      <c r="AF152" s="214"/>
      <c r="AG152" s="228"/>
      <c r="AH152" s="494"/>
      <c r="AI152" s="228"/>
      <c r="AJ152" s="494"/>
      <c r="AK152" s="494"/>
      <c r="AL152" s="494"/>
      <c r="AM152" s="228"/>
      <c r="AN152" s="494"/>
      <c r="AO152" s="494"/>
      <c r="AP152" s="494"/>
      <c r="AQ152" s="228"/>
      <c r="AR152" s="494"/>
      <c r="AS152" s="494"/>
      <c r="AT152" s="494"/>
      <c r="AU152" s="494"/>
      <c r="AV152" s="494"/>
      <c r="AW152" s="494"/>
      <c r="AX152" s="494"/>
      <c r="AY152" s="494"/>
      <c r="AZ152" s="494"/>
      <c r="BA152" s="494"/>
      <c r="BB152" s="494"/>
      <c r="BC152" s="494"/>
      <c r="BD152" s="494"/>
      <c r="BE152" s="494"/>
      <c r="BF152" s="494"/>
      <c r="BG152" s="37">
        <f t="shared" si="8"/>
        <v>2</v>
      </c>
      <c r="BH152" s="525">
        <f t="shared" si="6"/>
        <v>2</v>
      </c>
    </row>
    <row r="153" spans="2:60" s="39" customFormat="1" ht="13.5" customHeight="1">
      <c r="B153" s="22">
        <v>152</v>
      </c>
      <c r="C153" s="22" t="s">
        <v>39</v>
      </c>
      <c r="D153" s="490" t="s">
        <v>2207</v>
      </c>
      <c r="E153" s="491" t="s">
        <v>2208</v>
      </c>
      <c r="F153" s="26" t="s">
        <v>47</v>
      </c>
      <c r="G153" s="26" t="s">
        <v>1895</v>
      </c>
      <c r="H153" s="73" t="s">
        <v>1924</v>
      </c>
      <c r="I153" s="49" t="s">
        <v>52</v>
      </c>
      <c r="J153" s="34">
        <v>46012</v>
      </c>
      <c r="K153" s="34">
        <v>0</v>
      </c>
      <c r="L153" s="34">
        <v>9202</v>
      </c>
      <c r="M153" s="34"/>
      <c r="N153" s="34"/>
      <c r="O153" s="34">
        <v>4500</v>
      </c>
      <c r="P153" s="492"/>
      <c r="Q153" s="493"/>
      <c r="R153" s="493">
        <v>4500</v>
      </c>
      <c r="S153" s="493">
        <v>9000</v>
      </c>
      <c r="T153" s="493"/>
      <c r="U153" s="493"/>
      <c r="V153" s="34">
        <f t="shared" si="7"/>
        <v>18000</v>
      </c>
      <c r="W153" s="31">
        <v>1</v>
      </c>
      <c r="X153" s="32">
        <v>15</v>
      </c>
      <c r="Y153" s="36">
        <v>44228</v>
      </c>
      <c r="Z153" s="36">
        <v>44260</v>
      </c>
      <c r="AA153" s="31">
        <v>4499</v>
      </c>
      <c r="AB153" s="214">
        <v>25</v>
      </c>
      <c r="AC153" s="494">
        <v>44263</v>
      </c>
      <c r="AD153" s="494">
        <v>44292</v>
      </c>
      <c r="AE153" s="31">
        <v>5000</v>
      </c>
      <c r="AF153" s="214">
        <v>46</v>
      </c>
      <c r="AG153" s="494">
        <v>44295</v>
      </c>
      <c r="AH153" s="494">
        <v>44327</v>
      </c>
      <c r="AI153" s="509">
        <v>8500</v>
      </c>
      <c r="AJ153" s="214">
        <v>55</v>
      </c>
      <c r="AK153" s="494">
        <v>44323</v>
      </c>
      <c r="AL153" s="494">
        <v>44350</v>
      </c>
      <c r="AM153" s="228">
        <v>9000</v>
      </c>
      <c r="AN153" s="228">
        <v>83</v>
      </c>
      <c r="AO153" s="494">
        <v>44403</v>
      </c>
      <c r="AP153" s="494">
        <v>44412</v>
      </c>
      <c r="AQ153" s="228">
        <v>9000</v>
      </c>
      <c r="AR153" s="228">
        <v>89</v>
      </c>
      <c r="AS153" s="494">
        <v>44413</v>
      </c>
      <c r="AT153" s="494">
        <v>44438</v>
      </c>
      <c r="AU153" s="228">
        <v>9000</v>
      </c>
      <c r="AV153" s="228">
        <v>105</v>
      </c>
      <c r="AW153" s="494">
        <v>44452</v>
      </c>
      <c r="AX153" s="494">
        <v>44466</v>
      </c>
      <c r="AY153" s="494"/>
      <c r="AZ153" s="494"/>
      <c r="BA153" s="494"/>
      <c r="BB153" s="494"/>
      <c r="BC153" s="494"/>
      <c r="BD153" s="494"/>
      <c r="BE153" s="494"/>
      <c r="BF153" s="494"/>
      <c r="BG153" s="37">
        <f t="shared" si="8"/>
        <v>45000</v>
      </c>
      <c r="BH153" s="525">
        <f t="shared" si="6"/>
        <v>27000</v>
      </c>
    </row>
    <row r="154" spans="2:60" s="39" customFormat="1" ht="13.5" customHeight="1">
      <c r="B154" s="22">
        <v>153</v>
      </c>
      <c r="C154" s="22" t="s">
        <v>39</v>
      </c>
      <c r="D154" s="490" t="s">
        <v>2209</v>
      </c>
      <c r="E154" s="491" t="s">
        <v>2210</v>
      </c>
      <c r="F154" s="26" t="s">
        <v>83</v>
      </c>
      <c r="G154" s="26" t="s">
        <v>1895</v>
      </c>
      <c r="H154" s="73" t="s">
        <v>1987</v>
      </c>
      <c r="I154" s="49" t="s">
        <v>52</v>
      </c>
      <c r="J154" s="34">
        <v>832315</v>
      </c>
      <c r="K154" s="34">
        <v>0</v>
      </c>
      <c r="L154" s="34">
        <v>797550</v>
      </c>
      <c r="M154" s="34"/>
      <c r="N154" s="34"/>
      <c r="O154" s="34"/>
      <c r="P154" s="492"/>
      <c r="Q154" s="493"/>
      <c r="R154" s="493"/>
      <c r="S154" s="493"/>
      <c r="T154" s="493">
        <v>39500</v>
      </c>
      <c r="U154" s="493"/>
      <c r="V154" s="34">
        <f t="shared" si="7"/>
        <v>39500</v>
      </c>
      <c r="W154" s="31">
        <v>1</v>
      </c>
      <c r="X154" s="32">
        <v>15</v>
      </c>
      <c r="Y154" s="36">
        <v>44228</v>
      </c>
      <c r="Z154" s="36">
        <v>44260</v>
      </c>
      <c r="AA154" s="31">
        <v>143018</v>
      </c>
      <c r="AB154" s="214">
        <v>89</v>
      </c>
      <c r="AC154" s="494">
        <v>44413</v>
      </c>
      <c r="AD154" s="494">
        <v>44438</v>
      </c>
      <c r="AE154" s="31"/>
      <c r="AF154" s="214"/>
      <c r="AG154" s="228"/>
      <c r="AH154" s="494"/>
      <c r="AI154" s="228"/>
      <c r="AJ154" s="214"/>
      <c r="AK154" s="494"/>
      <c r="AL154" s="494"/>
      <c r="AM154" s="228"/>
      <c r="AN154" s="494"/>
      <c r="AO154" s="494"/>
      <c r="AP154" s="494"/>
      <c r="AQ154" s="228"/>
      <c r="AR154" s="494"/>
      <c r="AS154" s="494"/>
      <c r="AT154" s="494"/>
      <c r="AU154" s="494"/>
      <c r="AV154" s="494"/>
      <c r="AW154" s="494"/>
      <c r="AX154" s="494"/>
      <c r="AY154" s="494"/>
      <c r="AZ154" s="494"/>
      <c r="BA154" s="494"/>
      <c r="BB154" s="494"/>
      <c r="BC154" s="494"/>
      <c r="BD154" s="494"/>
      <c r="BE154" s="494"/>
      <c r="BF154" s="494"/>
      <c r="BG154" s="37">
        <f t="shared" si="8"/>
        <v>143019</v>
      </c>
      <c r="BH154" s="525">
        <f t="shared" si="6"/>
        <v>103519</v>
      </c>
    </row>
    <row r="155" spans="2:60" s="39" customFormat="1" ht="13.5" customHeight="1">
      <c r="B155" s="22">
        <v>155</v>
      </c>
      <c r="C155" s="22" t="s">
        <v>39</v>
      </c>
      <c r="D155" s="490" t="s">
        <v>2211</v>
      </c>
      <c r="E155" s="491" t="s">
        <v>2212</v>
      </c>
      <c r="F155" s="26" t="s">
        <v>47</v>
      </c>
      <c r="G155" s="26" t="s">
        <v>1895</v>
      </c>
      <c r="H155" s="73" t="s">
        <v>1941</v>
      </c>
      <c r="I155" s="49" t="s">
        <v>52</v>
      </c>
      <c r="J155" s="34">
        <v>655331</v>
      </c>
      <c r="K155" s="34">
        <v>0</v>
      </c>
      <c r="L155" s="34">
        <v>623169</v>
      </c>
      <c r="M155" s="34"/>
      <c r="N155" s="34"/>
      <c r="O155" s="34"/>
      <c r="P155" s="492"/>
      <c r="Q155" s="493"/>
      <c r="R155" s="493"/>
      <c r="S155" s="493"/>
      <c r="T155" s="493"/>
      <c r="U155" s="493"/>
      <c r="V155" s="34">
        <f t="shared" si="7"/>
        <v>0</v>
      </c>
      <c r="W155" s="31">
        <v>1</v>
      </c>
      <c r="X155" s="32">
        <v>15</v>
      </c>
      <c r="Y155" s="36">
        <v>44228</v>
      </c>
      <c r="Z155" s="36">
        <v>44260</v>
      </c>
      <c r="AA155" s="31"/>
      <c r="AB155" s="214"/>
      <c r="AC155" s="494"/>
      <c r="AD155" s="494"/>
      <c r="AE155" s="31"/>
      <c r="AF155" s="214"/>
      <c r="AG155" s="228"/>
      <c r="AH155" s="494"/>
      <c r="AI155" s="228"/>
      <c r="AJ155" s="214"/>
      <c r="AK155" s="494"/>
      <c r="AL155" s="494"/>
      <c r="AM155" s="228"/>
      <c r="AN155" s="494"/>
      <c r="AO155" s="494"/>
      <c r="AP155" s="494"/>
      <c r="AQ155" s="228"/>
      <c r="AR155" s="494"/>
      <c r="AS155" s="494"/>
      <c r="AT155" s="494"/>
      <c r="AU155" s="494"/>
      <c r="AV155" s="494"/>
      <c r="AW155" s="494"/>
      <c r="AX155" s="494"/>
      <c r="AY155" s="494"/>
      <c r="AZ155" s="494"/>
      <c r="BA155" s="494"/>
      <c r="BB155" s="494"/>
      <c r="BC155" s="494"/>
      <c r="BD155" s="494"/>
      <c r="BE155" s="494"/>
      <c r="BF155" s="494"/>
      <c r="BG155" s="37">
        <f t="shared" si="8"/>
        <v>1</v>
      </c>
      <c r="BH155" s="525">
        <f t="shared" si="6"/>
        <v>1</v>
      </c>
    </row>
    <row r="156" spans="2:60" s="39" customFormat="1" ht="13.5" customHeight="1">
      <c r="B156" s="22">
        <v>156</v>
      </c>
      <c r="C156" s="22" t="s">
        <v>39</v>
      </c>
      <c r="D156" s="490" t="s">
        <v>2213</v>
      </c>
      <c r="E156" s="491" t="s">
        <v>2214</v>
      </c>
      <c r="F156" s="26" t="s">
        <v>47</v>
      </c>
      <c r="G156" s="26" t="s">
        <v>1895</v>
      </c>
      <c r="H156" s="73" t="s">
        <v>1941</v>
      </c>
      <c r="I156" s="49" t="s">
        <v>44</v>
      </c>
      <c r="J156" s="34">
        <v>20014</v>
      </c>
      <c r="K156" s="34">
        <v>6098</v>
      </c>
      <c r="L156" s="34">
        <v>0</v>
      </c>
      <c r="M156" s="34"/>
      <c r="N156" s="34"/>
      <c r="O156" s="34"/>
      <c r="P156" s="492"/>
      <c r="Q156" s="493"/>
      <c r="R156" s="493"/>
      <c r="S156" s="493"/>
      <c r="T156" s="493"/>
      <c r="U156" s="493"/>
      <c r="V156" s="34">
        <f t="shared" si="7"/>
        <v>0</v>
      </c>
      <c r="W156" s="31">
        <v>1</v>
      </c>
      <c r="X156" s="32">
        <v>15</v>
      </c>
      <c r="Y156" s="36">
        <v>44228</v>
      </c>
      <c r="Z156" s="36">
        <v>44260</v>
      </c>
      <c r="AA156" s="31"/>
      <c r="AB156" s="214"/>
      <c r="AC156" s="494"/>
      <c r="AD156" s="494"/>
      <c r="AE156" s="31"/>
      <c r="AF156" s="214"/>
      <c r="AG156" s="228"/>
      <c r="AH156" s="494"/>
      <c r="AI156" s="228"/>
      <c r="AJ156" s="214"/>
      <c r="AK156" s="494"/>
      <c r="AL156" s="494"/>
      <c r="AM156" s="228"/>
      <c r="AN156" s="494"/>
      <c r="AO156" s="494"/>
      <c r="AP156" s="494"/>
      <c r="AQ156" s="228"/>
      <c r="AR156" s="494"/>
      <c r="AS156" s="494"/>
      <c r="AT156" s="494"/>
      <c r="AU156" s="494"/>
      <c r="AV156" s="494"/>
      <c r="AW156" s="494"/>
      <c r="AX156" s="494"/>
      <c r="AY156" s="494"/>
      <c r="AZ156" s="494"/>
      <c r="BA156" s="494"/>
      <c r="BB156" s="494"/>
      <c r="BC156" s="494"/>
      <c r="BD156" s="494"/>
      <c r="BE156" s="494"/>
      <c r="BF156" s="494"/>
      <c r="BG156" s="37">
        <f t="shared" si="8"/>
        <v>1</v>
      </c>
      <c r="BH156" s="525">
        <f t="shared" si="6"/>
        <v>1</v>
      </c>
    </row>
    <row r="157" spans="2:60" s="39" customFormat="1" ht="13.5" customHeight="1">
      <c r="B157" s="22">
        <v>157</v>
      </c>
      <c r="C157" s="22" t="s">
        <v>39</v>
      </c>
      <c r="D157" s="490" t="s">
        <v>2215</v>
      </c>
      <c r="E157" s="491" t="s">
        <v>2216</v>
      </c>
      <c r="F157" s="26" t="s">
        <v>317</v>
      </c>
      <c r="G157" s="26" t="s">
        <v>1895</v>
      </c>
      <c r="H157" s="73" t="s">
        <v>1941</v>
      </c>
      <c r="I157" s="49" t="s">
        <v>52</v>
      </c>
      <c r="J157" s="34">
        <v>410076</v>
      </c>
      <c r="K157" s="34">
        <v>0</v>
      </c>
      <c r="L157" s="34">
        <v>2291</v>
      </c>
      <c r="M157" s="34"/>
      <c r="N157" s="34"/>
      <c r="O157" s="34"/>
      <c r="P157" s="492"/>
      <c r="Q157" s="493">
        <v>73501.534</v>
      </c>
      <c r="R157" s="493">
        <v>68846.091</v>
      </c>
      <c r="S157" s="493">
        <v>60292.262000000002</v>
      </c>
      <c r="T157" s="493">
        <v>47236.552000000003</v>
      </c>
      <c r="U157" s="493">
        <v>33229.002</v>
      </c>
      <c r="V157" s="34">
        <f t="shared" si="7"/>
        <v>283105.44099999999</v>
      </c>
      <c r="W157" s="31">
        <v>2</v>
      </c>
      <c r="X157" s="32">
        <v>15</v>
      </c>
      <c r="Y157" s="36">
        <v>44228</v>
      </c>
      <c r="Z157" s="36">
        <v>44260</v>
      </c>
      <c r="AA157" s="31">
        <v>179298</v>
      </c>
      <c r="AB157" s="214">
        <v>25</v>
      </c>
      <c r="AC157" s="494">
        <v>44263</v>
      </c>
      <c r="AD157" s="494">
        <v>44292</v>
      </c>
      <c r="AE157" s="31">
        <v>23229</v>
      </c>
      <c r="AF157" s="214">
        <v>55</v>
      </c>
      <c r="AG157" s="494">
        <v>44323</v>
      </c>
      <c r="AH157" s="494">
        <v>44350</v>
      </c>
      <c r="AI157" s="228">
        <v>48271</v>
      </c>
      <c r="AJ157" s="214">
        <v>70</v>
      </c>
      <c r="AK157" s="494">
        <v>44354</v>
      </c>
      <c r="AL157" s="494">
        <v>44372</v>
      </c>
      <c r="AM157" s="228">
        <v>46190</v>
      </c>
      <c r="AN157" s="228">
        <v>78</v>
      </c>
      <c r="AO157" s="494">
        <v>44382</v>
      </c>
      <c r="AP157" s="494">
        <v>44404</v>
      </c>
      <c r="AQ157" s="228">
        <v>20747</v>
      </c>
      <c r="AR157" s="228">
        <v>89</v>
      </c>
      <c r="AS157" s="494">
        <v>44413</v>
      </c>
      <c r="AT157" s="494">
        <v>44438</v>
      </c>
      <c r="AU157" s="494"/>
      <c r="AV157" s="494"/>
      <c r="AW157" s="494"/>
      <c r="AX157" s="494"/>
      <c r="AY157" s="494"/>
      <c r="AZ157" s="494"/>
      <c r="BA157" s="494"/>
      <c r="BB157" s="494"/>
      <c r="BC157" s="494"/>
      <c r="BD157" s="494"/>
      <c r="BE157" s="494"/>
      <c r="BF157" s="494"/>
      <c r="BG157" s="37">
        <f t="shared" si="8"/>
        <v>317737</v>
      </c>
      <c r="BH157" s="525">
        <f t="shared" si="6"/>
        <v>34631.559000000008</v>
      </c>
    </row>
    <row r="158" spans="2:60" s="39" customFormat="1" ht="13.5" customHeight="1">
      <c r="B158" s="22">
        <v>158</v>
      </c>
      <c r="C158" s="22" t="s">
        <v>39</v>
      </c>
      <c r="D158" s="490" t="s">
        <v>2217</v>
      </c>
      <c r="E158" s="491" t="s">
        <v>2218</v>
      </c>
      <c r="F158" s="26" t="s">
        <v>317</v>
      </c>
      <c r="G158" s="26" t="s">
        <v>1895</v>
      </c>
      <c r="H158" s="73" t="s">
        <v>2023</v>
      </c>
      <c r="I158" s="49" t="s">
        <v>52</v>
      </c>
      <c r="J158" s="34">
        <v>853016</v>
      </c>
      <c r="K158" s="34">
        <v>0</v>
      </c>
      <c r="L158" s="34">
        <v>720398</v>
      </c>
      <c r="M158" s="34"/>
      <c r="N158" s="34"/>
      <c r="O158" s="34"/>
      <c r="P158" s="492"/>
      <c r="Q158" s="493"/>
      <c r="R158" s="493"/>
      <c r="S158" s="493"/>
      <c r="T158" s="493"/>
      <c r="U158" s="493"/>
      <c r="V158" s="34">
        <f t="shared" si="7"/>
        <v>0</v>
      </c>
      <c r="W158" s="31">
        <v>2</v>
      </c>
      <c r="X158" s="32">
        <v>15</v>
      </c>
      <c r="Y158" s="36">
        <v>44228</v>
      </c>
      <c r="Z158" s="36">
        <v>44260</v>
      </c>
      <c r="AA158" s="31"/>
      <c r="AB158" s="214"/>
      <c r="AC158" s="494"/>
      <c r="AD158" s="494"/>
      <c r="AE158" s="31"/>
      <c r="AF158" s="214"/>
      <c r="AG158" s="228"/>
      <c r="AH158" s="494"/>
      <c r="AI158" s="228"/>
      <c r="AJ158" s="214"/>
      <c r="AK158" s="494"/>
      <c r="AL158" s="494"/>
      <c r="AM158" s="228"/>
      <c r="AN158" s="494"/>
      <c r="AO158" s="494"/>
      <c r="AP158" s="494"/>
      <c r="AQ158" s="228"/>
      <c r="AR158" s="494"/>
      <c r="AS158" s="494"/>
      <c r="AT158" s="494"/>
      <c r="AU158" s="494"/>
      <c r="AV158" s="494"/>
      <c r="AW158" s="494"/>
      <c r="AX158" s="494"/>
      <c r="AY158" s="494"/>
      <c r="AZ158" s="494"/>
      <c r="BA158" s="494"/>
      <c r="BB158" s="494"/>
      <c r="BC158" s="494"/>
      <c r="BD158" s="494"/>
      <c r="BE158" s="494"/>
      <c r="BF158" s="494"/>
      <c r="BG158" s="37">
        <f t="shared" si="8"/>
        <v>2</v>
      </c>
      <c r="BH158" s="525">
        <f t="shared" si="6"/>
        <v>2</v>
      </c>
    </row>
    <row r="159" spans="2:60" s="39" customFormat="1" ht="13.5" customHeight="1">
      <c r="B159" s="22">
        <v>159</v>
      </c>
      <c r="C159" s="22" t="s">
        <v>39</v>
      </c>
      <c r="D159" s="490" t="s">
        <v>2219</v>
      </c>
      <c r="E159" s="491" t="s">
        <v>2220</v>
      </c>
      <c r="F159" s="26" t="s">
        <v>317</v>
      </c>
      <c r="G159" s="26" t="s">
        <v>1895</v>
      </c>
      <c r="H159" s="73" t="s">
        <v>1919</v>
      </c>
      <c r="I159" s="49" t="s">
        <v>52</v>
      </c>
      <c r="J159" s="34">
        <v>369191</v>
      </c>
      <c r="K159" s="34">
        <v>0</v>
      </c>
      <c r="L159" s="34">
        <v>157290</v>
      </c>
      <c r="M159" s="34"/>
      <c r="N159" s="34"/>
      <c r="O159" s="34"/>
      <c r="P159" s="492"/>
      <c r="Q159" s="493">
        <v>67417.678</v>
      </c>
      <c r="R159" s="493">
        <v>40839.963000000003</v>
      </c>
      <c r="S159" s="493">
        <v>48986.99</v>
      </c>
      <c r="T159" s="493">
        <v>52326.156000000003</v>
      </c>
      <c r="U159" s="493">
        <v>32569.91</v>
      </c>
      <c r="V159" s="34">
        <f t="shared" si="7"/>
        <v>242140.69700000001</v>
      </c>
      <c r="W159" s="31">
        <v>2</v>
      </c>
      <c r="X159" s="32">
        <v>15</v>
      </c>
      <c r="Y159" s="36">
        <v>44228</v>
      </c>
      <c r="Z159" s="36">
        <v>44260</v>
      </c>
      <c r="AA159" s="31">
        <v>65998</v>
      </c>
      <c r="AB159" s="214">
        <v>46</v>
      </c>
      <c r="AC159" s="494">
        <v>44295</v>
      </c>
      <c r="AD159" s="494">
        <v>44327</v>
      </c>
      <c r="AE159" s="31">
        <v>102000</v>
      </c>
      <c r="AF159" s="214">
        <v>55</v>
      </c>
      <c r="AG159" s="494">
        <v>44323</v>
      </c>
      <c r="AH159" s="494">
        <v>44350</v>
      </c>
      <c r="AI159" s="228">
        <v>1064</v>
      </c>
      <c r="AJ159" s="214">
        <v>65</v>
      </c>
      <c r="AK159" s="494">
        <v>44340</v>
      </c>
      <c r="AL159" s="494">
        <v>44356</v>
      </c>
      <c r="AM159" s="228">
        <v>127369</v>
      </c>
      <c r="AN159" s="228">
        <v>78</v>
      </c>
      <c r="AO159" s="494">
        <v>44382</v>
      </c>
      <c r="AP159" s="494">
        <v>44404</v>
      </c>
      <c r="AQ159" s="228">
        <v>20754</v>
      </c>
      <c r="AR159" s="228">
        <v>105</v>
      </c>
      <c r="AS159" s="494">
        <v>44452</v>
      </c>
      <c r="AT159" s="494">
        <v>44466</v>
      </c>
      <c r="AU159" s="494"/>
      <c r="AV159" s="494"/>
      <c r="AW159" s="494"/>
      <c r="AX159" s="494"/>
      <c r="AY159" s="494"/>
      <c r="AZ159" s="494"/>
      <c r="BA159" s="494"/>
      <c r="BB159" s="494"/>
      <c r="BC159" s="494"/>
      <c r="BD159" s="494"/>
      <c r="BE159" s="494"/>
      <c r="BF159" s="494"/>
      <c r="BG159" s="37">
        <f t="shared" si="8"/>
        <v>317187</v>
      </c>
      <c r="BH159" s="525">
        <f t="shared" si="6"/>
        <v>75046.302999999985</v>
      </c>
    </row>
    <row r="160" spans="2:60" s="39" customFormat="1" ht="13.5" customHeight="1">
      <c r="B160" s="22">
        <v>160</v>
      </c>
      <c r="C160" s="22" t="s">
        <v>39</v>
      </c>
      <c r="D160" s="490" t="s">
        <v>2221</v>
      </c>
      <c r="E160" s="491" t="s">
        <v>2222</v>
      </c>
      <c r="F160" s="26" t="s">
        <v>317</v>
      </c>
      <c r="G160" s="26" t="s">
        <v>1895</v>
      </c>
      <c r="H160" s="73" t="s">
        <v>2128</v>
      </c>
      <c r="I160" s="49" t="s">
        <v>52</v>
      </c>
      <c r="J160" s="34">
        <v>519738</v>
      </c>
      <c r="K160" s="34">
        <v>0</v>
      </c>
      <c r="L160" s="34">
        <v>199227</v>
      </c>
      <c r="M160" s="34"/>
      <c r="N160" s="34"/>
      <c r="O160" s="34"/>
      <c r="P160" s="492"/>
      <c r="Q160" s="493">
        <v>40033.074000000001</v>
      </c>
      <c r="R160" s="493">
        <v>39954.587</v>
      </c>
      <c r="S160" s="493">
        <v>1756.6369999999999</v>
      </c>
      <c r="T160" s="493">
        <v>65810.972999999998</v>
      </c>
      <c r="U160" s="493">
        <v>25265.686000000002</v>
      </c>
      <c r="V160" s="34">
        <f t="shared" si="7"/>
        <v>172820.95699999999</v>
      </c>
      <c r="W160" s="31">
        <v>2</v>
      </c>
      <c r="X160" s="32">
        <v>15</v>
      </c>
      <c r="Y160" s="36">
        <v>44228</v>
      </c>
      <c r="Z160" s="36">
        <v>44260</v>
      </c>
      <c r="AA160" s="31">
        <v>72751</v>
      </c>
      <c r="AB160" s="214">
        <v>25</v>
      </c>
      <c r="AC160" s="494">
        <v>44263</v>
      </c>
      <c r="AD160" s="494">
        <v>44292</v>
      </c>
      <c r="AE160" s="31">
        <v>76750</v>
      </c>
      <c r="AF160" s="214">
        <v>46</v>
      </c>
      <c r="AG160" s="494">
        <v>44295</v>
      </c>
      <c r="AH160" s="494">
        <v>44327</v>
      </c>
      <c r="AI160" s="228">
        <v>86249</v>
      </c>
      <c r="AJ160" s="214">
        <v>55</v>
      </c>
      <c r="AK160" s="494">
        <v>44323</v>
      </c>
      <c r="AL160" s="494">
        <v>44350</v>
      </c>
      <c r="AM160" s="228">
        <v>3270</v>
      </c>
      <c r="AN160" s="228">
        <v>89</v>
      </c>
      <c r="AO160" s="494">
        <v>44413</v>
      </c>
      <c r="AP160" s="494">
        <v>44438</v>
      </c>
      <c r="AQ160" s="228"/>
      <c r="AR160" s="494"/>
      <c r="AS160" s="494"/>
      <c r="AT160" s="494"/>
      <c r="AU160" s="494"/>
      <c r="AV160" s="494"/>
      <c r="AW160" s="494"/>
      <c r="AX160" s="494"/>
      <c r="AY160" s="494"/>
      <c r="AZ160" s="494"/>
      <c r="BA160" s="494"/>
      <c r="BB160" s="494"/>
      <c r="BC160" s="494"/>
      <c r="BD160" s="494"/>
      <c r="BE160" s="494"/>
      <c r="BF160" s="494"/>
      <c r="BG160" s="37">
        <f t="shared" si="8"/>
        <v>239022</v>
      </c>
      <c r="BH160" s="525">
        <f t="shared" si="6"/>
        <v>66201.043000000005</v>
      </c>
    </row>
    <row r="161" spans="2:60" s="39" customFormat="1" ht="13.5" customHeight="1">
      <c r="B161" s="22">
        <v>161</v>
      </c>
      <c r="C161" s="22" t="s">
        <v>39</v>
      </c>
      <c r="D161" s="490" t="s">
        <v>2223</v>
      </c>
      <c r="E161" s="491" t="s">
        <v>2224</v>
      </c>
      <c r="F161" s="26" t="s">
        <v>317</v>
      </c>
      <c r="G161" s="26" t="s">
        <v>1895</v>
      </c>
      <c r="H161" s="73" t="s">
        <v>1957</v>
      </c>
      <c r="I161" s="49" t="s">
        <v>52</v>
      </c>
      <c r="J161" s="34">
        <v>620100</v>
      </c>
      <c r="K161" s="34">
        <v>0</v>
      </c>
      <c r="L161" s="34">
        <v>1</v>
      </c>
      <c r="M161" s="34"/>
      <c r="N161" s="34"/>
      <c r="O161" s="34"/>
      <c r="P161" s="492"/>
      <c r="Q161" s="493"/>
      <c r="R161" s="493">
        <v>86096.187000000005</v>
      </c>
      <c r="S161" s="493">
        <v>111026.901</v>
      </c>
      <c r="T161" s="493">
        <v>74352.964000000007</v>
      </c>
      <c r="U161" s="493">
        <v>67483.896999999997</v>
      </c>
      <c r="V161" s="34">
        <f t="shared" si="7"/>
        <v>338959.94900000002</v>
      </c>
      <c r="W161" s="31">
        <v>2</v>
      </c>
      <c r="X161" s="32">
        <v>15</v>
      </c>
      <c r="Y161" s="36">
        <v>44228</v>
      </c>
      <c r="Z161" s="36">
        <v>44260</v>
      </c>
      <c r="AA161" s="31">
        <v>36198</v>
      </c>
      <c r="AB161" s="214">
        <v>55</v>
      </c>
      <c r="AC161" s="494">
        <v>44323</v>
      </c>
      <c r="AD161" s="494">
        <v>44350</v>
      </c>
      <c r="AE161" s="31">
        <v>265000</v>
      </c>
      <c r="AF161" s="214">
        <v>65</v>
      </c>
      <c r="AG161" s="494">
        <v>44340</v>
      </c>
      <c r="AH161" s="494">
        <v>44356</v>
      </c>
      <c r="AI161" s="228">
        <v>7500</v>
      </c>
      <c r="AJ161" s="228">
        <v>70</v>
      </c>
      <c r="AK161" s="494">
        <v>44354</v>
      </c>
      <c r="AL161" s="494">
        <v>44372</v>
      </c>
      <c r="AM161" s="228">
        <v>158939</v>
      </c>
      <c r="AN161" s="228">
        <v>78</v>
      </c>
      <c r="AO161" s="494">
        <v>44382</v>
      </c>
      <c r="AP161" s="494">
        <v>44404</v>
      </c>
      <c r="AQ161" s="228">
        <v>132269</v>
      </c>
      <c r="AR161" s="228">
        <v>89</v>
      </c>
      <c r="AS161" s="494">
        <v>44413</v>
      </c>
      <c r="AT161" s="494">
        <v>44438</v>
      </c>
      <c r="AU161" s="494"/>
      <c r="AV161" s="494"/>
      <c r="AW161" s="494"/>
      <c r="AX161" s="494"/>
      <c r="AY161" s="494"/>
      <c r="AZ161" s="494"/>
      <c r="BA161" s="494"/>
      <c r="BB161" s="494"/>
      <c r="BC161" s="494"/>
      <c r="BD161" s="494"/>
      <c r="BE161" s="494"/>
      <c r="BF161" s="494"/>
      <c r="BG161" s="37">
        <f t="shared" si="8"/>
        <v>599908</v>
      </c>
      <c r="BH161" s="525">
        <f t="shared" si="6"/>
        <v>260948.05099999998</v>
      </c>
    </row>
    <row r="162" spans="2:60" s="39" customFormat="1" ht="13.5" customHeight="1">
      <c r="B162" s="22">
        <v>162</v>
      </c>
      <c r="C162" s="22" t="s">
        <v>39</v>
      </c>
      <c r="D162" s="490" t="s">
        <v>2225</v>
      </c>
      <c r="E162" s="491" t="s">
        <v>2226</v>
      </c>
      <c r="F162" s="26" t="s">
        <v>47</v>
      </c>
      <c r="G162" s="26" t="s">
        <v>1895</v>
      </c>
      <c r="H162" s="73" t="s">
        <v>1957</v>
      </c>
      <c r="I162" s="49" t="s">
        <v>52</v>
      </c>
      <c r="J162" s="34">
        <v>122054</v>
      </c>
      <c r="K162" s="34">
        <v>0</v>
      </c>
      <c r="L162" s="34">
        <v>18987</v>
      </c>
      <c r="M162" s="34"/>
      <c r="N162" s="34"/>
      <c r="O162" s="34"/>
      <c r="P162" s="492"/>
      <c r="Q162" s="493"/>
      <c r="R162" s="493"/>
      <c r="S162" s="493"/>
      <c r="T162" s="493"/>
      <c r="U162" s="493">
        <v>5900</v>
      </c>
      <c r="V162" s="34">
        <f t="shared" si="7"/>
        <v>5900</v>
      </c>
      <c r="W162" s="31">
        <v>1</v>
      </c>
      <c r="X162" s="32">
        <v>15</v>
      </c>
      <c r="Y162" s="36">
        <v>44228</v>
      </c>
      <c r="Z162" s="36">
        <v>44260</v>
      </c>
      <c r="AA162" s="31">
        <v>27328</v>
      </c>
      <c r="AB162" s="214">
        <v>70</v>
      </c>
      <c r="AC162" s="494">
        <v>44354</v>
      </c>
      <c r="AD162" s="494">
        <v>44372</v>
      </c>
      <c r="AE162" s="31">
        <v>25000</v>
      </c>
      <c r="AF162" s="214">
        <v>89</v>
      </c>
      <c r="AG162" s="494">
        <v>44413</v>
      </c>
      <c r="AH162" s="494">
        <v>44438</v>
      </c>
      <c r="AI162" s="228"/>
      <c r="AJ162" s="494"/>
      <c r="AK162" s="494"/>
      <c r="AL162" s="494"/>
      <c r="AM162" s="228"/>
      <c r="AN162" s="494"/>
      <c r="AO162" s="494"/>
      <c r="AP162" s="494"/>
      <c r="AQ162" s="228"/>
      <c r="AR162" s="494"/>
      <c r="AS162" s="494"/>
      <c r="AT162" s="494"/>
      <c r="AU162" s="494"/>
      <c r="AV162" s="494"/>
      <c r="AW162" s="494"/>
      <c r="AX162" s="494"/>
      <c r="AY162" s="494"/>
      <c r="AZ162" s="494"/>
      <c r="BA162" s="494"/>
      <c r="BB162" s="494"/>
      <c r="BC162" s="494"/>
      <c r="BD162" s="494"/>
      <c r="BE162" s="494"/>
      <c r="BF162" s="494"/>
      <c r="BG162" s="37">
        <f t="shared" si="8"/>
        <v>52329</v>
      </c>
      <c r="BH162" s="525">
        <f t="shared" si="6"/>
        <v>46429</v>
      </c>
    </row>
    <row r="163" spans="2:60" s="39" customFormat="1" ht="13.5" customHeight="1">
      <c r="B163" s="22">
        <v>163</v>
      </c>
      <c r="C163" s="22" t="s">
        <v>39</v>
      </c>
      <c r="D163" s="490" t="s">
        <v>2227</v>
      </c>
      <c r="E163" s="491" t="s">
        <v>2228</v>
      </c>
      <c r="F163" s="26" t="s">
        <v>317</v>
      </c>
      <c r="G163" s="26" t="s">
        <v>1895</v>
      </c>
      <c r="H163" s="73" t="s">
        <v>1960</v>
      </c>
      <c r="I163" s="49" t="s">
        <v>52</v>
      </c>
      <c r="J163" s="34">
        <v>1629949</v>
      </c>
      <c r="K163" s="34">
        <v>0</v>
      </c>
      <c r="L163" s="34">
        <v>0</v>
      </c>
      <c r="M163" s="34"/>
      <c r="N163" s="34"/>
      <c r="O163" s="34">
        <f>4600+77613</f>
        <v>82213</v>
      </c>
      <c r="P163" s="505">
        <v>46209.767999999996</v>
      </c>
      <c r="Q163" s="493">
        <v>31750.219000000001</v>
      </c>
      <c r="R163" s="493">
        <v>2300</v>
      </c>
      <c r="S163" s="493">
        <v>156505.807</v>
      </c>
      <c r="T163" s="493">
        <v>119832.296</v>
      </c>
      <c r="U163" s="493">
        <v>79999.61</v>
      </c>
      <c r="V163" s="34">
        <f t="shared" si="7"/>
        <v>518810.69999999995</v>
      </c>
      <c r="W163" s="31">
        <v>2</v>
      </c>
      <c r="X163" s="32">
        <v>15</v>
      </c>
      <c r="Y163" s="36">
        <v>44228</v>
      </c>
      <c r="Z163" s="36">
        <v>44260</v>
      </c>
      <c r="AA163" s="31">
        <v>323958</v>
      </c>
      <c r="AB163" s="214">
        <v>24</v>
      </c>
      <c r="AC163" s="494">
        <v>44263</v>
      </c>
      <c r="AD163" s="494">
        <v>44284</v>
      </c>
      <c r="AE163" s="31">
        <v>71218</v>
      </c>
      <c r="AF163" s="214">
        <v>25</v>
      </c>
      <c r="AG163" s="494">
        <v>44263</v>
      </c>
      <c r="AH163" s="494">
        <v>44292</v>
      </c>
      <c r="AI163" s="509">
        <v>281698</v>
      </c>
      <c r="AJ163" s="214">
        <v>55</v>
      </c>
      <c r="AK163" s="494">
        <v>44323</v>
      </c>
      <c r="AL163" s="494">
        <v>44350</v>
      </c>
      <c r="AM163" s="228">
        <v>2300</v>
      </c>
      <c r="AN163" s="228">
        <v>89</v>
      </c>
      <c r="AO163" s="494">
        <v>44413</v>
      </c>
      <c r="AP163" s="494">
        <v>44438</v>
      </c>
      <c r="AQ163" s="228"/>
      <c r="AR163" s="494"/>
      <c r="AS163" s="494"/>
      <c r="AT163" s="494"/>
      <c r="AU163" s="494"/>
      <c r="AV163" s="494"/>
      <c r="AW163" s="494"/>
      <c r="AX163" s="494"/>
      <c r="AY163" s="494"/>
      <c r="AZ163" s="494"/>
      <c r="BA163" s="494"/>
      <c r="BB163" s="494"/>
      <c r="BC163" s="494"/>
      <c r="BD163" s="494"/>
      <c r="BE163" s="494"/>
      <c r="BF163" s="494"/>
      <c r="BG163" s="37">
        <f t="shared" si="8"/>
        <v>679176</v>
      </c>
      <c r="BH163" s="525">
        <f t="shared" si="6"/>
        <v>160365.30000000005</v>
      </c>
    </row>
    <row r="164" spans="2:60" s="39" customFormat="1" ht="13.5" customHeight="1">
      <c r="B164" s="22">
        <v>164</v>
      </c>
      <c r="C164" s="22" t="s">
        <v>39</v>
      </c>
      <c r="D164" s="490" t="s">
        <v>2229</v>
      </c>
      <c r="E164" s="491" t="s">
        <v>2230</v>
      </c>
      <c r="F164" s="26" t="s">
        <v>317</v>
      </c>
      <c r="G164" s="26" t="s">
        <v>1895</v>
      </c>
      <c r="H164" s="73" t="s">
        <v>2014</v>
      </c>
      <c r="I164" s="49" t="s">
        <v>52</v>
      </c>
      <c r="J164" s="34">
        <v>471638</v>
      </c>
      <c r="K164" s="34">
        <v>0</v>
      </c>
      <c r="L164" s="34">
        <v>0</v>
      </c>
      <c r="M164" s="34"/>
      <c r="N164" s="34"/>
      <c r="O164" s="34"/>
      <c r="P164" s="492"/>
      <c r="Q164" s="493"/>
      <c r="R164" s="493"/>
      <c r="S164" s="493"/>
      <c r="T164" s="493"/>
      <c r="U164" s="493"/>
      <c r="V164" s="34">
        <f t="shared" si="7"/>
        <v>0</v>
      </c>
      <c r="W164" s="31">
        <v>2</v>
      </c>
      <c r="X164" s="32">
        <v>15</v>
      </c>
      <c r="Y164" s="36">
        <v>44228</v>
      </c>
      <c r="Z164" s="36">
        <v>44260</v>
      </c>
      <c r="AA164" s="31"/>
      <c r="AB164" s="214"/>
      <c r="AC164" s="494"/>
      <c r="AD164" s="494"/>
      <c r="AE164" s="31"/>
      <c r="AF164" s="214"/>
      <c r="AG164" s="228"/>
      <c r="AH164" s="494"/>
      <c r="AI164" s="228"/>
      <c r="AJ164" s="494"/>
      <c r="AK164" s="494"/>
      <c r="AL164" s="494"/>
      <c r="AM164" s="228"/>
      <c r="AN164" s="494"/>
      <c r="AO164" s="494"/>
      <c r="AP164" s="494"/>
      <c r="AQ164" s="228"/>
      <c r="AR164" s="494"/>
      <c r="AS164" s="494"/>
      <c r="AT164" s="494"/>
      <c r="AU164" s="494"/>
      <c r="AV164" s="494"/>
      <c r="AW164" s="494"/>
      <c r="AX164" s="494"/>
      <c r="AY164" s="494"/>
      <c r="AZ164" s="494"/>
      <c r="BA164" s="494"/>
      <c r="BB164" s="494"/>
      <c r="BC164" s="494"/>
      <c r="BD164" s="494"/>
      <c r="BE164" s="494"/>
      <c r="BF164" s="494"/>
      <c r="BG164" s="37">
        <f t="shared" si="8"/>
        <v>2</v>
      </c>
      <c r="BH164" s="525">
        <f t="shared" si="6"/>
        <v>2</v>
      </c>
    </row>
    <row r="165" spans="2:60" s="39" customFormat="1" ht="13.5" customHeight="1">
      <c r="B165" s="22">
        <v>165</v>
      </c>
      <c r="C165" s="22" t="s">
        <v>39</v>
      </c>
      <c r="D165" s="490" t="s">
        <v>2231</v>
      </c>
      <c r="E165" s="491" t="s">
        <v>2232</v>
      </c>
      <c r="F165" s="26" t="s">
        <v>317</v>
      </c>
      <c r="G165" s="26" t="s">
        <v>1895</v>
      </c>
      <c r="H165" s="73" t="s">
        <v>2014</v>
      </c>
      <c r="I165" s="49" t="s">
        <v>52</v>
      </c>
      <c r="J165" s="34">
        <v>168309</v>
      </c>
      <c r="K165" s="34">
        <v>0</v>
      </c>
      <c r="L165" s="34">
        <v>1415</v>
      </c>
      <c r="M165" s="34"/>
      <c r="N165" s="34"/>
      <c r="O165" s="34"/>
      <c r="P165" s="492"/>
      <c r="Q165" s="493"/>
      <c r="R165" s="493"/>
      <c r="S165" s="493"/>
      <c r="T165" s="493"/>
      <c r="U165" s="493"/>
      <c r="V165" s="34">
        <f t="shared" si="7"/>
        <v>0</v>
      </c>
      <c r="W165" s="31">
        <v>2</v>
      </c>
      <c r="X165" s="32">
        <v>15</v>
      </c>
      <c r="Y165" s="36">
        <v>44228</v>
      </c>
      <c r="Z165" s="36">
        <v>44260</v>
      </c>
      <c r="AA165" s="31">
        <v>147998</v>
      </c>
      <c r="AB165" s="214">
        <v>25</v>
      </c>
      <c r="AC165" s="494">
        <v>44263</v>
      </c>
      <c r="AD165" s="494">
        <v>44292</v>
      </c>
      <c r="AE165" s="31">
        <v>-144000</v>
      </c>
      <c r="AF165" s="214">
        <v>93</v>
      </c>
      <c r="AG165" s="494">
        <v>44426</v>
      </c>
      <c r="AH165" s="494">
        <v>44442</v>
      </c>
      <c r="AI165" s="228"/>
      <c r="AJ165" s="494"/>
      <c r="AK165" s="494"/>
      <c r="AL165" s="494"/>
      <c r="AM165" s="228"/>
      <c r="AN165" s="494"/>
      <c r="AO165" s="494"/>
      <c r="AP165" s="494"/>
      <c r="AQ165" s="228"/>
      <c r="AR165" s="494"/>
      <c r="AS165" s="494"/>
      <c r="AT165" s="494"/>
      <c r="AU165" s="494"/>
      <c r="AV165" s="494"/>
      <c r="AW165" s="494"/>
      <c r="AX165" s="494"/>
      <c r="AY165" s="494"/>
      <c r="AZ165" s="494"/>
      <c r="BA165" s="494"/>
      <c r="BB165" s="494"/>
      <c r="BC165" s="494"/>
      <c r="BD165" s="494"/>
      <c r="BE165" s="494"/>
      <c r="BF165" s="494"/>
      <c r="BG165" s="37">
        <f t="shared" si="8"/>
        <v>4000</v>
      </c>
      <c r="BH165" s="525">
        <f t="shared" si="6"/>
        <v>4000</v>
      </c>
    </row>
    <row r="166" spans="2:60" s="39" customFormat="1" ht="13.5" customHeight="1">
      <c r="B166" s="22">
        <v>166</v>
      </c>
      <c r="C166" s="22" t="s">
        <v>39</v>
      </c>
      <c r="D166" s="490" t="s">
        <v>2233</v>
      </c>
      <c r="E166" s="491" t="s">
        <v>2234</v>
      </c>
      <c r="F166" s="26" t="s">
        <v>47</v>
      </c>
      <c r="G166" s="26" t="s">
        <v>1895</v>
      </c>
      <c r="H166" s="73" t="s">
        <v>1966</v>
      </c>
      <c r="I166" s="49" t="s">
        <v>52</v>
      </c>
      <c r="J166" s="34">
        <v>86444</v>
      </c>
      <c r="K166" s="34">
        <v>0</v>
      </c>
      <c r="L166" s="34">
        <v>0</v>
      </c>
      <c r="M166" s="34"/>
      <c r="N166" s="34"/>
      <c r="O166" s="34"/>
      <c r="P166" s="492"/>
      <c r="Q166" s="493"/>
      <c r="R166" s="493"/>
      <c r="S166" s="493">
        <v>21900</v>
      </c>
      <c r="T166" s="493"/>
      <c r="U166" s="493"/>
      <c r="V166" s="34">
        <f t="shared" si="7"/>
        <v>21900</v>
      </c>
      <c r="W166" s="31">
        <v>1</v>
      </c>
      <c r="X166" s="32">
        <v>15</v>
      </c>
      <c r="Y166" s="36">
        <v>44228</v>
      </c>
      <c r="Z166" s="36">
        <v>44260</v>
      </c>
      <c r="AA166" s="31">
        <v>21899</v>
      </c>
      <c r="AB166" s="214">
        <v>55</v>
      </c>
      <c r="AC166" s="494">
        <v>44323</v>
      </c>
      <c r="AD166" s="494">
        <v>44350</v>
      </c>
      <c r="AE166" s="31">
        <v>51100</v>
      </c>
      <c r="AF166" s="214">
        <v>89</v>
      </c>
      <c r="AG166" s="494">
        <v>44413</v>
      </c>
      <c r="AH166" s="494">
        <v>44438</v>
      </c>
      <c r="AI166" s="228"/>
      <c r="AJ166" s="494"/>
      <c r="AK166" s="494"/>
      <c r="AL166" s="494"/>
      <c r="AM166" s="228"/>
      <c r="AN166" s="494"/>
      <c r="AO166" s="494"/>
      <c r="AP166" s="494"/>
      <c r="AQ166" s="228"/>
      <c r="AR166" s="494"/>
      <c r="AS166" s="494"/>
      <c r="AT166" s="494"/>
      <c r="AU166" s="494"/>
      <c r="AV166" s="494"/>
      <c r="AW166" s="494"/>
      <c r="AX166" s="494"/>
      <c r="AY166" s="494"/>
      <c r="AZ166" s="494"/>
      <c r="BA166" s="494"/>
      <c r="BB166" s="494"/>
      <c r="BC166" s="494"/>
      <c r="BD166" s="494"/>
      <c r="BE166" s="494"/>
      <c r="BF166" s="494"/>
      <c r="BG166" s="37">
        <f t="shared" si="8"/>
        <v>73000</v>
      </c>
      <c r="BH166" s="525">
        <f t="shared" si="6"/>
        <v>51100</v>
      </c>
    </row>
    <row r="167" spans="2:60" s="39" customFormat="1" ht="13.5" customHeight="1">
      <c r="B167" s="22">
        <v>167</v>
      </c>
      <c r="C167" s="22" t="s">
        <v>39</v>
      </c>
      <c r="D167" s="217" t="s">
        <v>2235</v>
      </c>
      <c r="E167" s="510" t="s">
        <v>2236</v>
      </c>
      <c r="F167" s="26" t="s">
        <v>146</v>
      </c>
      <c r="G167" s="26" t="s">
        <v>1895</v>
      </c>
      <c r="H167" s="73" t="s">
        <v>2046</v>
      </c>
      <c r="I167" s="49" t="s">
        <v>52</v>
      </c>
      <c r="J167" s="34">
        <v>513077</v>
      </c>
      <c r="K167" s="34">
        <v>0</v>
      </c>
      <c r="L167" s="34">
        <v>342051</v>
      </c>
      <c r="M167" s="34"/>
      <c r="N167" s="34"/>
      <c r="O167" s="34"/>
      <c r="P167" s="492"/>
      <c r="Q167" s="493"/>
      <c r="R167" s="493"/>
      <c r="S167" s="493"/>
      <c r="T167" s="493"/>
      <c r="U167" s="493"/>
      <c r="V167" s="34">
        <f t="shared" si="7"/>
        <v>0</v>
      </c>
      <c r="W167" s="511">
        <v>1</v>
      </c>
      <c r="X167" s="32">
        <v>16</v>
      </c>
      <c r="Y167" s="36">
        <v>44228</v>
      </c>
      <c r="Z167" s="36">
        <v>44263</v>
      </c>
      <c r="AA167" s="31"/>
      <c r="AB167" s="214"/>
      <c r="AC167" s="494"/>
      <c r="AD167" s="494"/>
      <c r="AE167" s="31"/>
      <c r="AF167" s="214"/>
      <c r="AG167" s="228"/>
      <c r="AH167" s="494"/>
      <c r="AI167" s="228"/>
      <c r="AJ167" s="494"/>
      <c r="AK167" s="494"/>
      <c r="AL167" s="494"/>
      <c r="AM167" s="228"/>
      <c r="AN167" s="494"/>
      <c r="AO167" s="494"/>
      <c r="AP167" s="494"/>
      <c r="AQ167" s="228"/>
      <c r="AR167" s="494"/>
      <c r="AS167" s="494"/>
      <c r="AT167" s="494"/>
      <c r="AU167" s="494"/>
      <c r="AV167" s="494"/>
      <c r="AW167" s="494"/>
      <c r="AX167" s="494"/>
      <c r="AY167" s="494"/>
      <c r="AZ167" s="494"/>
      <c r="BA167" s="494"/>
      <c r="BB167" s="494"/>
      <c r="BC167" s="494"/>
      <c r="BD167" s="494"/>
      <c r="BE167" s="494"/>
      <c r="BF167" s="494"/>
      <c r="BG167" s="37">
        <f t="shared" si="8"/>
        <v>1</v>
      </c>
      <c r="BH167" s="525">
        <f t="shared" si="6"/>
        <v>1</v>
      </c>
    </row>
    <row r="168" spans="2:60" s="39" customFormat="1" ht="13.5" customHeight="1">
      <c r="B168" s="22">
        <v>168</v>
      </c>
      <c r="C168" s="22" t="s">
        <v>39</v>
      </c>
      <c r="D168" s="217" t="s">
        <v>2237</v>
      </c>
      <c r="E168" s="510" t="s">
        <v>2238</v>
      </c>
      <c r="F168" s="26" t="s">
        <v>146</v>
      </c>
      <c r="G168" s="26" t="s">
        <v>1895</v>
      </c>
      <c r="H168" s="73" t="s">
        <v>2087</v>
      </c>
      <c r="I168" s="49" t="s">
        <v>52</v>
      </c>
      <c r="J168" s="34">
        <v>640074</v>
      </c>
      <c r="K168" s="34">
        <v>0</v>
      </c>
      <c r="L168" s="34">
        <v>529645</v>
      </c>
      <c r="M168" s="34"/>
      <c r="N168" s="34"/>
      <c r="O168" s="34"/>
      <c r="P168" s="492"/>
      <c r="Q168" s="493"/>
      <c r="R168" s="493"/>
      <c r="S168" s="493"/>
      <c r="T168" s="493"/>
      <c r="U168" s="493"/>
      <c r="V168" s="34">
        <f t="shared" si="7"/>
        <v>0</v>
      </c>
      <c r="W168" s="511">
        <v>1</v>
      </c>
      <c r="X168" s="32">
        <v>16</v>
      </c>
      <c r="Y168" s="36">
        <v>44228</v>
      </c>
      <c r="Z168" s="36">
        <v>44263</v>
      </c>
      <c r="AA168" s="31"/>
      <c r="AB168" s="214"/>
      <c r="AC168" s="494"/>
      <c r="AD168" s="494"/>
      <c r="AE168" s="31"/>
      <c r="AF168" s="214"/>
      <c r="AG168" s="228"/>
      <c r="AH168" s="494"/>
      <c r="AI168" s="228"/>
      <c r="AJ168" s="494"/>
      <c r="AK168" s="494"/>
      <c r="AL168" s="494"/>
      <c r="AM168" s="228"/>
      <c r="AN168" s="494"/>
      <c r="AO168" s="494"/>
      <c r="AP168" s="494"/>
      <c r="AQ168" s="228"/>
      <c r="AR168" s="494"/>
      <c r="AS168" s="494"/>
      <c r="AT168" s="494"/>
      <c r="AU168" s="494"/>
      <c r="AV168" s="494"/>
      <c r="AW168" s="494"/>
      <c r="AX168" s="494"/>
      <c r="AY168" s="494"/>
      <c r="AZ168" s="494"/>
      <c r="BA168" s="494"/>
      <c r="BB168" s="494"/>
      <c r="BC168" s="494"/>
      <c r="BD168" s="494"/>
      <c r="BE168" s="494"/>
      <c r="BF168" s="494"/>
      <c r="BG168" s="37">
        <f t="shared" si="8"/>
        <v>1</v>
      </c>
      <c r="BH168" s="525">
        <f t="shared" si="6"/>
        <v>1</v>
      </c>
    </row>
    <row r="169" spans="2:60" s="39" customFormat="1" ht="13.5" customHeight="1">
      <c r="B169" s="22">
        <v>169</v>
      </c>
      <c r="C169" s="22" t="s">
        <v>39</v>
      </c>
      <c r="D169" s="217" t="s">
        <v>2239</v>
      </c>
      <c r="E169" s="510" t="s">
        <v>2240</v>
      </c>
      <c r="F169" s="26" t="s">
        <v>146</v>
      </c>
      <c r="G169" s="26" t="s">
        <v>1895</v>
      </c>
      <c r="H169" s="73" t="s">
        <v>2046</v>
      </c>
      <c r="I169" s="49" t="s">
        <v>52</v>
      </c>
      <c r="J169" s="34">
        <v>161555</v>
      </c>
      <c r="K169" s="34">
        <v>0</v>
      </c>
      <c r="L169" s="34">
        <v>1</v>
      </c>
      <c r="M169" s="34"/>
      <c r="N169" s="34"/>
      <c r="O169" s="34"/>
      <c r="P169" s="492"/>
      <c r="Q169" s="493"/>
      <c r="R169" s="493"/>
      <c r="S169" s="493">
        <v>55854.133000000002</v>
      </c>
      <c r="T169" s="493">
        <v>89181.948000000004</v>
      </c>
      <c r="U169" s="493"/>
      <c r="V169" s="34">
        <f t="shared" si="7"/>
        <v>145036.08100000001</v>
      </c>
      <c r="W169" s="511">
        <v>1</v>
      </c>
      <c r="X169" s="32">
        <v>16</v>
      </c>
      <c r="Y169" s="36">
        <v>44228</v>
      </c>
      <c r="Z169" s="36">
        <v>44263</v>
      </c>
      <c r="AA169" s="31">
        <v>158499</v>
      </c>
      <c r="AB169" s="214">
        <v>79</v>
      </c>
      <c r="AC169" s="494">
        <v>44382</v>
      </c>
      <c r="AD169" s="494">
        <v>44400</v>
      </c>
      <c r="AE169" s="31"/>
      <c r="AF169" s="214"/>
      <c r="AG169" s="228"/>
      <c r="AH169" s="494"/>
      <c r="AI169" s="228"/>
      <c r="AJ169" s="494"/>
      <c r="AK169" s="494"/>
      <c r="AL169" s="494"/>
      <c r="AM169" s="228"/>
      <c r="AN169" s="494"/>
      <c r="AO169" s="494"/>
      <c r="AP169" s="494"/>
      <c r="AQ169" s="228"/>
      <c r="AR169" s="494"/>
      <c r="AS169" s="494"/>
      <c r="AT169" s="494"/>
      <c r="AU169" s="494"/>
      <c r="AV169" s="494"/>
      <c r="AW169" s="494"/>
      <c r="AX169" s="494"/>
      <c r="AY169" s="494"/>
      <c r="AZ169" s="494"/>
      <c r="BA169" s="494"/>
      <c r="BB169" s="494"/>
      <c r="BC169" s="494"/>
      <c r="BD169" s="494"/>
      <c r="BE169" s="494"/>
      <c r="BF169" s="494"/>
      <c r="BG169" s="37">
        <f t="shared" si="8"/>
        <v>158500</v>
      </c>
      <c r="BH169" s="525">
        <f t="shared" si="6"/>
        <v>13463.918999999994</v>
      </c>
    </row>
    <row r="170" spans="2:60" s="39" customFormat="1" ht="13.5" customHeight="1">
      <c r="B170" s="22">
        <v>170</v>
      </c>
      <c r="C170" s="22" t="s">
        <v>39</v>
      </c>
      <c r="D170" s="217" t="s">
        <v>2241</v>
      </c>
      <c r="E170" s="510" t="s">
        <v>2242</v>
      </c>
      <c r="F170" s="26" t="s">
        <v>146</v>
      </c>
      <c r="G170" s="26" t="s">
        <v>1895</v>
      </c>
      <c r="H170" s="73" t="s">
        <v>2046</v>
      </c>
      <c r="I170" s="49" t="s">
        <v>52</v>
      </c>
      <c r="J170" s="34">
        <v>627303</v>
      </c>
      <c r="K170" s="34">
        <v>0</v>
      </c>
      <c r="L170" s="34">
        <v>339214</v>
      </c>
      <c r="M170" s="34"/>
      <c r="N170" s="34"/>
      <c r="O170" s="34"/>
      <c r="P170" s="492"/>
      <c r="Q170" s="493"/>
      <c r="R170" s="493"/>
      <c r="S170" s="493"/>
      <c r="T170" s="493"/>
      <c r="U170" s="493"/>
      <c r="V170" s="34">
        <f t="shared" si="7"/>
        <v>0</v>
      </c>
      <c r="W170" s="511">
        <v>2</v>
      </c>
      <c r="X170" s="32">
        <v>16</v>
      </c>
      <c r="Y170" s="36">
        <v>44228</v>
      </c>
      <c r="Z170" s="36">
        <v>44263</v>
      </c>
      <c r="AA170" s="31"/>
      <c r="AB170" s="214"/>
      <c r="AC170" s="494"/>
      <c r="AD170" s="494"/>
      <c r="AE170" s="31"/>
      <c r="AF170" s="214"/>
      <c r="AG170" s="228"/>
      <c r="AH170" s="494"/>
      <c r="AI170" s="228"/>
      <c r="AJ170" s="494"/>
      <c r="AK170" s="494"/>
      <c r="AL170" s="494"/>
      <c r="AM170" s="228"/>
      <c r="AN170" s="494"/>
      <c r="AO170" s="494"/>
      <c r="AP170" s="494"/>
      <c r="AQ170" s="228"/>
      <c r="AR170" s="494"/>
      <c r="AS170" s="494"/>
      <c r="AT170" s="494"/>
      <c r="AU170" s="494"/>
      <c r="AV170" s="494"/>
      <c r="AW170" s="494"/>
      <c r="AX170" s="494"/>
      <c r="AY170" s="494"/>
      <c r="AZ170" s="494"/>
      <c r="BA170" s="494"/>
      <c r="BB170" s="494"/>
      <c r="BC170" s="494"/>
      <c r="BD170" s="494"/>
      <c r="BE170" s="494"/>
      <c r="BF170" s="494"/>
      <c r="BG170" s="37">
        <f t="shared" si="8"/>
        <v>2</v>
      </c>
      <c r="BH170" s="525">
        <f t="shared" si="6"/>
        <v>2</v>
      </c>
    </row>
    <row r="171" spans="2:60" s="39" customFormat="1" ht="13.5" customHeight="1">
      <c r="B171" s="22">
        <v>171</v>
      </c>
      <c r="C171" s="22" t="s">
        <v>39</v>
      </c>
      <c r="D171" s="217" t="s">
        <v>2243</v>
      </c>
      <c r="E171" s="510" t="s">
        <v>2244</v>
      </c>
      <c r="F171" s="26" t="s">
        <v>146</v>
      </c>
      <c r="G171" s="26" t="s">
        <v>1895</v>
      </c>
      <c r="H171" s="73" t="s">
        <v>2098</v>
      </c>
      <c r="I171" s="49" t="s">
        <v>52</v>
      </c>
      <c r="J171" s="34">
        <v>386590</v>
      </c>
      <c r="K171" s="34">
        <v>0</v>
      </c>
      <c r="L171" s="34">
        <v>171866</v>
      </c>
      <c r="M171" s="34"/>
      <c r="N171" s="34"/>
      <c r="O171" s="34"/>
      <c r="P171" s="492"/>
      <c r="Q171" s="493"/>
      <c r="R171" s="493"/>
      <c r="S171" s="493">
        <v>1800</v>
      </c>
      <c r="T171" s="493"/>
      <c r="U171" s="493"/>
      <c r="V171" s="34">
        <f t="shared" si="7"/>
        <v>1800</v>
      </c>
      <c r="W171" s="511">
        <v>2</v>
      </c>
      <c r="X171" s="32">
        <v>16</v>
      </c>
      <c r="Y171" s="36">
        <v>44228</v>
      </c>
      <c r="Z171" s="36">
        <v>44263</v>
      </c>
      <c r="AA171" s="31">
        <v>110400</v>
      </c>
      <c r="AB171" s="214">
        <v>74</v>
      </c>
      <c r="AC171" s="494">
        <v>44365</v>
      </c>
      <c r="AD171" s="494">
        <v>44391</v>
      </c>
      <c r="AE171" s="31"/>
      <c r="AF171" s="214"/>
      <c r="AG171" s="228"/>
      <c r="AH171" s="494"/>
      <c r="AI171" s="228"/>
      <c r="AJ171" s="494"/>
      <c r="AK171" s="494"/>
      <c r="AL171" s="494"/>
      <c r="AM171" s="228"/>
      <c r="AN171" s="494"/>
      <c r="AO171" s="494"/>
      <c r="AP171" s="494"/>
      <c r="AQ171" s="228"/>
      <c r="AR171" s="494"/>
      <c r="AS171" s="494"/>
      <c r="AT171" s="494"/>
      <c r="AU171" s="494"/>
      <c r="AV171" s="494"/>
      <c r="AW171" s="494"/>
      <c r="AX171" s="494"/>
      <c r="AY171" s="494"/>
      <c r="AZ171" s="494"/>
      <c r="BA171" s="494"/>
      <c r="BB171" s="494"/>
      <c r="BC171" s="494"/>
      <c r="BD171" s="494"/>
      <c r="BE171" s="494"/>
      <c r="BF171" s="494"/>
      <c r="BG171" s="37">
        <f t="shared" si="8"/>
        <v>110402</v>
      </c>
      <c r="BH171" s="525">
        <f t="shared" si="6"/>
        <v>108602</v>
      </c>
    </row>
    <row r="172" spans="2:60" s="39" customFormat="1" ht="13.5" customHeight="1">
      <c r="B172" s="22">
        <v>172</v>
      </c>
      <c r="C172" s="22" t="s">
        <v>39</v>
      </c>
      <c r="D172" s="217" t="s">
        <v>2245</v>
      </c>
      <c r="E172" s="510" t="s">
        <v>2246</v>
      </c>
      <c r="F172" s="26" t="s">
        <v>146</v>
      </c>
      <c r="G172" s="26" t="s">
        <v>1895</v>
      </c>
      <c r="H172" s="73" t="s">
        <v>1932</v>
      </c>
      <c r="I172" s="49" t="s">
        <v>52</v>
      </c>
      <c r="J172" s="34">
        <v>859416</v>
      </c>
      <c r="K172" s="34">
        <v>0</v>
      </c>
      <c r="L172" s="34">
        <v>359416</v>
      </c>
      <c r="M172" s="34"/>
      <c r="N172" s="34"/>
      <c r="O172" s="34"/>
      <c r="P172" s="492"/>
      <c r="Q172" s="493"/>
      <c r="R172" s="493"/>
      <c r="S172" s="493"/>
      <c r="T172" s="493"/>
      <c r="U172" s="493"/>
      <c r="V172" s="34">
        <f t="shared" si="7"/>
        <v>0</v>
      </c>
      <c r="W172" s="511">
        <v>1</v>
      </c>
      <c r="X172" s="32">
        <v>16</v>
      </c>
      <c r="Y172" s="36">
        <v>44228</v>
      </c>
      <c r="Z172" s="36">
        <v>44263</v>
      </c>
      <c r="AA172" s="31"/>
      <c r="AB172" s="214"/>
      <c r="AC172" s="494"/>
      <c r="AD172" s="494"/>
      <c r="AE172" s="31"/>
      <c r="AF172" s="214"/>
      <c r="AG172" s="228"/>
      <c r="AH172" s="494"/>
      <c r="AI172" s="228"/>
      <c r="AJ172" s="494"/>
      <c r="AK172" s="494"/>
      <c r="AL172" s="494"/>
      <c r="AM172" s="228"/>
      <c r="AN172" s="494"/>
      <c r="AO172" s="494"/>
      <c r="AP172" s="494"/>
      <c r="AQ172" s="228"/>
      <c r="AR172" s="494"/>
      <c r="AS172" s="494"/>
      <c r="AT172" s="494"/>
      <c r="AU172" s="494"/>
      <c r="AV172" s="494"/>
      <c r="AW172" s="494"/>
      <c r="AX172" s="494"/>
      <c r="AY172" s="494"/>
      <c r="AZ172" s="494"/>
      <c r="BA172" s="494"/>
      <c r="BB172" s="494"/>
      <c r="BC172" s="494"/>
      <c r="BD172" s="494"/>
      <c r="BE172" s="494"/>
      <c r="BF172" s="494"/>
      <c r="BG172" s="37">
        <f t="shared" si="8"/>
        <v>1</v>
      </c>
      <c r="BH172" s="525">
        <f t="shared" si="6"/>
        <v>1</v>
      </c>
    </row>
    <row r="173" spans="2:60" s="39" customFormat="1" ht="13.5" customHeight="1">
      <c r="B173" s="22">
        <v>173</v>
      </c>
      <c r="C173" s="22" t="s">
        <v>39</v>
      </c>
      <c r="D173" s="217" t="s">
        <v>2247</v>
      </c>
      <c r="E173" s="510" t="s">
        <v>2248</v>
      </c>
      <c r="F173" s="26" t="s">
        <v>146</v>
      </c>
      <c r="G173" s="26" t="s">
        <v>1895</v>
      </c>
      <c r="H173" s="73" t="s">
        <v>2046</v>
      </c>
      <c r="I173" s="49" t="s">
        <v>52</v>
      </c>
      <c r="J173" s="34">
        <v>920760</v>
      </c>
      <c r="K173" s="34">
        <v>0</v>
      </c>
      <c r="L173" s="34">
        <v>120249</v>
      </c>
      <c r="M173" s="34"/>
      <c r="N173" s="34"/>
      <c r="O173" s="34"/>
      <c r="P173" s="492"/>
      <c r="Q173" s="493"/>
      <c r="R173" s="493"/>
      <c r="S173" s="493"/>
      <c r="T173" s="493"/>
      <c r="U173" s="493"/>
      <c r="V173" s="34">
        <f t="shared" si="7"/>
        <v>0</v>
      </c>
      <c r="W173" s="511">
        <v>2</v>
      </c>
      <c r="X173" s="32">
        <v>16</v>
      </c>
      <c r="Y173" s="36">
        <v>44228</v>
      </c>
      <c r="Z173" s="36">
        <v>44263</v>
      </c>
      <c r="AA173" s="31"/>
      <c r="AB173" s="214"/>
      <c r="AC173" s="494"/>
      <c r="AD173" s="494"/>
      <c r="AE173" s="31"/>
      <c r="AF173" s="214"/>
      <c r="AG173" s="228"/>
      <c r="AH173" s="494"/>
      <c r="AI173" s="228"/>
      <c r="AJ173" s="494"/>
      <c r="AK173" s="494"/>
      <c r="AL173" s="494"/>
      <c r="AM173" s="228"/>
      <c r="AN173" s="494"/>
      <c r="AO173" s="494"/>
      <c r="AP173" s="494"/>
      <c r="AQ173" s="228"/>
      <c r="AR173" s="494"/>
      <c r="AS173" s="494"/>
      <c r="AT173" s="494"/>
      <c r="AU173" s="494"/>
      <c r="AV173" s="494"/>
      <c r="AW173" s="494"/>
      <c r="AX173" s="494"/>
      <c r="AY173" s="494"/>
      <c r="AZ173" s="494"/>
      <c r="BA173" s="494"/>
      <c r="BB173" s="494"/>
      <c r="BC173" s="494"/>
      <c r="BD173" s="494"/>
      <c r="BE173" s="494"/>
      <c r="BF173" s="494"/>
      <c r="BG173" s="37">
        <f t="shared" si="8"/>
        <v>2</v>
      </c>
      <c r="BH173" s="525">
        <f t="shared" si="6"/>
        <v>2</v>
      </c>
    </row>
    <row r="174" spans="2:60" s="39" customFormat="1" ht="13.5" customHeight="1">
      <c r="B174" s="22">
        <v>174</v>
      </c>
      <c r="C174" s="22" t="s">
        <v>39</v>
      </c>
      <c r="D174" s="217" t="s">
        <v>2249</v>
      </c>
      <c r="E174" s="510" t="s">
        <v>2250</v>
      </c>
      <c r="F174" s="26" t="s">
        <v>146</v>
      </c>
      <c r="G174" s="26" t="s">
        <v>1895</v>
      </c>
      <c r="H174" s="73" t="s">
        <v>2251</v>
      </c>
      <c r="I174" s="49" t="s">
        <v>52</v>
      </c>
      <c r="J174" s="34">
        <v>567883</v>
      </c>
      <c r="K174" s="34">
        <v>0</v>
      </c>
      <c r="L174" s="34">
        <v>159508</v>
      </c>
      <c r="M174" s="34"/>
      <c r="N174" s="34"/>
      <c r="O174" s="34"/>
      <c r="P174" s="492"/>
      <c r="Q174" s="493"/>
      <c r="R174" s="493"/>
      <c r="S174" s="493"/>
      <c r="T174" s="493"/>
      <c r="U174" s="493"/>
      <c r="V174" s="34">
        <f t="shared" si="7"/>
        <v>0</v>
      </c>
      <c r="W174" s="511">
        <v>2</v>
      </c>
      <c r="X174" s="32">
        <v>16</v>
      </c>
      <c r="Y174" s="36">
        <v>44228</v>
      </c>
      <c r="Z174" s="36">
        <v>44263</v>
      </c>
      <c r="AA174" s="31"/>
      <c r="AB174" s="214"/>
      <c r="AC174" s="494"/>
      <c r="AD174" s="494"/>
      <c r="AE174" s="31"/>
      <c r="AF174" s="214"/>
      <c r="AG174" s="228"/>
      <c r="AH174" s="494"/>
      <c r="AI174" s="228"/>
      <c r="AJ174" s="494"/>
      <c r="AK174" s="494"/>
      <c r="AL174" s="494"/>
      <c r="AM174" s="228"/>
      <c r="AN174" s="494"/>
      <c r="AO174" s="494"/>
      <c r="AP174" s="494"/>
      <c r="AQ174" s="228"/>
      <c r="AR174" s="494"/>
      <c r="AS174" s="494"/>
      <c r="AT174" s="494"/>
      <c r="AU174" s="494"/>
      <c r="AV174" s="494"/>
      <c r="AW174" s="494"/>
      <c r="AX174" s="494"/>
      <c r="AY174" s="494"/>
      <c r="AZ174" s="494"/>
      <c r="BA174" s="494"/>
      <c r="BB174" s="494"/>
      <c r="BC174" s="494"/>
      <c r="BD174" s="494"/>
      <c r="BE174" s="494"/>
      <c r="BF174" s="494"/>
      <c r="BG174" s="37">
        <f t="shared" si="8"/>
        <v>2</v>
      </c>
      <c r="BH174" s="525">
        <f t="shared" si="6"/>
        <v>2</v>
      </c>
    </row>
    <row r="175" spans="2:60" s="39" customFormat="1" ht="13.5" customHeight="1">
      <c r="B175" s="22">
        <v>175</v>
      </c>
      <c r="C175" s="22" t="s">
        <v>39</v>
      </c>
      <c r="D175" s="217" t="s">
        <v>2252</v>
      </c>
      <c r="E175" s="510" t="s">
        <v>2253</v>
      </c>
      <c r="F175" s="26" t="s">
        <v>146</v>
      </c>
      <c r="G175" s="26" t="s">
        <v>1895</v>
      </c>
      <c r="H175" s="73" t="s">
        <v>2014</v>
      </c>
      <c r="I175" s="49" t="s">
        <v>52</v>
      </c>
      <c r="J175" s="34">
        <v>420032</v>
      </c>
      <c r="K175" s="34">
        <v>0</v>
      </c>
      <c r="L175" s="34">
        <v>280684</v>
      </c>
      <c r="M175" s="34"/>
      <c r="N175" s="34"/>
      <c r="O175" s="34"/>
      <c r="P175" s="492"/>
      <c r="Q175" s="493"/>
      <c r="R175" s="493"/>
      <c r="S175" s="493">
        <v>91864.8</v>
      </c>
      <c r="T175" s="493">
        <v>138785.24400000001</v>
      </c>
      <c r="U175" s="493">
        <v>118669.656</v>
      </c>
      <c r="V175" s="34">
        <f t="shared" si="7"/>
        <v>349319.7</v>
      </c>
      <c r="W175" s="511">
        <v>2</v>
      </c>
      <c r="X175" s="32">
        <v>16</v>
      </c>
      <c r="Y175" s="36">
        <v>44228</v>
      </c>
      <c r="Z175" s="36">
        <v>44263</v>
      </c>
      <c r="AA175" s="31">
        <v>120358</v>
      </c>
      <c r="AB175" s="214">
        <v>71</v>
      </c>
      <c r="AC175" s="494">
        <v>44354</v>
      </c>
      <c r="AD175" s="494">
        <v>44376</v>
      </c>
      <c r="AE175" s="31">
        <v>79540</v>
      </c>
      <c r="AF175" s="214">
        <v>79</v>
      </c>
      <c r="AG175" s="494">
        <v>44382</v>
      </c>
      <c r="AH175" s="494">
        <v>44400</v>
      </c>
      <c r="AI175" s="228">
        <v>91865</v>
      </c>
      <c r="AJ175" s="228">
        <v>90</v>
      </c>
      <c r="AK175" s="494">
        <v>44413</v>
      </c>
      <c r="AL175" s="494">
        <v>44428</v>
      </c>
      <c r="AM175" s="228"/>
      <c r="AN175" s="494"/>
      <c r="AO175" s="494"/>
      <c r="AP175" s="494"/>
      <c r="AQ175" s="228"/>
      <c r="AR175" s="494"/>
      <c r="AS175" s="494"/>
      <c r="AT175" s="494"/>
      <c r="AU175" s="494"/>
      <c r="AV175" s="494"/>
      <c r="AW175" s="494"/>
      <c r="AX175" s="494"/>
      <c r="AY175" s="494"/>
      <c r="AZ175" s="494"/>
      <c r="BA175" s="494"/>
      <c r="BB175" s="494"/>
      <c r="BC175" s="494"/>
      <c r="BD175" s="494"/>
      <c r="BE175" s="494"/>
      <c r="BF175" s="494"/>
      <c r="BG175" s="37">
        <f t="shared" si="8"/>
        <v>291765</v>
      </c>
      <c r="BH175" s="525">
        <f t="shared" si="6"/>
        <v>-57554.700000000012</v>
      </c>
    </row>
    <row r="176" spans="2:60" s="39" customFormat="1" ht="13.5" customHeight="1">
      <c r="B176" s="22">
        <v>176</v>
      </c>
      <c r="C176" s="22" t="s">
        <v>39</v>
      </c>
      <c r="D176" s="217" t="s">
        <v>2254</v>
      </c>
      <c r="E176" s="510" t="s">
        <v>2255</v>
      </c>
      <c r="F176" s="26" t="s">
        <v>146</v>
      </c>
      <c r="G176" s="26" t="s">
        <v>1895</v>
      </c>
      <c r="H176" s="73" t="s">
        <v>1963</v>
      </c>
      <c r="I176" s="49" t="s">
        <v>52</v>
      </c>
      <c r="J176" s="34">
        <v>909164</v>
      </c>
      <c r="K176" s="34">
        <v>0</v>
      </c>
      <c r="L176" s="34">
        <v>192804</v>
      </c>
      <c r="M176" s="34"/>
      <c r="N176" s="34"/>
      <c r="O176" s="34"/>
      <c r="P176" s="492"/>
      <c r="Q176" s="493"/>
      <c r="R176" s="493"/>
      <c r="S176" s="493"/>
      <c r="T176" s="493">
        <v>63249.917999999998</v>
      </c>
      <c r="U176" s="493">
        <v>119382.217</v>
      </c>
      <c r="V176" s="34">
        <f t="shared" si="7"/>
        <v>182632.13500000001</v>
      </c>
      <c r="W176" s="511">
        <v>2</v>
      </c>
      <c r="X176" s="32">
        <v>16</v>
      </c>
      <c r="Y176" s="36">
        <v>44228</v>
      </c>
      <c r="Z176" s="36">
        <v>44263</v>
      </c>
      <c r="AA176" s="31">
        <v>153598</v>
      </c>
      <c r="AB176" s="214">
        <v>26</v>
      </c>
      <c r="AC176" s="494">
        <v>44263</v>
      </c>
      <c r="AD176" s="494">
        <v>44293</v>
      </c>
      <c r="AE176" s="31">
        <v>-40405</v>
      </c>
      <c r="AF176" s="214">
        <v>90</v>
      </c>
      <c r="AG176" s="494">
        <v>44413</v>
      </c>
      <c r="AH176" s="494">
        <v>44428</v>
      </c>
      <c r="AI176" s="228"/>
      <c r="AJ176" s="494"/>
      <c r="AK176" s="494"/>
      <c r="AL176" s="494"/>
      <c r="AM176" s="228"/>
      <c r="AN176" s="494"/>
      <c r="AO176" s="494"/>
      <c r="AP176" s="494"/>
      <c r="AQ176" s="228"/>
      <c r="AR176" s="494"/>
      <c r="AS176" s="494"/>
      <c r="AT176" s="494"/>
      <c r="AU176" s="494"/>
      <c r="AV176" s="494"/>
      <c r="AW176" s="494"/>
      <c r="AX176" s="494"/>
      <c r="AY176" s="494"/>
      <c r="AZ176" s="494"/>
      <c r="BA176" s="494"/>
      <c r="BB176" s="494"/>
      <c r="BC176" s="494"/>
      <c r="BD176" s="494"/>
      <c r="BE176" s="494"/>
      <c r="BF176" s="494"/>
      <c r="BG176" s="37">
        <f t="shared" si="8"/>
        <v>113195</v>
      </c>
      <c r="BH176" s="525">
        <f t="shared" si="6"/>
        <v>-69437.135000000009</v>
      </c>
    </row>
    <row r="177" spans="2:60" s="39" customFormat="1" ht="13.5" customHeight="1">
      <c r="B177" s="22">
        <v>177</v>
      </c>
      <c r="C177" s="22" t="s">
        <v>39</v>
      </c>
      <c r="D177" s="23" t="s">
        <v>2256</v>
      </c>
      <c r="E177" s="510" t="s">
        <v>2257</v>
      </c>
      <c r="F177" s="26" t="s">
        <v>146</v>
      </c>
      <c r="G177" s="26" t="s">
        <v>1895</v>
      </c>
      <c r="H177" s="73" t="s">
        <v>1911</v>
      </c>
      <c r="I177" s="49" t="s">
        <v>52</v>
      </c>
      <c r="J177" s="34">
        <v>452374</v>
      </c>
      <c r="K177" s="34">
        <v>0</v>
      </c>
      <c r="L177" s="34">
        <v>146567</v>
      </c>
      <c r="M177" s="34"/>
      <c r="N177" s="34"/>
      <c r="O177" s="34"/>
      <c r="P177" s="505">
        <v>101642.708</v>
      </c>
      <c r="Q177" s="493">
        <v>43541.877999999997</v>
      </c>
      <c r="R177" s="493">
        <v>1968.75</v>
      </c>
      <c r="S177" s="493">
        <v>25103.26</v>
      </c>
      <c r="T177" s="493">
        <v>93908.31</v>
      </c>
      <c r="U177" s="493">
        <v>1968.75</v>
      </c>
      <c r="V177" s="34">
        <f t="shared" si="7"/>
        <v>268133.65600000002</v>
      </c>
      <c r="W177" s="31">
        <v>174500</v>
      </c>
      <c r="X177" s="32">
        <v>17</v>
      </c>
      <c r="Y177" s="36">
        <v>44242</v>
      </c>
      <c r="Z177" s="36">
        <v>44271</v>
      </c>
      <c r="AA177" s="31">
        <v>94000</v>
      </c>
      <c r="AB177" s="214">
        <v>46</v>
      </c>
      <c r="AC177" s="494">
        <v>44295</v>
      </c>
      <c r="AD177" s="494">
        <v>44327</v>
      </c>
      <c r="AE177" s="31">
        <v>41523</v>
      </c>
      <c r="AF177" s="214">
        <v>55</v>
      </c>
      <c r="AG177" s="494">
        <v>44323</v>
      </c>
      <c r="AH177" s="494">
        <v>44350</v>
      </c>
      <c r="AI177" s="228">
        <v>100000</v>
      </c>
      <c r="AJ177" s="228">
        <v>83</v>
      </c>
      <c r="AK177" s="494">
        <v>44403</v>
      </c>
      <c r="AL177" s="494">
        <v>44412</v>
      </c>
      <c r="AM177" s="228"/>
      <c r="AN177" s="494"/>
      <c r="AO177" s="494"/>
      <c r="AP177" s="494"/>
      <c r="AQ177" s="228"/>
      <c r="AR177" s="494"/>
      <c r="AS177" s="494"/>
      <c r="AT177" s="494"/>
      <c r="AU177" s="494"/>
      <c r="AV177" s="494"/>
      <c r="AW177" s="494"/>
      <c r="AX177" s="494"/>
      <c r="AY177" s="494"/>
      <c r="AZ177" s="494"/>
      <c r="BA177" s="494"/>
      <c r="BB177" s="494"/>
      <c r="BC177" s="494"/>
      <c r="BD177" s="494"/>
      <c r="BE177" s="494"/>
      <c r="BF177" s="494"/>
      <c r="BG177" s="37">
        <f t="shared" si="8"/>
        <v>410023</v>
      </c>
      <c r="BH177" s="525">
        <f t="shared" si="6"/>
        <v>141889.34399999998</v>
      </c>
    </row>
    <row r="178" spans="2:60" s="39" customFormat="1" ht="13.5" customHeight="1">
      <c r="B178" s="22">
        <v>178</v>
      </c>
      <c r="C178" s="22" t="s">
        <v>39</v>
      </c>
      <c r="D178" s="23" t="s">
        <v>2258</v>
      </c>
      <c r="E178" s="510" t="s">
        <v>2259</v>
      </c>
      <c r="F178" s="26" t="s">
        <v>146</v>
      </c>
      <c r="G178" s="26" t="s">
        <v>1895</v>
      </c>
      <c r="H178" s="73" t="s">
        <v>1911</v>
      </c>
      <c r="I178" s="49" t="s">
        <v>52</v>
      </c>
      <c r="J178" s="34">
        <v>861203</v>
      </c>
      <c r="K178" s="34">
        <v>0</v>
      </c>
      <c r="L178" s="34">
        <v>0</v>
      </c>
      <c r="M178" s="34"/>
      <c r="N178" s="34"/>
      <c r="O178" s="34">
        <f>3300+85836</f>
        <v>89136</v>
      </c>
      <c r="P178" s="505">
        <v>90002.505999999994</v>
      </c>
      <c r="Q178" s="493">
        <v>206475.163</v>
      </c>
      <c r="R178" s="493">
        <v>109623.906</v>
      </c>
      <c r="S178" s="493">
        <v>75683.67</v>
      </c>
      <c r="T178" s="493">
        <v>77719.95</v>
      </c>
      <c r="U178" s="493">
        <v>74907.084000000003</v>
      </c>
      <c r="V178" s="34">
        <f t="shared" si="7"/>
        <v>723548.27899999998</v>
      </c>
      <c r="W178" s="31">
        <v>183500</v>
      </c>
      <c r="X178" s="32">
        <v>17</v>
      </c>
      <c r="Y178" s="36">
        <v>44242</v>
      </c>
      <c r="Z178" s="36">
        <v>44271</v>
      </c>
      <c r="AA178" s="31">
        <v>211636</v>
      </c>
      <c r="AB178" s="214">
        <v>46</v>
      </c>
      <c r="AC178" s="494">
        <v>44295</v>
      </c>
      <c r="AD178" s="494">
        <v>44327</v>
      </c>
      <c r="AE178" s="31">
        <v>158773</v>
      </c>
      <c r="AF178" s="214">
        <v>55</v>
      </c>
      <c r="AG178" s="494">
        <v>44323</v>
      </c>
      <c r="AH178" s="494">
        <v>44350</v>
      </c>
      <c r="AI178" s="228">
        <v>127939</v>
      </c>
      <c r="AJ178" s="228">
        <v>78</v>
      </c>
      <c r="AK178" s="494">
        <v>44382</v>
      </c>
      <c r="AL178" s="494">
        <v>44404</v>
      </c>
      <c r="AM178" s="228">
        <v>103300</v>
      </c>
      <c r="AN178" s="228">
        <v>89</v>
      </c>
      <c r="AO178" s="494">
        <v>44413</v>
      </c>
      <c r="AP178" s="494">
        <v>44438</v>
      </c>
      <c r="AQ178" s="228">
        <v>32392</v>
      </c>
      <c r="AR178" s="228">
        <v>105</v>
      </c>
      <c r="AS178" s="494">
        <v>44452</v>
      </c>
      <c r="AT178" s="494">
        <v>44466</v>
      </c>
      <c r="AU178" s="494"/>
      <c r="AV178" s="494"/>
      <c r="AW178" s="494"/>
      <c r="AX178" s="494"/>
      <c r="AY178" s="494"/>
      <c r="AZ178" s="494"/>
      <c r="BA178" s="494"/>
      <c r="BB178" s="494"/>
      <c r="BC178" s="494"/>
      <c r="BD178" s="494"/>
      <c r="BE178" s="494"/>
      <c r="BF178" s="494"/>
      <c r="BG178" s="37">
        <f t="shared" si="8"/>
        <v>817540</v>
      </c>
      <c r="BH178" s="525">
        <f t="shared" si="6"/>
        <v>93991.72100000002</v>
      </c>
    </row>
    <row r="179" spans="2:60" s="39" customFormat="1" ht="13.5" customHeight="1">
      <c r="B179" s="22">
        <v>179</v>
      </c>
      <c r="C179" s="22" t="s">
        <v>39</v>
      </c>
      <c r="D179" s="512" t="s">
        <v>2260</v>
      </c>
      <c r="E179" s="513" t="s">
        <v>2261</v>
      </c>
      <c r="F179" s="26" t="s">
        <v>146</v>
      </c>
      <c r="G179" s="26" t="s">
        <v>1895</v>
      </c>
      <c r="H179" s="73" t="s">
        <v>1916</v>
      </c>
      <c r="I179" s="49" t="s">
        <v>44</v>
      </c>
      <c r="J179" s="34">
        <v>529427</v>
      </c>
      <c r="K179" s="34">
        <v>291985</v>
      </c>
      <c r="L179" s="34">
        <v>0</v>
      </c>
      <c r="M179" s="34"/>
      <c r="N179" s="34"/>
      <c r="O179" s="34">
        <v>121441</v>
      </c>
      <c r="P179" s="492"/>
      <c r="Q179" s="493"/>
      <c r="R179" s="493"/>
      <c r="S179" s="493"/>
      <c r="T179" s="493">
        <v>73259.786999999997</v>
      </c>
      <c r="U179" s="493"/>
      <c r="V179" s="34">
        <f t="shared" si="7"/>
        <v>194700.78700000001</v>
      </c>
      <c r="W179" s="514">
        <v>122000</v>
      </c>
      <c r="X179" s="32">
        <v>18</v>
      </c>
      <c r="Y179" s="36">
        <v>44242</v>
      </c>
      <c r="Z179" s="36">
        <v>44270</v>
      </c>
      <c r="AA179" s="31">
        <v>115442</v>
      </c>
      <c r="AB179" s="214">
        <v>47</v>
      </c>
      <c r="AC179" s="494">
        <v>44295</v>
      </c>
      <c r="AD179" s="494">
        <v>44315</v>
      </c>
      <c r="AE179" s="31"/>
      <c r="AF179" s="214"/>
      <c r="AG179" s="228"/>
      <c r="AH179" s="494"/>
      <c r="AI179" s="228"/>
      <c r="AJ179" s="494"/>
      <c r="AK179" s="494"/>
      <c r="AL179" s="494"/>
      <c r="AM179" s="228"/>
      <c r="AN179" s="494"/>
      <c r="AO179" s="494"/>
      <c r="AP179" s="494"/>
      <c r="AQ179" s="228"/>
      <c r="AR179" s="494"/>
      <c r="AS179" s="494"/>
      <c r="AT179" s="494"/>
      <c r="AU179" s="494"/>
      <c r="AV179" s="494"/>
      <c r="AW179" s="494"/>
      <c r="AX179" s="494"/>
      <c r="AY179" s="494"/>
      <c r="AZ179" s="494"/>
      <c r="BA179" s="494"/>
      <c r="BB179" s="494"/>
      <c r="BC179" s="494"/>
      <c r="BD179" s="494"/>
      <c r="BE179" s="494"/>
      <c r="BF179" s="494"/>
      <c r="BG179" s="37">
        <f t="shared" si="8"/>
        <v>237442</v>
      </c>
      <c r="BH179" s="525">
        <f t="shared" si="6"/>
        <v>42741.212999999989</v>
      </c>
    </row>
    <row r="180" spans="2:60" s="39" customFormat="1" ht="13.5" customHeight="1">
      <c r="B180" s="22">
        <v>180</v>
      </c>
      <c r="C180" s="22" t="s">
        <v>39</v>
      </c>
      <c r="D180" s="512" t="s">
        <v>2262</v>
      </c>
      <c r="E180" s="513" t="s">
        <v>2263</v>
      </c>
      <c r="F180" s="26" t="s">
        <v>146</v>
      </c>
      <c r="G180" s="26" t="s">
        <v>1895</v>
      </c>
      <c r="H180" s="73" t="s">
        <v>1941</v>
      </c>
      <c r="I180" s="49" t="s">
        <v>44</v>
      </c>
      <c r="J180" s="34">
        <v>409112</v>
      </c>
      <c r="K180" s="34">
        <v>371878</v>
      </c>
      <c r="L180" s="34">
        <v>0</v>
      </c>
      <c r="M180" s="34"/>
      <c r="N180" s="34"/>
      <c r="O180" s="34"/>
      <c r="P180" s="505">
        <v>37233.15</v>
      </c>
      <c r="Q180" s="493"/>
      <c r="R180" s="493"/>
      <c r="S180" s="493"/>
      <c r="T180" s="493"/>
      <c r="U180" s="493"/>
      <c r="V180" s="34">
        <f t="shared" si="7"/>
        <v>37233.15</v>
      </c>
      <c r="W180" s="31">
        <v>37234</v>
      </c>
      <c r="X180" s="32">
        <v>19</v>
      </c>
      <c r="Y180" s="33">
        <v>44242</v>
      </c>
      <c r="Z180" s="36">
        <v>44271</v>
      </c>
      <c r="AA180" s="31"/>
      <c r="AB180" s="214"/>
      <c r="AC180" s="494"/>
      <c r="AD180" s="494"/>
      <c r="AE180" s="31"/>
      <c r="AF180" s="214"/>
      <c r="AG180" s="228"/>
      <c r="AH180" s="494"/>
      <c r="AI180" s="228"/>
      <c r="AJ180" s="494"/>
      <c r="AK180" s="494"/>
      <c r="AL180" s="494"/>
      <c r="AM180" s="228"/>
      <c r="AN180" s="494"/>
      <c r="AO180" s="494"/>
      <c r="AP180" s="494"/>
      <c r="AQ180" s="228"/>
      <c r="AR180" s="494"/>
      <c r="AS180" s="494"/>
      <c r="AT180" s="494"/>
      <c r="AU180" s="494"/>
      <c r="AV180" s="494"/>
      <c r="AW180" s="494"/>
      <c r="AX180" s="494"/>
      <c r="AY180" s="494"/>
      <c r="AZ180" s="494"/>
      <c r="BA180" s="494"/>
      <c r="BB180" s="494"/>
      <c r="BC180" s="494"/>
      <c r="BD180" s="494"/>
      <c r="BE180" s="494"/>
      <c r="BF180" s="494"/>
      <c r="BG180" s="37">
        <f t="shared" si="8"/>
        <v>37234</v>
      </c>
      <c r="BH180" s="525">
        <f t="shared" si="6"/>
        <v>0.84999999999854481</v>
      </c>
    </row>
    <row r="181" spans="2:60" s="39" customFormat="1" ht="13.5" customHeight="1">
      <c r="B181" s="22">
        <v>181</v>
      </c>
      <c r="C181" s="22" t="s">
        <v>39</v>
      </c>
      <c r="D181" s="23" t="s">
        <v>2264</v>
      </c>
      <c r="E181" s="513" t="s">
        <v>2265</v>
      </c>
      <c r="F181" s="26" t="s">
        <v>146</v>
      </c>
      <c r="G181" s="26" t="s">
        <v>1895</v>
      </c>
      <c r="H181" s="73" t="s">
        <v>2046</v>
      </c>
      <c r="I181" s="49" t="s">
        <v>44</v>
      </c>
      <c r="J181" s="34">
        <v>1213995</v>
      </c>
      <c r="K181" s="34">
        <v>827098</v>
      </c>
      <c r="L181" s="34">
        <v>0</v>
      </c>
      <c r="M181" s="34"/>
      <c r="N181" s="34"/>
      <c r="O181" s="34"/>
      <c r="P181" s="492"/>
      <c r="Q181" s="493"/>
      <c r="R181" s="493"/>
      <c r="S181" s="493"/>
      <c r="T181" s="493"/>
      <c r="U181" s="507">
        <v>124.012</v>
      </c>
      <c r="V181" s="34">
        <f t="shared" si="7"/>
        <v>124.012</v>
      </c>
      <c r="W181" s="31">
        <v>100000</v>
      </c>
      <c r="X181" s="32">
        <v>21</v>
      </c>
      <c r="Y181" s="33">
        <v>44256</v>
      </c>
      <c r="Z181" s="36">
        <v>44274</v>
      </c>
      <c r="AA181" s="31"/>
      <c r="AB181" s="214"/>
      <c r="AC181" s="494"/>
      <c r="AD181" s="494"/>
      <c r="AE181" s="31"/>
      <c r="AF181" s="214"/>
      <c r="AG181" s="228"/>
      <c r="AH181" s="494"/>
      <c r="AI181" s="228"/>
      <c r="AJ181" s="494"/>
      <c r="AK181" s="494"/>
      <c r="AL181" s="494"/>
      <c r="AM181" s="228"/>
      <c r="AN181" s="494"/>
      <c r="AO181" s="494"/>
      <c r="AP181" s="494"/>
      <c r="AQ181" s="228"/>
      <c r="AR181" s="494"/>
      <c r="AS181" s="494"/>
      <c r="AT181" s="494"/>
      <c r="AU181" s="494"/>
      <c r="AV181" s="494"/>
      <c r="AW181" s="494"/>
      <c r="AX181" s="494"/>
      <c r="AY181" s="494"/>
      <c r="AZ181" s="494"/>
      <c r="BA181" s="494"/>
      <c r="BB181" s="494"/>
      <c r="BC181" s="494"/>
      <c r="BD181" s="494"/>
      <c r="BE181" s="494"/>
      <c r="BF181" s="494"/>
      <c r="BG181" s="37">
        <f t="shared" si="8"/>
        <v>100000</v>
      </c>
      <c r="BH181" s="525">
        <f t="shared" si="6"/>
        <v>99875.987999999998</v>
      </c>
    </row>
    <row r="182" spans="2:60" s="39" customFormat="1" ht="13.5" customHeight="1">
      <c r="B182" s="22">
        <v>182</v>
      </c>
      <c r="C182" s="22" t="s">
        <v>39</v>
      </c>
      <c r="D182" s="23" t="s">
        <v>2266</v>
      </c>
      <c r="E182" s="510" t="s">
        <v>2267</v>
      </c>
      <c r="F182" s="26" t="s">
        <v>158</v>
      </c>
      <c r="G182" s="26" t="s">
        <v>1895</v>
      </c>
      <c r="H182" s="73" t="s">
        <v>2268</v>
      </c>
      <c r="I182" s="49" t="s">
        <v>52</v>
      </c>
      <c r="J182" s="34">
        <v>1591290</v>
      </c>
      <c r="K182" s="34">
        <v>0</v>
      </c>
      <c r="L182" s="34">
        <v>696936</v>
      </c>
      <c r="M182" s="34"/>
      <c r="N182" s="34"/>
      <c r="O182" s="34"/>
      <c r="P182" s="492"/>
      <c r="Q182" s="493"/>
      <c r="R182" s="493"/>
      <c r="S182" s="493"/>
      <c r="T182" s="493"/>
      <c r="U182" s="493"/>
      <c r="V182" s="34">
        <f t="shared" si="7"/>
        <v>0</v>
      </c>
      <c r="W182" s="31">
        <v>2</v>
      </c>
      <c r="X182" s="32">
        <v>22</v>
      </c>
      <c r="Y182" s="33">
        <v>44256</v>
      </c>
      <c r="Z182" s="36">
        <v>44277</v>
      </c>
      <c r="AA182" s="31"/>
      <c r="AB182" s="214"/>
      <c r="AC182" s="494"/>
      <c r="AD182" s="494"/>
      <c r="AE182" s="31"/>
      <c r="AF182" s="214"/>
      <c r="AG182" s="228"/>
      <c r="AH182" s="494"/>
      <c r="AI182" s="228"/>
      <c r="AJ182" s="494"/>
      <c r="AK182" s="494"/>
      <c r="AL182" s="494"/>
      <c r="AM182" s="228"/>
      <c r="AN182" s="494"/>
      <c r="AO182" s="494"/>
      <c r="AP182" s="494"/>
      <c r="AQ182" s="228"/>
      <c r="AR182" s="494"/>
      <c r="AS182" s="494"/>
      <c r="AT182" s="494"/>
      <c r="AU182" s="494"/>
      <c r="AV182" s="494"/>
      <c r="AW182" s="494"/>
      <c r="AX182" s="494"/>
      <c r="AY182" s="494"/>
      <c r="AZ182" s="494"/>
      <c r="BA182" s="494"/>
      <c r="BB182" s="494"/>
      <c r="BC182" s="494"/>
      <c r="BD182" s="494"/>
      <c r="BE182" s="494"/>
      <c r="BF182" s="494"/>
      <c r="BG182" s="37">
        <f t="shared" si="8"/>
        <v>2</v>
      </c>
      <c r="BH182" s="525">
        <f t="shared" si="6"/>
        <v>2</v>
      </c>
    </row>
    <row r="183" spans="2:60" s="39" customFormat="1" ht="13.5" customHeight="1">
      <c r="B183" s="22">
        <v>183</v>
      </c>
      <c r="C183" s="22" t="s">
        <v>39</v>
      </c>
      <c r="D183" s="23" t="s">
        <v>2269</v>
      </c>
      <c r="E183" s="510" t="s">
        <v>2270</v>
      </c>
      <c r="F183" s="26" t="s">
        <v>146</v>
      </c>
      <c r="G183" s="26" t="s">
        <v>1895</v>
      </c>
      <c r="H183" s="73" t="s">
        <v>2268</v>
      </c>
      <c r="I183" s="49" t="s">
        <v>44</v>
      </c>
      <c r="J183" s="34">
        <v>544919</v>
      </c>
      <c r="K183" s="34">
        <v>505459</v>
      </c>
      <c r="L183" s="34">
        <v>0</v>
      </c>
      <c r="M183" s="34"/>
      <c r="N183" s="34"/>
      <c r="O183" s="34"/>
      <c r="P183" s="505">
        <v>14368.776</v>
      </c>
      <c r="Q183" s="493">
        <v>22298.055</v>
      </c>
      <c r="R183" s="493"/>
      <c r="S183" s="493"/>
      <c r="T183" s="493"/>
      <c r="U183" s="493"/>
      <c r="V183" s="34">
        <f t="shared" si="7"/>
        <v>36666.830999999998</v>
      </c>
      <c r="W183" s="31">
        <v>14371</v>
      </c>
      <c r="X183" s="32">
        <v>22</v>
      </c>
      <c r="Y183" s="33">
        <v>44256</v>
      </c>
      <c r="Z183" s="36">
        <v>44277</v>
      </c>
      <c r="AA183" s="31">
        <v>22299</v>
      </c>
      <c r="AB183" s="214">
        <v>55</v>
      </c>
      <c r="AC183" s="494">
        <v>44323</v>
      </c>
      <c r="AD183" s="494">
        <v>44350</v>
      </c>
      <c r="AE183" s="31"/>
      <c r="AF183" s="214"/>
      <c r="AG183" s="228"/>
      <c r="AH183" s="494"/>
      <c r="AI183" s="228"/>
      <c r="AJ183" s="494"/>
      <c r="AK183" s="494"/>
      <c r="AL183" s="494"/>
      <c r="AM183" s="228"/>
      <c r="AN183" s="494"/>
      <c r="AO183" s="494"/>
      <c r="AP183" s="494"/>
      <c r="AQ183" s="228"/>
      <c r="AR183" s="494"/>
      <c r="AS183" s="494"/>
      <c r="AT183" s="494"/>
      <c r="AU183" s="494"/>
      <c r="AV183" s="494"/>
      <c r="AW183" s="494"/>
      <c r="AX183" s="494"/>
      <c r="AY183" s="494"/>
      <c r="AZ183" s="494"/>
      <c r="BA183" s="494"/>
      <c r="BB183" s="494"/>
      <c r="BC183" s="494"/>
      <c r="BD183" s="494"/>
      <c r="BE183" s="494"/>
      <c r="BF183" s="494"/>
      <c r="BG183" s="37">
        <f t="shared" si="8"/>
        <v>36670</v>
      </c>
      <c r="BH183" s="525">
        <f t="shared" si="6"/>
        <v>3.169000000001688</v>
      </c>
    </row>
    <row r="184" spans="2:60" s="39" customFormat="1" ht="13.5" customHeight="1">
      <c r="B184" s="22">
        <v>184</v>
      </c>
      <c r="C184" s="22" t="s">
        <v>65</v>
      </c>
      <c r="D184" s="23" t="s">
        <v>2271</v>
      </c>
      <c r="E184" s="515" t="s">
        <v>2272</v>
      </c>
      <c r="F184" s="26" t="s">
        <v>146</v>
      </c>
      <c r="G184" s="26" t="s">
        <v>1895</v>
      </c>
      <c r="H184" s="73" t="s">
        <v>1896</v>
      </c>
      <c r="I184" s="49" t="s">
        <v>44</v>
      </c>
      <c r="J184" s="34">
        <v>339178</v>
      </c>
      <c r="K184" s="34">
        <v>0</v>
      </c>
      <c r="L184" s="34">
        <v>178414</v>
      </c>
      <c r="M184" s="34"/>
      <c r="N184" s="34"/>
      <c r="O184" s="34"/>
      <c r="P184" s="492"/>
      <c r="Q184" s="493">
        <v>87554</v>
      </c>
      <c r="R184" s="493">
        <v>4850</v>
      </c>
      <c r="S184" s="493"/>
      <c r="T184" s="493"/>
      <c r="U184" s="493"/>
      <c r="V184" s="34">
        <f t="shared" si="7"/>
        <v>92404</v>
      </c>
      <c r="W184" s="31">
        <v>160000</v>
      </c>
      <c r="X184" s="32">
        <v>23</v>
      </c>
      <c r="Y184" s="33">
        <v>44263</v>
      </c>
      <c r="Z184" s="36">
        <v>44284</v>
      </c>
      <c r="AA184" s="31"/>
      <c r="AB184" s="214"/>
      <c r="AC184" s="494"/>
      <c r="AD184" s="494"/>
      <c r="AE184" s="31"/>
      <c r="AF184" s="214"/>
      <c r="AG184" s="228"/>
      <c r="AH184" s="494"/>
      <c r="AI184" s="228"/>
      <c r="AJ184" s="494"/>
      <c r="AK184" s="494"/>
      <c r="AL184" s="494"/>
      <c r="AM184" s="228"/>
      <c r="AN184" s="494"/>
      <c r="AO184" s="494"/>
      <c r="AP184" s="494"/>
      <c r="AQ184" s="494"/>
      <c r="AR184" s="494"/>
      <c r="AS184" s="494"/>
      <c r="AT184" s="494"/>
      <c r="AU184" s="494"/>
      <c r="AV184" s="494"/>
      <c r="AW184" s="494"/>
      <c r="AX184" s="494"/>
      <c r="AY184" s="494"/>
      <c r="AZ184" s="494"/>
      <c r="BA184" s="494"/>
      <c r="BB184" s="494"/>
      <c r="BC184" s="494"/>
      <c r="BD184" s="494"/>
      <c r="BE184" s="494"/>
      <c r="BF184" s="494"/>
      <c r="BG184" s="37">
        <f t="shared" si="8"/>
        <v>160000</v>
      </c>
      <c r="BH184" s="525">
        <f t="shared" si="6"/>
        <v>67596</v>
      </c>
    </row>
    <row r="185" spans="2:60" s="39" customFormat="1" ht="13.5" customHeight="1">
      <c r="B185" s="22">
        <v>185</v>
      </c>
      <c r="C185" s="22" t="s">
        <v>65</v>
      </c>
      <c r="D185" s="23" t="s">
        <v>2273</v>
      </c>
      <c r="E185" s="515" t="s">
        <v>2274</v>
      </c>
      <c r="F185" s="26" t="s">
        <v>146</v>
      </c>
      <c r="G185" s="26" t="s">
        <v>1895</v>
      </c>
      <c r="H185" s="73" t="s">
        <v>1941</v>
      </c>
      <c r="I185" s="49" t="s">
        <v>52</v>
      </c>
      <c r="J185" s="34">
        <v>413402</v>
      </c>
      <c r="K185" s="34">
        <v>0</v>
      </c>
      <c r="L185" s="34">
        <v>98200</v>
      </c>
      <c r="M185" s="34"/>
      <c r="N185" s="34"/>
      <c r="O185" s="34"/>
      <c r="P185" s="505">
        <v>73790</v>
      </c>
      <c r="Q185" s="493"/>
      <c r="R185" s="493"/>
      <c r="S185" s="493"/>
      <c r="T185" s="493"/>
      <c r="U185" s="493">
        <v>190589.8</v>
      </c>
      <c r="V185" s="34">
        <f t="shared" si="7"/>
        <v>264379.8</v>
      </c>
      <c r="W185" s="31">
        <v>160000</v>
      </c>
      <c r="X185" s="32">
        <v>23</v>
      </c>
      <c r="Y185" s="33">
        <v>44263</v>
      </c>
      <c r="Z185" s="36">
        <v>44284</v>
      </c>
      <c r="AA185" s="31">
        <v>87637</v>
      </c>
      <c r="AB185" s="214">
        <v>70</v>
      </c>
      <c r="AC185" s="494">
        <v>44354</v>
      </c>
      <c r="AD185" s="494">
        <v>44372</v>
      </c>
      <c r="AE185" s="31"/>
      <c r="AF185" s="214"/>
      <c r="AG185" s="228"/>
      <c r="AH185" s="494"/>
      <c r="AI185" s="228"/>
      <c r="AJ185" s="494"/>
      <c r="AK185" s="494"/>
      <c r="AL185" s="494"/>
      <c r="AM185" s="228"/>
      <c r="AN185" s="494"/>
      <c r="AO185" s="494"/>
      <c r="AP185" s="494"/>
      <c r="AQ185" s="494"/>
      <c r="AR185" s="494"/>
      <c r="AS185" s="494"/>
      <c r="AT185" s="494"/>
      <c r="AU185" s="494"/>
      <c r="AV185" s="494"/>
      <c r="AW185" s="494"/>
      <c r="AX185" s="494"/>
      <c r="AY185" s="494"/>
      <c r="AZ185" s="494"/>
      <c r="BA185" s="494"/>
      <c r="BB185" s="494"/>
      <c r="BC185" s="494"/>
      <c r="BD185" s="494"/>
      <c r="BE185" s="494"/>
      <c r="BF185" s="494"/>
      <c r="BG185" s="37">
        <f t="shared" si="8"/>
        <v>247637</v>
      </c>
      <c r="BH185" s="525">
        <f t="shared" si="6"/>
        <v>-16742.799999999988</v>
      </c>
    </row>
    <row r="186" spans="2:60" s="39" customFormat="1" ht="13.5" customHeight="1">
      <c r="B186" s="22">
        <v>186</v>
      </c>
      <c r="C186" s="22" t="s">
        <v>65</v>
      </c>
      <c r="D186" s="23" t="s">
        <v>2275</v>
      </c>
      <c r="E186" s="515" t="s">
        <v>2276</v>
      </c>
      <c r="F186" s="26" t="s">
        <v>146</v>
      </c>
      <c r="G186" s="26" t="s">
        <v>1895</v>
      </c>
      <c r="H186" s="73" t="s">
        <v>1911</v>
      </c>
      <c r="I186" s="49" t="s">
        <v>44</v>
      </c>
      <c r="J186" s="34">
        <v>122983</v>
      </c>
      <c r="K186" s="34">
        <v>113608</v>
      </c>
      <c r="L186" s="34">
        <v>0</v>
      </c>
      <c r="M186" s="34"/>
      <c r="N186" s="34"/>
      <c r="O186" s="34"/>
      <c r="P186" s="492"/>
      <c r="Q186" s="493"/>
      <c r="R186" s="493"/>
      <c r="S186" s="493"/>
      <c r="T186" s="493"/>
      <c r="U186" s="493"/>
      <c r="V186" s="34">
        <f t="shared" si="7"/>
        <v>0</v>
      </c>
      <c r="W186" s="31">
        <v>9375</v>
      </c>
      <c r="X186" s="32">
        <v>23</v>
      </c>
      <c r="Y186" s="33">
        <v>44263</v>
      </c>
      <c r="Z186" s="36">
        <v>44284</v>
      </c>
      <c r="AA186" s="31"/>
      <c r="AB186" s="214"/>
      <c r="AC186" s="494"/>
      <c r="AD186" s="494"/>
      <c r="AE186" s="31"/>
      <c r="AF186" s="214"/>
      <c r="AG186" s="228"/>
      <c r="AH186" s="494"/>
      <c r="AI186" s="228"/>
      <c r="AJ186" s="494"/>
      <c r="AK186" s="494"/>
      <c r="AL186" s="494"/>
      <c r="AM186" s="228"/>
      <c r="AN186" s="494"/>
      <c r="AO186" s="494"/>
      <c r="AP186" s="494"/>
      <c r="AQ186" s="494"/>
      <c r="AR186" s="494"/>
      <c r="AS186" s="494"/>
      <c r="AT186" s="494"/>
      <c r="AU186" s="494"/>
      <c r="AV186" s="494"/>
      <c r="AW186" s="494"/>
      <c r="AX186" s="494"/>
      <c r="AY186" s="494"/>
      <c r="AZ186" s="494"/>
      <c r="BA186" s="494"/>
      <c r="BB186" s="494"/>
      <c r="BC186" s="494"/>
      <c r="BD186" s="494"/>
      <c r="BE186" s="494"/>
      <c r="BF186" s="494"/>
      <c r="BG186" s="37">
        <f t="shared" si="8"/>
        <v>9375</v>
      </c>
      <c r="BH186" s="525">
        <f t="shared" si="6"/>
        <v>9375</v>
      </c>
    </row>
    <row r="187" spans="2:60" s="39" customFormat="1" ht="13.5" customHeight="1">
      <c r="B187" s="22">
        <v>187</v>
      </c>
      <c r="C187" s="22" t="s">
        <v>65</v>
      </c>
      <c r="D187" s="23" t="s">
        <v>2277</v>
      </c>
      <c r="E187" s="515" t="s">
        <v>2278</v>
      </c>
      <c r="F187" s="26" t="s">
        <v>146</v>
      </c>
      <c r="G187" s="26" t="s">
        <v>1895</v>
      </c>
      <c r="H187" s="73" t="s">
        <v>2046</v>
      </c>
      <c r="I187" s="49" t="s">
        <v>52</v>
      </c>
      <c r="J187" s="34">
        <v>246558</v>
      </c>
      <c r="K187" s="34">
        <v>0</v>
      </c>
      <c r="L187" s="34">
        <v>166558</v>
      </c>
      <c r="M187" s="34"/>
      <c r="N187" s="34"/>
      <c r="O187" s="34"/>
      <c r="P187" s="492"/>
      <c r="Q187" s="493"/>
      <c r="R187" s="493"/>
      <c r="S187" s="493"/>
      <c r="T187" s="493"/>
      <c r="U187" s="493"/>
      <c r="V187" s="34">
        <f t="shared" si="7"/>
        <v>0</v>
      </c>
      <c r="W187" s="31">
        <v>1</v>
      </c>
      <c r="X187" s="32">
        <v>23</v>
      </c>
      <c r="Y187" s="33">
        <v>44263</v>
      </c>
      <c r="Z187" s="36">
        <v>44284</v>
      </c>
      <c r="AA187" s="31"/>
      <c r="AB187" s="214"/>
      <c r="AC187" s="494"/>
      <c r="AD187" s="494"/>
      <c r="AE187" s="31"/>
      <c r="AF187" s="214"/>
      <c r="AG187" s="228"/>
      <c r="AH187" s="494"/>
      <c r="AI187" s="228"/>
      <c r="AJ187" s="494"/>
      <c r="AK187" s="494"/>
      <c r="AL187" s="494"/>
      <c r="AM187" s="228"/>
      <c r="AN187" s="494"/>
      <c r="AO187" s="494"/>
      <c r="AP187" s="494"/>
      <c r="AQ187" s="494"/>
      <c r="AR187" s="494"/>
      <c r="AS187" s="494"/>
      <c r="AT187" s="494"/>
      <c r="AU187" s="494"/>
      <c r="AV187" s="494"/>
      <c r="AW187" s="494"/>
      <c r="AX187" s="494"/>
      <c r="AY187" s="494"/>
      <c r="AZ187" s="494"/>
      <c r="BA187" s="494"/>
      <c r="BB187" s="494"/>
      <c r="BC187" s="494"/>
      <c r="BD187" s="494"/>
      <c r="BE187" s="494"/>
      <c r="BF187" s="494"/>
      <c r="BG187" s="37">
        <f t="shared" si="8"/>
        <v>1</v>
      </c>
      <c r="BH187" s="525">
        <f t="shared" si="6"/>
        <v>1</v>
      </c>
    </row>
    <row r="188" spans="2:60" s="39" customFormat="1" ht="13.5" customHeight="1">
      <c r="B188" s="22">
        <v>188</v>
      </c>
      <c r="C188" s="22" t="s">
        <v>65</v>
      </c>
      <c r="D188" s="23" t="s">
        <v>2279</v>
      </c>
      <c r="E188" s="515" t="s">
        <v>2280</v>
      </c>
      <c r="F188" s="26" t="s">
        <v>146</v>
      </c>
      <c r="G188" s="26" t="s">
        <v>1895</v>
      </c>
      <c r="H188" s="73" t="s">
        <v>1932</v>
      </c>
      <c r="I188" s="49" t="s">
        <v>52</v>
      </c>
      <c r="J188" s="34">
        <v>204497</v>
      </c>
      <c r="K188" s="34">
        <v>0</v>
      </c>
      <c r="L188" s="34">
        <v>173823</v>
      </c>
      <c r="M188" s="34"/>
      <c r="N188" s="34"/>
      <c r="O188" s="34"/>
      <c r="P188" s="492"/>
      <c r="Q188" s="493"/>
      <c r="R188" s="493"/>
      <c r="S188" s="493"/>
      <c r="T188" s="493"/>
      <c r="U188" s="493"/>
      <c r="V188" s="34">
        <f t="shared" si="7"/>
        <v>0</v>
      </c>
      <c r="W188" s="516">
        <v>1</v>
      </c>
      <c r="X188" s="32">
        <v>23</v>
      </c>
      <c r="Y188" s="33">
        <v>44263</v>
      </c>
      <c r="Z188" s="36">
        <v>44284</v>
      </c>
      <c r="AA188" s="31"/>
      <c r="AB188" s="214"/>
      <c r="AC188" s="494"/>
      <c r="AD188" s="494"/>
      <c r="AE188" s="31"/>
      <c r="AF188" s="214"/>
      <c r="AG188" s="228"/>
      <c r="AH188" s="494"/>
      <c r="AI188" s="228"/>
      <c r="AJ188" s="494"/>
      <c r="AK188" s="494"/>
      <c r="AL188" s="494"/>
      <c r="AM188" s="228"/>
      <c r="AN188" s="494"/>
      <c r="AO188" s="494"/>
      <c r="AP188" s="494"/>
      <c r="AQ188" s="494"/>
      <c r="AR188" s="494"/>
      <c r="AS188" s="494"/>
      <c r="AT188" s="494"/>
      <c r="AU188" s="494"/>
      <c r="AV188" s="494"/>
      <c r="AW188" s="494"/>
      <c r="AX188" s="494"/>
      <c r="AY188" s="494"/>
      <c r="AZ188" s="494"/>
      <c r="BA188" s="494"/>
      <c r="BB188" s="494"/>
      <c r="BC188" s="494"/>
      <c r="BD188" s="494"/>
      <c r="BE188" s="494"/>
      <c r="BF188" s="494"/>
      <c r="BG188" s="37">
        <f t="shared" si="8"/>
        <v>1</v>
      </c>
      <c r="BH188" s="525">
        <f t="shared" si="6"/>
        <v>1</v>
      </c>
    </row>
    <row r="189" spans="2:60" s="39" customFormat="1" ht="13.5" customHeight="1">
      <c r="B189" s="22">
        <v>189</v>
      </c>
      <c r="C189" s="22" t="s">
        <v>39</v>
      </c>
      <c r="D189" s="23" t="s">
        <v>2281</v>
      </c>
      <c r="E189" s="510" t="s">
        <v>2282</v>
      </c>
      <c r="F189" s="26" t="s">
        <v>146</v>
      </c>
      <c r="G189" s="26" t="s">
        <v>1895</v>
      </c>
      <c r="H189" s="73" t="s">
        <v>1919</v>
      </c>
      <c r="I189" s="49" t="s">
        <v>52</v>
      </c>
      <c r="J189" s="34">
        <v>403977</v>
      </c>
      <c r="K189" s="34">
        <v>0</v>
      </c>
      <c r="L189" s="34">
        <v>0</v>
      </c>
      <c r="M189" s="34"/>
      <c r="N189" s="34"/>
      <c r="O189" s="34"/>
      <c r="P189" s="492"/>
      <c r="Q189" s="493"/>
      <c r="R189" s="493"/>
      <c r="S189" s="493"/>
      <c r="T189" s="493"/>
      <c r="U189" s="493"/>
      <c r="V189" s="34">
        <f t="shared" si="7"/>
        <v>0</v>
      </c>
      <c r="W189" s="31">
        <v>1</v>
      </c>
      <c r="X189" s="32">
        <v>24</v>
      </c>
      <c r="Y189" s="33">
        <v>44263</v>
      </c>
      <c r="Z189" s="36">
        <v>44284</v>
      </c>
      <c r="AA189" s="31">
        <v>65999</v>
      </c>
      <c r="AB189" s="214">
        <v>89</v>
      </c>
      <c r="AC189" s="494">
        <v>44413</v>
      </c>
      <c r="AD189" s="494">
        <v>44438</v>
      </c>
      <c r="AE189" s="31"/>
      <c r="AF189" s="214"/>
      <c r="AG189" s="228"/>
      <c r="AH189" s="494"/>
      <c r="AI189" s="228"/>
      <c r="AJ189" s="494"/>
      <c r="AK189" s="494"/>
      <c r="AL189" s="494"/>
      <c r="AM189" s="228"/>
      <c r="AN189" s="494"/>
      <c r="AO189" s="494"/>
      <c r="AP189" s="494"/>
      <c r="AQ189" s="494"/>
      <c r="AR189" s="494"/>
      <c r="AS189" s="494"/>
      <c r="AT189" s="494"/>
      <c r="AU189" s="494"/>
      <c r="AV189" s="494"/>
      <c r="AW189" s="494"/>
      <c r="AX189" s="494"/>
      <c r="AY189" s="494"/>
      <c r="AZ189" s="494"/>
      <c r="BA189" s="494"/>
      <c r="BB189" s="494"/>
      <c r="BC189" s="494"/>
      <c r="BD189" s="494"/>
      <c r="BE189" s="494"/>
      <c r="BF189" s="494"/>
      <c r="BG189" s="37">
        <f t="shared" si="8"/>
        <v>66000</v>
      </c>
      <c r="BH189" s="525">
        <f t="shared" si="6"/>
        <v>66000</v>
      </c>
    </row>
    <row r="190" spans="2:60" s="39" customFormat="1" ht="13.5" customHeight="1">
      <c r="B190" s="22">
        <v>190</v>
      </c>
      <c r="C190" s="22" t="s">
        <v>39</v>
      </c>
      <c r="D190" s="23" t="s">
        <v>2283</v>
      </c>
      <c r="E190" s="510" t="s">
        <v>2284</v>
      </c>
      <c r="F190" s="26" t="s">
        <v>158</v>
      </c>
      <c r="G190" s="26" t="s">
        <v>1895</v>
      </c>
      <c r="H190" s="73" t="s">
        <v>1972</v>
      </c>
      <c r="I190" s="49" t="s">
        <v>44</v>
      </c>
      <c r="J190" s="34">
        <v>102941</v>
      </c>
      <c r="K190" s="34">
        <v>76941</v>
      </c>
      <c r="L190" s="34">
        <v>0</v>
      </c>
      <c r="M190" s="34"/>
      <c r="N190" s="34"/>
      <c r="O190" s="34"/>
      <c r="P190" s="492"/>
      <c r="Q190" s="493"/>
      <c r="R190" s="493"/>
      <c r="S190" s="493"/>
      <c r="T190" s="493"/>
      <c r="U190" s="493"/>
      <c r="V190" s="34">
        <f t="shared" si="7"/>
        <v>0</v>
      </c>
      <c r="W190" s="31">
        <v>26000</v>
      </c>
      <c r="X190" s="32">
        <v>25</v>
      </c>
      <c r="Y190" s="33">
        <v>44263</v>
      </c>
      <c r="Z190" s="36">
        <v>44292</v>
      </c>
      <c r="AA190" s="31"/>
      <c r="AB190" s="214"/>
      <c r="AC190" s="494"/>
      <c r="AD190" s="494"/>
      <c r="AE190" s="31"/>
      <c r="AF190" s="214"/>
      <c r="AG190" s="228"/>
      <c r="AH190" s="494"/>
      <c r="AI190" s="228"/>
      <c r="AJ190" s="494"/>
      <c r="AK190" s="494"/>
      <c r="AL190" s="494"/>
      <c r="AM190" s="228"/>
      <c r="AN190" s="494"/>
      <c r="AO190" s="494"/>
      <c r="AP190" s="494"/>
      <c r="AQ190" s="494"/>
      <c r="AR190" s="494"/>
      <c r="AS190" s="494"/>
      <c r="AT190" s="494"/>
      <c r="AU190" s="494"/>
      <c r="AV190" s="494"/>
      <c r="AW190" s="494"/>
      <c r="AX190" s="494"/>
      <c r="AY190" s="494"/>
      <c r="AZ190" s="494"/>
      <c r="BA190" s="494"/>
      <c r="BB190" s="494"/>
      <c r="BC190" s="494"/>
      <c r="BD190" s="494"/>
      <c r="BE190" s="494"/>
      <c r="BF190" s="494"/>
      <c r="BG190" s="37">
        <f t="shared" si="8"/>
        <v>26000</v>
      </c>
      <c r="BH190" s="525">
        <f t="shared" si="6"/>
        <v>26000</v>
      </c>
    </row>
    <row r="191" spans="2:60" s="39" customFormat="1" ht="13.5" customHeight="1">
      <c r="B191" s="22">
        <v>191</v>
      </c>
      <c r="C191" s="22" t="s">
        <v>39</v>
      </c>
      <c r="D191" s="23" t="s">
        <v>2285</v>
      </c>
      <c r="E191" s="510" t="s">
        <v>2286</v>
      </c>
      <c r="F191" s="26" t="s">
        <v>47</v>
      </c>
      <c r="G191" s="26" t="s">
        <v>1895</v>
      </c>
      <c r="H191" s="73" t="s">
        <v>1924</v>
      </c>
      <c r="I191" s="49" t="s">
        <v>44</v>
      </c>
      <c r="J191" s="34">
        <v>22292</v>
      </c>
      <c r="K191" s="34">
        <v>2948</v>
      </c>
      <c r="L191" s="34">
        <v>4344</v>
      </c>
      <c r="M191" s="34"/>
      <c r="N191" s="34"/>
      <c r="O191" s="34"/>
      <c r="P191" s="492"/>
      <c r="Q191" s="493"/>
      <c r="R191" s="493"/>
      <c r="S191" s="493"/>
      <c r="T191" s="493"/>
      <c r="U191" s="493"/>
      <c r="V191" s="34">
        <f t="shared" si="7"/>
        <v>0</v>
      </c>
      <c r="W191" s="31">
        <v>2883</v>
      </c>
      <c r="X191" s="32">
        <v>25</v>
      </c>
      <c r="Y191" s="33">
        <v>44263</v>
      </c>
      <c r="Z191" s="36">
        <v>44292</v>
      </c>
      <c r="AA191" s="31">
        <v>5766</v>
      </c>
      <c r="AB191" s="214">
        <v>55</v>
      </c>
      <c r="AC191" s="494">
        <v>44323</v>
      </c>
      <c r="AD191" s="494">
        <v>44350</v>
      </c>
      <c r="AE191" s="31">
        <v>-8649</v>
      </c>
      <c r="AF191" s="214">
        <v>93</v>
      </c>
      <c r="AG191" s="494">
        <v>44426</v>
      </c>
      <c r="AH191" s="494"/>
      <c r="AI191" s="228"/>
      <c r="AJ191" s="494"/>
      <c r="AK191" s="494"/>
      <c r="AL191" s="494"/>
      <c r="AM191" s="228"/>
      <c r="AN191" s="494"/>
      <c r="AO191" s="494"/>
      <c r="AP191" s="494"/>
      <c r="AQ191" s="494"/>
      <c r="AR191" s="494"/>
      <c r="AS191" s="494"/>
      <c r="AT191" s="494"/>
      <c r="AU191" s="494"/>
      <c r="AV191" s="494"/>
      <c r="AW191" s="494"/>
      <c r="AX191" s="494"/>
      <c r="AY191" s="494"/>
      <c r="AZ191" s="494"/>
      <c r="BA191" s="494"/>
      <c r="BB191" s="494"/>
      <c r="BC191" s="494"/>
      <c r="BD191" s="494"/>
      <c r="BE191" s="494"/>
      <c r="BF191" s="494"/>
      <c r="BG191" s="37">
        <f t="shared" si="8"/>
        <v>0</v>
      </c>
      <c r="BH191" s="525">
        <f t="shared" si="6"/>
        <v>0</v>
      </c>
    </row>
    <row r="192" spans="2:60" s="39" customFormat="1" ht="13.5" customHeight="1">
      <c r="B192" s="22">
        <v>192</v>
      </c>
      <c r="C192" s="22" t="s">
        <v>39</v>
      </c>
      <c r="D192" s="23" t="s">
        <v>2287</v>
      </c>
      <c r="E192" s="510" t="s">
        <v>2288</v>
      </c>
      <c r="F192" s="26" t="s">
        <v>47</v>
      </c>
      <c r="G192" s="26" t="s">
        <v>1895</v>
      </c>
      <c r="H192" s="73" t="s">
        <v>1948</v>
      </c>
      <c r="I192" s="49" t="s">
        <v>44</v>
      </c>
      <c r="J192" s="34">
        <v>29622</v>
      </c>
      <c r="K192" s="34">
        <v>10530</v>
      </c>
      <c r="L192" s="34">
        <v>0</v>
      </c>
      <c r="M192" s="34"/>
      <c r="N192" s="34"/>
      <c r="O192" s="34"/>
      <c r="P192" s="505">
        <v>10036.84</v>
      </c>
      <c r="Q192" s="493"/>
      <c r="R192" s="493"/>
      <c r="S192" s="493"/>
      <c r="T192" s="493">
        <v>5018.42</v>
      </c>
      <c r="U192" s="493"/>
      <c r="V192" s="34">
        <f t="shared" si="7"/>
        <v>15055.26</v>
      </c>
      <c r="W192" s="31">
        <v>15056</v>
      </c>
      <c r="X192" s="32">
        <v>25</v>
      </c>
      <c r="Y192" s="33">
        <v>44263</v>
      </c>
      <c r="Z192" s="36">
        <v>44292</v>
      </c>
      <c r="AA192" s="494"/>
      <c r="AB192" s="214"/>
      <c r="AC192" s="494"/>
      <c r="AD192" s="494"/>
      <c r="AE192" s="31"/>
      <c r="AF192" s="214"/>
      <c r="AG192" s="228"/>
      <c r="AH192" s="494"/>
      <c r="AI192" s="228"/>
      <c r="AJ192" s="494"/>
      <c r="AK192" s="494"/>
      <c r="AL192" s="494"/>
      <c r="AM192" s="228"/>
      <c r="AN192" s="494"/>
      <c r="AO192" s="494"/>
      <c r="AP192" s="494"/>
      <c r="AQ192" s="494"/>
      <c r="AR192" s="494"/>
      <c r="AS192" s="494"/>
      <c r="AT192" s="494"/>
      <c r="AU192" s="494"/>
      <c r="AV192" s="494"/>
      <c r="AW192" s="494"/>
      <c r="AX192" s="494"/>
      <c r="AY192" s="494"/>
      <c r="AZ192" s="494"/>
      <c r="BA192" s="494"/>
      <c r="BB192" s="494"/>
      <c r="BC192" s="494"/>
      <c r="BD192" s="494"/>
      <c r="BE192" s="494"/>
      <c r="BF192" s="494"/>
      <c r="BG192" s="37">
        <f t="shared" si="8"/>
        <v>15056</v>
      </c>
      <c r="BH192" s="525">
        <f t="shared" si="6"/>
        <v>0.73999999999978172</v>
      </c>
    </row>
    <row r="193" spans="2:60" s="39" customFormat="1" ht="13.5" customHeight="1">
      <c r="B193" s="22">
        <v>193</v>
      </c>
      <c r="C193" s="22" t="s">
        <v>39</v>
      </c>
      <c r="D193" s="23" t="s">
        <v>2289</v>
      </c>
      <c r="E193" s="510" t="s">
        <v>2290</v>
      </c>
      <c r="F193" s="26" t="s">
        <v>146</v>
      </c>
      <c r="G193" s="26" t="s">
        <v>1895</v>
      </c>
      <c r="H193" s="73" t="s">
        <v>1911</v>
      </c>
      <c r="I193" s="49" t="s">
        <v>52</v>
      </c>
      <c r="J193" s="34">
        <v>230296</v>
      </c>
      <c r="K193" s="34">
        <v>0</v>
      </c>
      <c r="L193" s="34">
        <v>0</v>
      </c>
      <c r="M193" s="34"/>
      <c r="N193" s="34"/>
      <c r="O193" s="34"/>
      <c r="P193" s="505">
        <v>15178.45</v>
      </c>
      <c r="Q193" s="493">
        <v>23804.76</v>
      </c>
      <c r="R193" s="493">
        <v>67486.684999999998</v>
      </c>
      <c r="S193" s="493">
        <v>21322.816999999999</v>
      </c>
      <c r="T193" s="493">
        <v>33211.71</v>
      </c>
      <c r="U193" s="493"/>
      <c r="V193" s="34">
        <f t="shared" si="7"/>
        <v>161004.42199999999</v>
      </c>
      <c r="W193" s="31">
        <v>17000</v>
      </c>
      <c r="X193" s="32">
        <v>25</v>
      </c>
      <c r="Y193" s="33">
        <v>44263</v>
      </c>
      <c r="Z193" s="36">
        <v>44292</v>
      </c>
      <c r="AA193" s="31">
        <v>63000</v>
      </c>
      <c r="AB193" s="31">
        <v>46</v>
      </c>
      <c r="AC193" s="494">
        <v>44295</v>
      </c>
      <c r="AD193" s="494">
        <v>44327</v>
      </c>
      <c r="AE193" s="31">
        <v>77479</v>
      </c>
      <c r="AF193" s="214">
        <v>55</v>
      </c>
      <c r="AG193" s="494">
        <v>44323</v>
      </c>
      <c r="AH193" s="494">
        <v>44350</v>
      </c>
      <c r="AI193" s="228">
        <v>4650</v>
      </c>
      <c r="AJ193" s="214">
        <v>65</v>
      </c>
      <c r="AK193" s="494">
        <v>44340</v>
      </c>
      <c r="AL193" s="494">
        <v>44356</v>
      </c>
      <c r="AM193" s="228">
        <v>2</v>
      </c>
      <c r="AN193" s="228">
        <v>73</v>
      </c>
      <c r="AO193" s="494">
        <v>44365</v>
      </c>
      <c r="AP193" s="494">
        <v>44390</v>
      </c>
      <c r="AQ193" s="228">
        <v>5953</v>
      </c>
      <c r="AR193" s="228">
        <v>78</v>
      </c>
      <c r="AS193" s="494">
        <v>44382</v>
      </c>
      <c r="AT193" s="494">
        <v>44404</v>
      </c>
      <c r="AU193" s="228">
        <v>3100</v>
      </c>
      <c r="AV193" s="228">
        <v>89</v>
      </c>
      <c r="AW193" s="494">
        <v>44413</v>
      </c>
      <c r="AX193" s="494">
        <v>44438</v>
      </c>
      <c r="AY193" s="494"/>
      <c r="AZ193" s="494"/>
      <c r="BA193" s="494"/>
      <c r="BB193" s="494"/>
      <c r="BC193" s="494"/>
      <c r="BD193" s="494"/>
      <c r="BE193" s="494"/>
      <c r="BF193" s="494"/>
      <c r="BG193" s="37">
        <f t="shared" si="8"/>
        <v>171184</v>
      </c>
      <c r="BH193" s="525">
        <f t="shared" si="6"/>
        <v>10179.578000000009</v>
      </c>
    </row>
    <row r="194" spans="2:60" s="39" customFormat="1" ht="13.5" customHeight="1">
      <c r="B194" s="22">
        <v>194</v>
      </c>
      <c r="C194" s="261" t="s">
        <v>39</v>
      </c>
      <c r="D194" s="23" t="s">
        <v>2291</v>
      </c>
      <c r="E194" s="510" t="s">
        <v>2292</v>
      </c>
      <c r="F194" s="26" t="s">
        <v>146</v>
      </c>
      <c r="G194" s="26" t="s">
        <v>1895</v>
      </c>
      <c r="H194" s="73" t="s">
        <v>2293</v>
      </c>
      <c r="I194" s="49" t="s">
        <v>52</v>
      </c>
      <c r="J194" s="34">
        <v>218286</v>
      </c>
      <c r="K194" s="34">
        <v>0</v>
      </c>
      <c r="L194" s="34">
        <v>7470</v>
      </c>
      <c r="M194" s="34"/>
      <c r="N194" s="34"/>
      <c r="O194" s="34"/>
      <c r="P194" s="505">
        <v>43929.709000000003</v>
      </c>
      <c r="Q194" s="493"/>
      <c r="R194" s="493"/>
      <c r="S194" s="493">
        <v>61072.237999999998</v>
      </c>
      <c r="T194" s="493">
        <v>42389.436000000002</v>
      </c>
      <c r="U194" s="493"/>
      <c r="V194" s="34">
        <f t="shared" si="7"/>
        <v>147391.383</v>
      </c>
      <c r="W194" s="31">
        <v>100000</v>
      </c>
      <c r="X194" s="32">
        <v>26</v>
      </c>
      <c r="Y194" s="33">
        <v>44263</v>
      </c>
      <c r="Z194" s="36">
        <v>44293</v>
      </c>
      <c r="AA194" s="31">
        <v>39930</v>
      </c>
      <c r="AB194" s="31">
        <v>56</v>
      </c>
      <c r="AC194" s="494">
        <v>44323</v>
      </c>
      <c r="AD194" s="494">
        <v>44344</v>
      </c>
      <c r="AE194" s="31">
        <v>65072</v>
      </c>
      <c r="AF194" s="214">
        <v>90</v>
      </c>
      <c r="AG194" s="494">
        <v>44413</v>
      </c>
      <c r="AH194" s="494">
        <v>44428</v>
      </c>
      <c r="AI194" s="228"/>
      <c r="AJ194" s="494"/>
      <c r="AK194" s="494"/>
      <c r="AL194" s="494"/>
      <c r="AM194" s="228"/>
      <c r="AN194" s="494"/>
      <c r="AO194" s="494"/>
      <c r="AP194" s="494"/>
      <c r="AQ194" s="494"/>
      <c r="AR194" s="494"/>
      <c r="AS194" s="494"/>
      <c r="AT194" s="494"/>
      <c r="AU194" s="494"/>
      <c r="AV194" s="494"/>
      <c r="AW194" s="494"/>
      <c r="AX194" s="494"/>
      <c r="AY194" s="494"/>
      <c r="AZ194" s="494"/>
      <c r="BA194" s="494"/>
      <c r="BB194" s="494"/>
      <c r="BC194" s="494"/>
      <c r="BD194" s="494"/>
      <c r="BE194" s="494"/>
      <c r="BF194" s="494"/>
      <c r="BG194" s="37">
        <f t="shared" si="8"/>
        <v>205002</v>
      </c>
      <c r="BH194" s="525">
        <f t="shared" si="6"/>
        <v>57610.616999999998</v>
      </c>
    </row>
    <row r="195" spans="2:60" s="39" customFormat="1" ht="13.5" customHeight="1">
      <c r="B195" s="22">
        <v>195</v>
      </c>
      <c r="C195" s="22" t="s">
        <v>39</v>
      </c>
      <c r="D195" s="23" t="s">
        <v>2294</v>
      </c>
      <c r="E195" s="510" t="s">
        <v>2295</v>
      </c>
      <c r="F195" s="26" t="s">
        <v>146</v>
      </c>
      <c r="G195" s="26" t="s">
        <v>1895</v>
      </c>
      <c r="H195" s="73" t="s">
        <v>2251</v>
      </c>
      <c r="I195" s="49" t="s">
        <v>44</v>
      </c>
      <c r="J195" s="34">
        <v>540809</v>
      </c>
      <c r="K195" s="34">
        <v>0</v>
      </c>
      <c r="L195" s="34">
        <v>73486</v>
      </c>
      <c r="M195" s="34"/>
      <c r="N195" s="34"/>
      <c r="O195" s="34"/>
      <c r="P195" s="505">
        <v>37179.199999999997</v>
      </c>
      <c r="Q195" s="493">
        <v>3804.2860000000001</v>
      </c>
      <c r="R195" s="493">
        <v>60626.3</v>
      </c>
      <c r="S195" s="493">
        <v>75646.713999999993</v>
      </c>
      <c r="T195" s="493"/>
      <c r="U195" s="493">
        <v>49555.917000000001</v>
      </c>
      <c r="V195" s="34">
        <f t="shared" si="7"/>
        <v>226812.41700000002</v>
      </c>
      <c r="W195" s="31">
        <v>156184</v>
      </c>
      <c r="X195" s="32">
        <v>33</v>
      </c>
      <c r="Y195" s="33">
        <v>44266</v>
      </c>
      <c r="Z195" s="36">
        <v>44298</v>
      </c>
      <c r="AA195" s="31">
        <v>57889</v>
      </c>
      <c r="AB195" s="31">
        <v>55</v>
      </c>
      <c r="AC195" s="494">
        <v>44323</v>
      </c>
      <c r="AD195" s="494">
        <v>44350</v>
      </c>
      <c r="AE195" s="31">
        <v>3802</v>
      </c>
      <c r="AF195" s="214">
        <v>78</v>
      </c>
      <c r="AG195" s="494">
        <v>44382</v>
      </c>
      <c r="AH195" s="494">
        <v>44404</v>
      </c>
      <c r="AI195" s="228">
        <v>169442</v>
      </c>
      <c r="AJ195" s="31">
        <v>96</v>
      </c>
      <c r="AK195" s="494">
        <v>44438</v>
      </c>
      <c r="AL195" s="494">
        <v>44448</v>
      </c>
      <c r="AM195" s="228"/>
      <c r="AN195" s="494"/>
      <c r="AO195" s="494"/>
      <c r="AP195" s="494"/>
      <c r="AQ195" s="494"/>
      <c r="AR195" s="494"/>
      <c r="AS195" s="494"/>
      <c r="AT195" s="494"/>
      <c r="AU195" s="494"/>
      <c r="AV195" s="494"/>
      <c r="AW195" s="494"/>
      <c r="AX195" s="494"/>
      <c r="AY195" s="494"/>
      <c r="AZ195" s="494"/>
      <c r="BA195" s="494"/>
      <c r="BB195" s="494"/>
      <c r="BC195" s="494"/>
      <c r="BD195" s="494"/>
      <c r="BE195" s="494"/>
      <c r="BF195" s="494"/>
      <c r="BG195" s="37">
        <f t="shared" si="8"/>
        <v>387317</v>
      </c>
      <c r="BH195" s="525">
        <f t="shared" si="6"/>
        <v>160504.58299999998</v>
      </c>
    </row>
    <row r="196" spans="2:60" s="39" customFormat="1" ht="13.5" customHeight="1">
      <c r="B196" s="22">
        <v>196</v>
      </c>
      <c r="C196" s="261" t="s">
        <v>39</v>
      </c>
      <c r="D196" s="23" t="s">
        <v>2296</v>
      </c>
      <c r="E196" s="510" t="s">
        <v>2297</v>
      </c>
      <c r="F196" s="26" t="s">
        <v>146</v>
      </c>
      <c r="G196" s="26" t="s">
        <v>1895</v>
      </c>
      <c r="H196" s="73" t="s">
        <v>1948</v>
      </c>
      <c r="I196" s="49" t="s">
        <v>44</v>
      </c>
      <c r="J196" s="34">
        <v>196435</v>
      </c>
      <c r="K196" s="34">
        <v>132424</v>
      </c>
      <c r="L196" s="34">
        <v>0</v>
      </c>
      <c r="M196" s="34"/>
      <c r="N196" s="34"/>
      <c r="O196" s="34"/>
      <c r="P196" s="492"/>
      <c r="Q196" s="493"/>
      <c r="R196" s="493"/>
      <c r="S196" s="493"/>
      <c r="T196" s="493">
        <v>31455.27</v>
      </c>
      <c r="U196" s="493"/>
      <c r="V196" s="34">
        <f t="shared" si="7"/>
        <v>31455.27</v>
      </c>
      <c r="W196" s="31">
        <v>60000</v>
      </c>
      <c r="X196" s="32">
        <v>33</v>
      </c>
      <c r="Y196" s="33">
        <v>44266</v>
      </c>
      <c r="Z196" s="36">
        <v>44298</v>
      </c>
      <c r="AA196" s="31">
        <v>4011</v>
      </c>
      <c r="AB196" s="31">
        <v>89</v>
      </c>
      <c r="AC196" s="494">
        <v>44413</v>
      </c>
      <c r="AD196" s="494">
        <v>44438</v>
      </c>
      <c r="AE196" s="31"/>
      <c r="AF196" s="214"/>
      <c r="AG196" s="228"/>
      <c r="AH196" s="494"/>
      <c r="AI196" s="228"/>
      <c r="AJ196" s="494"/>
      <c r="AK196" s="494"/>
      <c r="AL196" s="494"/>
      <c r="AM196" s="228"/>
      <c r="AN196" s="494"/>
      <c r="AO196" s="494"/>
      <c r="AP196" s="494"/>
      <c r="AQ196" s="494"/>
      <c r="AR196" s="494"/>
      <c r="AS196" s="494"/>
      <c r="AT196" s="494"/>
      <c r="AU196" s="494"/>
      <c r="AV196" s="494"/>
      <c r="AW196" s="494"/>
      <c r="AX196" s="494"/>
      <c r="AY196" s="494"/>
      <c r="AZ196" s="494"/>
      <c r="BA196" s="494"/>
      <c r="BB196" s="494"/>
      <c r="BC196" s="494"/>
      <c r="BD196" s="494"/>
      <c r="BE196" s="494"/>
      <c r="BF196" s="494"/>
      <c r="BG196" s="37">
        <f t="shared" si="8"/>
        <v>64011</v>
      </c>
      <c r="BH196" s="525">
        <f t="shared" si="6"/>
        <v>32555.73</v>
      </c>
    </row>
    <row r="197" spans="2:60" s="39" customFormat="1" ht="13.5" customHeight="1">
      <c r="B197" s="22">
        <v>197</v>
      </c>
      <c r="C197" s="22" t="s">
        <v>39</v>
      </c>
      <c r="D197" s="23" t="s">
        <v>2298</v>
      </c>
      <c r="E197" s="510" t="s">
        <v>2299</v>
      </c>
      <c r="F197" s="26" t="s">
        <v>146</v>
      </c>
      <c r="G197" s="26" t="s">
        <v>1895</v>
      </c>
      <c r="H197" s="73" t="s">
        <v>2128</v>
      </c>
      <c r="I197" s="49" t="s">
        <v>44</v>
      </c>
      <c r="J197" s="34">
        <v>4642362</v>
      </c>
      <c r="K197" s="34">
        <v>89362</v>
      </c>
      <c r="L197" s="34">
        <v>2626234</v>
      </c>
      <c r="M197" s="34"/>
      <c r="N197" s="34"/>
      <c r="O197" s="34"/>
      <c r="P197" s="492"/>
      <c r="Q197" s="493"/>
      <c r="R197" s="493"/>
      <c r="S197" s="493"/>
      <c r="T197" s="493"/>
      <c r="U197" s="493"/>
      <c r="V197" s="34">
        <f t="shared" si="7"/>
        <v>0</v>
      </c>
      <c r="W197" s="31">
        <v>2</v>
      </c>
      <c r="X197" s="32">
        <v>33</v>
      </c>
      <c r="Y197" s="33">
        <v>44266</v>
      </c>
      <c r="Z197" s="36">
        <v>44298</v>
      </c>
      <c r="AA197" s="31">
        <v>529487</v>
      </c>
      <c r="AB197" s="31">
        <v>105</v>
      </c>
      <c r="AC197" s="494">
        <v>44452</v>
      </c>
      <c r="AD197" s="494">
        <v>44466</v>
      </c>
      <c r="AE197" s="31"/>
      <c r="AF197" s="214"/>
      <c r="AG197" s="228"/>
      <c r="AH197" s="494"/>
      <c r="AI197" s="228"/>
      <c r="AJ197" s="494"/>
      <c r="AK197" s="494"/>
      <c r="AL197" s="494"/>
      <c r="AM197" s="228"/>
      <c r="AN197" s="494"/>
      <c r="AO197" s="494"/>
      <c r="AP197" s="494"/>
      <c r="AQ197" s="494"/>
      <c r="AR197" s="494"/>
      <c r="AS197" s="494"/>
      <c r="AT197" s="494"/>
      <c r="AU197" s="494"/>
      <c r="AV197" s="494"/>
      <c r="AW197" s="494"/>
      <c r="AX197" s="494"/>
      <c r="AY197" s="494"/>
      <c r="AZ197" s="494"/>
      <c r="BA197" s="494"/>
      <c r="BB197" s="494"/>
      <c r="BC197" s="494"/>
      <c r="BD197" s="494"/>
      <c r="BE197" s="494"/>
      <c r="BF197" s="494"/>
      <c r="BG197" s="37">
        <f t="shared" si="8"/>
        <v>529489</v>
      </c>
      <c r="BH197" s="525">
        <f t="shared" si="6"/>
        <v>529489</v>
      </c>
    </row>
    <row r="198" spans="2:60" s="39" customFormat="1" ht="13.5" customHeight="1">
      <c r="B198" s="22">
        <v>198</v>
      </c>
      <c r="C198" s="261" t="s">
        <v>39</v>
      </c>
      <c r="D198" s="23" t="s">
        <v>2300</v>
      </c>
      <c r="E198" s="510" t="s">
        <v>2301</v>
      </c>
      <c r="F198" s="26" t="s">
        <v>146</v>
      </c>
      <c r="G198" s="26" t="s">
        <v>1895</v>
      </c>
      <c r="H198" s="73" t="s">
        <v>1896</v>
      </c>
      <c r="I198" s="49" t="s">
        <v>44</v>
      </c>
      <c r="J198" s="34">
        <v>5148342</v>
      </c>
      <c r="K198" s="34">
        <v>0</v>
      </c>
      <c r="L198" s="34">
        <v>2000000</v>
      </c>
      <c r="M198" s="34"/>
      <c r="N198" s="34"/>
      <c r="O198" s="34"/>
      <c r="P198" s="505">
        <v>817478.66799999995</v>
      </c>
      <c r="Q198" s="493">
        <v>116746.424</v>
      </c>
      <c r="R198" s="493">
        <v>118744.61900000001</v>
      </c>
      <c r="S198" s="493">
        <v>90861.248000000007</v>
      </c>
      <c r="T198" s="493">
        <v>267100.91499999998</v>
      </c>
      <c r="U198" s="493"/>
      <c r="V198" s="34">
        <f t="shared" si="7"/>
        <v>1410931.8739999998</v>
      </c>
      <c r="W198" s="31">
        <v>1250000</v>
      </c>
      <c r="X198" s="32">
        <v>33</v>
      </c>
      <c r="Y198" s="33">
        <v>44266</v>
      </c>
      <c r="Z198" s="36">
        <v>44298</v>
      </c>
      <c r="AA198" s="31">
        <v>1094779</v>
      </c>
      <c r="AB198" s="31">
        <v>42</v>
      </c>
      <c r="AC198" s="494">
        <v>44294</v>
      </c>
      <c r="AD198" s="494">
        <v>44313</v>
      </c>
      <c r="AE198" s="31">
        <v>-500000</v>
      </c>
      <c r="AF198" s="214">
        <v>89</v>
      </c>
      <c r="AG198" s="494">
        <v>44413</v>
      </c>
      <c r="AH198" s="494">
        <v>44438</v>
      </c>
      <c r="AI198" s="228"/>
      <c r="AJ198" s="494"/>
      <c r="AK198" s="494"/>
      <c r="AL198" s="494"/>
      <c r="AM198" s="228"/>
      <c r="AN198" s="494"/>
      <c r="AO198" s="494"/>
      <c r="AP198" s="494"/>
      <c r="AQ198" s="494"/>
      <c r="AR198" s="494"/>
      <c r="AS198" s="494"/>
      <c r="AT198" s="494"/>
      <c r="AU198" s="494"/>
      <c r="AV198" s="494"/>
      <c r="AW198" s="494"/>
      <c r="AX198" s="494"/>
      <c r="AY198" s="494"/>
      <c r="AZ198" s="494"/>
      <c r="BA198" s="494"/>
      <c r="BB198" s="494"/>
      <c r="BC198" s="494"/>
      <c r="BD198" s="494"/>
      <c r="BE198" s="494"/>
      <c r="BF198" s="494"/>
      <c r="BG198" s="37">
        <f t="shared" si="8"/>
        <v>1844779</v>
      </c>
      <c r="BH198" s="525">
        <f t="shared" si="6"/>
        <v>433847.12600000016</v>
      </c>
    </row>
    <row r="199" spans="2:60" s="39" customFormat="1" ht="13.5" customHeight="1">
      <c r="B199" s="22">
        <v>199</v>
      </c>
      <c r="C199" s="22" t="s">
        <v>65</v>
      </c>
      <c r="D199" s="23" t="s">
        <v>2302</v>
      </c>
      <c r="E199" s="510" t="s">
        <v>2303</v>
      </c>
      <c r="F199" s="26" t="s">
        <v>146</v>
      </c>
      <c r="G199" s="26" t="s">
        <v>1895</v>
      </c>
      <c r="H199" s="73" t="s">
        <v>1896</v>
      </c>
      <c r="I199" s="49" t="s">
        <v>44</v>
      </c>
      <c r="J199" s="34">
        <v>34859</v>
      </c>
      <c r="K199" s="34">
        <v>0</v>
      </c>
      <c r="L199" s="34">
        <v>0</v>
      </c>
      <c r="M199" s="34"/>
      <c r="N199" s="34"/>
      <c r="O199" s="34"/>
      <c r="P199" s="505">
        <v>6204.7460000000001</v>
      </c>
      <c r="Q199" s="493">
        <v>6204.7460000000001</v>
      </c>
      <c r="R199" s="493"/>
      <c r="S199" s="493">
        <v>9307.1190000000006</v>
      </c>
      <c r="T199" s="493"/>
      <c r="U199" s="493"/>
      <c r="V199" s="34">
        <f t="shared" si="7"/>
        <v>21716.611000000001</v>
      </c>
      <c r="W199" s="31">
        <v>31024</v>
      </c>
      <c r="X199" s="32">
        <v>34</v>
      </c>
      <c r="Y199" s="33">
        <v>44266</v>
      </c>
      <c r="Z199" s="36">
        <v>44298</v>
      </c>
      <c r="AA199" s="31"/>
      <c r="AB199" s="31"/>
      <c r="AC199" s="494"/>
      <c r="AD199" s="494"/>
      <c r="AE199" s="31"/>
      <c r="AF199" s="214"/>
      <c r="AG199" s="228"/>
      <c r="AH199" s="494"/>
      <c r="AI199" s="228"/>
      <c r="AJ199" s="494"/>
      <c r="AK199" s="494"/>
      <c r="AL199" s="494"/>
      <c r="AM199" s="228"/>
      <c r="AN199" s="494"/>
      <c r="AO199" s="494"/>
      <c r="AP199" s="494"/>
      <c r="AQ199" s="494"/>
      <c r="AR199" s="494"/>
      <c r="AS199" s="494"/>
      <c r="AT199" s="494"/>
      <c r="AU199" s="494"/>
      <c r="AV199" s="494"/>
      <c r="AW199" s="494"/>
      <c r="AX199" s="494"/>
      <c r="AY199" s="494"/>
      <c r="AZ199" s="494"/>
      <c r="BA199" s="494"/>
      <c r="BB199" s="494"/>
      <c r="BC199" s="494"/>
      <c r="BD199" s="494"/>
      <c r="BE199" s="494"/>
      <c r="BF199" s="494"/>
      <c r="BG199" s="37">
        <f t="shared" si="8"/>
        <v>31024</v>
      </c>
      <c r="BH199" s="525">
        <f t="shared" si="6"/>
        <v>9307.3889999999992</v>
      </c>
    </row>
    <row r="200" spans="2:60" s="39" customFormat="1" ht="13.5" customHeight="1">
      <c r="B200" s="22">
        <v>200</v>
      </c>
      <c r="C200" s="261" t="s">
        <v>39</v>
      </c>
      <c r="D200" s="23" t="s">
        <v>2304</v>
      </c>
      <c r="E200" s="510" t="s">
        <v>2305</v>
      </c>
      <c r="F200" s="26" t="s">
        <v>47</v>
      </c>
      <c r="G200" s="26" t="s">
        <v>1895</v>
      </c>
      <c r="H200" s="73" t="s">
        <v>2095</v>
      </c>
      <c r="I200" s="49" t="s">
        <v>44</v>
      </c>
      <c r="J200" s="34">
        <v>19491</v>
      </c>
      <c r="K200" s="34">
        <v>8223</v>
      </c>
      <c r="L200" s="34">
        <v>0</v>
      </c>
      <c r="M200" s="34"/>
      <c r="N200" s="34"/>
      <c r="O200" s="34"/>
      <c r="P200" s="492"/>
      <c r="Q200" s="493"/>
      <c r="R200" s="493"/>
      <c r="S200" s="493"/>
      <c r="T200" s="493"/>
      <c r="U200" s="493"/>
      <c r="V200" s="34">
        <f t="shared" si="7"/>
        <v>0</v>
      </c>
      <c r="W200" s="31">
        <v>1</v>
      </c>
      <c r="X200" s="32">
        <v>40</v>
      </c>
      <c r="Y200" s="33">
        <v>44294</v>
      </c>
      <c r="Z200" s="36">
        <v>44312</v>
      </c>
      <c r="AA200" s="31"/>
      <c r="AB200" s="31"/>
      <c r="AC200" s="494"/>
      <c r="AD200" s="494"/>
      <c r="AE200" s="31"/>
      <c r="AF200" s="214"/>
      <c r="AG200" s="228"/>
      <c r="AH200" s="494"/>
      <c r="AI200" s="228"/>
      <c r="AJ200" s="494"/>
      <c r="AK200" s="494"/>
      <c r="AL200" s="494"/>
      <c r="AM200" s="228"/>
      <c r="AN200" s="494"/>
      <c r="AO200" s="494"/>
      <c r="AP200" s="494"/>
      <c r="AQ200" s="494"/>
      <c r="AR200" s="494"/>
      <c r="AS200" s="494"/>
      <c r="AT200" s="494"/>
      <c r="AU200" s="494"/>
      <c r="AV200" s="494"/>
      <c r="AW200" s="494"/>
      <c r="AX200" s="494"/>
      <c r="AY200" s="494"/>
      <c r="AZ200" s="494"/>
      <c r="BA200" s="494"/>
      <c r="BB200" s="494"/>
      <c r="BC200" s="494"/>
      <c r="BD200" s="494"/>
      <c r="BE200" s="494"/>
      <c r="BF200" s="494"/>
      <c r="BG200" s="37">
        <f t="shared" si="8"/>
        <v>1</v>
      </c>
      <c r="BH200" s="525">
        <f t="shared" si="6"/>
        <v>1</v>
      </c>
    </row>
    <row r="201" spans="2:60" s="39" customFormat="1" ht="13.5" customHeight="1">
      <c r="B201" s="22">
        <v>201</v>
      </c>
      <c r="C201" s="22" t="s">
        <v>39</v>
      </c>
      <c r="D201" s="23" t="s">
        <v>2306</v>
      </c>
      <c r="E201" s="510" t="s">
        <v>2307</v>
      </c>
      <c r="F201" s="26" t="s">
        <v>146</v>
      </c>
      <c r="G201" s="26" t="s">
        <v>1895</v>
      </c>
      <c r="H201" s="73" t="s">
        <v>2308</v>
      </c>
      <c r="I201" s="49" t="s">
        <v>44</v>
      </c>
      <c r="J201" s="34">
        <v>18378</v>
      </c>
      <c r="K201" s="34">
        <v>17739</v>
      </c>
      <c r="L201" s="34">
        <v>0</v>
      </c>
      <c r="M201" s="34"/>
      <c r="N201" s="34"/>
      <c r="O201" s="34"/>
      <c r="P201" s="492"/>
      <c r="Q201" s="493"/>
      <c r="R201" s="493"/>
      <c r="S201" s="493"/>
      <c r="T201" s="493"/>
      <c r="U201" s="493"/>
      <c r="V201" s="34">
        <f t="shared" si="7"/>
        <v>0</v>
      </c>
      <c r="W201" s="31">
        <v>1</v>
      </c>
      <c r="X201" s="32">
        <v>40</v>
      </c>
      <c r="Y201" s="33">
        <v>44294</v>
      </c>
      <c r="Z201" s="36">
        <v>44312</v>
      </c>
      <c r="AA201" s="31"/>
      <c r="AB201" s="31"/>
      <c r="AC201" s="494"/>
      <c r="AD201" s="494"/>
      <c r="AE201" s="31"/>
      <c r="AF201" s="214"/>
      <c r="AG201" s="228"/>
      <c r="AH201" s="494"/>
      <c r="AI201" s="228"/>
      <c r="AJ201" s="494"/>
      <c r="AK201" s="494"/>
      <c r="AL201" s="494"/>
      <c r="AM201" s="228"/>
      <c r="AN201" s="494"/>
      <c r="AO201" s="494"/>
      <c r="AP201" s="494"/>
      <c r="AQ201" s="494"/>
      <c r="AR201" s="494"/>
      <c r="AS201" s="494"/>
      <c r="AT201" s="494"/>
      <c r="AU201" s="494"/>
      <c r="AV201" s="494"/>
      <c r="AW201" s="494"/>
      <c r="AX201" s="494"/>
      <c r="AY201" s="494"/>
      <c r="AZ201" s="494"/>
      <c r="BA201" s="494"/>
      <c r="BB201" s="494"/>
      <c r="BC201" s="494"/>
      <c r="BD201" s="494"/>
      <c r="BE201" s="494"/>
      <c r="BF201" s="494"/>
      <c r="BG201" s="37">
        <f t="shared" si="8"/>
        <v>1</v>
      </c>
      <c r="BH201" s="525">
        <f t="shared" si="6"/>
        <v>1</v>
      </c>
    </row>
    <row r="202" spans="2:60" s="39" customFormat="1" ht="13.5" customHeight="1">
      <c r="B202" s="22">
        <v>202</v>
      </c>
      <c r="C202" s="261" t="s">
        <v>39</v>
      </c>
      <c r="D202" s="23" t="s">
        <v>2309</v>
      </c>
      <c r="E202" s="510" t="s">
        <v>2310</v>
      </c>
      <c r="F202" s="26" t="s">
        <v>146</v>
      </c>
      <c r="G202" s="26" t="s">
        <v>1895</v>
      </c>
      <c r="H202" s="73" t="s">
        <v>2087</v>
      </c>
      <c r="I202" s="49" t="s">
        <v>44</v>
      </c>
      <c r="J202" s="34">
        <v>21010</v>
      </c>
      <c r="K202" s="34">
        <v>4714</v>
      </c>
      <c r="L202" s="34">
        <v>0</v>
      </c>
      <c r="M202" s="34"/>
      <c r="N202" s="34"/>
      <c r="O202" s="34"/>
      <c r="P202" s="492"/>
      <c r="Q202" s="493"/>
      <c r="R202" s="493"/>
      <c r="S202" s="493"/>
      <c r="T202" s="493"/>
      <c r="U202" s="493"/>
      <c r="V202" s="34">
        <f t="shared" si="7"/>
        <v>0</v>
      </c>
      <c r="W202" s="31">
        <v>1</v>
      </c>
      <c r="X202" s="32">
        <v>40</v>
      </c>
      <c r="Y202" s="33">
        <v>44294</v>
      </c>
      <c r="Z202" s="36">
        <v>44312</v>
      </c>
      <c r="AA202" s="31">
        <v>7499</v>
      </c>
      <c r="AB202" s="31">
        <v>89</v>
      </c>
      <c r="AC202" s="494">
        <v>44413</v>
      </c>
      <c r="AD202" s="494">
        <v>44438</v>
      </c>
      <c r="AE202" s="31"/>
      <c r="AF202" s="214"/>
      <c r="AG202" s="228"/>
      <c r="AH202" s="494"/>
      <c r="AI202" s="228"/>
      <c r="AJ202" s="494"/>
      <c r="AK202" s="494"/>
      <c r="AL202" s="494"/>
      <c r="AM202" s="228"/>
      <c r="AN202" s="494"/>
      <c r="AO202" s="494"/>
      <c r="AP202" s="494"/>
      <c r="AQ202" s="494"/>
      <c r="AR202" s="494"/>
      <c r="AS202" s="494"/>
      <c r="AT202" s="494"/>
      <c r="AU202" s="494"/>
      <c r="AV202" s="494"/>
      <c r="AW202" s="494"/>
      <c r="AX202" s="494"/>
      <c r="AY202" s="494"/>
      <c r="AZ202" s="494"/>
      <c r="BA202" s="494"/>
      <c r="BB202" s="494"/>
      <c r="BC202" s="494"/>
      <c r="BD202" s="494"/>
      <c r="BE202" s="494"/>
      <c r="BF202" s="494"/>
      <c r="BG202" s="37">
        <f t="shared" si="8"/>
        <v>7500</v>
      </c>
      <c r="BH202" s="525">
        <f t="shared" si="6"/>
        <v>7500</v>
      </c>
    </row>
    <row r="203" spans="2:60" s="39" customFormat="1" ht="13.5" customHeight="1">
      <c r="B203" s="22">
        <v>203</v>
      </c>
      <c r="C203" s="22" t="s">
        <v>39</v>
      </c>
      <c r="D203" s="23" t="s">
        <v>2311</v>
      </c>
      <c r="E203" s="510" t="s">
        <v>2312</v>
      </c>
      <c r="F203" s="26" t="s">
        <v>47</v>
      </c>
      <c r="G203" s="26" t="s">
        <v>1895</v>
      </c>
      <c r="H203" s="73" t="s">
        <v>2087</v>
      </c>
      <c r="I203" s="49" t="s">
        <v>44</v>
      </c>
      <c r="J203" s="34">
        <v>19037</v>
      </c>
      <c r="K203" s="34">
        <v>8415</v>
      </c>
      <c r="L203" s="34">
        <v>0</v>
      </c>
      <c r="M203" s="34"/>
      <c r="N203" s="34"/>
      <c r="O203" s="34"/>
      <c r="P203" s="492"/>
      <c r="Q203" s="493"/>
      <c r="R203" s="493"/>
      <c r="S203" s="493"/>
      <c r="T203" s="493"/>
      <c r="U203" s="493"/>
      <c r="V203" s="34">
        <f t="shared" si="7"/>
        <v>0</v>
      </c>
      <c r="W203" s="31">
        <v>1</v>
      </c>
      <c r="X203" s="32">
        <v>40</v>
      </c>
      <c r="Y203" s="33">
        <v>44294</v>
      </c>
      <c r="Z203" s="36">
        <v>44312</v>
      </c>
      <c r="AA203" s="31">
        <v>4999</v>
      </c>
      <c r="AB203" s="31">
        <v>89</v>
      </c>
      <c r="AC203" s="494">
        <v>44413</v>
      </c>
      <c r="AD203" s="494">
        <v>44438</v>
      </c>
      <c r="AE203" s="31"/>
      <c r="AF203" s="214"/>
      <c r="AG203" s="228"/>
      <c r="AH203" s="494"/>
      <c r="AI203" s="228"/>
      <c r="AJ203" s="494"/>
      <c r="AK203" s="494"/>
      <c r="AL203" s="494"/>
      <c r="AM203" s="228"/>
      <c r="AN203" s="31"/>
      <c r="AO203" s="494"/>
      <c r="AP203" s="494"/>
      <c r="AQ203" s="494"/>
      <c r="AR203" s="494"/>
      <c r="AS203" s="494"/>
      <c r="AT203" s="494"/>
      <c r="AU203" s="494"/>
      <c r="AV203" s="494"/>
      <c r="AW203" s="494"/>
      <c r="AX203" s="494"/>
      <c r="AY203" s="494"/>
      <c r="AZ203" s="494"/>
      <c r="BA203" s="494"/>
      <c r="BB203" s="494"/>
      <c r="BC203" s="494"/>
      <c r="BD203" s="494"/>
      <c r="BE203" s="494"/>
      <c r="BF203" s="494"/>
      <c r="BG203" s="37">
        <f t="shared" si="8"/>
        <v>5000</v>
      </c>
      <c r="BH203" s="525">
        <f t="shared" si="6"/>
        <v>5000</v>
      </c>
    </row>
    <row r="204" spans="2:60" s="39" customFormat="1" ht="13.5" customHeight="1">
      <c r="B204" s="22">
        <v>204</v>
      </c>
      <c r="C204" s="261" t="s">
        <v>39</v>
      </c>
      <c r="D204" s="23" t="s">
        <v>2313</v>
      </c>
      <c r="E204" s="510" t="s">
        <v>2314</v>
      </c>
      <c r="F204" s="26" t="s">
        <v>146</v>
      </c>
      <c r="G204" s="26" t="s">
        <v>1895</v>
      </c>
      <c r="H204" s="73" t="s">
        <v>1963</v>
      </c>
      <c r="I204" s="49" t="s">
        <v>44</v>
      </c>
      <c r="J204" s="34">
        <v>514343</v>
      </c>
      <c r="K204" s="34">
        <v>507683</v>
      </c>
      <c r="L204" s="34">
        <v>0</v>
      </c>
      <c r="M204" s="34"/>
      <c r="N204" s="34"/>
      <c r="O204" s="34"/>
      <c r="P204" s="492"/>
      <c r="Q204" s="493"/>
      <c r="R204" s="493"/>
      <c r="S204" s="493"/>
      <c r="T204" s="493"/>
      <c r="U204" s="493"/>
      <c r="V204" s="34">
        <f t="shared" si="7"/>
        <v>0</v>
      </c>
      <c r="W204" s="31">
        <v>1</v>
      </c>
      <c r="X204" s="32">
        <v>40</v>
      </c>
      <c r="Y204" s="33">
        <v>44294</v>
      </c>
      <c r="Z204" s="36">
        <v>44312</v>
      </c>
      <c r="AA204" s="31"/>
      <c r="AB204" s="31"/>
      <c r="AC204" s="494"/>
      <c r="AD204" s="494"/>
      <c r="AE204" s="31"/>
      <c r="AF204" s="214"/>
      <c r="AG204" s="228"/>
      <c r="AH204" s="494"/>
      <c r="AI204" s="228"/>
      <c r="AJ204" s="494"/>
      <c r="AK204" s="494"/>
      <c r="AL204" s="494"/>
      <c r="AM204" s="228"/>
      <c r="AN204" s="31"/>
      <c r="AO204" s="494"/>
      <c r="AP204" s="494"/>
      <c r="AQ204" s="494"/>
      <c r="AR204" s="494"/>
      <c r="AS204" s="494"/>
      <c r="AT204" s="494"/>
      <c r="AU204" s="494"/>
      <c r="AV204" s="494"/>
      <c r="AW204" s="494"/>
      <c r="AX204" s="494"/>
      <c r="AY204" s="494"/>
      <c r="AZ204" s="494"/>
      <c r="BA204" s="494"/>
      <c r="BB204" s="494"/>
      <c r="BC204" s="494"/>
      <c r="BD204" s="494"/>
      <c r="BE204" s="494"/>
      <c r="BF204" s="494"/>
      <c r="BG204" s="37">
        <f t="shared" si="8"/>
        <v>1</v>
      </c>
      <c r="BH204" s="525">
        <f t="shared" ref="BH204:BH235" si="9">+BG204-V204</f>
        <v>1</v>
      </c>
    </row>
    <row r="205" spans="2:60" s="39" customFormat="1" ht="13.5" customHeight="1">
      <c r="B205" s="22">
        <v>205</v>
      </c>
      <c r="C205" s="22" t="s">
        <v>39</v>
      </c>
      <c r="D205" s="23" t="s">
        <v>2315</v>
      </c>
      <c r="E205" s="510" t="s">
        <v>2316</v>
      </c>
      <c r="F205" s="26" t="s">
        <v>146</v>
      </c>
      <c r="G205" s="26" t="s">
        <v>1895</v>
      </c>
      <c r="H205" s="73" t="s">
        <v>1927</v>
      </c>
      <c r="I205" s="49" t="s">
        <v>44</v>
      </c>
      <c r="J205" s="34">
        <v>644029</v>
      </c>
      <c r="K205" s="34">
        <v>321846</v>
      </c>
      <c r="L205" s="34">
        <v>28512</v>
      </c>
      <c r="M205" s="34"/>
      <c r="N205" s="34"/>
      <c r="O205" s="34"/>
      <c r="P205" s="492"/>
      <c r="Q205" s="493"/>
      <c r="R205" s="493"/>
      <c r="S205" s="493"/>
      <c r="T205" s="493"/>
      <c r="U205" s="493"/>
      <c r="V205" s="34">
        <f t="shared" ref="V205:V235" si="10">SUM(M205:U205)</f>
        <v>0</v>
      </c>
      <c r="W205" s="31">
        <v>1</v>
      </c>
      <c r="X205" s="32">
        <v>40</v>
      </c>
      <c r="Y205" s="33">
        <v>44294</v>
      </c>
      <c r="Z205" s="36">
        <v>44312</v>
      </c>
      <c r="AA205" s="31"/>
      <c r="AB205" s="31"/>
      <c r="AC205" s="494"/>
      <c r="AD205" s="494"/>
      <c r="AE205" s="31"/>
      <c r="AF205" s="214"/>
      <c r="AG205" s="228"/>
      <c r="AH205" s="494"/>
      <c r="AI205" s="228"/>
      <c r="AJ205" s="494"/>
      <c r="AK205" s="494"/>
      <c r="AL205" s="494"/>
      <c r="AM205" s="228"/>
      <c r="AN205" s="31"/>
      <c r="AO205" s="494"/>
      <c r="AP205" s="494"/>
      <c r="AQ205" s="494"/>
      <c r="AR205" s="494"/>
      <c r="AS205" s="494"/>
      <c r="AT205" s="494"/>
      <c r="AU205" s="494"/>
      <c r="AV205" s="494"/>
      <c r="AW205" s="494"/>
      <c r="AX205" s="494"/>
      <c r="AY205" s="494"/>
      <c r="AZ205" s="494"/>
      <c r="BA205" s="494"/>
      <c r="BB205" s="494"/>
      <c r="BC205" s="494"/>
      <c r="BD205" s="494"/>
      <c r="BE205" s="494"/>
      <c r="BF205" s="494"/>
      <c r="BG205" s="37">
        <f t="shared" ref="BG205:BG235" si="11">+W205+AA205+AE205+AI205+AM205+AQ205+AU205+AY205+BC205</f>
        <v>1</v>
      </c>
      <c r="BH205" s="525">
        <f t="shared" si="9"/>
        <v>1</v>
      </c>
    </row>
    <row r="206" spans="2:60" s="39" customFormat="1" ht="13.5" customHeight="1">
      <c r="B206" s="22">
        <v>206</v>
      </c>
      <c r="C206" s="261" t="s">
        <v>39</v>
      </c>
      <c r="D206" s="23" t="s">
        <v>2317</v>
      </c>
      <c r="E206" s="510" t="s">
        <v>2318</v>
      </c>
      <c r="F206" s="26" t="s">
        <v>146</v>
      </c>
      <c r="G206" s="26" t="s">
        <v>158</v>
      </c>
      <c r="H206" s="73" t="s">
        <v>1919</v>
      </c>
      <c r="I206" s="49" t="s">
        <v>44</v>
      </c>
      <c r="J206" s="34">
        <v>101494</v>
      </c>
      <c r="K206" s="34">
        <v>63116</v>
      </c>
      <c r="L206" s="34">
        <v>0</v>
      </c>
      <c r="M206" s="34"/>
      <c r="N206" s="34"/>
      <c r="O206" s="34"/>
      <c r="P206" s="492"/>
      <c r="Q206" s="493"/>
      <c r="R206" s="493">
        <v>38377.35</v>
      </c>
      <c r="S206" s="493"/>
      <c r="T206" s="493"/>
      <c r="U206" s="493"/>
      <c r="V206" s="34">
        <f t="shared" si="10"/>
        <v>38377.35</v>
      </c>
      <c r="W206" s="31">
        <v>1</v>
      </c>
      <c r="X206" s="32">
        <v>40</v>
      </c>
      <c r="Y206" s="33">
        <v>44294</v>
      </c>
      <c r="Z206" s="36">
        <v>44312</v>
      </c>
      <c r="AA206" s="31">
        <v>14760</v>
      </c>
      <c r="AB206" s="31">
        <v>46</v>
      </c>
      <c r="AC206" s="494">
        <v>44295</v>
      </c>
      <c r="AD206" s="494">
        <v>44327</v>
      </c>
      <c r="AE206" s="31">
        <v>23617</v>
      </c>
      <c r="AF206" s="214">
        <v>62</v>
      </c>
      <c r="AG206" s="494">
        <v>44327</v>
      </c>
      <c r="AH206" s="494">
        <v>44355</v>
      </c>
      <c r="AI206" s="228"/>
      <c r="AJ206" s="494"/>
      <c r="AK206" s="494"/>
      <c r="AL206" s="494"/>
      <c r="AM206" s="228"/>
      <c r="AN206" s="31"/>
      <c r="AO206" s="494"/>
      <c r="AP206" s="494"/>
      <c r="AQ206" s="494"/>
      <c r="AR206" s="494"/>
      <c r="AS206" s="494"/>
      <c r="AT206" s="494"/>
      <c r="AU206" s="494"/>
      <c r="AV206" s="494"/>
      <c r="AW206" s="494"/>
      <c r="AX206" s="494"/>
      <c r="AY206" s="494"/>
      <c r="AZ206" s="494"/>
      <c r="BA206" s="494"/>
      <c r="BB206" s="494"/>
      <c r="BC206" s="494"/>
      <c r="BD206" s="494"/>
      <c r="BE206" s="494"/>
      <c r="BF206" s="494"/>
      <c r="BG206" s="37">
        <f t="shared" si="11"/>
        <v>38378</v>
      </c>
      <c r="BH206" s="525">
        <f t="shared" si="9"/>
        <v>0.65000000000145519</v>
      </c>
    </row>
    <row r="207" spans="2:60" s="39" customFormat="1" ht="13.5" customHeight="1">
      <c r="B207" s="22">
        <v>207</v>
      </c>
      <c r="C207" s="22" t="s">
        <v>39</v>
      </c>
      <c r="D207" s="23" t="s">
        <v>2319</v>
      </c>
      <c r="E207" s="510" t="s">
        <v>2320</v>
      </c>
      <c r="F207" s="26" t="s">
        <v>146</v>
      </c>
      <c r="G207" s="26" t="s">
        <v>1895</v>
      </c>
      <c r="H207" s="73" t="s">
        <v>2321</v>
      </c>
      <c r="I207" s="49" t="s">
        <v>44</v>
      </c>
      <c r="J207" s="34">
        <v>495661</v>
      </c>
      <c r="K207" s="34">
        <v>473307</v>
      </c>
      <c r="L207" s="34">
        <v>0</v>
      </c>
      <c r="M207" s="34"/>
      <c r="N207" s="34"/>
      <c r="O207" s="34"/>
      <c r="P207" s="492"/>
      <c r="Q207" s="493">
        <v>22344.966</v>
      </c>
      <c r="R207" s="493"/>
      <c r="S207" s="493"/>
      <c r="T207" s="493"/>
      <c r="U207" s="493"/>
      <c r="V207" s="34">
        <f t="shared" si="10"/>
        <v>22344.966</v>
      </c>
      <c r="W207" s="31">
        <v>1</v>
      </c>
      <c r="X207" s="32">
        <v>40</v>
      </c>
      <c r="Y207" s="33">
        <v>44294</v>
      </c>
      <c r="Z207" s="36">
        <v>44312</v>
      </c>
      <c r="AA207" s="31">
        <v>22353</v>
      </c>
      <c r="AB207" s="31">
        <v>46</v>
      </c>
      <c r="AC207" s="494">
        <v>44295</v>
      </c>
      <c r="AD207" s="494">
        <v>44327</v>
      </c>
      <c r="AE207" s="31"/>
      <c r="AF207" s="214"/>
      <c r="AG207" s="228"/>
      <c r="AH207" s="494"/>
      <c r="AI207" s="228"/>
      <c r="AJ207" s="494"/>
      <c r="AK207" s="494"/>
      <c r="AL207" s="494"/>
      <c r="AM207" s="228"/>
      <c r="AN207" s="31"/>
      <c r="AO207" s="494"/>
      <c r="AP207" s="494"/>
      <c r="AQ207" s="494"/>
      <c r="AR207" s="494"/>
      <c r="AS207" s="494"/>
      <c r="AT207" s="494"/>
      <c r="AU207" s="494"/>
      <c r="AV207" s="494"/>
      <c r="AW207" s="494"/>
      <c r="AX207" s="494"/>
      <c r="AY207" s="494"/>
      <c r="AZ207" s="494"/>
      <c r="BA207" s="494"/>
      <c r="BB207" s="494"/>
      <c r="BC207" s="494"/>
      <c r="BD207" s="494"/>
      <c r="BE207" s="494"/>
      <c r="BF207" s="494"/>
      <c r="BG207" s="37">
        <f t="shared" si="11"/>
        <v>22354</v>
      </c>
      <c r="BH207" s="525">
        <f t="shared" si="9"/>
        <v>9.0339999999996508</v>
      </c>
    </row>
    <row r="208" spans="2:60" s="39" customFormat="1" ht="13.5" customHeight="1">
      <c r="B208" s="22">
        <v>208</v>
      </c>
      <c r="C208" s="261" t="s">
        <v>39</v>
      </c>
      <c r="D208" s="23" t="s">
        <v>2322</v>
      </c>
      <c r="E208" s="510" t="s">
        <v>2323</v>
      </c>
      <c r="F208" s="26" t="s">
        <v>47</v>
      </c>
      <c r="G208" s="26" t="s">
        <v>1895</v>
      </c>
      <c r="H208" s="73" t="s">
        <v>1987</v>
      </c>
      <c r="I208" s="49" t="s">
        <v>44</v>
      </c>
      <c r="J208" s="34">
        <v>47873</v>
      </c>
      <c r="K208" s="34">
        <v>39077</v>
      </c>
      <c r="L208" s="34">
        <v>0</v>
      </c>
      <c r="M208" s="34"/>
      <c r="N208" s="34"/>
      <c r="O208" s="34"/>
      <c r="P208" s="492"/>
      <c r="Q208" s="493"/>
      <c r="R208" s="493"/>
      <c r="S208" s="493"/>
      <c r="T208" s="493"/>
      <c r="U208" s="493"/>
      <c r="V208" s="34">
        <f t="shared" si="10"/>
        <v>0</v>
      </c>
      <c r="W208" s="31">
        <v>1</v>
      </c>
      <c r="X208" s="32">
        <v>40</v>
      </c>
      <c r="Y208" s="33">
        <v>44294</v>
      </c>
      <c r="Z208" s="36">
        <v>44312</v>
      </c>
      <c r="AA208" s="31">
        <v>8795</v>
      </c>
      <c r="AB208" s="31">
        <v>55</v>
      </c>
      <c r="AC208" s="494">
        <v>44323</v>
      </c>
      <c r="AD208" s="494">
        <v>44350</v>
      </c>
      <c r="AE208" s="31"/>
      <c r="AF208" s="214"/>
      <c r="AG208" s="228"/>
      <c r="AH208" s="494"/>
      <c r="AI208" s="228"/>
      <c r="AJ208" s="494"/>
      <c r="AK208" s="494"/>
      <c r="AL208" s="494"/>
      <c r="AM208" s="228"/>
      <c r="AN208" s="31"/>
      <c r="AO208" s="494"/>
      <c r="AP208" s="494"/>
      <c r="AQ208" s="494"/>
      <c r="AR208" s="494"/>
      <c r="AS208" s="494"/>
      <c r="AT208" s="494"/>
      <c r="AU208" s="494"/>
      <c r="AV208" s="494"/>
      <c r="AW208" s="494"/>
      <c r="AX208" s="494"/>
      <c r="AY208" s="494"/>
      <c r="AZ208" s="494"/>
      <c r="BA208" s="494"/>
      <c r="BB208" s="494"/>
      <c r="BC208" s="494"/>
      <c r="BD208" s="494"/>
      <c r="BE208" s="494"/>
      <c r="BF208" s="494"/>
      <c r="BG208" s="37">
        <f t="shared" si="11"/>
        <v>8796</v>
      </c>
      <c r="BH208" s="525">
        <f t="shared" si="9"/>
        <v>8796</v>
      </c>
    </row>
    <row r="209" spans="2:60" s="39" customFormat="1" ht="13.5" customHeight="1">
      <c r="B209" s="22">
        <v>209</v>
      </c>
      <c r="C209" s="22" t="s">
        <v>39</v>
      </c>
      <c r="D209" s="23" t="s">
        <v>2324</v>
      </c>
      <c r="E209" s="510" t="s">
        <v>2325</v>
      </c>
      <c r="F209" s="26" t="s">
        <v>146</v>
      </c>
      <c r="G209" s="26" t="s">
        <v>1895</v>
      </c>
      <c r="H209" s="73" t="s">
        <v>1987</v>
      </c>
      <c r="I209" s="49" t="s">
        <v>44</v>
      </c>
      <c r="J209" s="34">
        <v>1253425</v>
      </c>
      <c r="K209" s="34">
        <v>679581</v>
      </c>
      <c r="L209" s="34">
        <v>61216</v>
      </c>
      <c r="M209" s="34"/>
      <c r="N209" s="34"/>
      <c r="O209" s="34"/>
      <c r="P209" s="492"/>
      <c r="Q209" s="493"/>
      <c r="R209" s="493"/>
      <c r="S209" s="493"/>
      <c r="T209" s="493"/>
      <c r="U209" s="493"/>
      <c r="V209" s="34">
        <f t="shared" si="10"/>
        <v>0</v>
      </c>
      <c r="W209" s="31">
        <v>1</v>
      </c>
      <c r="X209" s="32">
        <v>40</v>
      </c>
      <c r="Y209" s="33">
        <v>44294</v>
      </c>
      <c r="Z209" s="36">
        <v>44312</v>
      </c>
      <c r="AA209" s="31">
        <v>1</v>
      </c>
      <c r="AB209" s="31">
        <v>96</v>
      </c>
      <c r="AC209" s="494">
        <v>44438</v>
      </c>
      <c r="AD209" s="494">
        <v>44448</v>
      </c>
      <c r="AE209" s="31"/>
      <c r="AF209" s="214"/>
      <c r="AG209" s="228"/>
      <c r="AH209" s="494"/>
      <c r="AI209" s="228"/>
      <c r="AJ209" s="494"/>
      <c r="AK209" s="494"/>
      <c r="AL209" s="494"/>
      <c r="AM209" s="228"/>
      <c r="AN209" s="31"/>
      <c r="AO209" s="494"/>
      <c r="AP209" s="494"/>
      <c r="AQ209" s="494"/>
      <c r="AR209" s="494"/>
      <c r="AS209" s="494"/>
      <c r="AT209" s="494"/>
      <c r="AU209" s="494"/>
      <c r="AV209" s="494"/>
      <c r="AW209" s="494"/>
      <c r="AX209" s="494"/>
      <c r="AY209" s="494"/>
      <c r="AZ209" s="494"/>
      <c r="BA209" s="494"/>
      <c r="BB209" s="494"/>
      <c r="BC209" s="494"/>
      <c r="BD209" s="494"/>
      <c r="BE209" s="494"/>
      <c r="BF209" s="494"/>
      <c r="BG209" s="37">
        <f t="shared" si="11"/>
        <v>2</v>
      </c>
      <c r="BH209" s="525">
        <f t="shared" si="9"/>
        <v>2</v>
      </c>
    </row>
    <row r="210" spans="2:60" s="39" customFormat="1" ht="13.5" customHeight="1">
      <c r="B210" s="22">
        <v>210</v>
      </c>
      <c r="C210" s="261" t="s">
        <v>39</v>
      </c>
      <c r="D210" s="23" t="s">
        <v>2326</v>
      </c>
      <c r="E210" s="510" t="s">
        <v>2327</v>
      </c>
      <c r="F210" s="26" t="s">
        <v>146</v>
      </c>
      <c r="G210" s="26" t="s">
        <v>1895</v>
      </c>
      <c r="H210" s="73" t="s">
        <v>2328</v>
      </c>
      <c r="I210" s="49" t="s">
        <v>44</v>
      </c>
      <c r="J210" s="34">
        <v>829058</v>
      </c>
      <c r="K210" s="34">
        <v>318634</v>
      </c>
      <c r="L210" s="34">
        <v>509678</v>
      </c>
      <c r="M210" s="34"/>
      <c r="N210" s="34"/>
      <c r="O210" s="34"/>
      <c r="P210" s="492"/>
      <c r="Q210" s="493"/>
      <c r="R210" s="493"/>
      <c r="S210" s="493"/>
      <c r="T210" s="493"/>
      <c r="U210" s="493"/>
      <c r="V210" s="34">
        <f t="shared" si="10"/>
        <v>0</v>
      </c>
      <c r="W210" s="31">
        <v>1</v>
      </c>
      <c r="X210" s="32">
        <v>40</v>
      </c>
      <c r="Y210" s="33">
        <v>44294</v>
      </c>
      <c r="Z210" s="36">
        <v>44312</v>
      </c>
      <c r="AA210" s="31"/>
      <c r="AB210" s="31"/>
      <c r="AC210" s="494"/>
      <c r="AD210" s="494"/>
      <c r="AE210" s="31"/>
      <c r="AF210" s="214"/>
      <c r="AG210" s="228"/>
      <c r="AH210" s="494"/>
      <c r="AI210" s="228"/>
      <c r="AJ210" s="494"/>
      <c r="AK210" s="494"/>
      <c r="AL210" s="494"/>
      <c r="AM210" s="228"/>
      <c r="AN210" s="31"/>
      <c r="AO210" s="494"/>
      <c r="AP210" s="494"/>
      <c r="AQ210" s="494"/>
      <c r="AR210" s="494"/>
      <c r="AS210" s="494"/>
      <c r="AT210" s="494"/>
      <c r="AU210" s="494"/>
      <c r="AV210" s="494"/>
      <c r="AW210" s="494"/>
      <c r="AX210" s="494"/>
      <c r="AY210" s="494"/>
      <c r="AZ210" s="494"/>
      <c r="BA210" s="494"/>
      <c r="BB210" s="494"/>
      <c r="BC210" s="494"/>
      <c r="BD210" s="494"/>
      <c r="BE210" s="494"/>
      <c r="BF210" s="494"/>
      <c r="BG210" s="37">
        <f t="shared" si="11"/>
        <v>1</v>
      </c>
      <c r="BH210" s="525">
        <f t="shared" si="9"/>
        <v>1</v>
      </c>
    </row>
    <row r="211" spans="2:60" s="39" customFormat="1" ht="13.5" customHeight="1">
      <c r="B211" s="22">
        <v>211</v>
      </c>
      <c r="C211" s="22" t="s">
        <v>39</v>
      </c>
      <c r="D211" s="23" t="s">
        <v>2329</v>
      </c>
      <c r="E211" s="510" t="s">
        <v>2330</v>
      </c>
      <c r="F211" s="26" t="s">
        <v>146</v>
      </c>
      <c r="G211" s="26" t="s">
        <v>1895</v>
      </c>
      <c r="H211" s="73" t="s">
        <v>2331</v>
      </c>
      <c r="I211" s="49" t="s">
        <v>52</v>
      </c>
      <c r="J211" s="34">
        <v>593859</v>
      </c>
      <c r="K211" s="34">
        <v>0</v>
      </c>
      <c r="L211" s="34">
        <v>570266</v>
      </c>
      <c r="M211" s="34"/>
      <c r="N211" s="34"/>
      <c r="O211" s="34"/>
      <c r="P211" s="492"/>
      <c r="Q211" s="493"/>
      <c r="R211" s="493"/>
      <c r="S211" s="493"/>
      <c r="T211" s="493"/>
      <c r="U211" s="493"/>
      <c r="V211" s="34">
        <f t="shared" si="10"/>
        <v>0</v>
      </c>
      <c r="W211" s="31">
        <v>3</v>
      </c>
      <c r="X211" s="32">
        <v>40</v>
      </c>
      <c r="Y211" s="33">
        <v>44294</v>
      </c>
      <c r="Z211" s="36">
        <v>44312</v>
      </c>
      <c r="AA211" s="31"/>
      <c r="AB211" s="31"/>
      <c r="AC211" s="494"/>
      <c r="AD211" s="494"/>
      <c r="AE211" s="31"/>
      <c r="AF211" s="214"/>
      <c r="AG211" s="228"/>
      <c r="AH211" s="494"/>
      <c r="AI211" s="228"/>
      <c r="AJ211" s="494"/>
      <c r="AK211" s="494"/>
      <c r="AL211" s="494"/>
      <c r="AM211" s="228"/>
      <c r="AN211" s="31"/>
      <c r="AO211" s="494"/>
      <c r="AP211" s="494"/>
      <c r="AQ211" s="494"/>
      <c r="AR211" s="494"/>
      <c r="AS211" s="494"/>
      <c r="AT211" s="494"/>
      <c r="AU211" s="494"/>
      <c r="AV211" s="494"/>
      <c r="AW211" s="494"/>
      <c r="AX211" s="494"/>
      <c r="AY211" s="494"/>
      <c r="AZ211" s="494"/>
      <c r="BA211" s="494"/>
      <c r="BB211" s="494"/>
      <c r="BC211" s="494"/>
      <c r="BD211" s="494"/>
      <c r="BE211" s="494"/>
      <c r="BF211" s="494"/>
      <c r="BG211" s="37">
        <f t="shared" si="11"/>
        <v>3</v>
      </c>
      <c r="BH211" s="525">
        <f t="shared" si="9"/>
        <v>3</v>
      </c>
    </row>
    <row r="212" spans="2:60" s="39" customFormat="1" ht="13.5" customHeight="1">
      <c r="B212" s="22">
        <v>212</v>
      </c>
      <c r="C212" s="261" t="s">
        <v>39</v>
      </c>
      <c r="D212" s="23" t="s">
        <v>2332</v>
      </c>
      <c r="E212" s="510" t="s">
        <v>2333</v>
      </c>
      <c r="F212" s="26" t="s">
        <v>146</v>
      </c>
      <c r="G212" s="26" t="s">
        <v>1895</v>
      </c>
      <c r="H212" s="73" t="s">
        <v>2128</v>
      </c>
      <c r="I212" s="49" t="s">
        <v>44</v>
      </c>
      <c r="J212" s="34">
        <v>2496000</v>
      </c>
      <c r="K212" s="34">
        <v>2181728</v>
      </c>
      <c r="L212" s="34">
        <v>0</v>
      </c>
      <c r="M212" s="34"/>
      <c r="N212" s="34"/>
      <c r="O212" s="34"/>
      <c r="P212" s="505">
        <v>165898.81</v>
      </c>
      <c r="Q212" s="493"/>
      <c r="R212" s="493">
        <v>13812.84</v>
      </c>
      <c r="S212" s="493"/>
      <c r="T212" s="493"/>
      <c r="U212" s="493"/>
      <c r="V212" s="34">
        <f t="shared" si="10"/>
        <v>179711.65</v>
      </c>
      <c r="W212" s="31">
        <v>167848</v>
      </c>
      <c r="X212" s="32">
        <v>40</v>
      </c>
      <c r="Y212" s="33">
        <v>44294</v>
      </c>
      <c r="Z212" s="36">
        <v>44312</v>
      </c>
      <c r="AA212" s="31">
        <v>2</v>
      </c>
      <c r="AB212" s="31">
        <v>42</v>
      </c>
      <c r="AC212" s="494">
        <v>44294</v>
      </c>
      <c r="AD212" s="494">
        <v>44313</v>
      </c>
      <c r="AE212" s="31">
        <v>1</v>
      </c>
      <c r="AF212" s="31">
        <v>46</v>
      </c>
      <c r="AG212" s="494">
        <v>44295</v>
      </c>
      <c r="AH212" s="494">
        <v>44327</v>
      </c>
      <c r="AI212" s="31">
        <v>20000</v>
      </c>
      <c r="AJ212" s="31">
        <v>48</v>
      </c>
      <c r="AK212" s="494">
        <v>44295</v>
      </c>
      <c r="AL212" s="494">
        <v>44314</v>
      </c>
      <c r="AM212" s="31">
        <v>23022</v>
      </c>
      <c r="AN212" s="31">
        <v>62</v>
      </c>
      <c r="AO212" s="494">
        <v>44327</v>
      </c>
      <c r="AP212" s="494">
        <v>44355</v>
      </c>
      <c r="AQ212" s="494"/>
      <c r="AR212" s="494"/>
      <c r="AS212" s="494"/>
      <c r="AT212" s="494"/>
      <c r="AU212" s="494"/>
      <c r="AV212" s="494"/>
      <c r="AW212" s="494"/>
      <c r="AX212" s="494"/>
      <c r="AY212" s="494"/>
      <c r="AZ212" s="494"/>
      <c r="BA212" s="494"/>
      <c r="BB212" s="494"/>
      <c r="BC212" s="494"/>
      <c r="BD212" s="494"/>
      <c r="BE212" s="494"/>
      <c r="BF212" s="494"/>
      <c r="BG212" s="37">
        <f t="shared" si="11"/>
        <v>210873</v>
      </c>
      <c r="BH212" s="525">
        <f t="shared" si="9"/>
        <v>31161.350000000006</v>
      </c>
    </row>
    <row r="213" spans="2:60" s="39" customFormat="1" ht="13.5" customHeight="1">
      <c r="B213" s="22">
        <v>213</v>
      </c>
      <c r="C213" s="22" t="s">
        <v>39</v>
      </c>
      <c r="D213" s="23" t="s">
        <v>2334</v>
      </c>
      <c r="E213" s="510" t="s">
        <v>2335</v>
      </c>
      <c r="F213" s="26" t="s">
        <v>146</v>
      </c>
      <c r="G213" s="26" t="s">
        <v>1895</v>
      </c>
      <c r="H213" s="73" t="s">
        <v>2331</v>
      </c>
      <c r="I213" s="49" t="s">
        <v>44</v>
      </c>
      <c r="J213" s="34">
        <v>395511</v>
      </c>
      <c r="K213" s="34">
        <v>384988</v>
      </c>
      <c r="L213" s="34">
        <v>0</v>
      </c>
      <c r="M213" s="34"/>
      <c r="N213" s="34"/>
      <c r="O213" s="34"/>
      <c r="P213" s="492"/>
      <c r="Q213" s="493"/>
      <c r="R213" s="493">
        <v>10522.218000000001</v>
      </c>
      <c r="S213" s="493"/>
      <c r="T213" s="493"/>
      <c r="U213" s="493"/>
      <c r="V213" s="34">
        <f t="shared" si="10"/>
        <v>10522.218000000001</v>
      </c>
      <c r="W213" s="31">
        <v>2</v>
      </c>
      <c r="X213" s="32">
        <v>41</v>
      </c>
      <c r="Y213" s="33">
        <v>44294</v>
      </c>
      <c r="Z213" s="36">
        <v>44315</v>
      </c>
      <c r="AA213" s="31">
        <v>10521</v>
      </c>
      <c r="AB213" s="31">
        <v>71</v>
      </c>
      <c r="AC213" s="494">
        <v>44354</v>
      </c>
      <c r="AD213" s="494">
        <v>44376</v>
      </c>
      <c r="AE213" s="31"/>
      <c r="AF213" s="214"/>
      <c r="AG213" s="228"/>
      <c r="AH213" s="494"/>
      <c r="AI213" s="494"/>
      <c r="AJ213" s="494"/>
      <c r="AK213" s="494"/>
      <c r="AL213" s="494"/>
      <c r="AM213" s="228"/>
      <c r="AN213" s="31"/>
      <c r="AO213" s="494"/>
      <c r="AP213" s="494"/>
      <c r="AQ213" s="494"/>
      <c r="AR213" s="494"/>
      <c r="AS213" s="494"/>
      <c r="AT213" s="494"/>
      <c r="AU213" s="494"/>
      <c r="AV213" s="494"/>
      <c r="AW213" s="494"/>
      <c r="AX213" s="494"/>
      <c r="AY213" s="494"/>
      <c r="AZ213" s="494"/>
      <c r="BA213" s="494"/>
      <c r="BB213" s="494"/>
      <c r="BC213" s="494"/>
      <c r="BD213" s="494"/>
      <c r="BE213" s="494"/>
      <c r="BF213" s="494"/>
      <c r="BG213" s="37">
        <f t="shared" si="11"/>
        <v>10523</v>
      </c>
      <c r="BH213" s="525">
        <f t="shared" si="9"/>
        <v>0.7819999999992433</v>
      </c>
    </row>
    <row r="214" spans="2:60" s="39" customFormat="1" ht="13.5" customHeight="1">
      <c r="B214" s="22">
        <v>214</v>
      </c>
      <c r="C214" s="261" t="s">
        <v>39</v>
      </c>
      <c r="D214" s="23" t="s">
        <v>2336</v>
      </c>
      <c r="E214" s="510" t="s">
        <v>2337</v>
      </c>
      <c r="F214" s="26" t="s">
        <v>146</v>
      </c>
      <c r="G214" s="26" t="s">
        <v>1895</v>
      </c>
      <c r="H214" s="73" t="s">
        <v>1979</v>
      </c>
      <c r="I214" s="49" t="s">
        <v>44</v>
      </c>
      <c r="J214" s="34">
        <v>237066</v>
      </c>
      <c r="K214" s="34">
        <v>233326</v>
      </c>
      <c r="L214" s="34">
        <v>0</v>
      </c>
      <c r="M214" s="34"/>
      <c r="N214" s="34"/>
      <c r="O214" s="34"/>
      <c r="P214" s="492"/>
      <c r="Q214" s="493"/>
      <c r="R214" s="493"/>
      <c r="S214" s="493"/>
      <c r="T214" s="493"/>
      <c r="U214" s="493"/>
      <c r="V214" s="34">
        <f t="shared" si="10"/>
        <v>0</v>
      </c>
      <c r="W214" s="31">
        <v>2</v>
      </c>
      <c r="X214" s="32">
        <v>41</v>
      </c>
      <c r="Y214" s="33">
        <v>44294</v>
      </c>
      <c r="Z214" s="36">
        <v>44315</v>
      </c>
      <c r="AA214" s="494"/>
      <c r="AB214" s="494"/>
      <c r="AC214" s="494"/>
      <c r="AD214" s="494"/>
      <c r="AE214" s="31"/>
      <c r="AF214" s="214"/>
      <c r="AG214" s="228"/>
      <c r="AH214" s="494"/>
      <c r="AI214" s="494"/>
      <c r="AJ214" s="494"/>
      <c r="AK214" s="494"/>
      <c r="AL214" s="494"/>
      <c r="AM214" s="228"/>
      <c r="AN214" s="31"/>
      <c r="AO214" s="494"/>
      <c r="AP214" s="494"/>
      <c r="AQ214" s="494"/>
      <c r="AR214" s="494"/>
      <c r="AS214" s="494"/>
      <c r="AT214" s="494"/>
      <c r="AU214" s="494"/>
      <c r="AV214" s="494"/>
      <c r="AW214" s="494"/>
      <c r="AX214" s="494"/>
      <c r="AY214" s="494"/>
      <c r="AZ214" s="494"/>
      <c r="BA214" s="494"/>
      <c r="BB214" s="494"/>
      <c r="BC214" s="494"/>
      <c r="BD214" s="494"/>
      <c r="BE214" s="494"/>
      <c r="BF214" s="494"/>
      <c r="BG214" s="37">
        <f t="shared" si="11"/>
        <v>2</v>
      </c>
      <c r="BH214" s="525">
        <f t="shared" si="9"/>
        <v>2</v>
      </c>
    </row>
    <row r="215" spans="2:60" s="39" customFormat="1" ht="13.5" customHeight="1">
      <c r="B215" s="22">
        <v>215</v>
      </c>
      <c r="C215" s="261" t="s">
        <v>39</v>
      </c>
      <c r="D215" s="23" t="s">
        <v>2338</v>
      </c>
      <c r="E215" s="510" t="s">
        <v>2339</v>
      </c>
      <c r="F215" s="26" t="s">
        <v>146</v>
      </c>
      <c r="G215" s="26" t="s">
        <v>1895</v>
      </c>
      <c r="H215" s="73" t="s">
        <v>1932</v>
      </c>
      <c r="I215" s="49" t="s">
        <v>44</v>
      </c>
      <c r="J215" s="34">
        <v>2818011</v>
      </c>
      <c r="K215" s="34">
        <v>1135199</v>
      </c>
      <c r="L215" s="34">
        <v>94613</v>
      </c>
      <c r="M215" s="34"/>
      <c r="N215" s="34"/>
      <c r="O215" s="34"/>
      <c r="P215" s="492"/>
      <c r="Q215" s="493"/>
      <c r="R215" s="493"/>
      <c r="S215" s="493"/>
      <c r="T215" s="493"/>
      <c r="U215" s="493"/>
      <c r="V215" s="34">
        <f t="shared" si="10"/>
        <v>0</v>
      </c>
      <c r="W215" s="31">
        <v>1</v>
      </c>
      <c r="X215" s="32">
        <v>48</v>
      </c>
      <c r="Y215" s="33">
        <v>44295</v>
      </c>
      <c r="Z215" s="36">
        <v>44314</v>
      </c>
      <c r="AA215" s="494"/>
      <c r="AB215" s="494"/>
      <c r="AC215" s="494"/>
      <c r="AD215" s="494"/>
      <c r="AE215" s="31"/>
      <c r="AF215" s="214"/>
      <c r="AG215" s="228"/>
      <c r="AH215" s="494"/>
      <c r="AI215" s="494"/>
      <c r="AJ215" s="494"/>
      <c r="AK215" s="494"/>
      <c r="AL215" s="494"/>
      <c r="AM215" s="228"/>
      <c r="AN215" s="31"/>
      <c r="AO215" s="494"/>
      <c r="AP215" s="494"/>
      <c r="AQ215" s="494"/>
      <c r="AR215" s="494"/>
      <c r="AS215" s="494"/>
      <c r="AT215" s="494"/>
      <c r="AU215" s="494"/>
      <c r="AV215" s="494"/>
      <c r="AW215" s="494"/>
      <c r="AX215" s="494"/>
      <c r="AY215" s="494"/>
      <c r="AZ215" s="494"/>
      <c r="BA215" s="494"/>
      <c r="BB215" s="494"/>
      <c r="BC215" s="494"/>
      <c r="BD215" s="494"/>
      <c r="BE215" s="494"/>
      <c r="BF215" s="494"/>
      <c r="BG215" s="37">
        <f t="shared" si="11"/>
        <v>1</v>
      </c>
      <c r="BH215" s="525">
        <f t="shared" si="9"/>
        <v>1</v>
      </c>
    </row>
    <row r="216" spans="2:60" s="39" customFormat="1" ht="13.5" customHeight="1">
      <c r="B216" s="22">
        <v>216</v>
      </c>
      <c r="C216" s="261" t="s">
        <v>39</v>
      </c>
      <c r="D216" s="23" t="s">
        <v>2340</v>
      </c>
      <c r="E216" s="510" t="s">
        <v>2341</v>
      </c>
      <c r="F216" s="26" t="s">
        <v>146</v>
      </c>
      <c r="G216" s="26" t="s">
        <v>1895</v>
      </c>
      <c r="H216" s="73" t="s">
        <v>1896</v>
      </c>
      <c r="I216" s="49" t="s">
        <v>52</v>
      </c>
      <c r="J216" s="34">
        <v>171168</v>
      </c>
      <c r="K216" s="34">
        <v>0</v>
      </c>
      <c r="L216" s="34">
        <v>0</v>
      </c>
      <c r="M216" s="34"/>
      <c r="N216" s="34"/>
      <c r="O216" s="34"/>
      <c r="P216" s="492"/>
      <c r="Q216" s="493"/>
      <c r="R216" s="493"/>
      <c r="S216" s="493"/>
      <c r="T216" s="493"/>
      <c r="U216" s="493"/>
      <c r="V216" s="34">
        <f t="shared" si="10"/>
        <v>0</v>
      </c>
      <c r="W216" s="31">
        <v>2</v>
      </c>
      <c r="X216" s="32">
        <v>55</v>
      </c>
      <c r="Y216" s="33">
        <v>44323</v>
      </c>
      <c r="Z216" s="36">
        <v>44350</v>
      </c>
      <c r="AA216" s="494"/>
      <c r="AB216" s="494"/>
      <c r="AC216" s="494"/>
      <c r="AD216" s="494"/>
      <c r="AE216" s="31"/>
      <c r="AF216" s="214"/>
      <c r="AG216" s="228"/>
      <c r="AH216" s="494"/>
      <c r="AI216" s="494"/>
      <c r="AJ216" s="494"/>
      <c r="AK216" s="494"/>
      <c r="AL216" s="494"/>
      <c r="AM216" s="228"/>
      <c r="AN216" s="31"/>
      <c r="AO216" s="494"/>
      <c r="AP216" s="494"/>
      <c r="AQ216" s="494"/>
      <c r="AR216" s="494"/>
      <c r="AS216" s="494"/>
      <c r="AT216" s="494"/>
      <c r="AU216" s="494"/>
      <c r="AV216" s="494"/>
      <c r="AW216" s="494"/>
      <c r="AX216" s="494"/>
      <c r="AY216" s="494"/>
      <c r="AZ216" s="494"/>
      <c r="BA216" s="494"/>
      <c r="BB216" s="494"/>
      <c r="BC216" s="494"/>
      <c r="BD216" s="494"/>
      <c r="BE216" s="494"/>
      <c r="BF216" s="494"/>
      <c r="BG216" s="37">
        <f t="shared" si="11"/>
        <v>2</v>
      </c>
      <c r="BH216" s="525">
        <f t="shared" si="9"/>
        <v>2</v>
      </c>
    </row>
    <row r="217" spans="2:60" s="39" customFormat="1" ht="13.5" customHeight="1">
      <c r="B217" s="22">
        <v>217</v>
      </c>
      <c r="C217" s="261" t="s">
        <v>39</v>
      </c>
      <c r="D217" s="23" t="s">
        <v>2342</v>
      </c>
      <c r="E217" s="510" t="s">
        <v>2343</v>
      </c>
      <c r="F217" s="26" t="s">
        <v>146</v>
      </c>
      <c r="G217" s="26" t="s">
        <v>1895</v>
      </c>
      <c r="H217" s="73" t="s">
        <v>1941</v>
      </c>
      <c r="I217" s="49" t="s">
        <v>52</v>
      </c>
      <c r="J217" s="34">
        <v>455585</v>
      </c>
      <c r="K217" s="34">
        <v>0</v>
      </c>
      <c r="L217" s="34">
        <v>350270</v>
      </c>
      <c r="M217" s="34"/>
      <c r="N217" s="34"/>
      <c r="O217" s="34"/>
      <c r="P217" s="492"/>
      <c r="Q217" s="493"/>
      <c r="R217" s="493"/>
      <c r="S217" s="493"/>
      <c r="T217" s="493"/>
      <c r="U217" s="493"/>
      <c r="V217" s="34">
        <f t="shared" si="10"/>
        <v>0</v>
      </c>
      <c r="W217" s="31">
        <v>3</v>
      </c>
      <c r="X217" s="32">
        <v>56</v>
      </c>
      <c r="Y217" s="33">
        <v>44323</v>
      </c>
      <c r="Z217" s="36">
        <v>44344</v>
      </c>
      <c r="AA217" s="494"/>
      <c r="AB217" s="494"/>
      <c r="AC217" s="494"/>
      <c r="AD217" s="494"/>
      <c r="AE217" s="31"/>
      <c r="AF217" s="214"/>
      <c r="AG217" s="228"/>
      <c r="AH217" s="494"/>
      <c r="AI217" s="494"/>
      <c r="AJ217" s="494"/>
      <c r="AK217" s="494"/>
      <c r="AL217" s="494"/>
      <c r="AM217" s="228"/>
      <c r="AN217" s="31"/>
      <c r="AO217" s="494"/>
      <c r="AP217" s="494"/>
      <c r="AQ217" s="494"/>
      <c r="AR217" s="494"/>
      <c r="AS217" s="494"/>
      <c r="AT217" s="494"/>
      <c r="AU217" s="494"/>
      <c r="AV217" s="494"/>
      <c r="AW217" s="494"/>
      <c r="AX217" s="494"/>
      <c r="AY217" s="494"/>
      <c r="AZ217" s="494"/>
      <c r="BA217" s="494"/>
      <c r="BB217" s="494"/>
      <c r="BC217" s="494"/>
      <c r="BD217" s="494"/>
      <c r="BE217" s="494"/>
      <c r="BF217" s="494"/>
      <c r="BG217" s="37">
        <f t="shared" si="11"/>
        <v>3</v>
      </c>
      <c r="BH217" s="525">
        <f t="shared" si="9"/>
        <v>3</v>
      </c>
    </row>
    <row r="218" spans="2:60" s="39" customFormat="1" ht="13.5" customHeight="1">
      <c r="B218" s="22">
        <v>218</v>
      </c>
      <c r="C218" s="261" t="s">
        <v>39</v>
      </c>
      <c r="D218" s="23" t="s">
        <v>2344</v>
      </c>
      <c r="E218" s="510" t="s">
        <v>2345</v>
      </c>
      <c r="F218" s="26" t="s">
        <v>146</v>
      </c>
      <c r="G218" s="26" t="s">
        <v>1895</v>
      </c>
      <c r="H218" s="73" t="s">
        <v>2111</v>
      </c>
      <c r="I218" s="49" t="s">
        <v>52</v>
      </c>
      <c r="J218" s="34">
        <v>801023</v>
      </c>
      <c r="K218" s="34">
        <v>0</v>
      </c>
      <c r="L218" s="34">
        <v>104824</v>
      </c>
      <c r="M218" s="34"/>
      <c r="N218" s="34"/>
      <c r="O218" s="34"/>
      <c r="P218" s="492"/>
      <c r="Q218" s="493"/>
      <c r="R218" s="493"/>
      <c r="S218" s="493"/>
      <c r="T218" s="493"/>
      <c r="U218" s="493"/>
      <c r="V218" s="34">
        <f t="shared" si="10"/>
        <v>0</v>
      </c>
      <c r="W218" s="31">
        <v>2</v>
      </c>
      <c r="X218" s="32">
        <v>62</v>
      </c>
      <c r="Y218" s="33">
        <v>44327</v>
      </c>
      <c r="Z218" s="36">
        <v>44355</v>
      </c>
      <c r="AA218" s="494"/>
      <c r="AB218" s="494"/>
      <c r="AC218" s="494"/>
      <c r="AD218" s="494"/>
      <c r="AE218" s="31"/>
      <c r="AF218" s="214"/>
      <c r="AG218" s="228"/>
      <c r="AH218" s="494"/>
      <c r="AI218" s="494"/>
      <c r="AJ218" s="494"/>
      <c r="AK218" s="494"/>
      <c r="AL218" s="494"/>
      <c r="AM218" s="228"/>
      <c r="AN218" s="31"/>
      <c r="AO218" s="494"/>
      <c r="AP218" s="494"/>
      <c r="AQ218" s="494"/>
      <c r="AR218" s="494"/>
      <c r="AS218" s="494"/>
      <c r="AT218" s="494"/>
      <c r="AU218" s="494"/>
      <c r="AV218" s="494"/>
      <c r="AW218" s="494"/>
      <c r="AX218" s="494"/>
      <c r="AY218" s="494"/>
      <c r="AZ218" s="494"/>
      <c r="BA218" s="494"/>
      <c r="BB218" s="494"/>
      <c r="BC218" s="494"/>
      <c r="BD218" s="494"/>
      <c r="BE218" s="494"/>
      <c r="BF218" s="494"/>
      <c r="BG218" s="37">
        <f t="shared" si="11"/>
        <v>2</v>
      </c>
      <c r="BH218" s="525">
        <f t="shared" si="9"/>
        <v>2</v>
      </c>
    </row>
    <row r="219" spans="2:60" s="39" customFormat="1" ht="13.5" customHeight="1">
      <c r="B219" s="22">
        <v>219</v>
      </c>
      <c r="C219" s="261" t="s">
        <v>39</v>
      </c>
      <c r="D219" s="23" t="s">
        <v>2346</v>
      </c>
      <c r="E219" s="510" t="s">
        <v>2347</v>
      </c>
      <c r="F219" s="26" t="s">
        <v>146</v>
      </c>
      <c r="G219" s="26" t="s">
        <v>1895</v>
      </c>
      <c r="H219" s="73" t="s">
        <v>1927</v>
      </c>
      <c r="I219" s="49" t="s">
        <v>52</v>
      </c>
      <c r="J219" s="34">
        <v>2914706</v>
      </c>
      <c r="K219" s="34">
        <v>0</v>
      </c>
      <c r="L219" s="34">
        <v>1855442</v>
      </c>
      <c r="M219" s="34"/>
      <c r="N219" s="34"/>
      <c r="O219" s="34"/>
      <c r="P219" s="492"/>
      <c r="Q219" s="493"/>
      <c r="R219" s="493"/>
      <c r="S219" s="493"/>
      <c r="T219" s="493"/>
      <c r="U219" s="493"/>
      <c r="V219" s="34">
        <f t="shared" si="10"/>
        <v>0</v>
      </c>
      <c r="W219" s="31">
        <v>2</v>
      </c>
      <c r="X219" s="32">
        <v>62</v>
      </c>
      <c r="Y219" s="33">
        <v>44327</v>
      </c>
      <c r="Z219" s="36">
        <v>44355</v>
      </c>
      <c r="AA219" s="31">
        <v>58620</v>
      </c>
      <c r="AB219" s="31">
        <v>105</v>
      </c>
      <c r="AC219" s="494">
        <v>44452</v>
      </c>
      <c r="AD219" s="494">
        <v>44466</v>
      </c>
      <c r="AE219" s="31"/>
      <c r="AF219" s="214"/>
      <c r="AG219" s="228"/>
      <c r="AH219" s="494"/>
      <c r="AI219" s="494"/>
      <c r="AJ219" s="494"/>
      <c r="AK219" s="494"/>
      <c r="AL219" s="494"/>
      <c r="AM219" s="228"/>
      <c r="AN219" s="31"/>
      <c r="AO219" s="494"/>
      <c r="AP219" s="494"/>
      <c r="AQ219" s="494"/>
      <c r="AR219" s="494"/>
      <c r="AS219" s="494"/>
      <c r="AT219" s="494"/>
      <c r="AU219" s="494"/>
      <c r="AV219" s="494"/>
      <c r="AW219" s="494"/>
      <c r="AX219" s="494"/>
      <c r="AY219" s="494"/>
      <c r="AZ219" s="494"/>
      <c r="BA219" s="494"/>
      <c r="BB219" s="494"/>
      <c r="BC219" s="494"/>
      <c r="BD219" s="494"/>
      <c r="BE219" s="494"/>
      <c r="BF219" s="494"/>
      <c r="BG219" s="37">
        <f t="shared" si="11"/>
        <v>58622</v>
      </c>
      <c r="BH219" s="525">
        <f t="shared" si="9"/>
        <v>58622</v>
      </c>
    </row>
    <row r="220" spans="2:60" s="39" customFormat="1" ht="13.5" customHeight="1">
      <c r="B220" s="22">
        <v>220</v>
      </c>
      <c r="C220" s="261" t="s">
        <v>39</v>
      </c>
      <c r="D220" s="23" t="s">
        <v>2348</v>
      </c>
      <c r="E220" s="510" t="s">
        <v>2349</v>
      </c>
      <c r="F220" s="26" t="s">
        <v>146</v>
      </c>
      <c r="G220" s="26" t="s">
        <v>1895</v>
      </c>
      <c r="H220" s="73" t="s">
        <v>1911</v>
      </c>
      <c r="I220" s="49" t="s">
        <v>52</v>
      </c>
      <c r="J220" s="34">
        <v>1827557</v>
      </c>
      <c r="K220" s="34">
        <v>0</v>
      </c>
      <c r="L220" s="34">
        <v>1824236</v>
      </c>
      <c r="M220" s="34"/>
      <c r="N220" s="34"/>
      <c r="O220" s="34"/>
      <c r="P220" s="492"/>
      <c r="Q220" s="493"/>
      <c r="R220" s="493"/>
      <c r="S220" s="493"/>
      <c r="T220" s="493"/>
      <c r="U220" s="493"/>
      <c r="V220" s="34">
        <f t="shared" si="10"/>
        <v>0</v>
      </c>
      <c r="W220" s="31">
        <v>3</v>
      </c>
      <c r="X220" s="32">
        <v>62</v>
      </c>
      <c r="Y220" s="33">
        <v>44327</v>
      </c>
      <c r="Z220" s="36">
        <v>44355</v>
      </c>
      <c r="AA220" s="494"/>
      <c r="AB220" s="494"/>
      <c r="AC220" s="494"/>
      <c r="AD220" s="494"/>
      <c r="AE220" s="31"/>
      <c r="AF220" s="214"/>
      <c r="AG220" s="228"/>
      <c r="AH220" s="494"/>
      <c r="AI220" s="494"/>
      <c r="AJ220" s="494"/>
      <c r="AK220" s="494"/>
      <c r="AL220" s="494"/>
      <c r="AM220" s="228"/>
      <c r="AN220" s="31"/>
      <c r="AO220" s="494"/>
      <c r="AP220" s="494"/>
      <c r="AQ220" s="494"/>
      <c r="AR220" s="494"/>
      <c r="AS220" s="494"/>
      <c r="AT220" s="494"/>
      <c r="AU220" s="494"/>
      <c r="AV220" s="494"/>
      <c r="AW220" s="494"/>
      <c r="AX220" s="494"/>
      <c r="AY220" s="494"/>
      <c r="AZ220" s="494"/>
      <c r="BA220" s="494"/>
      <c r="BB220" s="494"/>
      <c r="BC220" s="494"/>
      <c r="BD220" s="494"/>
      <c r="BE220" s="494"/>
      <c r="BF220" s="494"/>
      <c r="BG220" s="37">
        <f t="shared" si="11"/>
        <v>3</v>
      </c>
      <c r="BH220" s="525">
        <f t="shared" si="9"/>
        <v>3</v>
      </c>
    </row>
    <row r="221" spans="2:60" s="39" customFormat="1" ht="13.5" customHeight="1">
      <c r="B221" s="22">
        <v>221</v>
      </c>
      <c r="C221" s="261" t="s">
        <v>39</v>
      </c>
      <c r="D221" s="23" t="s">
        <v>2350</v>
      </c>
      <c r="E221" s="510" t="s">
        <v>2351</v>
      </c>
      <c r="F221" s="26" t="s">
        <v>158</v>
      </c>
      <c r="G221" s="26" t="s">
        <v>1895</v>
      </c>
      <c r="H221" s="73" t="s">
        <v>1932</v>
      </c>
      <c r="I221" s="49" t="s">
        <v>52</v>
      </c>
      <c r="J221" s="34">
        <v>89162</v>
      </c>
      <c r="K221" s="34">
        <v>0</v>
      </c>
      <c r="L221" s="34">
        <v>81800</v>
      </c>
      <c r="M221" s="34"/>
      <c r="N221" s="34"/>
      <c r="O221" s="34"/>
      <c r="P221" s="492"/>
      <c r="Q221" s="493"/>
      <c r="R221" s="493"/>
      <c r="S221" s="493"/>
      <c r="T221" s="493"/>
      <c r="U221" s="493"/>
      <c r="V221" s="34">
        <f t="shared" si="10"/>
        <v>0</v>
      </c>
      <c r="W221" s="31">
        <v>1</v>
      </c>
      <c r="X221" s="32">
        <v>65</v>
      </c>
      <c r="Y221" s="33">
        <v>44340</v>
      </c>
      <c r="Z221" s="36">
        <v>44356</v>
      </c>
      <c r="AA221" s="494"/>
      <c r="AB221" s="494"/>
      <c r="AC221" s="494"/>
      <c r="AD221" s="494"/>
      <c r="AE221" s="31"/>
      <c r="AF221" s="214"/>
      <c r="AG221" s="228"/>
      <c r="AH221" s="494"/>
      <c r="AI221" s="494"/>
      <c r="AJ221" s="494"/>
      <c r="AK221" s="494"/>
      <c r="AL221" s="494"/>
      <c r="AM221" s="228"/>
      <c r="AN221" s="31"/>
      <c r="AO221" s="494"/>
      <c r="AP221" s="494"/>
      <c r="AQ221" s="494"/>
      <c r="AR221" s="494"/>
      <c r="AS221" s="494"/>
      <c r="AT221" s="494"/>
      <c r="AU221" s="494"/>
      <c r="AV221" s="494"/>
      <c r="AW221" s="494"/>
      <c r="AX221" s="494"/>
      <c r="AY221" s="494"/>
      <c r="AZ221" s="494"/>
      <c r="BA221" s="494"/>
      <c r="BB221" s="494"/>
      <c r="BC221" s="494"/>
      <c r="BD221" s="494"/>
      <c r="BE221" s="494"/>
      <c r="BF221" s="494"/>
      <c r="BG221" s="37">
        <f t="shared" si="11"/>
        <v>1</v>
      </c>
      <c r="BH221" s="525">
        <f t="shared" si="9"/>
        <v>1</v>
      </c>
    </row>
    <row r="222" spans="2:60" s="39" customFormat="1" ht="13.5" customHeight="1">
      <c r="B222" s="22">
        <v>222</v>
      </c>
      <c r="C222" s="261" t="s">
        <v>39</v>
      </c>
      <c r="D222" s="517" t="s">
        <v>2352</v>
      </c>
      <c r="E222" s="510" t="s">
        <v>2353</v>
      </c>
      <c r="F222" s="26" t="s">
        <v>146</v>
      </c>
      <c r="G222" s="26" t="s">
        <v>1895</v>
      </c>
      <c r="H222" s="73" t="s">
        <v>2087</v>
      </c>
      <c r="I222" s="49" t="s">
        <v>52</v>
      </c>
      <c r="J222" s="34">
        <v>697959</v>
      </c>
      <c r="K222" s="34">
        <v>0</v>
      </c>
      <c r="L222" s="34">
        <v>100265</v>
      </c>
      <c r="M222" s="34"/>
      <c r="N222" s="34"/>
      <c r="O222" s="34"/>
      <c r="P222" s="492"/>
      <c r="Q222" s="493"/>
      <c r="R222" s="493"/>
      <c r="S222" s="493"/>
      <c r="T222" s="493"/>
      <c r="U222" s="493">
        <v>5500.5</v>
      </c>
      <c r="V222" s="34">
        <f>SUM(M222:U222)</f>
        <v>5500.5</v>
      </c>
      <c r="W222" s="31">
        <v>3</v>
      </c>
      <c r="X222" s="32">
        <v>73</v>
      </c>
      <c r="Y222" s="33">
        <v>44365</v>
      </c>
      <c r="Z222" s="36">
        <v>44390</v>
      </c>
      <c r="AA222" s="31">
        <v>5499</v>
      </c>
      <c r="AB222" s="31">
        <v>89</v>
      </c>
      <c r="AC222" s="494">
        <v>44413</v>
      </c>
      <c r="AD222" s="494">
        <v>44438</v>
      </c>
      <c r="AE222" s="31"/>
      <c r="AF222" s="214"/>
      <c r="AG222" s="228"/>
      <c r="AH222" s="494"/>
      <c r="AI222" s="494"/>
      <c r="AJ222" s="494"/>
      <c r="AK222" s="494"/>
      <c r="AL222" s="494"/>
      <c r="AM222" s="228"/>
      <c r="AN222" s="31"/>
      <c r="AO222" s="494"/>
      <c r="AP222" s="494"/>
      <c r="AQ222" s="494"/>
      <c r="AR222" s="494"/>
      <c r="AS222" s="494"/>
      <c r="AT222" s="494"/>
      <c r="AU222" s="494"/>
      <c r="AV222" s="494"/>
      <c r="AW222" s="494"/>
      <c r="AX222" s="494"/>
      <c r="AY222" s="494"/>
      <c r="AZ222" s="494"/>
      <c r="BA222" s="494"/>
      <c r="BB222" s="494"/>
      <c r="BC222" s="494"/>
      <c r="BD222" s="494"/>
      <c r="BE222" s="494"/>
      <c r="BF222" s="494"/>
      <c r="BG222" s="37">
        <f t="shared" si="11"/>
        <v>5502</v>
      </c>
      <c r="BH222" s="525">
        <f t="shared" si="9"/>
        <v>1.5</v>
      </c>
    </row>
    <row r="223" spans="2:60" s="39" customFormat="1" ht="13.5" customHeight="1">
      <c r="B223" s="22">
        <v>223</v>
      </c>
      <c r="C223" s="261" t="s">
        <v>39</v>
      </c>
      <c r="D223" s="517" t="s">
        <v>2354</v>
      </c>
      <c r="E223" s="510" t="s">
        <v>2355</v>
      </c>
      <c r="F223" s="26" t="s">
        <v>146</v>
      </c>
      <c r="G223" s="26" t="s">
        <v>1895</v>
      </c>
      <c r="H223" s="73" t="s">
        <v>2356</v>
      </c>
      <c r="I223" s="49" t="s">
        <v>52</v>
      </c>
      <c r="J223" s="34">
        <v>791188</v>
      </c>
      <c r="K223" s="34">
        <v>0</v>
      </c>
      <c r="L223" s="34">
        <v>470406</v>
      </c>
      <c r="M223" s="34"/>
      <c r="N223" s="34"/>
      <c r="O223" s="34"/>
      <c r="P223" s="492"/>
      <c r="Q223" s="493"/>
      <c r="R223" s="493"/>
      <c r="S223" s="493"/>
      <c r="T223" s="493"/>
      <c r="U223" s="493"/>
      <c r="V223" s="34">
        <f t="shared" si="10"/>
        <v>0</v>
      </c>
      <c r="W223" s="31">
        <v>4</v>
      </c>
      <c r="X223" s="32">
        <v>73</v>
      </c>
      <c r="Y223" s="33">
        <v>44365</v>
      </c>
      <c r="Z223" s="36">
        <v>44390</v>
      </c>
      <c r="AA223" s="494"/>
      <c r="AB223" s="494"/>
      <c r="AC223" s="494"/>
      <c r="AD223" s="494"/>
      <c r="AE223" s="31"/>
      <c r="AF223" s="214"/>
      <c r="AG223" s="228"/>
      <c r="AH223" s="494"/>
      <c r="AI223" s="494"/>
      <c r="AJ223" s="494"/>
      <c r="AK223" s="494"/>
      <c r="AL223" s="494"/>
      <c r="AM223" s="228"/>
      <c r="AN223" s="31"/>
      <c r="AO223" s="494"/>
      <c r="AP223" s="494"/>
      <c r="AQ223" s="494"/>
      <c r="AR223" s="494"/>
      <c r="AS223" s="494"/>
      <c r="AT223" s="494"/>
      <c r="AU223" s="494"/>
      <c r="AV223" s="494"/>
      <c r="AW223" s="494"/>
      <c r="AX223" s="494"/>
      <c r="AY223" s="494"/>
      <c r="AZ223" s="494"/>
      <c r="BA223" s="494"/>
      <c r="BB223" s="494"/>
      <c r="BC223" s="494"/>
      <c r="BD223" s="494"/>
      <c r="BE223" s="494"/>
      <c r="BF223" s="494"/>
      <c r="BG223" s="37">
        <f t="shared" si="11"/>
        <v>4</v>
      </c>
      <c r="BH223" s="525">
        <f t="shared" si="9"/>
        <v>4</v>
      </c>
    </row>
    <row r="224" spans="2:60" s="39" customFormat="1" ht="13.5" customHeight="1">
      <c r="B224" s="22">
        <v>224</v>
      </c>
      <c r="C224" s="261" t="s">
        <v>39</v>
      </c>
      <c r="D224" s="517" t="s">
        <v>2357</v>
      </c>
      <c r="E224" s="510" t="s">
        <v>2358</v>
      </c>
      <c r="F224" s="26" t="s">
        <v>158</v>
      </c>
      <c r="G224" s="26" t="s">
        <v>1895</v>
      </c>
      <c r="H224" s="73" t="s">
        <v>1916</v>
      </c>
      <c r="I224" s="49" t="s">
        <v>52</v>
      </c>
      <c r="J224" s="34">
        <v>194318</v>
      </c>
      <c r="K224" s="34">
        <v>0</v>
      </c>
      <c r="L224" s="34">
        <v>128793</v>
      </c>
      <c r="M224" s="34"/>
      <c r="N224" s="34"/>
      <c r="O224" s="34"/>
      <c r="P224" s="492"/>
      <c r="Q224" s="493"/>
      <c r="R224" s="493"/>
      <c r="S224" s="493"/>
      <c r="T224" s="493"/>
      <c r="U224" s="493"/>
      <c r="V224" s="34">
        <f t="shared" si="10"/>
        <v>0</v>
      </c>
      <c r="W224" s="31">
        <v>3</v>
      </c>
      <c r="X224" s="32">
        <v>73</v>
      </c>
      <c r="Y224" s="33">
        <v>44365</v>
      </c>
      <c r="Z224" s="36">
        <v>44390</v>
      </c>
      <c r="AA224" s="494"/>
      <c r="AB224" s="494"/>
      <c r="AC224" s="494"/>
      <c r="AD224" s="494"/>
      <c r="AE224" s="31"/>
      <c r="AF224" s="214"/>
      <c r="AG224" s="228"/>
      <c r="AH224" s="494"/>
      <c r="AI224" s="494"/>
      <c r="AJ224" s="494"/>
      <c r="AK224" s="494"/>
      <c r="AL224" s="494"/>
      <c r="AM224" s="228"/>
      <c r="AN224" s="31"/>
      <c r="AO224" s="494"/>
      <c r="AP224" s="494"/>
      <c r="AQ224" s="494"/>
      <c r="AR224" s="494"/>
      <c r="AS224" s="494"/>
      <c r="AT224" s="494"/>
      <c r="AU224" s="494"/>
      <c r="AV224" s="494"/>
      <c r="AW224" s="494"/>
      <c r="AX224" s="494"/>
      <c r="AY224" s="494"/>
      <c r="AZ224" s="494"/>
      <c r="BA224" s="494"/>
      <c r="BB224" s="494"/>
      <c r="BC224" s="494"/>
      <c r="BD224" s="494"/>
      <c r="BE224" s="494"/>
      <c r="BF224" s="494"/>
      <c r="BG224" s="37">
        <f t="shared" si="11"/>
        <v>3</v>
      </c>
      <c r="BH224" s="525">
        <f t="shared" si="9"/>
        <v>3</v>
      </c>
    </row>
    <row r="225" spans="1:103" s="39" customFormat="1" ht="13.5" customHeight="1">
      <c r="B225" s="22">
        <v>225</v>
      </c>
      <c r="C225" s="261" t="s">
        <v>39</v>
      </c>
      <c r="D225" s="517" t="s">
        <v>2359</v>
      </c>
      <c r="E225" s="510" t="s">
        <v>2360</v>
      </c>
      <c r="F225" s="26" t="s">
        <v>158</v>
      </c>
      <c r="G225" s="26" t="s">
        <v>1895</v>
      </c>
      <c r="H225" s="73" t="s">
        <v>1941</v>
      </c>
      <c r="I225" s="49" t="s">
        <v>52</v>
      </c>
      <c r="J225" s="34">
        <v>262261</v>
      </c>
      <c r="K225" s="34">
        <v>0</v>
      </c>
      <c r="L225" s="34">
        <v>209816</v>
      </c>
      <c r="M225" s="34"/>
      <c r="N225" s="34"/>
      <c r="O225" s="34"/>
      <c r="P225" s="492"/>
      <c r="Q225" s="493"/>
      <c r="R225" s="493"/>
      <c r="S225" s="493"/>
      <c r="T225" s="493"/>
      <c r="U225" s="493"/>
      <c r="V225" s="34">
        <f t="shared" si="10"/>
        <v>0</v>
      </c>
      <c r="W225" s="31">
        <v>2</v>
      </c>
      <c r="X225" s="32">
        <v>73</v>
      </c>
      <c r="Y225" s="33">
        <v>44365</v>
      </c>
      <c r="Z225" s="36">
        <v>44390</v>
      </c>
      <c r="AA225" s="494"/>
      <c r="AB225" s="494"/>
      <c r="AC225" s="494"/>
      <c r="AD225" s="494"/>
      <c r="AE225" s="31"/>
      <c r="AF225" s="214"/>
      <c r="AG225" s="228"/>
      <c r="AH225" s="494"/>
      <c r="AI225" s="494"/>
      <c r="AJ225" s="494"/>
      <c r="AK225" s="494"/>
      <c r="AL225" s="494"/>
      <c r="AM225" s="228"/>
      <c r="AN225" s="31"/>
      <c r="AO225" s="494"/>
      <c r="AP225" s="494"/>
      <c r="AQ225" s="494"/>
      <c r="AR225" s="494"/>
      <c r="AS225" s="494"/>
      <c r="AT225" s="494"/>
      <c r="AU225" s="494"/>
      <c r="AV225" s="494"/>
      <c r="AW225" s="494"/>
      <c r="AX225" s="494"/>
      <c r="AY225" s="494"/>
      <c r="AZ225" s="494"/>
      <c r="BA225" s="494"/>
      <c r="BB225" s="494"/>
      <c r="BC225" s="494"/>
      <c r="BD225" s="494"/>
      <c r="BE225" s="494"/>
      <c r="BF225" s="494"/>
      <c r="BG225" s="37">
        <f t="shared" si="11"/>
        <v>2</v>
      </c>
      <c r="BH225" s="525">
        <f t="shared" si="9"/>
        <v>2</v>
      </c>
    </row>
    <row r="226" spans="1:103" s="39" customFormat="1" ht="13.5" customHeight="1">
      <c r="B226" s="22">
        <v>226</v>
      </c>
      <c r="C226" s="261" t="s">
        <v>65</v>
      </c>
      <c r="D226" s="23" t="s">
        <v>2361</v>
      </c>
      <c r="E226" s="510" t="s">
        <v>2362</v>
      </c>
      <c r="F226" s="26" t="s">
        <v>146</v>
      </c>
      <c r="G226" s="26" t="s">
        <v>1895</v>
      </c>
      <c r="H226" s="73" t="s">
        <v>1966</v>
      </c>
      <c r="I226" s="49" t="s">
        <v>52</v>
      </c>
      <c r="J226" s="34">
        <v>244155</v>
      </c>
      <c r="K226" s="34">
        <v>0</v>
      </c>
      <c r="L226" s="34">
        <v>243462</v>
      </c>
      <c r="M226" s="34"/>
      <c r="N226" s="34"/>
      <c r="O226" s="34"/>
      <c r="P226" s="492"/>
      <c r="Q226" s="493"/>
      <c r="R226" s="493"/>
      <c r="S226" s="493"/>
      <c r="T226" s="493"/>
      <c r="U226" s="493"/>
      <c r="V226" s="34">
        <f t="shared" si="10"/>
        <v>0</v>
      </c>
      <c r="W226" s="31">
        <v>2</v>
      </c>
      <c r="X226" s="32">
        <v>78</v>
      </c>
      <c r="Y226" s="33">
        <v>44382</v>
      </c>
      <c r="Z226" s="36">
        <v>44404</v>
      </c>
      <c r="AA226" s="494"/>
      <c r="AB226" s="494"/>
      <c r="AC226" s="494"/>
      <c r="AD226" s="494"/>
      <c r="AE226" s="31"/>
      <c r="AF226" s="214"/>
      <c r="AG226" s="228"/>
      <c r="AH226" s="494"/>
      <c r="AI226" s="494"/>
      <c r="AJ226" s="494"/>
      <c r="AK226" s="494"/>
      <c r="AL226" s="494"/>
      <c r="AM226" s="228"/>
      <c r="AN226" s="31"/>
      <c r="AO226" s="494"/>
      <c r="AP226" s="494"/>
      <c r="AQ226" s="494"/>
      <c r="AR226" s="494"/>
      <c r="AS226" s="494"/>
      <c r="AT226" s="494"/>
      <c r="AU226" s="494"/>
      <c r="AV226" s="494"/>
      <c r="AW226" s="494"/>
      <c r="AX226" s="494"/>
      <c r="AY226" s="494"/>
      <c r="AZ226" s="494"/>
      <c r="BA226" s="494"/>
      <c r="BB226" s="494"/>
      <c r="BC226" s="494"/>
      <c r="BD226" s="494"/>
      <c r="BE226" s="494"/>
      <c r="BF226" s="494"/>
      <c r="BG226" s="37">
        <f t="shared" si="11"/>
        <v>2</v>
      </c>
      <c r="BH226" s="525">
        <f t="shared" si="9"/>
        <v>2</v>
      </c>
    </row>
    <row r="227" spans="1:103" s="39" customFormat="1" ht="13.5" customHeight="1">
      <c r="B227" s="22">
        <v>227</v>
      </c>
      <c r="C227" s="261" t="s">
        <v>39</v>
      </c>
      <c r="D227" s="23" t="s">
        <v>2363</v>
      </c>
      <c r="E227" s="510" t="s">
        <v>2364</v>
      </c>
      <c r="F227" s="26" t="s">
        <v>146</v>
      </c>
      <c r="G227" s="26" t="s">
        <v>1895</v>
      </c>
      <c r="H227" s="73" t="s">
        <v>2356</v>
      </c>
      <c r="I227" s="49" t="s">
        <v>44</v>
      </c>
      <c r="J227" s="34">
        <v>3472100</v>
      </c>
      <c r="K227" s="34">
        <v>2879600</v>
      </c>
      <c r="L227" s="34">
        <v>343884</v>
      </c>
      <c r="M227" s="34"/>
      <c r="N227" s="34"/>
      <c r="O227" s="34"/>
      <c r="P227" s="492"/>
      <c r="Q227" s="493"/>
      <c r="R227" s="493"/>
      <c r="S227" s="493"/>
      <c r="T227" s="493"/>
      <c r="U227" s="493"/>
      <c r="V227" s="34">
        <f t="shared" si="10"/>
        <v>0</v>
      </c>
      <c r="W227" s="31">
        <v>2</v>
      </c>
      <c r="X227" s="32">
        <v>78</v>
      </c>
      <c r="Y227" s="33">
        <v>44382</v>
      </c>
      <c r="Z227" s="36">
        <v>44404</v>
      </c>
      <c r="AA227" s="494"/>
      <c r="AB227" s="494"/>
      <c r="AC227" s="494"/>
      <c r="AD227" s="494"/>
      <c r="AE227" s="31"/>
      <c r="AF227" s="214"/>
      <c r="AG227" s="228"/>
      <c r="AH227" s="494"/>
      <c r="AI227" s="494"/>
      <c r="AJ227" s="494"/>
      <c r="AK227" s="494"/>
      <c r="AL227" s="494"/>
      <c r="AM227" s="228"/>
      <c r="AN227" s="31"/>
      <c r="AO227" s="494"/>
      <c r="AP227" s="494"/>
      <c r="AQ227" s="494"/>
      <c r="AR227" s="494"/>
      <c r="AS227" s="494"/>
      <c r="AT227" s="494"/>
      <c r="AU227" s="494"/>
      <c r="AV227" s="494"/>
      <c r="AW227" s="494"/>
      <c r="AX227" s="494"/>
      <c r="AY227" s="494"/>
      <c r="AZ227" s="494"/>
      <c r="BA227" s="494"/>
      <c r="BB227" s="494"/>
      <c r="BC227" s="494"/>
      <c r="BD227" s="494"/>
      <c r="BE227" s="494"/>
      <c r="BF227" s="494"/>
      <c r="BG227" s="37">
        <f t="shared" si="11"/>
        <v>2</v>
      </c>
      <c r="BH227" s="525">
        <f t="shared" si="9"/>
        <v>2</v>
      </c>
    </row>
    <row r="228" spans="1:103" s="39" customFormat="1" ht="13.5" customHeight="1">
      <c r="B228" s="22">
        <v>228</v>
      </c>
      <c r="C228" s="261" t="s">
        <v>39</v>
      </c>
      <c r="D228" s="23" t="s">
        <v>2365</v>
      </c>
      <c r="E228" s="510" t="s">
        <v>2366</v>
      </c>
      <c r="F228" s="26" t="s">
        <v>146</v>
      </c>
      <c r="G228" s="26" t="s">
        <v>1895</v>
      </c>
      <c r="H228" s="73" t="s">
        <v>1960</v>
      </c>
      <c r="I228" s="49" t="s">
        <v>52</v>
      </c>
      <c r="J228" s="34">
        <v>885435</v>
      </c>
      <c r="K228" s="34">
        <v>0</v>
      </c>
      <c r="L228" s="34">
        <v>177087</v>
      </c>
      <c r="M228" s="34"/>
      <c r="N228" s="34"/>
      <c r="O228" s="34"/>
      <c r="P228" s="492"/>
      <c r="Q228" s="493"/>
      <c r="R228" s="493"/>
      <c r="S228" s="493"/>
      <c r="T228" s="493"/>
      <c r="U228" s="493"/>
      <c r="V228" s="34">
        <f t="shared" si="10"/>
        <v>0</v>
      </c>
      <c r="W228" s="31">
        <v>2</v>
      </c>
      <c r="X228" s="32">
        <v>87</v>
      </c>
      <c r="Y228" s="33">
        <v>44410</v>
      </c>
      <c r="Z228" s="36">
        <v>44414</v>
      </c>
      <c r="AA228" s="494"/>
      <c r="AB228" s="494"/>
      <c r="AC228" s="494"/>
      <c r="AD228" s="494"/>
      <c r="AE228" s="31"/>
      <c r="AF228" s="214"/>
      <c r="AG228" s="228"/>
      <c r="AH228" s="494"/>
      <c r="AI228" s="494"/>
      <c r="AJ228" s="494"/>
      <c r="AK228" s="494"/>
      <c r="AL228" s="494"/>
      <c r="AM228" s="228"/>
      <c r="AN228" s="31"/>
      <c r="AO228" s="494"/>
      <c r="AP228" s="494"/>
      <c r="AQ228" s="494"/>
      <c r="AR228" s="494"/>
      <c r="AS228" s="494"/>
      <c r="AT228" s="494"/>
      <c r="AU228" s="494"/>
      <c r="AV228" s="494"/>
      <c r="AW228" s="494"/>
      <c r="AX228" s="494"/>
      <c r="AY228" s="494"/>
      <c r="AZ228" s="494"/>
      <c r="BA228" s="494"/>
      <c r="BB228" s="494"/>
      <c r="BC228" s="494"/>
      <c r="BD228" s="494"/>
      <c r="BE228" s="494"/>
      <c r="BF228" s="494"/>
      <c r="BG228" s="37">
        <f t="shared" si="11"/>
        <v>2</v>
      </c>
      <c r="BH228" s="525">
        <f t="shared" si="9"/>
        <v>2</v>
      </c>
    </row>
    <row r="229" spans="1:103" s="39" customFormat="1" ht="13.5" customHeight="1">
      <c r="B229" s="22">
        <v>229</v>
      </c>
      <c r="C229" s="261" t="s">
        <v>39</v>
      </c>
      <c r="D229" s="23" t="s">
        <v>2367</v>
      </c>
      <c r="E229" s="510" t="s">
        <v>2368</v>
      </c>
      <c r="F229" s="26" t="s">
        <v>158</v>
      </c>
      <c r="G229" s="26" t="s">
        <v>1895</v>
      </c>
      <c r="H229" s="73" t="s">
        <v>1979</v>
      </c>
      <c r="I229" s="49" t="s">
        <v>44</v>
      </c>
      <c r="J229" s="34">
        <v>36723</v>
      </c>
      <c r="K229" s="34">
        <v>0</v>
      </c>
      <c r="L229" s="34">
        <v>12000</v>
      </c>
      <c r="M229" s="34"/>
      <c r="N229" s="34"/>
      <c r="O229" s="34"/>
      <c r="P229" s="492"/>
      <c r="Q229" s="493"/>
      <c r="R229" s="493"/>
      <c r="S229" s="493"/>
      <c r="T229" s="493"/>
      <c r="U229" s="493"/>
      <c r="V229" s="34">
        <f t="shared" si="10"/>
        <v>0</v>
      </c>
      <c r="W229" s="31">
        <v>12000</v>
      </c>
      <c r="X229" s="32">
        <v>89</v>
      </c>
      <c r="Y229" s="33">
        <v>44413</v>
      </c>
      <c r="Z229" s="36">
        <v>44438</v>
      </c>
      <c r="AA229" s="494"/>
      <c r="AB229" s="494"/>
      <c r="AC229" s="494"/>
      <c r="AD229" s="494"/>
      <c r="AE229" s="31"/>
      <c r="AF229" s="214"/>
      <c r="AG229" s="228"/>
      <c r="AH229" s="494"/>
      <c r="AI229" s="494"/>
      <c r="AJ229" s="494"/>
      <c r="AK229" s="494"/>
      <c r="AL229" s="494"/>
      <c r="AM229" s="228"/>
      <c r="AN229" s="31"/>
      <c r="AO229" s="494"/>
      <c r="AP229" s="494"/>
      <c r="AQ229" s="494"/>
      <c r="AR229" s="494"/>
      <c r="AS229" s="494"/>
      <c r="AT229" s="494"/>
      <c r="AU229" s="494"/>
      <c r="AV229" s="494"/>
      <c r="AW229" s="494"/>
      <c r="AX229" s="494"/>
      <c r="AY229" s="494"/>
      <c r="AZ229" s="494"/>
      <c r="BA229" s="494"/>
      <c r="BB229" s="494"/>
      <c r="BC229" s="494"/>
      <c r="BD229" s="494"/>
      <c r="BE229" s="494"/>
      <c r="BF229" s="494"/>
      <c r="BG229" s="37">
        <f t="shared" si="11"/>
        <v>12000</v>
      </c>
      <c r="BH229" s="525">
        <f t="shared" si="9"/>
        <v>12000</v>
      </c>
    </row>
    <row r="230" spans="1:103" s="39" customFormat="1" ht="13.5" customHeight="1">
      <c r="B230" s="22">
        <v>230</v>
      </c>
      <c r="C230" s="261" t="s">
        <v>39</v>
      </c>
      <c r="D230" s="23" t="s">
        <v>2369</v>
      </c>
      <c r="E230" s="510" t="s">
        <v>2370</v>
      </c>
      <c r="F230" s="26" t="s">
        <v>158</v>
      </c>
      <c r="G230" s="26" t="s">
        <v>1895</v>
      </c>
      <c r="H230" s="73" t="s">
        <v>1979</v>
      </c>
      <c r="I230" s="49" t="s">
        <v>44</v>
      </c>
      <c r="J230" s="34">
        <v>36723</v>
      </c>
      <c r="K230" s="34">
        <v>0</v>
      </c>
      <c r="L230" s="34">
        <v>24723</v>
      </c>
      <c r="M230" s="34"/>
      <c r="N230" s="34"/>
      <c r="O230" s="34"/>
      <c r="P230" s="492"/>
      <c r="Q230" s="493"/>
      <c r="R230" s="493"/>
      <c r="S230" s="493"/>
      <c r="T230" s="493"/>
      <c r="U230" s="493"/>
      <c r="V230" s="34">
        <f t="shared" si="10"/>
        <v>0</v>
      </c>
      <c r="W230" s="31">
        <v>12000</v>
      </c>
      <c r="X230" s="32">
        <v>89</v>
      </c>
      <c r="Y230" s="33">
        <v>44413</v>
      </c>
      <c r="Z230" s="36">
        <v>44438</v>
      </c>
      <c r="AA230" s="494"/>
      <c r="AB230" s="494"/>
      <c r="AC230" s="494"/>
      <c r="AD230" s="494"/>
      <c r="AE230" s="31"/>
      <c r="AF230" s="214"/>
      <c r="AG230" s="228"/>
      <c r="AH230" s="494"/>
      <c r="AI230" s="494"/>
      <c r="AJ230" s="494"/>
      <c r="AK230" s="494"/>
      <c r="AL230" s="494"/>
      <c r="AM230" s="228"/>
      <c r="AN230" s="31"/>
      <c r="AO230" s="494"/>
      <c r="AP230" s="494"/>
      <c r="AQ230" s="494"/>
      <c r="AR230" s="494"/>
      <c r="AS230" s="494"/>
      <c r="AT230" s="494"/>
      <c r="AU230" s="494"/>
      <c r="AV230" s="494"/>
      <c r="AW230" s="494"/>
      <c r="AX230" s="494"/>
      <c r="AY230" s="494"/>
      <c r="AZ230" s="494"/>
      <c r="BA230" s="494"/>
      <c r="BB230" s="494"/>
      <c r="BC230" s="494"/>
      <c r="BD230" s="494"/>
      <c r="BE230" s="494"/>
      <c r="BF230" s="494"/>
      <c r="BG230" s="37">
        <f t="shared" si="11"/>
        <v>12000</v>
      </c>
      <c r="BH230" s="525">
        <f t="shared" si="9"/>
        <v>12000</v>
      </c>
    </row>
    <row r="231" spans="1:103" s="39" customFormat="1" ht="13.5" customHeight="1">
      <c r="B231" s="22">
        <v>231</v>
      </c>
      <c r="C231" s="261" t="s">
        <v>39</v>
      </c>
      <c r="D231" s="23" t="s">
        <v>2371</v>
      </c>
      <c r="E231" s="510" t="s">
        <v>2372</v>
      </c>
      <c r="F231" s="26" t="s">
        <v>146</v>
      </c>
      <c r="G231" s="26" t="s">
        <v>1895</v>
      </c>
      <c r="H231" s="73" t="s">
        <v>1941</v>
      </c>
      <c r="I231" s="49" t="s">
        <v>52</v>
      </c>
      <c r="J231" s="34">
        <v>2405500</v>
      </c>
      <c r="K231" s="34">
        <v>0</v>
      </c>
      <c r="L231" s="34">
        <v>2003000</v>
      </c>
      <c r="M231" s="34"/>
      <c r="N231" s="34"/>
      <c r="O231" s="34"/>
      <c r="P231" s="492"/>
      <c r="Q231" s="493"/>
      <c r="R231" s="493"/>
      <c r="S231" s="493"/>
      <c r="T231" s="493"/>
      <c r="U231" s="493"/>
      <c r="V231" s="34">
        <f t="shared" si="10"/>
        <v>0</v>
      </c>
      <c r="W231" s="31">
        <v>2</v>
      </c>
      <c r="X231" s="32">
        <v>90</v>
      </c>
      <c r="Y231" s="33">
        <v>44413</v>
      </c>
      <c r="Z231" s="36">
        <v>44428</v>
      </c>
      <c r="AA231" s="494"/>
      <c r="AB231" s="494"/>
      <c r="AC231" s="494"/>
      <c r="AD231" s="494"/>
      <c r="AE231" s="31"/>
      <c r="AF231" s="214"/>
      <c r="AG231" s="228"/>
      <c r="AH231" s="494"/>
      <c r="AI231" s="494"/>
      <c r="AJ231" s="494"/>
      <c r="AK231" s="494"/>
      <c r="AL231" s="494"/>
      <c r="AM231" s="228"/>
      <c r="AN231" s="31"/>
      <c r="AO231" s="494"/>
      <c r="AP231" s="494"/>
      <c r="AQ231" s="494"/>
      <c r="AR231" s="494"/>
      <c r="AS231" s="494"/>
      <c r="AT231" s="494"/>
      <c r="AU231" s="494"/>
      <c r="AV231" s="494"/>
      <c r="AW231" s="494"/>
      <c r="AX231" s="494"/>
      <c r="AY231" s="494"/>
      <c r="AZ231" s="494"/>
      <c r="BA231" s="494"/>
      <c r="BB231" s="494"/>
      <c r="BC231" s="494"/>
      <c r="BD231" s="494"/>
      <c r="BE231" s="494"/>
      <c r="BF231" s="494"/>
      <c r="BG231" s="37">
        <f t="shared" si="11"/>
        <v>2</v>
      </c>
      <c r="BH231" s="525">
        <f t="shared" si="9"/>
        <v>2</v>
      </c>
    </row>
    <row r="232" spans="1:103" s="39" customFormat="1" ht="13.5" customHeight="1">
      <c r="B232" s="22">
        <v>232</v>
      </c>
      <c r="C232" s="261" t="s">
        <v>39</v>
      </c>
      <c r="D232" s="23" t="s">
        <v>2373</v>
      </c>
      <c r="E232" s="510" t="s">
        <v>2374</v>
      </c>
      <c r="F232" s="26" t="s">
        <v>146</v>
      </c>
      <c r="G232" s="26" t="s">
        <v>1895</v>
      </c>
      <c r="H232" s="73" t="s">
        <v>2128</v>
      </c>
      <c r="I232" s="49" t="s">
        <v>52</v>
      </c>
      <c r="J232" s="34">
        <v>715825</v>
      </c>
      <c r="K232" s="34">
        <v>0</v>
      </c>
      <c r="L232" s="34">
        <v>443512</v>
      </c>
      <c r="M232" s="34"/>
      <c r="N232" s="34"/>
      <c r="O232" s="34"/>
      <c r="P232" s="492"/>
      <c r="Q232" s="493"/>
      <c r="R232" s="493"/>
      <c r="S232" s="493"/>
      <c r="T232" s="493"/>
      <c r="U232" s="493"/>
      <c r="V232" s="34">
        <f t="shared" si="10"/>
        <v>0</v>
      </c>
      <c r="W232" s="31">
        <v>3</v>
      </c>
      <c r="X232" s="32">
        <v>93</v>
      </c>
      <c r="Y232" s="33">
        <v>44426</v>
      </c>
      <c r="Z232" s="36">
        <v>44442</v>
      </c>
      <c r="AA232" s="494"/>
      <c r="AB232" s="494"/>
      <c r="AC232" s="494"/>
      <c r="AD232" s="494"/>
      <c r="AE232" s="31"/>
      <c r="AF232" s="214"/>
      <c r="AG232" s="228"/>
      <c r="AH232" s="494"/>
      <c r="AI232" s="494"/>
      <c r="AJ232" s="494"/>
      <c r="AK232" s="494"/>
      <c r="AL232" s="494"/>
      <c r="AM232" s="228"/>
      <c r="AN232" s="31"/>
      <c r="AO232" s="494"/>
      <c r="AP232" s="494"/>
      <c r="AQ232" s="494"/>
      <c r="AR232" s="494"/>
      <c r="AS232" s="494"/>
      <c r="AT232" s="494"/>
      <c r="AU232" s="494"/>
      <c r="AV232" s="494"/>
      <c r="AW232" s="494"/>
      <c r="AX232" s="494"/>
      <c r="AY232" s="494"/>
      <c r="AZ232" s="494"/>
      <c r="BA232" s="494"/>
      <c r="BB232" s="494"/>
      <c r="BC232" s="494"/>
      <c r="BD232" s="494"/>
      <c r="BE232" s="494"/>
      <c r="BF232" s="494"/>
      <c r="BG232" s="37">
        <f t="shared" si="11"/>
        <v>3</v>
      </c>
      <c r="BH232" s="525">
        <f t="shared" si="9"/>
        <v>3</v>
      </c>
    </row>
    <row r="233" spans="1:103" s="39" customFormat="1" ht="13.5" customHeight="1">
      <c r="B233" s="22">
        <v>233</v>
      </c>
      <c r="C233" s="261" t="s">
        <v>39</v>
      </c>
      <c r="D233" s="23" t="s">
        <v>2375</v>
      </c>
      <c r="E233" s="510" t="s">
        <v>2376</v>
      </c>
      <c r="F233" s="26" t="s">
        <v>146</v>
      </c>
      <c r="G233" s="26" t="s">
        <v>1895</v>
      </c>
      <c r="H233" s="73" t="s">
        <v>2377</v>
      </c>
      <c r="I233" s="49" t="s">
        <v>52</v>
      </c>
      <c r="J233" s="34">
        <v>617579</v>
      </c>
      <c r="K233" s="34">
        <v>0</v>
      </c>
      <c r="L233" s="34">
        <v>0</v>
      </c>
      <c r="M233" s="34"/>
      <c r="N233" s="34"/>
      <c r="O233" s="34"/>
      <c r="P233" s="492"/>
      <c r="Q233" s="493"/>
      <c r="R233" s="493"/>
      <c r="S233" s="493"/>
      <c r="T233" s="493"/>
      <c r="U233" s="493"/>
      <c r="V233" s="34">
        <f t="shared" si="10"/>
        <v>0</v>
      </c>
      <c r="W233" s="31">
        <v>617579</v>
      </c>
      <c r="X233" s="32">
        <v>93</v>
      </c>
      <c r="Y233" s="33">
        <v>44426</v>
      </c>
      <c r="Z233" s="36">
        <v>44442</v>
      </c>
      <c r="AA233" s="494"/>
      <c r="AB233" s="494"/>
      <c r="AC233" s="494"/>
      <c r="AD233" s="494"/>
      <c r="AE233" s="31"/>
      <c r="AF233" s="214"/>
      <c r="AG233" s="228"/>
      <c r="AH233" s="494"/>
      <c r="AI233" s="494"/>
      <c r="AJ233" s="494"/>
      <c r="AK233" s="494"/>
      <c r="AL233" s="494"/>
      <c r="AM233" s="228"/>
      <c r="AN233" s="31"/>
      <c r="AO233" s="494"/>
      <c r="AP233" s="494"/>
      <c r="AQ233" s="494"/>
      <c r="AR233" s="494"/>
      <c r="AS233" s="494"/>
      <c r="AT233" s="494"/>
      <c r="AU233" s="494"/>
      <c r="AV233" s="494"/>
      <c r="AW233" s="494"/>
      <c r="AX233" s="494"/>
      <c r="AY233" s="494"/>
      <c r="AZ233" s="494"/>
      <c r="BA233" s="494"/>
      <c r="BB233" s="494"/>
      <c r="BC233" s="494"/>
      <c r="BD233" s="494"/>
      <c r="BE233" s="494"/>
      <c r="BF233" s="494"/>
      <c r="BG233" s="37">
        <f t="shared" si="11"/>
        <v>617579</v>
      </c>
      <c r="BH233" s="525">
        <f t="shared" si="9"/>
        <v>617579</v>
      </c>
    </row>
    <row r="234" spans="1:103" s="39" customFormat="1" ht="13.5" customHeight="1">
      <c r="B234" s="22">
        <v>234</v>
      </c>
      <c r="C234" s="261" t="s">
        <v>39</v>
      </c>
      <c r="D234" s="23" t="s">
        <v>2378</v>
      </c>
      <c r="E234" s="510" t="s">
        <v>2379</v>
      </c>
      <c r="F234" s="26" t="s">
        <v>47</v>
      </c>
      <c r="G234" s="26" t="s">
        <v>1895</v>
      </c>
      <c r="H234" s="73" t="s">
        <v>1896</v>
      </c>
      <c r="I234" s="49" t="s">
        <v>52</v>
      </c>
      <c r="J234" s="34">
        <v>511250</v>
      </c>
      <c r="K234" s="34">
        <v>0</v>
      </c>
      <c r="L234" s="34">
        <v>508249</v>
      </c>
      <c r="M234" s="34"/>
      <c r="N234" s="34"/>
      <c r="O234" s="34"/>
      <c r="P234" s="492"/>
      <c r="Q234" s="493"/>
      <c r="R234" s="493"/>
      <c r="S234" s="493"/>
      <c r="T234" s="493"/>
      <c r="U234" s="493"/>
      <c r="V234" s="34">
        <f t="shared" si="10"/>
        <v>0</v>
      </c>
      <c r="W234" s="31">
        <v>2</v>
      </c>
      <c r="X234" s="32">
        <v>96</v>
      </c>
      <c r="Y234" s="33">
        <v>44438</v>
      </c>
      <c r="Z234" s="36">
        <v>44448</v>
      </c>
      <c r="AA234" s="494"/>
      <c r="AB234" s="494"/>
      <c r="AC234" s="494"/>
      <c r="AD234" s="494"/>
      <c r="AE234" s="31"/>
      <c r="AF234" s="214"/>
      <c r="AG234" s="228"/>
      <c r="AH234" s="494"/>
      <c r="AI234" s="494"/>
      <c r="AJ234" s="494"/>
      <c r="AK234" s="494"/>
      <c r="AL234" s="494"/>
      <c r="AM234" s="228"/>
      <c r="AN234" s="31"/>
      <c r="AO234" s="494"/>
      <c r="AP234" s="494"/>
      <c r="AQ234" s="494"/>
      <c r="AR234" s="494"/>
      <c r="AS234" s="494"/>
      <c r="AT234" s="494"/>
      <c r="AU234" s="494"/>
      <c r="AV234" s="494"/>
      <c r="AW234" s="494"/>
      <c r="AX234" s="494"/>
      <c r="AY234" s="494"/>
      <c r="AZ234" s="494"/>
      <c r="BA234" s="494"/>
      <c r="BB234" s="494"/>
      <c r="BC234" s="494"/>
      <c r="BD234" s="494"/>
      <c r="BE234" s="494"/>
      <c r="BF234" s="494"/>
      <c r="BG234" s="37">
        <f t="shared" si="11"/>
        <v>2</v>
      </c>
      <c r="BH234" s="525">
        <f t="shared" si="9"/>
        <v>2</v>
      </c>
    </row>
    <row r="235" spans="1:103" s="39" customFormat="1" ht="13.5" customHeight="1">
      <c r="B235" s="22">
        <v>235</v>
      </c>
      <c r="C235" s="261" t="s">
        <v>39</v>
      </c>
      <c r="D235" s="23" t="s">
        <v>2380</v>
      </c>
      <c r="E235" s="510" t="s">
        <v>2381</v>
      </c>
      <c r="F235" s="26" t="s">
        <v>146</v>
      </c>
      <c r="G235" s="26" t="s">
        <v>1895</v>
      </c>
      <c r="H235" s="73" t="s">
        <v>1916</v>
      </c>
      <c r="I235" s="49" t="s">
        <v>52</v>
      </c>
      <c r="J235" s="34">
        <v>10669256</v>
      </c>
      <c r="K235" s="34">
        <v>0</v>
      </c>
      <c r="L235" s="34">
        <v>3532491</v>
      </c>
      <c r="M235" s="34"/>
      <c r="N235" s="34"/>
      <c r="O235" s="34"/>
      <c r="P235" s="492"/>
      <c r="Q235" s="493"/>
      <c r="R235" s="493"/>
      <c r="S235" s="493"/>
      <c r="T235" s="493"/>
      <c r="U235" s="493"/>
      <c r="V235" s="34">
        <f t="shared" si="10"/>
        <v>0</v>
      </c>
      <c r="W235" s="31">
        <v>4</v>
      </c>
      <c r="X235" s="32">
        <v>96</v>
      </c>
      <c r="Y235" s="33">
        <v>44438</v>
      </c>
      <c r="Z235" s="36">
        <v>44448</v>
      </c>
      <c r="AA235" s="494"/>
      <c r="AB235" s="494"/>
      <c r="AC235" s="494"/>
      <c r="AD235" s="494"/>
      <c r="AE235" s="31"/>
      <c r="AF235" s="214"/>
      <c r="AG235" s="228"/>
      <c r="AH235" s="494"/>
      <c r="AI235" s="494"/>
      <c r="AJ235" s="494"/>
      <c r="AK235" s="494"/>
      <c r="AL235" s="494"/>
      <c r="AM235" s="228"/>
      <c r="AN235" s="31"/>
      <c r="AO235" s="494"/>
      <c r="AP235" s="494"/>
      <c r="AQ235" s="494"/>
      <c r="AR235" s="494"/>
      <c r="AS235" s="494"/>
      <c r="AT235" s="494"/>
      <c r="AU235" s="494"/>
      <c r="AV235" s="494"/>
      <c r="AW235" s="494"/>
      <c r="AX235" s="494"/>
      <c r="AY235" s="494"/>
      <c r="AZ235" s="494"/>
      <c r="BA235" s="494"/>
      <c r="BB235" s="494"/>
      <c r="BC235" s="494"/>
      <c r="BD235" s="494"/>
      <c r="BE235" s="494"/>
      <c r="BF235" s="494"/>
      <c r="BG235" s="37">
        <f t="shared" si="11"/>
        <v>4</v>
      </c>
      <c r="BH235" s="525">
        <f t="shared" si="9"/>
        <v>4</v>
      </c>
    </row>
    <row r="236" spans="1:103" s="39" customFormat="1" ht="13.5" customHeight="1">
      <c r="B236" s="261"/>
      <c r="C236" s="518"/>
      <c r="D236" s="519"/>
      <c r="E236" s="520"/>
      <c r="F236" s="521"/>
      <c r="G236" s="521"/>
      <c r="H236" s="522"/>
      <c r="I236" s="523"/>
      <c r="J236" s="34"/>
      <c r="K236" s="34"/>
      <c r="L236" s="34"/>
      <c r="M236" s="34"/>
      <c r="N236" s="34"/>
      <c r="O236" s="34"/>
      <c r="P236" s="492"/>
      <c r="Q236" s="493"/>
      <c r="R236" s="493"/>
      <c r="S236" s="493"/>
      <c r="T236" s="493"/>
      <c r="U236" s="493"/>
      <c r="V236" s="34"/>
      <c r="W236" s="31"/>
      <c r="X236" s="32"/>
      <c r="Y236" s="33"/>
      <c r="Z236" s="36"/>
      <c r="AA236" s="494"/>
      <c r="AB236" s="494"/>
      <c r="AC236" s="494"/>
      <c r="AD236" s="494"/>
      <c r="AE236" s="31"/>
      <c r="AF236" s="214"/>
      <c r="AG236" s="228"/>
      <c r="AH236" s="494"/>
      <c r="AI236" s="494"/>
      <c r="AJ236" s="494"/>
      <c r="AK236" s="494"/>
      <c r="AL236" s="494"/>
      <c r="AM236" s="228"/>
      <c r="AN236" s="31"/>
      <c r="AO236" s="494"/>
      <c r="AP236" s="494"/>
      <c r="AQ236" s="494"/>
      <c r="AR236" s="494"/>
      <c r="AS236" s="494"/>
      <c r="AT236" s="494"/>
      <c r="AU236" s="494"/>
      <c r="AV236" s="494"/>
      <c r="AW236" s="494"/>
      <c r="AX236" s="494"/>
      <c r="AY236" s="494"/>
      <c r="AZ236" s="494"/>
      <c r="BA236" s="494"/>
      <c r="BB236" s="494"/>
      <c r="BC236" s="494"/>
      <c r="BD236" s="494"/>
      <c r="BE236" s="494"/>
      <c r="BF236" s="494"/>
      <c r="BG236" s="37"/>
      <c r="BH236" s="525"/>
    </row>
    <row r="237" spans="1:103" s="96" customFormat="1" ht="13.5" customHeight="1">
      <c r="A237" s="39"/>
      <c r="B237" s="485"/>
      <c r="C237" s="496"/>
      <c r="D237" s="497"/>
      <c r="E237" s="498"/>
      <c r="F237" s="499"/>
      <c r="G237" s="499"/>
      <c r="H237" s="500"/>
      <c r="I237" s="501"/>
      <c r="J237" s="54"/>
      <c r="K237" s="54"/>
      <c r="L237" s="54"/>
      <c r="M237" s="54"/>
      <c r="N237" s="54"/>
      <c r="O237" s="54"/>
      <c r="P237" s="486"/>
      <c r="Q237" s="484"/>
      <c r="R237" s="484"/>
      <c r="S237" s="484"/>
      <c r="T237" s="484"/>
      <c r="U237" s="484"/>
      <c r="V237" s="54"/>
      <c r="W237" s="221"/>
      <c r="X237" s="116"/>
      <c r="Y237" s="136"/>
      <c r="Z237" s="118"/>
      <c r="AA237" s="488"/>
      <c r="AB237" s="488"/>
      <c r="AC237" s="488"/>
      <c r="AD237" s="488"/>
      <c r="AE237" s="221"/>
      <c r="AF237" s="529"/>
      <c r="AG237" s="222"/>
      <c r="AH237" s="488"/>
      <c r="AI237" s="488"/>
      <c r="AJ237" s="488"/>
      <c r="AK237" s="488"/>
      <c r="AL237" s="488"/>
      <c r="AM237" s="222"/>
      <c r="AN237" s="221"/>
      <c r="AO237" s="488"/>
      <c r="AP237" s="488"/>
      <c r="AQ237" s="488"/>
      <c r="AR237" s="488"/>
      <c r="AS237" s="488"/>
      <c r="AT237" s="488"/>
      <c r="AU237" s="488"/>
      <c r="AV237" s="488"/>
      <c r="AW237" s="488"/>
      <c r="AX237" s="488"/>
      <c r="AY237" s="488"/>
      <c r="AZ237" s="488"/>
      <c r="BA237" s="488"/>
      <c r="BB237" s="488"/>
      <c r="BC237" s="488"/>
      <c r="BD237" s="488"/>
      <c r="BE237" s="488"/>
      <c r="BF237" s="488"/>
      <c r="BG237" s="137"/>
      <c r="BH237" s="530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</row>
    <row r="238" spans="1:103" ht="13.5" customHeight="1">
      <c r="B238" s="749" t="s">
        <v>134</v>
      </c>
      <c r="C238" s="750"/>
      <c r="D238" s="750"/>
      <c r="E238" s="750"/>
      <c r="F238" s="750"/>
      <c r="G238" s="750"/>
      <c r="H238" s="750"/>
      <c r="I238" s="751"/>
      <c r="J238" s="59">
        <f>SUBTOTAL(9,J12:J235)</f>
        <v>336023512</v>
      </c>
      <c r="K238" s="59">
        <f>SUBTOTAL(9,K12:K235)</f>
        <v>95998755</v>
      </c>
      <c r="L238" s="59">
        <f>SUBTOTAL(9,L12:L235)</f>
        <v>114112700</v>
      </c>
      <c r="M238" s="59">
        <f>SUBTOTAL(9,M12:M235)</f>
        <v>5412852</v>
      </c>
      <c r="N238" s="59">
        <f t="shared" ref="N238:U238" si="12">SUBTOTAL(9,N12:N235)</f>
        <v>3392030.8190000001</v>
      </c>
      <c r="O238" s="59">
        <f t="shared" si="12"/>
        <v>3736454</v>
      </c>
      <c r="P238" s="59">
        <f t="shared" si="12"/>
        <v>5786786.2350000003</v>
      </c>
      <c r="Q238" s="59">
        <f t="shared" si="12"/>
        <v>3932589.0659999996</v>
      </c>
      <c r="R238" s="59">
        <f t="shared" si="12"/>
        <v>4427490.7460000003</v>
      </c>
      <c r="S238" s="59">
        <f t="shared" si="12"/>
        <v>4634229.8560000006</v>
      </c>
      <c r="T238" s="59">
        <f t="shared" si="12"/>
        <v>5071847.1779999984</v>
      </c>
      <c r="U238" s="59">
        <f t="shared" si="12"/>
        <v>4693673.9770000009</v>
      </c>
      <c r="V238" s="59">
        <f>SUBTOTAL(9,V12:V237)</f>
        <v>41087953.877000004</v>
      </c>
      <c r="W238" s="59">
        <f>SUBTOTAL(9,W12:W235)</f>
        <v>28132442</v>
      </c>
      <c r="X238" s="59"/>
      <c r="Y238" s="59"/>
      <c r="Z238" s="59"/>
      <c r="AA238" s="59">
        <f>SUBTOTAL(9,AA12:AA235)</f>
        <v>14452464</v>
      </c>
      <c r="AB238" s="59"/>
      <c r="AC238" s="59"/>
      <c r="AD238" s="59"/>
      <c r="AE238" s="59">
        <f>SUBTOTAL(9,AE12:AE235)</f>
        <v>3474513</v>
      </c>
      <c r="AF238" s="502"/>
      <c r="AG238" s="59"/>
      <c r="AH238" s="59"/>
      <c r="AI238" s="59">
        <f>SUBTOTAL(9,AI12:AI235)</f>
        <v>10894595</v>
      </c>
      <c r="AJ238" s="59"/>
      <c r="AK238" s="59"/>
      <c r="AL238" s="59"/>
      <c r="AM238" s="59">
        <f>SUBTOTAL(9,AM12:AM235)</f>
        <v>-1797979</v>
      </c>
      <c r="AN238" s="59"/>
      <c r="AO238" s="59"/>
      <c r="AP238" s="59"/>
      <c r="AQ238" s="59">
        <f>SUBTOTAL(9,AQ12:AQ235)</f>
        <v>-276945</v>
      </c>
      <c r="AR238" s="59"/>
      <c r="AS238" s="59"/>
      <c r="AT238" s="59"/>
      <c r="AU238" s="59">
        <f>SUBTOTAL(9,AU12:AU235)</f>
        <v>1563211</v>
      </c>
      <c r="AV238" s="59"/>
      <c r="AW238" s="59"/>
      <c r="AX238" s="59"/>
      <c r="AY238" s="59">
        <f>SUBTOTAL(9,AY12:AY235)</f>
        <v>291200</v>
      </c>
      <c r="AZ238" s="59"/>
      <c r="BA238" s="59"/>
      <c r="BB238" s="59"/>
      <c r="BC238" s="59">
        <f>SUBTOTAL(9,BC12:BC235)</f>
        <v>114279</v>
      </c>
      <c r="BD238" s="59"/>
      <c r="BE238" s="59"/>
      <c r="BF238" s="59"/>
      <c r="BG238" s="59">
        <f>SUBTOTAL(9,BG12:BG235)</f>
        <v>56847780</v>
      </c>
      <c r="BH238" s="59">
        <f>SUBTOTAL(9,BH12:BH235)</f>
        <v>15759826.123000003</v>
      </c>
    </row>
    <row r="239" spans="1:103" s="123" customFormat="1" ht="13.5" customHeight="1">
      <c r="B239" s="752"/>
      <c r="C239" s="752"/>
      <c r="D239" s="752"/>
      <c r="E239" s="752"/>
      <c r="F239" s="140"/>
      <c r="G239" s="125"/>
      <c r="H239" s="125"/>
      <c r="X239" s="74"/>
      <c r="AF239" s="238"/>
    </row>
    <row r="240" spans="1:103" s="123" customFormat="1" ht="13.5" customHeight="1">
      <c r="B240" s="748"/>
      <c r="C240" s="748"/>
      <c r="D240" s="748"/>
      <c r="E240" s="748"/>
      <c r="F240" s="748"/>
      <c r="G240" s="748"/>
      <c r="H240" s="748"/>
      <c r="I240" s="748"/>
      <c r="J240" s="748"/>
      <c r="K240" s="748"/>
      <c r="L240" s="748"/>
      <c r="M240" s="748"/>
      <c r="N240" s="748"/>
      <c r="O240" s="748"/>
      <c r="P240" s="748"/>
      <c r="Q240" s="748"/>
      <c r="R240" s="748"/>
      <c r="S240" s="748"/>
      <c r="T240" s="748"/>
      <c r="U240" s="748"/>
      <c r="V240" s="748"/>
      <c r="W240" s="748"/>
      <c r="X240" s="748"/>
      <c r="Y240" s="748"/>
      <c r="Z240" s="748"/>
      <c r="AA240" s="524"/>
      <c r="AB240" s="524"/>
      <c r="AC240" s="524"/>
      <c r="AD240" s="524"/>
      <c r="AE240" s="210"/>
      <c r="AF240" s="238"/>
      <c r="AG240" s="210"/>
      <c r="AH240" s="210"/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</row>
    <row r="241" spans="2:59" s="123" customFormat="1" ht="13.5" customHeight="1">
      <c r="B241" s="125"/>
      <c r="D241" s="125"/>
      <c r="S241" s="74"/>
      <c r="T241" s="74"/>
      <c r="X241" s="74"/>
      <c r="AF241" s="238"/>
      <c r="BG241" s="124"/>
    </row>
    <row r="242" spans="2:59" s="123" customFormat="1" ht="13.5" customHeight="1">
      <c r="B242" s="125"/>
      <c r="D242" s="125"/>
      <c r="J242" s="124"/>
      <c r="T242" s="124"/>
      <c r="V242" s="124"/>
      <c r="X242" s="74"/>
      <c r="AF242" s="238"/>
      <c r="BG242" s="124"/>
    </row>
    <row r="243" spans="2:59" s="123" customFormat="1" ht="13.5" customHeight="1">
      <c r="B243" s="125"/>
      <c r="D243" s="125"/>
      <c r="S243" s="124"/>
      <c r="T243" s="124"/>
      <c r="X243" s="74"/>
      <c r="AF243" s="238"/>
    </row>
    <row r="244" spans="2:59" s="123" customFormat="1" ht="36.75" customHeight="1">
      <c r="B244" s="125"/>
      <c r="D244" s="125"/>
      <c r="T244" s="124"/>
      <c r="V244" s="124"/>
      <c r="X244" s="74"/>
      <c r="AF244" s="238"/>
    </row>
    <row r="245" spans="2:59" s="123" customFormat="1" ht="13.5" customHeight="1">
      <c r="B245" s="125"/>
      <c r="D245" s="125"/>
      <c r="O245" s="124"/>
      <c r="X245" s="74"/>
      <c r="AF245" s="238"/>
    </row>
    <row r="246" spans="2:59" s="123" customFormat="1">
      <c r="B246" s="125"/>
      <c r="D246" s="125"/>
      <c r="X246" s="74"/>
      <c r="AF246" s="238"/>
    </row>
    <row r="247" spans="2:59" s="123" customFormat="1">
      <c r="B247" s="125"/>
      <c r="D247" s="125"/>
      <c r="X247" s="74"/>
      <c r="AF247" s="238"/>
    </row>
    <row r="248" spans="2:59" s="123" customFormat="1">
      <c r="B248" s="125"/>
      <c r="D248" s="125"/>
      <c r="X248" s="74"/>
      <c r="AF248" s="238"/>
    </row>
    <row r="249" spans="2:59" s="123" customFormat="1">
      <c r="B249" s="125"/>
      <c r="D249" s="125"/>
      <c r="X249" s="74"/>
      <c r="AF249" s="238"/>
    </row>
    <row r="250" spans="2:59" s="123" customFormat="1">
      <c r="B250" s="125"/>
      <c r="D250" s="125"/>
      <c r="X250" s="74"/>
      <c r="AF250" s="238"/>
    </row>
    <row r="251" spans="2:59" s="123" customFormat="1">
      <c r="B251" s="125"/>
      <c r="D251" s="125"/>
      <c r="X251" s="74"/>
      <c r="AF251" s="238"/>
    </row>
    <row r="252" spans="2:59" s="123" customFormat="1">
      <c r="B252" s="125"/>
      <c r="D252" s="125"/>
      <c r="X252" s="74"/>
      <c r="AF252" s="238"/>
    </row>
    <row r="253" spans="2:59" s="123" customFormat="1">
      <c r="B253" s="125"/>
      <c r="D253" s="125"/>
      <c r="X253" s="74"/>
      <c r="AF253" s="238"/>
    </row>
    <row r="254" spans="2:59" s="123" customFormat="1">
      <c r="B254" s="125"/>
      <c r="D254" s="125"/>
      <c r="X254" s="74"/>
      <c r="AF254" s="238"/>
    </row>
    <row r="255" spans="2:59" s="123" customFormat="1">
      <c r="B255" s="125"/>
      <c r="D255" s="125"/>
      <c r="X255" s="74"/>
      <c r="AF255" s="238"/>
    </row>
    <row r="256" spans="2:59" s="123" customFormat="1">
      <c r="B256" s="125"/>
      <c r="D256" s="125"/>
      <c r="X256" s="74"/>
      <c r="AF256" s="238"/>
    </row>
    <row r="257" spans="2:32" s="123" customFormat="1">
      <c r="B257" s="125"/>
      <c r="D257" s="125"/>
      <c r="X257" s="74"/>
      <c r="AF257" s="238"/>
    </row>
    <row r="258" spans="2:32" s="123" customFormat="1">
      <c r="B258" s="125"/>
      <c r="D258" s="125"/>
      <c r="X258" s="74"/>
      <c r="AF258" s="238"/>
    </row>
    <row r="259" spans="2:32" s="123" customFormat="1">
      <c r="B259" s="125"/>
      <c r="D259" s="125"/>
      <c r="X259" s="74"/>
      <c r="AF259" s="238"/>
    </row>
    <row r="260" spans="2:32" s="123" customFormat="1">
      <c r="B260" s="125"/>
      <c r="D260" s="125"/>
      <c r="X260" s="74"/>
      <c r="AF260" s="238"/>
    </row>
    <row r="261" spans="2:32" s="123" customFormat="1">
      <c r="B261" s="125"/>
      <c r="D261" s="125"/>
      <c r="X261" s="74"/>
      <c r="AF261" s="238"/>
    </row>
    <row r="262" spans="2:32" s="123" customFormat="1">
      <c r="B262" s="125"/>
      <c r="D262" s="125"/>
      <c r="X262" s="74"/>
      <c r="AF262" s="238"/>
    </row>
    <row r="263" spans="2:32" s="123" customFormat="1">
      <c r="B263" s="125"/>
      <c r="D263" s="125"/>
      <c r="X263" s="74"/>
      <c r="AF263" s="238"/>
    </row>
    <row r="264" spans="2:32" s="123" customFormat="1">
      <c r="B264" s="125"/>
      <c r="D264" s="125"/>
      <c r="X264" s="74"/>
      <c r="AF264" s="238"/>
    </row>
    <row r="265" spans="2:32" s="123" customFormat="1">
      <c r="B265" s="125"/>
      <c r="D265" s="125"/>
      <c r="X265" s="74"/>
      <c r="AF265" s="238"/>
    </row>
    <row r="266" spans="2:32" s="123" customFormat="1">
      <c r="B266" s="125"/>
      <c r="D266" s="125"/>
      <c r="X266" s="74"/>
      <c r="AF266" s="238"/>
    </row>
    <row r="267" spans="2:32" s="123" customFormat="1">
      <c r="B267" s="125"/>
      <c r="D267" s="125"/>
      <c r="X267" s="74"/>
      <c r="AF267" s="238"/>
    </row>
    <row r="268" spans="2:32" s="123" customFormat="1">
      <c r="B268" s="125"/>
      <c r="D268" s="125"/>
      <c r="X268" s="74"/>
      <c r="AF268" s="238"/>
    </row>
    <row r="269" spans="2:32" s="123" customFormat="1">
      <c r="B269" s="125"/>
      <c r="D269" s="125"/>
      <c r="X269" s="74"/>
      <c r="AF269" s="238"/>
    </row>
    <row r="270" spans="2:32" s="123" customFormat="1">
      <c r="B270" s="125"/>
      <c r="D270" s="125"/>
      <c r="X270" s="74"/>
      <c r="AF270" s="238"/>
    </row>
    <row r="271" spans="2:32" s="123" customFormat="1">
      <c r="B271" s="125"/>
      <c r="D271" s="125"/>
      <c r="X271" s="74"/>
      <c r="AF271" s="238"/>
    </row>
    <row r="272" spans="2:32" s="123" customFormat="1">
      <c r="B272" s="125"/>
      <c r="D272" s="125"/>
      <c r="X272" s="74"/>
      <c r="AF272" s="238"/>
    </row>
    <row r="273" spans="2:32" s="123" customFormat="1">
      <c r="B273" s="125"/>
      <c r="D273" s="125"/>
      <c r="X273" s="74"/>
      <c r="AF273" s="238"/>
    </row>
    <row r="274" spans="2:32" s="123" customFormat="1">
      <c r="B274" s="125"/>
      <c r="D274" s="125"/>
      <c r="X274" s="74"/>
      <c r="AF274" s="238"/>
    </row>
    <row r="275" spans="2:32" s="123" customFormat="1">
      <c r="B275" s="125"/>
      <c r="D275" s="125"/>
      <c r="X275" s="74"/>
      <c r="AF275" s="238"/>
    </row>
    <row r="276" spans="2:32" s="123" customFormat="1">
      <c r="B276" s="125"/>
      <c r="D276" s="125"/>
      <c r="X276" s="74"/>
      <c r="AF276" s="238"/>
    </row>
    <row r="277" spans="2:32" s="123" customFormat="1">
      <c r="B277" s="125"/>
      <c r="D277" s="125"/>
      <c r="X277" s="74"/>
      <c r="AF277" s="238"/>
    </row>
    <row r="278" spans="2:32" s="123" customFormat="1">
      <c r="B278" s="125"/>
      <c r="D278" s="125"/>
      <c r="X278" s="74"/>
      <c r="AF278" s="238"/>
    </row>
    <row r="279" spans="2:32" s="123" customFormat="1">
      <c r="B279" s="125"/>
      <c r="D279" s="125"/>
      <c r="X279" s="74"/>
      <c r="AF279" s="238"/>
    </row>
    <row r="280" spans="2:32" s="123" customFormat="1">
      <c r="B280" s="125"/>
      <c r="D280" s="125"/>
      <c r="X280" s="74"/>
      <c r="AF280" s="238"/>
    </row>
    <row r="281" spans="2:32" s="123" customFormat="1">
      <c r="B281" s="125"/>
      <c r="D281" s="125"/>
      <c r="X281" s="74"/>
      <c r="AF281" s="238"/>
    </row>
    <row r="282" spans="2:32" s="123" customFormat="1">
      <c r="B282" s="125"/>
      <c r="D282" s="125"/>
      <c r="X282" s="74"/>
      <c r="AF282" s="238"/>
    </row>
    <row r="283" spans="2:32" s="123" customFormat="1">
      <c r="B283" s="125"/>
      <c r="D283" s="125"/>
      <c r="X283" s="74"/>
      <c r="AF283" s="238"/>
    </row>
    <row r="284" spans="2:32" s="123" customFormat="1">
      <c r="B284" s="125"/>
      <c r="D284" s="125"/>
      <c r="X284" s="74"/>
      <c r="AF284" s="238"/>
    </row>
    <row r="285" spans="2:32" s="123" customFormat="1">
      <c r="B285" s="125"/>
      <c r="D285" s="125"/>
      <c r="X285" s="74"/>
      <c r="AF285" s="238"/>
    </row>
    <row r="286" spans="2:32" s="123" customFormat="1">
      <c r="B286" s="125"/>
      <c r="D286" s="125"/>
      <c r="X286" s="74"/>
      <c r="AF286" s="238"/>
    </row>
    <row r="287" spans="2:32" s="123" customFormat="1">
      <c r="B287" s="125"/>
      <c r="D287" s="125"/>
      <c r="X287" s="74"/>
      <c r="AF287" s="238"/>
    </row>
    <row r="288" spans="2:32" s="123" customFormat="1">
      <c r="B288" s="125"/>
      <c r="D288" s="125"/>
      <c r="X288" s="74"/>
      <c r="AF288" s="238"/>
    </row>
    <row r="289" spans="2:32" s="123" customFormat="1">
      <c r="B289" s="125"/>
      <c r="D289" s="125"/>
      <c r="X289" s="74"/>
      <c r="AF289" s="238"/>
    </row>
    <row r="290" spans="2:32" s="123" customFormat="1">
      <c r="B290" s="125"/>
      <c r="D290" s="125"/>
      <c r="X290" s="74"/>
      <c r="AF290" s="238"/>
    </row>
    <row r="291" spans="2:32" s="123" customFormat="1">
      <c r="B291" s="125"/>
      <c r="D291" s="125"/>
      <c r="X291" s="74"/>
      <c r="AF291" s="238"/>
    </row>
    <row r="292" spans="2:32" s="123" customFormat="1">
      <c r="B292" s="125"/>
      <c r="D292" s="125"/>
      <c r="X292" s="74"/>
      <c r="AF292" s="238"/>
    </row>
    <row r="293" spans="2:32" s="123" customFormat="1">
      <c r="B293" s="125"/>
      <c r="D293" s="125"/>
      <c r="X293" s="74"/>
      <c r="AF293" s="238"/>
    </row>
    <row r="294" spans="2:32" s="123" customFormat="1">
      <c r="B294" s="125"/>
      <c r="D294" s="125"/>
      <c r="X294" s="74"/>
      <c r="AF294" s="238"/>
    </row>
    <row r="295" spans="2:32" s="123" customFormat="1">
      <c r="B295" s="125"/>
      <c r="D295" s="125"/>
      <c r="X295" s="74"/>
      <c r="AF295" s="238"/>
    </row>
    <row r="296" spans="2:32" s="123" customFormat="1">
      <c r="B296" s="125"/>
      <c r="D296" s="125"/>
      <c r="X296" s="74"/>
      <c r="AF296" s="238"/>
    </row>
    <row r="297" spans="2:32" s="123" customFormat="1">
      <c r="B297" s="125"/>
      <c r="D297" s="125"/>
      <c r="X297" s="74"/>
      <c r="AF297" s="238"/>
    </row>
    <row r="298" spans="2:32" s="123" customFormat="1">
      <c r="B298" s="125"/>
      <c r="D298" s="125"/>
      <c r="X298" s="74"/>
      <c r="AF298" s="238"/>
    </row>
    <row r="299" spans="2:32" s="123" customFormat="1">
      <c r="B299" s="125"/>
      <c r="D299" s="125"/>
      <c r="X299" s="74"/>
      <c r="AF299" s="238"/>
    </row>
    <row r="300" spans="2:32" s="123" customFormat="1">
      <c r="B300" s="125"/>
      <c r="D300" s="125"/>
      <c r="X300" s="74"/>
      <c r="AF300" s="238"/>
    </row>
    <row r="301" spans="2:32" s="123" customFormat="1">
      <c r="B301" s="125"/>
      <c r="D301" s="125"/>
      <c r="X301" s="74"/>
      <c r="AF301" s="238"/>
    </row>
    <row r="302" spans="2:32" s="123" customFormat="1">
      <c r="B302" s="125"/>
      <c r="D302" s="125"/>
      <c r="X302" s="74"/>
      <c r="AF302" s="238"/>
    </row>
    <row r="303" spans="2:32" s="123" customFormat="1">
      <c r="B303" s="125"/>
      <c r="D303" s="125"/>
      <c r="X303" s="74"/>
      <c r="AF303" s="238"/>
    </row>
    <row r="304" spans="2:32" s="123" customFormat="1">
      <c r="B304" s="125"/>
      <c r="D304" s="125"/>
      <c r="X304" s="74"/>
      <c r="AF304" s="238"/>
    </row>
    <row r="305" spans="2:32" s="123" customFormat="1">
      <c r="B305" s="125"/>
      <c r="D305" s="125"/>
      <c r="X305" s="74"/>
      <c r="AF305" s="238"/>
    </row>
    <row r="306" spans="2:32" s="123" customFormat="1">
      <c r="B306" s="125"/>
      <c r="D306" s="125"/>
      <c r="X306" s="74"/>
      <c r="AF306" s="238"/>
    </row>
    <row r="307" spans="2:32" s="123" customFormat="1">
      <c r="B307" s="125"/>
      <c r="D307" s="125"/>
      <c r="X307" s="74"/>
      <c r="AF307" s="238"/>
    </row>
    <row r="308" spans="2:32" s="123" customFormat="1">
      <c r="B308" s="125"/>
      <c r="D308" s="125"/>
      <c r="X308" s="74"/>
      <c r="AF308" s="238"/>
    </row>
    <row r="309" spans="2:32" s="123" customFormat="1">
      <c r="B309" s="125"/>
      <c r="D309" s="125"/>
      <c r="X309" s="74"/>
      <c r="AF309" s="238"/>
    </row>
    <row r="310" spans="2:32" s="123" customFormat="1">
      <c r="B310" s="125"/>
      <c r="D310" s="125"/>
      <c r="X310" s="74"/>
      <c r="AF310" s="238"/>
    </row>
    <row r="311" spans="2:32" s="123" customFormat="1">
      <c r="B311" s="125"/>
      <c r="D311" s="125"/>
      <c r="X311" s="74"/>
      <c r="AF311" s="238"/>
    </row>
    <row r="312" spans="2:32" s="123" customFormat="1">
      <c r="B312" s="125"/>
      <c r="D312" s="125"/>
      <c r="X312" s="74"/>
      <c r="AF312" s="238"/>
    </row>
    <row r="313" spans="2:32" s="123" customFormat="1">
      <c r="B313" s="125"/>
      <c r="D313" s="125"/>
      <c r="X313" s="74"/>
      <c r="AF313" s="238"/>
    </row>
    <row r="314" spans="2:32" s="123" customFormat="1">
      <c r="B314" s="125"/>
      <c r="D314" s="125"/>
      <c r="X314" s="74"/>
      <c r="AF314" s="238"/>
    </row>
    <row r="315" spans="2:32" s="123" customFormat="1">
      <c r="B315" s="125"/>
      <c r="D315" s="125"/>
      <c r="X315" s="74"/>
      <c r="AF315" s="238"/>
    </row>
    <row r="316" spans="2:32" s="123" customFormat="1">
      <c r="B316" s="125"/>
      <c r="D316" s="125"/>
      <c r="X316" s="74"/>
      <c r="AF316" s="238"/>
    </row>
    <row r="317" spans="2:32" s="123" customFormat="1">
      <c r="B317" s="125"/>
      <c r="D317" s="125"/>
      <c r="X317" s="74"/>
      <c r="AF317" s="238"/>
    </row>
    <row r="318" spans="2:32" s="123" customFormat="1">
      <c r="B318" s="125"/>
      <c r="D318" s="125"/>
      <c r="X318" s="74"/>
      <c r="AF318" s="238"/>
    </row>
    <row r="319" spans="2:32" s="123" customFormat="1">
      <c r="B319" s="125"/>
      <c r="D319" s="125"/>
      <c r="X319" s="74"/>
      <c r="AF319" s="238"/>
    </row>
    <row r="320" spans="2:32" s="123" customFormat="1">
      <c r="B320" s="125"/>
      <c r="D320" s="125"/>
      <c r="X320" s="74"/>
      <c r="AF320" s="238"/>
    </row>
    <row r="321" spans="2:32" s="123" customFormat="1">
      <c r="B321" s="125"/>
      <c r="D321" s="125"/>
      <c r="X321" s="74"/>
      <c r="AF321" s="238"/>
    </row>
    <row r="322" spans="2:32" s="123" customFormat="1">
      <c r="B322" s="125"/>
      <c r="D322" s="125"/>
      <c r="X322" s="74"/>
      <c r="AF322" s="238"/>
    </row>
    <row r="323" spans="2:32" s="123" customFormat="1">
      <c r="B323" s="125"/>
      <c r="D323" s="125"/>
      <c r="X323" s="74"/>
      <c r="AF323" s="238"/>
    </row>
    <row r="324" spans="2:32" s="123" customFormat="1">
      <c r="B324" s="125"/>
      <c r="D324" s="125"/>
      <c r="X324" s="74"/>
      <c r="AF324" s="238"/>
    </row>
    <row r="325" spans="2:32" s="123" customFormat="1">
      <c r="B325" s="125"/>
      <c r="D325" s="125"/>
      <c r="X325" s="74"/>
      <c r="AF325" s="238"/>
    </row>
    <row r="326" spans="2:32" s="123" customFormat="1">
      <c r="B326" s="125"/>
      <c r="D326" s="125"/>
      <c r="X326" s="74"/>
      <c r="AF326" s="238"/>
    </row>
    <row r="327" spans="2:32" s="123" customFormat="1">
      <c r="B327" s="125"/>
      <c r="D327" s="125"/>
      <c r="X327" s="74"/>
      <c r="AF327" s="238"/>
    </row>
    <row r="328" spans="2:32" s="123" customFormat="1">
      <c r="B328" s="125"/>
      <c r="D328" s="125"/>
      <c r="X328" s="74"/>
      <c r="AF328" s="238"/>
    </row>
    <row r="329" spans="2:32" s="123" customFormat="1">
      <c r="B329" s="125"/>
      <c r="D329" s="125"/>
      <c r="X329" s="74"/>
      <c r="AF329" s="238"/>
    </row>
    <row r="330" spans="2:32" s="123" customFormat="1">
      <c r="B330" s="125"/>
      <c r="D330" s="125"/>
      <c r="X330" s="74"/>
      <c r="AF330" s="238"/>
    </row>
    <row r="331" spans="2:32" s="123" customFormat="1">
      <c r="B331" s="125"/>
      <c r="D331" s="125"/>
      <c r="X331" s="74"/>
      <c r="AF331" s="238"/>
    </row>
    <row r="332" spans="2:32" s="123" customFormat="1">
      <c r="B332" s="125"/>
      <c r="D332" s="125"/>
      <c r="X332" s="74"/>
      <c r="AF332" s="238"/>
    </row>
    <row r="333" spans="2:32" s="123" customFormat="1">
      <c r="B333" s="125"/>
      <c r="D333" s="125"/>
      <c r="X333" s="74"/>
      <c r="AF333" s="238"/>
    </row>
    <row r="334" spans="2:32" s="123" customFormat="1">
      <c r="B334" s="125"/>
      <c r="D334" s="125"/>
      <c r="X334" s="74"/>
      <c r="AF334" s="238"/>
    </row>
    <row r="335" spans="2:32" s="123" customFormat="1">
      <c r="B335" s="125"/>
      <c r="D335" s="125"/>
      <c r="X335" s="74"/>
      <c r="AF335" s="238"/>
    </row>
    <row r="336" spans="2:32" s="123" customFormat="1">
      <c r="B336" s="125"/>
      <c r="D336" s="125"/>
      <c r="X336" s="74"/>
      <c r="AF336" s="238"/>
    </row>
    <row r="337" spans="2:32" s="123" customFormat="1">
      <c r="B337" s="125"/>
      <c r="D337" s="125"/>
      <c r="X337" s="74"/>
      <c r="AF337" s="238"/>
    </row>
    <row r="338" spans="2:32" s="123" customFormat="1">
      <c r="B338" s="125"/>
      <c r="D338" s="125"/>
      <c r="X338" s="74"/>
      <c r="AF338" s="238"/>
    </row>
    <row r="339" spans="2:32" s="123" customFormat="1">
      <c r="B339" s="125"/>
      <c r="D339" s="125"/>
      <c r="X339" s="74"/>
      <c r="AF339" s="238"/>
    </row>
    <row r="340" spans="2:32" s="123" customFormat="1">
      <c r="B340" s="125"/>
      <c r="D340" s="125"/>
      <c r="X340" s="74"/>
      <c r="AF340" s="238"/>
    </row>
    <row r="341" spans="2:32" s="123" customFormat="1">
      <c r="B341" s="125"/>
      <c r="D341" s="125"/>
      <c r="X341" s="74"/>
      <c r="AF341" s="238"/>
    </row>
    <row r="342" spans="2:32" s="123" customFormat="1">
      <c r="B342" s="125"/>
      <c r="D342" s="125"/>
      <c r="X342" s="74"/>
      <c r="AF342" s="238"/>
    </row>
    <row r="343" spans="2:32" s="123" customFormat="1">
      <c r="B343" s="125"/>
      <c r="D343" s="125"/>
      <c r="X343" s="74"/>
      <c r="AF343" s="238"/>
    </row>
    <row r="344" spans="2:32" s="123" customFormat="1">
      <c r="B344" s="125"/>
      <c r="D344" s="125"/>
      <c r="X344" s="74"/>
      <c r="AF344" s="238"/>
    </row>
    <row r="345" spans="2:32" s="123" customFormat="1">
      <c r="B345" s="125"/>
      <c r="D345" s="125"/>
      <c r="X345" s="74"/>
      <c r="AF345" s="238"/>
    </row>
    <row r="346" spans="2:32" s="123" customFormat="1">
      <c r="B346" s="125"/>
      <c r="D346" s="125"/>
      <c r="X346" s="74"/>
      <c r="AF346" s="238"/>
    </row>
    <row r="347" spans="2:32" s="123" customFormat="1">
      <c r="B347" s="125"/>
      <c r="D347" s="125"/>
      <c r="X347" s="74"/>
      <c r="AF347" s="238"/>
    </row>
    <row r="348" spans="2:32" s="123" customFormat="1">
      <c r="B348" s="125"/>
      <c r="D348" s="125"/>
      <c r="X348" s="74"/>
      <c r="AF348" s="238"/>
    </row>
    <row r="349" spans="2:32" s="123" customFormat="1">
      <c r="B349" s="125"/>
      <c r="D349" s="125"/>
      <c r="X349" s="74"/>
      <c r="AF349" s="238"/>
    </row>
    <row r="350" spans="2:32" s="123" customFormat="1">
      <c r="B350" s="125"/>
      <c r="D350" s="125"/>
      <c r="X350" s="74"/>
      <c r="AF350" s="238"/>
    </row>
    <row r="351" spans="2:32" s="123" customFormat="1">
      <c r="B351" s="125"/>
      <c r="D351" s="125"/>
      <c r="X351" s="74"/>
      <c r="AF351" s="238"/>
    </row>
    <row r="352" spans="2:32" s="123" customFormat="1">
      <c r="B352" s="125"/>
      <c r="D352" s="125"/>
      <c r="X352" s="74"/>
      <c r="AF352" s="238"/>
    </row>
    <row r="353" spans="2:32" s="123" customFormat="1">
      <c r="B353" s="125"/>
      <c r="D353" s="125"/>
      <c r="X353" s="74"/>
      <c r="AF353" s="238"/>
    </row>
    <row r="354" spans="2:32" s="123" customFormat="1">
      <c r="B354" s="125"/>
      <c r="D354" s="125"/>
      <c r="X354" s="74"/>
      <c r="AF354" s="238"/>
    </row>
    <row r="355" spans="2:32" s="123" customFormat="1">
      <c r="B355" s="125"/>
      <c r="D355" s="125"/>
      <c r="X355" s="74"/>
      <c r="AF355" s="238"/>
    </row>
    <row r="356" spans="2:32" s="123" customFormat="1">
      <c r="B356" s="125"/>
      <c r="D356" s="125"/>
      <c r="X356" s="74"/>
      <c r="AF356" s="238"/>
    </row>
    <row r="357" spans="2:32" s="123" customFormat="1">
      <c r="B357" s="125"/>
      <c r="D357" s="125"/>
      <c r="X357" s="74"/>
      <c r="AF357" s="238"/>
    </row>
    <row r="358" spans="2:32" s="123" customFormat="1">
      <c r="B358" s="125"/>
      <c r="D358" s="125"/>
      <c r="X358" s="74"/>
      <c r="AF358" s="238"/>
    </row>
    <row r="359" spans="2:32" s="123" customFormat="1">
      <c r="B359" s="125"/>
      <c r="D359" s="125"/>
      <c r="X359" s="74"/>
      <c r="AF359" s="238"/>
    </row>
    <row r="360" spans="2:32" s="123" customFormat="1">
      <c r="B360" s="125"/>
      <c r="D360" s="125"/>
      <c r="X360" s="74"/>
      <c r="AF360" s="238"/>
    </row>
    <row r="361" spans="2:32" s="123" customFormat="1">
      <c r="B361" s="125"/>
      <c r="D361" s="125"/>
      <c r="X361" s="74"/>
      <c r="AF361" s="238"/>
    </row>
    <row r="362" spans="2:32" s="123" customFormat="1">
      <c r="B362" s="125"/>
      <c r="D362" s="125"/>
      <c r="X362" s="74"/>
      <c r="AF362" s="238"/>
    </row>
    <row r="363" spans="2:32" s="123" customFormat="1">
      <c r="B363" s="125"/>
      <c r="D363" s="125"/>
      <c r="X363" s="74"/>
      <c r="AF363" s="238"/>
    </row>
    <row r="364" spans="2:32" s="123" customFormat="1">
      <c r="B364" s="125"/>
      <c r="D364" s="125"/>
      <c r="X364" s="74"/>
      <c r="AF364" s="238"/>
    </row>
    <row r="365" spans="2:32" s="123" customFormat="1">
      <c r="B365" s="125"/>
      <c r="D365" s="125"/>
      <c r="X365" s="74"/>
      <c r="AF365" s="238"/>
    </row>
    <row r="366" spans="2:32" s="123" customFormat="1">
      <c r="B366" s="125"/>
      <c r="D366" s="125"/>
      <c r="X366" s="74"/>
      <c r="AF366" s="238"/>
    </row>
    <row r="367" spans="2:32" s="123" customFormat="1">
      <c r="B367" s="125"/>
      <c r="D367" s="125"/>
      <c r="X367" s="74"/>
      <c r="AF367" s="238"/>
    </row>
    <row r="368" spans="2:32" s="123" customFormat="1">
      <c r="B368" s="125"/>
      <c r="D368" s="125"/>
      <c r="X368" s="74"/>
      <c r="AF368" s="238"/>
    </row>
    <row r="369" spans="2:32" s="123" customFormat="1">
      <c r="B369" s="125"/>
      <c r="D369" s="125"/>
      <c r="X369" s="74"/>
      <c r="AF369" s="238"/>
    </row>
    <row r="370" spans="2:32" s="123" customFormat="1">
      <c r="B370" s="125"/>
      <c r="D370" s="125"/>
      <c r="X370" s="74"/>
      <c r="AF370" s="238"/>
    </row>
    <row r="371" spans="2:32" s="123" customFormat="1">
      <c r="B371" s="125"/>
      <c r="D371" s="125"/>
      <c r="X371" s="74"/>
      <c r="AF371" s="238"/>
    </row>
    <row r="372" spans="2:32" s="123" customFormat="1">
      <c r="B372" s="125"/>
      <c r="D372" s="125"/>
      <c r="X372" s="74"/>
      <c r="AF372" s="238"/>
    </row>
    <row r="373" spans="2:32" s="123" customFormat="1">
      <c r="B373" s="125"/>
      <c r="D373" s="125"/>
      <c r="X373" s="74"/>
      <c r="AF373" s="238"/>
    </row>
    <row r="374" spans="2:32" s="123" customFormat="1">
      <c r="B374" s="125"/>
      <c r="D374" s="125"/>
      <c r="X374" s="74"/>
      <c r="AF374" s="238"/>
    </row>
    <row r="375" spans="2:32" s="123" customFormat="1">
      <c r="B375" s="125"/>
      <c r="D375" s="125"/>
      <c r="X375" s="74"/>
      <c r="AF375" s="238"/>
    </row>
    <row r="376" spans="2:32" s="123" customFormat="1">
      <c r="B376" s="125"/>
      <c r="D376" s="125"/>
      <c r="X376" s="74"/>
      <c r="AF376" s="238"/>
    </row>
    <row r="377" spans="2:32" s="123" customFormat="1">
      <c r="B377" s="125"/>
      <c r="D377" s="125"/>
      <c r="X377" s="74"/>
      <c r="AF377" s="238"/>
    </row>
    <row r="378" spans="2:32" s="123" customFormat="1">
      <c r="B378" s="125"/>
      <c r="D378" s="125"/>
      <c r="X378" s="74"/>
      <c r="AF378" s="238"/>
    </row>
    <row r="379" spans="2:32" s="123" customFormat="1">
      <c r="B379" s="125"/>
      <c r="D379" s="125"/>
      <c r="X379" s="74"/>
      <c r="AF379" s="238"/>
    </row>
    <row r="380" spans="2:32" s="123" customFormat="1">
      <c r="B380" s="125"/>
      <c r="D380" s="125"/>
      <c r="X380" s="74"/>
      <c r="AF380" s="238"/>
    </row>
    <row r="381" spans="2:32" s="123" customFormat="1">
      <c r="B381" s="125"/>
      <c r="D381" s="125"/>
      <c r="X381" s="74"/>
      <c r="AF381" s="238"/>
    </row>
    <row r="382" spans="2:32" s="123" customFormat="1">
      <c r="B382" s="125"/>
      <c r="D382" s="125"/>
      <c r="X382" s="74"/>
      <c r="AF382" s="238"/>
    </row>
    <row r="383" spans="2:32" s="123" customFormat="1">
      <c r="B383" s="125"/>
      <c r="D383" s="125"/>
      <c r="X383" s="74"/>
      <c r="AF383" s="238"/>
    </row>
    <row r="384" spans="2:32" s="123" customFormat="1">
      <c r="B384" s="125"/>
      <c r="D384" s="125"/>
      <c r="X384" s="74"/>
      <c r="AF384" s="238"/>
    </row>
    <row r="385" spans="2:32" s="123" customFormat="1">
      <c r="B385" s="125"/>
      <c r="D385" s="125"/>
      <c r="X385" s="74"/>
      <c r="AF385" s="238"/>
    </row>
    <row r="386" spans="2:32" s="123" customFormat="1">
      <c r="B386" s="125"/>
      <c r="D386" s="125"/>
      <c r="X386" s="74"/>
      <c r="AF386" s="238"/>
    </row>
    <row r="387" spans="2:32" s="123" customFormat="1">
      <c r="B387" s="125"/>
      <c r="D387" s="125"/>
      <c r="X387" s="74"/>
      <c r="AF387" s="238"/>
    </row>
    <row r="388" spans="2:32" s="123" customFormat="1">
      <c r="B388" s="125"/>
      <c r="D388" s="125"/>
      <c r="X388" s="74"/>
      <c r="AF388" s="238"/>
    </row>
    <row r="389" spans="2:32" s="123" customFormat="1">
      <c r="B389" s="125"/>
      <c r="D389" s="125"/>
      <c r="X389" s="74"/>
      <c r="AF389" s="238"/>
    </row>
    <row r="390" spans="2:32" s="123" customFormat="1">
      <c r="B390" s="125"/>
      <c r="D390" s="125"/>
      <c r="X390" s="74"/>
      <c r="AF390" s="238"/>
    </row>
    <row r="391" spans="2:32" s="123" customFormat="1">
      <c r="B391" s="125"/>
      <c r="D391" s="125"/>
      <c r="X391" s="74"/>
      <c r="AF391" s="238"/>
    </row>
    <row r="392" spans="2:32" s="123" customFormat="1">
      <c r="B392" s="125"/>
      <c r="D392" s="125"/>
      <c r="X392" s="74"/>
      <c r="AF392" s="238"/>
    </row>
    <row r="393" spans="2:32" s="123" customFormat="1">
      <c r="B393" s="125"/>
      <c r="D393" s="125"/>
      <c r="X393" s="74"/>
      <c r="AF393" s="238"/>
    </row>
    <row r="394" spans="2:32" s="123" customFormat="1">
      <c r="B394" s="125"/>
      <c r="D394" s="125"/>
      <c r="X394" s="74"/>
      <c r="AF394" s="238"/>
    </row>
    <row r="395" spans="2:32" s="123" customFormat="1">
      <c r="B395" s="125"/>
      <c r="D395" s="125"/>
      <c r="X395" s="74"/>
      <c r="AF395" s="238"/>
    </row>
    <row r="396" spans="2:32" s="123" customFormat="1">
      <c r="B396" s="125"/>
      <c r="D396" s="125"/>
      <c r="X396" s="74"/>
      <c r="AF396" s="238"/>
    </row>
    <row r="397" spans="2:32" s="123" customFormat="1">
      <c r="B397" s="125"/>
      <c r="D397" s="125"/>
      <c r="X397" s="74"/>
      <c r="AF397" s="238"/>
    </row>
    <row r="398" spans="2:32" s="123" customFormat="1">
      <c r="B398" s="125"/>
      <c r="D398" s="125"/>
      <c r="X398" s="74"/>
      <c r="AF398" s="238"/>
    </row>
    <row r="399" spans="2:32" s="123" customFormat="1">
      <c r="B399" s="125"/>
      <c r="D399" s="125"/>
      <c r="X399" s="74"/>
      <c r="AF399" s="238"/>
    </row>
    <row r="400" spans="2:32" s="123" customFormat="1">
      <c r="B400" s="125"/>
      <c r="D400" s="125"/>
      <c r="X400" s="74"/>
      <c r="AF400" s="238"/>
    </row>
    <row r="401" spans="2:32" s="123" customFormat="1">
      <c r="B401" s="125"/>
      <c r="D401" s="125"/>
      <c r="X401" s="74"/>
      <c r="AF401" s="238"/>
    </row>
    <row r="402" spans="2:32" s="123" customFormat="1">
      <c r="B402" s="125"/>
      <c r="D402" s="125"/>
      <c r="X402" s="74"/>
      <c r="AF402" s="238"/>
    </row>
    <row r="403" spans="2:32" s="123" customFormat="1">
      <c r="B403" s="125"/>
      <c r="D403" s="125"/>
      <c r="X403" s="74"/>
      <c r="AF403" s="238"/>
    </row>
    <row r="404" spans="2:32" s="123" customFormat="1">
      <c r="B404" s="125"/>
      <c r="D404" s="125"/>
      <c r="X404" s="74"/>
      <c r="AF404" s="238"/>
    </row>
    <row r="405" spans="2:32" s="123" customFormat="1">
      <c r="B405" s="125"/>
      <c r="D405" s="125"/>
      <c r="X405" s="74"/>
      <c r="AF405" s="238"/>
    </row>
    <row r="406" spans="2:32" s="123" customFormat="1">
      <c r="B406" s="125"/>
      <c r="D406" s="125"/>
      <c r="X406" s="74"/>
      <c r="AF406" s="238"/>
    </row>
    <row r="407" spans="2:32" s="123" customFormat="1">
      <c r="B407" s="125"/>
      <c r="D407" s="125"/>
      <c r="X407" s="74"/>
      <c r="AF407" s="238"/>
    </row>
    <row r="408" spans="2:32" s="123" customFormat="1">
      <c r="B408" s="125"/>
      <c r="D408" s="125"/>
      <c r="X408" s="74"/>
      <c r="AF408" s="238"/>
    </row>
    <row r="409" spans="2:32" s="123" customFormat="1">
      <c r="B409" s="125"/>
      <c r="D409" s="125"/>
      <c r="X409" s="74"/>
      <c r="AF409" s="238"/>
    </row>
    <row r="410" spans="2:32" s="123" customFormat="1">
      <c r="B410" s="125"/>
      <c r="D410" s="125"/>
      <c r="X410" s="74"/>
      <c r="AF410" s="238"/>
    </row>
    <row r="411" spans="2:32" s="123" customFormat="1">
      <c r="B411" s="125"/>
      <c r="D411" s="125"/>
      <c r="X411" s="74"/>
      <c r="AF411" s="238"/>
    </row>
    <row r="412" spans="2:32" s="123" customFormat="1">
      <c r="B412" s="125"/>
      <c r="D412" s="125"/>
      <c r="X412" s="74"/>
      <c r="AF412" s="238"/>
    </row>
    <row r="413" spans="2:32" s="123" customFormat="1">
      <c r="B413" s="125"/>
      <c r="D413" s="125"/>
      <c r="X413" s="74"/>
      <c r="AF413" s="238"/>
    </row>
    <row r="414" spans="2:32" s="123" customFormat="1">
      <c r="B414" s="125"/>
      <c r="D414" s="125"/>
      <c r="X414" s="74"/>
      <c r="AF414" s="238"/>
    </row>
    <row r="415" spans="2:32" s="123" customFormat="1">
      <c r="B415" s="125"/>
      <c r="D415" s="125"/>
      <c r="X415" s="74"/>
      <c r="AF415" s="238"/>
    </row>
    <row r="416" spans="2:32" s="123" customFormat="1">
      <c r="B416" s="125"/>
      <c r="D416" s="125"/>
      <c r="X416" s="74"/>
      <c r="AF416" s="238"/>
    </row>
    <row r="417" spans="2:32" s="123" customFormat="1">
      <c r="B417" s="125"/>
      <c r="D417" s="125"/>
      <c r="X417" s="74"/>
      <c r="AF417" s="238"/>
    </row>
    <row r="418" spans="2:32" s="123" customFormat="1">
      <c r="B418" s="125"/>
      <c r="D418" s="125"/>
      <c r="X418" s="74"/>
      <c r="AF418" s="238"/>
    </row>
    <row r="419" spans="2:32" s="123" customFormat="1">
      <c r="B419" s="125"/>
      <c r="D419" s="125"/>
      <c r="X419" s="74"/>
      <c r="AF419" s="238"/>
    </row>
    <row r="420" spans="2:32" s="123" customFormat="1">
      <c r="B420" s="125"/>
      <c r="D420" s="125"/>
      <c r="X420" s="74"/>
      <c r="AF420" s="238"/>
    </row>
    <row r="421" spans="2:32" s="123" customFormat="1">
      <c r="B421" s="125"/>
      <c r="D421" s="125"/>
      <c r="X421" s="74"/>
      <c r="AF421" s="238"/>
    </row>
    <row r="422" spans="2:32" s="123" customFormat="1">
      <c r="B422" s="125"/>
      <c r="D422" s="125"/>
      <c r="X422" s="74"/>
      <c r="AF422" s="238"/>
    </row>
    <row r="423" spans="2:32" s="123" customFormat="1">
      <c r="B423" s="125"/>
      <c r="D423" s="125"/>
      <c r="X423" s="74"/>
      <c r="AF423" s="238"/>
    </row>
    <row r="424" spans="2:32" s="123" customFormat="1">
      <c r="B424" s="125"/>
      <c r="D424" s="125"/>
      <c r="X424" s="74"/>
      <c r="AF424" s="238"/>
    </row>
    <row r="425" spans="2:32" s="123" customFormat="1">
      <c r="B425" s="125"/>
      <c r="D425" s="125"/>
      <c r="X425" s="74"/>
      <c r="AF425" s="238"/>
    </row>
    <row r="426" spans="2:32" s="123" customFormat="1">
      <c r="B426" s="125"/>
      <c r="D426" s="125"/>
      <c r="X426" s="74"/>
      <c r="AF426" s="238"/>
    </row>
    <row r="427" spans="2:32" s="123" customFormat="1">
      <c r="B427" s="125"/>
      <c r="D427" s="125"/>
      <c r="X427" s="74"/>
      <c r="AF427" s="238"/>
    </row>
    <row r="428" spans="2:32" s="123" customFormat="1">
      <c r="B428" s="125"/>
      <c r="D428" s="125"/>
      <c r="X428" s="74"/>
      <c r="AF428" s="238"/>
    </row>
    <row r="429" spans="2:32" s="123" customFormat="1">
      <c r="B429" s="125"/>
      <c r="D429" s="125"/>
      <c r="X429" s="74"/>
      <c r="AF429" s="238"/>
    </row>
    <row r="430" spans="2:32" s="123" customFormat="1">
      <c r="B430" s="125"/>
      <c r="D430" s="125"/>
      <c r="X430" s="74"/>
      <c r="AF430" s="238"/>
    </row>
    <row r="431" spans="2:32" s="123" customFormat="1">
      <c r="B431" s="125"/>
      <c r="D431" s="125"/>
      <c r="X431" s="74"/>
      <c r="AF431" s="238"/>
    </row>
    <row r="432" spans="2:32" s="123" customFormat="1">
      <c r="B432" s="125"/>
      <c r="D432" s="125"/>
      <c r="X432" s="74"/>
      <c r="AF432" s="238"/>
    </row>
    <row r="433" spans="2:32" s="123" customFormat="1">
      <c r="B433" s="125"/>
      <c r="D433" s="125"/>
      <c r="X433" s="74"/>
      <c r="AF433" s="238"/>
    </row>
    <row r="434" spans="2:32" s="123" customFormat="1">
      <c r="B434" s="125"/>
      <c r="D434" s="125"/>
      <c r="X434" s="74"/>
      <c r="AF434" s="238"/>
    </row>
    <row r="435" spans="2:32" s="123" customFormat="1">
      <c r="B435" s="125"/>
      <c r="D435" s="125"/>
      <c r="X435" s="74"/>
      <c r="AF435" s="238"/>
    </row>
    <row r="436" spans="2:32" s="123" customFormat="1">
      <c r="B436" s="125"/>
      <c r="D436" s="125"/>
      <c r="X436" s="74"/>
      <c r="AF436" s="238"/>
    </row>
    <row r="437" spans="2:32" s="123" customFormat="1">
      <c r="B437" s="125"/>
      <c r="D437" s="125"/>
      <c r="X437" s="74"/>
      <c r="AF437" s="238"/>
    </row>
    <row r="438" spans="2:32" s="123" customFormat="1">
      <c r="B438" s="125"/>
      <c r="D438" s="125"/>
      <c r="X438" s="74"/>
      <c r="AF438" s="238"/>
    </row>
    <row r="439" spans="2:32" s="123" customFormat="1">
      <c r="B439" s="125"/>
      <c r="D439" s="125"/>
      <c r="X439" s="74"/>
      <c r="AF439" s="238"/>
    </row>
    <row r="440" spans="2:32" s="123" customFormat="1">
      <c r="B440" s="125"/>
      <c r="D440" s="125"/>
      <c r="X440" s="74"/>
      <c r="AF440" s="238"/>
    </row>
    <row r="441" spans="2:32" s="123" customFormat="1">
      <c r="B441" s="125"/>
      <c r="D441" s="125"/>
      <c r="X441" s="74"/>
      <c r="AF441" s="238"/>
    </row>
    <row r="442" spans="2:32" s="123" customFormat="1">
      <c r="B442" s="125"/>
      <c r="D442" s="125"/>
      <c r="X442" s="74"/>
      <c r="AF442" s="238"/>
    </row>
    <row r="443" spans="2:32" s="123" customFormat="1">
      <c r="B443" s="125"/>
      <c r="D443" s="125"/>
      <c r="X443" s="74"/>
      <c r="AF443" s="238"/>
    </row>
    <row r="444" spans="2:32" s="123" customFormat="1">
      <c r="B444" s="125"/>
      <c r="D444" s="125"/>
      <c r="X444" s="74"/>
      <c r="AF444" s="238"/>
    </row>
    <row r="445" spans="2:32" s="123" customFormat="1">
      <c r="B445" s="125"/>
      <c r="D445" s="125"/>
      <c r="X445" s="74"/>
      <c r="AF445" s="238"/>
    </row>
    <row r="446" spans="2:32" s="123" customFormat="1">
      <c r="B446" s="125"/>
      <c r="D446" s="125"/>
      <c r="X446" s="74"/>
      <c r="AF446" s="238"/>
    </row>
    <row r="447" spans="2:32" s="123" customFormat="1">
      <c r="B447" s="125"/>
      <c r="D447" s="125"/>
      <c r="X447" s="74"/>
      <c r="AF447" s="238"/>
    </row>
    <row r="448" spans="2:32" s="123" customFormat="1">
      <c r="B448" s="125"/>
      <c r="D448" s="125"/>
      <c r="X448" s="74"/>
      <c r="AF448" s="238"/>
    </row>
    <row r="449" spans="2:32" s="123" customFormat="1">
      <c r="B449" s="125"/>
      <c r="D449" s="125"/>
      <c r="X449" s="74"/>
      <c r="AF449" s="238"/>
    </row>
    <row r="450" spans="2:32" s="123" customFormat="1">
      <c r="B450" s="125"/>
      <c r="D450" s="125"/>
      <c r="X450" s="74"/>
      <c r="AF450" s="238"/>
    </row>
    <row r="451" spans="2:32" s="123" customFormat="1">
      <c r="B451" s="125"/>
      <c r="D451" s="125"/>
      <c r="X451" s="74"/>
      <c r="AF451" s="238"/>
    </row>
    <row r="452" spans="2:32" s="123" customFormat="1">
      <c r="B452" s="125"/>
      <c r="D452" s="125"/>
      <c r="X452" s="74"/>
      <c r="AF452" s="238"/>
    </row>
    <row r="453" spans="2:32" s="123" customFormat="1">
      <c r="B453" s="125"/>
      <c r="D453" s="125"/>
      <c r="X453" s="74"/>
      <c r="AF453" s="238"/>
    </row>
    <row r="454" spans="2:32" s="123" customFormat="1">
      <c r="B454" s="125"/>
      <c r="D454" s="125"/>
      <c r="X454" s="74"/>
      <c r="AF454" s="238"/>
    </row>
    <row r="455" spans="2:32" s="123" customFormat="1">
      <c r="B455" s="125"/>
      <c r="D455" s="125"/>
      <c r="X455" s="74"/>
      <c r="AF455" s="238"/>
    </row>
    <row r="456" spans="2:32" s="123" customFormat="1">
      <c r="B456" s="125"/>
      <c r="D456" s="125"/>
      <c r="X456" s="74"/>
      <c r="AF456" s="238"/>
    </row>
    <row r="457" spans="2:32" s="123" customFormat="1">
      <c r="B457" s="125"/>
      <c r="D457" s="125"/>
      <c r="X457" s="74"/>
      <c r="AF457" s="238"/>
    </row>
    <row r="458" spans="2:32" s="123" customFormat="1">
      <c r="B458" s="125"/>
      <c r="D458" s="125"/>
      <c r="X458" s="74"/>
      <c r="AF458" s="238"/>
    </row>
    <row r="459" spans="2:32" s="123" customFormat="1">
      <c r="B459" s="125"/>
      <c r="D459" s="125"/>
      <c r="X459" s="74"/>
      <c r="AF459" s="238"/>
    </row>
    <row r="460" spans="2:32" s="123" customFormat="1">
      <c r="B460" s="125"/>
      <c r="D460" s="125"/>
      <c r="X460" s="74"/>
      <c r="AF460" s="238"/>
    </row>
    <row r="461" spans="2:32" s="123" customFormat="1">
      <c r="B461" s="125"/>
      <c r="D461" s="125"/>
      <c r="X461" s="74"/>
      <c r="AF461" s="238"/>
    </row>
    <row r="462" spans="2:32" s="123" customFormat="1">
      <c r="B462" s="125"/>
      <c r="D462" s="125"/>
      <c r="X462" s="74"/>
      <c r="AF462" s="238"/>
    </row>
    <row r="463" spans="2:32" s="123" customFormat="1">
      <c r="B463" s="125"/>
      <c r="D463" s="125"/>
      <c r="X463" s="74"/>
      <c r="AF463" s="238"/>
    </row>
    <row r="464" spans="2:32" s="123" customFormat="1">
      <c r="B464" s="125"/>
      <c r="D464" s="125"/>
      <c r="X464" s="74"/>
      <c r="AF464" s="238"/>
    </row>
    <row r="465" spans="2:32" s="123" customFormat="1">
      <c r="B465" s="125"/>
      <c r="D465" s="125"/>
      <c r="X465" s="74"/>
      <c r="AF465" s="238"/>
    </row>
    <row r="466" spans="2:32" s="123" customFormat="1">
      <c r="B466" s="125"/>
      <c r="D466" s="125"/>
      <c r="X466" s="74"/>
      <c r="AF466" s="238"/>
    </row>
    <row r="467" spans="2:32" s="123" customFormat="1">
      <c r="B467" s="125"/>
      <c r="D467" s="125"/>
      <c r="X467" s="74"/>
      <c r="AF467" s="238"/>
    </row>
    <row r="468" spans="2:32" s="123" customFormat="1">
      <c r="B468" s="125"/>
      <c r="D468" s="125"/>
      <c r="X468" s="74"/>
      <c r="AF468" s="238"/>
    </row>
    <row r="469" spans="2:32" s="123" customFormat="1">
      <c r="B469" s="125"/>
      <c r="D469" s="125"/>
      <c r="X469" s="74"/>
      <c r="AF469" s="238"/>
    </row>
    <row r="470" spans="2:32" s="123" customFormat="1">
      <c r="B470" s="125"/>
      <c r="D470" s="125"/>
      <c r="X470" s="74"/>
      <c r="AF470" s="238"/>
    </row>
    <row r="471" spans="2:32" s="123" customFormat="1">
      <c r="B471" s="125"/>
      <c r="D471" s="125"/>
      <c r="X471" s="74"/>
      <c r="AF471" s="238"/>
    </row>
    <row r="472" spans="2:32" s="123" customFormat="1">
      <c r="B472" s="125"/>
      <c r="D472" s="125"/>
      <c r="X472" s="74"/>
      <c r="AF472" s="238"/>
    </row>
    <row r="473" spans="2:32" s="123" customFormat="1">
      <c r="B473" s="125"/>
      <c r="D473" s="125"/>
      <c r="X473" s="74"/>
      <c r="AF473" s="238"/>
    </row>
    <row r="474" spans="2:32" s="123" customFormat="1">
      <c r="B474" s="125"/>
      <c r="D474" s="125"/>
      <c r="X474" s="74"/>
      <c r="AF474" s="238"/>
    </row>
    <row r="475" spans="2:32" s="123" customFormat="1">
      <c r="B475" s="125"/>
      <c r="D475" s="125"/>
      <c r="X475" s="74"/>
      <c r="AF475" s="238"/>
    </row>
    <row r="476" spans="2:32" s="123" customFormat="1">
      <c r="B476" s="125"/>
      <c r="D476" s="125"/>
      <c r="X476" s="74"/>
      <c r="AF476" s="238"/>
    </row>
    <row r="477" spans="2:32" s="123" customFormat="1">
      <c r="B477" s="125"/>
      <c r="D477" s="125"/>
      <c r="X477" s="74"/>
      <c r="AF477" s="238"/>
    </row>
    <row r="478" spans="2:32" s="123" customFormat="1">
      <c r="B478" s="125"/>
      <c r="D478" s="125"/>
      <c r="X478" s="74"/>
      <c r="AF478" s="238"/>
    </row>
    <row r="479" spans="2:32" s="123" customFormat="1">
      <c r="B479" s="125"/>
      <c r="D479" s="125"/>
      <c r="X479" s="74"/>
      <c r="AF479" s="238"/>
    </row>
    <row r="480" spans="2:32" s="123" customFormat="1">
      <c r="B480" s="125"/>
      <c r="D480" s="125"/>
      <c r="X480" s="74"/>
      <c r="AF480" s="238"/>
    </row>
    <row r="481" spans="2:32" s="123" customFormat="1">
      <c r="B481" s="125"/>
      <c r="D481" s="125"/>
      <c r="X481" s="74"/>
      <c r="AF481" s="238"/>
    </row>
    <row r="482" spans="2:32" s="123" customFormat="1">
      <c r="B482" s="125"/>
      <c r="D482" s="125"/>
      <c r="X482" s="74"/>
      <c r="AF482" s="238"/>
    </row>
    <row r="483" spans="2:32" s="123" customFormat="1">
      <c r="B483" s="125"/>
      <c r="D483" s="125"/>
      <c r="X483" s="74"/>
      <c r="AF483" s="238"/>
    </row>
    <row r="484" spans="2:32" s="123" customFormat="1">
      <c r="B484" s="125"/>
      <c r="D484" s="125"/>
      <c r="X484" s="74"/>
      <c r="AF484" s="238"/>
    </row>
    <row r="485" spans="2:32" s="123" customFormat="1">
      <c r="B485" s="125"/>
      <c r="D485" s="125"/>
      <c r="X485" s="74"/>
      <c r="AF485" s="238"/>
    </row>
    <row r="486" spans="2:32" s="123" customFormat="1">
      <c r="B486" s="125"/>
      <c r="D486" s="125"/>
      <c r="X486" s="74"/>
      <c r="AF486" s="238"/>
    </row>
    <row r="487" spans="2:32" s="123" customFormat="1">
      <c r="B487" s="125"/>
      <c r="D487" s="125"/>
      <c r="X487" s="74"/>
      <c r="AF487" s="238"/>
    </row>
    <row r="488" spans="2:32" s="123" customFormat="1">
      <c r="B488" s="125"/>
      <c r="D488" s="125"/>
      <c r="X488" s="74"/>
      <c r="AF488" s="238"/>
    </row>
    <row r="489" spans="2:32" s="123" customFormat="1">
      <c r="B489" s="125"/>
      <c r="D489" s="125"/>
      <c r="X489" s="74"/>
      <c r="AF489" s="238"/>
    </row>
    <row r="490" spans="2:32" s="123" customFormat="1">
      <c r="B490" s="125"/>
      <c r="D490" s="125"/>
      <c r="X490" s="74"/>
      <c r="AF490" s="238"/>
    </row>
    <row r="491" spans="2:32" s="123" customFormat="1">
      <c r="B491" s="125"/>
      <c r="D491" s="125"/>
      <c r="X491" s="74"/>
      <c r="AF491" s="238"/>
    </row>
    <row r="492" spans="2:32" s="123" customFormat="1">
      <c r="B492" s="125"/>
      <c r="D492" s="125"/>
      <c r="X492" s="74"/>
      <c r="AF492" s="238"/>
    </row>
    <row r="493" spans="2:32" s="123" customFormat="1">
      <c r="B493" s="125"/>
      <c r="D493" s="125"/>
      <c r="X493" s="74"/>
      <c r="AF493" s="238"/>
    </row>
    <row r="494" spans="2:32" s="123" customFormat="1">
      <c r="B494" s="125"/>
      <c r="D494" s="125"/>
      <c r="X494" s="74"/>
      <c r="AF494" s="238"/>
    </row>
    <row r="495" spans="2:32" s="123" customFormat="1">
      <c r="B495" s="125"/>
      <c r="D495" s="125"/>
      <c r="X495" s="74"/>
      <c r="AF495" s="238"/>
    </row>
    <row r="496" spans="2:32" s="123" customFormat="1">
      <c r="B496" s="125"/>
      <c r="D496" s="125"/>
      <c r="X496" s="74"/>
      <c r="AF496" s="238"/>
    </row>
    <row r="497" spans="2:32" s="123" customFormat="1">
      <c r="B497" s="125"/>
      <c r="D497" s="125"/>
      <c r="X497" s="74"/>
      <c r="AF497" s="238"/>
    </row>
    <row r="498" spans="2:32" s="123" customFormat="1">
      <c r="B498" s="125"/>
      <c r="D498" s="125"/>
      <c r="X498" s="74"/>
      <c r="AF498" s="238"/>
    </row>
    <row r="499" spans="2:32" s="123" customFormat="1">
      <c r="B499" s="125"/>
      <c r="D499" s="125"/>
      <c r="X499" s="74"/>
      <c r="AF499" s="238"/>
    </row>
    <row r="500" spans="2:32" s="123" customFormat="1">
      <c r="B500" s="125"/>
      <c r="D500" s="125"/>
      <c r="X500" s="74"/>
      <c r="AF500" s="238"/>
    </row>
    <row r="501" spans="2:32" s="123" customFormat="1">
      <c r="B501" s="125"/>
      <c r="D501" s="125"/>
      <c r="X501" s="74"/>
      <c r="AF501" s="238"/>
    </row>
    <row r="502" spans="2:32" s="123" customFormat="1">
      <c r="B502" s="125"/>
      <c r="D502" s="125"/>
      <c r="X502" s="74"/>
      <c r="AF502" s="238"/>
    </row>
    <row r="503" spans="2:32" s="123" customFormat="1">
      <c r="B503" s="125"/>
      <c r="D503" s="125"/>
      <c r="X503" s="74"/>
      <c r="AF503" s="238"/>
    </row>
    <row r="504" spans="2:32" s="123" customFormat="1">
      <c r="B504" s="125"/>
      <c r="D504" s="125"/>
      <c r="X504" s="74"/>
      <c r="AF504" s="238"/>
    </row>
    <row r="505" spans="2:32" s="123" customFormat="1">
      <c r="B505" s="125"/>
      <c r="D505" s="125"/>
      <c r="X505" s="74"/>
      <c r="AF505" s="238"/>
    </row>
    <row r="506" spans="2:32" s="123" customFormat="1">
      <c r="B506" s="125"/>
      <c r="D506" s="125"/>
      <c r="X506" s="74"/>
      <c r="AF506" s="238"/>
    </row>
    <row r="507" spans="2:32" s="123" customFormat="1">
      <c r="B507" s="125"/>
      <c r="D507" s="125"/>
      <c r="X507" s="74"/>
      <c r="AF507" s="238"/>
    </row>
    <row r="508" spans="2:32" s="123" customFormat="1">
      <c r="B508" s="125"/>
      <c r="D508" s="125"/>
      <c r="X508" s="74"/>
      <c r="AF508" s="238"/>
    </row>
    <row r="509" spans="2:32" s="123" customFormat="1">
      <c r="B509" s="125"/>
      <c r="D509" s="125"/>
      <c r="X509" s="74"/>
      <c r="AF509" s="238"/>
    </row>
    <row r="510" spans="2:32" s="123" customFormat="1">
      <c r="B510" s="125"/>
      <c r="D510" s="125"/>
      <c r="X510" s="74"/>
      <c r="AF510" s="238"/>
    </row>
    <row r="511" spans="2:32" s="123" customFormat="1">
      <c r="B511" s="125"/>
      <c r="D511" s="125"/>
      <c r="X511" s="74"/>
      <c r="AF511" s="238"/>
    </row>
    <row r="512" spans="2:32" s="123" customFormat="1">
      <c r="B512" s="125"/>
      <c r="D512" s="125"/>
      <c r="X512" s="74"/>
      <c r="AF512" s="238"/>
    </row>
    <row r="513" spans="2:32" s="123" customFormat="1">
      <c r="B513" s="125"/>
      <c r="D513" s="125"/>
      <c r="X513" s="74"/>
      <c r="AF513" s="238"/>
    </row>
    <row r="514" spans="2:32" s="123" customFormat="1">
      <c r="B514" s="125"/>
      <c r="D514" s="125"/>
      <c r="X514" s="74"/>
      <c r="AF514" s="238"/>
    </row>
    <row r="515" spans="2:32" s="123" customFormat="1">
      <c r="B515" s="125"/>
      <c r="D515" s="125"/>
      <c r="X515" s="74"/>
      <c r="AF515" s="238"/>
    </row>
    <row r="516" spans="2:32" s="123" customFormat="1">
      <c r="B516" s="125"/>
      <c r="D516" s="125"/>
      <c r="X516" s="74"/>
      <c r="AF516" s="238"/>
    </row>
    <row r="517" spans="2:32" s="123" customFormat="1">
      <c r="B517" s="125"/>
      <c r="D517" s="125"/>
      <c r="X517" s="74"/>
      <c r="AF517" s="238"/>
    </row>
    <row r="518" spans="2:32" s="123" customFormat="1">
      <c r="B518" s="125"/>
      <c r="D518" s="125"/>
      <c r="X518" s="74"/>
      <c r="AF518" s="238"/>
    </row>
    <row r="519" spans="2:32" s="123" customFormat="1">
      <c r="B519" s="125"/>
      <c r="D519" s="125"/>
      <c r="X519" s="74"/>
      <c r="AF519" s="238"/>
    </row>
    <row r="520" spans="2:32" s="123" customFormat="1">
      <c r="B520" s="125"/>
      <c r="D520" s="125"/>
      <c r="X520" s="74"/>
      <c r="AF520" s="238"/>
    </row>
    <row r="521" spans="2:32" s="123" customFormat="1">
      <c r="B521" s="125"/>
      <c r="D521" s="125"/>
      <c r="X521" s="74"/>
      <c r="AF521" s="238"/>
    </row>
    <row r="522" spans="2:32" s="123" customFormat="1">
      <c r="B522" s="125"/>
      <c r="D522" s="125"/>
      <c r="X522" s="74"/>
      <c r="AF522" s="238"/>
    </row>
    <row r="523" spans="2:32" s="123" customFormat="1">
      <c r="B523" s="125"/>
      <c r="D523" s="125"/>
      <c r="X523" s="74"/>
      <c r="AF523" s="238"/>
    </row>
    <row r="524" spans="2:32" s="123" customFormat="1">
      <c r="B524" s="125"/>
      <c r="D524" s="125"/>
      <c r="X524" s="74"/>
      <c r="AF524" s="238"/>
    </row>
    <row r="525" spans="2:32" s="123" customFormat="1">
      <c r="B525" s="125"/>
      <c r="D525" s="125"/>
      <c r="X525" s="74"/>
      <c r="AF525" s="238"/>
    </row>
    <row r="526" spans="2:32" s="123" customFormat="1">
      <c r="B526" s="125"/>
      <c r="D526" s="125"/>
      <c r="X526" s="74"/>
      <c r="AF526" s="238"/>
    </row>
    <row r="527" spans="2:32" s="123" customFormat="1">
      <c r="B527" s="125"/>
      <c r="D527" s="125"/>
      <c r="X527" s="74"/>
      <c r="AF527" s="238"/>
    </row>
    <row r="528" spans="2:32" s="123" customFormat="1">
      <c r="B528" s="125"/>
      <c r="D528" s="125"/>
      <c r="X528" s="74"/>
      <c r="AF528" s="238"/>
    </row>
    <row r="529" spans="2:32" s="123" customFormat="1">
      <c r="B529" s="125"/>
      <c r="D529" s="125"/>
      <c r="X529" s="74"/>
      <c r="AF529" s="238"/>
    </row>
    <row r="530" spans="2:32" s="123" customFormat="1">
      <c r="B530" s="125"/>
      <c r="D530" s="125"/>
      <c r="X530" s="74"/>
      <c r="AF530" s="238"/>
    </row>
    <row r="531" spans="2:32" s="123" customFormat="1">
      <c r="B531" s="125"/>
      <c r="D531" s="125"/>
      <c r="X531" s="74"/>
      <c r="AF531" s="238"/>
    </row>
    <row r="532" spans="2:32" s="123" customFormat="1">
      <c r="B532" s="125"/>
      <c r="D532" s="125"/>
      <c r="X532" s="74"/>
      <c r="AF532" s="238"/>
    </row>
    <row r="533" spans="2:32" s="123" customFormat="1">
      <c r="B533" s="125"/>
      <c r="D533" s="125"/>
      <c r="X533" s="74"/>
      <c r="AF533" s="238"/>
    </row>
    <row r="534" spans="2:32" s="123" customFormat="1">
      <c r="B534" s="125"/>
      <c r="D534" s="125"/>
      <c r="X534" s="74"/>
      <c r="AF534" s="238"/>
    </row>
    <row r="535" spans="2:32" s="123" customFormat="1">
      <c r="B535" s="125"/>
      <c r="D535" s="125"/>
      <c r="X535" s="74"/>
      <c r="AF535" s="238"/>
    </row>
    <row r="536" spans="2:32" s="123" customFormat="1">
      <c r="B536" s="125"/>
      <c r="D536" s="125"/>
      <c r="X536" s="74"/>
      <c r="AF536" s="238"/>
    </row>
    <row r="537" spans="2:32" s="123" customFormat="1">
      <c r="B537" s="125"/>
      <c r="D537" s="125"/>
      <c r="X537" s="74"/>
      <c r="AF537" s="238"/>
    </row>
    <row r="538" spans="2:32" s="123" customFormat="1">
      <c r="B538" s="125"/>
      <c r="D538" s="125"/>
      <c r="X538" s="74"/>
      <c r="AF538" s="238"/>
    </row>
    <row r="539" spans="2:32" s="123" customFormat="1">
      <c r="B539" s="125"/>
      <c r="D539" s="125"/>
      <c r="X539" s="74"/>
      <c r="AF539" s="238"/>
    </row>
    <row r="540" spans="2:32" s="123" customFormat="1">
      <c r="B540" s="125"/>
      <c r="D540" s="125"/>
      <c r="X540" s="74"/>
      <c r="AF540" s="238"/>
    </row>
    <row r="541" spans="2:32" s="123" customFormat="1">
      <c r="B541" s="125"/>
      <c r="D541" s="125"/>
      <c r="X541" s="74"/>
      <c r="AF541" s="238"/>
    </row>
    <row r="542" spans="2:32" s="123" customFormat="1">
      <c r="B542" s="125"/>
      <c r="D542" s="125"/>
      <c r="X542" s="74"/>
      <c r="AF542" s="238"/>
    </row>
    <row r="543" spans="2:32" s="123" customFormat="1">
      <c r="B543" s="125"/>
      <c r="D543" s="125"/>
      <c r="X543" s="74"/>
      <c r="AF543" s="238"/>
    </row>
    <row r="544" spans="2:32" s="123" customFormat="1">
      <c r="B544" s="125"/>
      <c r="D544" s="125"/>
      <c r="X544" s="74"/>
      <c r="AF544" s="238"/>
    </row>
    <row r="545" spans="2:32" s="123" customFormat="1">
      <c r="B545" s="125"/>
      <c r="D545" s="125"/>
      <c r="X545" s="74"/>
      <c r="AF545" s="238"/>
    </row>
    <row r="546" spans="2:32" s="123" customFormat="1">
      <c r="B546" s="125"/>
      <c r="D546" s="125"/>
      <c r="X546" s="74"/>
      <c r="AF546" s="238"/>
    </row>
    <row r="547" spans="2:32" s="123" customFormat="1">
      <c r="B547" s="125"/>
      <c r="D547" s="125"/>
      <c r="X547" s="74"/>
      <c r="AF547" s="238"/>
    </row>
    <row r="548" spans="2:32" s="123" customFormat="1">
      <c r="B548" s="125"/>
      <c r="D548" s="125"/>
      <c r="X548" s="74"/>
      <c r="AF548" s="238"/>
    </row>
    <row r="549" spans="2:32" s="123" customFormat="1">
      <c r="B549" s="125"/>
      <c r="D549" s="125"/>
      <c r="X549" s="74"/>
      <c r="AF549" s="238"/>
    </row>
    <row r="550" spans="2:32" s="123" customFormat="1">
      <c r="B550" s="125"/>
      <c r="D550" s="125"/>
      <c r="X550" s="74"/>
      <c r="AF550" s="238"/>
    </row>
    <row r="551" spans="2:32" s="123" customFormat="1">
      <c r="B551" s="125"/>
      <c r="D551" s="125"/>
      <c r="X551" s="74"/>
      <c r="AF551" s="238"/>
    </row>
    <row r="552" spans="2:32" s="123" customFormat="1">
      <c r="B552" s="125"/>
      <c r="D552" s="125"/>
      <c r="X552" s="74"/>
      <c r="AF552" s="238"/>
    </row>
    <row r="553" spans="2:32" s="123" customFormat="1">
      <c r="B553" s="125"/>
      <c r="D553" s="125"/>
      <c r="X553" s="74"/>
      <c r="AF553" s="238"/>
    </row>
    <row r="554" spans="2:32" s="123" customFormat="1">
      <c r="B554" s="125"/>
      <c r="D554" s="125"/>
      <c r="X554" s="74"/>
      <c r="AF554" s="238"/>
    </row>
    <row r="555" spans="2:32" s="123" customFormat="1">
      <c r="B555" s="125"/>
      <c r="D555" s="125"/>
      <c r="X555" s="74"/>
      <c r="AF555" s="238"/>
    </row>
    <row r="556" spans="2:32" s="123" customFormat="1">
      <c r="B556" s="125"/>
      <c r="D556" s="125"/>
      <c r="X556" s="74"/>
      <c r="AF556" s="238"/>
    </row>
    <row r="557" spans="2:32" s="123" customFormat="1">
      <c r="B557" s="125"/>
      <c r="D557" s="125"/>
      <c r="X557" s="74"/>
      <c r="AF557" s="238"/>
    </row>
    <row r="558" spans="2:32" s="123" customFormat="1">
      <c r="B558" s="125"/>
      <c r="D558" s="125"/>
      <c r="X558" s="74"/>
      <c r="AF558" s="238"/>
    </row>
    <row r="559" spans="2:32" s="123" customFormat="1">
      <c r="B559" s="125"/>
      <c r="D559" s="125"/>
      <c r="X559" s="74"/>
      <c r="AF559" s="238"/>
    </row>
    <row r="560" spans="2:32" s="123" customFormat="1">
      <c r="B560" s="125"/>
      <c r="D560" s="125"/>
      <c r="X560" s="74"/>
      <c r="AF560" s="238"/>
    </row>
    <row r="561" spans="2:32" s="123" customFormat="1">
      <c r="B561" s="125"/>
      <c r="D561" s="125"/>
      <c r="X561" s="74"/>
      <c r="AF561" s="238"/>
    </row>
    <row r="562" spans="2:32" s="123" customFormat="1">
      <c r="B562" s="125"/>
      <c r="D562" s="125"/>
      <c r="X562" s="74"/>
      <c r="AF562" s="238"/>
    </row>
    <row r="563" spans="2:32" s="123" customFormat="1">
      <c r="B563" s="125"/>
      <c r="D563" s="125"/>
      <c r="X563" s="74"/>
      <c r="AF563" s="238"/>
    </row>
    <row r="564" spans="2:32" s="123" customFormat="1">
      <c r="B564" s="125"/>
      <c r="D564" s="125"/>
      <c r="X564" s="74"/>
      <c r="AF564" s="238"/>
    </row>
    <row r="565" spans="2:32" s="123" customFormat="1">
      <c r="B565" s="125"/>
      <c r="D565" s="125"/>
      <c r="X565" s="74"/>
      <c r="AF565" s="238"/>
    </row>
    <row r="566" spans="2:32" s="123" customFormat="1">
      <c r="B566" s="125"/>
      <c r="D566" s="125"/>
      <c r="X566" s="74"/>
      <c r="AF566" s="238"/>
    </row>
    <row r="567" spans="2:32" s="123" customFormat="1">
      <c r="B567" s="125"/>
      <c r="D567" s="125"/>
      <c r="X567" s="74"/>
      <c r="AF567" s="238"/>
    </row>
    <row r="568" spans="2:32" s="123" customFormat="1">
      <c r="B568" s="125"/>
      <c r="D568" s="125"/>
      <c r="X568" s="74"/>
      <c r="AF568" s="238"/>
    </row>
    <row r="569" spans="2:32" s="123" customFormat="1">
      <c r="B569" s="125"/>
      <c r="D569" s="125"/>
      <c r="X569" s="74"/>
      <c r="AF569" s="238"/>
    </row>
    <row r="570" spans="2:32" s="123" customFormat="1">
      <c r="B570" s="125"/>
      <c r="D570" s="125"/>
      <c r="X570" s="74"/>
      <c r="AF570" s="238"/>
    </row>
    <row r="571" spans="2:32" s="123" customFormat="1">
      <c r="B571" s="125"/>
      <c r="D571" s="125"/>
      <c r="X571" s="74"/>
      <c r="AF571" s="238"/>
    </row>
    <row r="572" spans="2:32" s="123" customFormat="1">
      <c r="B572" s="125"/>
      <c r="D572" s="125"/>
      <c r="X572" s="74"/>
      <c r="AF572" s="238"/>
    </row>
    <row r="573" spans="2:32" s="123" customFormat="1">
      <c r="B573" s="125"/>
      <c r="D573" s="125"/>
      <c r="X573" s="74"/>
      <c r="AF573" s="238"/>
    </row>
    <row r="574" spans="2:32" s="123" customFormat="1">
      <c r="B574" s="125"/>
      <c r="D574" s="125"/>
      <c r="X574" s="74"/>
      <c r="AF574" s="238"/>
    </row>
    <row r="575" spans="2:32" s="123" customFormat="1">
      <c r="B575" s="125"/>
      <c r="D575" s="125"/>
      <c r="X575" s="74"/>
      <c r="AF575" s="238"/>
    </row>
    <row r="576" spans="2:32" s="123" customFormat="1">
      <c r="B576" s="125"/>
      <c r="D576" s="125"/>
      <c r="X576" s="74"/>
      <c r="AF576" s="238"/>
    </row>
    <row r="577" spans="2:32" s="123" customFormat="1">
      <c r="B577" s="125"/>
      <c r="D577" s="125"/>
      <c r="X577" s="74"/>
      <c r="AF577" s="238"/>
    </row>
    <row r="578" spans="2:32" s="123" customFormat="1">
      <c r="B578" s="125"/>
      <c r="D578" s="125"/>
      <c r="X578" s="74"/>
      <c r="AF578" s="238"/>
    </row>
    <row r="579" spans="2:32" s="123" customFormat="1">
      <c r="B579" s="125"/>
      <c r="D579" s="125"/>
      <c r="X579" s="74"/>
      <c r="AF579" s="238"/>
    </row>
    <row r="580" spans="2:32" s="123" customFormat="1">
      <c r="B580" s="125"/>
      <c r="D580" s="125"/>
      <c r="X580" s="74"/>
      <c r="AF580" s="238"/>
    </row>
    <row r="581" spans="2:32" s="123" customFormat="1">
      <c r="B581" s="125"/>
      <c r="D581" s="125"/>
      <c r="X581" s="74"/>
      <c r="AF581" s="238"/>
    </row>
    <row r="582" spans="2:32" s="123" customFormat="1">
      <c r="B582" s="125"/>
      <c r="D582" s="125"/>
      <c r="X582" s="74"/>
      <c r="AF582" s="238"/>
    </row>
    <row r="583" spans="2:32" s="123" customFormat="1">
      <c r="B583" s="125"/>
      <c r="D583" s="125"/>
      <c r="X583" s="74"/>
      <c r="AF583" s="238"/>
    </row>
    <row r="584" spans="2:32" s="123" customFormat="1">
      <c r="B584" s="125"/>
      <c r="D584" s="125"/>
      <c r="X584" s="74"/>
      <c r="AF584" s="238"/>
    </row>
    <row r="585" spans="2:32" s="123" customFormat="1">
      <c r="B585" s="125"/>
      <c r="D585" s="125"/>
      <c r="X585" s="74"/>
      <c r="AF585" s="238"/>
    </row>
    <row r="586" spans="2:32" s="123" customFormat="1">
      <c r="B586" s="125"/>
      <c r="D586" s="125"/>
      <c r="X586" s="74"/>
      <c r="AF586" s="238"/>
    </row>
    <row r="587" spans="2:32" s="123" customFormat="1">
      <c r="B587" s="125"/>
      <c r="D587" s="125"/>
      <c r="X587" s="74"/>
      <c r="AF587" s="238"/>
    </row>
    <row r="588" spans="2:32" s="123" customFormat="1">
      <c r="B588" s="125"/>
      <c r="D588" s="125"/>
      <c r="X588" s="74"/>
      <c r="AF588" s="238"/>
    </row>
    <row r="589" spans="2:32" s="123" customFormat="1">
      <c r="B589" s="125"/>
      <c r="D589" s="125"/>
      <c r="X589" s="74"/>
      <c r="AF589" s="238"/>
    </row>
    <row r="590" spans="2:32" s="123" customFormat="1">
      <c r="B590" s="125"/>
      <c r="D590" s="125"/>
      <c r="X590" s="74"/>
      <c r="AF590" s="238"/>
    </row>
    <row r="591" spans="2:32" s="123" customFormat="1">
      <c r="B591" s="125"/>
      <c r="D591" s="125"/>
      <c r="X591" s="74"/>
      <c r="AF591" s="238"/>
    </row>
    <row r="592" spans="2:32" s="123" customFormat="1">
      <c r="B592" s="125"/>
      <c r="D592" s="125"/>
      <c r="X592" s="74"/>
      <c r="AF592" s="238"/>
    </row>
    <row r="593" spans="2:32" s="123" customFormat="1">
      <c r="B593" s="125"/>
      <c r="D593" s="125"/>
      <c r="X593" s="74"/>
      <c r="AF593" s="238"/>
    </row>
    <row r="594" spans="2:32" s="123" customFormat="1">
      <c r="B594" s="125"/>
      <c r="D594" s="125"/>
      <c r="X594" s="74"/>
      <c r="AF594" s="238"/>
    </row>
    <row r="595" spans="2:32" s="123" customFormat="1">
      <c r="B595" s="125"/>
      <c r="D595" s="125"/>
      <c r="X595" s="74"/>
      <c r="AF595" s="238"/>
    </row>
    <row r="596" spans="2:32" s="123" customFormat="1">
      <c r="B596" s="125"/>
      <c r="D596" s="125"/>
      <c r="X596" s="74"/>
      <c r="AF596" s="238"/>
    </row>
    <row r="597" spans="2:32" s="123" customFormat="1">
      <c r="B597" s="125"/>
      <c r="D597" s="125"/>
      <c r="X597" s="74"/>
      <c r="AF597" s="238"/>
    </row>
    <row r="598" spans="2:32" s="123" customFormat="1">
      <c r="B598" s="125"/>
      <c r="D598" s="125"/>
      <c r="X598" s="74"/>
      <c r="AF598" s="238"/>
    </row>
    <row r="599" spans="2:32" s="123" customFormat="1">
      <c r="B599" s="125"/>
      <c r="D599" s="125"/>
      <c r="X599" s="74"/>
      <c r="AF599" s="238"/>
    </row>
    <row r="600" spans="2:32" s="123" customFormat="1">
      <c r="B600" s="125"/>
      <c r="D600" s="125"/>
      <c r="X600" s="74"/>
      <c r="AF600" s="238"/>
    </row>
    <row r="601" spans="2:32" s="123" customFormat="1">
      <c r="B601" s="125"/>
      <c r="D601" s="125"/>
      <c r="X601" s="74"/>
      <c r="AF601" s="238"/>
    </row>
    <row r="602" spans="2:32" s="123" customFormat="1">
      <c r="B602" s="125"/>
      <c r="D602" s="125"/>
      <c r="X602" s="74"/>
      <c r="AF602" s="238"/>
    </row>
    <row r="603" spans="2:32" s="123" customFormat="1">
      <c r="B603" s="125"/>
      <c r="D603" s="125"/>
      <c r="X603" s="74"/>
      <c r="AF603" s="238"/>
    </row>
    <row r="604" spans="2:32" s="123" customFormat="1">
      <c r="B604" s="125"/>
      <c r="D604" s="125"/>
      <c r="X604" s="74"/>
      <c r="AF604" s="238"/>
    </row>
    <row r="605" spans="2:32" s="123" customFormat="1">
      <c r="B605" s="125"/>
      <c r="D605" s="125"/>
      <c r="X605" s="74"/>
      <c r="AF605" s="238"/>
    </row>
    <row r="606" spans="2:32" s="123" customFormat="1">
      <c r="B606" s="125"/>
      <c r="D606" s="125"/>
      <c r="X606" s="74"/>
      <c r="AF606" s="238"/>
    </row>
    <row r="607" spans="2:32" s="123" customFormat="1">
      <c r="B607" s="125"/>
      <c r="D607" s="125"/>
      <c r="X607" s="74"/>
      <c r="AF607" s="238"/>
    </row>
    <row r="608" spans="2:32" s="123" customFormat="1">
      <c r="B608" s="125"/>
      <c r="D608" s="125"/>
      <c r="X608" s="74"/>
      <c r="AF608" s="238"/>
    </row>
    <row r="609" spans="2:32" s="123" customFormat="1">
      <c r="B609" s="125"/>
      <c r="D609" s="125"/>
      <c r="X609" s="74"/>
      <c r="AF609" s="238"/>
    </row>
    <row r="610" spans="2:32" s="123" customFormat="1">
      <c r="B610" s="125"/>
      <c r="D610" s="125"/>
      <c r="X610" s="74"/>
      <c r="AF610" s="238"/>
    </row>
    <row r="611" spans="2:32" s="123" customFormat="1">
      <c r="B611" s="125"/>
      <c r="D611" s="125"/>
      <c r="X611" s="74"/>
      <c r="AF611" s="238"/>
    </row>
    <row r="612" spans="2:32" s="123" customFormat="1">
      <c r="B612" s="125"/>
      <c r="D612" s="125"/>
      <c r="X612" s="74"/>
      <c r="AF612" s="238"/>
    </row>
    <row r="613" spans="2:32" s="123" customFormat="1">
      <c r="B613" s="125"/>
      <c r="D613" s="125"/>
      <c r="X613" s="74"/>
      <c r="AF613" s="238"/>
    </row>
    <row r="614" spans="2:32" s="123" customFormat="1">
      <c r="B614" s="125"/>
      <c r="D614" s="125"/>
      <c r="X614" s="74"/>
      <c r="AF614" s="238"/>
    </row>
    <row r="615" spans="2:32" s="123" customFormat="1">
      <c r="B615" s="125"/>
      <c r="D615" s="125"/>
      <c r="X615" s="74"/>
      <c r="AF615" s="238"/>
    </row>
    <row r="616" spans="2:32" s="123" customFormat="1">
      <c r="B616" s="125"/>
      <c r="D616" s="125"/>
      <c r="X616" s="74"/>
      <c r="AF616" s="238"/>
    </row>
    <row r="617" spans="2:32" s="123" customFormat="1">
      <c r="B617" s="125"/>
      <c r="D617" s="125"/>
      <c r="X617" s="74"/>
      <c r="AF617" s="238"/>
    </row>
    <row r="618" spans="2:32" s="123" customFormat="1">
      <c r="B618" s="125"/>
      <c r="D618" s="125"/>
      <c r="X618" s="74"/>
      <c r="AF618" s="238"/>
    </row>
    <row r="619" spans="2:32" s="123" customFormat="1">
      <c r="B619" s="125"/>
      <c r="D619" s="125"/>
      <c r="X619" s="74"/>
      <c r="AF619" s="238"/>
    </row>
    <row r="620" spans="2:32" s="123" customFormat="1">
      <c r="B620" s="125"/>
      <c r="D620" s="125"/>
      <c r="X620" s="74"/>
      <c r="AF620" s="238"/>
    </row>
    <row r="621" spans="2:32" s="123" customFormat="1">
      <c r="B621" s="125"/>
      <c r="D621" s="125"/>
      <c r="X621" s="74"/>
      <c r="AF621" s="238"/>
    </row>
    <row r="622" spans="2:32" s="123" customFormat="1">
      <c r="B622" s="125"/>
      <c r="D622" s="125"/>
      <c r="X622" s="74"/>
      <c r="AF622" s="238"/>
    </row>
    <row r="623" spans="2:32" s="123" customFormat="1">
      <c r="B623" s="125"/>
      <c r="D623" s="125"/>
      <c r="X623" s="74"/>
      <c r="AF623" s="238"/>
    </row>
    <row r="624" spans="2:32" s="123" customFormat="1">
      <c r="B624" s="125"/>
      <c r="D624" s="125"/>
      <c r="X624" s="74"/>
      <c r="AF624" s="238"/>
    </row>
    <row r="625" spans="2:32" s="123" customFormat="1">
      <c r="B625" s="125"/>
      <c r="D625" s="125"/>
      <c r="X625" s="74"/>
      <c r="AF625" s="238"/>
    </row>
    <row r="626" spans="2:32" s="123" customFormat="1">
      <c r="B626" s="125"/>
      <c r="D626" s="125"/>
      <c r="X626" s="74"/>
      <c r="AF626" s="238"/>
    </row>
    <row r="627" spans="2:32" s="123" customFormat="1">
      <c r="B627" s="125"/>
      <c r="D627" s="125"/>
      <c r="X627" s="74"/>
      <c r="AF627" s="238"/>
    </row>
    <row r="628" spans="2:32" s="123" customFormat="1">
      <c r="B628" s="125"/>
      <c r="D628" s="125"/>
      <c r="X628" s="74"/>
      <c r="AF628" s="238"/>
    </row>
    <row r="629" spans="2:32" s="123" customFormat="1">
      <c r="B629" s="125"/>
      <c r="D629" s="125"/>
      <c r="X629" s="74"/>
      <c r="AF629" s="238"/>
    </row>
    <row r="630" spans="2:32" s="123" customFormat="1">
      <c r="B630" s="125"/>
      <c r="D630" s="125"/>
      <c r="X630" s="74"/>
      <c r="AF630" s="238"/>
    </row>
    <row r="631" spans="2:32" s="123" customFormat="1">
      <c r="B631" s="125"/>
      <c r="D631" s="125"/>
      <c r="X631" s="74"/>
      <c r="AF631" s="238"/>
    </row>
    <row r="632" spans="2:32" s="123" customFormat="1">
      <c r="B632" s="125"/>
      <c r="D632" s="125"/>
      <c r="X632" s="74"/>
      <c r="AF632" s="238"/>
    </row>
    <row r="633" spans="2:32" s="123" customFormat="1">
      <c r="B633" s="125"/>
      <c r="D633" s="125"/>
      <c r="X633" s="74"/>
      <c r="AF633" s="238"/>
    </row>
    <row r="634" spans="2:32" s="123" customFormat="1">
      <c r="B634" s="125"/>
      <c r="D634" s="125"/>
      <c r="X634" s="74"/>
      <c r="AF634" s="238"/>
    </row>
    <row r="635" spans="2:32" s="123" customFormat="1">
      <c r="B635" s="125"/>
      <c r="D635" s="125"/>
      <c r="X635" s="74"/>
      <c r="AF635" s="238"/>
    </row>
    <row r="636" spans="2:32" s="123" customFormat="1">
      <c r="B636" s="125"/>
      <c r="D636" s="125"/>
      <c r="X636" s="74"/>
      <c r="AF636" s="238"/>
    </row>
    <row r="637" spans="2:32" s="123" customFormat="1">
      <c r="B637" s="125"/>
      <c r="D637" s="125"/>
      <c r="X637" s="74"/>
      <c r="AF637" s="238"/>
    </row>
    <row r="638" spans="2:32" s="123" customFormat="1">
      <c r="B638" s="125"/>
      <c r="D638" s="125"/>
      <c r="X638" s="74"/>
      <c r="AF638" s="238"/>
    </row>
    <row r="639" spans="2:32" s="123" customFormat="1">
      <c r="B639" s="125"/>
      <c r="D639" s="125"/>
      <c r="X639" s="74"/>
      <c r="AF639" s="238"/>
    </row>
    <row r="640" spans="2:32" s="123" customFormat="1">
      <c r="B640" s="125"/>
      <c r="D640" s="125"/>
      <c r="X640" s="74"/>
      <c r="AF640" s="238"/>
    </row>
    <row r="641" spans="2:32" s="123" customFormat="1">
      <c r="B641" s="125"/>
      <c r="D641" s="125"/>
      <c r="X641" s="74"/>
      <c r="AF641" s="238"/>
    </row>
    <row r="642" spans="2:32" s="123" customFormat="1">
      <c r="B642" s="125"/>
      <c r="D642" s="125"/>
      <c r="X642" s="74"/>
      <c r="AF642" s="238"/>
    </row>
    <row r="643" spans="2:32" s="123" customFormat="1">
      <c r="B643" s="125"/>
      <c r="D643" s="125"/>
      <c r="X643" s="74"/>
      <c r="AF643" s="238"/>
    </row>
    <row r="644" spans="2:32" s="123" customFormat="1">
      <c r="B644" s="125"/>
      <c r="D644" s="125"/>
      <c r="X644" s="74"/>
      <c r="AF644" s="238"/>
    </row>
    <row r="645" spans="2:32" s="123" customFormat="1">
      <c r="B645" s="125"/>
      <c r="D645" s="125"/>
      <c r="X645" s="74"/>
      <c r="AF645" s="238"/>
    </row>
    <row r="646" spans="2:32" s="123" customFormat="1">
      <c r="B646" s="125"/>
      <c r="D646" s="125"/>
      <c r="X646" s="74"/>
      <c r="AF646" s="238"/>
    </row>
    <row r="647" spans="2:32" s="123" customFormat="1">
      <c r="B647" s="125"/>
      <c r="D647" s="125"/>
      <c r="X647" s="74"/>
      <c r="AF647" s="238"/>
    </row>
    <row r="648" spans="2:32" s="123" customFormat="1">
      <c r="B648" s="125"/>
      <c r="D648" s="125"/>
      <c r="X648" s="74"/>
      <c r="AF648" s="238"/>
    </row>
    <row r="649" spans="2:32" s="123" customFormat="1">
      <c r="B649" s="125"/>
      <c r="D649" s="125"/>
      <c r="X649" s="74"/>
      <c r="AF649" s="238"/>
    </row>
    <row r="650" spans="2:32" s="123" customFormat="1">
      <c r="B650" s="125"/>
      <c r="D650" s="125"/>
      <c r="X650" s="74"/>
      <c r="AF650" s="238"/>
    </row>
    <row r="651" spans="2:32" s="123" customFormat="1">
      <c r="B651" s="125"/>
      <c r="D651" s="125"/>
      <c r="X651" s="74"/>
      <c r="AF651" s="238"/>
    </row>
    <row r="652" spans="2:32" s="123" customFormat="1">
      <c r="B652" s="125"/>
      <c r="D652" s="125"/>
      <c r="X652" s="74"/>
      <c r="AF652" s="238"/>
    </row>
    <row r="653" spans="2:32" s="123" customFormat="1">
      <c r="B653" s="125"/>
      <c r="D653" s="125"/>
      <c r="X653" s="74"/>
      <c r="AF653" s="238"/>
    </row>
    <row r="654" spans="2:32" s="123" customFormat="1">
      <c r="B654" s="125"/>
      <c r="D654" s="125"/>
      <c r="X654" s="74"/>
      <c r="AF654" s="238"/>
    </row>
    <row r="655" spans="2:32" s="123" customFormat="1">
      <c r="B655" s="125"/>
      <c r="D655" s="125"/>
      <c r="X655" s="74"/>
      <c r="AF655" s="238"/>
    </row>
    <row r="656" spans="2:32" s="123" customFormat="1">
      <c r="B656" s="125"/>
      <c r="D656" s="125"/>
      <c r="X656" s="74"/>
      <c r="AF656" s="238"/>
    </row>
    <row r="657" spans="2:32" s="123" customFormat="1">
      <c r="B657" s="125"/>
      <c r="D657" s="125"/>
      <c r="X657" s="74"/>
      <c r="AF657" s="238"/>
    </row>
    <row r="658" spans="2:32" s="123" customFormat="1">
      <c r="B658" s="125"/>
      <c r="D658" s="125"/>
      <c r="X658" s="74"/>
      <c r="AF658" s="238"/>
    </row>
    <row r="659" spans="2:32" s="123" customFormat="1">
      <c r="B659" s="125"/>
      <c r="D659" s="125"/>
      <c r="X659" s="74"/>
      <c r="AF659" s="238"/>
    </row>
    <row r="660" spans="2:32" s="123" customFormat="1">
      <c r="B660" s="125"/>
      <c r="D660" s="125"/>
      <c r="X660" s="74"/>
      <c r="AF660" s="238"/>
    </row>
    <row r="661" spans="2:32" s="123" customFormat="1">
      <c r="B661" s="125"/>
      <c r="D661" s="125"/>
      <c r="X661" s="74"/>
      <c r="AF661" s="238"/>
    </row>
    <row r="662" spans="2:32" s="123" customFormat="1">
      <c r="B662" s="125"/>
      <c r="D662" s="125"/>
      <c r="X662" s="74"/>
      <c r="AF662" s="238"/>
    </row>
    <row r="663" spans="2:32" s="123" customFormat="1">
      <c r="B663" s="125"/>
      <c r="D663" s="125"/>
      <c r="X663" s="74"/>
      <c r="AF663" s="238"/>
    </row>
    <row r="664" spans="2:32" s="123" customFormat="1">
      <c r="B664" s="125"/>
      <c r="D664" s="125"/>
      <c r="X664" s="74"/>
      <c r="AF664" s="238"/>
    </row>
    <row r="665" spans="2:32" s="123" customFormat="1">
      <c r="B665" s="125"/>
      <c r="D665" s="125"/>
      <c r="X665" s="74"/>
      <c r="AF665" s="238"/>
    </row>
    <row r="666" spans="2:32" s="123" customFormat="1">
      <c r="B666" s="125"/>
      <c r="D666" s="125"/>
      <c r="X666" s="74"/>
      <c r="AF666" s="238"/>
    </row>
    <row r="667" spans="2:32" s="123" customFormat="1">
      <c r="B667" s="125"/>
      <c r="D667" s="125"/>
      <c r="X667" s="74"/>
      <c r="AF667" s="238"/>
    </row>
    <row r="668" spans="2:32" s="123" customFormat="1">
      <c r="B668" s="125"/>
      <c r="D668" s="125"/>
      <c r="X668" s="74"/>
      <c r="AF668" s="238"/>
    </row>
    <row r="669" spans="2:32" s="123" customFormat="1">
      <c r="B669" s="125"/>
      <c r="D669" s="125"/>
      <c r="X669" s="74"/>
      <c r="AF669" s="238"/>
    </row>
    <row r="670" spans="2:32" s="123" customFormat="1">
      <c r="B670" s="125"/>
      <c r="D670" s="125"/>
      <c r="X670" s="74"/>
      <c r="AF670" s="238"/>
    </row>
    <row r="671" spans="2:32" s="123" customFormat="1">
      <c r="B671" s="125"/>
      <c r="D671" s="125"/>
      <c r="X671" s="74"/>
      <c r="AF671" s="238"/>
    </row>
    <row r="672" spans="2:32" s="123" customFormat="1">
      <c r="B672" s="125"/>
      <c r="D672" s="125"/>
      <c r="X672" s="74"/>
      <c r="AF672" s="238"/>
    </row>
    <row r="673" spans="2:32" s="123" customFormat="1">
      <c r="B673" s="125"/>
      <c r="D673" s="125"/>
      <c r="X673" s="74"/>
      <c r="AF673" s="238"/>
    </row>
    <row r="674" spans="2:32" s="123" customFormat="1">
      <c r="B674" s="125"/>
      <c r="D674" s="125"/>
      <c r="X674" s="74"/>
      <c r="AF674" s="238"/>
    </row>
    <row r="675" spans="2:32" s="123" customFormat="1">
      <c r="B675" s="125"/>
      <c r="D675" s="125"/>
      <c r="X675" s="74"/>
      <c r="AF675" s="238"/>
    </row>
    <row r="676" spans="2:32" s="123" customFormat="1">
      <c r="B676" s="125"/>
      <c r="D676" s="125"/>
      <c r="X676" s="74"/>
      <c r="AF676" s="238"/>
    </row>
    <row r="677" spans="2:32" s="123" customFormat="1">
      <c r="B677" s="125"/>
      <c r="D677" s="125"/>
      <c r="X677" s="74"/>
      <c r="AF677" s="238"/>
    </row>
    <row r="678" spans="2:32" s="123" customFormat="1">
      <c r="B678" s="125"/>
      <c r="D678" s="125"/>
      <c r="X678" s="74"/>
      <c r="AF678" s="238"/>
    </row>
    <row r="679" spans="2:32" s="123" customFormat="1">
      <c r="B679" s="125"/>
      <c r="D679" s="125"/>
      <c r="X679" s="74"/>
      <c r="AF679" s="238"/>
    </row>
    <row r="680" spans="2:32" s="123" customFormat="1">
      <c r="B680" s="125"/>
      <c r="D680" s="125"/>
      <c r="X680" s="74"/>
      <c r="AF680" s="238"/>
    </row>
    <row r="681" spans="2:32" s="123" customFormat="1">
      <c r="B681" s="125"/>
      <c r="D681" s="125"/>
      <c r="X681" s="74"/>
      <c r="AF681" s="238"/>
    </row>
    <row r="682" spans="2:32" s="123" customFormat="1">
      <c r="B682" s="125"/>
      <c r="D682" s="125"/>
      <c r="X682" s="74"/>
      <c r="AF682" s="238"/>
    </row>
    <row r="683" spans="2:32" s="123" customFormat="1">
      <c r="B683" s="125"/>
      <c r="D683" s="125"/>
      <c r="X683" s="74"/>
      <c r="AF683" s="238"/>
    </row>
    <row r="684" spans="2:32" s="123" customFormat="1">
      <c r="B684" s="125"/>
      <c r="D684" s="125"/>
      <c r="X684" s="74"/>
      <c r="AF684" s="238"/>
    </row>
    <row r="685" spans="2:32" s="123" customFormat="1">
      <c r="B685" s="125"/>
      <c r="D685" s="125"/>
      <c r="X685" s="74"/>
      <c r="AF685" s="238"/>
    </row>
    <row r="686" spans="2:32" s="123" customFormat="1">
      <c r="B686" s="125"/>
      <c r="D686" s="125"/>
      <c r="X686" s="74"/>
      <c r="AF686" s="238"/>
    </row>
    <row r="687" spans="2:32" s="123" customFormat="1">
      <c r="B687" s="125"/>
      <c r="D687" s="125"/>
      <c r="X687" s="74"/>
      <c r="AF687" s="238"/>
    </row>
    <row r="688" spans="2:32" s="123" customFormat="1">
      <c r="B688" s="125"/>
      <c r="D688" s="125"/>
      <c r="X688" s="74"/>
      <c r="AF688" s="238"/>
    </row>
    <row r="689" spans="2:32" s="123" customFormat="1">
      <c r="B689" s="125"/>
      <c r="D689" s="125"/>
      <c r="X689" s="74"/>
      <c r="AF689" s="238"/>
    </row>
    <row r="690" spans="2:32" s="123" customFormat="1">
      <c r="B690" s="125"/>
      <c r="D690" s="125"/>
      <c r="X690" s="74"/>
      <c r="AF690" s="238"/>
    </row>
    <row r="691" spans="2:32" s="123" customFormat="1">
      <c r="B691" s="125"/>
      <c r="D691" s="125"/>
      <c r="X691" s="74"/>
      <c r="AF691" s="238"/>
    </row>
    <row r="692" spans="2:32" s="123" customFormat="1">
      <c r="B692" s="125"/>
      <c r="D692" s="125"/>
      <c r="X692" s="74"/>
      <c r="AF692" s="238"/>
    </row>
    <row r="693" spans="2:32" s="123" customFormat="1">
      <c r="B693" s="125"/>
      <c r="D693" s="125"/>
      <c r="X693" s="74"/>
      <c r="AF693" s="238"/>
    </row>
    <row r="694" spans="2:32" s="123" customFormat="1">
      <c r="B694" s="125"/>
      <c r="D694" s="125"/>
      <c r="X694" s="74"/>
      <c r="AF694" s="238"/>
    </row>
    <row r="695" spans="2:32" s="123" customFormat="1">
      <c r="B695" s="125"/>
      <c r="D695" s="125"/>
      <c r="X695" s="74"/>
      <c r="AF695" s="238"/>
    </row>
    <row r="696" spans="2:32" s="123" customFormat="1">
      <c r="B696" s="125"/>
      <c r="D696" s="125"/>
      <c r="X696" s="74"/>
      <c r="AF696" s="238"/>
    </row>
    <row r="697" spans="2:32" s="123" customFormat="1">
      <c r="B697" s="125"/>
      <c r="D697" s="125"/>
      <c r="X697" s="74"/>
      <c r="AF697" s="238"/>
    </row>
    <row r="698" spans="2:32" s="123" customFormat="1">
      <c r="B698" s="125"/>
      <c r="D698" s="125"/>
      <c r="X698" s="74"/>
      <c r="AF698" s="238"/>
    </row>
    <row r="699" spans="2:32" s="123" customFormat="1">
      <c r="B699" s="125"/>
      <c r="D699" s="125"/>
      <c r="X699" s="74"/>
      <c r="AF699" s="238"/>
    </row>
    <row r="700" spans="2:32" s="123" customFormat="1">
      <c r="B700" s="125"/>
      <c r="D700" s="125"/>
      <c r="X700" s="74"/>
      <c r="AF700" s="238"/>
    </row>
    <row r="701" spans="2:32" s="123" customFormat="1">
      <c r="B701" s="125"/>
      <c r="D701" s="125"/>
      <c r="X701" s="74"/>
      <c r="AF701" s="238"/>
    </row>
    <row r="702" spans="2:32" s="123" customFormat="1">
      <c r="B702" s="125"/>
      <c r="D702" s="125"/>
      <c r="X702" s="74"/>
      <c r="AF702" s="238"/>
    </row>
    <row r="703" spans="2:32" s="123" customFormat="1">
      <c r="B703" s="125"/>
      <c r="D703" s="125"/>
      <c r="X703" s="74"/>
      <c r="AF703" s="238"/>
    </row>
    <row r="704" spans="2:32" s="123" customFormat="1">
      <c r="B704" s="125"/>
      <c r="D704" s="125"/>
      <c r="X704" s="74"/>
      <c r="AF704" s="238"/>
    </row>
    <row r="705" spans="2:32" s="123" customFormat="1">
      <c r="B705" s="125"/>
      <c r="D705" s="125"/>
      <c r="X705" s="74"/>
      <c r="AF705" s="238"/>
    </row>
    <row r="706" spans="2:32" s="123" customFormat="1">
      <c r="B706" s="125"/>
      <c r="D706" s="125"/>
      <c r="X706" s="74"/>
      <c r="AF706" s="238"/>
    </row>
    <row r="707" spans="2:32" s="123" customFormat="1">
      <c r="B707" s="125"/>
      <c r="D707" s="125"/>
      <c r="X707" s="74"/>
      <c r="AF707" s="238"/>
    </row>
    <row r="708" spans="2:32" s="123" customFormat="1">
      <c r="B708" s="125"/>
      <c r="D708" s="125"/>
      <c r="X708" s="74"/>
      <c r="AF708" s="238"/>
    </row>
    <row r="709" spans="2:32" s="123" customFormat="1">
      <c r="B709" s="125"/>
      <c r="D709" s="125"/>
      <c r="X709" s="74"/>
      <c r="AF709" s="238"/>
    </row>
    <row r="710" spans="2:32" s="123" customFormat="1">
      <c r="B710" s="125"/>
      <c r="D710" s="125"/>
      <c r="X710" s="74"/>
      <c r="AF710" s="238"/>
    </row>
    <row r="711" spans="2:32" s="123" customFormat="1">
      <c r="B711" s="125"/>
      <c r="D711" s="125"/>
      <c r="X711" s="74"/>
      <c r="AF711" s="238"/>
    </row>
    <row r="712" spans="2:32" s="123" customFormat="1">
      <c r="B712" s="125"/>
      <c r="D712" s="125"/>
      <c r="X712" s="74"/>
      <c r="AF712" s="238"/>
    </row>
    <row r="713" spans="2:32" s="123" customFormat="1">
      <c r="B713" s="125"/>
      <c r="D713" s="125"/>
      <c r="X713" s="74"/>
      <c r="AF713" s="238"/>
    </row>
    <row r="714" spans="2:32" s="123" customFormat="1">
      <c r="B714" s="125"/>
      <c r="D714" s="125"/>
      <c r="X714" s="74"/>
      <c r="AF714" s="238"/>
    </row>
    <row r="715" spans="2:32" s="123" customFormat="1">
      <c r="B715" s="125"/>
      <c r="D715" s="125"/>
      <c r="X715" s="74"/>
      <c r="AF715" s="238"/>
    </row>
    <row r="716" spans="2:32" s="123" customFormat="1">
      <c r="B716" s="125"/>
      <c r="D716" s="125"/>
      <c r="X716" s="74"/>
      <c r="AF716" s="238"/>
    </row>
    <row r="717" spans="2:32" s="123" customFormat="1">
      <c r="B717" s="125"/>
      <c r="D717" s="125"/>
      <c r="X717" s="74"/>
      <c r="AF717" s="238"/>
    </row>
    <row r="718" spans="2:32" s="123" customFormat="1">
      <c r="B718" s="125"/>
      <c r="D718" s="125"/>
      <c r="X718" s="74"/>
      <c r="AF718" s="238"/>
    </row>
    <row r="719" spans="2:32" s="123" customFormat="1">
      <c r="B719" s="125"/>
      <c r="D719" s="125"/>
      <c r="X719" s="74"/>
      <c r="AF719" s="238"/>
    </row>
    <row r="720" spans="2:32" s="123" customFormat="1">
      <c r="B720" s="125"/>
      <c r="D720" s="125"/>
      <c r="X720" s="74"/>
      <c r="AF720" s="238"/>
    </row>
    <row r="721" spans="2:32" s="123" customFormat="1">
      <c r="B721" s="125"/>
      <c r="D721" s="125"/>
      <c r="X721" s="74"/>
      <c r="AF721" s="238"/>
    </row>
    <row r="722" spans="2:32" s="123" customFormat="1">
      <c r="B722" s="125"/>
      <c r="D722" s="125"/>
      <c r="X722" s="74"/>
      <c r="AF722" s="238"/>
    </row>
    <row r="723" spans="2:32" s="123" customFormat="1">
      <c r="B723" s="125"/>
      <c r="D723" s="125"/>
      <c r="X723" s="74"/>
      <c r="AF723" s="238"/>
    </row>
    <row r="724" spans="2:32" s="123" customFormat="1">
      <c r="B724" s="125"/>
      <c r="D724" s="125"/>
      <c r="X724" s="74"/>
      <c r="AF724" s="238"/>
    </row>
    <row r="725" spans="2:32" s="123" customFormat="1">
      <c r="B725" s="125"/>
      <c r="D725" s="125"/>
      <c r="X725" s="74"/>
      <c r="AF725" s="238"/>
    </row>
    <row r="726" spans="2:32" s="123" customFormat="1">
      <c r="B726" s="125"/>
      <c r="D726" s="125"/>
      <c r="X726" s="74"/>
      <c r="AF726" s="238"/>
    </row>
    <row r="727" spans="2:32" s="123" customFormat="1">
      <c r="B727" s="125"/>
      <c r="D727" s="125"/>
      <c r="X727" s="74"/>
      <c r="AF727" s="238"/>
    </row>
    <row r="728" spans="2:32" s="123" customFormat="1">
      <c r="B728" s="125"/>
      <c r="D728" s="125"/>
      <c r="X728" s="74"/>
      <c r="AF728" s="238"/>
    </row>
    <row r="729" spans="2:32" s="123" customFormat="1">
      <c r="B729" s="125"/>
      <c r="D729" s="125"/>
      <c r="X729" s="74"/>
      <c r="AF729" s="238"/>
    </row>
    <row r="730" spans="2:32" s="123" customFormat="1">
      <c r="B730" s="125"/>
      <c r="D730" s="125"/>
      <c r="X730" s="74"/>
      <c r="AF730" s="238"/>
    </row>
    <row r="731" spans="2:32" s="123" customFormat="1">
      <c r="B731" s="125"/>
      <c r="D731" s="125"/>
      <c r="X731" s="74"/>
      <c r="AF731" s="238"/>
    </row>
    <row r="732" spans="2:32" s="123" customFormat="1">
      <c r="B732" s="125"/>
      <c r="D732" s="125"/>
      <c r="X732" s="74"/>
      <c r="AF732" s="238"/>
    </row>
    <row r="733" spans="2:32" s="123" customFormat="1">
      <c r="B733" s="125"/>
      <c r="D733" s="125"/>
      <c r="X733" s="74"/>
      <c r="AF733" s="238"/>
    </row>
    <row r="734" spans="2:32" s="123" customFormat="1">
      <c r="B734" s="125"/>
      <c r="D734" s="125"/>
      <c r="X734" s="74"/>
      <c r="AF734" s="238"/>
    </row>
    <row r="735" spans="2:32" s="123" customFormat="1">
      <c r="B735" s="125"/>
      <c r="D735" s="125"/>
      <c r="X735" s="74"/>
      <c r="AF735" s="238"/>
    </row>
    <row r="736" spans="2:32" s="123" customFormat="1">
      <c r="B736" s="125"/>
      <c r="D736" s="125"/>
      <c r="X736" s="74"/>
      <c r="AF736" s="238"/>
    </row>
    <row r="737" spans="2:32" s="123" customFormat="1">
      <c r="B737" s="125"/>
      <c r="D737" s="125"/>
      <c r="X737" s="74"/>
      <c r="AF737" s="238"/>
    </row>
    <row r="738" spans="2:32" s="123" customFormat="1">
      <c r="B738" s="125"/>
      <c r="D738" s="125"/>
      <c r="X738" s="74"/>
      <c r="AF738" s="238"/>
    </row>
    <row r="739" spans="2:32" s="123" customFormat="1">
      <c r="B739" s="125"/>
      <c r="D739" s="125"/>
      <c r="X739" s="74"/>
      <c r="AF739" s="238"/>
    </row>
    <row r="740" spans="2:32" s="123" customFormat="1">
      <c r="B740" s="125"/>
      <c r="D740" s="125"/>
      <c r="X740" s="74"/>
      <c r="AF740" s="238"/>
    </row>
    <row r="741" spans="2:32" s="123" customFormat="1">
      <c r="B741" s="125"/>
      <c r="D741" s="125"/>
      <c r="X741" s="74"/>
      <c r="AF741" s="238"/>
    </row>
    <row r="742" spans="2:32" s="123" customFormat="1">
      <c r="B742" s="125"/>
      <c r="D742" s="125"/>
      <c r="X742" s="74"/>
      <c r="AF742" s="238"/>
    </row>
    <row r="743" spans="2:32" s="123" customFormat="1">
      <c r="B743" s="125"/>
      <c r="D743" s="125"/>
      <c r="X743" s="74"/>
      <c r="AF743" s="238"/>
    </row>
    <row r="744" spans="2:32" s="123" customFormat="1">
      <c r="B744" s="125"/>
      <c r="D744" s="125"/>
      <c r="X744" s="74"/>
      <c r="AF744" s="238"/>
    </row>
    <row r="745" spans="2:32" s="123" customFormat="1">
      <c r="B745" s="125"/>
      <c r="D745" s="125"/>
      <c r="X745" s="74"/>
      <c r="AF745" s="238"/>
    </row>
    <row r="746" spans="2:32" s="123" customFormat="1">
      <c r="B746" s="125"/>
      <c r="D746" s="125"/>
      <c r="X746" s="74"/>
      <c r="AF746" s="238"/>
    </row>
    <row r="747" spans="2:32" s="123" customFormat="1">
      <c r="B747" s="125"/>
      <c r="D747" s="125"/>
      <c r="X747" s="74"/>
      <c r="AF747" s="238"/>
    </row>
    <row r="748" spans="2:32" s="123" customFormat="1">
      <c r="B748" s="125"/>
      <c r="D748" s="125"/>
      <c r="X748" s="74"/>
      <c r="AF748" s="238"/>
    </row>
    <row r="749" spans="2:32" s="123" customFormat="1">
      <c r="B749" s="125"/>
      <c r="D749" s="125"/>
      <c r="X749" s="74"/>
      <c r="AF749" s="238"/>
    </row>
    <row r="750" spans="2:32" s="123" customFormat="1">
      <c r="B750" s="125"/>
      <c r="D750" s="125"/>
      <c r="X750" s="74"/>
      <c r="AF750" s="238"/>
    </row>
    <row r="751" spans="2:32" s="123" customFormat="1">
      <c r="B751" s="125"/>
      <c r="D751" s="125"/>
      <c r="X751" s="74"/>
      <c r="AF751" s="238"/>
    </row>
    <row r="752" spans="2:32" s="123" customFormat="1">
      <c r="B752" s="125"/>
      <c r="D752" s="125"/>
      <c r="X752" s="74"/>
      <c r="AF752" s="238"/>
    </row>
    <row r="753" spans="2:32" s="123" customFormat="1">
      <c r="B753" s="125"/>
      <c r="D753" s="125"/>
      <c r="X753" s="74"/>
      <c r="AF753" s="238"/>
    </row>
    <row r="754" spans="2:32" s="123" customFormat="1">
      <c r="B754" s="125"/>
      <c r="D754" s="125"/>
      <c r="X754" s="74"/>
      <c r="AF754" s="238"/>
    </row>
    <row r="755" spans="2:32" s="123" customFormat="1">
      <c r="B755" s="125"/>
      <c r="D755" s="125"/>
      <c r="X755" s="74"/>
      <c r="AF755" s="238"/>
    </row>
    <row r="756" spans="2:32" s="123" customFormat="1">
      <c r="B756" s="125"/>
      <c r="D756" s="125"/>
      <c r="X756" s="74"/>
      <c r="AF756" s="238"/>
    </row>
    <row r="757" spans="2:32" s="123" customFormat="1">
      <c r="B757" s="125"/>
      <c r="D757" s="125"/>
      <c r="X757" s="74"/>
      <c r="AF757" s="238"/>
    </row>
    <row r="758" spans="2:32" s="123" customFormat="1">
      <c r="B758" s="125"/>
      <c r="D758" s="125"/>
      <c r="X758" s="74"/>
      <c r="AF758" s="238"/>
    </row>
    <row r="759" spans="2:32" s="123" customFormat="1">
      <c r="B759" s="125"/>
      <c r="D759" s="125"/>
      <c r="X759" s="74"/>
      <c r="AF759" s="238"/>
    </row>
    <row r="760" spans="2:32" s="123" customFormat="1">
      <c r="B760" s="125"/>
      <c r="D760" s="125"/>
      <c r="X760" s="74"/>
      <c r="AF760" s="238"/>
    </row>
    <row r="761" spans="2:32" s="123" customFormat="1">
      <c r="B761" s="125"/>
      <c r="D761" s="125"/>
      <c r="X761" s="74"/>
      <c r="AF761" s="238"/>
    </row>
    <row r="762" spans="2:32" s="123" customFormat="1">
      <c r="B762" s="125"/>
      <c r="D762" s="125"/>
      <c r="X762" s="74"/>
      <c r="AF762" s="238"/>
    </row>
    <row r="763" spans="2:32" s="123" customFormat="1">
      <c r="B763" s="125"/>
      <c r="D763" s="125"/>
      <c r="X763" s="74"/>
      <c r="AF763" s="238"/>
    </row>
    <row r="764" spans="2:32" s="123" customFormat="1">
      <c r="B764" s="125"/>
      <c r="D764" s="125"/>
      <c r="X764" s="74"/>
      <c r="AF764" s="238"/>
    </row>
    <row r="765" spans="2:32" s="123" customFormat="1">
      <c r="B765" s="125"/>
      <c r="D765" s="125"/>
      <c r="X765" s="74"/>
      <c r="AF765" s="238"/>
    </row>
    <row r="766" spans="2:32" s="123" customFormat="1">
      <c r="B766" s="125"/>
      <c r="D766" s="125"/>
      <c r="X766" s="74"/>
      <c r="AF766" s="238"/>
    </row>
    <row r="767" spans="2:32" s="123" customFormat="1">
      <c r="B767" s="125"/>
      <c r="D767" s="125"/>
      <c r="X767" s="74"/>
      <c r="AF767" s="238"/>
    </row>
    <row r="768" spans="2:32" s="123" customFormat="1">
      <c r="B768" s="125"/>
      <c r="D768" s="125"/>
      <c r="X768" s="74"/>
      <c r="AF768" s="238"/>
    </row>
    <row r="769" spans="2:32" s="123" customFormat="1">
      <c r="B769" s="125"/>
      <c r="D769" s="125"/>
      <c r="X769" s="74"/>
      <c r="AF769" s="238"/>
    </row>
    <row r="770" spans="2:32" s="123" customFormat="1">
      <c r="B770" s="125"/>
      <c r="D770" s="125"/>
      <c r="X770" s="74"/>
      <c r="AF770" s="238"/>
    </row>
    <row r="771" spans="2:32" s="123" customFormat="1">
      <c r="B771" s="125"/>
      <c r="D771" s="125"/>
      <c r="X771" s="74"/>
      <c r="AF771" s="238"/>
    </row>
    <row r="772" spans="2:32" s="123" customFormat="1">
      <c r="B772" s="125"/>
      <c r="D772" s="125"/>
      <c r="X772" s="74"/>
      <c r="AF772" s="238"/>
    </row>
    <row r="773" spans="2:32" s="123" customFormat="1">
      <c r="B773" s="125"/>
      <c r="D773" s="125"/>
      <c r="X773" s="74"/>
      <c r="AF773" s="238"/>
    </row>
    <row r="774" spans="2:32" s="123" customFormat="1">
      <c r="B774" s="125"/>
      <c r="D774" s="125"/>
      <c r="X774" s="74"/>
      <c r="AF774" s="238"/>
    </row>
    <row r="775" spans="2:32" s="123" customFormat="1">
      <c r="B775" s="125"/>
      <c r="D775" s="125"/>
      <c r="X775" s="74"/>
      <c r="AF775" s="238"/>
    </row>
    <row r="776" spans="2:32" s="123" customFormat="1">
      <c r="B776" s="125"/>
      <c r="D776" s="125"/>
      <c r="X776" s="74"/>
      <c r="AF776" s="238"/>
    </row>
    <row r="777" spans="2:32" s="123" customFormat="1">
      <c r="B777" s="125"/>
      <c r="D777" s="125"/>
      <c r="X777" s="74"/>
      <c r="AF777" s="238"/>
    </row>
    <row r="778" spans="2:32" s="123" customFormat="1">
      <c r="B778" s="125"/>
      <c r="D778" s="125"/>
      <c r="X778" s="74"/>
      <c r="AF778" s="238"/>
    </row>
    <row r="779" spans="2:32" s="123" customFormat="1">
      <c r="B779" s="125"/>
      <c r="D779" s="125"/>
      <c r="X779" s="74"/>
      <c r="AF779" s="238"/>
    </row>
    <row r="780" spans="2:32" s="123" customFormat="1">
      <c r="B780" s="125"/>
      <c r="D780" s="125"/>
      <c r="X780" s="74"/>
      <c r="AF780" s="238"/>
    </row>
    <row r="781" spans="2:32" s="123" customFormat="1">
      <c r="B781" s="125"/>
      <c r="D781" s="125"/>
      <c r="X781" s="74"/>
      <c r="AF781" s="238"/>
    </row>
    <row r="782" spans="2:32" s="123" customFormat="1">
      <c r="B782" s="125"/>
      <c r="D782" s="125"/>
      <c r="X782" s="74"/>
      <c r="AF782" s="238"/>
    </row>
    <row r="783" spans="2:32" s="123" customFormat="1">
      <c r="B783" s="125"/>
      <c r="D783" s="125"/>
      <c r="X783" s="74"/>
      <c r="AF783" s="238"/>
    </row>
    <row r="784" spans="2:32" s="123" customFormat="1">
      <c r="B784" s="125"/>
      <c r="D784" s="125"/>
      <c r="X784" s="74"/>
      <c r="AF784" s="238"/>
    </row>
    <row r="785" spans="2:32" s="123" customFormat="1">
      <c r="B785" s="125"/>
      <c r="D785" s="125"/>
      <c r="X785" s="74"/>
      <c r="AF785" s="238"/>
    </row>
    <row r="786" spans="2:32" s="123" customFormat="1">
      <c r="B786" s="125"/>
      <c r="D786" s="125"/>
      <c r="X786" s="74"/>
      <c r="AF786" s="238"/>
    </row>
    <row r="787" spans="2:32" s="123" customFormat="1">
      <c r="B787" s="125"/>
      <c r="D787" s="125"/>
      <c r="X787" s="74"/>
      <c r="AF787" s="238"/>
    </row>
    <row r="788" spans="2:32" s="123" customFormat="1">
      <c r="B788" s="125"/>
      <c r="D788" s="125"/>
      <c r="X788" s="74"/>
      <c r="AF788" s="238"/>
    </row>
    <row r="789" spans="2:32" s="123" customFormat="1">
      <c r="B789" s="125"/>
      <c r="D789" s="125"/>
      <c r="X789" s="74"/>
      <c r="AF789" s="238"/>
    </row>
    <row r="790" spans="2:32" s="123" customFormat="1">
      <c r="B790" s="125"/>
      <c r="D790" s="125"/>
      <c r="X790" s="74"/>
      <c r="AF790" s="238"/>
    </row>
    <row r="791" spans="2:32" s="123" customFormat="1">
      <c r="B791" s="125"/>
      <c r="D791" s="125"/>
      <c r="X791" s="74"/>
      <c r="AF791" s="238"/>
    </row>
    <row r="792" spans="2:32" s="123" customFormat="1">
      <c r="B792" s="125"/>
      <c r="D792" s="125"/>
      <c r="X792" s="74"/>
      <c r="AF792" s="238"/>
    </row>
    <row r="793" spans="2:32" s="123" customFormat="1">
      <c r="B793" s="125"/>
      <c r="D793" s="125"/>
      <c r="X793" s="74"/>
      <c r="AF793" s="238"/>
    </row>
    <row r="794" spans="2:32" s="123" customFormat="1">
      <c r="B794" s="125"/>
      <c r="D794" s="125"/>
      <c r="X794" s="74"/>
      <c r="AF794" s="238"/>
    </row>
    <row r="795" spans="2:32" s="123" customFormat="1">
      <c r="B795" s="125"/>
      <c r="D795" s="125"/>
      <c r="X795" s="74"/>
      <c r="AF795" s="238"/>
    </row>
    <row r="796" spans="2:32" s="123" customFormat="1">
      <c r="B796" s="125"/>
      <c r="D796" s="125"/>
      <c r="X796" s="74"/>
      <c r="AF796" s="238"/>
    </row>
    <row r="797" spans="2:32" s="123" customFormat="1">
      <c r="B797" s="125"/>
      <c r="D797" s="125"/>
      <c r="X797" s="74"/>
      <c r="AF797" s="238"/>
    </row>
    <row r="798" spans="2:32" s="123" customFormat="1">
      <c r="B798" s="125"/>
      <c r="D798" s="125"/>
      <c r="X798" s="74"/>
      <c r="AF798" s="238"/>
    </row>
    <row r="799" spans="2:32" s="123" customFormat="1">
      <c r="B799" s="125"/>
      <c r="D799" s="125"/>
      <c r="X799" s="74"/>
      <c r="AF799" s="238"/>
    </row>
    <row r="800" spans="2:32" s="123" customFormat="1">
      <c r="B800" s="125"/>
      <c r="D800" s="125"/>
      <c r="X800" s="74"/>
      <c r="AF800" s="238"/>
    </row>
    <row r="801" spans="2:32" s="123" customFormat="1">
      <c r="B801" s="125"/>
      <c r="D801" s="125"/>
      <c r="X801" s="74"/>
      <c r="AF801" s="238"/>
    </row>
    <row r="802" spans="2:32" s="123" customFormat="1">
      <c r="B802" s="125"/>
      <c r="D802" s="125"/>
      <c r="X802" s="74"/>
      <c r="AF802" s="238"/>
    </row>
    <row r="803" spans="2:32" s="123" customFormat="1">
      <c r="B803" s="125"/>
      <c r="D803" s="125"/>
      <c r="X803" s="74"/>
      <c r="AF803" s="238"/>
    </row>
    <row r="804" spans="2:32" s="123" customFormat="1">
      <c r="B804" s="125"/>
      <c r="D804" s="125"/>
      <c r="X804" s="74"/>
      <c r="AF804" s="238"/>
    </row>
    <row r="805" spans="2:32" s="123" customFormat="1">
      <c r="B805" s="125"/>
      <c r="D805" s="125"/>
      <c r="X805" s="74"/>
      <c r="AF805" s="238"/>
    </row>
    <row r="806" spans="2:32" s="123" customFormat="1">
      <c r="B806" s="125"/>
      <c r="D806" s="125"/>
      <c r="X806" s="74"/>
      <c r="AF806" s="238"/>
    </row>
    <row r="807" spans="2:32" s="123" customFormat="1">
      <c r="B807" s="125"/>
      <c r="D807" s="125"/>
      <c r="X807" s="74"/>
      <c r="AF807" s="238"/>
    </row>
    <row r="808" spans="2:32" s="123" customFormat="1">
      <c r="B808" s="125"/>
      <c r="D808" s="125"/>
      <c r="X808" s="74"/>
      <c r="AF808" s="238"/>
    </row>
    <row r="809" spans="2:32" s="123" customFormat="1">
      <c r="B809" s="125"/>
      <c r="D809" s="125"/>
      <c r="X809" s="74"/>
      <c r="AF809" s="238"/>
    </row>
    <row r="810" spans="2:32" s="123" customFormat="1">
      <c r="B810" s="125"/>
      <c r="D810" s="125"/>
      <c r="X810" s="74"/>
      <c r="AF810" s="238"/>
    </row>
    <row r="811" spans="2:32" s="123" customFormat="1">
      <c r="B811" s="125"/>
      <c r="D811" s="125"/>
      <c r="X811" s="74"/>
      <c r="AF811" s="238"/>
    </row>
    <row r="812" spans="2:32" s="123" customFormat="1">
      <c r="B812" s="125"/>
      <c r="D812" s="125"/>
      <c r="X812" s="74"/>
      <c r="AF812" s="238"/>
    </row>
    <row r="813" spans="2:32" s="123" customFormat="1">
      <c r="B813" s="125"/>
      <c r="D813" s="125"/>
      <c r="X813" s="74"/>
      <c r="AF813" s="238"/>
    </row>
    <row r="814" spans="2:32" s="123" customFormat="1">
      <c r="B814" s="125"/>
      <c r="D814" s="125"/>
      <c r="X814" s="74"/>
      <c r="AF814" s="238"/>
    </row>
    <row r="815" spans="2:32" s="123" customFormat="1">
      <c r="B815" s="125"/>
      <c r="D815" s="125"/>
      <c r="X815" s="74"/>
      <c r="AF815" s="238"/>
    </row>
    <row r="816" spans="2:32" s="123" customFormat="1">
      <c r="B816" s="125"/>
      <c r="D816" s="125"/>
      <c r="X816" s="74"/>
      <c r="AF816" s="238"/>
    </row>
    <row r="817" spans="2:32" s="123" customFormat="1">
      <c r="B817" s="125"/>
      <c r="D817" s="125"/>
      <c r="X817" s="74"/>
      <c r="AF817" s="238"/>
    </row>
    <row r="818" spans="2:32" s="123" customFormat="1">
      <c r="B818" s="125"/>
      <c r="D818" s="125"/>
      <c r="X818" s="74"/>
      <c r="AF818" s="238"/>
    </row>
    <row r="819" spans="2:32" s="123" customFormat="1">
      <c r="B819" s="125"/>
      <c r="D819" s="125"/>
      <c r="X819" s="74"/>
      <c r="AF819" s="238"/>
    </row>
    <row r="820" spans="2:32" s="123" customFormat="1">
      <c r="B820" s="125"/>
      <c r="D820" s="125"/>
      <c r="X820" s="74"/>
      <c r="AF820" s="238"/>
    </row>
    <row r="821" spans="2:32" s="123" customFormat="1">
      <c r="B821" s="125"/>
      <c r="D821" s="125"/>
      <c r="X821" s="74"/>
      <c r="AF821" s="238"/>
    </row>
    <row r="822" spans="2:32" s="123" customFormat="1">
      <c r="B822" s="125"/>
      <c r="D822" s="125"/>
      <c r="X822" s="74"/>
      <c r="AF822" s="238"/>
    </row>
    <row r="823" spans="2:32" s="123" customFormat="1">
      <c r="B823" s="125"/>
      <c r="D823" s="125"/>
      <c r="X823" s="74"/>
      <c r="AF823" s="238"/>
    </row>
    <row r="824" spans="2:32" s="123" customFormat="1">
      <c r="B824" s="125"/>
      <c r="D824" s="125"/>
      <c r="X824" s="74"/>
      <c r="AF824" s="238"/>
    </row>
    <row r="825" spans="2:32" s="123" customFormat="1">
      <c r="B825" s="125"/>
      <c r="D825" s="125"/>
      <c r="X825" s="74"/>
      <c r="AF825" s="238"/>
    </row>
    <row r="826" spans="2:32" s="123" customFormat="1">
      <c r="B826" s="125"/>
      <c r="D826" s="125"/>
      <c r="X826" s="74"/>
      <c r="AF826" s="238"/>
    </row>
    <row r="827" spans="2:32" s="123" customFormat="1">
      <c r="B827" s="125"/>
      <c r="D827" s="125"/>
      <c r="X827" s="74"/>
      <c r="AF827" s="238"/>
    </row>
    <row r="828" spans="2:32" s="123" customFormat="1">
      <c r="B828" s="125"/>
      <c r="D828" s="125"/>
      <c r="X828" s="74"/>
      <c r="AF828" s="238"/>
    </row>
    <row r="829" spans="2:32" s="123" customFormat="1">
      <c r="B829" s="125"/>
      <c r="D829" s="125"/>
      <c r="X829" s="74"/>
      <c r="AF829" s="238"/>
    </row>
    <row r="830" spans="2:32" s="123" customFormat="1">
      <c r="B830" s="125"/>
      <c r="D830" s="125"/>
      <c r="X830" s="74"/>
      <c r="AF830" s="238"/>
    </row>
    <row r="831" spans="2:32" s="123" customFormat="1">
      <c r="B831" s="125"/>
      <c r="D831" s="125"/>
      <c r="X831" s="74"/>
      <c r="AF831" s="238"/>
    </row>
    <row r="832" spans="2:32" s="123" customFormat="1">
      <c r="B832" s="125"/>
      <c r="D832" s="125"/>
      <c r="X832" s="74"/>
      <c r="AF832" s="238"/>
    </row>
    <row r="833" spans="2:32" s="123" customFormat="1">
      <c r="B833" s="125"/>
      <c r="D833" s="125"/>
      <c r="X833" s="74"/>
      <c r="AF833" s="238"/>
    </row>
    <row r="834" spans="2:32" s="123" customFormat="1">
      <c r="B834" s="125"/>
      <c r="D834" s="125"/>
      <c r="X834" s="74"/>
      <c r="AF834" s="238"/>
    </row>
    <row r="835" spans="2:32" s="123" customFormat="1">
      <c r="B835" s="125"/>
      <c r="D835" s="125"/>
      <c r="X835" s="74"/>
      <c r="AF835" s="238"/>
    </row>
    <row r="836" spans="2:32" s="123" customFormat="1">
      <c r="B836" s="125"/>
      <c r="D836" s="125"/>
      <c r="X836" s="74"/>
      <c r="AF836" s="238"/>
    </row>
    <row r="837" spans="2:32" s="123" customFormat="1">
      <c r="B837" s="125"/>
      <c r="D837" s="125"/>
      <c r="X837" s="74"/>
      <c r="AF837" s="238"/>
    </row>
    <row r="838" spans="2:32" s="123" customFormat="1">
      <c r="B838" s="125"/>
      <c r="D838" s="125"/>
      <c r="X838" s="74"/>
      <c r="AF838" s="238"/>
    </row>
    <row r="839" spans="2:32" s="123" customFormat="1">
      <c r="B839" s="125"/>
      <c r="D839" s="125"/>
      <c r="X839" s="74"/>
      <c r="AF839" s="238"/>
    </row>
    <row r="840" spans="2:32" s="123" customFormat="1">
      <c r="B840" s="125"/>
      <c r="D840" s="125"/>
      <c r="X840" s="74"/>
      <c r="AF840" s="238"/>
    </row>
    <row r="841" spans="2:32" s="123" customFormat="1">
      <c r="B841" s="125"/>
      <c r="D841" s="125"/>
      <c r="X841" s="74"/>
      <c r="AF841" s="238"/>
    </row>
    <row r="842" spans="2:32" s="123" customFormat="1">
      <c r="B842" s="125"/>
      <c r="D842" s="125"/>
      <c r="X842" s="74"/>
      <c r="AF842" s="238"/>
    </row>
    <row r="843" spans="2:32" s="123" customFormat="1">
      <c r="B843" s="125"/>
      <c r="D843" s="125"/>
      <c r="X843" s="74"/>
      <c r="AF843" s="238"/>
    </row>
    <row r="844" spans="2:32" s="123" customFormat="1">
      <c r="B844" s="125"/>
      <c r="D844" s="125"/>
      <c r="X844" s="74"/>
      <c r="AF844" s="238"/>
    </row>
    <row r="845" spans="2:32" s="123" customFormat="1">
      <c r="B845" s="125"/>
      <c r="D845" s="125"/>
      <c r="X845" s="74"/>
      <c r="AF845" s="238"/>
    </row>
    <row r="846" spans="2:32" s="123" customFormat="1">
      <c r="B846" s="125"/>
      <c r="D846" s="125"/>
      <c r="X846" s="74"/>
      <c r="AF846" s="238"/>
    </row>
    <row r="847" spans="2:32" s="123" customFormat="1">
      <c r="B847" s="125"/>
      <c r="D847" s="125"/>
      <c r="X847" s="74"/>
      <c r="AF847" s="238"/>
    </row>
    <row r="848" spans="2:32" s="123" customFormat="1">
      <c r="B848" s="125"/>
      <c r="D848" s="125"/>
      <c r="X848" s="74"/>
      <c r="AF848" s="238"/>
    </row>
    <row r="849" spans="2:32" s="123" customFormat="1">
      <c r="B849" s="125"/>
      <c r="D849" s="125"/>
      <c r="X849" s="74"/>
      <c r="AF849" s="238"/>
    </row>
    <row r="850" spans="2:32" s="123" customFormat="1">
      <c r="B850" s="125"/>
      <c r="D850" s="125"/>
      <c r="X850" s="74"/>
      <c r="AF850" s="238"/>
    </row>
    <row r="851" spans="2:32" s="123" customFormat="1">
      <c r="B851" s="125"/>
      <c r="D851" s="125"/>
      <c r="X851" s="74"/>
      <c r="AF851" s="238"/>
    </row>
    <row r="852" spans="2:32" s="123" customFormat="1">
      <c r="B852" s="125"/>
      <c r="D852" s="125"/>
      <c r="X852" s="74"/>
      <c r="AF852" s="238"/>
    </row>
    <row r="853" spans="2:32" s="123" customFormat="1">
      <c r="B853" s="125"/>
      <c r="D853" s="125"/>
      <c r="X853" s="74"/>
      <c r="AF853" s="238"/>
    </row>
    <row r="854" spans="2:32" s="123" customFormat="1">
      <c r="B854" s="125"/>
      <c r="D854" s="125"/>
      <c r="X854" s="74"/>
      <c r="AF854" s="238"/>
    </row>
    <row r="855" spans="2:32" s="123" customFormat="1">
      <c r="B855" s="125"/>
      <c r="D855" s="125"/>
      <c r="X855" s="74"/>
      <c r="AF855" s="238"/>
    </row>
    <row r="856" spans="2:32" s="123" customFormat="1">
      <c r="B856" s="125"/>
      <c r="D856" s="125"/>
      <c r="X856" s="74"/>
      <c r="AF856" s="238"/>
    </row>
    <row r="857" spans="2:32" s="123" customFormat="1">
      <c r="B857" s="125"/>
      <c r="D857" s="125"/>
      <c r="X857" s="74"/>
      <c r="AF857" s="238"/>
    </row>
    <row r="858" spans="2:32" s="123" customFormat="1">
      <c r="B858" s="125"/>
      <c r="D858" s="125"/>
      <c r="X858" s="74"/>
      <c r="AF858" s="238"/>
    </row>
    <row r="859" spans="2:32" s="123" customFormat="1">
      <c r="B859" s="125"/>
      <c r="D859" s="125"/>
      <c r="X859" s="74"/>
      <c r="AF859" s="238"/>
    </row>
    <row r="860" spans="2:32" s="123" customFormat="1">
      <c r="B860" s="125"/>
      <c r="D860" s="125"/>
      <c r="X860" s="74"/>
      <c r="AF860" s="238"/>
    </row>
    <row r="861" spans="2:32" s="123" customFormat="1">
      <c r="B861" s="125"/>
      <c r="D861" s="125"/>
      <c r="X861" s="74"/>
      <c r="AF861" s="238"/>
    </row>
    <row r="862" spans="2:32" s="123" customFormat="1">
      <c r="B862" s="125"/>
      <c r="D862" s="125"/>
      <c r="X862" s="74"/>
      <c r="AF862" s="238"/>
    </row>
    <row r="863" spans="2:32" s="123" customFormat="1">
      <c r="B863" s="125"/>
      <c r="D863" s="125"/>
      <c r="X863" s="74"/>
      <c r="AF863" s="238"/>
    </row>
    <row r="864" spans="2:32" s="123" customFormat="1">
      <c r="B864" s="125"/>
      <c r="D864" s="125"/>
      <c r="X864" s="74"/>
      <c r="AF864" s="238"/>
    </row>
    <row r="865" spans="2:32" s="123" customFormat="1">
      <c r="B865" s="125"/>
      <c r="D865" s="125"/>
      <c r="X865" s="74"/>
      <c r="AF865" s="238"/>
    </row>
    <row r="866" spans="2:32" s="123" customFormat="1">
      <c r="B866" s="125"/>
      <c r="D866" s="125"/>
      <c r="X866" s="74"/>
      <c r="AF866" s="238"/>
    </row>
    <row r="867" spans="2:32" s="123" customFormat="1">
      <c r="B867" s="125"/>
      <c r="D867" s="125"/>
      <c r="X867" s="74"/>
      <c r="AF867" s="238"/>
    </row>
    <row r="868" spans="2:32" s="123" customFormat="1">
      <c r="B868" s="125"/>
      <c r="D868" s="125"/>
      <c r="X868" s="74"/>
      <c r="AF868" s="238"/>
    </row>
    <row r="869" spans="2:32" s="123" customFormat="1">
      <c r="B869" s="125"/>
      <c r="D869" s="125"/>
      <c r="X869" s="74"/>
      <c r="AF869" s="238"/>
    </row>
    <row r="870" spans="2:32" s="123" customFormat="1">
      <c r="B870" s="125"/>
      <c r="D870" s="125"/>
      <c r="X870" s="74"/>
      <c r="AF870" s="238"/>
    </row>
    <row r="871" spans="2:32" s="123" customFormat="1">
      <c r="B871" s="125"/>
      <c r="D871" s="125"/>
      <c r="X871" s="74"/>
      <c r="AF871" s="238"/>
    </row>
    <row r="872" spans="2:32" s="123" customFormat="1">
      <c r="B872" s="125"/>
      <c r="D872" s="125"/>
      <c r="X872" s="74"/>
      <c r="AF872" s="238"/>
    </row>
    <row r="873" spans="2:32" s="123" customFormat="1">
      <c r="B873" s="125"/>
      <c r="D873" s="125"/>
      <c r="X873" s="74"/>
      <c r="AF873" s="238"/>
    </row>
    <row r="874" spans="2:32" s="123" customFormat="1">
      <c r="B874" s="125"/>
      <c r="D874" s="125"/>
      <c r="X874" s="74"/>
      <c r="AF874" s="238"/>
    </row>
    <row r="875" spans="2:32" s="123" customFormat="1">
      <c r="B875" s="125"/>
      <c r="D875" s="125"/>
      <c r="X875" s="74"/>
      <c r="AF875" s="238"/>
    </row>
    <row r="876" spans="2:32" s="123" customFormat="1">
      <c r="B876" s="125"/>
      <c r="D876" s="125"/>
      <c r="X876" s="74"/>
      <c r="AF876" s="238"/>
    </row>
    <row r="877" spans="2:32" s="123" customFormat="1">
      <c r="B877" s="125"/>
      <c r="D877" s="125"/>
      <c r="X877" s="74"/>
      <c r="AF877" s="238"/>
    </row>
    <row r="878" spans="2:32" s="123" customFormat="1">
      <c r="B878" s="125"/>
      <c r="D878" s="125"/>
      <c r="X878" s="74"/>
      <c r="AF878" s="238"/>
    </row>
    <row r="879" spans="2:32" s="123" customFormat="1">
      <c r="B879" s="125"/>
      <c r="D879" s="125"/>
      <c r="X879" s="74"/>
      <c r="AF879" s="238"/>
    </row>
    <row r="880" spans="2:32" s="123" customFormat="1">
      <c r="B880" s="125"/>
      <c r="D880" s="125"/>
      <c r="X880" s="74"/>
      <c r="AF880" s="238"/>
    </row>
    <row r="881" spans="2:32" s="123" customFormat="1">
      <c r="B881" s="125"/>
      <c r="D881" s="125"/>
      <c r="X881" s="74"/>
      <c r="AF881" s="238"/>
    </row>
    <row r="882" spans="2:32" s="123" customFormat="1">
      <c r="B882" s="125"/>
      <c r="D882" s="125"/>
      <c r="X882" s="74"/>
      <c r="AF882" s="238"/>
    </row>
    <row r="883" spans="2:32" s="123" customFormat="1">
      <c r="B883" s="125"/>
      <c r="D883" s="125"/>
      <c r="X883" s="74"/>
      <c r="AF883" s="238"/>
    </row>
    <row r="884" spans="2:32" s="123" customFormat="1">
      <c r="B884" s="125"/>
      <c r="D884" s="125"/>
      <c r="X884" s="74"/>
      <c r="AF884" s="238"/>
    </row>
    <row r="885" spans="2:32" s="123" customFormat="1">
      <c r="B885" s="125"/>
      <c r="D885" s="125"/>
      <c r="X885" s="74"/>
      <c r="AF885" s="238"/>
    </row>
    <row r="886" spans="2:32" s="123" customFormat="1">
      <c r="B886" s="125"/>
      <c r="D886" s="125"/>
      <c r="X886" s="74"/>
      <c r="AF886" s="238"/>
    </row>
    <row r="887" spans="2:32" s="123" customFormat="1">
      <c r="B887" s="125"/>
      <c r="D887" s="125"/>
      <c r="X887" s="74"/>
      <c r="AF887" s="238"/>
    </row>
    <row r="888" spans="2:32" s="123" customFormat="1">
      <c r="B888" s="125"/>
      <c r="D888" s="125"/>
      <c r="X888" s="74"/>
      <c r="AF888" s="238"/>
    </row>
    <row r="889" spans="2:32" s="123" customFormat="1">
      <c r="B889" s="125"/>
      <c r="D889" s="125"/>
      <c r="X889" s="74"/>
      <c r="AF889" s="238"/>
    </row>
    <row r="890" spans="2:32" s="123" customFormat="1">
      <c r="B890" s="125"/>
      <c r="D890" s="125"/>
      <c r="X890" s="74"/>
      <c r="AF890" s="238"/>
    </row>
    <row r="891" spans="2:32" s="123" customFormat="1">
      <c r="B891" s="125"/>
      <c r="D891" s="125"/>
      <c r="X891" s="74"/>
      <c r="AF891" s="238"/>
    </row>
    <row r="892" spans="2:32" s="123" customFormat="1">
      <c r="B892" s="125"/>
      <c r="D892" s="125"/>
      <c r="X892" s="74"/>
      <c r="AF892" s="238"/>
    </row>
    <row r="893" spans="2:32" s="123" customFormat="1">
      <c r="B893" s="125"/>
      <c r="D893" s="125"/>
      <c r="X893" s="74"/>
      <c r="AF893" s="238"/>
    </row>
    <row r="894" spans="2:32" s="123" customFormat="1">
      <c r="B894" s="125"/>
      <c r="D894" s="125"/>
      <c r="X894" s="74"/>
      <c r="AF894" s="238"/>
    </row>
    <row r="895" spans="2:32" s="123" customFormat="1">
      <c r="B895" s="125"/>
      <c r="D895" s="125"/>
      <c r="X895" s="74"/>
      <c r="AF895" s="238"/>
    </row>
    <row r="896" spans="2:32" s="123" customFormat="1">
      <c r="B896" s="125"/>
      <c r="D896" s="125"/>
      <c r="X896" s="74"/>
      <c r="AF896" s="238"/>
    </row>
    <row r="897" spans="2:32" s="123" customFormat="1">
      <c r="B897" s="125"/>
      <c r="D897" s="125"/>
      <c r="X897" s="74"/>
      <c r="AF897" s="238"/>
    </row>
    <row r="898" spans="2:32" s="123" customFormat="1">
      <c r="B898" s="125"/>
      <c r="D898" s="125"/>
      <c r="X898" s="74"/>
      <c r="AF898" s="238"/>
    </row>
    <row r="899" spans="2:32" s="123" customFormat="1">
      <c r="B899" s="125"/>
      <c r="D899" s="125"/>
      <c r="X899" s="74"/>
      <c r="AF899" s="238"/>
    </row>
    <row r="900" spans="2:32" s="123" customFormat="1">
      <c r="B900" s="125"/>
      <c r="D900" s="125"/>
      <c r="X900" s="74"/>
      <c r="AF900" s="238"/>
    </row>
    <row r="901" spans="2:32" s="123" customFormat="1">
      <c r="B901" s="125"/>
      <c r="D901" s="125"/>
      <c r="X901" s="74"/>
      <c r="AF901" s="238"/>
    </row>
    <row r="902" spans="2:32" s="123" customFormat="1">
      <c r="B902" s="125"/>
      <c r="D902" s="125"/>
      <c r="X902" s="74"/>
      <c r="AF902" s="238"/>
    </row>
    <row r="903" spans="2:32" s="123" customFormat="1">
      <c r="B903" s="125"/>
      <c r="D903" s="125"/>
      <c r="X903" s="74"/>
      <c r="AF903" s="238"/>
    </row>
    <row r="904" spans="2:32" s="123" customFormat="1">
      <c r="B904" s="125"/>
      <c r="D904" s="125"/>
      <c r="X904" s="74"/>
      <c r="AF904" s="238"/>
    </row>
    <row r="905" spans="2:32" s="123" customFormat="1">
      <c r="B905" s="125"/>
      <c r="D905" s="125"/>
      <c r="X905" s="74"/>
      <c r="AF905" s="238"/>
    </row>
    <row r="906" spans="2:32" s="123" customFormat="1">
      <c r="B906" s="125"/>
      <c r="D906" s="125"/>
      <c r="X906" s="74"/>
      <c r="AF906" s="238"/>
    </row>
    <row r="907" spans="2:32" s="123" customFormat="1">
      <c r="B907" s="125"/>
      <c r="D907" s="125"/>
      <c r="X907" s="74"/>
      <c r="AF907" s="238"/>
    </row>
    <row r="908" spans="2:32" s="123" customFormat="1">
      <c r="B908" s="125"/>
      <c r="D908" s="125"/>
      <c r="X908" s="74"/>
      <c r="AF908" s="238"/>
    </row>
    <row r="909" spans="2:32" s="123" customFormat="1">
      <c r="B909" s="125"/>
      <c r="D909" s="125"/>
      <c r="X909" s="74"/>
      <c r="AF909" s="238"/>
    </row>
    <row r="910" spans="2:32" s="123" customFormat="1">
      <c r="B910" s="125"/>
      <c r="D910" s="125"/>
      <c r="X910" s="74"/>
      <c r="AF910" s="238"/>
    </row>
    <row r="911" spans="2:32" s="123" customFormat="1">
      <c r="B911" s="125"/>
      <c r="D911" s="125"/>
      <c r="X911" s="74"/>
      <c r="AF911" s="238"/>
    </row>
    <row r="912" spans="2:32" s="123" customFormat="1">
      <c r="B912" s="125"/>
      <c r="D912" s="125"/>
      <c r="X912" s="74"/>
      <c r="AF912" s="238"/>
    </row>
    <row r="913" spans="2:32" s="123" customFormat="1">
      <c r="B913" s="125"/>
      <c r="D913" s="125"/>
      <c r="X913" s="74"/>
      <c r="AF913" s="238"/>
    </row>
    <row r="914" spans="2:32" s="123" customFormat="1">
      <c r="B914" s="125"/>
      <c r="D914" s="125"/>
      <c r="X914" s="74"/>
      <c r="AF914" s="238"/>
    </row>
    <row r="915" spans="2:32" s="123" customFormat="1">
      <c r="B915" s="125"/>
      <c r="D915" s="125"/>
      <c r="X915" s="74"/>
      <c r="AF915" s="238"/>
    </row>
    <row r="916" spans="2:32" s="123" customFormat="1">
      <c r="B916" s="125"/>
      <c r="D916" s="125"/>
      <c r="X916" s="74"/>
      <c r="AF916" s="238"/>
    </row>
    <row r="917" spans="2:32" s="123" customFormat="1">
      <c r="B917" s="125"/>
      <c r="D917" s="125"/>
      <c r="X917" s="74"/>
      <c r="AF917" s="238"/>
    </row>
    <row r="918" spans="2:32" s="123" customFormat="1">
      <c r="B918" s="125"/>
      <c r="D918" s="125"/>
      <c r="X918" s="74"/>
      <c r="AF918" s="238"/>
    </row>
    <row r="919" spans="2:32" s="123" customFormat="1">
      <c r="B919" s="125"/>
      <c r="D919" s="125"/>
      <c r="X919" s="74"/>
      <c r="AF919" s="238"/>
    </row>
    <row r="920" spans="2:32" s="123" customFormat="1">
      <c r="B920" s="125"/>
      <c r="D920" s="125"/>
      <c r="X920" s="74"/>
      <c r="AF920" s="238"/>
    </row>
    <row r="921" spans="2:32" s="123" customFormat="1">
      <c r="B921" s="125"/>
      <c r="D921" s="125"/>
      <c r="X921" s="74"/>
      <c r="AF921" s="238"/>
    </row>
    <row r="922" spans="2:32" s="123" customFormat="1">
      <c r="B922" s="125"/>
      <c r="D922" s="125"/>
      <c r="X922" s="74"/>
      <c r="AF922" s="238"/>
    </row>
    <row r="923" spans="2:32" s="123" customFormat="1">
      <c r="B923" s="125"/>
      <c r="D923" s="125"/>
      <c r="X923" s="74"/>
      <c r="AF923" s="238"/>
    </row>
    <row r="924" spans="2:32" s="123" customFormat="1">
      <c r="B924" s="125"/>
      <c r="D924" s="125"/>
      <c r="X924" s="74"/>
      <c r="AF924" s="238"/>
    </row>
    <row r="925" spans="2:32" s="123" customFormat="1">
      <c r="B925" s="125"/>
      <c r="D925" s="125"/>
      <c r="X925" s="74"/>
      <c r="AF925" s="238"/>
    </row>
    <row r="926" spans="2:32" s="123" customFormat="1">
      <c r="B926" s="125"/>
      <c r="D926" s="125"/>
      <c r="X926" s="74"/>
      <c r="AF926" s="238"/>
    </row>
    <row r="927" spans="2:32" s="123" customFormat="1">
      <c r="B927" s="125"/>
      <c r="D927" s="125"/>
      <c r="X927" s="74"/>
      <c r="AF927" s="238"/>
    </row>
    <row r="928" spans="2:32" s="123" customFormat="1">
      <c r="B928" s="125"/>
      <c r="D928" s="125"/>
      <c r="X928" s="74"/>
      <c r="AF928" s="238"/>
    </row>
    <row r="929" spans="2:32" s="123" customFormat="1">
      <c r="B929" s="125"/>
      <c r="D929" s="125"/>
      <c r="X929" s="74"/>
      <c r="AF929" s="238"/>
    </row>
    <row r="930" spans="2:32" s="123" customFormat="1">
      <c r="B930" s="125"/>
      <c r="D930" s="125"/>
      <c r="X930" s="74"/>
      <c r="AF930" s="238"/>
    </row>
    <row r="931" spans="2:32" s="123" customFormat="1">
      <c r="B931" s="125"/>
      <c r="D931" s="125"/>
      <c r="X931" s="74"/>
      <c r="AF931" s="238"/>
    </row>
    <row r="932" spans="2:32" s="123" customFormat="1">
      <c r="B932" s="125"/>
      <c r="D932" s="125"/>
      <c r="X932" s="74"/>
      <c r="AF932" s="238"/>
    </row>
    <row r="933" spans="2:32" s="123" customFormat="1">
      <c r="B933" s="125"/>
      <c r="D933" s="125"/>
      <c r="X933" s="74"/>
      <c r="AF933" s="238"/>
    </row>
    <row r="934" spans="2:32" s="123" customFormat="1">
      <c r="B934" s="125"/>
      <c r="D934" s="125"/>
      <c r="X934" s="74"/>
      <c r="AF934" s="238"/>
    </row>
    <row r="935" spans="2:32" s="123" customFormat="1">
      <c r="B935" s="125"/>
      <c r="D935" s="125"/>
      <c r="X935" s="74"/>
      <c r="AF935" s="238"/>
    </row>
    <row r="936" spans="2:32" s="123" customFormat="1">
      <c r="B936" s="125"/>
      <c r="D936" s="125"/>
      <c r="X936" s="74"/>
      <c r="AF936" s="238"/>
    </row>
    <row r="937" spans="2:32" s="123" customFormat="1">
      <c r="B937" s="125"/>
      <c r="D937" s="125"/>
      <c r="X937" s="74"/>
      <c r="AF937" s="238"/>
    </row>
    <row r="938" spans="2:32" s="123" customFormat="1">
      <c r="B938" s="125"/>
      <c r="D938" s="125"/>
      <c r="X938" s="74"/>
      <c r="AF938" s="238"/>
    </row>
    <row r="939" spans="2:32" s="123" customFormat="1">
      <c r="B939" s="125"/>
      <c r="D939" s="125"/>
      <c r="X939" s="74"/>
      <c r="AF939" s="238"/>
    </row>
    <row r="940" spans="2:32" s="123" customFormat="1">
      <c r="B940" s="125"/>
      <c r="D940" s="125"/>
      <c r="X940" s="74"/>
      <c r="AF940" s="238"/>
    </row>
    <row r="941" spans="2:32" s="123" customFormat="1">
      <c r="B941" s="125"/>
      <c r="D941" s="125"/>
      <c r="X941" s="74"/>
      <c r="AF941" s="238"/>
    </row>
    <row r="942" spans="2:32" s="123" customFormat="1">
      <c r="B942" s="125"/>
      <c r="D942" s="125"/>
      <c r="X942" s="74"/>
      <c r="AF942" s="238"/>
    </row>
    <row r="943" spans="2:32" s="123" customFormat="1">
      <c r="B943" s="125"/>
      <c r="D943" s="125"/>
      <c r="X943" s="74"/>
      <c r="AF943" s="238"/>
    </row>
    <row r="944" spans="2:32" s="123" customFormat="1">
      <c r="B944" s="125"/>
      <c r="D944" s="125"/>
      <c r="X944" s="74"/>
      <c r="AF944" s="238"/>
    </row>
    <row r="945" spans="2:32" s="123" customFormat="1">
      <c r="B945" s="125"/>
      <c r="D945" s="125"/>
      <c r="X945" s="74"/>
      <c r="AF945" s="238"/>
    </row>
    <row r="946" spans="2:32" s="123" customFormat="1">
      <c r="B946" s="125"/>
      <c r="D946" s="125"/>
      <c r="X946" s="74"/>
      <c r="AF946" s="238"/>
    </row>
    <row r="947" spans="2:32" s="123" customFormat="1">
      <c r="B947" s="125"/>
      <c r="D947" s="125"/>
      <c r="X947" s="74"/>
      <c r="AF947" s="238"/>
    </row>
    <row r="948" spans="2:32" s="123" customFormat="1">
      <c r="B948" s="125"/>
      <c r="D948" s="125"/>
      <c r="X948" s="74"/>
      <c r="AF948" s="238"/>
    </row>
    <row r="949" spans="2:32" s="123" customFormat="1">
      <c r="B949" s="125"/>
      <c r="D949" s="125"/>
      <c r="X949" s="74"/>
      <c r="AF949" s="238"/>
    </row>
    <row r="950" spans="2:32" s="123" customFormat="1">
      <c r="B950" s="125"/>
      <c r="D950" s="125"/>
      <c r="X950" s="74"/>
      <c r="AF950" s="238"/>
    </row>
    <row r="951" spans="2:32" s="123" customFormat="1">
      <c r="B951" s="125"/>
      <c r="D951" s="125"/>
      <c r="X951" s="74"/>
      <c r="AF951" s="238"/>
    </row>
    <row r="952" spans="2:32" s="123" customFormat="1">
      <c r="B952" s="125"/>
      <c r="D952" s="125"/>
      <c r="X952" s="74"/>
      <c r="AF952" s="238"/>
    </row>
    <row r="953" spans="2:32" s="123" customFormat="1">
      <c r="B953" s="125"/>
      <c r="D953" s="125"/>
      <c r="X953" s="74"/>
      <c r="AF953" s="238"/>
    </row>
    <row r="954" spans="2:32" s="123" customFormat="1">
      <c r="B954" s="125"/>
      <c r="D954" s="125"/>
      <c r="X954" s="74"/>
      <c r="AF954" s="238"/>
    </row>
    <row r="955" spans="2:32" s="123" customFormat="1">
      <c r="B955" s="125"/>
      <c r="D955" s="125"/>
      <c r="X955" s="74"/>
      <c r="AF955" s="238"/>
    </row>
    <row r="956" spans="2:32" s="123" customFormat="1">
      <c r="B956" s="125"/>
      <c r="D956" s="125"/>
      <c r="X956" s="74"/>
      <c r="AF956" s="238"/>
    </row>
    <row r="957" spans="2:32" s="123" customFormat="1">
      <c r="B957" s="125"/>
      <c r="D957" s="125"/>
      <c r="X957" s="74"/>
      <c r="AF957" s="238"/>
    </row>
    <row r="958" spans="2:32" s="123" customFormat="1">
      <c r="B958" s="125"/>
      <c r="D958" s="125"/>
      <c r="X958" s="74"/>
      <c r="AF958" s="238"/>
    </row>
    <row r="959" spans="2:32" s="123" customFormat="1">
      <c r="B959" s="125"/>
      <c r="D959" s="125"/>
      <c r="X959" s="74"/>
      <c r="AF959" s="238"/>
    </row>
    <row r="960" spans="2:32" s="123" customFormat="1">
      <c r="B960" s="125"/>
      <c r="D960" s="125"/>
      <c r="X960" s="74"/>
      <c r="AF960" s="238"/>
    </row>
    <row r="961" spans="2:32" s="123" customFormat="1">
      <c r="B961" s="125"/>
      <c r="D961" s="125"/>
      <c r="X961" s="74"/>
      <c r="AF961" s="238"/>
    </row>
    <row r="962" spans="2:32" s="123" customFormat="1">
      <c r="B962" s="125"/>
      <c r="D962" s="125"/>
      <c r="X962" s="74"/>
      <c r="AF962" s="238"/>
    </row>
    <row r="963" spans="2:32" s="123" customFormat="1">
      <c r="B963" s="125"/>
      <c r="D963" s="125"/>
      <c r="X963" s="74"/>
      <c r="AF963" s="238"/>
    </row>
    <row r="964" spans="2:32" s="123" customFormat="1">
      <c r="B964" s="125"/>
      <c r="D964" s="125"/>
      <c r="X964" s="74"/>
      <c r="AF964" s="238"/>
    </row>
    <row r="965" spans="2:32" s="123" customFormat="1">
      <c r="B965" s="125"/>
      <c r="D965" s="125"/>
      <c r="X965" s="74"/>
      <c r="AF965" s="238"/>
    </row>
    <row r="966" spans="2:32" s="123" customFormat="1">
      <c r="B966" s="125"/>
      <c r="D966" s="125"/>
      <c r="X966" s="74"/>
      <c r="AF966" s="238"/>
    </row>
    <row r="967" spans="2:32" s="123" customFormat="1">
      <c r="B967" s="125"/>
      <c r="D967" s="125"/>
      <c r="X967" s="74"/>
      <c r="AF967" s="238"/>
    </row>
    <row r="968" spans="2:32" s="123" customFormat="1">
      <c r="B968" s="125"/>
      <c r="D968" s="125"/>
      <c r="X968" s="74"/>
      <c r="AF968" s="238"/>
    </row>
    <row r="969" spans="2:32" s="123" customFormat="1">
      <c r="B969" s="125"/>
      <c r="D969" s="125"/>
      <c r="X969" s="74"/>
      <c r="AF969" s="238"/>
    </row>
    <row r="970" spans="2:32" s="123" customFormat="1">
      <c r="B970" s="125"/>
      <c r="D970" s="125"/>
      <c r="X970" s="74"/>
      <c r="AF970" s="238"/>
    </row>
    <row r="971" spans="2:32" s="123" customFormat="1">
      <c r="B971" s="125"/>
      <c r="D971" s="125"/>
      <c r="X971" s="74"/>
      <c r="AF971" s="238"/>
    </row>
    <row r="972" spans="2:32" s="123" customFormat="1">
      <c r="B972" s="125"/>
      <c r="D972" s="125"/>
      <c r="X972" s="74"/>
      <c r="AF972" s="238"/>
    </row>
    <row r="973" spans="2:32" s="123" customFormat="1">
      <c r="B973" s="125"/>
      <c r="D973" s="125"/>
      <c r="X973" s="74"/>
      <c r="AF973" s="238"/>
    </row>
    <row r="974" spans="2:32" s="123" customFormat="1">
      <c r="B974" s="125"/>
      <c r="D974" s="125"/>
      <c r="X974" s="74"/>
      <c r="AF974" s="238"/>
    </row>
    <row r="975" spans="2:32" s="123" customFormat="1">
      <c r="B975" s="125"/>
      <c r="D975" s="125"/>
      <c r="X975" s="74"/>
      <c r="AF975" s="238"/>
    </row>
    <row r="976" spans="2:32" s="123" customFormat="1">
      <c r="B976" s="125"/>
      <c r="D976" s="125"/>
      <c r="X976" s="74"/>
      <c r="AF976" s="238"/>
    </row>
    <row r="977" spans="2:32" s="123" customFormat="1">
      <c r="B977" s="125"/>
      <c r="D977" s="125"/>
      <c r="X977" s="74"/>
      <c r="AF977" s="238"/>
    </row>
    <row r="978" spans="2:32" s="123" customFormat="1">
      <c r="B978" s="125"/>
      <c r="D978" s="125"/>
      <c r="X978" s="74"/>
      <c r="AF978" s="238"/>
    </row>
    <row r="979" spans="2:32" s="123" customFormat="1">
      <c r="B979" s="125"/>
      <c r="D979" s="125"/>
      <c r="X979" s="74"/>
      <c r="AF979" s="238"/>
    </row>
    <row r="980" spans="2:32" s="123" customFormat="1">
      <c r="B980" s="125"/>
      <c r="D980" s="125"/>
      <c r="X980" s="74"/>
      <c r="AF980" s="238"/>
    </row>
    <row r="981" spans="2:32" s="123" customFormat="1">
      <c r="B981" s="125"/>
      <c r="D981" s="125"/>
      <c r="X981" s="74"/>
      <c r="AF981" s="238"/>
    </row>
    <row r="982" spans="2:32" s="123" customFormat="1">
      <c r="B982" s="125"/>
      <c r="D982" s="125"/>
      <c r="X982" s="74"/>
      <c r="AF982" s="238"/>
    </row>
    <row r="983" spans="2:32" s="123" customFormat="1">
      <c r="B983" s="125"/>
      <c r="D983" s="125"/>
      <c r="X983" s="74"/>
      <c r="AF983" s="238"/>
    </row>
    <row r="984" spans="2:32" s="123" customFormat="1">
      <c r="B984" s="125"/>
      <c r="D984" s="125"/>
      <c r="X984" s="74"/>
      <c r="AF984" s="238"/>
    </row>
    <row r="985" spans="2:32" s="123" customFormat="1">
      <c r="B985" s="125"/>
      <c r="D985" s="125"/>
      <c r="X985" s="74"/>
      <c r="AF985" s="238"/>
    </row>
    <row r="986" spans="2:32" s="123" customFormat="1">
      <c r="B986" s="125"/>
      <c r="D986" s="125"/>
      <c r="X986" s="74"/>
      <c r="AF986" s="238"/>
    </row>
    <row r="987" spans="2:32" s="123" customFormat="1">
      <c r="B987" s="125"/>
      <c r="D987" s="125"/>
      <c r="X987" s="74"/>
      <c r="AF987" s="238"/>
    </row>
    <row r="988" spans="2:32" s="123" customFormat="1">
      <c r="B988" s="125"/>
      <c r="D988" s="125"/>
      <c r="X988" s="74"/>
      <c r="AF988" s="238"/>
    </row>
    <row r="989" spans="2:32" s="123" customFormat="1">
      <c r="B989" s="125"/>
      <c r="D989" s="125"/>
      <c r="X989" s="74"/>
      <c r="AF989" s="238"/>
    </row>
    <row r="990" spans="2:32" s="123" customFormat="1">
      <c r="B990" s="125"/>
      <c r="D990" s="125"/>
      <c r="X990" s="74"/>
      <c r="AF990" s="238"/>
    </row>
    <row r="991" spans="2:32" s="123" customFormat="1">
      <c r="B991" s="125"/>
      <c r="D991" s="125"/>
      <c r="X991" s="74"/>
      <c r="AF991" s="238"/>
    </row>
    <row r="992" spans="2:32" s="123" customFormat="1">
      <c r="B992" s="125"/>
      <c r="D992" s="125"/>
      <c r="X992" s="74"/>
      <c r="AF992" s="238"/>
    </row>
    <row r="993" spans="2:32" s="123" customFormat="1">
      <c r="B993" s="125"/>
      <c r="D993" s="125"/>
      <c r="X993" s="74"/>
      <c r="AF993" s="238"/>
    </row>
    <row r="994" spans="2:32" s="123" customFormat="1">
      <c r="B994" s="125"/>
      <c r="D994" s="125"/>
      <c r="X994" s="74"/>
      <c r="AF994" s="238"/>
    </row>
    <row r="995" spans="2:32" s="123" customFormat="1">
      <c r="B995" s="125"/>
      <c r="D995" s="125"/>
      <c r="X995" s="74"/>
      <c r="AF995" s="238"/>
    </row>
    <row r="996" spans="2:32" s="123" customFormat="1">
      <c r="B996" s="125"/>
      <c r="D996" s="125"/>
      <c r="X996" s="74"/>
      <c r="AF996" s="238"/>
    </row>
    <row r="997" spans="2:32" s="123" customFormat="1">
      <c r="B997" s="125"/>
      <c r="D997" s="125"/>
      <c r="X997" s="74"/>
      <c r="AF997" s="238"/>
    </row>
    <row r="998" spans="2:32" s="123" customFormat="1">
      <c r="B998" s="125"/>
      <c r="D998" s="125"/>
      <c r="X998" s="74"/>
      <c r="AF998" s="238"/>
    </row>
    <row r="999" spans="2:32" s="123" customFormat="1">
      <c r="B999" s="125"/>
      <c r="D999" s="125"/>
      <c r="X999" s="74"/>
      <c r="AF999" s="238"/>
    </row>
    <row r="1000" spans="2:32" s="123" customFormat="1">
      <c r="B1000" s="125"/>
      <c r="D1000" s="125"/>
      <c r="X1000" s="74"/>
      <c r="AF1000" s="238"/>
    </row>
    <row r="1001" spans="2:32" s="123" customFormat="1">
      <c r="B1001" s="125"/>
      <c r="D1001" s="125"/>
      <c r="X1001" s="74"/>
      <c r="AF1001" s="238"/>
    </row>
    <row r="1002" spans="2:32" s="123" customFormat="1">
      <c r="B1002" s="125"/>
      <c r="D1002" s="125"/>
      <c r="X1002" s="74"/>
      <c r="AF1002" s="238"/>
    </row>
    <row r="1003" spans="2:32" s="123" customFormat="1">
      <c r="B1003" s="125"/>
      <c r="D1003" s="125"/>
      <c r="X1003" s="74"/>
      <c r="AF1003" s="238"/>
    </row>
    <row r="1004" spans="2:32" s="123" customFormat="1">
      <c r="B1004" s="125"/>
      <c r="D1004" s="125"/>
      <c r="X1004" s="74"/>
      <c r="AF1004" s="238"/>
    </row>
    <row r="1005" spans="2:32" s="123" customFormat="1">
      <c r="B1005" s="125"/>
      <c r="D1005" s="125"/>
      <c r="X1005" s="74"/>
      <c r="AF1005" s="238"/>
    </row>
    <row r="1006" spans="2:32" s="123" customFormat="1">
      <c r="B1006" s="125"/>
      <c r="D1006" s="125"/>
      <c r="X1006" s="74"/>
      <c r="AF1006" s="238"/>
    </row>
    <row r="1007" spans="2:32" s="123" customFormat="1">
      <c r="B1007" s="125"/>
      <c r="D1007" s="125"/>
      <c r="X1007" s="74"/>
      <c r="AF1007" s="238"/>
    </row>
    <row r="1008" spans="2:32" s="123" customFormat="1">
      <c r="B1008" s="125"/>
      <c r="D1008" s="125"/>
      <c r="X1008" s="74"/>
      <c r="AF1008" s="238"/>
    </row>
    <row r="1009" spans="2:32" s="123" customFormat="1">
      <c r="B1009" s="125"/>
      <c r="D1009" s="125"/>
      <c r="X1009" s="74"/>
      <c r="AF1009" s="238"/>
    </row>
    <row r="1010" spans="2:32" s="123" customFormat="1">
      <c r="B1010" s="125"/>
      <c r="D1010" s="125"/>
      <c r="X1010" s="74"/>
      <c r="AF1010" s="238"/>
    </row>
    <row r="1011" spans="2:32" s="123" customFormat="1">
      <c r="B1011" s="125"/>
      <c r="D1011" s="125"/>
      <c r="X1011" s="74"/>
      <c r="AF1011" s="238"/>
    </row>
    <row r="1012" spans="2:32" s="123" customFormat="1">
      <c r="B1012" s="125"/>
      <c r="D1012" s="125"/>
      <c r="X1012" s="74"/>
      <c r="AF1012" s="238"/>
    </row>
    <row r="1013" spans="2:32" s="123" customFormat="1">
      <c r="B1013" s="125"/>
      <c r="D1013" s="125"/>
      <c r="X1013" s="74"/>
      <c r="AF1013" s="238"/>
    </row>
    <row r="1014" spans="2:32" s="123" customFormat="1">
      <c r="B1014" s="125"/>
      <c r="D1014" s="125"/>
      <c r="X1014" s="74"/>
      <c r="AF1014" s="238"/>
    </row>
    <row r="1015" spans="2:32" s="123" customFormat="1">
      <c r="B1015" s="125"/>
      <c r="D1015" s="125"/>
      <c r="X1015" s="74"/>
      <c r="AF1015" s="238"/>
    </row>
    <row r="1016" spans="2:32" s="123" customFormat="1">
      <c r="B1016" s="125"/>
      <c r="D1016" s="125"/>
      <c r="X1016" s="74"/>
      <c r="AF1016" s="238"/>
    </row>
    <row r="1017" spans="2:32" s="123" customFormat="1">
      <c r="B1017" s="125"/>
      <c r="D1017" s="125"/>
      <c r="X1017" s="74"/>
      <c r="AF1017" s="238"/>
    </row>
    <row r="1018" spans="2:32" s="123" customFormat="1">
      <c r="B1018" s="125"/>
      <c r="D1018" s="125"/>
      <c r="X1018" s="74"/>
      <c r="AF1018" s="238"/>
    </row>
    <row r="1019" spans="2:32" s="123" customFormat="1">
      <c r="B1019" s="125"/>
      <c r="D1019" s="125"/>
      <c r="X1019" s="74"/>
      <c r="AF1019" s="238"/>
    </row>
    <row r="1020" spans="2:32" s="123" customFormat="1">
      <c r="B1020" s="125"/>
      <c r="D1020" s="125"/>
      <c r="X1020" s="74"/>
      <c r="AF1020" s="238"/>
    </row>
    <row r="1021" spans="2:32" s="123" customFormat="1">
      <c r="B1021" s="125"/>
      <c r="D1021" s="125"/>
      <c r="X1021" s="74"/>
      <c r="AF1021" s="238"/>
    </row>
    <row r="1022" spans="2:32" s="123" customFormat="1">
      <c r="B1022" s="125"/>
      <c r="D1022" s="125"/>
      <c r="X1022" s="74"/>
      <c r="AF1022" s="238"/>
    </row>
    <row r="1023" spans="2:32" s="123" customFormat="1">
      <c r="B1023" s="125"/>
      <c r="D1023" s="125"/>
      <c r="X1023" s="74"/>
      <c r="AF1023" s="238"/>
    </row>
    <row r="1024" spans="2:32" s="123" customFormat="1">
      <c r="B1024" s="125"/>
      <c r="D1024" s="125"/>
      <c r="X1024" s="74"/>
      <c r="AF1024" s="238"/>
    </row>
    <row r="1025" spans="2:32" s="123" customFormat="1">
      <c r="B1025" s="125"/>
      <c r="D1025" s="125"/>
      <c r="X1025" s="74"/>
      <c r="AF1025" s="238"/>
    </row>
    <row r="1026" spans="2:32" s="123" customFormat="1">
      <c r="B1026" s="125"/>
      <c r="D1026" s="125"/>
      <c r="X1026" s="74"/>
      <c r="AF1026" s="238"/>
    </row>
    <row r="1027" spans="2:32" s="123" customFormat="1">
      <c r="B1027" s="125"/>
      <c r="D1027" s="125"/>
      <c r="X1027" s="74"/>
      <c r="AF1027" s="238"/>
    </row>
    <row r="1028" spans="2:32" s="123" customFormat="1">
      <c r="B1028" s="125"/>
      <c r="D1028" s="125"/>
      <c r="X1028" s="74"/>
      <c r="AF1028" s="238"/>
    </row>
    <row r="1029" spans="2:32" s="123" customFormat="1">
      <c r="B1029" s="125"/>
      <c r="D1029" s="125"/>
      <c r="X1029" s="74"/>
      <c r="AF1029" s="238"/>
    </row>
    <row r="1030" spans="2:32" s="123" customFormat="1">
      <c r="B1030" s="125"/>
      <c r="D1030" s="125"/>
      <c r="X1030" s="74"/>
      <c r="AF1030" s="238"/>
    </row>
    <row r="1031" spans="2:32" s="123" customFormat="1">
      <c r="B1031" s="125"/>
      <c r="D1031" s="125"/>
      <c r="X1031" s="74"/>
      <c r="AF1031" s="238"/>
    </row>
    <row r="1032" spans="2:32" s="123" customFormat="1">
      <c r="B1032" s="125"/>
      <c r="D1032" s="125"/>
      <c r="X1032" s="74"/>
      <c r="AF1032" s="238"/>
    </row>
    <row r="1033" spans="2:32" s="123" customFormat="1">
      <c r="B1033" s="125"/>
      <c r="D1033" s="125"/>
      <c r="X1033" s="74"/>
      <c r="AF1033" s="238"/>
    </row>
    <row r="1034" spans="2:32" s="123" customFormat="1">
      <c r="B1034" s="125"/>
      <c r="D1034" s="125"/>
      <c r="X1034" s="74"/>
      <c r="AF1034" s="238"/>
    </row>
    <row r="1035" spans="2:32" s="123" customFormat="1">
      <c r="B1035" s="125"/>
      <c r="D1035" s="125"/>
      <c r="X1035" s="74"/>
      <c r="AF1035" s="238"/>
    </row>
    <row r="1036" spans="2:32" s="123" customFormat="1">
      <c r="B1036" s="125"/>
      <c r="D1036" s="125"/>
      <c r="X1036" s="74"/>
      <c r="AF1036" s="238"/>
    </row>
    <row r="1037" spans="2:32" s="123" customFormat="1">
      <c r="B1037" s="125"/>
      <c r="D1037" s="125"/>
      <c r="X1037" s="74"/>
      <c r="AF1037" s="238"/>
    </row>
    <row r="1038" spans="2:32" s="123" customFormat="1">
      <c r="B1038" s="125"/>
      <c r="D1038" s="125"/>
      <c r="X1038" s="74"/>
      <c r="AF1038" s="238"/>
    </row>
    <row r="1039" spans="2:32" s="123" customFormat="1">
      <c r="B1039" s="125"/>
      <c r="D1039" s="125"/>
      <c r="X1039" s="74"/>
      <c r="AF1039" s="238"/>
    </row>
    <row r="1040" spans="2:32" s="123" customFormat="1">
      <c r="B1040" s="125"/>
      <c r="D1040" s="125"/>
      <c r="X1040" s="74"/>
      <c r="AF1040" s="238"/>
    </row>
    <row r="1041" spans="2:32" s="123" customFormat="1">
      <c r="B1041" s="125"/>
      <c r="D1041" s="125"/>
      <c r="X1041" s="74"/>
      <c r="AF1041" s="238"/>
    </row>
    <row r="1042" spans="2:32" s="123" customFormat="1">
      <c r="B1042" s="125"/>
      <c r="D1042" s="125"/>
      <c r="X1042" s="74"/>
      <c r="AF1042" s="238"/>
    </row>
    <row r="1043" spans="2:32" s="123" customFormat="1">
      <c r="B1043" s="125"/>
      <c r="D1043" s="125"/>
      <c r="X1043" s="74"/>
      <c r="AF1043" s="238"/>
    </row>
    <row r="1044" spans="2:32" s="123" customFormat="1">
      <c r="B1044" s="125"/>
      <c r="D1044" s="125"/>
      <c r="X1044" s="74"/>
      <c r="AF1044" s="238"/>
    </row>
    <row r="1045" spans="2:32" s="123" customFormat="1">
      <c r="B1045" s="125"/>
      <c r="D1045" s="125"/>
      <c r="X1045" s="74"/>
      <c r="AF1045" s="238"/>
    </row>
    <row r="1046" spans="2:32" s="123" customFormat="1">
      <c r="B1046" s="125"/>
      <c r="D1046" s="125"/>
      <c r="X1046" s="74"/>
      <c r="AF1046" s="238"/>
    </row>
    <row r="1047" spans="2:32" s="123" customFormat="1">
      <c r="B1047" s="125"/>
      <c r="D1047" s="125"/>
      <c r="X1047" s="74"/>
      <c r="AF1047" s="238"/>
    </row>
    <row r="1048" spans="2:32" s="123" customFormat="1">
      <c r="B1048" s="125"/>
      <c r="D1048" s="125"/>
      <c r="X1048" s="74"/>
      <c r="AF1048" s="238"/>
    </row>
    <row r="1049" spans="2:32" s="123" customFormat="1">
      <c r="B1049" s="125"/>
      <c r="D1049" s="125"/>
      <c r="X1049" s="74"/>
      <c r="AF1049" s="238"/>
    </row>
    <row r="1050" spans="2:32" s="123" customFormat="1">
      <c r="B1050" s="125"/>
      <c r="D1050" s="125"/>
      <c r="X1050" s="74"/>
      <c r="AF1050" s="238"/>
    </row>
    <row r="1051" spans="2:32" s="123" customFormat="1">
      <c r="B1051" s="125"/>
      <c r="D1051" s="125"/>
      <c r="X1051" s="74"/>
      <c r="AF1051" s="238"/>
    </row>
    <row r="1052" spans="2:32" s="123" customFormat="1">
      <c r="B1052" s="125"/>
      <c r="D1052" s="125"/>
      <c r="X1052" s="74"/>
      <c r="AF1052" s="238"/>
    </row>
    <row r="1053" spans="2:32" s="123" customFormat="1">
      <c r="B1053" s="125"/>
      <c r="D1053" s="125"/>
      <c r="X1053" s="74"/>
      <c r="AF1053" s="238"/>
    </row>
    <row r="1054" spans="2:32" s="123" customFormat="1">
      <c r="B1054" s="125"/>
      <c r="D1054" s="125"/>
      <c r="X1054" s="74"/>
      <c r="AF1054" s="238"/>
    </row>
    <row r="1055" spans="2:32" s="123" customFormat="1">
      <c r="B1055" s="125"/>
      <c r="D1055" s="125"/>
      <c r="X1055" s="74"/>
      <c r="AF1055" s="238"/>
    </row>
    <row r="1056" spans="2:32" s="123" customFormat="1">
      <c r="B1056" s="125"/>
      <c r="D1056" s="125"/>
      <c r="X1056" s="74"/>
      <c r="AF1056" s="238"/>
    </row>
    <row r="1057" spans="2:32" s="123" customFormat="1">
      <c r="B1057" s="125"/>
      <c r="D1057" s="125"/>
      <c r="X1057" s="74"/>
      <c r="AF1057" s="238"/>
    </row>
    <row r="1058" spans="2:32" s="123" customFormat="1">
      <c r="B1058" s="125"/>
      <c r="D1058" s="125"/>
      <c r="X1058" s="74"/>
      <c r="AF1058" s="238"/>
    </row>
    <row r="1059" spans="2:32" s="123" customFormat="1">
      <c r="B1059" s="125"/>
      <c r="D1059" s="125"/>
      <c r="X1059" s="74"/>
      <c r="AF1059" s="238"/>
    </row>
    <row r="1060" spans="2:32" s="123" customFormat="1">
      <c r="B1060" s="125"/>
      <c r="D1060" s="125"/>
      <c r="X1060" s="74"/>
      <c r="AF1060" s="238"/>
    </row>
    <row r="1061" spans="2:32" s="123" customFormat="1">
      <c r="B1061" s="125"/>
      <c r="D1061" s="125"/>
      <c r="X1061" s="74"/>
      <c r="AF1061" s="238"/>
    </row>
    <row r="1062" spans="2:32" s="123" customFormat="1">
      <c r="B1062" s="125"/>
      <c r="D1062" s="125"/>
      <c r="X1062" s="74"/>
      <c r="AF1062" s="238"/>
    </row>
    <row r="1063" spans="2:32" s="123" customFormat="1">
      <c r="B1063" s="125"/>
      <c r="D1063" s="125"/>
      <c r="X1063" s="74"/>
      <c r="AF1063" s="238"/>
    </row>
    <row r="1064" spans="2:32" s="123" customFormat="1">
      <c r="B1064" s="125"/>
      <c r="D1064" s="125"/>
      <c r="X1064" s="74"/>
      <c r="AF1064" s="238"/>
    </row>
    <row r="1065" spans="2:32" s="123" customFormat="1">
      <c r="B1065" s="125"/>
      <c r="D1065" s="125"/>
      <c r="X1065" s="74"/>
      <c r="AF1065" s="238"/>
    </row>
    <row r="1066" spans="2:32" s="123" customFormat="1">
      <c r="B1066" s="125"/>
      <c r="D1066" s="125"/>
      <c r="X1066" s="74"/>
      <c r="AF1066" s="238"/>
    </row>
    <row r="1067" spans="2:32" s="123" customFormat="1">
      <c r="B1067" s="125"/>
      <c r="D1067" s="125"/>
      <c r="X1067" s="74"/>
      <c r="AF1067" s="238"/>
    </row>
    <row r="1068" spans="2:32" s="123" customFormat="1">
      <c r="B1068" s="125"/>
      <c r="D1068" s="125"/>
      <c r="X1068" s="74"/>
      <c r="AF1068" s="238"/>
    </row>
    <row r="1069" spans="2:32" s="123" customFormat="1">
      <c r="B1069" s="125"/>
      <c r="D1069" s="125"/>
      <c r="X1069" s="74"/>
      <c r="AF1069" s="238"/>
    </row>
    <row r="1070" spans="2:32" s="123" customFormat="1">
      <c r="B1070" s="125"/>
      <c r="D1070" s="125"/>
      <c r="X1070" s="74"/>
      <c r="AF1070" s="238"/>
    </row>
    <row r="1071" spans="2:32" s="123" customFormat="1">
      <c r="B1071" s="125"/>
      <c r="D1071" s="125"/>
      <c r="X1071" s="74"/>
      <c r="AF1071" s="238"/>
    </row>
    <row r="1072" spans="2:32" s="123" customFormat="1">
      <c r="B1072" s="125"/>
      <c r="D1072" s="125"/>
      <c r="X1072" s="74"/>
      <c r="AF1072" s="238"/>
    </row>
    <row r="1073" spans="2:32" s="123" customFormat="1">
      <c r="B1073" s="125"/>
      <c r="D1073" s="125"/>
      <c r="X1073" s="74"/>
      <c r="AF1073" s="238"/>
    </row>
    <row r="1074" spans="2:32" s="123" customFormat="1">
      <c r="B1074" s="125"/>
      <c r="D1074" s="125"/>
      <c r="X1074" s="74"/>
      <c r="AF1074" s="238"/>
    </row>
    <row r="1075" spans="2:32" s="123" customFormat="1">
      <c r="B1075" s="125"/>
      <c r="D1075" s="125"/>
      <c r="X1075" s="74"/>
      <c r="AF1075" s="238"/>
    </row>
    <row r="1076" spans="2:32" s="123" customFormat="1">
      <c r="B1076" s="125"/>
      <c r="D1076" s="125"/>
      <c r="X1076" s="74"/>
      <c r="AF1076" s="238"/>
    </row>
    <row r="1077" spans="2:32" s="123" customFormat="1">
      <c r="B1077" s="125"/>
      <c r="D1077" s="125"/>
      <c r="X1077" s="74"/>
      <c r="AF1077" s="238"/>
    </row>
    <row r="1078" spans="2:32" s="123" customFormat="1">
      <c r="B1078" s="125"/>
      <c r="D1078" s="125"/>
      <c r="X1078" s="74"/>
      <c r="AF1078" s="238"/>
    </row>
    <row r="1079" spans="2:32" s="123" customFormat="1">
      <c r="B1079" s="125"/>
      <c r="D1079" s="125"/>
      <c r="X1079" s="74"/>
      <c r="AF1079" s="238"/>
    </row>
    <row r="1080" spans="2:32" s="123" customFormat="1">
      <c r="B1080" s="125"/>
      <c r="D1080" s="125"/>
      <c r="X1080" s="74"/>
      <c r="AF1080" s="238"/>
    </row>
    <row r="1081" spans="2:32" s="123" customFormat="1">
      <c r="B1081" s="125"/>
      <c r="D1081" s="125"/>
      <c r="X1081" s="74"/>
      <c r="AF1081" s="238"/>
    </row>
    <row r="1082" spans="2:32" s="123" customFormat="1">
      <c r="B1082" s="125"/>
      <c r="D1082" s="125"/>
      <c r="X1082" s="74"/>
      <c r="AF1082" s="238"/>
    </row>
    <row r="1083" spans="2:32" s="123" customFormat="1">
      <c r="B1083" s="125"/>
      <c r="D1083" s="125"/>
      <c r="X1083" s="74"/>
      <c r="AF1083" s="238"/>
    </row>
    <row r="1084" spans="2:32" s="123" customFormat="1">
      <c r="B1084" s="125"/>
      <c r="D1084" s="125"/>
      <c r="X1084" s="74"/>
      <c r="AF1084" s="238"/>
    </row>
    <row r="1085" spans="2:32" s="123" customFormat="1">
      <c r="B1085" s="125"/>
      <c r="D1085" s="125"/>
      <c r="X1085" s="74"/>
      <c r="AF1085" s="238"/>
    </row>
    <row r="1086" spans="2:32" s="123" customFormat="1">
      <c r="B1086" s="125"/>
      <c r="D1086" s="125"/>
      <c r="X1086" s="74"/>
      <c r="AF1086" s="238"/>
    </row>
    <row r="1087" spans="2:32" s="123" customFormat="1">
      <c r="B1087" s="125"/>
      <c r="D1087" s="125"/>
      <c r="X1087" s="74"/>
      <c r="AF1087" s="238"/>
    </row>
    <row r="1088" spans="2:32" s="123" customFormat="1">
      <c r="B1088" s="125"/>
      <c r="D1088" s="125"/>
      <c r="X1088" s="74"/>
      <c r="AF1088" s="238"/>
    </row>
    <row r="1089" spans="2:32" s="123" customFormat="1">
      <c r="B1089" s="125"/>
      <c r="D1089" s="125"/>
      <c r="X1089" s="74"/>
      <c r="AF1089" s="238"/>
    </row>
    <row r="1090" spans="2:32" s="123" customFormat="1">
      <c r="B1090" s="125"/>
      <c r="D1090" s="125"/>
      <c r="X1090" s="74"/>
      <c r="AF1090" s="238"/>
    </row>
    <row r="1091" spans="2:32" s="123" customFormat="1">
      <c r="B1091" s="125"/>
      <c r="D1091" s="125"/>
      <c r="X1091" s="74"/>
      <c r="AF1091" s="238"/>
    </row>
    <row r="1092" spans="2:32" s="123" customFormat="1">
      <c r="B1092" s="125"/>
      <c r="D1092" s="125"/>
      <c r="X1092" s="74"/>
      <c r="AF1092" s="238"/>
    </row>
    <row r="1093" spans="2:32" s="123" customFormat="1">
      <c r="B1093" s="125"/>
      <c r="D1093" s="125"/>
      <c r="X1093" s="74"/>
      <c r="AF1093" s="238"/>
    </row>
    <row r="1094" spans="2:32" s="123" customFormat="1">
      <c r="B1094" s="125"/>
      <c r="D1094" s="125"/>
      <c r="X1094" s="74"/>
      <c r="AF1094" s="238"/>
    </row>
    <row r="1095" spans="2:32" s="123" customFormat="1">
      <c r="B1095" s="125"/>
      <c r="D1095" s="125"/>
      <c r="X1095" s="74"/>
      <c r="AF1095" s="238"/>
    </row>
    <row r="1096" spans="2:32" s="123" customFormat="1">
      <c r="B1096" s="125"/>
      <c r="D1096" s="125"/>
      <c r="X1096" s="74"/>
      <c r="AF1096" s="238"/>
    </row>
    <row r="1097" spans="2:32" s="123" customFormat="1">
      <c r="B1097" s="125"/>
      <c r="D1097" s="125"/>
      <c r="X1097" s="74"/>
      <c r="AF1097" s="238"/>
    </row>
    <row r="1098" spans="2:32" s="123" customFormat="1">
      <c r="B1098" s="125"/>
      <c r="D1098" s="125"/>
      <c r="X1098" s="74"/>
      <c r="AF1098" s="238"/>
    </row>
    <row r="1099" spans="2:32" s="123" customFormat="1">
      <c r="B1099" s="125"/>
      <c r="D1099" s="125"/>
      <c r="X1099" s="74"/>
      <c r="AF1099" s="238"/>
    </row>
    <row r="1100" spans="2:32" s="123" customFormat="1">
      <c r="B1100" s="125"/>
      <c r="D1100" s="125"/>
      <c r="X1100" s="74"/>
      <c r="AF1100" s="238"/>
    </row>
    <row r="1101" spans="2:32" s="123" customFormat="1">
      <c r="B1101" s="125"/>
      <c r="D1101" s="125"/>
      <c r="X1101" s="74"/>
      <c r="AF1101" s="238"/>
    </row>
    <row r="1102" spans="2:32" s="123" customFormat="1">
      <c r="B1102" s="125"/>
      <c r="D1102" s="125"/>
      <c r="X1102" s="74"/>
      <c r="AF1102" s="238"/>
    </row>
    <row r="1103" spans="2:32" s="123" customFormat="1">
      <c r="B1103" s="125"/>
      <c r="D1103" s="125"/>
      <c r="X1103" s="74"/>
      <c r="AF1103" s="238"/>
    </row>
    <row r="1104" spans="2:32" s="123" customFormat="1">
      <c r="B1104" s="125"/>
      <c r="D1104" s="125"/>
      <c r="X1104" s="74"/>
      <c r="AF1104" s="238"/>
    </row>
    <row r="1105" spans="2:32" s="123" customFormat="1">
      <c r="B1105" s="125"/>
      <c r="D1105" s="125"/>
      <c r="X1105" s="74"/>
      <c r="AF1105" s="238"/>
    </row>
    <row r="1106" spans="2:32" s="123" customFormat="1">
      <c r="B1106" s="125"/>
      <c r="D1106" s="125"/>
      <c r="X1106" s="74"/>
      <c r="AF1106" s="238"/>
    </row>
    <row r="1107" spans="2:32" s="123" customFormat="1">
      <c r="B1107" s="125"/>
      <c r="D1107" s="125"/>
      <c r="X1107" s="74"/>
      <c r="AF1107" s="238"/>
    </row>
    <row r="1108" spans="2:32" s="123" customFormat="1">
      <c r="B1108" s="125"/>
      <c r="D1108" s="125"/>
      <c r="X1108" s="74"/>
      <c r="AF1108" s="238"/>
    </row>
    <row r="1109" spans="2:32" s="123" customFormat="1">
      <c r="B1109" s="125"/>
      <c r="D1109" s="125"/>
      <c r="X1109" s="74"/>
      <c r="AF1109" s="238"/>
    </row>
    <row r="1110" spans="2:32" s="123" customFormat="1">
      <c r="B1110" s="125"/>
      <c r="D1110" s="125"/>
      <c r="X1110" s="74"/>
      <c r="AF1110" s="238"/>
    </row>
    <row r="1111" spans="2:32" s="123" customFormat="1">
      <c r="B1111" s="125"/>
      <c r="D1111" s="125"/>
      <c r="X1111" s="74"/>
      <c r="AF1111" s="238"/>
    </row>
    <row r="1112" spans="2:32" s="123" customFormat="1">
      <c r="B1112" s="125"/>
      <c r="D1112" s="125"/>
      <c r="X1112" s="74"/>
      <c r="AF1112" s="238"/>
    </row>
    <row r="1113" spans="2:32" s="123" customFormat="1">
      <c r="B1113" s="125"/>
      <c r="D1113" s="125"/>
      <c r="X1113" s="74"/>
      <c r="AF1113" s="238"/>
    </row>
    <row r="1114" spans="2:32" s="123" customFormat="1">
      <c r="B1114" s="125"/>
      <c r="D1114" s="125"/>
      <c r="X1114" s="74"/>
      <c r="AF1114" s="238"/>
    </row>
    <row r="1115" spans="2:32" s="123" customFormat="1">
      <c r="B1115" s="125"/>
      <c r="D1115" s="125"/>
      <c r="X1115" s="74"/>
      <c r="AF1115" s="238"/>
    </row>
    <row r="1116" spans="2:32" s="123" customFormat="1">
      <c r="B1116" s="125"/>
      <c r="D1116" s="125"/>
      <c r="X1116" s="74"/>
      <c r="AF1116" s="238"/>
    </row>
    <row r="1117" spans="2:32" s="123" customFormat="1">
      <c r="B1117" s="125"/>
      <c r="D1117" s="125"/>
      <c r="X1117" s="74"/>
      <c r="AF1117" s="238"/>
    </row>
    <row r="1118" spans="2:32" s="123" customFormat="1">
      <c r="B1118" s="125"/>
      <c r="D1118" s="125"/>
      <c r="X1118" s="74"/>
      <c r="AF1118" s="238"/>
    </row>
    <row r="1119" spans="2:32" s="123" customFormat="1">
      <c r="B1119" s="125"/>
      <c r="D1119" s="125"/>
      <c r="X1119" s="74"/>
      <c r="AF1119" s="238"/>
    </row>
    <row r="1120" spans="2:32" s="123" customFormat="1">
      <c r="B1120" s="125"/>
      <c r="D1120" s="125"/>
      <c r="X1120" s="74"/>
      <c r="AF1120" s="238"/>
    </row>
    <row r="1121" spans="2:32" s="123" customFormat="1">
      <c r="B1121" s="125"/>
      <c r="D1121" s="125"/>
      <c r="X1121" s="74"/>
      <c r="AF1121" s="238"/>
    </row>
    <row r="1122" spans="2:32" s="123" customFormat="1">
      <c r="B1122" s="125"/>
      <c r="D1122" s="125"/>
      <c r="X1122" s="74"/>
      <c r="AF1122" s="238"/>
    </row>
    <row r="1123" spans="2:32" s="123" customFormat="1">
      <c r="B1123" s="125"/>
      <c r="D1123" s="125"/>
      <c r="X1123" s="74"/>
      <c r="AF1123" s="238"/>
    </row>
    <row r="1124" spans="2:32" s="123" customFormat="1">
      <c r="B1124" s="125"/>
      <c r="D1124" s="125"/>
      <c r="X1124" s="74"/>
      <c r="AF1124" s="238"/>
    </row>
    <row r="1125" spans="2:32" s="123" customFormat="1">
      <c r="B1125" s="125"/>
      <c r="D1125" s="125"/>
      <c r="X1125" s="74"/>
      <c r="AF1125" s="238"/>
    </row>
    <row r="1126" spans="2:32" s="123" customFormat="1">
      <c r="B1126" s="125"/>
      <c r="D1126" s="125"/>
      <c r="X1126" s="74"/>
      <c r="AF1126" s="238"/>
    </row>
    <row r="1127" spans="2:32" s="123" customFormat="1">
      <c r="B1127" s="125"/>
      <c r="D1127" s="125"/>
      <c r="X1127" s="74"/>
      <c r="AF1127" s="238"/>
    </row>
    <row r="1128" spans="2:32" s="123" customFormat="1">
      <c r="B1128" s="125"/>
      <c r="D1128" s="125"/>
      <c r="X1128" s="74"/>
      <c r="AF1128" s="238"/>
    </row>
    <row r="1129" spans="2:32" s="123" customFormat="1">
      <c r="B1129" s="125"/>
      <c r="D1129" s="125"/>
      <c r="X1129" s="74"/>
      <c r="AF1129" s="238"/>
    </row>
    <row r="1130" spans="2:32" s="123" customFormat="1">
      <c r="B1130" s="125"/>
      <c r="D1130" s="125"/>
      <c r="X1130" s="74"/>
      <c r="AF1130" s="238"/>
    </row>
    <row r="1131" spans="2:32" s="123" customFormat="1">
      <c r="B1131" s="125"/>
      <c r="D1131" s="125"/>
      <c r="X1131" s="74"/>
      <c r="AF1131" s="238"/>
    </row>
    <row r="1132" spans="2:32" s="123" customFormat="1">
      <c r="B1132" s="125"/>
      <c r="D1132" s="125"/>
      <c r="X1132" s="74"/>
      <c r="AF1132" s="238"/>
    </row>
    <row r="1133" spans="2:32" s="123" customFormat="1">
      <c r="B1133" s="125"/>
      <c r="D1133" s="125"/>
      <c r="X1133" s="74"/>
      <c r="AF1133" s="238"/>
    </row>
    <row r="1134" spans="2:32" s="123" customFormat="1">
      <c r="B1134" s="125"/>
      <c r="D1134" s="125"/>
      <c r="X1134" s="74"/>
      <c r="AF1134" s="238"/>
    </row>
    <row r="1135" spans="2:32" s="123" customFormat="1">
      <c r="B1135" s="125"/>
      <c r="D1135" s="125"/>
      <c r="X1135" s="74"/>
      <c r="AF1135" s="238"/>
    </row>
    <row r="1136" spans="2:32" s="123" customFormat="1">
      <c r="B1136" s="125"/>
      <c r="D1136" s="125"/>
      <c r="X1136" s="74"/>
      <c r="AF1136" s="238"/>
    </row>
    <row r="1137" spans="2:32" s="123" customFormat="1">
      <c r="B1137" s="125"/>
      <c r="D1137" s="125"/>
      <c r="X1137" s="74"/>
      <c r="AF1137" s="238"/>
    </row>
    <row r="1138" spans="2:32" s="123" customFormat="1">
      <c r="B1138" s="125"/>
      <c r="D1138" s="125"/>
      <c r="X1138" s="74"/>
      <c r="AF1138" s="238"/>
    </row>
    <row r="1139" spans="2:32" s="123" customFormat="1">
      <c r="B1139" s="125"/>
      <c r="D1139" s="125"/>
      <c r="X1139" s="74"/>
      <c r="AF1139" s="238"/>
    </row>
    <row r="1140" spans="2:32" s="123" customFormat="1">
      <c r="B1140" s="125"/>
      <c r="D1140" s="125"/>
      <c r="X1140" s="74"/>
      <c r="AF1140" s="238"/>
    </row>
    <row r="1141" spans="2:32" s="123" customFormat="1">
      <c r="B1141" s="125"/>
      <c r="D1141" s="125"/>
      <c r="X1141" s="74"/>
      <c r="AF1141" s="238"/>
    </row>
    <row r="1142" spans="2:32" s="123" customFormat="1">
      <c r="B1142" s="125"/>
      <c r="D1142" s="125"/>
      <c r="X1142" s="74"/>
      <c r="AF1142" s="238"/>
    </row>
    <row r="1143" spans="2:32" s="123" customFormat="1">
      <c r="B1143" s="125"/>
      <c r="D1143" s="125"/>
      <c r="X1143" s="74"/>
      <c r="AF1143" s="238"/>
    </row>
    <row r="1144" spans="2:32" s="123" customFormat="1">
      <c r="B1144" s="125"/>
      <c r="D1144" s="125"/>
      <c r="X1144" s="74"/>
      <c r="AF1144" s="238"/>
    </row>
    <row r="1145" spans="2:32" s="123" customFormat="1">
      <c r="B1145" s="125"/>
      <c r="D1145" s="125"/>
      <c r="X1145" s="74"/>
      <c r="AF1145" s="238"/>
    </row>
    <row r="1146" spans="2:32" s="123" customFormat="1">
      <c r="B1146" s="125"/>
      <c r="D1146" s="125"/>
      <c r="X1146" s="74"/>
      <c r="AF1146" s="238"/>
    </row>
    <row r="1147" spans="2:32" s="123" customFormat="1">
      <c r="B1147" s="125"/>
      <c r="D1147" s="125"/>
      <c r="X1147" s="74"/>
      <c r="AF1147" s="238"/>
    </row>
    <row r="1148" spans="2:32" s="123" customFormat="1">
      <c r="B1148" s="125"/>
      <c r="D1148" s="125"/>
      <c r="X1148" s="74"/>
      <c r="AF1148" s="238"/>
    </row>
    <row r="1149" spans="2:32" s="123" customFormat="1">
      <c r="B1149" s="125"/>
      <c r="D1149" s="125"/>
      <c r="X1149" s="74"/>
      <c r="AF1149" s="238"/>
    </row>
    <row r="1150" spans="2:32" s="123" customFormat="1">
      <c r="B1150" s="125"/>
      <c r="D1150" s="125"/>
      <c r="X1150" s="74"/>
      <c r="AF1150" s="238"/>
    </row>
    <row r="1151" spans="2:32" s="123" customFormat="1">
      <c r="B1151" s="125"/>
      <c r="D1151" s="125"/>
      <c r="X1151" s="74"/>
      <c r="AF1151" s="238"/>
    </row>
    <row r="1152" spans="2:32" s="123" customFormat="1">
      <c r="B1152" s="125"/>
      <c r="D1152" s="125"/>
      <c r="X1152" s="74"/>
      <c r="AF1152" s="238"/>
    </row>
    <row r="1153" spans="2:32" s="123" customFormat="1">
      <c r="B1153" s="125"/>
      <c r="D1153" s="125"/>
      <c r="X1153" s="74"/>
      <c r="AF1153" s="238"/>
    </row>
    <row r="1154" spans="2:32" s="123" customFormat="1">
      <c r="B1154" s="125"/>
      <c r="D1154" s="125"/>
      <c r="X1154" s="74"/>
      <c r="AF1154" s="238"/>
    </row>
    <row r="1155" spans="2:32" s="123" customFormat="1">
      <c r="B1155" s="125"/>
      <c r="D1155" s="125"/>
      <c r="X1155" s="74"/>
      <c r="AF1155" s="238"/>
    </row>
    <row r="1156" spans="2:32" s="123" customFormat="1">
      <c r="B1156" s="125"/>
      <c r="D1156" s="125"/>
      <c r="X1156" s="74"/>
      <c r="AF1156" s="238"/>
    </row>
    <row r="1157" spans="2:32" s="123" customFormat="1">
      <c r="B1157" s="125"/>
      <c r="D1157" s="125"/>
      <c r="X1157" s="74"/>
      <c r="AF1157" s="238"/>
    </row>
    <row r="1158" spans="2:32" s="123" customFormat="1">
      <c r="B1158" s="125"/>
      <c r="D1158" s="125"/>
      <c r="X1158" s="74"/>
      <c r="AF1158" s="238"/>
    </row>
    <row r="1159" spans="2:32" s="123" customFormat="1">
      <c r="B1159" s="125"/>
      <c r="D1159" s="125"/>
      <c r="X1159" s="74"/>
      <c r="AF1159" s="238"/>
    </row>
    <row r="1160" spans="2:32" s="123" customFormat="1">
      <c r="B1160" s="125"/>
      <c r="D1160" s="125"/>
      <c r="X1160" s="74"/>
      <c r="AF1160" s="238"/>
    </row>
    <row r="1161" spans="2:32" s="123" customFormat="1">
      <c r="B1161" s="125"/>
      <c r="D1161" s="125"/>
      <c r="X1161" s="74"/>
      <c r="AF1161" s="238"/>
    </row>
    <row r="1162" spans="2:32" s="123" customFormat="1">
      <c r="B1162" s="125"/>
      <c r="D1162" s="125"/>
      <c r="X1162" s="74"/>
      <c r="AF1162" s="238"/>
    </row>
    <row r="1163" spans="2:32" s="123" customFormat="1">
      <c r="B1163" s="125"/>
      <c r="D1163" s="125"/>
      <c r="X1163" s="74"/>
      <c r="AF1163" s="238"/>
    </row>
    <row r="1164" spans="2:32" s="123" customFormat="1">
      <c r="B1164" s="125"/>
      <c r="D1164" s="125"/>
      <c r="X1164" s="74"/>
      <c r="AF1164" s="238"/>
    </row>
    <row r="1165" spans="2:32" s="123" customFormat="1">
      <c r="B1165" s="125"/>
      <c r="D1165" s="125"/>
      <c r="X1165" s="74"/>
      <c r="AF1165" s="238"/>
    </row>
    <row r="1166" spans="2:32" s="123" customFormat="1">
      <c r="B1166" s="125"/>
      <c r="D1166" s="125"/>
      <c r="X1166" s="74"/>
      <c r="AF1166" s="238"/>
    </row>
    <row r="1167" spans="2:32" s="123" customFormat="1">
      <c r="B1167" s="125"/>
      <c r="D1167" s="125"/>
      <c r="X1167" s="74"/>
      <c r="AF1167" s="238"/>
    </row>
    <row r="1168" spans="2:32" s="123" customFormat="1">
      <c r="B1168" s="125"/>
      <c r="D1168" s="125"/>
      <c r="X1168" s="74"/>
      <c r="AF1168" s="238"/>
    </row>
    <row r="1169" spans="2:32" s="123" customFormat="1">
      <c r="B1169" s="125"/>
      <c r="D1169" s="125"/>
      <c r="X1169" s="74"/>
      <c r="AF1169" s="238"/>
    </row>
    <row r="1170" spans="2:32" s="123" customFormat="1">
      <c r="B1170" s="125"/>
      <c r="D1170" s="125"/>
      <c r="X1170" s="74"/>
      <c r="AF1170" s="238"/>
    </row>
    <row r="1171" spans="2:32" s="123" customFormat="1">
      <c r="B1171" s="125"/>
      <c r="D1171" s="125"/>
      <c r="X1171" s="74"/>
      <c r="AF1171" s="238"/>
    </row>
    <row r="1172" spans="2:32" s="123" customFormat="1">
      <c r="B1172" s="125"/>
      <c r="D1172" s="125"/>
      <c r="X1172" s="74"/>
      <c r="AF1172" s="238"/>
    </row>
    <row r="1173" spans="2:32" s="123" customFormat="1">
      <c r="B1173" s="125"/>
      <c r="D1173" s="125"/>
      <c r="X1173" s="74"/>
      <c r="AF1173" s="238"/>
    </row>
    <row r="1174" spans="2:32" s="123" customFormat="1">
      <c r="B1174" s="125"/>
      <c r="D1174" s="125"/>
      <c r="X1174" s="74"/>
      <c r="AF1174" s="238"/>
    </row>
    <row r="1175" spans="2:32" s="123" customFormat="1">
      <c r="B1175" s="125"/>
      <c r="D1175" s="125"/>
      <c r="X1175" s="74"/>
      <c r="AF1175" s="238"/>
    </row>
    <row r="1176" spans="2:32" s="123" customFormat="1">
      <c r="B1176" s="125"/>
      <c r="D1176" s="125"/>
      <c r="X1176" s="74"/>
      <c r="AF1176" s="238"/>
    </row>
    <row r="1177" spans="2:32" s="123" customFormat="1">
      <c r="B1177" s="125"/>
      <c r="D1177" s="125"/>
      <c r="X1177" s="74"/>
      <c r="AF1177" s="238"/>
    </row>
    <row r="1178" spans="2:32" s="123" customFormat="1">
      <c r="B1178" s="125"/>
      <c r="D1178" s="125"/>
      <c r="X1178" s="74"/>
      <c r="AF1178" s="238"/>
    </row>
    <row r="1179" spans="2:32" s="123" customFormat="1">
      <c r="B1179" s="125"/>
      <c r="D1179" s="125"/>
      <c r="X1179" s="74"/>
      <c r="AF1179" s="238"/>
    </row>
    <row r="1180" spans="2:32" s="123" customFormat="1">
      <c r="B1180" s="125"/>
      <c r="D1180" s="125"/>
      <c r="X1180" s="74"/>
      <c r="AF1180" s="238"/>
    </row>
    <row r="1181" spans="2:32" s="123" customFormat="1">
      <c r="B1181" s="125"/>
      <c r="D1181" s="125"/>
      <c r="X1181" s="74"/>
      <c r="AF1181" s="238"/>
    </row>
    <row r="1182" spans="2:32" s="123" customFormat="1">
      <c r="B1182" s="125"/>
      <c r="D1182" s="125"/>
      <c r="X1182" s="74"/>
      <c r="AF1182" s="238"/>
    </row>
    <row r="1183" spans="2:32" s="123" customFormat="1">
      <c r="B1183" s="125"/>
      <c r="D1183" s="125"/>
      <c r="X1183" s="74"/>
      <c r="AF1183" s="238"/>
    </row>
    <row r="1184" spans="2:32" s="123" customFormat="1">
      <c r="B1184" s="125"/>
      <c r="D1184" s="125"/>
      <c r="X1184" s="74"/>
      <c r="AF1184" s="238"/>
    </row>
    <row r="1185" spans="2:32" s="123" customFormat="1">
      <c r="B1185" s="125"/>
      <c r="D1185" s="125"/>
      <c r="X1185" s="74"/>
      <c r="AF1185" s="238"/>
    </row>
    <row r="1186" spans="2:32" s="123" customFormat="1">
      <c r="B1186" s="125"/>
      <c r="D1186" s="125"/>
      <c r="X1186" s="74"/>
      <c r="AF1186" s="238"/>
    </row>
    <row r="1187" spans="2:32" s="123" customFormat="1">
      <c r="B1187" s="125"/>
      <c r="D1187" s="125"/>
      <c r="X1187" s="74"/>
      <c r="AF1187" s="238"/>
    </row>
    <row r="1188" spans="2:32" s="123" customFormat="1">
      <c r="B1188" s="125"/>
      <c r="D1188" s="125"/>
      <c r="X1188" s="74"/>
      <c r="AF1188" s="238"/>
    </row>
    <row r="1189" spans="2:32" s="123" customFormat="1">
      <c r="B1189" s="125"/>
      <c r="D1189" s="125"/>
      <c r="X1189" s="74"/>
      <c r="AF1189" s="238"/>
    </row>
    <row r="1190" spans="2:32" s="123" customFormat="1">
      <c r="B1190" s="125"/>
      <c r="D1190" s="125"/>
      <c r="X1190" s="74"/>
      <c r="AF1190" s="238"/>
    </row>
    <row r="1191" spans="2:32" s="123" customFormat="1">
      <c r="B1191" s="125"/>
      <c r="D1191" s="125"/>
      <c r="X1191" s="74"/>
      <c r="AF1191" s="238"/>
    </row>
    <row r="1192" spans="2:32" s="123" customFormat="1">
      <c r="B1192" s="125"/>
      <c r="D1192" s="125"/>
      <c r="X1192" s="74"/>
      <c r="AF1192" s="238"/>
    </row>
    <row r="1193" spans="2:32" s="123" customFormat="1">
      <c r="B1193" s="125"/>
      <c r="D1193" s="125"/>
      <c r="X1193" s="74"/>
      <c r="AF1193" s="238"/>
    </row>
    <row r="1194" spans="2:32" s="123" customFormat="1">
      <c r="B1194" s="125"/>
      <c r="D1194" s="125"/>
      <c r="X1194" s="74"/>
      <c r="AF1194" s="238"/>
    </row>
    <row r="1195" spans="2:32" s="123" customFormat="1">
      <c r="B1195" s="125"/>
      <c r="D1195" s="125"/>
      <c r="X1195" s="74"/>
      <c r="AF1195" s="238"/>
    </row>
    <row r="1196" spans="2:32" s="123" customFormat="1">
      <c r="B1196" s="125"/>
      <c r="D1196" s="125"/>
      <c r="X1196" s="74"/>
      <c r="AF1196" s="238"/>
    </row>
    <row r="1197" spans="2:32" s="123" customFormat="1">
      <c r="B1197" s="125"/>
      <c r="D1197" s="125"/>
      <c r="X1197" s="74"/>
      <c r="AF1197" s="238"/>
    </row>
    <row r="1198" spans="2:32" s="123" customFormat="1">
      <c r="B1198" s="125"/>
      <c r="D1198" s="125"/>
      <c r="X1198" s="74"/>
      <c r="AF1198" s="238"/>
    </row>
    <row r="1199" spans="2:32" s="123" customFormat="1">
      <c r="B1199" s="125"/>
      <c r="D1199" s="125"/>
      <c r="X1199" s="74"/>
      <c r="AF1199" s="238"/>
    </row>
    <row r="1200" spans="2:32" s="123" customFormat="1">
      <c r="B1200" s="125"/>
      <c r="D1200" s="125"/>
      <c r="X1200" s="74"/>
      <c r="AF1200" s="238"/>
    </row>
    <row r="1201" spans="2:32" s="123" customFormat="1">
      <c r="B1201" s="125"/>
      <c r="D1201" s="125"/>
      <c r="X1201" s="74"/>
      <c r="AF1201" s="238"/>
    </row>
    <row r="1202" spans="2:32" s="123" customFormat="1">
      <c r="B1202" s="125"/>
      <c r="D1202" s="125"/>
      <c r="X1202" s="74"/>
      <c r="AF1202" s="238"/>
    </row>
    <row r="1203" spans="2:32" s="123" customFormat="1">
      <c r="B1203" s="125"/>
      <c r="D1203" s="125"/>
      <c r="X1203" s="74"/>
      <c r="AF1203" s="238"/>
    </row>
    <row r="1204" spans="2:32" s="123" customFormat="1">
      <c r="B1204" s="125"/>
      <c r="D1204" s="125"/>
      <c r="X1204" s="74"/>
      <c r="AF1204" s="238"/>
    </row>
    <row r="1205" spans="2:32" s="123" customFormat="1">
      <c r="B1205" s="125"/>
      <c r="D1205" s="125"/>
      <c r="X1205" s="74"/>
      <c r="AF1205" s="238"/>
    </row>
    <row r="1206" spans="2:32" s="123" customFormat="1">
      <c r="B1206" s="125"/>
      <c r="D1206" s="125"/>
      <c r="X1206" s="74"/>
      <c r="AF1206" s="238"/>
    </row>
    <row r="1207" spans="2:32" s="123" customFormat="1">
      <c r="B1207" s="125"/>
      <c r="D1207" s="125"/>
      <c r="X1207" s="74"/>
      <c r="AF1207" s="238"/>
    </row>
    <row r="1208" spans="2:32" s="123" customFormat="1">
      <c r="B1208" s="125"/>
      <c r="D1208" s="125"/>
      <c r="X1208" s="74"/>
      <c r="AF1208" s="238"/>
    </row>
    <row r="1209" spans="2:32" s="123" customFormat="1">
      <c r="B1209" s="125"/>
      <c r="D1209" s="125"/>
      <c r="X1209" s="74"/>
      <c r="AF1209" s="238"/>
    </row>
    <row r="1210" spans="2:32" s="123" customFormat="1">
      <c r="B1210" s="125"/>
      <c r="D1210" s="125"/>
      <c r="X1210" s="74"/>
      <c r="AF1210" s="238"/>
    </row>
    <row r="1211" spans="2:32" s="123" customFormat="1">
      <c r="B1211" s="125"/>
      <c r="D1211" s="125"/>
      <c r="X1211" s="74"/>
      <c r="AF1211" s="238"/>
    </row>
    <row r="1212" spans="2:32" s="123" customFormat="1">
      <c r="B1212" s="125"/>
      <c r="D1212" s="125"/>
      <c r="X1212" s="74"/>
      <c r="AF1212" s="238"/>
    </row>
    <row r="1213" spans="2:32" s="123" customFormat="1">
      <c r="B1213" s="125"/>
      <c r="D1213" s="125"/>
      <c r="X1213" s="74"/>
      <c r="AF1213" s="238"/>
    </row>
    <row r="1214" spans="2:32" s="123" customFormat="1">
      <c r="B1214" s="125"/>
      <c r="D1214" s="125"/>
      <c r="X1214" s="74"/>
      <c r="AF1214" s="238"/>
    </row>
    <row r="1215" spans="2:32" s="123" customFormat="1">
      <c r="B1215" s="125"/>
      <c r="D1215" s="125"/>
      <c r="X1215" s="74"/>
      <c r="AF1215" s="238"/>
    </row>
    <row r="1216" spans="2:32" s="123" customFormat="1">
      <c r="B1216" s="125"/>
      <c r="D1216" s="125"/>
      <c r="X1216" s="74"/>
      <c r="AF1216" s="238"/>
    </row>
    <row r="1217" spans="2:32" s="123" customFormat="1">
      <c r="B1217" s="125"/>
      <c r="D1217" s="125"/>
      <c r="X1217" s="74"/>
      <c r="AF1217" s="238"/>
    </row>
    <row r="1218" spans="2:32" s="123" customFormat="1">
      <c r="B1218" s="125"/>
      <c r="D1218" s="125"/>
      <c r="X1218" s="74"/>
      <c r="AF1218" s="238"/>
    </row>
    <row r="1219" spans="2:32" s="123" customFormat="1">
      <c r="B1219" s="125"/>
      <c r="D1219" s="125"/>
      <c r="X1219" s="74"/>
      <c r="AF1219" s="238"/>
    </row>
    <row r="1220" spans="2:32" s="123" customFormat="1">
      <c r="B1220" s="125"/>
      <c r="D1220" s="125"/>
      <c r="X1220" s="74"/>
      <c r="AF1220" s="238"/>
    </row>
    <row r="1221" spans="2:32" s="123" customFormat="1">
      <c r="B1221" s="125"/>
      <c r="D1221" s="125"/>
      <c r="X1221" s="74"/>
      <c r="AF1221" s="238"/>
    </row>
    <row r="1222" spans="2:32" s="123" customFormat="1">
      <c r="B1222" s="125"/>
      <c r="D1222" s="125"/>
      <c r="X1222" s="74"/>
      <c r="AF1222" s="238"/>
    </row>
    <row r="1223" spans="2:32" s="123" customFormat="1">
      <c r="B1223" s="125"/>
      <c r="D1223" s="125"/>
      <c r="X1223" s="74"/>
      <c r="AF1223" s="238"/>
    </row>
    <row r="1224" spans="2:32" s="123" customFormat="1">
      <c r="B1224" s="125"/>
      <c r="D1224" s="125"/>
      <c r="X1224" s="74"/>
      <c r="AF1224" s="238"/>
    </row>
    <row r="1225" spans="2:32" s="123" customFormat="1">
      <c r="B1225" s="125"/>
      <c r="D1225" s="125"/>
      <c r="X1225" s="74"/>
      <c r="AF1225" s="238"/>
    </row>
    <row r="1226" spans="2:32" s="123" customFormat="1">
      <c r="B1226" s="125"/>
      <c r="D1226" s="125"/>
      <c r="X1226" s="74"/>
      <c r="AF1226" s="238"/>
    </row>
    <row r="1227" spans="2:32" s="123" customFormat="1">
      <c r="B1227" s="125"/>
      <c r="D1227" s="125"/>
      <c r="X1227" s="74"/>
      <c r="AF1227" s="238"/>
    </row>
    <row r="1228" spans="2:32" s="123" customFormat="1">
      <c r="B1228" s="125"/>
      <c r="D1228" s="125"/>
      <c r="X1228" s="74"/>
      <c r="AF1228" s="238"/>
    </row>
    <row r="1229" spans="2:32" s="123" customFormat="1">
      <c r="B1229" s="125"/>
      <c r="D1229" s="125"/>
      <c r="X1229" s="74"/>
      <c r="AF1229" s="238"/>
    </row>
    <row r="1230" spans="2:32" s="123" customFormat="1">
      <c r="B1230" s="125"/>
      <c r="D1230" s="125"/>
      <c r="X1230" s="74"/>
      <c r="AF1230" s="238"/>
    </row>
    <row r="1231" spans="2:32" s="123" customFormat="1">
      <c r="B1231" s="125"/>
      <c r="D1231" s="125"/>
      <c r="X1231" s="74"/>
      <c r="AF1231" s="238"/>
    </row>
    <row r="1232" spans="2:32" s="123" customFormat="1">
      <c r="B1232" s="125"/>
      <c r="D1232" s="125"/>
      <c r="X1232" s="74"/>
      <c r="AF1232" s="238"/>
    </row>
    <row r="1233" spans="2:32" s="123" customFormat="1">
      <c r="B1233" s="125"/>
      <c r="D1233" s="125"/>
      <c r="X1233" s="74"/>
      <c r="AF1233" s="238"/>
    </row>
    <row r="1234" spans="2:32" s="123" customFormat="1">
      <c r="B1234" s="125"/>
      <c r="D1234" s="125"/>
      <c r="X1234" s="74"/>
      <c r="AF1234" s="238"/>
    </row>
    <row r="1235" spans="2:32" s="123" customFormat="1">
      <c r="B1235" s="125"/>
      <c r="D1235" s="125"/>
      <c r="X1235" s="74"/>
      <c r="AF1235" s="238"/>
    </row>
    <row r="1236" spans="2:32" s="123" customFormat="1">
      <c r="B1236" s="125"/>
      <c r="D1236" s="125"/>
      <c r="X1236" s="74"/>
      <c r="AF1236" s="238"/>
    </row>
    <row r="1237" spans="2:32" s="123" customFormat="1">
      <c r="B1237" s="125"/>
      <c r="D1237" s="125"/>
      <c r="X1237" s="74"/>
      <c r="AF1237" s="238"/>
    </row>
    <row r="1238" spans="2:32" s="123" customFormat="1">
      <c r="B1238" s="125"/>
      <c r="D1238" s="125"/>
      <c r="X1238" s="74"/>
      <c r="AF1238" s="238"/>
    </row>
    <row r="1239" spans="2:32" s="123" customFormat="1">
      <c r="B1239" s="125"/>
      <c r="D1239" s="125"/>
      <c r="X1239" s="74"/>
      <c r="AF1239" s="238"/>
    </row>
    <row r="1240" spans="2:32" s="123" customFormat="1">
      <c r="B1240" s="125"/>
      <c r="D1240" s="125"/>
      <c r="X1240" s="74"/>
      <c r="AF1240" s="238"/>
    </row>
    <row r="1241" spans="2:32" s="123" customFormat="1">
      <c r="B1241" s="125"/>
      <c r="D1241" s="125"/>
      <c r="X1241" s="74"/>
      <c r="AF1241" s="238"/>
    </row>
    <row r="1242" spans="2:32" s="123" customFormat="1">
      <c r="B1242" s="125"/>
      <c r="D1242" s="125"/>
      <c r="X1242" s="74"/>
      <c r="AF1242" s="238"/>
    </row>
    <row r="1243" spans="2:32" s="123" customFormat="1">
      <c r="B1243" s="125"/>
      <c r="D1243" s="125"/>
      <c r="X1243" s="74"/>
      <c r="AF1243" s="238"/>
    </row>
    <row r="1244" spans="2:32" s="123" customFormat="1">
      <c r="B1244" s="125"/>
      <c r="D1244" s="125"/>
      <c r="X1244" s="74"/>
      <c r="AF1244" s="238"/>
    </row>
    <row r="1245" spans="2:32" s="123" customFormat="1">
      <c r="B1245" s="125"/>
      <c r="D1245" s="125"/>
      <c r="X1245" s="74"/>
      <c r="AF1245" s="238"/>
    </row>
    <row r="1246" spans="2:32" s="123" customFormat="1">
      <c r="B1246" s="125"/>
      <c r="D1246" s="125"/>
      <c r="X1246" s="74"/>
      <c r="AF1246" s="238"/>
    </row>
    <row r="1247" spans="2:32" s="123" customFormat="1">
      <c r="B1247" s="125"/>
      <c r="D1247" s="125"/>
      <c r="X1247" s="74"/>
      <c r="AF1247" s="238"/>
    </row>
    <row r="1248" spans="2:32" s="123" customFormat="1">
      <c r="B1248" s="125"/>
      <c r="D1248" s="125"/>
      <c r="X1248" s="74"/>
      <c r="AF1248" s="238"/>
    </row>
    <row r="1249" spans="2:32" s="123" customFormat="1">
      <c r="B1249" s="125"/>
      <c r="D1249" s="125"/>
      <c r="X1249" s="74"/>
      <c r="AF1249" s="238"/>
    </row>
    <row r="1250" spans="2:32" s="123" customFormat="1">
      <c r="B1250" s="125"/>
      <c r="D1250" s="125"/>
      <c r="X1250" s="74"/>
      <c r="AF1250" s="238"/>
    </row>
    <row r="1251" spans="2:32" s="123" customFormat="1">
      <c r="B1251" s="125"/>
      <c r="D1251" s="125"/>
      <c r="X1251" s="74"/>
      <c r="AF1251" s="238"/>
    </row>
    <row r="1252" spans="2:32" s="123" customFormat="1">
      <c r="B1252" s="125"/>
      <c r="D1252" s="125"/>
      <c r="X1252" s="74"/>
      <c r="AF1252" s="238"/>
    </row>
    <row r="1253" spans="2:32" s="123" customFormat="1">
      <c r="B1253" s="125"/>
      <c r="D1253" s="125"/>
      <c r="X1253" s="74"/>
      <c r="AF1253" s="238"/>
    </row>
    <row r="1254" spans="2:32" s="123" customFormat="1">
      <c r="B1254" s="125"/>
      <c r="D1254" s="125"/>
      <c r="X1254" s="74"/>
      <c r="AF1254" s="238"/>
    </row>
    <row r="1255" spans="2:32" s="123" customFormat="1">
      <c r="B1255" s="125"/>
      <c r="D1255" s="125"/>
      <c r="X1255" s="74"/>
      <c r="AF1255" s="238"/>
    </row>
    <row r="1256" spans="2:32" s="123" customFormat="1">
      <c r="B1256" s="125"/>
      <c r="D1256" s="125"/>
      <c r="X1256" s="74"/>
      <c r="AF1256" s="238"/>
    </row>
    <row r="1257" spans="2:32" s="123" customFormat="1">
      <c r="B1257" s="125"/>
      <c r="D1257" s="125"/>
      <c r="X1257" s="74"/>
      <c r="AF1257" s="238"/>
    </row>
    <row r="1258" spans="2:32" s="123" customFormat="1">
      <c r="B1258" s="125"/>
      <c r="D1258" s="125"/>
      <c r="X1258" s="74"/>
      <c r="AF1258" s="238"/>
    </row>
    <row r="1259" spans="2:32" s="123" customFormat="1">
      <c r="B1259" s="125"/>
      <c r="D1259" s="125"/>
      <c r="X1259" s="74"/>
      <c r="AF1259" s="238"/>
    </row>
    <row r="1260" spans="2:32" s="123" customFormat="1">
      <c r="B1260" s="125"/>
      <c r="D1260" s="125"/>
      <c r="X1260" s="74"/>
      <c r="AF1260" s="238"/>
    </row>
    <row r="1261" spans="2:32" s="123" customFormat="1">
      <c r="B1261" s="125"/>
      <c r="D1261" s="125"/>
      <c r="X1261" s="74"/>
      <c r="AF1261" s="238"/>
    </row>
    <row r="1262" spans="2:32" s="123" customFormat="1">
      <c r="B1262" s="125"/>
      <c r="D1262" s="125"/>
      <c r="X1262" s="74"/>
      <c r="AF1262" s="238"/>
    </row>
    <row r="1263" spans="2:32" s="123" customFormat="1">
      <c r="B1263" s="125"/>
      <c r="D1263" s="125"/>
      <c r="X1263" s="74"/>
      <c r="AF1263" s="238"/>
    </row>
    <row r="1264" spans="2:32" s="123" customFormat="1">
      <c r="B1264" s="125"/>
      <c r="D1264" s="125"/>
      <c r="X1264" s="74"/>
      <c r="AF1264" s="238"/>
    </row>
    <row r="1265" spans="2:32" s="123" customFormat="1">
      <c r="B1265" s="125"/>
      <c r="D1265" s="125"/>
      <c r="X1265" s="74"/>
      <c r="AF1265" s="238"/>
    </row>
    <row r="1266" spans="2:32" s="123" customFormat="1">
      <c r="B1266" s="125"/>
      <c r="D1266" s="125"/>
      <c r="X1266" s="74"/>
      <c r="AF1266" s="238"/>
    </row>
    <row r="1267" spans="2:32" s="123" customFormat="1">
      <c r="B1267" s="125"/>
      <c r="D1267" s="125"/>
      <c r="X1267" s="74"/>
      <c r="AF1267" s="238"/>
    </row>
    <row r="1268" spans="2:32" s="123" customFormat="1">
      <c r="B1268" s="125"/>
      <c r="D1268" s="125"/>
      <c r="X1268" s="74"/>
      <c r="AF1268" s="238"/>
    </row>
    <row r="1269" spans="2:32" s="123" customFormat="1">
      <c r="B1269" s="125"/>
      <c r="D1269" s="125"/>
      <c r="X1269" s="74"/>
      <c r="AF1269" s="238"/>
    </row>
    <row r="1270" spans="2:32" s="123" customFormat="1">
      <c r="B1270" s="125"/>
      <c r="D1270" s="125"/>
      <c r="X1270" s="74"/>
      <c r="AF1270" s="238"/>
    </row>
    <row r="1271" spans="2:32" s="123" customFormat="1">
      <c r="B1271" s="125"/>
      <c r="D1271" s="125"/>
      <c r="X1271" s="74"/>
      <c r="AF1271" s="238"/>
    </row>
    <row r="1272" spans="2:32" s="123" customFormat="1">
      <c r="B1272" s="125"/>
      <c r="D1272" s="125"/>
      <c r="X1272" s="74"/>
      <c r="AF1272" s="238"/>
    </row>
    <row r="1273" spans="2:32" s="123" customFormat="1">
      <c r="B1273" s="125"/>
      <c r="D1273" s="125"/>
      <c r="X1273" s="74"/>
      <c r="AF1273" s="238"/>
    </row>
    <row r="1274" spans="2:32" s="123" customFormat="1">
      <c r="B1274" s="125"/>
      <c r="D1274" s="125"/>
      <c r="X1274" s="74"/>
      <c r="AF1274" s="238"/>
    </row>
    <row r="1275" spans="2:32" s="123" customFormat="1">
      <c r="B1275" s="125"/>
      <c r="D1275" s="125"/>
      <c r="X1275" s="74"/>
      <c r="AF1275" s="238"/>
    </row>
    <row r="1276" spans="2:32" s="123" customFormat="1">
      <c r="B1276" s="125"/>
      <c r="D1276" s="125"/>
      <c r="X1276" s="74"/>
      <c r="AF1276" s="238"/>
    </row>
    <row r="1277" spans="2:32" s="123" customFormat="1">
      <c r="B1277" s="125"/>
      <c r="D1277" s="125"/>
      <c r="X1277" s="74"/>
      <c r="AF1277" s="238"/>
    </row>
    <row r="1278" spans="2:32" s="123" customFormat="1">
      <c r="B1278" s="125"/>
      <c r="D1278" s="125"/>
      <c r="X1278" s="74"/>
      <c r="AF1278" s="238"/>
    </row>
    <row r="1279" spans="2:32" s="123" customFormat="1">
      <c r="B1279" s="125"/>
      <c r="D1279" s="125"/>
      <c r="X1279" s="74"/>
      <c r="AF1279" s="238"/>
    </row>
    <row r="1280" spans="2:32" s="123" customFormat="1">
      <c r="B1280" s="125"/>
      <c r="D1280" s="125"/>
      <c r="X1280" s="74"/>
      <c r="AF1280" s="238"/>
    </row>
    <row r="1281" spans="2:32" s="123" customFormat="1">
      <c r="B1281" s="125"/>
      <c r="D1281" s="125"/>
      <c r="X1281" s="74"/>
      <c r="AF1281" s="238"/>
    </row>
    <row r="1282" spans="2:32" s="123" customFormat="1">
      <c r="B1282" s="125"/>
      <c r="D1282" s="125"/>
      <c r="X1282" s="74"/>
      <c r="AF1282" s="238"/>
    </row>
    <row r="1283" spans="2:32" s="123" customFormat="1">
      <c r="B1283" s="125"/>
      <c r="D1283" s="125"/>
      <c r="X1283" s="74"/>
      <c r="AF1283" s="238"/>
    </row>
    <row r="1284" spans="2:32" s="123" customFormat="1">
      <c r="B1284" s="125"/>
      <c r="D1284" s="125"/>
      <c r="X1284" s="74"/>
      <c r="AF1284" s="238"/>
    </row>
    <row r="1285" spans="2:32" s="123" customFormat="1">
      <c r="B1285" s="125"/>
      <c r="D1285" s="125"/>
      <c r="X1285" s="74"/>
      <c r="AF1285" s="238"/>
    </row>
    <row r="1286" spans="2:32" s="123" customFormat="1">
      <c r="B1286" s="125"/>
      <c r="D1286" s="125"/>
      <c r="X1286" s="74"/>
      <c r="AF1286" s="238"/>
    </row>
    <row r="1287" spans="2:32" s="123" customFormat="1">
      <c r="B1287" s="125"/>
      <c r="D1287" s="125"/>
      <c r="X1287" s="74"/>
      <c r="AF1287" s="238"/>
    </row>
    <row r="1288" spans="2:32" s="123" customFormat="1">
      <c r="B1288" s="125"/>
      <c r="D1288" s="125"/>
      <c r="X1288" s="74"/>
      <c r="AF1288" s="238"/>
    </row>
    <row r="1289" spans="2:32" s="123" customFormat="1">
      <c r="B1289" s="125"/>
      <c r="D1289" s="125"/>
      <c r="X1289" s="74"/>
      <c r="AF1289" s="238"/>
    </row>
    <row r="1290" spans="2:32" s="123" customFormat="1">
      <c r="B1290" s="125"/>
      <c r="D1290" s="125"/>
      <c r="X1290" s="74"/>
      <c r="AF1290" s="238"/>
    </row>
    <row r="1291" spans="2:32" s="123" customFormat="1">
      <c r="B1291" s="125"/>
      <c r="D1291" s="125"/>
      <c r="X1291" s="74"/>
      <c r="AF1291" s="238"/>
    </row>
    <row r="1292" spans="2:32" s="123" customFormat="1">
      <c r="B1292" s="125"/>
      <c r="D1292" s="125"/>
      <c r="X1292" s="74"/>
      <c r="AF1292" s="238"/>
    </row>
    <row r="1293" spans="2:32" s="123" customFormat="1">
      <c r="B1293" s="125"/>
      <c r="D1293" s="125"/>
      <c r="X1293" s="74"/>
      <c r="AF1293" s="238"/>
    </row>
    <row r="1294" spans="2:32" s="123" customFormat="1">
      <c r="B1294" s="125"/>
      <c r="D1294" s="125"/>
      <c r="X1294" s="74"/>
      <c r="AF1294" s="238"/>
    </row>
    <row r="1295" spans="2:32" s="123" customFormat="1">
      <c r="B1295" s="125"/>
      <c r="D1295" s="125"/>
      <c r="X1295" s="74"/>
      <c r="AF1295" s="238"/>
    </row>
    <row r="1296" spans="2:32" s="123" customFormat="1">
      <c r="B1296" s="125"/>
      <c r="D1296" s="125"/>
      <c r="X1296" s="74"/>
      <c r="AF1296" s="238"/>
    </row>
    <row r="1297" spans="2:32" s="123" customFormat="1">
      <c r="B1297" s="125"/>
      <c r="D1297" s="125"/>
      <c r="X1297" s="74"/>
      <c r="AF1297" s="238"/>
    </row>
    <row r="1298" spans="2:32" s="123" customFormat="1">
      <c r="B1298" s="125"/>
      <c r="D1298" s="125"/>
      <c r="X1298" s="74"/>
      <c r="AF1298" s="238"/>
    </row>
    <row r="1299" spans="2:32" s="123" customFormat="1">
      <c r="B1299" s="125"/>
      <c r="D1299" s="125"/>
      <c r="X1299" s="74"/>
      <c r="AF1299" s="238"/>
    </row>
    <row r="1300" spans="2:32" s="123" customFormat="1">
      <c r="B1300" s="125"/>
      <c r="D1300" s="125"/>
      <c r="X1300" s="74"/>
      <c r="AF1300" s="238"/>
    </row>
    <row r="1301" spans="2:32" s="123" customFormat="1">
      <c r="B1301" s="125"/>
      <c r="D1301" s="125"/>
      <c r="X1301" s="74"/>
      <c r="AF1301" s="238"/>
    </row>
    <row r="1302" spans="2:32" s="123" customFormat="1">
      <c r="B1302" s="125"/>
      <c r="D1302" s="125"/>
      <c r="X1302" s="74"/>
      <c r="AF1302" s="238"/>
    </row>
    <row r="1303" spans="2:32" s="123" customFormat="1">
      <c r="B1303" s="125"/>
      <c r="D1303" s="125"/>
      <c r="X1303" s="74"/>
      <c r="AF1303" s="238"/>
    </row>
    <row r="1304" spans="2:32" s="123" customFormat="1">
      <c r="B1304" s="125"/>
      <c r="D1304" s="125"/>
      <c r="X1304" s="74"/>
      <c r="AF1304" s="238"/>
    </row>
    <row r="1305" spans="2:32" s="123" customFormat="1">
      <c r="B1305" s="125"/>
      <c r="D1305" s="125"/>
      <c r="X1305" s="74"/>
      <c r="AF1305" s="238"/>
    </row>
    <row r="1306" spans="2:32" s="123" customFormat="1">
      <c r="B1306" s="125"/>
      <c r="D1306" s="125"/>
      <c r="X1306" s="74"/>
      <c r="AF1306" s="238"/>
    </row>
    <row r="1307" spans="2:32" s="123" customFormat="1">
      <c r="B1307" s="125"/>
      <c r="D1307" s="125"/>
      <c r="X1307" s="74"/>
      <c r="AF1307" s="238"/>
    </row>
    <row r="1308" spans="2:32" s="123" customFormat="1">
      <c r="B1308" s="125"/>
      <c r="D1308" s="125"/>
      <c r="X1308" s="74"/>
      <c r="AF1308" s="238"/>
    </row>
    <row r="1309" spans="2:32" s="123" customFormat="1">
      <c r="B1309" s="125"/>
      <c r="D1309" s="125"/>
      <c r="X1309" s="74"/>
      <c r="AF1309" s="238"/>
    </row>
    <row r="1310" spans="2:32" s="123" customFormat="1">
      <c r="B1310" s="125"/>
      <c r="D1310" s="125"/>
      <c r="X1310" s="74"/>
      <c r="AF1310" s="238"/>
    </row>
    <row r="1311" spans="2:32" s="123" customFormat="1">
      <c r="B1311" s="125"/>
      <c r="D1311" s="125"/>
      <c r="X1311" s="74"/>
      <c r="AF1311" s="238"/>
    </row>
    <row r="1312" spans="2:32" s="123" customFormat="1">
      <c r="B1312" s="125"/>
      <c r="D1312" s="125"/>
      <c r="X1312" s="74"/>
      <c r="AF1312" s="238"/>
    </row>
    <row r="1313" spans="2:32" s="123" customFormat="1">
      <c r="B1313" s="125"/>
      <c r="D1313" s="125"/>
      <c r="X1313" s="74"/>
      <c r="AF1313" s="238"/>
    </row>
    <row r="1314" spans="2:32" s="123" customFormat="1">
      <c r="B1314" s="125"/>
      <c r="D1314" s="125"/>
      <c r="X1314" s="74"/>
      <c r="AF1314" s="238"/>
    </row>
    <row r="1315" spans="2:32" s="123" customFormat="1">
      <c r="B1315" s="125"/>
      <c r="D1315" s="125"/>
      <c r="X1315" s="74"/>
      <c r="AF1315" s="238"/>
    </row>
    <row r="1316" spans="2:32" s="123" customFormat="1">
      <c r="B1316" s="125"/>
      <c r="D1316" s="125"/>
      <c r="X1316" s="74"/>
      <c r="AF1316" s="238"/>
    </row>
    <row r="1317" spans="2:32" s="123" customFormat="1">
      <c r="B1317" s="125"/>
      <c r="D1317" s="125"/>
      <c r="X1317" s="74"/>
      <c r="AF1317" s="238"/>
    </row>
    <row r="1318" spans="2:32" s="123" customFormat="1">
      <c r="B1318" s="125"/>
      <c r="D1318" s="125"/>
      <c r="X1318" s="74"/>
      <c r="AF1318" s="238"/>
    </row>
    <row r="1319" spans="2:32" s="123" customFormat="1">
      <c r="B1319" s="125"/>
      <c r="D1319" s="125"/>
      <c r="X1319" s="74"/>
      <c r="AF1319" s="238"/>
    </row>
    <row r="1320" spans="2:32" s="123" customFormat="1">
      <c r="B1320" s="125"/>
      <c r="D1320" s="125"/>
      <c r="X1320" s="74"/>
      <c r="AF1320" s="238"/>
    </row>
    <row r="1321" spans="2:32" s="123" customFormat="1">
      <c r="B1321" s="125"/>
      <c r="D1321" s="125"/>
      <c r="X1321" s="74"/>
      <c r="AF1321" s="238"/>
    </row>
    <row r="1322" spans="2:32" s="123" customFormat="1">
      <c r="B1322" s="125"/>
      <c r="D1322" s="125"/>
      <c r="X1322" s="74"/>
      <c r="AF1322" s="238"/>
    </row>
    <row r="1323" spans="2:32" s="123" customFormat="1">
      <c r="B1323" s="125"/>
      <c r="D1323" s="125"/>
      <c r="X1323" s="74"/>
      <c r="AF1323" s="238"/>
    </row>
    <row r="1324" spans="2:32" s="123" customFormat="1">
      <c r="B1324" s="125"/>
      <c r="D1324" s="125"/>
      <c r="X1324" s="74"/>
      <c r="AF1324" s="238"/>
    </row>
    <row r="1325" spans="2:32" s="123" customFormat="1">
      <c r="B1325" s="125"/>
      <c r="D1325" s="125"/>
      <c r="X1325" s="74"/>
      <c r="AF1325" s="238"/>
    </row>
    <row r="1326" spans="2:32" s="123" customFormat="1">
      <c r="B1326" s="125"/>
      <c r="D1326" s="125"/>
      <c r="X1326" s="74"/>
      <c r="AF1326" s="238"/>
    </row>
    <row r="1327" spans="2:32" s="123" customFormat="1">
      <c r="B1327" s="125"/>
      <c r="D1327" s="125"/>
      <c r="X1327" s="74"/>
      <c r="AF1327" s="238"/>
    </row>
    <row r="1328" spans="2:32" s="123" customFormat="1">
      <c r="B1328" s="125"/>
      <c r="D1328" s="125"/>
      <c r="X1328" s="74"/>
      <c r="AF1328" s="238"/>
    </row>
    <row r="1329" spans="2:32" s="123" customFormat="1">
      <c r="B1329" s="125"/>
      <c r="D1329" s="125"/>
      <c r="X1329" s="74"/>
      <c r="AF1329" s="238"/>
    </row>
    <row r="1330" spans="2:32" s="123" customFormat="1">
      <c r="B1330" s="125"/>
      <c r="D1330" s="125"/>
      <c r="X1330" s="74"/>
      <c r="AF1330" s="238"/>
    </row>
    <row r="1331" spans="2:32" s="123" customFormat="1">
      <c r="B1331" s="125"/>
      <c r="D1331" s="125"/>
      <c r="X1331" s="74"/>
      <c r="AF1331" s="238"/>
    </row>
    <row r="1332" spans="2:32" s="123" customFormat="1">
      <c r="B1332" s="125"/>
      <c r="D1332" s="125"/>
      <c r="X1332" s="74"/>
      <c r="AF1332" s="238"/>
    </row>
    <row r="1333" spans="2:32" s="123" customFormat="1">
      <c r="B1333" s="125"/>
      <c r="D1333" s="125"/>
      <c r="X1333" s="74"/>
      <c r="AF1333" s="238"/>
    </row>
    <row r="1334" spans="2:32" s="123" customFormat="1">
      <c r="B1334" s="125"/>
      <c r="D1334" s="125"/>
      <c r="X1334" s="74"/>
      <c r="AF1334" s="238"/>
    </row>
    <row r="1335" spans="2:32" s="123" customFormat="1">
      <c r="B1335" s="125"/>
      <c r="D1335" s="125"/>
      <c r="X1335" s="74"/>
      <c r="AF1335" s="238"/>
    </row>
    <row r="1336" spans="2:32" s="123" customFormat="1">
      <c r="B1336" s="125"/>
      <c r="D1336" s="125"/>
      <c r="X1336" s="74"/>
      <c r="AF1336" s="238"/>
    </row>
    <row r="1337" spans="2:32" s="123" customFormat="1">
      <c r="B1337" s="125"/>
      <c r="D1337" s="125"/>
      <c r="X1337" s="74"/>
      <c r="AF1337" s="238"/>
    </row>
    <row r="1338" spans="2:32" s="123" customFormat="1">
      <c r="B1338" s="125"/>
      <c r="D1338" s="125"/>
      <c r="X1338" s="74"/>
      <c r="AF1338" s="238"/>
    </row>
    <row r="1339" spans="2:32" s="123" customFormat="1">
      <c r="B1339" s="125"/>
      <c r="D1339" s="125"/>
      <c r="X1339" s="74"/>
      <c r="AF1339" s="238"/>
    </row>
    <row r="1340" spans="2:32" s="123" customFormat="1">
      <c r="B1340" s="125"/>
      <c r="D1340" s="125"/>
      <c r="X1340" s="74"/>
      <c r="AF1340" s="238"/>
    </row>
    <row r="1341" spans="2:32" s="123" customFormat="1">
      <c r="B1341" s="125"/>
      <c r="D1341" s="125"/>
      <c r="X1341" s="74"/>
      <c r="AF1341" s="238"/>
    </row>
    <row r="1342" spans="2:32" s="123" customFormat="1">
      <c r="B1342" s="125"/>
      <c r="D1342" s="125"/>
      <c r="X1342" s="74"/>
      <c r="AF1342" s="238"/>
    </row>
    <row r="1343" spans="2:32" s="123" customFormat="1">
      <c r="B1343" s="125"/>
      <c r="D1343" s="125"/>
      <c r="X1343" s="74"/>
      <c r="AF1343" s="238"/>
    </row>
    <row r="1344" spans="2:32" s="123" customFormat="1">
      <c r="B1344" s="125"/>
      <c r="D1344" s="125"/>
      <c r="X1344" s="74"/>
      <c r="AF1344" s="238"/>
    </row>
    <row r="1345" spans="2:32" s="123" customFormat="1">
      <c r="B1345" s="125"/>
      <c r="D1345" s="125"/>
      <c r="X1345" s="74"/>
      <c r="AF1345" s="238"/>
    </row>
    <row r="1346" spans="2:32" s="123" customFormat="1">
      <c r="B1346" s="125"/>
      <c r="D1346" s="125"/>
      <c r="X1346" s="74"/>
      <c r="AF1346" s="238"/>
    </row>
    <row r="1347" spans="2:32" s="123" customFormat="1">
      <c r="B1347" s="125"/>
      <c r="D1347" s="125"/>
      <c r="X1347" s="74"/>
      <c r="AF1347" s="238"/>
    </row>
    <row r="1348" spans="2:32" s="123" customFormat="1">
      <c r="B1348" s="125"/>
      <c r="D1348" s="125"/>
      <c r="X1348" s="74"/>
      <c r="AF1348" s="238"/>
    </row>
    <row r="1349" spans="2:32" s="123" customFormat="1">
      <c r="B1349" s="125"/>
      <c r="D1349" s="125"/>
      <c r="X1349" s="74"/>
      <c r="AF1349" s="238"/>
    </row>
    <row r="1350" spans="2:32" s="123" customFormat="1">
      <c r="B1350" s="125"/>
      <c r="D1350" s="125"/>
      <c r="X1350" s="74"/>
      <c r="AF1350" s="238"/>
    </row>
    <row r="1351" spans="2:32" s="123" customFormat="1">
      <c r="B1351" s="125"/>
      <c r="D1351" s="125"/>
      <c r="X1351" s="74"/>
      <c r="AF1351" s="238"/>
    </row>
    <row r="1352" spans="2:32" s="123" customFormat="1">
      <c r="B1352" s="125"/>
      <c r="D1352" s="125"/>
      <c r="X1352" s="74"/>
      <c r="AF1352" s="238"/>
    </row>
    <row r="1353" spans="2:32" s="123" customFormat="1">
      <c r="B1353" s="125"/>
      <c r="D1353" s="125"/>
      <c r="X1353" s="74"/>
      <c r="AF1353" s="238"/>
    </row>
    <row r="1354" spans="2:32" s="123" customFormat="1">
      <c r="B1354" s="125"/>
      <c r="D1354" s="125"/>
      <c r="X1354" s="74"/>
      <c r="AF1354" s="238"/>
    </row>
    <row r="1355" spans="2:32" s="123" customFormat="1">
      <c r="B1355" s="125"/>
      <c r="D1355" s="125"/>
      <c r="X1355" s="74"/>
      <c r="AF1355" s="238"/>
    </row>
    <row r="1356" spans="2:32" s="123" customFormat="1">
      <c r="B1356" s="125"/>
      <c r="D1356" s="125"/>
      <c r="X1356" s="74"/>
      <c r="AF1356" s="238"/>
    </row>
    <row r="1357" spans="2:32" s="123" customFormat="1">
      <c r="B1357" s="125"/>
      <c r="D1357" s="125"/>
      <c r="X1357" s="74"/>
      <c r="AF1357" s="238"/>
    </row>
    <row r="1358" spans="2:32" s="123" customFormat="1">
      <c r="B1358" s="125"/>
      <c r="D1358" s="125"/>
      <c r="X1358" s="74"/>
      <c r="AF1358" s="238"/>
    </row>
    <row r="1359" spans="2:32" s="123" customFormat="1">
      <c r="B1359" s="125"/>
      <c r="D1359" s="125"/>
      <c r="X1359" s="74"/>
      <c r="AF1359" s="238"/>
    </row>
    <row r="1360" spans="2:32" s="123" customFormat="1">
      <c r="B1360" s="125"/>
      <c r="D1360" s="125"/>
      <c r="X1360" s="74"/>
      <c r="AF1360" s="238"/>
    </row>
    <row r="1361" spans="2:32" s="123" customFormat="1">
      <c r="B1361" s="125"/>
      <c r="D1361" s="125"/>
      <c r="X1361" s="74"/>
      <c r="AF1361" s="238"/>
    </row>
    <row r="1362" spans="2:32" s="123" customFormat="1">
      <c r="B1362" s="125"/>
      <c r="D1362" s="125"/>
      <c r="X1362" s="74"/>
      <c r="AF1362" s="238"/>
    </row>
    <row r="1363" spans="2:32" s="123" customFormat="1">
      <c r="B1363" s="125"/>
      <c r="D1363" s="125"/>
      <c r="X1363" s="74"/>
      <c r="AF1363" s="238"/>
    </row>
    <row r="1364" spans="2:32" s="123" customFormat="1">
      <c r="B1364" s="125"/>
      <c r="D1364" s="125"/>
      <c r="X1364" s="74"/>
      <c r="AF1364" s="238"/>
    </row>
    <row r="1365" spans="2:32" s="123" customFormat="1">
      <c r="B1365" s="125"/>
      <c r="D1365" s="125"/>
      <c r="X1365" s="74"/>
      <c r="AF1365" s="238"/>
    </row>
    <row r="1366" spans="2:32" s="123" customFormat="1">
      <c r="B1366" s="125"/>
      <c r="D1366" s="125"/>
      <c r="X1366" s="74"/>
      <c r="AF1366" s="238"/>
    </row>
    <row r="1367" spans="2:32" s="123" customFormat="1">
      <c r="B1367" s="125"/>
      <c r="D1367" s="125"/>
      <c r="X1367" s="74"/>
      <c r="AF1367" s="238"/>
    </row>
    <row r="1368" spans="2:32" s="123" customFormat="1">
      <c r="B1368" s="125"/>
      <c r="D1368" s="125"/>
      <c r="X1368" s="74"/>
      <c r="AF1368" s="238"/>
    </row>
    <row r="1369" spans="2:32" s="123" customFormat="1">
      <c r="B1369" s="125"/>
      <c r="D1369" s="125"/>
      <c r="X1369" s="74"/>
      <c r="AF1369" s="238"/>
    </row>
    <row r="1370" spans="2:32" s="123" customFormat="1">
      <c r="B1370" s="125"/>
      <c r="D1370" s="125"/>
      <c r="X1370" s="74"/>
      <c r="AF1370" s="238"/>
    </row>
    <row r="1371" spans="2:32" s="123" customFormat="1">
      <c r="B1371" s="125"/>
      <c r="D1371" s="125"/>
      <c r="X1371" s="74"/>
      <c r="AF1371" s="238"/>
    </row>
    <row r="1372" spans="2:32" s="123" customFormat="1">
      <c r="B1372" s="125"/>
      <c r="D1372" s="125"/>
      <c r="X1372" s="74"/>
      <c r="AF1372" s="238"/>
    </row>
    <row r="1373" spans="2:32" s="123" customFormat="1">
      <c r="B1373" s="125"/>
      <c r="D1373" s="125"/>
      <c r="X1373" s="74"/>
      <c r="AF1373" s="238"/>
    </row>
    <row r="1374" spans="2:32" s="123" customFormat="1">
      <c r="B1374" s="125"/>
      <c r="D1374" s="125"/>
      <c r="X1374" s="74"/>
      <c r="AF1374" s="238"/>
    </row>
    <row r="1375" spans="2:32" s="123" customFormat="1">
      <c r="B1375" s="125"/>
      <c r="D1375" s="125"/>
      <c r="X1375" s="74"/>
      <c r="AF1375" s="238"/>
    </row>
    <row r="1376" spans="2:32" s="123" customFormat="1">
      <c r="B1376" s="125"/>
      <c r="D1376" s="125"/>
      <c r="X1376" s="74"/>
      <c r="AF1376" s="238"/>
    </row>
    <row r="1377" spans="2:32" s="123" customFormat="1">
      <c r="B1377" s="125"/>
      <c r="D1377" s="125"/>
      <c r="X1377" s="74"/>
      <c r="AF1377" s="238"/>
    </row>
    <row r="1378" spans="2:32" s="123" customFormat="1">
      <c r="B1378" s="125"/>
      <c r="D1378" s="125"/>
      <c r="X1378" s="74"/>
      <c r="AF1378" s="238"/>
    </row>
    <row r="1379" spans="2:32" s="123" customFormat="1">
      <c r="B1379" s="125"/>
      <c r="D1379" s="125"/>
      <c r="X1379" s="74"/>
      <c r="AF1379" s="238"/>
    </row>
    <row r="1380" spans="2:32" s="123" customFormat="1">
      <c r="B1380" s="125"/>
      <c r="D1380" s="125"/>
      <c r="X1380" s="74"/>
      <c r="AF1380" s="238"/>
    </row>
    <row r="1381" spans="2:32" s="123" customFormat="1">
      <c r="B1381" s="125"/>
      <c r="D1381" s="125"/>
      <c r="X1381" s="74"/>
      <c r="AF1381" s="238"/>
    </row>
    <row r="1382" spans="2:32" s="123" customFormat="1">
      <c r="B1382" s="125"/>
      <c r="D1382" s="125"/>
      <c r="X1382" s="74"/>
      <c r="AF1382" s="238"/>
    </row>
    <row r="1383" spans="2:32" s="123" customFormat="1">
      <c r="B1383" s="125"/>
      <c r="D1383" s="125"/>
      <c r="X1383" s="74"/>
      <c r="AF1383" s="238"/>
    </row>
    <row r="1384" spans="2:32" s="123" customFormat="1">
      <c r="B1384" s="125"/>
      <c r="D1384" s="125"/>
      <c r="X1384" s="74"/>
      <c r="AF1384" s="238"/>
    </row>
    <row r="1385" spans="2:32" s="123" customFormat="1">
      <c r="B1385" s="125"/>
      <c r="D1385" s="125"/>
      <c r="X1385" s="74"/>
      <c r="AF1385" s="238"/>
    </row>
    <row r="1386" spans="2:32" s="123" customFormat="1">
      <c r="B1386" s="125"/>
      <c r="D1386" s="125"/>
      <c r="X1386" s="74"/>
      <c r="AF1386" s="238"/>
    </row>
    <row r="1387" spans="2:32" s="123" customFormat="1">
      <c r="B1387" s="125"/>
      <c r="D1387" s="125"/>
      <c r="X1387" s="74"/>
      <c r="AF1387" s="238"/>
    </row>
    <row r="1388" spans="2:32" s="123" customFormat="1">
      <c r="B1388" s="125"/>
      <c r="D1388" s="125"/>
      <c r="X1388" s="74"/>
      <c r="AF1388" s="238"/>
    </row>
    <row r="1389" spans="2:32" s="123" customFormat="1">
      <c r="B1389" s="125"/>
      <c r="D1389" s="125"/>
      <c r="X1389" s="74"/>
      <c r="AF1389" s="238"/>
    </row>
    <row r="1390" spans="2:32" s="123" customFormat="1">
      <c r="B1390" s="125"/>
      <c r="D1390" s="125"/>
      <c r="X1390" s="74"/>
      <c r="AF1390" s="238"/>
    </row>
    <row r="1391" spans="2:32" s="123" customFormat="1">
      <c r="B1391" s="125"/>
      <c r="D1391" s="125"/>
      <c r="X1391" s="74"/>
      <c r="AF1391" s="238"/>
    </row>
    <row r="1392" spans="2:32" s="123" customFormat="1">
      <c r="B1392" s="125"/>
      <c r="D1392" s="125"/>
      <c r="X1392" s="74"/>
      <c r="AF1392" s="238"/>
    </row>
    <row r="1393" spans="2:32" s="123" customFormat="1">
      <c r="B1393" s="125"/>
      <c r="D1393" s="125"/>
      <c r="X1393" s="74"/>
      <c r="AF1393" s="238"/>
    </row>
    <row r="1394" spans="2:32" s="123" customFormat="1">
      <c r="B1394" s="125"/>
      <c r="D1394" s="125"/>
      <c r="X1394" s="74"/>
      <c r="AF1394" s="238"/>
    </row>
    <row r="1395" spans="2:32" s="123" customFormat="1">
      <c r="B1395" s="125"/>
      <c r="D1395" s="125"/>
      <c r="X1395" s="74"/>
      <c r="AF1395" s="238"/>
    </row>
    <row r="1396" spans="2:32" s="123" customFormat="1">
      <c r="B1396" s="125"/>
      <c r="D1396" s="125"/>
      <c r="X1396" s="74"/>
      <c r="AF1396" s="238"/>
    </row>
    <row r="1397" spans="2:32" s="123" customFormat="1">
      <c r="B1397" s="125"/>
      <c r="D1397" s="125"/>
      <c r="X1397" s="74"/>
      <c r="AF1397" s="238"/>
    </row>
    <row r="1398" spans="2:32" s="123" customFormat="1">
      <c r="B1398" s="125"/>
      <c r="D1398" s="125"/>
      <c r="X1398" s="74"/>
      <c r="AF1398" s="238"/>
    </row>
    <row r="1399" spans="2:32" s="123" customFormat="1">
      <c r="B1399" s="125"/>
      <c r="D1399" s="125"/>
      <c r="X1399" s="74"/>
      <c r="AF1399" s="238"/>
    </row>
    <row r="1400" spans="2:32" s="123" customFormat="1">
      <c r="B1400" s="125"/>
      <c r="D1400" s="125"/>
      <c r="X1400" s="74"/>
      <c r="AF1400" s="238"/>
    </row>
    <row r="1401" spans="2:32" s="123" customFormat="1">
      <c r="B1401" s="125"/>
      <c r="D1401" s="125"/>
      <c r="X1401" s="74"/>
      <c r="AF1401" s="238"/>
    </row>
    <row r="1402" spans="2:32" s="123" customFormat="1">
      <c r="B1402" s="125"/>
      <c r="D1402" s="125"/>
      <c r="X1402" s="74"/>
      <c r="AF1402" s="238"/>
    </row>
    <row r="1403" spans="2:32" s="123" customFormat="1">
      <c r="B1403" s="125"/>
      <c r="D1403" s="125"/>
      <c r="X1403" s="74"/>
      <c r="AF1403" s="238"/>
    </row>
    <row r="1404" spans="2:32" s="123" customFormat="1">
      <c r="B1404" s="125"/>
      <c r="D1404" s="125"/>
      <c r="X1404" s="74"/>
      <c r="AF1404" s="238"/>
    </row>
    <row r="1405" spans="2:32" s="123" customFormat="1">
      <c r="B1405" s="125"/>
      <c r="D1405" s="125"/>
      <c r="X1405" s="74"/>
      <c r="AF1405" s="238"/>
    </row>
    <row r="1406" spans="2:32" s="123" customFormat="1">
      <c r="B1406" s="125"/>
      <c r="D1406" s="125"/>
      <c r="X1406" s="74"/>
      <c r="AF1406" s="238"/>
    </row>
    <row r="1407" spans="2:32" s="123" customFormat="1">
      <c r="B1407" s="125"/>
      <c r="D1407" s="125"/>
      <c r="X1407" s="74"/>
      <c r="AF1407" s="238"/>
    </row>
    <row r="1408" spans="2:32" s="123" customFormat="1">
      <c r="B1408" s="125"/>
      <c r="D1408" s="125"/>
      <c r="X1408" s="74"/>
      <c r="AF1408" s="238"/>
    </row>
    <row r="1409" spans="2:32" s="123" customFormat="1">
      <c r="B1409" s="125"/>
      <c r="D1409" s="125"/>
      <c r="X1409" s="74"/>
      <c r="AF1409" s="238"/>
    </row>
    <row r="1410" spans="2:32" s="123" customFormat="1">
      <c r="B1410" s="125"/>
      <c r="D1410" s="125"/>
      <c r="X1410" s="74"/>
      <c r="AF1410" s="238"/>
    </row>
    <row r="1411" spans="2:32" s="123" customFormat="1">
      <c r="B1411" s="125"/>
      <c r="D1411" s="125"/>
      <c r="X1411" s="74"/>
      <c r="AF1411" s="238"/>
    </row>
    <row r="1412" spans="2:32" s="123" customFormat="1">
      <c r="B1412" s="125"/>
      <c r="D1412" s="125"/>
      <c r="X1412" s="74"/>
      <c r="AF1412" s="238"/>
    </row>
    <row r="1413" spans="2:32" s="123" customFormat="1">
      <c r="B1413" s="125"/>
      <c r="D1413" s="125"/>
      <c r="X1413" s="74"/>
      <c r="AF1413" s="238"/>
    </row>
    <row r="1414" spans="2:32" s="123" customFormat="1">
      <c r="B1414" s="125"/>
      <c r="D1414" s="125"/>
      <c r="X1414" s="74"/>
      <c r="AF1414" s="238"/>
    </row>
    <row r="1415" spans="2:32" s="123" customFormat="1">
      <c r="B1415" s="125"/>
      <c r="D1415" s="125"/>
      <c r="X1415" s="74"/>
      <c r="AF1415" s="238"/>
    </row>
    <row r="1416" spans="2:32" s="123" customFormat="1">
      <c r="B1416" s="125"/>
      <c r="D1416" s="125"/>
      <c r="X1416" s="74"/>
      <c r="AF1416" s="238"/>
    </row>
    <row r="1417" spans="2:32" s="123" customFormat="1">
      <c r="B1417" s="125"/>
      <c r="D1417" s="125"/>
      <c r="X1417" s="74"/>
      <c r="AF1417" s="238"/>
    </row>
    <row r="1418" spans="2:32" s="123" customFormat="1">
      <c r="B1418" s="125"/>
      <c r="D1418" s="125"/>
      <c r="X1418" s="74"/>
      <c r="AF1418" s="238"/>
    </row>
    <row r="1419" spans="2:32" s="123" customFormat="1">
      <c r="B1419" s="125"/>
      <c r="D1419" s="125"/>
      <c r="X1419" s="74"/>
      <c r="AF1419" s="238"/>
    </row>
    <row r="1420" spans="2:32" s="123" customFormat="1">
      <c r="B1420" s="125"/>
      <c r="D1420" s="125"/>
      <c r="X1420" s="74"/>
      <c r="AF1420" s="238"/>
    </row>
    <row r="1421" spans="2:32" s="123" customFormat="1">
      <c r="B1421" s="125"/>
      <c r="D1421" s="125"/>
      <c r="X1421" s="74"/>
      <c r="AF1421" s="238"/>
    </row>
    <row r="1422" spans="2:32" s="123" customFormat="1">
      <c r="B1422" s="125"/>
      <c r="D1422" s="125"/>
      <c r="X1422" s="74"/>
      <c r="AF1422" s="238"/>
    </row>
    <row r="1423" spans="2:32" s="123" customFormat="1">
      <c r="B1423" s="125"/>
      <c r="D1423" s="125"/>
      <c r="X1423" s="74"/>
      <c r="AF1423" s="238"/>
    </row>
    <row r="1424" spans="2:32" s="123" customFormat="1">
      <c r="B1424" s="125"/>
      <c r="D1424" s="125"/>
      <c r="X1424" s="74"/>
      <c r="AF1424" s="238"/>
    </row>
    <row r="1425" spans="2:32" s="123" customFormat="1">
      <c r="B1425" s="125"/>
      <c r="D1425" s="125"/>
      <c r="X1425" s="74"/>
      <c r="AF1425" s="238"/>
    </row>
    <row r="1426" spans="2:32" s="123" customFormat="1">
      <c r="B1426" s="125"/>
      <c r="D1426" s="125"/>
      <c r="X1426" s="74"/>
      <c r="AF1426" s="238"/>
    </row>
    <row r="1427" spans="2:32" s="123" customFormat="1">
      <c r="B1427" s="125"/>
      <c r="D1427" s="125"/>
      <c r="X1427" s="74"/>
      <c r="AF1427" s="238"/>
    </row>
    <row r="1428" spans="2:32" s="123" customFormat="1">
      <c r="B1428" s="125"/>
      <c r="D1428" s="125"/>
      <c r="X1428" s="74"/>
      <c r="AF1428" s="238"/>
    </row>
    <row r="1429" spans="2:32" s="123" customFormat="1">
      <c r="B1429" s="125"/>
      <c r="D1429" s="125"/>
      <c r="X1429" s="74"/>
      <c r="AF1429" s="238"/>
    </row>
    <row r="1430" spans="2:32" s="123" customFormat="1">
      <c r="B1430" s="125"/>
      <c r="D1430" s="125"/>
      <c r="X1430" s="74"/>
      <c r="AF1430" s="238"/>
    </row>
    <row r="1431" spans="2:32" s="123" customFormat="1">
      <c r="B1431" s="125"/>
      <c r="D1431" s="125"/>
      <c r="X1431" s="74"/>
      <c r="AF1431" s="238"/>
    </row>
    <row r="1432" spans="2:32" s="123" customFormat="1">
      <c r="B1432" s="125"/>
      <c r="D1432" s="125"/>
      <c r="X1432" s="74"/>
      <c r="AF1432" s="238"/>
    </row>
    <row r="1433" spans="2:32" s="123" customFormat="1">
      <c r="B1433" s="125"/>
      <c r="D1433" s="125"/>
      <c r="X1433" s="74"/>
      <c r="AF1433" s="238"/>
    </row>
    <row r="1434" spans="2:32" s="123" customFormat="1">
      <c r="B1434" s="125"/>
      <c r="D1434" s="125"/>
      <c r="X1434" s="74"/>
      <c r="AF1434" s="238"/>
    </row>
    <row r="1435" spans="2:32" s="123" customFormat="1">
      <c r="B1435" s="125"/>
      <c r="D1435" s="125"/>
      <c r="X1435" s="74"/>
      <c r="AF1435" s="238"/>
    </row>
    <row r="1436" spans="2:32" s="123" customFormat="1">
      <c r="B1436" s="125"/>
      <c r="D1436" s="125"/>
      <c r="X1436" s="74"/>
      <c r="AF1436" s="238"/>
    </row>
    <row r="1437" spans="2:32" s="123" customFormat="1">
      <c r="B1437" s="125"/>
      <c r="D1437" s="125"/>
      <c r="X1437" s="74"/>
      <c r="AF1437" s="238"/>
    </row>
    <row r="1438" spans="2:32" s="123" customFormat="1">
      <c r="B1438" s="125"/>
      <c r="D1438" s="125"/>
      <c r="X1438" s="74"/>
      <c r="AF1438" s="238"/>
    </row>
    <row r="1439" spans="2:32" s="123" customFormat="1">
      <c r="B1439" s="125"/>
      <c r="D1439" s="125"/>
      <c r="X1439" s="74"/>
      <c r="AF1439" s="238"/>
    </row>
    <row r="1440" spans="2:32" s="123" customFormat="1">
      <c r="B1440" s="125"/>
      <c r="D1440" s="125"/>
      <c r="X1440" s="74"/>
      <c r="AF1440" s="238"/>
    </row>
    <row r="1441" spans="2:32" s="123" customFormat="1">
      <c r="B1441" s="125"/>
      <c r="D1441" s="125"/>
      <c r="X1441" s="74"/>
      <c r="AF1441" s="238"/>
    </row>
    <row r="1442" spans="2:32" s="123" customFormat="1">
      <c r="B1442" s="125"/>
      <c r="D1442" s="125"/>
      <c r="X1442" s="74"/>
      <c r="AF1442" s="238"/>
    </row>
    <row r="1443" spans="2:32" s="123" customFormat="1">
      <c r="B1443" s="125"/>
      <c r="D1443" s="125"/>
      <c r="X1443" s="74"/>
      <c r="AF1443" s="238"/>
    </row>
    <row r="1444" spans="2:32" s="123" customFormat="1">
      <c r="B1444" s="125"/>
      <c r="D1444" s="125"/>
      <c r="X1444" s="74"/>
      <c r="AF1444" s="238"/>
    </row>
    <row r="1445" spans="2:32" s="123" customFormat="1">
      <c r="B1445" s="125"/>
      <c r="D1445" s="125"/>
      <c r="X1445" s="74"/>
      <c r="AF1445" s="238"/>
    </row>
    <row r="1446" spans="2:32" s="123" customFormat="1">
      <c r="B1446" s="125"/>
      <c r="D1446" s="125"/>
      <c r="X1446" s="74"/>
      <c r="AF1446" s="238"/>
    </row>
    <row r="1447" spans="2:32" s="123" customFormat="1">
      <c r="B1447" s="125"/>
      <c r="D1447" s="125"/>
      <c r="X1447" s="74"/>
      <c r="AF1447" s="238"/>
    </row>
    <row r="1448" spans="2:32" s="123" customFormat="1">
      <c r="B1448" s="125"/>
      <c r="D1448" s="125"/>
      <c r="X1448" s="74"/>
      <c r="AF1448" s="238"/>
    </row>
    <row r="1449" spans="2:32" s="123" customFormat="1">
      <c r="B1449" s="125"/>
      <c r="D1449" s="125"/>
      <c r="X1449" s="74"/>
      <c r="AF1449" s="238"/>
    </row>
    <row r="1450" spans="2:32" s="123" customFormat="1">
      <c r="B1450" s="125"/>
      <c r="D1450" s="125"/>
      <c r="X1450" s="74"/>
      <c r="AF1450" s="238"/>
    </row>
    <row r="1451" spans="2:32" s="123" customFormat="1">
      <c r="B1451" s="125"/>
      <c r="D1451" s="125"/>
      <c r="X1451" s="74"/>
      <c r="AF1451" s="238"/>
    </row>
    <row r="1452" spans="2:32" s="123" customFormat="1">
      <c r="B1452" s="125"/>
      <c r="D1452" s="125"/>
      <c r="X1452" s="74"/>
      <c r="AF1452" s="238"/>
    </row>
    <row r="1453" spans="2:32" s="123" customFormat="1">
      <c r="B1453" s="125"/>
      <c r="D1453" s="125"/>
      <c r="X1453" s="74"/>
      <c r="AF1453" s="238"/>
    </row>
    <row r="1454" spans="2:32" s="123" customFormat="1">
      <c r="B1454" s="125"/>
      <c r="D1454" s="125"/>
      <c r="X1454" s="74"/>
      <c r="AF1454" s="238"/>
    </row>
    <row r="1455" spans="2:32" s="123" customFormat="1">
      <c r="B1455" s="125"/>
      <c r="D1455" s="125"/>
      <c r="X1455" s="74"/>
      <c r="AF1455" s="238"/>
    </row>
    <row r="1456" spans="2:32" s="123" customFormat="1">
      <c r="B1456" s="125"/>
      <c r="D1456" s="125"/>
      <c r="X1456" s="74"/>
      <c r="AF1456" s="238"/>
    </row>
    <row r="1457" spans="2:32" s="123" customFormat="1">
      <c r="B1457" s="125"/>
      <c r="D1457" s="125"/>
      <c r="X1457" s="74"/>
      <c r="AF1457" s="238"/>
    </row>
    <row r="1458" spans="2:32" s="123" customFormat="1">
      <c r="B1458" s="125"/>
      <c r="D1458" s="125"/>
      <c r="X1458" s="74"/>
      <c r="AF1458" s="238"/>
    </row>
    <row r="1459" spans="2:32" s="123" customFormat="1">
      <c r="B1459" s="125"/>
      <c r="D1459" s="125"/>
      <c r="X1459" s="74"/>
      <c r="AF1459" s="238"/>
    </row>
    <row r="1460" spans="2:32" s="123" customFormat="1">
      <c r="B1460" s="125"/>
      <c r="D1460" s="125"/>
      <c r="X1460" s="74"/>
      <c r="AF1460" s="238"/>
    </row>
    <row r="1461" spans="2:32" s="123" customFormat="1">
      <c r="B1461" s="125"/>
      <c r="D1461" s="125"/>
      <c r="X1461" s="74"/>
      <c r="AF1461" s="238"/>
    </row>
    <row r="1462" spans="2:32" s="123" customFormat="1">
      <c r="B1462" s="125"/>
      <c r="D1462" s="125"/>
      <c r="X1462" s="74"/>
      <c r="AF1462" s="238"/>
    </row>
    <row r="1463" spans="2:32" s="123" customFormat="1">
      <c r="B1463" s="125"/>
      <c r="D1463" s="125"/>
      <c r="X1463" s="74"/>
      <c r="AF1463" s="238"/>
    </row>
    <row r="1464" spans="2:32" s="123" customFormat="1">
      <c r="B1464" s="125"/>
      <c r="D1464" s="125"/>
      <c r="X1464" s="74"/>
      <c r="AF1464" s="238"/>
    </row>
    <row r="1465" spans="2:32" s="123" customFormat="1">
      <c r="B1465" s="125"/>
      <c r="D1465" s="125"/>
      <c r="X1465" s="74"/>
      <c r="AF1465" s="238"/>
    </row>
    <row r="1466" spans="2:32" s="123" customFormat="1">
      <c r="B1466" s="125"/>
      <c r="D1466" s="125"/>
      <c r="X1466" s="74"/>
      <c r="AF1466" s="238"/>
    </row>
    <row r="1467" spans="2:32" s="123" customFormat="1">
      <c r="B1467" s="125"/>
      <c r="D1467" s="125"/>
      <c r="X1467" s="74"/>
      <c r="AF1467" s="238"/>
    </row>
    <row r="1468" spans="2:32" s="123" customFormat="1">
      <c r="B1468" s="125"/>
      <c r="D1468" s="125"/>
      <c r="X1468" s="74"/>
      <c r="AF1468" s="238"/>
    </row>
    <row r="1469" spans="2:32" s="123" customFormat="1">
      <c r="B1469" s="125"/>
      <c r="D1469" s="125"/>
      <c r="X1469" s="74"/>
      <c r="AF1469" s="238"/>
    </row>
    <row r="1470" spans="2:32" s="123" customFormat="1">
      <c r="B1470" s="125"/>
      <c r="D1470" s="125"/>
      <c r="X1470" s="74"/>
      <c r="AF1470" s="238"/>
    </row>
    <row r="1471" spans="2:32" s="123" customFormat="1">
      <c r="B1471" s="125"/>
      <c r="D1471" s="125"/>
      <c r="X1471" s="74"/>
      <c r="AF1471" s="238"/>
    </row>
    <row r="1472" spans="2:32" s="123" customFormat="1">
      <c r="B1472" s="125"/>
      <c r="D1472" s="125"/>
      <c r="X1472" s="74"/>
      <c r="AF1472" s="238"/>
    </row>
    <row r="1473" spans="2:32" s="123" customFormat="1">
      <c r="B1473" s="125"/>
      <c r="D1473" s="125"/>
      <c r="X1473" s="74"/>
      <c r="AF1473" s="238"/>
    </row>
    <row r="1474" spans="2:32" s="123" customFormat="1">
      <c r="B1474" s="125"/>
      <c r="D1474" s="125"/>
      <c r="X1474" s="74"/>
      <c r="AF1474" s="238"/>
    </row>
    <row r="1475" spans="2:32" s="123" customFormat="1">
      <c r="B1475" s="125"/>
      <c r="D1475" s="125"/>
      <c r="X1475" s="74"/>
      <c r="AF1475" s="238"/>
    </row>
    <row r="1476" spans="2:32" s="123" customFormat="1">
      <c r="B1476" s="125"/>
      <c r="D1476" s="125"/>
      <c r="X1476" s="74"/>
      <c r="AF1476" s="238"/>
    </row>
    <row r="1477" spans="2:32" s="123" customFormat="1">
      <c r="B1477" s="125"/>
      <c r="D1477" s="125"/>
      <c r="X1477" s="74"/>
      <c r="AF1477" s="238"/>
    </row>
    <row r="1478" spans="2:32" s="123" customFormat="1">
      <c r="B1478" s="125"/>
      <c r="D1478" s="125"/>
      <c r="X1478" s="74"/>
      <c r="AF1478" s="238"/>
    </row>
    <row r="1479" spans="2:32" s="123" customFormat="1">
      <c r="B1479" s="125"/>
      <c r="D1479" s="125"/>
      <c r="X1479" s="74"/>
      <c r="AF1479" s="238"/>
    </row>
    <row r="1480" spans="2:32" s="123" customFormat="1">
      <c r="B1480" s="125"/>
      <c r="D1480" s="125"/>
      <c r="X1480" s="74"/>
      <c r="AF1480" s="238"/>
    </row>
    <row r="1481" spans="2:32" s="123" customFormat="1">
      <c r="B1481" s="125"/>
      <c r="D1481" s="125"/>
      <c r="X1481" s="74"/>
      <c r="AF1481" s="238"/>
    </row>
    <row r="1482" spans="2:32" s="123" customFormat="1">
      <c r="B1482" s="125"/>
      <c r="D1482" s="125"/>
      <c r="X1482" s="74"/>
      <c r="AF1482" s="238"/>
    </row>
    <row r="1483" spans="2:32" s="123" customFormat="1">
      <c r="B1483" s="125"/>
      <c r="D1483" s="125"/>
      <c r="X1483" s="74"/>
      <c r="AF1483" s="238"/>
    </row>
    <row r="1484" spans="2:32" s="123" customFormat="1">
      <c r="B1484" s="125"/>
      <c r="D1484" s="125"/>
      <c r="X1484" s="74"/>
      <c r="AF1484" s="238"/>
    </row>
    <row r="1485" spans="2:32" s="123" customFormat="1">
      <c r="B1485" s="125"/>
      <c r="D1485" s="125"/>
      <c r="X1485" s="74"/>
      <c r="AF1485" s="238"/>
    </row>
    <row r="1486" spans="2:32" s="123" customFormat="1">
      <c r="B1486" s="125"/>
      <c r="D1486" s="125"/>
      <c r="X1486" s="74"/>
      <c r="AF1486" s="238"/>
    </row>
    <row r="1487" spans="2:32" s="123" customFormat="1">
      <c r="B1487" s="125"/>
      <c r="D1487" s="125"/>
      <c r="X1487" s="74"/>
      <c r="AF1487" s="238"/>
    </row>
    <row r="1488" spans="2:32" s="123" customFormat="1">
      <c r="B1488" s="125"/>
      <c r="D1488" s="125"/>
      <c r="X1488" s="74"/>
      <c r="AF1488" s="238"/>
    </row>
    <row r="1489" spans="2:32" s="123" customFormat="1">
      <c r="B1489" s="125"/>
      <c r="D1489" s="125"/>
      <c r="X1489" s="74"/>
      <c r="AF1489" s="238"/>
    </row>
    <row r="1490" spans="2:32" s="123" customFormat="1">
      <c r="B1490" s="125"/>
      <c r="D1490" s="125"/>
      <c r="X1490" s="74"/>
      <c r="AF1490" s="238"/>
    </row>
    <row r="1491" spans="2:32" s="123" customFormat="1">
      <c r="B1491" s="125"/>
      <c r="D1491" s="125"/>
      <c r="X1491" s="74"/>
      <c r="AF1491" s="238"/>
    </row>
    <row r="1492" spans="2:32" s="123" customFormat="1">
      <c r="B1492" s="125"/>
      <c r="D1492" s="125"/>
      <c r="X1492" s="74"/>
      <c r="AF1492" s="238"/>
    </row>
  </sheetData>
  <mergeCells count="18">
    <mergeCell ref="B1:Z1"/>
    <mergeCell ref="B2:Z2"/>
    <mergeCell ref="B3:Z3"/>
    <mergeCell ref="B4:Z4"/>
    <mergeCell ref="W10:Z10"/>
    <mergeCell ref="BG10:BH10"/>
    <mergeCell ref="B238:I238"/>
    <mergeCell ref="B239:E239"/>
    <mergeCell ref="B240:Z240"/>
    <mergeCell ref="AI10:AL10"/>
    <mergeCell ref="AM10:AP10"/>
    <mergeCell ref="AQ10:AT10"/>
    <mergeCell ref="AU10:AX10"/>
    <mergeCell ref="AY10:BB10"/>
    <mergeCell ref="BC10:BF10"/>
    <mergeCell ref="B5:AC6"/>
    <mergeCell ref="AA10:AD10"/>
    <mergeCell ref="AE10:AH10"/>
  </mergeCells>
  <conditionalFormatting sqref="D12:D69">
    <cfRule type="duplicateValues" dxfId="62" priority="14"/>
  </conditionalFormatting>
  <conditionalFormatting sqref="D71:D76">
    <cfRule type="duplicateValues" dxfId="61" priority="13"/>
  </conditionalFormatting>
  <conditionalFormatting sqref="D71:D76">
    <cfRule type="duplicateValues" dxfId="60" priority="12"/>
  </conditionalFormatting>
  <conditionalFormatting sqref="D70">
    <cfRule type="duplicateValues" dxfId="59" priority="15"/>
  </conditionalFormatting>
  <conditionalFormatting sqref="D12:D70">
    <cfRule type="duplicateValues" dxfId="58" priority="16"/>
  </conditionalFormatting>
  <conditionalFormatting sqref="D167">
    <cfRule type="duplicateValues" dxfId="57" priority="10"/>
  </conditionalFormatting>
  <conditionalFormatting sqref="D168:D176">
    <cfRule type="duplicateValues" dxfId="56" priority="11"/>
  </conditionalFormatting>
  <conditionalFormatting sqref="D177:D178">
    <cfRule type="duplicateValues" dxfId="55" priority="9"/>
  </conditionalFormatting>
  <conditionalFormatting sqref="D180">
    <cfRule type="duplicateValues" dxfId="54" priority="8"/>
  </conditionalFormatting>
  <conditionalFormatting sqref="D182:D183">
    <cfRule type="duplicateValues" dxfId="53" priority="7"/>
  </conditionalFormatting>
  <conditionalFormatting sqref="D184:D188">
    <cfRule type="duplicateValues" dxfId="52" priority="6"/>
  </conditionalFormatting>
  <conditionalFormatting sqref="D179 D131:D166 D181">
    <cfRule type="duplicateValues" dxfId="51" priority="17"/>
  </conditionalFormatting>
  <conditionalFormatting sqref="D190:D193">
    <cfRule type="duplicateValues" dxfId="50" priority="5"/>
  </conditionalFormatting>
  <conditionalFormatting sqref="D222">
    <cfRule type="duplicateValues" dxfId="49" priority="3"/>
  </conditionalFormatting>
  <conditionalFormatting sqref="D224">
    <cfRule type="duplicateValues" dxfId="48" priority="2"/>
  </conditionalFormatting>
  <conditionalFormatting sqref="D223">
    <cfRule type="duplicateValues" dxfId="47" priority="4"/>
  </conditionalFormatting>
  <conditionalFormatting sqref="D225">
    <cfRule type="duplicateValues" dxfId="46" priority="1"/>
  </conditionalFormatting>
  <conditionalFormatting sqref="D189 D194:D221 D226:D237">
    <cfRule type="duplicateValues" dxfId="45" priority="18"/>
  </conditionalFormatting>
  <pageMargins left="0.7" right="0.7" top="0.75" bottom="0.75" header="0.3" footer="0.3"/>
  <ignoredErrors>
    <ignoredError sqref="V12:V235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223"/>
  <sheetViews>
    <sheetView topLeftCell="W72" workbookViewId="0">
      <selection activeCell="AJ82" sqref="AJ82"/>
    </sheetView>
  </sheetViews>
  <sheetFormatPr baseColWidth="10" defaultRowHeight="11.25"/>
  <cols>
    <col min="1" max="1" width="5" style="123" customWidth="1"/>
    <col min="2" max="2" width="10.140625" style="86" customWidth="1"/>
    <col min="3" max="3" width="9.85546875" style="83" customWidth="1"/>
    <col min="4" max="4" width="11.42578125" style="86" customWidth="1"/>
    <col min="5" max="5" width="37" style="83" customWidth="1"/>
    <col min="6" max="6" width="13.140625" style="83" customWidth="1"/>
    <col min="7" max="7" width="11.28515625" style="83" customWidth="1"/>
    <col min="8" max="8" width="18.85546875" style="83" customWidth="1"/>
    <col min="9" max="9" width="9.7109375" style="83" customWidth="1"/>
    <col min="10" max="10" width="12.85546875" style="83" customWidth="1"/>
    <col min="11" max="13" width="12" style="83" customWidth="1"/>
    <col min="14" max="15" width="12.85546875" style="83" bestFit="1" customWidth="1"/>
    <col min="16" max="21" width="12" style="83" customWidth="1"/>
    <col min="22" max="22" width="14.140625" style="83" customWidth="1"/>
    <col min="23" max="23" width="12.42578125" style="83" customWidth="1"/>
    <col min="24" max="24" width="10.140625" style="60" customWidth="1"/>
    <col min="25" max="25" width="13.42578125" style="83" customWidth="1"/>
    <col min="26" max="26" width="13" style="83" customWidth="1"/>
    <col min="27" max="27" width="11.85546875" style="83" customWidth="1"/>
    <col min="28" max="28" width="10.140625" style="84" customWidth="1"/>
    <col min="29" max="29" width="13" style="83" customWidth="1"/>
    <col min="30" max="30" width="12.140625" style="83" customWidth="1"/>
    <col min="31" max="31" width="10.140625" style="83" customWidth="1"/>
    <col min="32" max="32" width="10.140625" style="60" customWidth="1"/>
    <col min="33" max="33" width="12.140625" style="83" customWidth="1"/>
    <col min="34" max="34" width="12.7109375" style="83" customWidth="1"/>
    <col min="35" max="35" width="10.140625" style="83" customWidth="1"/>
    <col min="36" max="36" width="10.140625" style="60" customWidth="1"/>
    <col min="37" max="39" width="10.140625" style="83" customWidth="1"/>
    <col min="40" max="40" width="10.140625" style="60" customWidth="1"/>
    <col min="41" max="42" width="10.140625" style="83" customWidth="1"/>
    <col min="43" max="43" width="11.85546875" style="83" bestFit="1" customWidth="1"/>
    <col min="44" max="44" width="12.7109375" style="83" customWidth="1"/>
    <col min="45" max="74" width="11.42578125" style="123"/>
    <col min="75" max="16384" width="11.42578125" style="83"/>
  </cols>
  <sheetData>
    <row r="1" spans="1:74" hidden="1">
      <c r="B1" s="738"/>
      <c r="C1" s="738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80"/>
      <c r="AB1" s="81"/>
      <c r="AC1" s="80"/>
      <c r="AD1" s="80"/>
      <c r="AE1" s="80"/>
      <c r="AF1" s="82"/>
      <c r="AG1" s="80"/>
      <c r="AH1" s="80"/>
      <c r="AI1" s="80"/>
      <c r="AJ1" s="82"/>
      <c r="AK1" s="80"/>
      <c r="AL1" s="80"/>
      <c r="AM1" s="80"/>
      <c r="AN1" s="82"/>
      <c r="AO1" s="80"/>
      <c r="AP1" s="80"/>
    </row>
    <row r="2" spans="1:74" hidden="1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80"/>
      <c r="AB2" s="81"/>
      <c r="AC2" s="80"/>
      <c r="AD2" s="80"/>
      <c r="AE2" s="80"/>
      <c r="AF2" s="82"/>
      <c r="AG2" s="80"/>
      <c r="AH2" s="80"/>
      <c r="AI2" s="80"/>
      <c r="AJ2" s="82"/>
      <c r="AK2" s="80"/>
      <c r="AL2" s="80"/>
      <c r="AM2" s="80"/>
      <c r="AN2" s="82"/>
      <c r="AO2" s="80"/>
      <c r="AP2" s="80"/>
    </row>
    <row r="3" spans="1:74" ht="12.75" hidden="1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1"/>
      <c r="AB3" s="2"/>
      <c r="AC3" s="1"/>
      <c r="AD3" s="1"/>
      <c r="AE3" s="1"/>
      <c r="AF3" s="3"/>
      <c r="AG3" s="1"/>
      <c r="AH3" s="1"/>
      <c r="AI3" s="1"/>
      <c r="AJ3" s="3"/>
      <c r="AK3" s="1"/>
      <c r="AL3" s="1"/>
      <c r="AM3" s="1"/>
      <c r="AN3" s="3"/>
      <c r="AO3" s="1"/>
      <c r="AP3" s="1"/>
    </row>
    <row r="4" spans="1:74" ht="21.75" hidden="1" customHeight="1"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1"/>
      <c r="AB4" s="2"/>
      <c r="AC4" s="1"/>
      <c r="AD4" s="1"/>
      <c r="AE4" s="1"/>
      <c r="AF4" s="3"/>
      <c r="AG4" s="1"/>
      <c r="AH4" s="1"/>
      <c r="AI4" s="1"/>
      <c r="AJ4" s="3"/>
      <c r="AK4" s="1"/>
      <c r="AL4" s="1"/>
      <c r="AM4" s="1"/>
      <c r="AN4" s="3"/>
      <c r="AO4" s="1"/>
      <c r="AP4" s="1"/>
    </row>
    <row r="5" spans="1:74" ht="11.25" hidden="1" customHeight="1"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1"/>
      <c r="AB5" s="2"/>
      <c r="AC5" s="1"/>
      <c r="AD5" s="1"/>
      <c r="AE5" s="1"/>
      <c r="AF5" s="3"/>
      <c r="AG5" s="1"/>
      <c r="AH5" s="1"/>
      <c r="AI5" s="1"/>
      <c r="AJ5" s="3"/>
      <c r="AK5" s="1"/>
      <c r="AL5" s="1"/>
      <c r="AM5" s="1"/>
      <c r="AN5" s="3"/>
      <c r="AO5" s="1"/>
      <c r="AP5" s="1"/>
    </row>
    <row r="6" spans="1:74" ht="15" hidden="1" customHeight="1"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1"/>
      <c r="AB6" s="2"/>
      <c r="AC6" s="1"/>
      <c r="AD6" s="1"/>
      <c r="AE6" s="1"/>
      <c r="AF6" s="3"/>
      <c r="AG6" s="1"/>
      <c r="AH6" s="1"/>
      <c r="AI6" s="1"/>
      <c r="AJ6" s="3"/>
      <c r="AK6" s="1"/>
      <c r="AL6" s="1"/>
      <c r="AM6" s="1"/>
      <c r="AN6" s="3"/>
      <c r="AO6" s="1"/>
      <c r="AP6" s="1"/>
    </row>
    <row r="7" spans="1:74" ht="21" hidden="1" customHeight="1"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1"/>
      <c r="AB7" s="2"/>
      <c r="AC7" s="1"/>
      <c r="AD7" s="1"/>
      <c r="AE7" s="1"/>
      <c r="AF7" s="3"/>
      <c r="AG7" s="1"/>
      <c r="AH7" s="1"/>
      <c r="AI7" s="1"/>
      <c r="AJ7" s="3"/>
      <c r="AK7" s="1"/>
      <c r="AL7" s="1"/>
      <c r="AM7" s="1"/>
      <c r="AN7" s="3"/>
      <c r="AO7" s="1"/>
      <c r="AP7" s="1"/>
    </row>
    <row r="8" spans="1:74" ht="16.5" hidden="1" customHeight="1"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1"/>
      <c r="AB8" s="2"/>
      <c r="AC8" s="1"/>
      <c r="AD8" s="1"/>
      <c r="AE8" s="1"/>
      <c r="AF8" s="3"/>
      <c r="AG8" s="1"/>
      <c r="AH8" s="1"/>
      <c r="AI8" s="1"/>
      <c r="AJ8" s="3"/>
      <c r="AK8" s="1"/>
      <c r="AL8" s="1"/>
      <c r="AM8" s="1"/>
      <c r="AN8" s="3"/>
      <c r="AO8" s="1"/>
      <c r="AP8" s="1"/>
    </row>
    <row r="9" spans="1:74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61"/>
      <c r="AE9" s="61"/>
      <c r="AF9" s="63"/>
      <c r="AG9" s="61"/>
      <c r="AH9" s="61"/>
      <c r="AI9" s="61"/>
      <c r="AJ9" s="63"/>
      <c r="AK9" s="61"/>
      <c r="AL9" s="61"/>
      <c r="AM9" s="61"/>
      <c r="AN9" s="63"/>
      <c r="AO9" s="61"/>
      <c r="AP9" s="61"/>
      <c r="AQ9" s="123"/>
      <c r="AR9" s="123"/>
    </row>
    <row r="10" spans="1:74" ht="11.25" customHeight="1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D10" s="123"/>
      <c r="AE10" s="123"/>
      <c r="AF10" s="74"/>
      <c r="AG10" s="123"/>
      <c r="AH10" s="123"/>
      <c r="AI10" s="123"/>
      <c r="AJ10" s="74"/>
      <c r="AK10" s="123"/>
      <c r="AL10" s="123"/>
      <c r="AM10" s="123"/>
      <c r="AN10" s="74"/>
      <c r="AO10" s="123"/>
      <c r="AP10" s="123"/>
      <c r="AQ10" s="123"/>
      <c r="AR10" s="123"/>
    </row>
    <row r="11" spans="1:74" ht="18.75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123"/>
      <c r="AB11" s="124"/>
      <c r="AC11" s="123"/>
      <c r="AD11" s="123"/>
      <c r="AE11" s="123"/>
      <c r="AF11" s="74"/>
      <c r="AG11" s="123"/>
      <c r="AH11" s="123"/>
      <c r="AI11" s="123"/>
      <c r="AJ11" s="74"/>
      <c r="AK11" s="123"/>
      <c r="AL11" s="123"/>
      <c r="AM11" s="123"/>
      <c r="AN11" s="74"/>
      <c r="AO11" s="123"/>
      <c r="AP11" s="123"/>
      <c r="AQ11" s="123"/>
      <c r="AR11" s="123"/>
    </row>
    <row r="12" spans="1:74" ht="22.5">
      <c r="B12" s="4" t="s">
        <v>1</v>
      </c>
      <c r="C12" s="4" t="s">
        <v>2</v>
      </c>
      <c r="D12" s="5" t="s">
        <v>3</v>
      </c>
      <c r="E12" s="6" t="s">
        <v>4</v>
      </c>
      <c r="F12" s="7"/>
      <c r="G12" s="65"/>
      <c r="H12" s="65"/>
      <c r="I12" s="65"/>
      <c r="J12" s="65"/>
      <c r="K12" s="65"/>
      <c r="L12" s="65"/>
      <c r="M12" s="65"/>
      <c r="N12" s="21"/>
      <c r="O12" s="65"/>
      <c r="P12" s="21"/>
      <c r="Q12" s="21"/>
      <c r="R12" s="65"/>
      <c r="S12" s="65"/>
      <c r="T12" s="65"/>
      <c r="U12" s="65"/>
      <c r="V12" s="65"/>
      <c r="W12" s="65"/>
      <c r="X12" s="65"/>
      <c r="Y12" s="65"/>
      <c r="Z12" s="65"/>
      <c r="AA12" s="123"/>
      <c r="AB12" s="124"/>
      <c r="AC12" s="123"/>
      <c r="AD12" s="123"/>
      <c r="AE12" s="123"/>
      <c r="AF12" s="74"/>
      <c r="AG12" s="123"/>
      <c r="AH12" s="123"/>
      <c r="AI12" s="123"/>
      <c r="AJ12" s="74"/>
      <c r="AK12" s="123"/>
      <c r="AL12" s="123"/>
      <c r="AM12" s="123"/>
      <c r="AN12" s="74"/>
      <c r="AO12" s="123"/>
      <c r="AP12" s="123"/>
      <c r="AQ12" s="123"/>
      <c r="AR12" s="123"/>
    </row>
    <row r="13" spans="1:74" ht="18.75">
      <c r="B13" s="8">
        <v>42725793</v>
      </c>
      <c r="C13" s="8">
        <v>64002226</v>
      </c>
      <c r="D13" s="8">
        <v>34241499</v>
      </c>
      <c r="E13" s="8">
        <f>+V99</f>
        <v>16130302</v>
      </c>
      <c r="F13" s="67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123"/>
      <c r="AB13" s="124"/>
      <c r="AC13" s="123"/>
      <c r="AD13" s="123"/>
      <c r="AE13" s="123"/>
      <c r="AF13" s="74"/>
      <c r="AG13" s="123"/>
      <c r="AH13" s="123"/>
      <c r="AI13" s="123"/>
      <c r="AJ13" s="74"/>
      <c r="AK13" s="123"/>
      <c r="AL13" s="123"/>
      <c r="AM13" s="123"/>
      <c r="AN13" s="74"/>
      <c r="AO13" s="123"/>
      <c r="AP13" s="123"/>
      <c r="AQ13" s="123"/>
      <c r="AR13" s="123"/>
    </row>
    <row r="14" spans="1:74" ht="15" customHeight="1">
      <c r="B14" s="125"/>
      <c r="C14" s="68"/>
      <c r="D14" s="69"/>
      <c r="E14" s="68"/>
      <c r="F14" s="68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742" t="s">
        <v>5</v>
      </c>
      <c r="X14" s="743"/>
      <c r="Y14" s="743"/>
      <c r="Z14" s="744"/>
      <c r="AA14" s="745" t="s">
        <v>6</v>
      </c>
      <c r="AB14" s="746"/>
      <c r="AC14" s="746"/>
      <c r="AD14" s="747"/>
      <c r="AE14" s="745" t="s">
        <v>6</v>
      </c>
      <c r="AF14" s="746"/>
      <c r="AG14" s="746"/>
      <c r="AH14" s="747"/>
      <c r="AI14" s="745" t="s">
        <v>6</v>
      </c>
      <c r="AJ14" s="746"/>
      <c r="AK14" s="746"/>
      <c r="AL14" s="747"/>
      <c r="AM14" s="745" t="s">
        <v>6</v>
      </c>
      <c r="AN14" s="746"/>
      <c r="AO14" s="746"/>
      <c r="AP14" s="747"/>
      <c r="AQ14" s="729" t="s">
        <v>7</v>
      </c>
      <c r="AR14" s="729"/>
    </row>
    <row r="15" spans="1:74" s="96" customFormat="1" ht="55.5" customHeight="1">
      <c r="A15" s="39"/>
      <c r="B15" s="11" t="s">
        <v>8</v>
      </c>
      <c r="C15" s="160" t="s">
        <v>9</v>
      </c>
      <c r="D15" s="160" t="s">
        <v>10</v>
      </c>
      <c r="E15" s="12" t="s">
        <v>11</v>
      </c>
      <c r="F15" s="4" t="s">
        <v>12</v>
      </c>
      <c r="G15" s="12" t="s">
        <v>13</v>
      </c>
      <c r="H15" s="4" t="s">
        <v>14</v>
      </c>
      <c r="I15" s="12" t="s">
        <v>15</v>
      </c>
      <c r="J15" s="12" t="s">
        <v>16</v>
      </c>
      <c r="K15" s="161" t="s">
        <v>17</v>
      </c>
      <c r="L15" s="161" t="s">
        <v>18</v>
      </c>
      <c r="M15" s="162" t="s">
        <v>19</v>
      </c>
      <c r="N15" s="162" t="s">
        <v>20</v>
      </c>
      <c r="O15" s="162" t="s">
        <v>21</v>
      </c>
      <c r="P15" s="162" t="s">
        <v>22</v>
      </c>
      <c r="Q15" s="162" t="s">
        <v>23</v>
      </c>
      <c r="R15" s="531" t="s">
        <v>24</v>
      </c>
      <c r="S15" s="531" t="s">
        <v>25</v>
      </c>
      <c r="T15" s="531" t="s">
        <v>26</v>
      </c>
      <c r="U15" s="531" t="s">
        <v>27</v>
      </c>
      <c r="V15" s="531" t="s">
        <v>31</v>
      </c>
      <c r="W15" s="16" t="s">
        <v>32</v>
      </c>
      <c r="X15" s="17" t="s">
        <v>33</v>
      </c>
      <c r="Y15" s="16" t="s">
        <v>34</v>
      </c>
      <c r="Z15" s="16" t="s">
        <v>35</v>
      </c>
      <c r="AA15" s="18" t="s">
        <v>36</v>
      </c>
      <c r="AB15" s="19" t="s">
        <v>33</v>
      </c>
      <c r="AC15" s="18" t="s">
        <v>34</v>
      </c>
      <c r="AD15" s="18" t="s">
        <v>35</v>
      </c>
      <c r="AE15" s="18" t="s">
        <v>36</v>
      </c>
      <c r="AF15" s="19" t="s">
        <v>33</v>
      </c>
      <c r="AG15" s="18" t="s">
        <v>34</v>
      </c>
      <c r="AH15" s="18" t="s">
        <v>35</v>
      </c>
      <c r="AI15" s="18" t="s">
        <v>36</v>
      </c>
      <c r="AJ15" s="19" t="s">
        <v>33</v>
      </c>
      <c r="AK15" s="18" t="s">
        <v>34</v>
      </c>
      <c r="AL15" s="18" t="s">
        <v>35</v>
      </c>
      <c r="AM15" s="18" t="s">
        <v>36</v>
      </c>
      <c r="AN15" s="19" t="s">
        <v>33</v>
      </c>
      <c r="AO15" s="18" t="s">
        <v>34</v>
      </c>
      <c r="AP15" s="18" t="s">
        <v>35</v>
      </c>
      <c r="AQ15" s="20" t="s">
        <v>37</v>
      </c>
      <c r="AR15" s="20" t="s">
        <v>38</v>
      </c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</row>
    <row r="16" spans="1:74" s="39" customFormat="1" ht="22.5">
      <c r="B16" s="534">
        <v>1</v>
      </c>
      <c r="C16" s="535" t="s">
        <v>65</v>
      </c>
      <c r="D16" s="536">
        <v>30291280</v>
      </c>
      <c r="E16" s="596" t="s">
        <v>2382</v>
      </c>
      <c r="F16" s="538" t="s">
        <v>2383</v>
      </c>
      <c r="G16" s="539" t="s">
        <v>2384</v>
      </c>
      <c r="H16" s="540" t="s">
        <v>2385</v>
      </c>
      <c r="I16" s="541" t="s">
        <v>44</v>
      </c>
      <c r="J16" s="542">
        <v>75059</v>
      </c>
      <c r="K16" s="543">
        <v>32259</v>
      </c>
      <c r="L16" s="543">
        <v>0</v>
      </c>
      <c r="M16" s="544">
        <v>0</v>
      </c>
      <c r="N16" s="544">
        <v>0</v>
      </c>
      <c r="O16" s="544">
        <v>0</v>
      </c>
      <c r="P16" s="544">
        <v>0</v>
      </c>
      <c r="Q16" s="544">
        <v>0</v>
      </c>
      <c r="R16" s="544">
        <v>0</v>
      </c>
      <c r="S16" s="545"/>
      <c r="T16" s="545"/>
      <c r="U16" s="545"/>
      <c r="V16" s="546">
        <f>SUM(M16:U16)</f>
        <v>0</v>
      </c>
      <c r="W16" s="547">
        <v>42800</v>
      </c>
      <c r="X16" s="32">
        <v>1</v>
      </c>
      <c r="Y16" s="33">
        <v>44218</v>
      </c>
      <c r="Z16" s="33">
        <v>44246</v>
      </c>
      <c r="AA16" s="34"/>
      <c r="AB16" s="35"/>
      <c r="AC16" s="33"/>
      <c r="AD16" s="36"/>
      <c r="AE16" s="34"/>
      <c r="AF16" s="35"/>
      <c r="AG16" s="35"/>
      <c r="AH16" s="548"/>
      <c r="AI16" s="31"/>
      <c r="AJ16" s="35"/>
      <c r="AK16" s="35"/>
      <c r="AL16" s="548"/>
      <c r="AM16" s="31"/>
      <c r="AN16" s="35"/>
      <c r="AO16" s="35"/>
      <c r="AP16" s="548"/>
      <c r="AQ16" s="549">
        <f t="shared" ref="AQ16:AQ79" si="0">+W16+AA16+AE16+AI16+AM16</f>
        <v>42800</v>
      </c>
      <c r="AR16" s="550">
        <f t="shared" ref="AR16:AR24" si="1">+AQ16-V16</f>
        <v>42800</v>
      </c>
    </row>
    <row r="17" spans="2:44" s="39" customFormat="1">
      <c r="B17" s="534">
        <v>2</v>
      </c>
      <c r="C17" s="535" t="s">
        <v>65</v>
      </c>
      <c r="D17" s="551">
        <v>40010579</v>
      </c>
      <c r="E17" s="596" t="s">
        <v>2386</v>
      </c>
      <c r="F17" s="553" t="s">
        <v>2383</v>
      </c>
      <c r="G17" s="554" t="s">
        <v>2384</v>
      </c>
      <c r="H17" s="552" t="s">
        <v>2385</v>
      </c>
      <c r="I17" s="555" t="s">
        <v>44</v>
      </c>
      <c r="J17" s="556">
        <v>90162</v>
      </c>
      <c r="K17" s="557">
        <v>35955</v>
      </c>
      <c r="L17" s="543">
        <v>0</v>
      </c>
      <c r="M17" s="34">
        <v>0</v>
      </c>
      <c r="N17" s="34">
        <v>0</v>
      </c>
      <c r="O17" s="34">
        <v>17069</v>
      </c>
      <c r="P17" s="544">
        <v>0</v>
      </c>
      <c r="Q17" s="544">
        <v>0</v>
      </c>
      <c r="R17" s="544">
        <v>0</v>
      </c>
      <c r="S17" s="34"/>
      <c r="T17" s="34"/>
      <c r="U17" s="34"/>
      <c r="V17" s="546">
        <f t="shared" ref="V17:V80" si="2">SUM(M17:U17)</f>
        <v>17069</v>
      </c>
      <c r="W17" s="558">
        <v>54207</v>
      </c>
      <c r="X17" s="32">
        <v>1</v>
      </c>
      <c r="Y17" s="33">
        <v>44218</v>
      </c>
      <c r="Z17" s="33">
        <v>44246</v>
      </c>
      <c r="AA17" s="34"/>
      <c r="AB17" s="35"/>
      <c r="AC17" s="33"/>
      <c r="AD17" s="36"/>
      <c r="AE17" s="34"/>
      <c r="AF17" s="35"/>
      <c r="AG17" s="35"/>
      <c r="AH17" s="548"/>
      <c r="AI17" s="31"/>
      <c r="AJ17" s="35"/>
      <c r="AK17" s="35"/>
      <c r="AL17" s="548"/>
      <c r="AM17" s="31"/>
      <c r="AN17" s="35"/>
      <c r="AO17" s="35"/>
      <c r="AP17" s="548"/>
      <c r="AQ17" s="549">
        <f t="shared" si="0"/>
        <v>54207</v>
      </c>
      <c r="AR17" s="550">
        <f t="shared" si="1"/>
        <v>37138</v>
      </c>
    </row>
    <row r="18" spans="2:44" s="39" customFormat="1" ht="22.5">
      <c r="B18" s="559">
        <f>+B17+1</f>
        <v>3</v>
      </c>
      <c r="C18" s="560" t="s">
        <v>39</v>
      </c>
      <c r="D18" s="561">
        <v>20189906</v>
      </c>
      <c r="E18" s="596" t="s">
        <v>2387</v>
      </c>
      <c r="F18" s="562" t="s">
        <v>47</v>
      </c>
      <c r="G18" s="539" t="s">
        <v>2384</v>
      </c>
      <c r="H18" s="540" t="s">
        <v>2388</v>
      </c>
      <c r="I18" s="541" t="s">
        <v>44</v>
      </c>
      <c r="J18" s="542">
        <v>170711</v>
      </c>
      <c r="K18" s="543">
        <v>52318</v>
      </c>
      <c r="L18" s="543">
        <v>0</v>
      </c>
      <c r="M18" s="34">
        <v>0</v>
      </c>
      <c r="N18" s="546">
        <v>30900</v>
      </c>
      <c r="O18" s="34">
        <v>0</v>
      </c>
      <c r="P18" s="544">
        <v>0</v>
      </c>
      <c r="Q18" s="544">
        <v>0</v>
      </c>
      <c r="R18" s="34">
        <v>0</v>
      </c>
      <c r="S18" s="546"/>
      <c r="T18" s="546"/>
      <c r="U18" s="546">
        <v>23175</v>
      </c>
      <c r="V18" s="546">
        <f t="shared" si="2"/>
        <v>54075</v>
      </c>
      <c r="W18" s="547">
        <v>118393</v>
      </c>
      <c r="X18" s="32">
        <v>1</v>
      </c>
      <c r="Y18" s="33">
        <v>44218</v>
      </c>
      <c r="Z18" s="33">
        <v>44246</v>
      </c>
      <c r="AA18" s="34"/>
      <c r="AB18" s="35"/>
      <c r="AC18" s="27"/>
      <c r="AD18" s="33"/>
      <c r="AE18" s="557"/>
      <c r="AF18" s="32"/>
      <c r="AG18" s="27"/>
      <c r="AH18" s="33"/>
      <c r="AI18" s="506"/>
      <c r="AJ18" s="32"/>
      <c r="AK18" s="27"/>
      <c r="AL18" s="33"/>
      <c r="AM18" s="31"/>
      <c r="AN18" s="32"/>
      <c r="AO18" s="27"/>
      <c r="AP18" s="36"/>
      <c r="AQ18" s="549">
        <f t="shared" si="0"/>
        <v>118393</v>
      </c>
      <c r="AR18" s="550">
        <f t="shared" si="1"/>
        <v>64318</v>
      </c>
    </row>
    <row r="19" spans="2:44" s="39" customFormat="1" ht="22.5">
      <c r="B19" s="559">
        <f t="shared" ref="B19:B82" si="3">+B18+1</f>
        <v>4</v>
      </c>
      <c r="C19" s="534" t="s">
        <v>39</v>
      </c>
      <c r="D19" s="563">
        <v>30075319</v>
      </c>
      <c r="E19" s="596" t="s">
        <v>2389</v>
      </c>
      <c r="F19" s="564" t="s">
        <v>317</v>
      </c>
      <c r="G19" s="554" t="s">
        <v>2384</v>
      </c>
      <c r="H19" s="552" t="s">
        <v>2390</v>
      </c>
      <c r="I19" s="555" t="s">
        <v>44</v>
      </c>
      <c r="J19" s="556">
        <v>9256288</v>
      </c>
      <c r="K19" s="557">
        <v>6449697</v>
      </c>
      <c r="L19" s="557">
        <v>0</v>
      </c>
      <c r="M19" s="34">
        <v>0</v>
      </c>
      <c r="N19" s="34">
        <v>0</v>
      </c>
      <c r="O19" s="34">
        <v>0</v>
      </c>
      <c r="P19" s="34"/>
      <c r="Q19" s="34">
        <v>72632</v>
      </c>
      <c r="R19" s="565">
        <v>353024</v>
      </c>
      <c r="S19" s="566"/>
      <c r="T19" s="566"/>
      <c r="U19" s="565"/>
      <c r="V19" s="546">
        <f t="shared" si="2"/>
        <v>425656</v>
      </c>
      <c r="W19" s="558">
        <v>775569</v>
      </c>
      <c r="X19" s="32">
        <v>1</v>
      </c>
      <c r="Y19" s="33">
        <v>44218</v>
      </c>
      <c r="Z19" s="33">
        <v>44246</v>
      </c>
      <c r="AA19" s="34">
        <v>360930</v>
      </c>
      <c r="AB19" s="32">
        <v>31</v>
      </c>
      <c r="AC19" s="33">
        <v>44293</v>
      </c>
      <c r="AD19" s="33">
        <v>44307</v>
      </c>
      <c r="AE19" s="557"/>
      <c r="AF19" s="32"/>
      <c r="AG19" s="27"/>
      <c r="AH19" s="33"/>
      <c r="AI19" s="506"/>
      <c r="AJ19" s="32"/>
      <c r="AK19" s="27"/>
      <c r="AL19" s="33"/>
      <c r="AM19" s="31"/>
      <c r="AN19" s="32"/>
      <c r="AO19" s="27"/>
      <c r="AP19" s="36"/>
      <c r="AQ19" s="549">
        <f t="shared" si="0"/>
        <v>1136499</v>
      </c>
      <c r="AR19" s="550">
        <f t="shared" si="1"/>
        <v>710843</v>
      </c>
    </row>
    <row r="20" spans="2:44" s="39" customFormat="1" ht="22.5">
      <c r="B20" s="559">
        <f t="shared" si="3"/>
        <v>5</v>
      </c>
      <c r="C20" s="534" t="s">
        <v>39</v>
      </c>
      <c r="D20" s="567">
        <v>30081093</v>
      </c>
      <c r="E20" s="596" t="s">
        <v>2391</v>
      </c>
      <c r="F20" s="568" t="s">
        <v>317</v>
      </c>
      <c r="G20" s="539" t="s">
        <v>2384</v>
      </c>
      <c r="H20" s="540" t="s">
        <v>2392</v>
      </c>
      <c r="I20" s="555" t="s">
        <v>44</v>
      </c>
      <c r="J20" s="542">
        <v>8503455</v>
      </c>
      <c r="K20" s="557">
        <v>8412550</v>
      </c>
      <c r="L20" s="557">
        <v>0</v>
      </c>
      <c r="M20" s="34">
        <v>0</v>
      </c>
      <c r="N20" s="34">
        <v>4500</v>
      </c>
      <c r="O20" s="34">
        <v>0</v>
      </c>
      <c r="P20" s="34">
        <v>0</v>
      </c>
      <c r="Q20" s="34">
        <v>0</v>
      </c>
      <c r="R20" s="34">
        <v>0</v>
      </c>
      <c r="S20" s="34"/>
      <c r="T20" s="34"/>
      <c r="U20" s="34"/>
      <c r="V20" s="546">
        <f t="shared" si="2"/>
        <v>4500</v>
      </c>
      <c r="W20" s="569">
        <v>28491</v>
      </c>
      <c r="X20" s="32">
        <v>1</v>
      </c>
      <c r="Y20" s="33">
        <v>44218</v>
      </c>
      <c r="Z20" s="33">
        <v>44246</v>
      </c>
      <c r="AA20" s="34"/>
      <c r="AB20" s="35"/>
      <c r="AC20" s="27"/>
      <c r="AD20" s="33"/>
      <c r="AE20" s="557"/>
      <c r="AF20" s="32"/>
      <c r="AG20" s="27"/>
      <c r="AH20" s="33"/>
      <c r="AI20" s="506"/>
      <c r="AJ20" s="32"/>
      <c r="AK20" s="27"/>
      <c r="AL20" s="33"/>
      <c r="AM20" s="31"/>
      <c r="AN20" s="32"/>
      <c r="AO20" s="27"/>
      <c r="AP20" s="36"/>
      <c r="AQ20" s="549">
        <f t="shared" si="0"/>
        <v>28491</v>
      </c>
      <c r="AR20" s="550">
        <f t="shared" si="1"/>
        <v>23991</v>
      </c>
    </row>
    <row r="21" spans="2:44" s="39" customFormat="1">
      <c r="B21" s="559">
        <f t="shared" si="3"/>
        <v>6</v>
      </c>
      <c r="C21" s="534" t="s">
        <v>39</v>
      </c>
      <c r="D21" s="563">
        <v>30102353</v>
      </c>
      <c r="E21" s="596" t="s">
        <v>2393</v>
      </c>
      <c r="F21" s="570" t="s">
        <v>47</v>
      </c>
      <c r="G21" s="554" t="s">
        <v>2384</v>
      </c>
      <c r="H21" s="552" t="s">
        <v>2394</v>
      </c>
      <c r="I21" s="555" t="s">
        <v>44</v>
      </c>
      <c r="J21" s="556">
        <v>386188</v>
      </c>
      <c r="K21" s="557">
        <v>356199</v>
      </c>
      <c r="L21" s="557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/>
      <c r="T21" s="34"/>
      <c r="U21" s="34"/>
      <c r="V21" s="546">
        <f t="shared" si="2"/>
        <v>0</v>
      </c>
      <c r="W21" s="571">
        <v>27000</v>
      </c>
      <c r="X21" s="32">
        <v>1</v>
      </c>
      <c r="Y21" s="33">
        <v>44218</v>
      </c>
      <c r="Z21" s="33">
        <v>44246</v>
      </c>
      <c r="AA21" s="34"/>
      <c r="AB21" s="35"/>
      <c r="AC21" s="27"/>
      <c r="AD21" s="33"/>
      <c r="AE21" s="557"/>
      <c r="AF21" s="32"/>
      <c r="AG21" s="27"/>
      <c r="AH21" s="33"/>
      <c r="AI21" s="506"/>
      <c r="AJ21" s="32"/>
      <c r="AK21" s="27"/>
      <c r="AL21" s="33"/>
      <c r="AM21" s="31"/>
      <c r="AN21" s="32"/>
      <c r="AO21" s="27"/>
      <c r="AP21" s="36"/>
      <c r="AQ21" s="549">
        <f t="shared" si="0"/>
        <v>27000</v>
      </c>
      <c r="AR21" s="550">
        <f t="shared" si="1"/>
        <v>27000</v>
      </c>
    </row>
    <row r="22" spans="2:44" s="39" customFormat="1">
      <c r="B22" s="559">
        <f t="shared" si="3"/>
        <v>7</v>
      </c>
      <c r="C22" s="534" t="s">
        <v>39</v>
      </c>
      <c r="D22" s="572">
        <v>30106660</v>
      </c>
      <c r="E22" s="596" t="s">
        <v>2395</v>
      </c>
      <c r="F22" s="573" t="s">
        <v>47</v>
      </c>
      <c r="G22" s="574" t="s">
        <v>2384</v>
      </c>
      <c r="H22" s="540" t="s">
        <v>2388</v>
      </c>
      <c r="I22" s="555" t="s">
        <v>44</v>
      </c>
      <c r="J22" s="542">
        <v>183608</v>
      </c>
      <c r="K22" s="557">
        <v>82599</v>
      </c>
      <c r="L22" s="557">
        <v>0</v>
      </c>
      <c r="M22" s="34">
        <v>0</v>
      </c>
      <c r="N22" s="34">
        <v>55987</v>
      </c>
      <c r="O22" s="34">
        <v>0</v>
      </c>
      <c r="P22" s="34">
        <v>23994</v>
      </c>
      <c r="Q22" s="34">
        <v>0</v>
      </c>
      <c r="R22" s="34">
        <v>0</v>
      </c>
      <c r="S22" s="34"/>
      <c r="T22" s="34"/>
      <c r="U22" s="34"/>
      <c r="V22" s="546">
        <f t="shared" si="2"/>
        <v>79981</v>
      </c>
      <c r="W22" s="575">
        <v>94237</v>
      </c>
      <c r="X22" s="32">
        <v>1</v>
      </c>
      <c r="Y22" s="33">
        <v>44218</v>
      </c>
      <c r="Z22" s="33">
        <v>44246</v>
      </c>
      <c r="AA22" s="34"/>
      <c r="AB22" s="35"/>
      <c r="AC22" s="27"/>
      <c r="AD22" s="33"/>
      <c r="AE22" s="557"/>
      <c r="AF22" s="32"/>
      <c r="AG22" s="27"/>
      <c r="AH22" s="33"/>
      <c r="AI22" s="506"/>
      <c r="AJ22" s="32"/>
      <c r="AK22" s="27"/>
      <c r="AL22" s="33"/>
      <c r="AM22" s="31"/>
      <c r="AN22" s="32"/>
      <c r="AO22" s="27"/>
      <c r="AP22" s="36"/>
      <c r="AQ22" s="549">
        <f t="shared" si="0"/>
        <v>94237</v>
      </c>
      <c r="AR22" s="550">
        <f t="shared" si="1"/>
        <v>14256</v>
      </c>
    </row>
    <row r="23" spans="2:44" s="39" customFormat="1">
      <c r="B23" s="559">
        <f t="shared" si="3"/>
        <v>8</v>
      </c>
      <c r="C23" s="534" t="s">
        <v>39</v>
      </c>
      <c r="D23" s="532">
        <v>30108704</v>
      </c>
      <c r="E23" s="596" t="s">
        <v>2396</v>
      </c>
      <c r="F23" s="562" t="s">
        <v>317</v>
      </c>
      <c r="G23" s="574" t="s">
        <v>2384</v>
      </c>
      <c r="H23" s="552" t="s">
        <v>342</v>
      </c>
      <c r="I23" s="555" t="s">
        <v>52</v>
      </c>
      <c r="J23" s="558">
        <v>50000</v>
      </c>
      <c r="K23" s="557">
        <v>1049</v>
      </c>
      <c r="L23" s="557">
        <v>605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/>
      <c r="T23" s="34"/>
      <c r="U23" s="34"/>
      <c r="V23" s="546">
        <f t="shared" si="2"/>
        <v>0</v>
      </c>
      <c r="W23" s="558">
        <v>50000</v>
      </c>
      <c r="X23" s="32">
        <v>1</v>
      </c>
      <c r="Y23" s="33">
        <v>44218</v>
      </c>
      <c r="Z23" s="33">
        <v>44246</v>
      </c>
      <c r="AA23" s="34"/>
      <c r="AB23" s="35"/>
      <c r="AC23" s="27"/>
      <c r="AD23" s="33"/>
      <c r="AE23" s="557"/>
      <c r="AF23" s="32"/>
      <c r="AG23" s="27"/>
      <c r="AH23" s="33"/>
      <c r="AI23" s="506"/>
      <c r="AJ23" s="32"/>
      <c r="AK23" s="27"/>
      <c r="AL23" s="33"/>
      <c r="AM23" s="31"/>
      <c r="AN23" s="32"/>
      <c r="AO23" s="27"/>
      <c r="AP23" s="36"/>
      <c r="AQ23" s="549">
        <f t="shared" si="0"/>
        <v>50000</v>
      </c>
      <c r="AR23" s="550">
        <f t="shared" si="1"/>
        <v>50000</v>
      </c>
    </row>
    <row r="24" spans="2:44" s="39" customFormat="1" ht="22.5">
      <c r="B24" s="559">
        <f t="shared" si="3"/>
        <v>9</v>
      </c>
      <c r="C24" s="576" t="s">
        <v>39</v>
      </c>
      <c r="D24" s="567">
        <v>30109116</v>
      </c>
      <c r="E24" s="596" t="s">
        <v>2397</v>
      </c>
      <c r="F24" s="564" t="s">
        <v>317</v>
      </c>
      <c r="G24" s="574" t="s">
        <v>2384</v>
      </c>
      <c r="H24" s="540" t="s">
        <v>2398</v>
      </c>
      <c r="I24" s="555" t="s">
        <v>44</v>
      </c>
      <c r="J24" s="569">
        <v>69893</v>
      </c>
      <c r="K24" s="557">
        <v>1184390</v>
      </c>
      <c r="L24" s="557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/>
      <c r="T24" s="34"/>
      <c r="U24" s="34"/>
      <c r="V24" s="546">
        <f t="shared" si="2"/>
        <v>0</v>
      </c>
      <c r="W24" s="569">
        <v>69893</v>
      </c>
      <c r="X24" s="32">
        <v>1</v>
      </c>
      <c r="Y24" s="33">
        <v>44218</v>
      </c>
      <c r="Z24" s="33">
        <v>44246</v>
      </c>
      <c r="AA24" s="34"/>
      <c r="AB24" s="35"/>
      <c r="AC24" s="27"/>
      <c r="AD24" s="33"/>
      <c r="AE24" s="557"/>
      <c r="AF24" s="32"/>
      <c r="AG24" s="27"/>
      <c r="AH24" s="33"/>
      <c r="AI24" s="506"/>
      <c r="AJ24" s="32"/>
      <c r="AK24" s="27"/>
      <c r="AL24" s="33"/>
      <c r="AM24" s="31"/>
      <c r="AN24" s="32"/>
      <c r="AO24" s="27"/>
      <c r="AP24" s="36"/>
      <c r="AQ24" s="549">
        <f t="shared" si="0"/>
        <v>69893</v>
      </c>
      <c r="AR24" s="550">
        <f t="shared" si="1"/>
        <v>69893</v>
      </c>
    </row>
    <row r="25" spans="2:44" s="39" customFormat="1">
      <c r="B25" s="559">
        <f t="shared" si="3"/>
        <v>10</v>
      </c>
      <c r="C25" s="560" t="s">
        <v>39</v>
      </c>
      <c r="D25" s="532">
        <v>30111289</v>
      </c>
      <c r="E25" s="596" t="s">
        <v>2399</v>
      </c>
      <c r="F25" s="573" t="s">
        <v>317</v>
      </c>
      <c r="G25" s="574" t="s">
        <v>2384</v>
      </c>
      <c r="H25" s="552" t="s">
        <v>342</v>
      </c>
      <c r="I25" s="555" t="s">
        <v>44</v>
      </c>
      <c r="J25" s="558">
        <v>89448</v>
      </c>
      <c r="K25" s="557">
        <v>2669895</v>
      </c>
      <c r="L25" s="557">
        <v>0</v>
      </c>
      <c r="M25" s="34">
        <v>0</v>
      </c>
      <c r="N25" s="34">
        <v>0</v>
      </c>
      <c r="O25" s="34">
        <v>8949</v>
      </c>
      <c r="P25" s="34">
        <v>0</v>
      </c>
      <c r="Q25" s="34">
        <v>0</v>
      </c>
      <c r="R25" s="34">
        <v>0</v>
      </c>
      <c r="S25" s="34"/>
      <c r="T25" s="34"/>
      <c r="U25" s="34"/>
      <c r="V25" s="546">
        <f t="shared" si="2"/>
        <v>8949</v>
      </c>
      <c r="W25" s="558">
        <v>89448</v>
      </c>
      <c r="X25" s="32">
        <v>1</v>
      </c>
      <c r="Y25" s="33">
        <v>44218</v>
      </c>
      <c r="Z25" s="33">
        <v>44246</v>
      </c>
      <c r="AA25" s="34"/>
      <c r="AB25" s="35"/>
      <c r="AC25" s="27"/>
      <c r="AD25" s="33"/>
      <c r="AE25" s="557"/>
      <c r="AF25" s="32"/>
      <c r="AG25" s="27"/>
      <c r="AH25" s="33"/>
      <c r="AI25" s="506"/>
      <c r="AJ25" s="32"/>
      <c r="AK25" s="27"/>
      <c r="AL25" s="33"/>
      <c r="AM25" s="31"/>
      <c r="AN25" s="32"/>
      <c r="AO25" s="27"/>
      <c r="AP25" s="36"/>
      <c r="AQ25" s="549">
        <f t="shared" si="0"/>
        <v>89448</v>
      </c>
      <c r="AR25" s="550">
        <f>+AQ25-V25</f>
        <v>80499</v>
      </c>
    </row>
    <row r="26" spans="2:44" s="39" customFormat="1" ht="22.5">
      <c r="B26" s="559">
        <f t="shared" si="3"/>
        <v>11</v>
      </c>
      <c r="C26" s="534" t="s">
        <v>39</v>
      </c>
      <c r="D26" s="563">
        <v>30231576</v>
      </c>
      <c r="E26" s="596" t="s">
        <v>2400</v>
      </c>
      <c r="F26" s="564" t="s">
        <v>317</v>
      </c>
      <c r="G26" s="574" t="s">
        <v>2384</v>
      </c>
      <c r="H26" s="540" t="s">
        <v>2394</v>
      </c>
      <c r="I26" s="555" t="s">
        <v>44</v>
      </c>
      <c r="J26" s="575">
        <v>6999375</v>
      </c>
      <c r="K26" s="557">
        <v>1064197</v>
      </c>
      <c r="L26" s="557">
        <v>0</v>
      </c>
      <c r="M26" s="34">
        <v>0</v>
      </c>
      <c r="N26" s="34">
        <v>722552</v>
      </c>
      <c r="O26" s="34">
        <v>583565</v>
      </c>
      <c r="P26" s="34">
        <v>927361</v>
      </c>
      <c r="Q26" s="34">
        <v>578667</v>
      </c>
      <c r="R26" s="34">
        <v>350827</v>
      </c>
      <c r="S26" s="34">
        <v>274487</v>
      </c>
      <c r="T26" s="34">
        <v>158225</v>
      </c>
      <c r="U26" s="34">
        <v>110564</v>
      </c>
      <c r="V26" s="546">
        <f t="shared" si="2"/>
        <v>3706248</v>
      </c>
      <c r="W26" s="575">
        <v>5590221</v>
      </c>
      <c r="X26" s="32">
        <v>1</v>
      </c>
      <c r="Y26" s="33">
        <v>44218</v>
      </c>
      <c r="Z26" s="33">
        <v>44246</v>
      </c>
      <c r="AA26" s="34">
        <v>56149</v>
      </c>
      <c r="AB26" s="35">
        <v>72</v>
      </c>
      <c r="AC26" s="33">
        <v>44386</v>
      </c>
      <c r="AD26" s="33">
        <v>44406</v>
      </c>
      <c r="AE26" s="557">
        <v>-1237860</v>
      </c>
      <c r="AF26" s="32">
        <v>89</v>
      </c>
      <c r="AG26" s="33">
        <v>44452</v>
      </c>
      <c r="AH26" s="33">
        <v>44466</v>
      </c>
      <c r="AI26" s="506"/>
      <c r="AJ26" s="32"/>
      <c r="AK26" s="27"/>
      <c r="AL26" s="33"/>
      <c r="AM26" s="31"/>
      <c r="AN26" s="32"/>
      <c r="AO26" s="27"/>
      <c r="AP26" s="36"/>
      <c r="AQ26" s="549">
        <f t="shared" si="0"/>
        <v>4408510</v>
      </c>
      <c r="AR26" s="550">
        <f>+AQ26-V26</f>
        <v>702262</v>
      </c>
    </row>
    <row r="27" spans="2:44" s="39" customFormat="1" ht="22.5">
      <c r="B27" s="559">
        <f t="shared" si="3"/>
        <v>12</v>
      </c>
      <c r="C27" s="576" t="s">
        <v>39</v>
      </c>
      <c r="D27" s="563">
        <v>30271072</v>
      </c>
      <c r="E27" s="596" t="s">
        <v>2401</v>
      </c>
      <c r="F27" s="568" t="s">
        <v>317</v>
      </c>
      <c r="G27" s="574" t="s">
        <v>2384</v>
      </c>
      <c r="H27" s="552" t="s">
        <v>2388</v>
      </c>
      <c r="I27" s="555" t="s">
        <v>44</v>
      </c>
      <c r="J27" s="558">
        <v>58271287</v>
      </c>
      <c r="K27" s="557">
        <f>2037249+32957+31010812</f>
        <v>33081018</v>
      </c>
      <c r="L27" s="557">
        <v>0</v>
      </c>
      <c r="M27" s="34">
        <v>0</v>
      </c>
      <c r="N27" s="34">
        <v>39844</v>
      </c>
      <c r="O27" s="34">
        <v>0</v>
      </c>
      <c r="P27" s="34">
        <v>0</v>
      </c>
      <c r="Q27" s="34">
        <v>0</v>
      </c>
      <c r="R27" s="34">
        <v>0</v>
      </c>
      <c r="S27" s="34"/>
      <c r="T27" s="34">
        <v>32817</v>
      </c>
      <c r="U27" s="34"/>
      <c r="V27" s="546">
        <f t="shared" si="2"/>
        <v>72661</v>
      </c>
      <c r="W27" s="558">
        <v>1380288</v>
      </c>
      <c r="X27" s="32">
        <v>1</v>
      </c>
      <c r="Y27" s="33">
        <v>44218</v>
      </c>
      <c r="Z27" s="33">
        <v>44246</v>
      </c>
      <c r="AA27" s="34">
        <v>-1340443</v>
      </c>
      <c r="AB27" s="32">
        <v>31</v>
      </c>
      <c r="AC27" s="33">
        <v>44293</v>
      </c>
      <c r="AD27" s="33">
        <v>44307</v>
      </c>
      <c r="AE27" s="557">
        <v>71000</v>
      </c>
      <c r="AF27" s="32">
        <v>72</v>
      </c>
      <c r="AG27" s="33">
        <v>44386</v>
      </c>
      <c r="AH27" s="33">
        <v>44406</v>
      </c>
      <c r="AI27" s="557"/>
      <c r="AJ27" s="32"/>
      <c r="AK27" s="33"/>
      <c r="AL27" s="33"/>
      <c r="AM27" s="31"/>
      <c r="AN27" s="32"/>
      <c r="AO27" s="27"/>
      <c r="AP27" s="36"/>
      <c r="AQ27" s="549">
        <f t="shared" si="0"/>
        <v>110845</v>
      </c>
      <c r="AR27" s="550">
        <f>+AQ27-V27</f>
        <v>38184</v>
      </c>
    </row>
    <row r="28" spans="2:44" s="39" customFormat="1" ht="22.5">
      <c r="B28" s="559">
        <f t="shared" si="3"/>
        <v>13</v>
      </c>
      <c r="C28" s="560" t="s">
        <v>39</v>
      </c>
      <c r="D28" s="567">
        <v>30314372</v>
      </c>
      <c r="E28" s="596" t="s">
        <v>2402</v>
      </c>
      <c r="F28" s="577" t="s">
        <v>317</v>
      </c>
      <c r="G28" s="539" t="s">
        <v>2384</v>
      </c>
      <c r="H28" s="540" t="s">
        <v>2398</v>
      </c>
      <c r="I28" s="578" t="s">
        <v>44</v>
      </c>
      <c r="J28" s="575">
        <v>1070171</v>
      </c>
      <c r="K28" s="557">
        <v>194510</v>
      </c>
      <c r="L28" s="557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/>
      <c r="T28" s="34"/>
      <c r="U28" s="34">
        <v>2100</v>
      </c>
      <c r="V28" s="546">
        <f t="shared" si="2"/>
        <v>2100</v>
      </c>
      <c r="W28" s="575">
        <v>821661</v>
      </c>
      <c r="X28" s="32">
        <v>1</v>
      </c>
      <c r="Y28" s="33">
        <v>44218</v>
      </c>
      <c r="Z28" s="33">
        <v>44246</v>
      </c>
      <c r="AA28" s="34">
        <v>45020</v>
      </c>
      <c r="AB28" s="35">
        <v>11</v>
      </c>
      <c r="AC28" s="33">
        <v>44259</v>
      </c>
      <c r="AD28" s="33">
        <v>44277</v>
      </c>
      <c r="AE28" s="557">
        <v>74148</v>
      </c>
      <c r="AF28" s="32">
        <v>66</v>
      </c>
      <c r="AG28" s="33">
        <v>44371</v>
      </c>
      <c r="AH28" s="33">
        <v>44396</v>
      </c>
      <c r="AI28" s="506"/>
      <c r="AJ28" s="32"/>
      <c r="AK28" s="27"/>
      <c r="AL28" s="33"/>
      <c r="AM28" s="31"/>
      <c r="AN28" s="32"/>
      <c r="AO28" s="27"/>
      <c r="AP28" s="36"/>
      <c r="AQ28" s="549">
        <f t="shared" si="0"/>
        <v>940829</v>
      </c>
      <c r="AR28" s="550">
        <f>+AQ28-V28</f>
        <v>938729</v>
      </c>
    </row>
    <row r="29" spans="2:44" s="39" customFormat="1" ht="22.5">
      <c r="B29" s="559">
        <f t="shared" si="3"/>
        <v>14</v>
      </c>
      <c r="C29" s="534" t="s">
        <v>39</v>
      </c>
      <c r="D29" s="563">
        <v>30335122</v>
      </c>
      <c r="E29" s="596" t="s">
        <v>2403</v>
      </c>
      <c r="F29" s="570" t="s">
        <v>317</v>
      </c>
      <c r="G29" s="554" t="s">
        <v>2384</v>
      </c>
      <c r="H29" s="552" t="s">
        <v>2390</v>
      </c>
      <c r="I29" s="555" t="s">
        <v>44</v>
      </c>
      <c r="J29" s="579">
        <v>174080</v>
      </c>
      <c r="K29" s="557">
        <v>169735</v>
      </c>
      <c r="L29" s="557">
        <v>0</v>
      </c>
      <c r="M29" s="34">
        <v>0</v>
      </c>
      <c r="N29" s="34">
        <v>4344</v>
      </c>
      <c r="O29" s="34">
        <v>0</v>
      </c>
      <c r="P29" s="34">
        <v>0</v>
      </c>
      <c r="Q29" s="34">
        <v>0</v>
      </c>
      <c r="R29" s="34">
        <v>0</v>
      </c>
      <c r="S29" s="34"/>
      <c r="T29" s="34"/>
      <c r="U29" s="34"/>
      <c r="V29" s="546">
        <f t="shared" si="2"/>
        <v>4344</v>
      </c>
      <c r="W29" s="571">
        <v>4345</v>
      </c>
      <c r="X29" s="32">
        <v>1</v>
      </c>
      <c r="Y29" s="33">
        <v>44218</v>
      </c>
      <c r="Z29" s="33">
        <v>44246</v>
      </c>
      <c r="AA29" s="34"/>
      <c r="AB29" s="35"/>
      <c r="AC29" s="27"/>
      <c r="AD29" s="33"/>
      <c r="AE29" s="557"/>
      <c r="AF29" s="32"/>
      <c r="AG29" s="27"/>
      <c r="AH29" s="33"/>
      <c r="AI29" s="506"/>
      <c r="AJ29" s="32"/>
      <c r="AK29" s="27"/>
      <c r="AL29" s="33"/>
      <c r="AM29" s="31"/>
      <c r="AN29" s="32"/>
      <c r="AO29" s="27"/>
      <c r="AP29" s="36"/>
      <c r="AQ29" s="549">
        <f t="shared" si="0"/>
        <v>4345</v>
      </c>
      <c r="AR29" s="550">
        <f t="shared" ref="AR29:AR92" si="4">+AQ29-V29</f>
        <v>1</v>
      </c>
    </row>
    <row r="30" spans="2:44" s="39" customFormat="1" ht="22.5">
      <c r="B30" s="559">
        <f t="shared" si="3"/>
        <v>15</v>
      </c>
      <c r="C30" s="534" t="s">
        <v>39</v>
      </c>
      <c r="D30" s="567">
        <v>30336023</v>
      </c>
      <c r="E30" s="596" t="s">
        <v>2404</v>
      </c>
      <c r="F30" s="568" t="s">
        <v>317</v>
      </c>
      <c r="G30" s="539" t="s">
        <v>2384</v>
      </c>
      <c r="H30" s="540" t="s">
        <v>2405</v>
      </c>
      <c r="I30" s="580" t="s">
        <v>44</v>
      </c>
      <c r="J30" s="542">
        <v>1011262</v>
      </c>
      <c r="K30" s="557">
        <v>975108</v>
      </c>
      <c r="L30" s="557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/>
      <c r="T30" s="34"/>
      <c r="U30" s="34"/>
      <c r="V30" s="546">
        <f t="shared" si="2"/>
        <v>0</v>
      </c>
      <c r="W30" s="569">
        <v>36154</v>
      </c>
      <c r="X30" s="32">
        <v>1</v>
      </c>
      <c r="Y30" s="33">
        <v>44218</v>
      </c>
      <c r="Z30" s="33">
        <v>44246</v>
      </c>
      <c r="AA30" s="34"/>
      <c r="AB30" s="35"/>
      <c r="AC30" s="27"/>
      <c r="AD30" s="33"/>
      <c r="AE30" s="557"/>
      <c r="AF30" s="32"/>
      <c r="AG30" s="27"/>
      <c r="AH30" s="33"/>
      <c r="AI30" s="506"/>
      <c r="AJ30" s="32"/>
      <c r="AK30" s="27"/>
      <c r="AL30" s="33"/>
      <c r="AM30" s="31"/>
      <c r="AN30" s="32"/>
      <c r="AO30" s="27"/>
      <c r="AP30" s="36"/>
      <c r="AQ30" s="549">
        <f t="shared" si="0"/>
        <v>36154</v>
      </c>
      <c r="AR30" s="550">
        <f t="shared" si="4"/>
        <v>36154</v>
      </c>
    </row>
    <row r="31" spans="2:44" s="39" customFormat="1">
      <c r="B31" s="559">
        <f t="shared" si="3"/>
        <v>16</v>
      </c>
      <c r="C31" s="534" t="s">
        <v>39</v>
      </c>
      <c r="D31" s="581">
        <v>30348584</v>
      </c>
      <c r="E31" s="596" t="s">
        <v>2406</v>
      </c>
      <c r="F31" s="570" t="s">
        <v>317</v>
      </c>
      <c r="G31" s="554" t="s">
        <v>2384</v>
      </c>
      <c r="H31" s="552" t="s">
        <v>2392</v>
      </c>
      <c r="I31" s="555" t="s">
        <v>44</v>
      </c>
      <c r="J31" s="582">
        <v>1937115</v>
      </c>
      <c r="K31" s="557">
        <v>1692270</v>
      </c>
      <c r="L31" s="557">
        <v>1001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4"/>
      <c r="T31" s="34"/>
      <c r="U31" s="34"/>
      <c r="V31" s="546">
        <f t="shared" si="2"/>
        <v>0</v>
      </c>
      <c r="W31" s="558">
        <v>211591</v>
      </c>
      <c r="X31" s="32">
        <v>1</v>
      </c>
      <c r="Y31" s="33">
        <v>44218</v>
      </c>
      <c r="Z31" s="33">
        <v>44246</v>
      </c>
      <c r="AA31" s="34"/>
      <c r="AB31" s="35"/>
      <c r="AC31" s="27"/>
      <c r="AD31" s="33"/>
      <c r="AE31" s="557"/>
      <c r="AF31" s="32"/>
      <c r="AG31" s="27"/>
      <c r="AH31" s="33"/>
      <c r="AI31" s="506"/>
      <c r="AJ31" s="32"/>
      <c r="AK31" s="27"/>
      <c r="AL31" s="33"/>
      <c r="AM31" s="31"/>
      <c r="AN31" s="32"/>
      <c r="AO31" s="27"/>
      <c r="AP31" s="36"/>
      <c r="AQ31" s="549">
        <f t="shared" si="0"/>
        <v>211591</v>
      </c>
      <c r="AR31" s="550">
        <f t="shared" si="4"/>
        <v>211591</v>
      </c>
    </row>
    <row r="32" spans="2:44" s="39" customFormat="1" ht="22.5">
      <c r="B32" s="559">
        <f t="shared" si="3"/>
        <v>17</v>
      </c>
      <c r="C32" s="534" t="s">
        <v>39</v>
      </c>
      <c r="D32" s="583">
        <v>30373723</v>
      </c>
      <c r="E32" s="596" t="s">
        <v>2407</v>
      </c>
      <c r="F32" s="568" t="s">
        <v>317</v>
      </c>
      <c r="G32" s="539" t="s">
        <v>2384</v>
      </c>
      <c r="H32" s="540" t="s">
        <v>2385</v>
      </c>
      <c r="I32" s="580" t="s">
        <v>44</v>
      </c>
      <c r="J32" s="584">
        <v>598646</v>
      </c>
      <c r="K32" s="557">
        <v>577835</v>
      </c>
      <c r="L32" s="557">
        <v>1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/>
      <c r="T32" s="34"/>
      <c r="U32" s="34"/>
      <c r="V32" s="546">
        <f t="shared" si="2"/>
        <v>0</v>
      </c>
      <c r="W32" s="575">
        <v>20810</v>
      </c>
      <c r="X32" s="32">
        <v>1</v>
      </c>
      <c r="Y32" s="33">
        <v>44218</v>
      </c>
      <c r="Z32" s="33">
        <v>44246</v>
      </c>
      <c r="AA32" s="34"/>
      <c r="AB32" s="35"/>
      <c r="AC32" s="27"/>
      <c r="AD32" s="33"/>
      <c r="AE32" s="557"/>
      <c r="AF32" s="32"/>
      <c r="AG32" s="27"/>
      <c r="AH32" s="33"/>
      <c r="AI32" s="506"/>
      <c r="AJ32" s="32"/>
      <c r="AK32" s="27"/>
      <c r="AL32" s="33"/>
      <c r="AM32" s="31"/>
      <c r="AN32" s="32"/>
      <c r="AO32" s="27"/>
      <c r="AP32" s="36"/>
      <c r="AQ32" s="549">
        <f t="shared" si="0"/>
        <v>20810</v>
      </c>
      <c r="AR32" s="550">
        <f t="shared" si="4"/>
        <v>20810</v>
      </c>
    </row>
    <row r="33" spans="2:44" s="39" customFormat="1">
      <c r="B33" s="559">
        <f t="shared" si="3"/>
        <v>18</v>
      </c>
      <c r="C33" s="534" t="s">
        <v>39</v>
      </c>
      <c r="D33" s="563">
        <v>30378822</v>
      </c>
      <c r="E33" s="596" t="s">
        <v>2408</v>
      </c>
      <c r="F33" s="570" t="s">
        <v>317</v>
      </c>
      <c r="G33" s="554" t="s">
        <v>2384</v>
      </c>
      <c r="H33" s="552" t="s">
        <v>2388</v>
      </c>
      <c r="I33" s="555" t="s">
        <v>44</v>
      </c>
      <c r="J33" s="582">
        <v>709244</v>
      </c>
      <c r="K33" s="557">
        <v>641750</v>
      </c>
      <c r="L33" s="557">
        <v>0</v>
      </c>
      <c r="M33" s="34">
        <v>0</v>
      </c>
      <c r="N33" s="34">
        <v>0</v>
      </c>
      <c r="O33" s="34">
        <v>897</v>
      </c>
      <c r="P33" s="34">
        <v>6029</v>
      </c>
      <c r="Q33" s="34">
        <v>0</v>
      </c>
      <c r="R33" s="34">
        <v>0</v>
      </c>
      <c r="S33" s="34"/>
      <c r="T33" s="34">
        <v>1765</v>
      </c>
      <c r="U33" s="34">
        <v>42</v>
      </c>
      <c r="V33" s="546">
        <f t="shared" si="2"/>
        <v>8733</v>
      </c>
      <c r="W33" s="558">
        <v>32485</v>
      </c>
      <c r="X33" s="32">
        <v>1</v>
      </c>
      <c r="Y33" s="33">
        <v>44218</v>
      </c>
      <c r="Z33" s="33">
        <v>44246</v>
      </c>
      <c r="AA33" s="34"/>
      <c r="AB33" s="35"/>
      <c r="AC33" s="27"/>
      <c r="AD33" s="33"/>
      <c r="AE33" s="557"/>
      <c r="AF33" s="32"/>
      <c r="AG33" s="27"/>
      <c r="AH33" s="33"/>
      <c r="AI33" s="506"/>
      <c r="AJ33" s="32"/>
      <c r="AK33" s="27"/>
      <c r="AL33" s="33"/>
      <c r="AM33" s="31"/>
      <c r="AN33" s="32"/>
      <c r="AO33" s="27"/>
      <c r="AP33" s="36"/>
      <c r="AQ33" s="549">
        <f t="shared" si="0"/>
        <v>32485</v>
      </c>
      <c r="AR33" s="550">
        <f t="shared" si="4"/>
        <v>23752</v>
      </c>
    </row>
    <row r="34" spans="2:44" s="39" customFormat="1" ht="22.5">
      <c r="B34" s="559">
        <f t="shared" si="3"/>
        <v>19</v>
      </c>
      <c r="C34" s="534" t="s">
        <v>39</v>
      </c>
      <c r="D34" s="583">
        <v>30385677</v>
      </c>
      <c r="E34" s="596" t="s">
        <v>2409</v>
      </c>
      <c r="F34" s="568" t="s">
        <v>317</v>
      </c>
      <c r="G34" s="539" t="s">
        <v>2384</v>
      </c>
      <c r="H34" s="540" t="s">
        <v>2410</v>
      </c>
      <c r="I34" s="580" t="s">
        <v>44</v>
      </c>
      <c r="J34" s="584">
        <v>701454</v>
      </c>
      <c r="K34" s="557">
        <v>281818</v>
      </c>
      <c r="L34" s="557">
        <v>0</v>
      </c>
      <c r="M34" s="34">
        <v>0</v>
      </c>
      <c r="N34" s="34">
        <v>108322</v>
      </c>
      <c r="O34" s="34">
        <v>23787</v>
      </c>
      <c r="P34" s="34">
        <v>61525</v>
      </c>
      <c r="Q34" s="34">
        <v>2400</v>
      </c>
      <c r="R34" s="34">
        <v>23620</v>
      </c>
      <c r="S34" s="34"/>
      <c r="T34" s="34"/>
      <c r="U34" s="34"/>
      <c r="V34" s="546">
        <f t="shared" si="2"/>
        <v>219654</v>
      </c>
      <c r="W34" s="575">
        <v>404041</v>
      </c>
      <c r="X34" s="32">
        <v>1</v>
      </c>
      <c r="Y34" s="33">
        <v>44218</v>
      </c>
      <c r="Z34" s="33">
        <v>44246</v>
      </c>
      <c r="AA34" s="34">
        <v>15593</v>
      </c>
      <c r="AB34" s="32">
        <v>3</v>
      </c>
      <c r="AC34" s="33">
        <v>44229</v>
      </c>
      <c r="AD34" s="33">
        <v>44252</v>
      </c>
      <c r="AE34" s="557">
        <v>7292</v>
      </c>
      <c r="AF34" s="32">
        <v>33</v>
      </c>
      <c r="AG34" s="33">
        <v>44301</v>
      </c>
      <c r="AH34" s="33">
        <v>44315</v>
      </c>
      <c r="AI34" s="506"/>
      <c r="AJ34" s="32"/>
      <c r="AK34" s="27"/>
      <c r="AL34" s="33"/>
      <c r="AM34" s="31"/>
      <c r="AN34" s="32"/>
      <c r="AO34" s="27"/>
      <c r="AP34" s="36"/>
      <c r="AQ34" s="549">
        <f t="shared" si="0"/>
        <v>426926</v>
      </c>
      <c r="AR34" s="550">
        <f t="shared" si="4"/>
        <v>207272</v>
      </c>
    </row>
    <row r="35" spans="2:44" s="39" customFormat="1" ht="22.5">
      <c r="B35" s="559">
        <f t="shared" si="3"/>
        <v>20</v>
      </c>
      <c r="C35" s="534" t="s">
        <v>39</v>
      </c>
      <c r="D35" s="563">
        <v>30393735</v>
      </c>
      <c r="E35" s="596" t="s">
        <v>2411</v>
      </c>
      <c r="F35" s="570" t="s">
        <v>317</v>
      </c>
      <c r="G35" s="554" t="s">
        <v>2384</v>
      </c>
      <c r="H35" s="552" t="s">
        <v>2398</v>
      </c>
      <c r="I35" s="555" t="s">
        <v>44</v>
      </c>
      <c r="J35" s="582">
        <v>5852197</v>
      </c>
      <c r="K35" s="557">
        <v>5237605</v>
      </c>
      <c r="L35" s="557">
        <v>2903</v>
      </c>
      <c r="M35" s="34">
        <v>0</v>
      </c>
      <c r="N35" s="34">
        <v>2125</v>
      </c>
      <c r="O35" s="34">
        <v>4251</v>
      </c>
      <c r="P35" s="34">
        <v>2125</v>
      </c>
      <c r="Q35" s="34">
        <v>94205</v>
      </c>
      <c r="R35" s="34">
        <v>2125</v>
      </c>
      <c r="S35" s="34">
        <v>708</v>
      </c>
      <c r="T35" s="34"/>
      <c r="U35" s="34"/>
      <c r="V35" s="546">
        <f t="shared" si="2"/>
        <v>105539</v>
      </c>
      <c r="W35" s="558">
        <v>105541</v>
      </c>
      <c r="X35" s="32">
        <v>1</v>
      </c>
      <c r="Y35" s="33">
        <v>44218</v>
      </c>
      <c r="Z35" s="33">
        <v>44246</v>
      </c>
      <c r="AA35" s="34"/>
      <c r="AB35" s="35"/>
      <c r="AC35" s="27"/>
      <c r="AD35" s="33"/>
      <c r="AE35" s="557"/>
      <c r="AF35" s="32"/>
      <c r="AG35" s="27"/>
      <c r="AH35" s="33"/>
      <c r="AI35" s="506"/>
      <c r="AJ35" s="32"/>
      <c r="AK35" s="27"/>
      <c r="AL35" s="33"/>
      <c r="AM35" s="31"/>
      <c r="AN35" s="32"/>
      <c r="AO35" s="27"/>
      <c r="AP35" s="36"/>
      <c r="AQ35" s="549">
        <f t="shared" si="0"/>
        <v>105541</v>
      </c>
      <c r="AR35" s="550">
        <f t="shared" si="4"/>
        <v>2</v>
      </c>
    </row>
    <row r="36" spans="2:44" s="39" customFormat="1">
      <c r="B36" s="559">
        <f t="shared" si="3"/>
        <v>21</v>
      </c>
      <c r="C36" s="534" t="s">
        <v>39</v>
      </c>
      <c r="D36" s="585">
        <v>30418427</v>
      </c>
      <c r="E36" s="596" t="s">
        <v>2412</v>
      </c>
      <c r="F36" s="562" t="s">
        <v>47</v>
      </c>
      <c r="G36" s="539" t="s">
        <v>2384</v>
      </c>
      <c r="H36" s="586" t="s">
        <v>342</v>
      </c>
      <c r="I36" s="580" t="s">
        <v>52</v>
      </c>
      <c r="J36" s="587">
        <v>2181816</v>
      </c>
      <c r="K36" s="557">
        <v>3067</v>
      </c>
      <c r="L36" s="557">
        <v>1608898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/>
      <c r="T36" s="34"/>
      <c r="U36" s="34"/>
      <c r="V36" s="546">
        <f t="shared" si="2"/>
        <v>0</v>
      </c>
      <c r="W36" s="575">
        <v>569773</v>
      </c>
      <c r="X36" s="32">
        <v>1</v>
      </c>
      <c r="Y36" s="33">
        <v>44218</v>
      </c>
      <c r="Z36" s="33">
        <v>44246</v>
      </c>
      <c r="AA36" s="34">
        <v>-569771</v>
      </c>
      <c r="AB36" s="35">
        <v>72</v>
      </c>
      <c r="AC36" s="33">
        <v>44386</v>
      </c>
      <c r="AD36" s="33">
        <v>44406</v>
      </c>
      <c r="AE36" s="557"/>
      <c r="AF36" s="32"/>
      <c r="AG36" s="27"/>
      <c r="AH36" s="33"/>
      <c r="AI36" s="506"/>
      <c r="AJ36" s="32"/>
      <c r="AK36" s="27"/>
      <c r="AL36" s="33"/>
      <c r="AM36" s="31"/>
      <c r="AN36" s="32"/>
      <c r="AO36" s="27"/>
      <c r="AP36" s="36"/>
      <c r="AQ36" s="549">
        <f t="shared" si="0"/>
        <v>2</v>
      </c>
      <c r="AR36" s="550">
        <f t="shared" si="4"/>
        <v>2</v>
      </c>
    </row>
    <row r="37" spans="2:44" s="39" customFormat="1" ht="22.5">
      <c r="B37" s="559">
        <f t="shared" si="3"/>
        <v>22</v>
      </c>
      <c r="C37" s="534" t="s">
        <v>39</v>
      </c>
      <c r="D37" s="563">
        <v>30436139</v>
      </c>
      <c r="E37" s="596" t="s">
        <v>2413</v>
      </c>
      <c r="F37" s="570" t="s">
        <v>47</v>
      </c>
      <c r="G37" s="554" t="s">
        <v>2384</v>
      </c>
      <c r="H37" s="552" t="s">
        <v>2398</v>
      </c>
      <c r="I37" s="555" t="s">
        <v>44</v>
      </c>
      <c r="J37" s="582">
        <v>95409</v>
      </c>
      <c r="K37" s="557">
        <v>86409</v>
      </c>
      <c r="L37" s="557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/>
      <c r="T37" s="34"/>
      <c r="U37" s="34"/>
      <c r="V37" s="546">
        <f t="shared" si="2"/>
        <v>0</v>
      </c>
      <c r="W37" s="558">
        <v>8800</v>
      </c>
      <c r="X37" s="32">
        <v>1</v>
      </c>
      <c r="Y37" s="33">
        <v>44218</v>
      </c>
      <c r="Z37" s="33">
        <v>44246</v>
      </c>
      <c r="AA37" s="34"/>
      <c r="AB37" s="35"/>
      <c r="AC37" s="27"/>
      <c r="AD37" s="33"/>
      <c r="AE37" s="557"/>
      <c r="AF37" s="32"/>
      <c r="AG37" s="27"/>
      <c r="AH37" s="33"/>
      <c r="AI37" s="506"/>
      <c r="AJ37" s="32"/>
      <c r="AK37" s="27"/>
      <c r="AL37" s="33"/>
      <c r="AM37" s="31"/>
      <c r="AN37" s="32"/>
      <c r="AO37" s="27"/>
      <c r="AP37" s="36"/>
      <c r="AQ37" s="549">
        <f t="shared" si="0"/>
        <v>8800</v>
      </c>
      <c r="AR37" s="550">
        <f t="shared" si="4"/>
        <v>8800</v>
      </c>
    </row>
    <row r="38" spans="2:44" s="39" customFormat="1" ht="22.5">
      <c r="B38" s="559">
        <f t="shared" si="3"/>
        <v>23</v>
      </c>
      <c r="C38" s="534" t="s">
        <v>39</v>
      </c>
      <c r="D38" s="567">
        <v>30453228</v>
      </c>
      <c r="E38" s="596" t="s">
        <v>2414</v>
      </c>
      <c r="F38" s="568" t="s">
        <v>47</v>
      </c>
      <c r="G38" s="539" t="s">
        <v>2384</v>
      </c>
      <c r="H38" s="540" t="s">
        <v>2392</v>
      </c>
      <c r="I38" s="580" t="s">
        <v>44</v>
      </c>
      <c r="J38" s="584">
        <v>132995</v>
      </c>
      <c r="K38" s="557">
        <v>100884</v>
      </c>
      <c r="L38" s="557">
        <v>0</v>
      </c>
      <c r="M38" s="34">
        <v>0</v>
      </c>
      <c r="N38" s="34">
        <v>0</v>
      </c>
      <c r="O38" s="34">
        <v>0</v>
      </c>
      <c r="P38" s="34">
        <v>0</v>
      </c>
      <c r="Q38" s="34">
        <v>16875</v>
      </c>
      <c r="R38" s="34"/>
      <c r="S38" s="34"/>
      <c r="T38" s="34"/>
      <c r="U38" s="34"/>
      <c r="V38" s="546">
        <f t="shared" si="2"/>
        <v>16875</v>
      </c>
      <c r="W38" s="575">
        <v>16875</v>
      </c>
      <c r="X38" s="32">
        <v>1</v>
      </c>
      <c r="Y38" s="33">
        <v>44218</v>
      </c>
      <c r="Z38" s="33">
        <v>44246</v>
      </c>
      <c r="AA38" s="34"/>
      <c r="AB38" s="35"/>
      <c r="AC38" s="27"/>
      <c r="AD38" s="33"/>
      <c r="AE38" s="557"/>
      <c r="AF38" s="32"/>
      <c r="AG38" s="27"/>
      <c r="AH38" s="33"/>
      <c r="AI38" s="506"/>
      <c r="AJ38" s="32"/>
      <c r="AK38" s="27"/>
      <c r="AL38" s="33"/>
      <c r="AM38" s="31"/>
      <c r="AN38" s="32"/>
      <c r="AO38" s="27"/>
      <c r="AP38" s="36"/>
      <c r="AQ38" s="549">
        <f t="shared" si="0"/>
        <v>16875</v>
      </c>
      <c r="AR38" s="550">
        <f t="shared" si="4"/>
        <v>0</v>
      </c>
    </row>
    <row r="39" spans="2:44" s="39" customFormat="1" ht="22.5">
      <c r="B39" s="559">
        <f t="shared" si="3"/>
        <v>24</v>
      </c>
      <c r="C39" s="534" t="s">
        <v>39</v>
      </c>
      <c r="D39" s="581">
        <v>30458727</v>
      </c>
      <c r="E39" s="596" t="s">
        <v>2415</v>
      </c>
      <c r="F39" s="570" t="s">
        <v>47</v>
      </c>
      <c r="G39" s="554" t="s">
        <v>2384</v>
      </c>
      <c r="H39" s="552" t="s">
        <v>1059</v>
      </c>
      <c r="I39" s="555" t="s">
        <v>44</v>
      </c>
      <c r="J39" s="582">
        <v>29115</v>
      </c>
      <c r="K39" s="557">
        <v>17357</v>
      </c>
      <c r="L39" s="557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/>
      <c r="T39" s="34"/>
      <c r="U39" s="34"/>
      <c r="V39" s="546">
        <f t="shared" si="2"/>
        <v>0</v>
      </c>
      <c r="W39" s="558">
        <v>7091</v>
      </c>
      <c r="X39" s="32">
        <v>1</v>
      </c>
      <c r="Y39" s="33">
        <v>44218</v>
      </c>
      <c r="Z39" s="33">
        <v>44246</v>
      </c>
      <c r="AA39" s="34"/>
      <c r="AB39" s="35"/>
      <c r="AC39" s="27"/>
      <c r="AD39" s="33"/>
      <c r="AE39" s="557"/>
      <c r="AF39" s="32"/>
      <c r="AG39" s="27"/>
      <c r="AH39" s="33"/>
      <c r="AI39" s="506"/>
      <c r="AJ39" s="32"/>
      <c r="AK39" s="27"/>
      <c r="AL39" s="33"/>
      <c r="AM39" s="31"/>
      <c r="AN39" s="32"/>
      <c r="AO39" s="27"/>
      <c r="AP39" s="36"/>
      <c r="AQ39" s="549">
        <f t="shared" si="0"/>
        <v>7091</v>
      </c>
      <c r="AR39" s="550">
        <f t="shared" si="4"/>
        <v>7091</v>
      </c>
    </row>
    <row r="40" spans="2:44" s="39" customFormat="1" ht="22.5">
      <c r="B40" s="559">
        <f t="shared" si="3"/>
        <v>25</v>
      </c>
      <c r="C40" s="534" t="s">
        <v>39</v>
      </c>
      <c r="D40" s="567">
        <v>30459191</v>
      </c>
      <c r="E40" s="596" t="s">
        <v>2416</v>
      </c>
      <c r="F40" s="562" t="s">
        <v>317</v>
      </c>
      <c r="G40" s="539" t="s">
        <v>2384</v>
      </c>
      <c r="H40" s="540" t="s">
        <v>2385</v>
      </c>
      <c r="I40" s="580" t="s">
        <v>44</v>
      </c>
      <c r="J40" s="584">
        <v>217845</v>
      </c>
      <c r="K40" s="557">
        <v>71499</v>
      </c>
      <c r="L40" s="557">
        <v>0</v>
      </c>
      <c r="M40" s="34">
        <v>0</v>
      </c>
      <c r="N40" s="34">
        <v>20681</v>
      </c>
      <c r="O40" s="34">
        <v>45669</v>
      </c>
      <c r="P40" s="34">
        <v>0</v>
      </c>
      <c r="Q40" s="34">
        <v>0</v>
      </c>
      <c r="R40" s="34">
        <v>30090</v>
      </c>
      <c r="S40" s="34"/>
      <c r="T40" s="34">
        <v>48423</v>
      </c>
      <c r="U40" s="34"/>
      <c r="V40" s="546">
        <f t="shared" si="2"/>
        <v>144863</v>
      </c>
      <c r="W40" s="575">
        <v>144864</v>
      </c>
      <c r="X40" s="32">
        <v>1</v>
      </c>
      <c r="Y40" s="33">
        <v>44218</v>
      </c>
      <c r="Z40" s="33">
        <v>44246</v>
      </c>
      <c r="AA40" s="34"/>
      <c r="AB40" s="35"/>
      <c r="AC40" s="27"/>
      <c r="AD40" s="33"/>
      <c r="AE40" s="557"/>
      <c r="AF40" s="32"/>
      <c r="AG40" s="27"/>
      <c r="AH40" s="33"/>
      <c r="AI40" s="506"/>
      <c r="AJ40" s="32"/>
      <c r="AK40" s="27"/>
      <c r="AL40" s="33"/>
      <c r="AM40" s="31"/>
      <c r="AN40" s="32"/>
      <c r="AO40" s="27"/>
      <c r="AP40" s="36"/>
      <c r="AQ40" s="549">
        <f t="shared" si="0"/>
        <v>144864</v>
      </c>
      <c r="AR40" s="550">
        <f t="shared" si="4"/>
        <v>1</v>
      </c>
    </row>
    <row r="41" spans="2:44" s="39" customFormat="1" ht="22.5">
      <c r="B41" s="559">
        <f t="shared" si="3"/>
        <v>26</v>
      </c>
      <c r="C41" s="534" t="s">
        <v>39</v>
      </c>
      <c r="D41" s="563">
        <v>30459765</v>
      </c>
      <c r="E41" s="596" t="s">
        <v>2417</v>
      </c>
      <c r="F41" s="570" t="s">
        <v>317</v>
      </c>
      <c r="G41" s="554" t="s">
        <v>2384</v>
      </c>
      <c r="H41" s="552" t="s">
        <v>2392</v>
      </c>
      <c r="I41" s="555" t="s">
        <v>44</v>
      </c>
      <c r="J41" s="582">
        <v>2311954</v>
      </c>
      <c r="K41" s="557">
        <v>33273</v>
      </c>
      <c r="L41" s="557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2000</v>
      </c>
      <c r="T41" s="34">
        <v>2000</v>
      </c>
      <c r="U41" s="34">
        <v>2000</v>
      </c>
      <c r="V41" s="546">
        <f t="shared" si="2"/>
        <v>6000</v>
      </c>
      <c r="W41" s="558">
        <v>2053288</v>
      </c>
      <c r="X41" s="32">
        <v>1</v>
      </c>
      <c r="Y41" s="33">
        <v>44218</v>
      </c>
      <c r="Z41" s="33">
        <v>44246</v>
      </c>
      <c r="AA41" s="34">
        <v>-800000</v>
      </c>
      <c r="AB41" s="35">
        <v>51</v>
      </c>
      <c r="AC41" s="33">
        <v>44334</v>
      </c>
      <c r="AD41" s="33">
        <v>44350</v>
      </c>
      <c r="AE41" s="557">
        <v>911843</v>
      </c>
      <c r="AF41" s="32">
        <v>63</v>
      </c>
      <c r="AG41" s="33">
        <v>44361</v>
      </c>
      <c r="AH41" s="33">
        <v>44382</v>
      </c>
      <c r="AI41" s="506"/>
      <c r="AJ41" s="32"/>
      <c r="AK41" s="27"/>
      <c r="AL41" s="33"/>
      <c r="AM41" s="31"/>
      <c r="AN41" s="32"/>
      <c r="AO41" s="27"/>
      <c r="AP41" s="36"/>
      <c r="AQ41" s="549">
        <f t="shared" si="0"/>
        <v>2165131</v>
      </c>
      <c r="AR41" s="550">
        <f t="shared" si="4"/>
        <v>2159131</v>
      </c>
    </row>
    <row r="42" spans="2:44" s="39" customFormat="1">
      <c r="B42" s="559">
        <f t="shared" si="3"/>
        <v>27</v>
      </c>
      <c r="C42" s="534" t="s">
        <v>39</v>
      </c>
      <c r="D42" s="567">
        <v>30464223</v>
      </c>
      <c r="E42" s="596" t="s">
        <v>2418</v>
      </c>
      <c r="F42" s="568" t="s">
        <v>317</v>
      </c>
      <c r="G42" s="539" t="s">
        <v>2384</v>
      </c>
      <c r="H42" s="540" t="s">
        <v>2394</v>
      </c>
      <c r="I42" s="580" t="s">
        <v>44</v>
      </c>
      <c r="J42" s="542">
        <v>702323</v>
      </c>
      <c r="K42" s="557">
        <v>12195</v>
      </c>
      <c r="L42" s="557">
        <v>0</v>
      </c>
      <c r="M42" s="34">
        <v>0</v>
      </c>
      <c r="N42" s="34">
        <v>0</v>
      </c>
      <c r="O42" s="34">
        <v>0</v>
      </c>
      <c r="P42" s="34">
        <v>30059</v>
      </c>
      <c r="Q42" s="34">
        <v>23987</v>
      </c>
      <c r="R42" s="34">
        <v>33732</v>
      </c>
      <c r="S42" s="34">
        <v>32464</v>
      </c>
      <c r="T42" s="34">
        <v>44616</v>
      </c>
      <c r="U42" s="34">
        <v>50496</v>
      </c>
      <c r="V42" s="546">
        <f t="shared" si="2"/>
        <v>215354</v>
      </c>
      <c r="W42" s="547">
        <v>607659</v>
      </c>
      <c r="X42" s="32">
        <v>1</v>
      </c>
      <c r="Y42" s="33">
        <v>44218</v>
      </c>
      <c r="Z42" s="33">
        <v>44246</v>
      </c>
      <c r="AA42" s="34"/>
      <c r="AB42" s="35"/>
      <c r="AC42" s="27"/>
      <c r="AD42" s="33"/>
      <c r="AE42" s="557"/>
      <c r="AF42" s="32"/>
      <c r="AG42" s="27"/>
      <c r="AH42" s="33"/>
      <c r="AI42" s="506"/>
      <c r="AJ42" s="32"/>
      <c r="AK42" s="27"/>
      <c r="AL42" s="33"/>
      <c r="AM42" s="31"/>
      <c r="AN42" s="32"/>
      <c r="AO42" s="27"/>
      <c r="AP42" s="36"/>
      <c r="AQ42" s="549">
        <f t="shared" si="0"/>
        <v>607659</v>
      </c>
      <c r="AR42" s="550">
        <f t="shared" si="4"/>
        <v>392305</v>
      </c>
    </row>
    <row r="43" spans="2:44" s="39" customFormat="1" ht="22.5">
      <c r="B43" s="559">
        <f t="shared" si="3"/>
        <v>28</v>
      </c>
      <c r="C43" s="534" t="s">
        <v>39</v>
      </c>
      <c r="D43" s="563">
        <v>30471034</v>
      </c>
      <c r="E43" s="596" t="s">
        <v>2419</v>
      </c>
      <c r="F43" s="564" t="s">
        <v>317</v>
      </c>
      <c r="G43" s="554" t="s">
        <v>2384</v>
      </c>
      <c r="H43" s="552" t="s">
        <v>2392</v>
      </c>
      <c r="I43" s="555" t="s">
        <v>52</v>
      </c>
      <c r="J43" s="582">
        <v>597637</v>
      </c>
      <c r="K43" s="557">
        <v>5244</v>
      </c>
      <c r="L43" s="557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/>
      <c r="T43" s="34"/>
      <c r="U43" s="34"/>
      <c r="V43" s="546">
        <f t="shared" si="2"/>
        <v>0</v>
      </c>
      <c r="W43" s="558">
        <v>564676</v>
      </c>
      <c r="X43" s="32">
        <v>1</v>
      </c>
      <c r="Y43" s="33">
        <v>44218</v>
      </c>
      <c r="Z43" s="33">
        <v>44246</v>
      </c>
      <c r="AA43" s="34">
        <v>-564672</v>
      </c>
      <c r="AB43" s="35">
        <v>72</v>
      </c>
      <c r="AC43" s="33">
        <v>44386</v>
      </c>
      <c r="AD43" s="33">
        <v>44406</v>
      </c>
      <c r="AE43" s="557"/>
      <c r="AF43" s="32"/>
      <c r="AG43" s="27"/>
      <c r="AH43" s="33"/>
      <c r="AI43" s="506"/>
      <c r="AJ43" s="32"/>
      <c r="AK43" s="27"/>
      <c r="AL43" s="33"/>
      <c r="AM43" s="31"/>
      <c r="AN43" s="32"/>
      <c r="AO43" s="27"/>
      <c r="AP43" s="36"/>
      <c r="AQ43" s="549">
        <f t="shared" si="0"/>
        <v>4</v>
      </c>
      <c r="AR43" s="550">
        <f t="shared" si="4"/>
        <v>4</v>
      </c>
    </row>
    <row r="44" spans="2:44" s="39" customFormat="1" ht="22.5">
      <c r="B44" s="559">
        <f t="shared" si="3"/>
        <v>29</v>
      </c>
      <c r="C44" s="534" t="s">
        <v>39</v>
      </c>
      <c r="D44" s="567">
        <v>30473024</v>
      </c>
      <c r="E44" s="596" t="s">
        <v>2420</v>
      </c>
      <c r="F44" s="568" t="s">
        <v>317</v>
      </c>
      <c r="G44" s="539" t="s">
        <v>2384</v>
      </c>
      <c r="H44" s="540" t="s">
        <v>2385</v>
      </c>
      <c r="I44" s="580" t="s">
        <v>44</v>
      </c>
      <c r="J44" s="542">
        <v>216689</v>
      </c>
      <c r="K44" s="557">
        <v>210563</v>
      </c>
      <c r="L44" s="557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/>
      <c r="T44" s="34"/>
      <c r="U44" s="34"/>
      <c r="V44" s="546">
        <f t="shared" si="2"/>
        <v>0</v>
      </c>
      <c r="W44" s="547">
        <v>6126</v>
      </c>
      <c r="X44" s="32">
        <v>1</v>
      </c>
      <c r="Y44" s="33">
        <v>44218</v>
      </c>
      <c r="Z44" s="33">
        <v>44246</v>
      </c>
      <c r="AA44" s="34"/>
      <c r="AB44" s="35"/>
      <c r="AC44" s="27"/>
      <c r="AD44" s="33"/>
      <c r="AE44" s="557"/>
      <c r="AF44" s="32"/>
      <c r="AG44" s="27"/>
      <c r="AH44" s="33"/>
      <c r="AI44" s="506"/>
      <c r="AJ44" s="32"/>
      <c r="AK44" s="27"/>
      <c r="AL44" s="33"/>
      <c r="AM44" s="31"/>
      <c r="AN44" s="32"/>
      <c r="AO44" s="27"/>
      <c r="AP44" s="36"/>
      <c r="AQ44" s="549">
        <f t="shared" si="0"/>
        <v>6126</v>
      </c>
      <c r="AR44" s="550">
        <f t="shared" si="4"/>
        <v>6126</v>
      </c>
    </row>
    <row r="45" spans="2:44" s="39" customFormat="1" ht="22.5">
      <c r="B45" s="559">
        <f t="shared" si="3"/>
        <v>30</v>
      </c>
      <c r="C45" s="534" t="s">
        <v>39</v>
      </c>
      <c r="D45" s="563">
        <v>30473025</v>
      </c>
      <c r="E45" s="596" t="s">
        <v>2421</v>
      </c>
      <c r="F45" s="570" t="s">
        <v>317</v>
      </c>
      <c r="G45" s="554" t="s">
        <v>2384</v>
      </c>
      <c r="H45" s="552" t="s">
        <v>2385</v>
      </c>
      <c r="I45" s="555" t="s">
        <v>44</v>
      </c>
      <c r="J45" s="579">
        <v>236182</v>
      </c>
      <c r="K45" s="557">
        <v>230057</v>
      </c>
      <c r="L45" s="557">
        <v>2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492</v>
      </c>
      <c r="S45" s="34"/>
      <c r="T45" s="34"/>
      <c r="U45" s="34"/>
      <c r="V45" s="546">
        <f t="shared" si="2"/>
        <v>492</v>
      </c>
      <c r="W45" s="556">
        <v>6123</v>
      </c>
      <c r="X45" s="32">
        <v>1</v>
      </c>
      <c r="Y45" s="33">
        <v>44218</v>
      </c>
      <c r="Z45" s="33">
        <v>44246</v>
      </c>
      <c r="AA45" s="34">
        <v>493</v>
      </c>
      <c r="AB45" s="35">
        <v>51</v>
      </c>
      <c r="AC45" s="33">
        <v>44334</v>
      </c>
      <c r="AD45" s="33">
        <v>44350</v>
      </c>
      <c r="AE45" s="557"/>
      <c r="AF45" s="32"/>
      <c r="AG45" s="27"/>
      <c r="AH45" s="33"/>
      <c r="AI45" s="506"/>
      <c r="AJ45" s="32"/>
      <c r="AK45" s="27"/>
      <c r="AL45" s="33"/>
      <c r="AM45" s="31"/>
      <c r="AN45" s="32"/>
      <c r="AO45" s="27"/>
      <c r="AP45" s="36"/>
      <c r="AQ45" s="549">
        <f t="shared" si="0"/>
        <v>6616</v>
      </c>
      <c r="AR45" s="550">
        <f t="shared" si="4"/>
        <v>6124</v>
      </c>
    </row>
    <row r="46" spans="2:44" s="39" customFormat="1" ht="22.5">
      <c r="B46" s="559">
        <f t="shared" si="3"/>
        <v>31</v>
      </c>
      <c r="C46" s="534" t="s">
        <v>39</v>
      </c>
      <c r="D46" s="567">
        <v>30474635</v>
      </c>
      <c r="E46" s="596" t="s">
        <v>2422</v>
      </c>
      <c r="F46" s="562" t="s">
        <v>47</v>
      </c>
      <c r="G46" s="539" t="s">
        <v>2384</v>
      </c>
      <c r="H46" s="540" t="s">
        <v>2392</v>
      </c>
      <c r="I46" s="580" t="s">
        <v>52</v>
      </c>
      <c r="J46" s="584">
        <v>463920</v>
      </c>
      <c r="K46" s="557">
        <v>1324</v>
      </c>
      <c r="L46" s="557">
        <v>0</v>
      </c>
      <c r="M46" s="34">
        <v>0</v>
      </c>
      <c r="N46" s="34">
        <v>0</v>
      </c>
      <c r="O46" s="34">
        <v>20000</v>
      </c>
      <c r="P46" s="34">
        <v>0</v>
      </c>
      <c r="Q46" s="34">
        <v>60000</v>
      </c>
      <c r="R46" s="34">
        <v>0</v>
      </c>
      <c r="S46" s="34"/>
      <c r="T46" s="34">
        <v>40000</v>
      </c>
      <c r="U46" s="34"/>
      <c r="V46" s="546">
        <f t="shared" si="2"/>
        <v>120000</v>
      </c>
      <c r="W46" s="575">
        <v>80000</v>
      </c>
      <c r="X46" s="32">
        <v>1</v>
      </c>
      <c r="Y46" s="33">
        <v>44218</v>
      </c>
      <c r="Z46" s="33">
        <v>44246</v>
      </c>
      <c r="AA46" s="34">
        <v>160000</v>
      </c>
      <c r="AB46" s="35">
        <v>63</v>
      </c>
      <c r="AC46" s="33">
        <v>44361</v>
      </c>
      <c r="AD46" s="33">
        <v>44382</v>
      </c>
      <c r="AE46" s="557"/>
      <c r="AF46" s="32"/>
      <c r="AG46" s="27"/>
      <c r="AH46" s="33"/>
      <c r="AI46" s="506"/>
      <c r="AJ46" s="32"/>
      <c r="AK46" s="27"/>
      <c r="AL46" s="33"/>
      <c r="AM46" s="31"/>
      <c r="AN46" s="32"/>
      <c r="AO46" s="27"/>
      <c r="AP46" s="36"/>
      <c r="AQ46" s="549">
        <f t="shared" si="0"/>
        <v>240000</v>
      </c>
      <c r="AR46" s="550">
        <f t="shared" si="4"/>
        <v>120000</v>
      </c>
    </row>
    <row r="47" spans="2:44" s="39" customFormat="1">
      <c r="B47" s="559">
        <f t="shared" si="3"/>
        <v>32</v>
      </c>
      <c r="C47" s="534" t="s">
        <v>39</v>
      </c>
      <c r="D47" s="563">
        <v>30486557</v>
      </c>
      <c r="E47" s="596" t="s">
        <v>2423</v>
      </c>
      <c r="F47" s="564" t="s">
        <v>317</v>
      </c>
      <c r="G47" s="554" t="s">
        <v>2384</v>
      </c>
      <c r="H47" s="552" t="s">
        <v>2398</v>
      </c>
      <c r="I47" s="555" t="s">
        <v>44</v>
      </c>
      <c r="J47" s="582">
        <v>739831</v>
      </c>
      <c r="K47" s="557">
        <v>642046</v>
      </c>
      <c r="L47" s="557">
        <v>0</v>
      </c>
      <c r="M47" s="34">
        <v>0</v>
      </c>
      <c r="N47" s="34">
        <v>0</v>
      </c>
      <c r="O47" s="34">
        <v>0</v>
      </c>
      <c r="P47" s="34">
        <v>4739</v>
      </c>
      <c r="Q47" s="34">
        <v>129</v>
      </c>
      <c r="R47" s="34">
        <v>0</v>
      </c>
      <c r="S47" s="34"/>
      <c r="T47" s="34"/>
      <c r="U47" s="34"/>
      <c r="V47" s="546">
        <f t="shared" si="2"/>
        <v>4868</v>
      </c>
      <c r="W47" s="558">
        <v>18279</v>
      </c>
      <c r="X47" s="32">
        <v>1</v>
      </c>
      <c r="Y47" s="33">
        <v>44218</v>
      </c>
      <c r="Z47" s="33">
        <v>44246</v>
      </c>
      <c r="AA47" s="34">
        <v>7823</v>
      </c>
      <c r="AB47" s="35">
        <v>63</v>
      </c>
      <c r="AC47" s="33">
        <v>44361</v>
      </c>
      <c r="AD47" s="33">
        <v>44382</v>
      </c>
      <c r="AE47" s="557"/>
      <c r="AF47" s="32"/>
      <c r="AG47" s="27"/>
      <c r="AH47" s="33"/>
      <c r="AI47" s="506"/>
      <c r="AJ47" s="32"/>
      <c r="AK47" s="27"/>
      <c r="AL47" s="33"/>
      <c r="AM47" s="31"/>
      <c r="AN47" s="32"/>
      <c r="AO47" s="27"/>
      <c r="AP47" s="36"/>
      <c r="AQ47" s="549">
        <f t="shared" si="0"/>
        <v>26102</v>
      </c>
      <c r="AR47" s="550">
        <f t="shared" si="4"/>
        <v>21234</v>
      </c>
    </row>
    <row r="48" spans="2:44" s="39" customFormat="1" ht="22.5">
      <c r="B48" s="559">
        <f t="shared" si="3"/>
        <v>33</v>
      </c>
      <c r="C48" s="534" t="s">
        <v>39</v>
      </c>
      <c r="D48" s="567">
        <v>30486617</v>
      </c>
      <c r="E48" s="596" t="s">
        <v>2424</v>
      </c>
      <c r="F48" s="562" t="s">
        <v>317</v>
      </c>
      <c r="G48" s="539" t="s">
        <v>2384</v>
      </c>
      <c r="H48" s="540" t="s">
        <v>2392</v>
      </c>
      <c r="I48" s="580" t="s">
        <v>52</v>
      </c>
      <c r="J48" s="584">
        <v>775480</v>
      </c>
      <c r="K48" s="557">
        <v>5661</v>
      </c>
      <c r="L48" s="557">
        <v>76159</v>
      </c>
      <c r="M48" s="34">
        <v>0</v>
      </c>
      <c r="N48" s="34">
        <v>0</v>
      </c>
      <c r="O48" s="34">
        <v>0</v>
      </c>
      <c r="P48" s="34"/>
      <c r="Q48" s="34">
        <v>93690</v>
      </c>
      <c r="R48" s="34">
        <v>100632</v>
      </c>
      <c r="S48" s="34">
        <v>61409</v>
      </c>
      <c r="T48" s="34">
        <v>58881</v>
      </c>
      <c r="U48" s="34">
        <v>141202</v>
      </c>
      <c r="V48" s="546">
        <f t="shared" si="2"/>
        <v>455814</v>
      </c>
      <c r="W48" s="575">
        <v>692922</v>
      </c>
      <c r="X48" s="32">
        <v>1</v>
      </c>
      <c r="Y48" s="33">
        <v>44218</v>
      </c>
      <c r="Z48" s="33">
        <v>44246</v>
      </c>
      <c r="AA48" s="34"/>
      <c r="AB48" s="35"/>
      <c r="AC48" s="27"/>
      <c r="AD48" s="33"/>
      <c r="AE48" s="557"/>
      <c r="AF48" s="32"/>
      <c r="AG48" s="27"/>
      <c r="AH48" s="33"/>
      <c r="AI48" s="506"/>
      <c r="AJ48" s="32"/>
      <c r="AK48" s="27"/>
      <c r="AL48" s="33"/>
      <c r="AM48" s="31"/>
      <c r="AN48" s="32"/>
      <c r="AO48" s="27"/>
      <c r="AP48" s="36"/>
      <c r="AQ48" s="549">
        <f t="shared" si="0"/>
        <v>692922</v>
      </c>
      <c r="AR48" s="550">
        <f t="shared" si="4"/>
        <v>237108</v>
      </c>
    </row>
    <row r="49" spans="2:44" s="39" customFormat="1" ht="33.75">
      <c r="B49" s="559">
        <f t="shared" si="3"/>
        <v>34</v>
      </c>
      <c r="C49" s="534" t="s">
        <v>39</v>
      </c>
      <c r="D49" s="563">
        <v>40000471</v>
      </c>
      <c r="E49" s="596" t="s">
        <v>2425</v>
      </c>
      <c r="F49" s="570" t="s">
        <v>317</v>
      </c>
      <c r="G49" s="554" t="s">
        <v>2384</v>
      </c>
      <c r="H49" s="552" t="s">
        <v>2398</v>
      </c>
      <c r="I49" s="555" t="s">
        <v>52</v>
      </c>
      <c r="J49" s="579">
        <v>423385</v>
      </c>
      <c r="K49" s="557">
        <v>0</v>
      </c>
      <c r="L49" s="557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/>
      <c r="T49" s="34"/>
      <c r="U49" s="34"/>
      <c r="V49" s="546">
        <f t="shared" si="2"/>
        <v>0</v>
      </c>
      <c r="W49" s="556">
        <v>403578</v>
      </c>
      <c r="X49" s="32">
        <v>1</v>
      </c>
      <c r="Y49" s="33">
        <v>44218</v>
      </c>
      <c r="Z49" s="33">
        <v>44246</v>
      </c>
      <c r="AA49" s="34"/>
      <c r="AB49" s="35"/>
      <c r="AC49" s="27"/>
      <c r="AD49" s="33"/>
      <c r="AE49" s="557"/>
      <c r="AF49" s="32"/>
      <c r="AG49" s="27"/>
      <c r="AH49" s="33"/>
      <c r="AI49" s="506"/>
      <c r="AJ49" s="32"/>
      <c r="AK49" s="27"/>
      <c r="AL49" s="33"/>
      <c r="AM49" s="31"/>
      <c r="AN49" s="32"/>
      <c r="AO49" s="27"/>
      <c r="AP49" s="36"/>
      <c r="AQ49" s="549">
        <f t="shared" si="0"/>
        <v>403578</v>
      </c>
      <c r="AR49" s="550">
        <f t="shared" si="4"/>
        <v>403578</v>
      </c>
    </row>
    <row r="50" spans="2:44" s="39" customFormat="1" ht="22.5">
      <c r="B50" s="559">
        <f t="shared" si="3"/>
        <v>35</v>
      </c>
      <c r="C50" s="588" t="s">
        <v>39</v>
      </c>
      <c r="D50" s="567">
        <v>40000771</v>
      </c>
      <c r="E50" s="596" t="s">
        <v>2426</v>
      </c>
      <c r="F50" s="562" t="s">
        <v>317</v>
      </c>
      <c r="G50" s="539" t="s">
        <v>2384</v>
      </c>
      <c r="H50" s="540" t="s">
        <v>2398</v>
      </c>
      <c r="I50" s="580" t="s">
        <v>52</v>
      </c>
      <c r="J50" s="542">
        <v>190617</v>
      </c>
      <c r="K50" s="557">
        <v>112</v>
      </c>
      <c r="L50" s="557">
        <v>3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/>
      <c r="T50" s="34"/>
      <c r="U50" s="34"/>
      <c r="V50" s="546">
        <f t="shared" si="2"/>
        <v>0</v>
      </c>
      <c r="W50" s="547">
        <v>131023</v>
      </c>
      <c r="X50" s="32">
        <v>1</v>
      </c>
      <c r="Y50" s="33">
        <v>44218</v>
      </c>
      <c r="Z50" s="33">
        <v>44246</v>
      </c>
      <c r="AA50" s="34">
        <v>59423</v>
      </c>
      <c r="AB50" s="35">
        <v>72</v>
      </c>
      <c r="AC50" s="33">
        <v>44386</v>
      </c>
      <c r="AD50" s="33">
        <v>44406</v>
      </c>
      <c r="AE50" s="557">
        <v>4</v>
      </c>
      <c r="AF50" s="32">
        <v>89</v>
      </c>
      <c r="AG50" s="33">
        <v>44452</v>
      </c>
      <c r="AH50" s="33">
        <v>44466</v>
      </c>
      <c r="AI50" s="506"/>
      <c r="AJ50" s="32"/>
      <c r="AK50" s="27"/>
      <c r="AL50" s="33"/>
      <c r="AM50" s="31"/>
      <c r="AN50" s="32"/>
      <c r="AO50" s="27"/>
      <c r="AP50" s="36"/>
      <c r="AQ50" s="549">
        <f t="shared" si="0"/>
        <v>190450</v>
      </c>
      <c r="AR50" s="550">
        <f t="shared" si="4"/>
        <v>190450</v>
      </c>
    </row>
    <row r="51" spans="2:44" s="39" customFormat="1" ht="22.5">
      <c r="B51" s="559">
        <f t="shared" si="3"/>
        <v>36</v>
      </c>
      <c r="C51" s="576" t="s">
        <v>39</v>
      </c>
      <c r="D51" s="589">
        <v>40001061</v>
      </c>
      <c r="E51" s="596" t="s">
        <v>2427</v>
      </c>
      <c r="F51" s="564" t="s">
        <v>2428</v>
      </c>
      <c r="G51" s="554" t="s">
        <v>2384</v>
      </c>
      <c r="H51" s="590" t="s">
        <v>2405</v>
      </c>
      <c r="I51" s="555" t="s">
        <v>52</v>
      </c>
      <c r="J51" s="591">
        <v>881379</v>
      </c>
      <c r="K51" s="557">
        <v>0</v>
      </c>
      <c r="L51" s="557">
        <v>19318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/>
      <c r="T51" s="34"/>
      <c r="U51" s="34">
        <v>858671</v>
      </c>
      <c r="V51" s="546">
        <f t="shared" si="2"/>
        <v>858671</v>
      </c>
      <c r="W51" s="558">
        <v>858672</v>
      </c>
      <c r="X51" s="32">
        <v>1</v>
      </c>
      <c r="Y51" s="33">
        <v>44218</v>
      </c>
      <c r="Z51" s="33">
        <v>44246</v>
      </c>
      <c r="AA51" s="34">
        <v>-858671</v>
      </c>
      <c r="AB51" s="35">
        <v>63</v>
      </c>
      <c r="AC51" s="33">
        <v>44361</v>
      </c>
      <c r="AD51" s="33">
        <v>44382</v>
      </c>
      <c r="AE51" s="557">
        <v>858670</v>
      </c>
      <c r="AF51" s="32">
        <v>89</v>
      </c>
      <c r="AG51" s="33">
        <v>44452</v>
      </c>
      <c r="AH51" s="33">
        <v>44466</v>
      </c>
      <c r="AI51" s="506"/>
      <c r="AJ51" s="32"/>
      <c r="AK51" s="27"/>
      <c r="AL51" s="33"/>
      <c r="AM51" s="31"/>
      <c r="AN51" s="32"/>
      <c r="AO51" s="27"/>
      <c r="AP51" s="36"/>
      <c r="AQ51" s="549">
        <f t="shared" si="0"/>
        <v>858671</v>
      </c>
      <c r="AR51" s="550">
        <f t="shared" si="4"/>
        <v>0</v>
      </c>
    </row>
    <row r="52" spans="2:44" s="39" customFormat="1" ht="22.5">
      <c r="B52" s="559">
        <f t="shared" si="3"/>
        <v>37</v>
      </c>
      <c r="C52" s="535" t="s">
        <v>65</v>
      </c>
      <c r="D52" s="551">
        <v>40004633</v>
      </c>
      <c r="E52" s="596" t="s">
        <v>2429</v>
      </c>
      <c r="F52" s="553" t="s">
        <v>2383</v>
      </c>
      <c r="G52" s="554" t="s">
        <v>2384</v>
      </c>
      <c r="H52" s="552" t="s">
        <v>2398</v>
      </c>
      <c r="I52" s="555" t="s">
        <v>44</v>
      </c>
      <c r="J52" s="556">
        <v>140350</v>
      </c>
      <c r="K52" s="557">
        <v>0</v>
      </c>
      <c r="L52" s="543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592"/>
      <c r="T52" s="592"/>
      <c r="U52" s="592"/>
      <c r="V52" s="546">
        <f t="shared" si="2"/>
        <v>0</v>
      </c>
      <c r="W52" s="571">
        <v>140350</v>
      </c>
      <c r="X52" s="32">
        <v>1</v>
      </c>
      <c r="Y52" s="33">
        <v>44218</v>
      </c>
      <c r="Z52" s="33">
        <v>44246</v>
      </c>
      <c r="AA52" s="34">
        <v>-140350</v>
      </c>
      <c r="AB52" s="35">
        <v>10</v>
      </c>
      <c r="AC52" s="33">
        <v>44252</v>
      </c>
      <c r="AD52" s="33">
        <v>44277</v>
      </c>
      <c r="AE52" s="557"/>
      <c r="AF52" s="32"/>
      <c r="AG52" s="27"/>
      <c r="AH52" s="33"/>
      <c r="AI52" s="506"/>
      <c r="AJ52" s="32"/>
      <c r="AK52" s="27"/>
      <c r="AL52" s="33"/>
      <c r="AM52" s="31"/>
      <c r="AN52" s="32"/>
      <c r="AO52" s="27"/>
      <c r="AP52" s="36"/>
      <c r="AQ52" s="549">
        <f t="shared" si="0"/>
        <v>0</v>
      </c>
      <c r="AR52" s="550">
        <f t="shared" si="4"/>
        <v>0</v>
      </c>
    </row>
    <row r="53" spans="2:44" s="39" customFormat="1" ht="22.5">
      <c r="B53" s="559">
        <f t="shared" si="3"/>
        <v>38</v>
      </c>
      <c r="C53" s="560" t="s">
        <v>39</v>
      </c>
      <c r="D53" s="567">
        <v>40006757</v>
      </c>
      <c r="E53" s="596" t="s">
        <v>2430</v>
      </c>
      <c r="F53" s="568" t="s">
        <v>47</v>
      </c>
      <c r="G53" s="539" t="s">
        <v>2384</v>
      </c>
      <c r="H53" s="540" t="s">
        <v>2410</v>
      </c>
      <c r="I53" s="580" t="s">
        <v>52</v>
      </c>
      <c r="J53" s="542">
        <v>188388</v>
      </c>
      <c r="K53" s="557">
        <v>0</v>
      </c>
      <c r="L53" s="557">
        <v>2</v>
      </c>
      <c r="M53" s="34">
        <v>0</v>
      </c>
      <c r="N53" s="34">
        <v>0</v>
      </c>
      <c r="O53" s="34">
        <v>0</v>
      </c>
      <c r="P53" s="34">
        <v>0</v>
      </c>
      <c r="Q53" s="34">
        <v>50275</v>
      </c>
      <c r="R53" s="34">
        <v>0</v>
      </c>
      <c r="S53" s="34"/>
      <c r="T53" s="34">
        <v>21435</v>
      </c>
      <c r="U53" s="34"/>
      <c r="V53" s="546">
        <f t="shared" si="2"/>
        <v>71710</v>
      </c>
      <c r="W53" s="575">
        <v>177904</v>
      </c>
      <c r="X53" s="32">
        <v>1</v>
      </c>
      <c r="Y53" s="33">
        <v>44218</v>
      </c>
      <c r="Z53" s="33">
        <v>44246</v>
      </c>
      <c r="AA53" s="34"/>
      <c r="AB53" s="35"/>
      <c r="AC53" s="27"/>
      <c r="AD53" s="33"/>
      <c r="AE53" s="557"/>
      <c r="AF53" s="32"/>
      <c r="AG53" s="27"/>
      <c r="AH53" s="33"/>
      <c r="AI53" s="506"/>
      <c r="AJ53" s="32"/>
      <c r="AK53" s="27"/>
      <c r="AL53" s="33"/>
      <c r="AM53" s="31"/>
      <c r="AN53" s="32"/>
      <c r="AO53" s="27"/>
      <c r="AP53" s="36"/>
      <c r="AQ53" s="549">
        <f t="shared" si="0"/>
        <v>177904</v>
      </c>
      <c r="AR53" s="550">
        <f t="shared" si="4"/>
        <v>106194</v>
      </c>
    </row>
    <row r="54" spans="2:44" s="39" customFormat="1" ht="22.5">
      <c r="B54" s="559">
        <f t="shared" si="3"/>
        <v>39</v>
      </c>
      <c r="C54" s="534" t="s">
        <v>39</v>
      </c>
      <c r="D54" s="563">
        <v>40009556</v>
      </c>
      <c r="E54" s="596" t="s">
        <v>2431</v>
      </c>
      <c r="F54" s="564" t="s">
        <v>2428</v>
      </c>
      <c r="G54" s="554" t="s">
        <v>2384</v>
      </c>
      <c r="H54" s="552" t="s">
        <v>1059</v>
      </c>
      <c r="I54" s="555" t="s">
        <v>52</v>
      </c>
      <c r="J54" s="582">
        <v>148332</v>
      </c>
      <c r="K54" s="557">
        <v>0</v>
      </c>
      <c r="L54" s="557">
        <v>1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/>
      <c r="T54" s="34"/>
      <c r="U54" s="34"/>
      <c r="V54" s="546">
        <f t="shared" si="2"/>
        <v>0</v>
      </c>
      <c r="W54" s="558">
        <v>141393</v>
      </c>
      <c r="X54" s="32">
        <v>1</v>
      </c>
      <c r="Y54" s="33">
        <v>44218</v>
      </c>
      <c r="Z54" s="33">
        <v>44246</v>
      </c>
      <c r="AA54" s="34">
        <v>-141392</v>
      </c>
      <c r="AB54" s="35">
        <v>72</v>
      </c>
      <c r="AC54" s="33">
        <v>44386</v>
      </c>
      <c r="AD54" s="33">
        <v>44406</v>
      </c>
      <c r="AE54" s="557"/>
      <c r="AF54" s="32"/>
      <c r="AG54" s="27"/>
      <c r="AH54" s="33"/>
      <c r="AI54" s="506"/>
      <c r="AJ54" s="32"/>
      <c r="AK54" s="27"/>
      <c r="AL54" s="33"/>
      <c r="AM54" s="31"/>
      <c r="AN54" s="32"/>
      <c r="AO54" s="27"/>
      <c r="AP54" s="36"/>
      <c r="AQ54" s="549">
        <f t="shared" si="0"/>
        <v>1</v>
      </c>
      <c r="AR54" s="550">
        <f t="shared" si="4"/>
        <v>1</v>
      </c>
    </row>
    <row r="55" spans="2:44" s="39" customFormat="1" ht="22.5">
      <c r="B55" s="559">
        <f t="shared" si="3"/>
        <v>40</v>
      </c>
      <c r="C55" s="534" t="s">
        <v>39</v>
      </c>
      <c r="D55" s="567">
        <v>40010007</v>
      </c>
      <c r="E55" s="596" t="s">
        <v>2432</v>
      </c>
      <c r="F55" s="562" t="s">
        <v>317</v>
      </c>
      <c r="G55" s="539" t="s">
        <v>2384</v>
      </c>
      <c r="H55" s="540" t="s">
        <v>2385</v>
      </c>
      <c r="I55" s="580" t="s">
        <v>44</v>
      </c>
      <c r="J55" s="584">
        <v>11266057</v>
      </c>
      <c r="K55" s="557">
        <v>3278484</v>
      </c>
      <c r="L55" s="557">
        <v>1</v>
      </c>
      <c r="M55" s="34">
        <v>0</v>
      </c>
      <c r="N55" s="34">
        <v>1253010</v>
      </c>
      <c r="O55" s="34">
        <v>1143762</v>
      </c>
      <c r="P55" s="34">
        <v>1336815</v>
      </c>
      <c r="Q55" s="34">
        <v>309233</v>
      </c>
      <c r="R55" s="34">
        <v>1096174</v>
      </c>
      <c r="S55" s="34">
        <v>375999</v>
      </c>
      <c r="T55" s="34">
        <v>605928</v>
      </c>
      <c r="U55" s="34">
        <v>568066</v>
      </c>
      <c r="V55" s="546">
        <f t="shared" si="2"/>
        <v>6688987</v>
      </c>
      <c r="W55" s="575">
        <v>6841384</v>
      </c>
      <c r="X55" s="32">
        <v>1</v>
      </c>
      <c r="Y55" s="33">
        <v>44218</v>
      </c>
      <c r="Z55" s="33">
        <v>44246</v>
      </c>
      <c r="AA55" s="34">
        <v>691560</v>
      </c>
      <c r="AB55" s="35">
        <v>51</v>
      </c>
      <c r="AC55" s="33">
        <v>44334</v>
      </c>
      <c r="AD55" s="33">
        <v>44350</v>
      </c>
      <c r="AE55" s="557">
        <v>0</v>
      </c>
      <c r="AF55" s="35">
        <v>72</v>
      </c>
      <c r="AG55" s="33">
        <v>44386</v>
      </c>
      <c r="AH55" s="33">
        <v>44406</v>
      </c>
      <c r="AI55" s="557">
        <v>16000</v>
      </c>
      <c r="AJ55" s="32">
        <v>89</v>
      </c>
      <c r="AK55" s="33">
        <v>44452</v>
      </c>
      <c r="AL55" s="33">
        <v>44466</v>
      </c>
      <c r="AM55" s="31"/>
      <c r="AN55" s="32"/>
      <c r="AO55" s="27"/>
      <c r="AP55" s="36"/>
      <c r="AQ55" s="549">
        <f t="shared" si="0"/>
        <v>7548944</v>
      </c>
      <c r="AR55" s="550">
        <f t="shared" si="4"/>
        <v>859957</v>
      </c>
    </row>
    <row r="56" spans="2:44" s="39" customFormat="1">
      <c r="B56" s="559">
        <f t="shared" si="3"/>
        <v>41</v>
      </c>
      <c r="C56" s="534" t="s">
        <v>39</v>
      </c>
      <c r="D56" s="563">
        <v>40011384</v>
      </c>
      <c r="E56" s="596" t="s">
        <v>2433</v>
      </c>
      <c r="F56" s="570" t="s">
        <v>317</v>
      </c>
      <c r="G56" s="554" t="s">
        <v>2384</v>
      </c>
      <c r="H56" s="552" t="s">
        <v>2392</v>
      </c>
      <c r="I56" s="555" t="s">
        <v>52</v>
      </c>
      <c r="J56" s="579">
        <v>224219</v>
      </c>
      <c r="K56" s="557">
        <v>745</v>
      </c>
      <c r="L56" s="557">
        <v>0</v>
      </c>
      <c r="M56" s="34">
        <v>0</v>
      </c>
      <c r="N56" s="34">
        <v>37982</v>
      </c>
      <c r="O56" s="34">
        <v>0</v>
      </c>
      <c r="P56" s="34">
        <v>0</v>
      </c>
      <c r="Q56" s="34">
        <v>0</v>
      </c>
      <c r="R56" s="34">
        <v>0</v>
      </c>
      <c r="S56" s="34"/>
      <c r="T56" s="34">
        <v>56973</v>
      </c>
      <c r="U56" s="34"/>
      <c r="V56" s="546">
        <f t="shared" si="2"/>
        <v>94955</v>
      </c>
      <c r="W56" s="556">
        <v>189911</v>
      </c>
      <c r="X56" s="32">
        <v>1</v>
      </c>
      <c r="Y56" s="33">
        <v>44218</v>
      </c>
      <c r="Z56" s="33">
        <v>44246</v>
      </c>
      <c r="AA56" s="34"/>
      <c r="AB56" s="35"/>
      <c r="AC56" s="27"/>
      <c r="AD56" s="33"/>
      <c r="AE56" s="557"/>
      <c r="AF56" s="32"/>
      <c r="AG56" s="27"/>
      <c r="AH56" s="33"/>
      <c r="AI56" s="506"/>
      <c r="AJ56" s="32"/>
      <c r="AK56" s="27"/>
      <c r="AL56" s="33"/>
      <c r="AM56" s="31"/>
      <c r="AN56" s="32"/>
      <c r="AO56" s="27"/>
      <c r="AP56" s="36"/>
      <c r="AQ56" s="549">
        <f t="shared" si="0"/>
        <v>189911</v>
      </c>
      <c r="AR56" s="550">
        <f t="shared" si="4"/>
        <v>94956</v>
      </c>
    </row>
    <row r="57" spans="2:44" s="39" customFormat="1" ht="33.75">
      <c r="B57" s="559">
        <f t="shared" si="3"/>
        <v>42</v>
      </c>
      <c r="C57" s="534" t="s">
        <v>39</v>
      </c>
      <c r="D57" s="567">
        <v>40012071</v>
      </c>
      <c r="E57" s="596" t="s">
        <v>2434</v>
      </c>
      <c r="F57" s="568" t="s">
        <v>2428</v>
      </c>
      <c r="G57" s="539" t="s">
        <v>2384</v>
      </c>
      <c r="H57" s="540" t="s">
        <v>2398</v>
      </c>
      <c r="I57" s="580" t="s">
        <v>52</v>
      </c>
      <c r="J57" s="542">
        <v>513860</v>
      </c>
      <c r="K57" s="557">
        <v>0</v>
      </c>
      <c r="L57" s="557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7211</v>
      </c>
      <c r="T57" s="34">
        <v>7784</v>
      </c>
      <c r="U57" s="34">
        <v>47639</v>
      </c>
      <c r="V57" s="546">
        <f t="shared" si="2"/>
        <v>62634</v>
      </c>
      <c r="W57" s="547">
        <v>502554</v>
      </c>
      <c r="X57" s="32">
        <v>1</v>
      </c>
      <c r="Y57" s="33">
        <v>44218</v>
      </c>
      <c r="Z57" s="33">
        <v>44246</v>
      </c>
      <c r="AA57" s="34">
        <v>-400000</v>
      </c>
      <c r="AB57" s="35">
        <v>63</v>
      </c>
      <c r="AC57" s="33">
        <v>44361</v>
      </c>
      <c r="AD57" s="33">
        <v>44382</v>
      </c>
      <c r="AE57" s="557">
        <v>398990</v>
      </c>
      <c r="AF57" s="32">
        <v>89</v>
      </c>
      <c r="AG57" s="33">
        <v>44452</v>
      </c>
      <c r="AH57" s="33">
        <v>44466</v>
      </c>
      <c r="AI57" s="506"/>
      <c r="AJ57" s="32"/>
      <c r="AK57" s="27"/>
      <c r="AL57" s="33"/>
      <c r="AM57" s="31"/>
      <c r="AN57" s="32"/>
      <c r="AO57" s="27"/>
      <c r="AP57" s="36"/>
      <c r="AQ57" s="549">
        <f t="shared" si="0"/>
        <v>501544</v>
      </c>
      <c r="AR57" s="550">
        <f t="shared" si="4"/>
        <v>438910</v>
      </c>
    </row>
    <row r="58" spans="2:44" s="39" customFormat="1" ht="22.5">
      <c r="B58" s="559">
        <f t="shared" si="3"/>
        <v>43</v>
      </c>
      <c r="C58" s="534" t="s">
        <v>39</v>
      </c>
      <c r="D58" s="563">
        <v>40012594</v>
      </c>
      <c r="E58" s="596" t="s">
        <v>2435</v>
      </c>
      <c r="F58" s="564" t="s">
        <v>317</v>
      </c>
      <c r="G58" s="554" t="s">
        <v>2384</v>
      </c>
      <c r="H58" s="552" t="s">
        <v>2385</v>
      </c>
      <c r="I58" s="555" t="s">
        <v>52</v>
      </c>
      <c r="J58" s="582">
        <v>17218250</v>
      </c>
      <c r="K58" s="557">
        <v>15337</v>
      </c>
      <c r="L58" s="557">
        <v>14487693</v>
      </c>
      <c r="M58" s="34">
        <v>0</v>
      </c>
      <c r="N58" s="34">
        <v>0</v>
      </c>
      <c r="O58" s="34">
        <v>15220</v>
      </c>
      <c r="P58" s="34">
        <v>0</v>
      </c>
      <c r="Q58" s="34">
        <v>299900</v>
      </c>
      <c r="R58" s="34">
        <v>195059</v>
      </c>
      <c r="S58" s="34">
        <v>352035</v>
      </c>
      <c r="T58" s="34">
        <v>250010</v>
      </c>
      <c r="U58" s="34">
        <v>468960</v>
      </c>
      <c r="V58" s="546">
        <f t="shared" si="2"/>
        <v>1581184</v>
      </c>
      <c r="W58" s="558">
        <v>615220</v>
      </c>
      <c r="X58" s="32">
        <v>1</v>
      </c>
      <c r="Y58" s="33">
        <v>44218</v>
      </c>
      <c r="Z58" s="33">
        <v>44246</v>
      </c>
      <c r="AA58" s="34">
        <v>600000</v>
      </c>
      <c r="AB58" s="35">
        <v>51</v>
      </c>
      <c r="AC58" s="33">
        <v>44334</v>
      </c>
      <c r="AD58" s="33">
        <v>44350</v>
      </c>
      <c r="AE58" s="557">
        <v>1160000</v>
      </c>
      <c r="AF58" s="35">
        <v>72</v>
      </c>
      <c r="AG58" s="33">
        <v>44386</v>
      </c>
      <c r="AH58" s="33">
        <v>44406</v>
      </c>
      <c r="AI58" s="557">
        <v>-184000</v>
      </c>
      <c r="AJ58" s="32">
        <v>89</v>
      </c>
      <c r="AK58" s="33">
        <v>44452</v>
      </c>
      <c r="AL58" s="33">
        <v>44466</v>
      </c>
      <c r="AM58" s="31"/>
      <c r="AN58" s="32"/>
      <c r="AO58" s="27"/>
      <c r="AP58" s="36"/>
      <c r="AQ58" s="549">
        <f t="shared" si="0"/>
        <v>2191220</v>
      </c>
      <c r="AR58" s="550">
        <f t="shared" si="4"/>
        <v>610036</v>
      </c>
    </row>
    <row r="59" spans="2:44" s="39" customFormat="1" ht="22.5">
      <c r="B59" s="559">
        <f t="shared" si="3"/>
        <v>44</v>
      </c>
      <c r="C59" s="534" t="s">
        <v>39</v>
      </c>
      <c r="D59" s="567">
        <v>40015402</v>
      </c>
      <c r="E59" s="596" t="s">
        <v>2436</v>
      </c>
      <c r="F59" s="562" t="s">
        <v>317</v>
      </c>
      <c r="G59" s="539" t="s">
        <v>2384</v>
      </c>
      <c r="H59" s="540" t="s">
        <v>2392</v>
      </c>
      <c r="I59" s="580" t="s">
        <v>44</v>
      </c>
      <c r="J59" s="584">
        <v>639642</v>
      </c>
      <c r="K59" s="557">
        <v>313642</v>
      </c>
      <c r="L59" s="557">
        <v>0</v>
      </c>
      <c r="M59" s="34">
        <v>0</v>
      </c>
      <c r="N59" s="34">
        <v>0</v>
      </c>
      <c r="O59" s="34">
        <v>78594</v>
      </c>
      <c r="P59" s="34">
        <v>46067</v>
      </c>
      <c r="Q59" s="34">
        <v>19818</v>
      </c>
      <c r="R59" s="34">
        <v>38957</v>
      </c>
      <c r="S59" s="34">
        <v>19818</v>
      </c>
      <c r="T59" s="34"/>
      <c r="U59" s="34">
        <v>122623</v>
      </c>
      <c r="V59" s="546">
        <f t="shared" si="2"/>
        <v>325877</v>
      </c>
      <c r="W59" s="575">
        <v>325900</v>
      </c>
      <c r="X59" s="32">
        <v>1</v>
      </c>
      <c r="Y59" s="33">
        <v>44218</v>
      </c>
      <c r="Z59" s="33">
        <v>44246</v>
      </c>
      <c r="AA59" s="34"/>
      <c r="AB59" s="35"/>
      <c r="AC59" s="27"/>
      <c r="AD59" s="33"/>
      <c r="AE59" s="557"/>
      <c r="AF59" s="32"/>
      <c r="AG59" s="27"/>
      <c r="AH59" s="33"/>
      <c r="AI59" s="506"/>
      <c r="AJ59" s="32"/>
      <c r="AK59" s="27"/>
      <c r="AL59" s="33"/>
      <c r="AM59" s="31"/>
      <c r="AN59" s="32"/>
      <c r="AO59" s="27"/>
      <c r="AP59" s="36"/>
      <c r="AQ59" s="549">
        <f t="shared" si="0"/>
        <v>325900</v>
      </c>
      <c r="AR59" s="550">
        <f t="shared" si="4"/>
        <v>23</v>
      </c>
    </row>
    <row r="60" spans="2:44" s="39" customFormat="1" ht="22.5">
      <c r="B60" s="559">
        <f t="shared" si="3"/>
        <v>45</v>
      </c>
      <c r="C60" s="534" t="s">
        <v>39</v>
      </c>
      <c r="D60" s="563">
        <v>40015449</v>
      </c>
      <c r="E60" s="596" t="s">
        <v>2437</v>
      </c>
      <c r="F60" s="570" t="s">
        <v>317</v>
      </c>
      <c r="G60" s="554" t="s">
        <v>2384</v>
      </c>
      <c r="H60" s="552" t="s">
        <v>2388</v>
      </c>
      <c r="I60" s="555" t="s">
        <v>52</v>
      </c>
      <c r="J60" s="579">
        <v>323531</v>
      </c>
      <c r="K60" s="557">
        <v>0</v>
      </c>
      <c r="L60" s="557">
        <v>323531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/>
      <c r="T60" s="34"/>
      <c r="U60" s="34"/>
      <c r="V60" s="546">
        <f t="shared" si="2"/>
        <v>0</v>
      </c>
      <c r="W60" s="556">
        <v>2</v>
      </c>
      <c r="X60" s="32">
        <v>1</v>
      </c>
      <c r="Y60" s="33">
        <v>44218</v>
      </c>
      <c r="Z60" s="33">
        <v>44246</v>
      </c>
      <c r="AA60" s="34">
        <v>323529</v>
      </c>
      <c r="AB60" s="35">
        <v>72</v>
      </c>
      <c r="AC60" s="33">
        <v>44386</v>
      </c>
      <c r="AD60" s="33">
        <v>44406</v>
      </c>
      <c r="AE60" s="557"/>
      <c r="AF60" s="32"/>
      <c r="AG60" s="27"/>
      <c r="AH60" s="33"/>
      <c r="AI60" s="506"/>
      <c r="AJ60" s="32"/>
      <c r="AK60" s="27"/>
      <c r="AL60" s="33"/>
      <c r="AM60" s="31"/>
      <c r="AN60" s="32"/>
      <c r="AO60" s="27"/>
      <c r="AP60" s="36"/>
      <c r="AQ60" s="549">
        <f t="shared" si="0"/>
        <v>323531</v>
      </c>
      <c r="AR60" s="550">
        <f t="shared" si="4"/>
        <v>323531</v>
      </c>
    </row>
    <row r="61" spans="2:44" s="39" customFormat="1" ht="22.5">
      <c r="B61" s="559">
        <f t="shared" si="3"/>
        <v>46</v>
      </c>
      <c r="C61" s="534" t="s">
        <v>39</v>
      </c>
      <c r="D61" s="585">
        <v>40021623</v>
      </c>
      <c r="E61" s="596" t="s">
        <v>2438</v>
      </c>
      <c r="F61" s="562" t="s">
        <v>317</v>
      </c>
      <c r="G61" s="539" t="s">
        <v>2384</v>
      </c>
      <c r="H61" s="593" t="s">
        <v>2398</v>
      </c>
      <c r="I61" s="580" t="s">
        <v>52</v>
      </c>
      <c r="J61" s="587">
        <v>318304</v>
      </c>
      <c r="K61" s="557">
        <v>0</v>
      </c>
      <c r="L61" s="557">
        <v>66304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/>
      <c r="T61" s="34"/>
      <c r="U61" s="34"/>
      <c r="V61" s="546">
        <f t="shared" si="2"/>
        <v>0</v>
      </c>
      <c r="W61" s="575">
        <v>2</v>
      </c>
      <c r="X61" s="32">
        <v>1</v>
      </c>
      <c r="Y61" s="33">
        <v>44218</v>
      </c>
      <c r="Z61" s="33">
        <v>44246</v>
      </c>
      <c r="AA61" s="34">
        <v>251000</v>
      </c>
      <c r="AB61" s="35">
        <v>89</v>
      </c>
      <c r="AC61" s="33">
        <v>44452</v>
      </c>
      <c r="AD61" s="33">
        <v>44466</v>
      </c>
      <c r="AE61" s="557"/>
      <c r="AF61" s="32"/>
      <c r="AG61" s="27"/>
      <c r="AH61" s="33"/>
      <c r="AI61" s="506"/>
      <c r="AJ61" s="32"/>
      <c r="AK61" s="27"/>
      <c r="AL61" s="33"/>
      <c r="AM61" s="31"/>
      <c r="AN61" s="32"/>
      <c r="AO61" s="27"/>
      <c r="AP61" s="36"/>
      <c r="AQ61" s="549">
        <f t="shared" si="0"/>
        <v>251002</v>
      </c>
      <c r="AR61" s="550">
        <f t="shared" si="4"/>
        <v>251002</v>
      </c>
    </row>
    <row r="62" spans="2:44" s="39" customFormat="1" ht="22.5">
      <c r="B62" s="559">
        <f t="shared" si="3"/>
        <v>47</v>
      </c>
      <c r="C62" s="534" t="s">
        <v>39</v>
      </c>
      <c r="D62" s="563">
        <v>40021742</v>
      </c>
      <c r="E62" s="596" t="s">
        <v>2439</v>
      </c>
      <c r="F62" s="570" t="s">
        <v>317</v>
      </c>
      <c r="G62" s="554" t="s">
        <v>2384</v>
      </c>
      <c r="H62" s="552" t="s">
        <v>2392</v>
      </c>
      <c r="I62" s="555" t="s">
        <v>44</v>
      </c>
      <c r="J62" s="579">
        <v>99345</v>
      </c>
      <c r="K62" s="557">
        <v>94143</v>
      </c>
      <c r="L62" s="557">
        <v>0</v>
      </c>
      <c r="M62" s="34">
        <v>0</v>
      </c>
      <c r="N62" s="34">
        <v>5202</v>
      </c>
      <c r="O62" s="34">
        <v>0</v>
      </c>
      <c r="P62" s="34">
        <v>0</v>
      </c>
      <c r="Q62" s="34">
        <v>0</v>
      </c>
      <c r="R62" s="34">
        <v>0</v>
      </c>
      <c r="S62" s="34"/>
      <c r="T62" s="34"/>
      <c r="U62" s="34"/>
      <c r="V62" s="546">
        <f t="shared" si="2"/>
        <v>5202</v>
      </c>
      <c r="W62" s="556">
        <v>5202</v>
      </c>
      <c r="X62" s="32">
        <v>1</v>
      </c>
      <c r="Y62" s="33">
        <v>44218</v>
      </c>
      <c r="Z62" s="33">
        <v>44246</v>
      </c>
      <c r="AA62" s="34"/>
      <c r="AB62" s="35"/>
      <c r="AC62" s="27"/>
      <c r="AD62" s="33"/>
      <c r="AE62" s="557"/>
      <c r="AF62" s="32"/>
      <c r="AG62" s="27"/>
      <c r="AH62" s="33"/>
      <c r="AI62" s="506"/>
      <c r="AJ62" s="32"/>
      <c r="AK62" s="27"/>
      <c r="AL62" s="33"/>
      <c r="AM62" s="31"/>
      <c r="AN62" s="32"/>
      <c r="AO62" s="27"/>
      <c r="AP62" s="36"/>
      <c r="AQ62" s="549">
        <f t="shared" si="0"/>
        <v>5202</v>
      </c>
      <c r="AR62" s="550">
        <f t="shared" si="4"/>
        <v>0</v>
      </c>
    </row>
    <row r="63" spans="2:44" s="39" customFormat="1" ht="22.5">
      <c r="B63" s="559">
        <f t="shared" si="3"/>
        <v>48</v>
      </c>
      <c r="C63" s="534" t="s">
        <v>39</v>
      </c>
      <c r="D63" s="585">
        <v>40022151</v>
      </c>
      <c r="E63" s="596" t="s">
        <v>2440</v>
      </c>
      <c r="F63" s="562" t="s">
        <v>317</v>
      </c>
      <c r="G63" s="539" t="s">
        <v>2384</v>
      </c>
      <c r="H63" s="540" t="s">
        <v>342</v>
      </c>
      <c r="I63" s="580" t="s">
        <v>52</v>
      </c>
      <c r="J63" s="587">
        <v>309818</v>
      </c>
      <c r="K63" s="557">
        <v>0</v>
      </c>
      <c r="L63" s="557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/>
      <c r="T63" s="34"/>
      <c r="U63" s="34"/>
      <c r="V63" s="546">
        <f t="shared" si="2"/>
        <v>0</v>
      </c>
      <c r="W63" s="575">
        <v>2</v>
      </c>
      <c r="X63" s="32">
        <v>1</v>
      </c>
      <c r="Y63" s="33">
        <v>44218</v>
      </c>
      <c r="Z63" s="33">
        <v>44246</v>
      </c>
      <c r="AA63" s="34"/>
      <c r="AB63" s="35"/>
      <c r="AC63" s="27"/>
      <c r="AD63" s="33"/>
      <c r="AE63" s="557"/>
      <c r="AF63" s="32"/>
      <c r="AG63" s="27"/>
      <c r="AH63" s="33"/>
      <c r="AI63" s="506"/>
      <c r="AJ63" s="32"/>
      <c r="AK63" s="27"/>
      <c r="AL63" s="33"/>
      <c r="AM63" s="31"/>
      <c r="AN63" s="32"/>
      <c r="AO63" s="27"/>
      <c r="AP63" s="36"/>
      <c r="AQ63" s="549">
        <f t="shared" si="0"/>
        <v>2</v>
      </c>
      <c r="AR63" s="550">
        <f t="shared" si="4"/>
        <v>2</v>
      </c>
    </row>
    <row r="64" spans="2:44" s="39" customFormat="1" ht="22.5">
      <c r="B64" s="559">
        <f t="shared" si="3"/>
        <v>49</v>
      </c>
      <c r="C64" s="534" t="s">
        <v>39</v>
      </c>
      <c r="D64" s="589">
        <v>40028090</v>
      </c>
      <c r="E64" s="596" t="s">
        <v>2441</v>
      </c>
      <c r="F64" s="564" t="s">
        <v>2428</v>
      </c>
      <c r="G64" s="554" t="s">
        <v>2384</v>
      </c>
      <c r="H64" s="552" t="s">
        <v>342</v>
      </c>
      <c r="I64" s="555" t="s">
        <v>52</v>
      </c>
      <c r="J64" s="591">
        <v>496401</v>
      </c>
      <c r="K64" s="557">
        <v>0</v>
      </c>
      <c r="L64" s="557">
        <v>2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/>
      <c r="T64" s="34"/>
      <c r="U64" s="34"/>
      <c r="V64" s="546">
        <f t="shared" si="2"/>
        <v>0</v>
      </c>
      <c r="W64" s="558">
        <v>110000</v>
      </c>
      <c r="X64" s="32">
        <v>1</v>
      </c>
      <c r="Y64" s="33">
        <v>44218</v>
      </c>
      <c r="Z64" s="33">
        <v>44246</v>
      </c>
      <c r="AA64" s="34">
        <v>386399</v>
      </c>
      <c r="AB64" s="32">
        <v>31</v>
      </c>
      <c r="AC64" s="33">
        <v>44293</v>
      </c>
      <c r="AD64" s="33">
        <v>44307</v>
      </c>
      <c r="AE64" s="557">
        <v>-318000</v>
      </c>
      <c r="AF64" s="35">
        <v>72</v>
      </c>
      <c r="AG64" s="33">
        <v>44386</v>
      </c>
      <c r="AH64" s="33">
        <v>44406</v>
      </c>
      <c r="AI64" s="506"/>
      <c r="AJ64" s="32"/>
      <c r="AK64" s="27"/>
      <c r="AL64" s="33"/>
      <c r="AM64" s="31"/>
      <c r="AN64" s="32"/>
      <c r="AO64" s="27"/>
      <c r="AP64" s="36"/>
      <c r="AQ64" s="549">
        <f t="shared" si="0"/>
        <v>178399</v>
      </c>
      <c r="AR64" s="550">
        <f t="shared" si="4"/>
        <v>178399</v>
      </c>
    </row>
    <row r="65" spans="2:44" s="39" customFormat="1">
      <c r="B65" s="559">
        <f t="shared" si="3"/>
        <v>50</v>
      </c>
      <c r="C65" s="534" t="s">
        <v>39</v>
      </c>
      <c r="D65" s="567">
        <v>30067992</v>
      </c>
      <c r="E65" s="596" t="s">
        <v>2442</v>
      </c>
      <c r="F65" s="562" t="s">
        <v>317</v>
      </c>
      <c r="G65" s="539" t="s">
        <v>2384</v>
      </c>
      <c r="H65" s="540" t="s">
        <v>2405</v>
      </c>
      <c r="I65" s="580" t="s">
        <v>44</v>
      </c>
      <c r="J65" s="542">
        <v>20315415</v>
      </c>
      <c r="K65" s="557">
        <v>19317723</v>
      </c>
      <c r="L65" s="557">
        <v>286184</v>
      </c>
      <c r="M65" s="34">
        <v>0</v>
      </c>
      <c r="N65" s="34">
        <v>0</v>
      </c>
      <c r="O65" s="34">
        <v>3600</v>
      </c>
      <c r="P65" s="34">
        <v>106</v>
      </c>
      <c r="Q65" s="34">
        <v>0</v>
      </c>
      <c r="R65" s="34">
        <v>0</v>
      </c>
      <c r="S65" s="34"/>
      <c r="T65" s="34">
        <v>821</v>
      </c>
      <c r="U65" s="34">
        <v>388</v>
      </c>
      <c r="V65" s="546">
        <f t="shared" si="2"/>
        <v>4915</v>
      </c>
      <c r="W65" s="575">
        <v>286184</v>
      </c>
      <c r="X65" s="32">
        <v>3</v>
      </c>
      <c r="Y65" s="33">
        <v>44229</v>
      </c>
      <c r="Z65" s="33">
        <v>44252</v>
      </c>
      <c r="AA65" s="34">
        <v>568776</v>
      </c>
      <c r="AB65" s="32">
        <v>31</v>
      </c>
      <c r="AC65" s="33">
        <v>44293</v>
      </c>
      <c r="AD65" s="33">
        <v>44307</v>
      </c>
      <c r="AE65" s="557"/>
      <c r="AF65" s="32"/>
      <c r="AG65" s="27"/>
      <c r="AH65" s="33"/>
      <c r="AI65" s="506"/>
      <c r="AJ65" s="32"/>
      <c r="AK65" s="27"/>
      <c r="AL65" s="33"/>
      <c r="AM65" s="31"/>
      <c r="AN65" s="32"/>
      <c r="AO65" s="27"/>
      <c r="AP65" s="36"/>
      <c r="AQ65" s="549">
        <f t="shared" si="0"/>
        <v>854960</v>
      </c>
      <c r="AR65" s="550">
        <f t="shared" si="4"/>
        <v>850045</v>
      </c>
    </row>
    <row r="66" spans="2:44" s="39" customFormat="1" ht="22.5">
      <c r="B66" s="559">
        <f t="shared" si="3"/>
        <v>51</v>
      </c>
      <c r="C66" s="534" t="s">
        <v>39</v>
      </c>
      <c r="D66" s="563">
        <v>30124722</v>
      </c>
      <c r="E66" s="596" t="s">
        <v>2443</v>
      </c>
      <c r="F66" s="570" t="s">
        <v>317</v>
      </c>
      <c r="G66" s="554" t="s">
        <v>2384</v>
      </c>
      <c r="H66" s="552" t="s">
        <v>2394</v>
      </c>
      <c r="I66" s="555" t="s">
        <v>52</v>
      </c>
      <c r="J66" s="579">
        <v>2482935</v>
      </c>
      <c r="K66" s="557">
        <v>0</v>
      </c>
      <c r="L66" s="557">
        <v>1362008</v>
      </c>
      <c r="M66" s="34">
        <v>0</v>
      </c>
      <c r="N66" s="34">
        <v>0</v>
      </c>
      <c r="O66" s="34">
        <v>0</v>
      </c>
      <c r="P66" s="34">
        <v>96257</v>
      </c>
      <c r="Q66" s="34">
        <v>0</v>
      </c>
      <c r="R66" s="34">
        <v>0</v>
      </c>
      <c r="S66" s="34"/>
      <c r="T66" s="34"/>
      <c r="U66" s="34"/>
      <c r="V66" s="546">
        <f t="shared" si="2"/>
        <v>96257</v>
      </c>
      <c r="W66" s="558">
        <v>1118707</v>
      </c>
      <c r="X66" s="32">
        <v>3</v>
      </c>
      <c r="Y66" s="33">
        <v>44229</v>
      </c>
      <c r="Z66" s="33">
        <v>44252</v>
      </c>
      <c r="AA66" s="34">
        <v>-950000</v>
      </c>
      <c r="AB66" s="35">
        <v>51</v>
      </c>
      <c r="AC66" s="33">
        <v>44334</v>
      </c>
      <c r="AD66" s="33">
        <v>44350</v>
      </c>
      <c r="AE66" s="557"/>
      <c r="AF66" s="32"/>
      <c r="AG66" s="27"/>
      <c r="AH66" s="33"/>
      <c r="AI66" s="506"/>
      <c r="AJ66" s="32"/>
      <c r="AK66" s="27"/>
      <c r="AL66" s="33"/>
      <c r="AM66" s="31"/>
      <c r="AN66" s="32"/>
      <c r="AO66" s="27"/>
      <c r="AP66" s="36"/>
      <c r="AQ66" s="549">
        <f t="shared" si="0"/>
        <v>168707</v>
      </c>
      <c r="AR66" s="550">
        <f t="shared" si="4"/>
        <v>72450</v>
      </c>
    </row>
    <row r="67" spans="2:44" s="39" customFormat="1" ht="22.5">
      <c r="B67" s="559">
        <f t="shared" si="3"/>
        <v>52</v>
      </c>
      <c r="C67" s="534" t="s">
        <v>39</v>
      </c>
      <c r="D67" s="567">
        <v>30392925</v>
      </c>
      <c r="E67" s="596" t="s">
        <v>2444</v>
      </c>
      <c r="F67" s="568" t="s">
        <v>317</v>
      </c>
      <c r="G67" s="539" t="s">
        <v>2384</v>
      </c>
      <c r="H67" s="540" t="s">
        <v>342</v>
      </c>
      <c r="I67" s="580" t="s">
        <v>52</v>
      </c>
      <c r="J67" s="542">
        <v>8976235</v>
      </c>
      <c r="K67" s="557">
        <v>1022</v>
      </c>
      <c r="L67" s="557">
        <v>8618908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/>
      <c r="T67" s="34"/>
      <c r="U67" s="34"/>
      <c r="V67" s="546">
        <f t="shared" si="2"/>
        <v>0</v>
      </c>
      <c r="W67" s="575">
        <v>5088</v>
      </c>
      <c r="X67" s="32">
        <v>3</v>
      </c>
      <c r="Y67" s="33">
        <v>44229</v>
      </c>
      <c r="Z67" s="33">
        <v>44252</v>
      </c>
      <c r="AA67" s="34">
        <v>351196</v>
      </c>
      <c r="AB67" s="35">
        <v>89</v>
      </c>
      <c r="AC67" s="33">
        <v>44452</v>
      </c>
      <c r="AD67" s="33">
        <v>44466</v>
      </c>
      <c r="AE67" s="557"/>
      <c r="AF67" s="32"/>
      <c r="AG67" s="27"/>
      <c r="AH67" s="33"/>
      <c r="AI67" s="506"/>
      <c r="AJ67" s="32"/>
      <c r="AK67" s="27"/>
      <c r="AL67" s="33"/>
      <c r="AM67" s="31"/>
      <c r="AN67" s="32"/>
      <c r="AO67" s="27"/>
      <c r="AP67" s="36"/>
      <c r="AQ67" s="549">
        <f t="shared" si="0"/>
        <v>356284</v>
      </c>
      <c r="AR67" s="550">
        <f t="shared" si="4"/>
        <v>356284</v>
      </c>
    </row>
    <row r="68" spans="2:44" s="39" customFormat="1" ht="22.5">
      <c r="B68" s="559">
        <f t="shared" si="3"/>
        <v>53</v>
      </c>
      <c r="C68" s="534" t="s">
        <v>39</v>
      </c>
      <c r="D68" s="563">
        <v>30423990</v>
      </c>
      <c r="E68" s="596" t="s">
        <v>2445</v>
      </c>
      <c r="F68" s="564" t="s">
        <v>317</v>
      </c>
      <c r="G68" s="554" t="s">
        <v>2384</v>
      </c>
      <c r="H68" s="552" t="s">
        <v>2392</v>
      </c>
      <c r="I68" s="555" t="s">
        <v>52</v>
      </c>
      <c r="J68" s="579">
        <v>817983</v>
      </c>
      <c r="K68" s="557">
        <v>0</v>
      </c>
      <c r="L68" s="557">
        <v>492983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/>
      <c r="T68" s="34"/>
      <c r="U68" s="34"/>
      <c r="V68" s="546">
        <f t="shared" si="2"/>
        <v>0</v>
      </c>
      <c r="W68" s="558">
        <v>325000</v>
      </c>
      <c r="X68" s="32">
        <v>3</v>
      </c>
      <c r="Y68" s="33">
        <v>44229</v>
      </c>
      <c r="Z68" s="33">
        <v>44252</v>
      </c>
      <c r="AA68" s="34"/>
      <c r="AB68" s="35"/>
      <c r="AC68" s="27"/>
      <c r="AD68" s="33"/>
      <c r="AE68" s="557"/>
      <c r="AF68" s="32"/>
      <c r="AG68" s="27"/>
      <c r="AH68" s="33"/>
      <c r="AI68" s="506"/>
      <c r="AJ68" s="32"/>
      <c r="AK68" s="27"/>
      <c r="AL68" s="33"/>
      <c r="AM68" s="31"/>
      <c r="AN68" s="32"/>
      <c r="AO68" s="27"/>
      <c r="AP68" s="36"/>
      <c r="AQ68" s="549">
        <f t="shared" si="0"/>
        <v>325000</v>
      </c>
      <c r="AR68" s="550">
        <f t="shared" si="4"/>
        <v>325000</v>
      </c>
    </row>
    <row r="69" spans="2:44" s="39" customFormat="1" ht="22.5">
      <c r="B69" s="559">
        <f t="shared" si="3"/>
        <v>54</v>
      </c>
      <c r="C69" s="534" t="s">
        <v>39</v>
      </c>
      <c r="D69" s="567">
        <v>30424073</v>
      </c>
      <c r="E69" s="596" t="s">
        <v>2446</v>
      </c>
      <c r="F69" s="568" t="s">
        <v>317</v>
      </c>
      <c r="G69" s="539" t="s">
        <v>2384</v>
      </c>
      <c r="H69" s="540" t="s">
        <v>2388</v>
      </c>
      <c r="I69" s="580" t="s">
        <v>52</v>
      </c>
      <c r="J69" s="542">
        <v>837396</v>
      </c>
      <c r="K69" s="557">
        <v>0</v>
      </c>
      <c r="L69" s="557">
        <v>470432</v>
      </c>
      <c r="M69" s="34">
        <v>0</v>
      </c>
      <c r="N69" s="34">
        <v>0</v>
      </c>
      <c r="O69" s="34">
        <v>0</v>
      </c>
      <c r="P69" s="34">
        <v>5000</v>
      </c>
      <c r="Q69" s="34">
        <v>0</v>
      </c>
      <c r="R69" s="34">
        <v>0</v>
      </c>
      <c r="S69" s="34"/>
      <c r="T69" s="34"/>
      <c r="U69" s="34"/>
      <c r="V69" s="546">
        <f t="shared" si="2"/>
        <v>5000</v>
      </c>
      <c r="W69" s="575">
        <v>308438</v>
      </c>
      <c r="X69" s="32">
        <v>3</v>
      </c>
      <c r="Y69" s="33">
        <v>44229</v>
      </c>
      <c r="Z69" s="33">
        <v>44252</v>
      </c>
      <c r="AA69" s="34">
        <v>58173</v>
      </c>
      <c r="AB69" s="35">
        <v>72</v>
      </c>
      <c r="AC69" s="33">
        <v>44386</v>
      </c>
      <c r="AD69" s="33">
        <v>44406</v>
      </c>
      <c r="AE69" s="557"/>
      <c r="AF69" s="32"/>
      <c r="AG69" s="27"/>
      <c r="AH69" s="33"/>
      <c r="AI69" s="506"/>
      <c r="AJ69" s="32"/>
      <c r="AK69" s="27"/>
      <c r="AL69" s="33"/>
      <c r="AM69" s="31"/>
      <c r="AN69" s="32"/>
      <c r="AO69" s="27"/>
      <c r="AP69" s="36"/>
      <c r="AQ69" s="549">
        <f t="shared" si="0"/>
        <v>366611</v>
      </c>
      <c r="AR69" s="550">
        <f t="shared" si="4"/>
        <v>361611</v>
      </c>
    </row>
    <row r="70" spans="2:44" s="39" customFormat="1" ht="22.5">
      <c r="B70" s="559">
        <f t="shared" si="3"/>
        <v>55</v>
      </c>
      <c r="C70" s="534" t="s">
        <v>39</v>
      </c>
      <c r="D70" s="563">
        <v>30487374</v>
      </c>
      <c r="E70" s="596" t="s">
        <v>2447</v>
      </c>
      <c r="F70" s="564" t="s">
        <v>317</v>
      </c>
      <c r="G70" s="554" t="s">
        <v>2384</v>
      </c>
      <c r="H70" s="552" t="s">
        <v>2398</v>
      </c>
      <c r="I70" s="555" t="s">
        <v>52</v>
      </c>
      <c r="J70" s="579">
        <v>440929</v>
      </c>
      <c r="K70" s="557">
        <v>270</v>
      </c>
      <c r="L70" s="557">
        <v>62954</v>
      </c>
      <c r="M70" s="34">
        <v>0</v>
      </c>
      <c r="N70" s="34">
        <v>0</v>
      </c>
      <c r="O70" s="34">
        <v>0</v>
      </c>
      <c r="P70" s="34">
        <v>5000</v>
      </c>
      <c r="Q70" s="34">
        <v>0</v>
      </c>
      <c r="R70" s="34">
        <v>0</v>
      </c>
      <c r="S70" s="34"/>
      <c r="T70" s="34"/>
      <c r="U70" s="34"/>
      <c r="V70" s="546">
        <f t="shared" si="2"/>
        <v>5000</v>
      </c>
      <c r="W70" s="558">
        <v>376320</v>
      </c>
      <c r="X70" s="32">
        <v>3</v>
      </c>
      <c r="Y70" s="33">
        <v>44229</v>
      </c>
      <c r="Z70" s="33">
        <v>44252</v>
      </c>
      <c r="AA70" s="34">
        <v>-376317</v>
      </c>
      <c r="AB70" s="35">
        <v>72</v>
      </c>
      <c r="AC70" s="33">
        <v>44386</v>
      </c>
      <c r="AD70" s="33">
        <v>44406</v>
      </c>
      <c r="AE70" s="557"/>
      <c r="AF70" s="32"/>
      <c r="AG70" s="27"/>
      <c r="AH70" s="33"/>
      <c r="AI70" s="506"/>
      <c r="AJ70" s="32"/>
      <c r="AK70" s="27"/>
      <c r="AL70" s="33"/>
      <c r="AM70" s="31"/>
      <c r="AN70" s="32"/>
      <c r="AO70" s="27"/>
      <c r="AP70" s="36"/>
      <c r="AQ70" s="549">
        <f t="shared" si="0"/>
        <v>3</v>
      </c>
      <c r="AR70" s="594">
        <f t="shared" si="4"/>
        <v>-4997</v>
      </c>
    </row>
    <row r="71" spans="2:44" s="39" customFormat="1" ht="22.5">
      <c r="B71" s="559">
        <f t="shared" si="3"/>
        <v>56</v>
      </c>
      <c r="C71" s="534" t="s">
        <v>39</v>
      </c>
      <c r="D71" s="567">
        <v>40009760</v>
      </c>
      <c r="E71" s="596" t="s">
        <v>2448</v>
      </c>
      <c r="F71" s="568" t="s">
        <v>47</v>
      </c>
      <c r="G71" s="539" t="s">
        <v>2384</v>
      </c>
      <c r="H71" s="540" t="s">
        <v>342</v>
      </c>
      <c r="I71" s="580" t="s">
        <v>52</v>
      </c>
      <c r="J71" s="542">
        <v>838373</v>
      </c>
      <c r="K71" s="557">
        <v>0</v>
      </c>
      <c r="L71" s="557">
        <v>121601</v>
      </c>
      <c r="M71" s="34">
        <v>0</v>
      </c>
      <c r="N71" s="34">
        <v>0</v>
      </c>
      <c r="O71" s="34">
        <v>0</v>
      </c>
      <c r="P71" s="34">
        <v>500000</v>
      </c>
      <c r="Q71" s="34">
        <v>0</v>
      </c>
      <c r="R71" s="34">
        <v>0</v>
      </c>
      <c r="S71" s="34"/>
      <c r="T71" s="34"/>
      <c r="U71" s="34"/>
      <c r="V71" s="546">
        <f t="shared" si="2"/>
        <v>500000</v>
      </c>
      <c r="W71" s="575">
        <v>705500</v>
      </c>
      <c r="X71" s="32">
        <v>3</v>
      </c>
      <c r="Y71" s="33">
        <v>44229</v>
      </c>
      <c r="Z71" s="33">
        <v>44252</v>
      </c>
      <c r="AA71" s="34">
        <v>-200000</v>
      </c>
      <c r="AB71" s="35">
        <v>89</v>
      </c>
      <c r="AC71" s="33">
        <v>44452</v>
      </c>
      <c r="AD71" s="33">
        <v>44466</v>
      </c>
      <c r="AE71" s="557"/>
      <c r="AF71" s="32"/>
      <c r="AG71" s="27"/>
      <c r="AH71" s="33"/>
      <c r="AI71" s="506"/>
      <c r="AJ71" s="32"/>
      <c r="AK71" s="27"/>
      <c r="AL71" s="33"/>
      <c r="AM71" s="31"/>
      <c r="AN71" s="32"/>
      <c r="AO71" s="27"/>
      <c r="AP71" s="36"/>
      <c r="AQ71" s="549">
        <f t="shared" si="0"/>
        <v>505500</v>
      </c>
      <c r="AR71" s="550">
        <f t="shared" si="4"/>
        <v>5500</v>
      </c>
    </row>
    <row r="72" spans="2:44" s="39" customFormat="1" ht="22.5">
      <c r="B72" s="559">
        <f t="shared" si="3"/>
        <v>57</v>
      </c>
      <c r="C72" s="534" t="s">
        <v>39</v>
      </c>
      <c r="D72" s="563">
        <v>40018374</v>
      </c>
      <c r="E72" s="596" t="s">
        <v>2449</v>
      </c>
      <c r="F72" s="570" t="s">
        <v>317</v>
      </c>
      <c r="G72" s="554" t="s">
        <v>2384</v>
      </c>
      <c r="H72" s="552" t="s">
        <v>2398</v>
      </c>
      <c r="I72" s="555" t="s">
        <v>52</v>
      </c>
      <c r="J72" s="582">
        <v>473507</v>
      </c>
      <c r="K72" s="557">
        <v>0</v>
      </c>
      <c r="L72" s="557">
        <v>238333</v>
      </c>
      <c r="M72" s="34">
        <v>0</v>
      </c>
      <c r="N72" s="34">
        <v>0</v>
      </c>
      <c r="O72" s="34">
        <v>0</v>
      </c>
      <c r="P72" s="34">
        <v>0</v>
      </c>
      <c r="Q72" s="34">
        <v>1000</v>
      </c>
      <c r="R72" s="34">
        <v>0</v>
      </c>
      <c r="S72" s="34"/>
      <c r="T72" s="34"/>
      <c r="U72" s="34"/>
      <c r="V72" s="546">
        <f t="shared" si="2"/>
        <v>1000</v>
      </c>
      <c r="W72" s="558">
        <v>235152</v>
      </c>
      <c r="X72" s="32">
        <v>3</v>
      </c>
      <c r="Y72" s="33">
        <v>44229</v>
      </c>
      <c r="Z72" s="33">
        <v>44252</v>
      </c>
      <c r="AA72" s="34"/>
      <c r="AB72" s="35"/>
      <c r="AC72" s="27"/>
      <c r="AD72" s="33"/>
      <c r="AE72" s="557"/>
      <c r="AF72" s="32"/>
      <c r="AG72" s="27"/>
      <c r="AH72" s="33"/>
      <c r="AI72" s="506"/>
      <c r="AJ72" s="32"/>
      <c r="AK72" s="27"/>
      <c r="AL72" s="33"/>
      <c r="AM72" s="31"/>
      <c r="AN72" s="32"/>
      <c r="AO72" s="27"/>
      <c r="AP72" s="36"/>
      <c r="AQ72" s="549">
        <f t="shared" si="0"/>
        <v>235152</v>
      </c>
      <c r="AR72" s="550">
        <f t="shared" si="4"/>
        <v>234152</v>
      </c>
    </row>
    <row r="73" spans="2:44" s="39" customFormat="1" ht="22.5">
      <c r="B73" s="559">
        <f t="shared" si="3"/>
        <v>58</v>
      </c>
      <c r="C73" s="534" t="s">
        <v>39</v>
      </c>
      <c r="D73" s="567">
        <v>40023066</v>
      </c>
      <c r="E73" s="596" t="s">
        <v>2450</v>
      </c>
      <c r="F73" s="568" t="s">
        <v>47</v>
      </c>
      <c r="G73" s="539" t="s">
        <v>2384</v>
      </c>
      <c r="H73" s="540" t="s">
        <v>2392</v>
      </c>
      <c r="I73" s="580" t="s">
        <v>52</v>
      </c>
      <c r="J73" s="584">
        <v>89839</v>
      </c>
      <c r="K73" s="557">
        <v>0</v>
      </c>
      <c r="L73" s="557">
        <v>70634</v>
      </c>
      <c r="M73" s="34">
        <v>0</v>
      </c>
      <c r="N73" s="34">
        <v>0</v>
      </c>
      <c r="O73" s="34">
        <v>0</v>
      </c>
      <c r="P73" s="34">
        <v>0</v>
      </c>
      <c r="Q73" s="34">
        <v>1762</v>
      </c>
      <c r="R73" s="34">
        <v>0</v>
      </c>
      <c r="S73" s="34"/>
      <c r="T73" s="34"/>
      <c r="U73" s="34"/>
      <c r="V73" s="546">
        <f t="shared" si="2"/>
        <v>1762</v>
      </c>
      <c r="W73" s="575">
        <v>19165</v>
      </c>
      <c r="X73" s="32">
        <v>3</v>
      </c>
      <c r="Y73" s="33">
        <v>44229</v>
      </c>
      <c r="Z73" s="33">
        <v>44252</v>
      </c>
      <c r="AA73" s="34"/>
      <c r="AB73" s="35"/>
      <c r="AC73" s="27"/>
      <c r="AD73" s="33"/>
      <c r="AE73" s="557"/>
      <c r="AF73" s="32"/>
      <c r="AG73" s="27"/>
      <c r="AH73" s="33"/>
      <c r="AI73" s="506"/>
      <c r="AJ73" s="32"/>
      <c r="AK73" s="27"/>
      <c r="AL73" s="33"/>
      <c r="AM73" s="31"/>
      <c r="AN73" s="32"/>
      <c r="AO73" s="27"/>
      <c r="AP73" s="36"/>
      <c r="AQ73" s="549">
        <f t="shared" si="0"/>
        <v>19165</v>
      </c>
      <c r="AR73" s="550">
        <f t="shared" si="4"/>
        <v>17403</v>
      </c>
    </row>
    <row r="74" spans="2:44" s="39" customFormat="1" ht="22.5">
      <c r="B74" s="559">
        <f t="shared" si="3"/>
        <v>59</v>
      </c>
      <c r="C74" s="534" t="s">
        <v>39</v>
      </c>
      <c r="D74" s="563">
        <v>40026579</v>
      </c>
      <c r="E74" s="596" t="s">
        <v>2451</v>
      </c>
      <c r="F74" s="570" t="s">
        <v>47</v>
      </c>
      <c r="G74" s="554" t="s">
        <v>2384</v>
      </c>
      <c r="H74" s="552" t="s">
        <v>2394</v>
      </c>
      <c r="I74" s="555" t="s">
        <v>52</v>
      </c>
      <c r="J74" s="582">
        <v>96146</v>
      </c>
      <c r="K74" s="557">
        <v>0</v>
      </c>
      <c r="L74" s="557">
        <v>0</v>
      </c>
      <c r="M74" s="34">
        <v>0</v>
      </c>
      <c r="N74" s="34">
        <v>0</v>
      </c>
      <c r="O74" s="34">
        <v>0</v>
      </c>
      <c r="P74" s="34">
        <v>0</v>
      </c>
      <c r="Q74" s="34"/>
      <c r="R74" s="34">
        <v>0</v>
      </c>
      <c r="S74" s="34"/>
      <c r="T74" s="34"/>
      <c r="U74" s="34"/>
      <c r="V74" s="546">
        <f t="shared" si="2"/>
        <v>0</v>
      </c>
      <c r="W74" s="558">
        <v>94030</v>
      </c>
      <c r="X74" s="32">
        <v>3</v>
      </c>
      <c r="Y74" s="33">
        <v>44229</v>
      </c>
      <c r="Z74" s="33">
        <v>44252</v>
      </c>
      <c r="AA74" s="34"/>
      <c r="AB74" s="35"/>
      <c r="AC74" s="27"/>
      <c r="AD74" s="33"/>
      <c r="AE74" s="557"/>
      <c r="AF74" s="32"/>
      <c r="AG74" s="27"/>
      <c r="AH74" s="33"/>
      <c r="AI74" s="506"/>
      <c r="AJ74" s="32"/>
      <c r="AK74" s="27"/>
      <c r="AL74" s="33"/>
      <c r="AM74" s="31"/>
      <c r="AN74" s="32"/>
      <c r="AO74" s="27"/>
      <c r="AP74" s="36"/>
      <c r="AQ74" s="549">
        <f t="shared" si="0"/>
        <v>94030</v>
      </c>
      <c r="AR74" s="550">
        <f t="shared" si="4"/>
        <v>94030</v>
      </c>
    </row>
    <row r="75" spans="2:44" s="39" customFormat="1" ht="22.5">
      <c r="B75" s="559">
        <f t="shared" si="3"/>
        <v>60</v>
      </c>
      <c r="C75" s="535" t="s">
        <v>65</v>
      </c>
      <c r="D75" s="595">
        <v>30323673</v>
      </c>
      <c r="E75" s="596" t="s">
        <v>2452</v>
      </c>
      <c r="F75" s="597" t="s">
        <v>2383</v>
      </c>
      <c r="G75" s="539" t="s">
        <v>2384</v>
      </c>
      <c r="H75" s="540" t="s">
        <v>342</v>
      </c>
      <c r="I75" s="555" t="s">
        <v>52</v>
      </c>
      <c r="J75" s="582">
        <v>179057</v>
      </c>
      <c r="K75" s="557">
        <v>91386</v>
      </c>
      <c r="L75" s="557">
        <v>46360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/>
      <c r="T75" s="34"/>
      <c r="U75" s="34"/>
      <c r="V75" s="546">
        <f t="shared" si="2"/>
        <v>0</v>
      </c>
      <c r="W75" s="557">
        <v>41311</v>
      </c>
      <c r="X75" s="32">
        <v>31</v>
      </c>
      <c r="Y75" s="33">
        <v>44293</v>
      </c>
      <c r="Z75" s="33">
        <v>44307</v>
      </c>
      <c r="AA75" s="34"/>
      <c r="AB75" s="35"/>
      <c r="AC75" s="27"/>
      <c r="AD75" s="33"/>
      <c r="AE75" s="557"/>
      <c r="AF75" s="32"/>
      <c r="AG75" s="27"/>
      <c r="AH75" s="33"/>
      <c r="AI75" s="506"/>
      <c r="AJ75" s="32"/>
      <c r="AK75" s="27"/>
      <c r="AL75" s="33"/>
      <c r="AM75" s="31"/>
      <c r="AN75" s="32"/>
      <c r="AO75" s="27"/>
      <c r="AP75" s="36"/>
      <c r="AQ75" s="549">
        <f t="shared" si="0"/>
        <v>41311</v>
      </c>
      <c r="AR75" s="598">
        <f t="shared" si="4"/>
        <v>41311</v>
      </c>
    </row>
    <row r="76" spans="2:44" s="39" customFormat="1" ht="22.5">
      <c r="B76" s="559">
        <f t="shared" si="3"/>
        <v>61</v>
      </c>
      <c r="C76" s="535" t="s">
        <v>65</v>
      </c>
      <c r="D76" s="595">
        <v>40004633</v>
      </c>
      <c r="E76" s="596" t="s">
        <v>2429</v>
      </c>
      <c r="F76" s="599" t="s">
        <v>2383</v>
      </c>
      <c r="G76" s="554" t="s">
        <v>2384</v>
      </c>
      <c r="H76" s="552" t="s">
        <v>2398</v>
      </c>
      <c r="I76" s="555" t="s">
        <v>52</v>
      </c>
      <c r="J76" s="582">
        <v>140350</v>
      </c>
      <c r="K76" s="557">
        <v>0</v>
      </c>
      <c r="L76" s="557">
        <v>90170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21026</v>
      </c>
      <c r="S76" s="34"/>
      <c r="T76" s="34"/>
      <c r="U76" s="34"/>
      <c r="V76" s="546">
        <f t="shared" si="2"/>
        <v>21026</v>
      </c>
      <c r="W76" s="557">
        <v>50180</v>
      </c>
      <c r="X76" s="32">
        <v>31</v>
      </c>
      <c r="Y76" s="33">
        <v>44293</v>
      </c>
      <c r="Z76" s="33">
        <v>44307</v>
      </c>
      <c r="AA76" s="557"/>
      <c r="AB76" s="32"/>
      <c r="AC76" s="33"/>
      <c r="AD76" s="33"/>
      <c r="AE76" s="557"/>
      <c r="AF76" s="32"/>
      <c r="AG76" s="27"/>
      <c r="AH76" s="33"/>
      <c r="AI76" s="506"/>
      <c r="AJ76" s="32"/>
      <c r="AK76" s="27"/>
      <c r="AL76" s="33"/>
      <c r="AM76" s="31"/>
      <c r="AN76" s="32"/>
      <c r="AO76" s="27"/>
      <c r="AP76" s="36"/>
      <c r="AQ76" s="549">
        <f t="shared" si="0"/>
        <v>50180</v>
      </c>
      <c r="AR76" s="598">
        <f t="shared" si="4"/>
        <v>29154</v>
      </c>
    </row>
    <row r="77" spans="2:44" s="39" customFormat="1" ht="22.5">
      <c r="B77" s="559">
        <f t="shared" si="3"/>
        <v>62</v>
      </c>
      <c r="C77" s="534" t="s">
        <v>39</v>
      </c>
      <c r="D77" s="595">
        <v>30120147</v>
      </c>
      <c r="E77" s="596" t="s">
        <v>2453</v>
      </c>
      <c r="F77" s="597" t="s">
        <v>317</v>
      </c>
      <c r="G77" s="554" t="s">
        <v>2384</v>
      </c>
      <c r="H77" s="540" t="s">
        <v>2388</v>
      </c>
      <c r="I77" s="555" t="s">
        <v>52</v>
      </c>
      <c r="J77" s="582">
        <v>4031630</v>
      </c>
      <c r="K77" s="557">
        <v>0</v>
      </c>
      <c r="L77" s="557">
        <v>3480958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30674</v>
      </c>
      <c r="S77" s="34"/>
      <c r="T77" s="34"/>
      <c r="U77" s="34"/>
      <c r="V77" s="546">
        <f t="shared" si="2"/>
        <v>30674</v>
      </c>
      <c r="W77" s="600">
        <v>550672</v>
      </c>
      <c r="X77" s="32">
        <v>31</v>
      </c>
      <c r="Y77" s="33">
        <v>44293</v>
      </c>
      <c r="Z77" s="33">
        <v>44307</v>
      </c>
      <c r="AA77" s="34">
        <v>-464998</v>
      </c>
      <c r="AB77" s="35">
        <v>72</v>
      </c>
      <c r="AC77" s="33">
        <v>44386</v>
      </c>
      <c r="AD77" s="33">
        <v>44406</v>
      </c>
      <c r="AE77" s="557">
        <v>-54000</v>
      </c>
      <c r="AF77" s="32">
        <v>89</v>
      </c>
      <c r="AG77" s="33">
        <v>44452</v>
      </c>
      <c r="AH77" s="33">
        <v>44466</v>
      </c>
      <c r="AI77" s="506"/>
      <c r="AJ77" s="32"/>
      <c r="AK77" s="27"/>
      <c r="AL77" s="33"/>
      <c r="AM77" s="31"/>
      <c r="AN77" s="32"/>
      <c r="AO77" s="27"/>
      <c r="AP77" s="36"/>
      <c r="AQ77" s="549">
        <f t="shared" si="0"/>
        <v>31674</v>
      </c>
      <c r="AR77" s="598">
        <f t="shared" si="4"/>
        <v>1000</v>
      </c>
    </row>
    <row r="78" spans="2:44" s="39" customFormat="1" ht="22.5">
      <c r="B78" s="559">
        <f t="shared" si="3"/>
        <v>63</v>
      </c>
      <c r="C78" s="534" t="s">
        <v>39</v>
      </c>
      <c r="D78" s="595">
        <v>30371072</v>
      </c>
      <c r="E78" s="596" t="s">
        <v>2454</v>
      </c>
      <c r="F78" s="599" t="s">
        <v>317</v>
      </c>
      <c r="G78" s="554" t="s">
        <v>2384</v>
      </c>
      <c r="H78" s="552" t="s">
        <v>2385</v>
      </c>
      <c r="I78" s="555" t="s">
        <v>52</v>
      </c>
      <c r="J78" s="582">
        <v>770766</v>
      </c>
      <c r="K78" s="557">
        <v>0</v>
      </c>
      <c r="L78" s="557">
        <v>338760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/>
      <c r="T78" s="34"/>
      <c r="U78" s="34"/>
      <c r="V78" s="546">
        <f t="shared" si="2"/>
        <v>0</v>
      </c>
      <c r="W78" s="600">
        <v>432006</v>
      </c>
      <c r="X78" s="32">
        <v>31</v>
      </c>
      <c r="Y78" s="33">
        <v>44293</v>
      </c>
      <c r="Z78" s="33">
        <v>44307</v>
      </c>
      <c r="AA78" s="34"/>
      <c r="AB78" s="35"/>
      <c r="AC78" s="27"/>
      <c r="AD78" s="33"/>
      <c r="AE78" s="557"/>
      <c r="AF78" s="32"/>
      <c r="AG78" s="27"/>
      <c r="AH78" s="33"/>
      <c r="AI78" s="506"/>
      <c r="AJ78" s="32"/>
      <c r="AK78" s="27"/>
      <c r="AL78" s="33"/>
      <c r="AM78" s="31"/>
      <c r="AN78" s="32"/>
      <c r="AO78" s="27"/>
      <c r="AP78" s="36"/>
      <c r="AQ78" s="549">
        <f t="shared" si="0"/>
        <v>432006</v>
      </c>
      <c r="AR78" s="598">
        <f t="shared" si="4"/>
        <v>432006</v>
      </c>
    </row>
    <row r="79" spans="2:44" s="39" customFormat="1">
      <c r="B79" s="559">
        <f t="shared" si="3"/>
        <v>64</v>
      </c>
      <c r="C79" s="534" t="s">
        <v>39</v>
      </c>
      <c r="D79" s="595">
        <v>30405923</v>
      </c>
      <c r="E79" s="596" t="s">
        <v>2455</v>
      </c>
      <c r="F79" s="597" t="s">
        <v>317</v>
      </c>
      <c r="G79" s="574" t="s">
        <v>2384</v>
      </c>
      <c r="H79" s="540" t="s">
        <v>342</v>
      </c>
      <c r="I79" s="555" t="s">
        <v>52</v>
      </c>
      <c r="J79" s="582">
        <v>328643</v>
      </c>
      <c r="K79" s="557">
        <v>6405</v>
      </c>
      <c r="L79" s="557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/>
      <c r="T79" s="34"/>
      <c r="U79" s="34"/>
      <c r="V79" s="546">
        <f t="shared" si="2"/>
        <v>0</v>
      </c>
      <c r="W79" s="600">
        <v>207912</v>
      </c>
      <c r="X79" s="32">
        <v>31</v>
      </c>
      <c r="Y79" s="33">
        <v>44293</v>
      </c>
      <c r="Z79" s="33">
        <v>44307</v>
      </c>
      <c r="AA79" s="34"/>
      <c r="AB79" s="35"/>
      <c r="AC79" s="27"/>
      <c r="AD79" s="33"/>
      <c r="AE79" s="557"/>
      <c r="AF79" s="32"/>
      <c r="AG79" s="27"/>
      <c r="AH79" s="33"/>
      <c r="AI79" s="506"/>
      <c r="AJ79" s="32"/>
      <c r="AK79" s="27"/>
      <c r="AL79" s="33"/>
      <c r="AM79" s="31"/>
      <c r="AN79" s="32"/>
      <c r="AO79" s="27"/>
      <c r="AP79" s="36"/>
      <c r="AQ79" s="549">
        <f t="shared" si="0"/>
        <v>207912</v>
      </c>
      <c r="AR79" s="598">
        <f t="shared" si="4"/>
        <v>207912</v>
      </c>
    </row>
    <row r="80" spans="2:44" s="39" customFormat="1" ht="22.5">
      <c r="B80" s="559">
        <f t="shared" si="3"/>
        <v>65</v>
      </c>
      <c r="C80" s="534" t="s">
        <v>39</v>
      </c>
      <c r="D80" s="595">
        <v>30474284</v>
      </c>
      <c r="E80" s="596" t="s">
        <v>2456</v>
      </c>
      <c r="F80" s="570" t="s">
        <v>317</v>
      </c>
      <c r="G80" s="554" t="s">
        <v>2384</v>
      </c>
      <c r="H80" s="552" t="s">
        <v>2388</v>
      </c>
      <c r="I80" s="555" t="s">
        <v>52</v>
      </c>
      <c r="J80" s="582">
        <v>100540</v>
      </c>
      <c r="K80" s="557">
        <v>3257</v>
      </c>
      <c r="L80" s="557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/>
      <c r="T80" s="34"/>
      <c r="U80" s="34"/>
      <c r="V80" s="546">
        <f t="shared" si="2"/>
        <v>0</v>
      </c>
      <c r="W80" s="600">
        <v>92650</v>
      </c>
      <c r="X80" s="32">
        <v>31</v>
      </c>
      <c r="Y80" s="33">
        <v>44293</v>
      </c>
      <c r="Z80" s="33">
        <v>44307</v>
      </c>
      <c r="AA80" s="34">
        <v>4548</v>
      </c>
      <c r="AB80" s="35">
        <v>72</v>
      </c>
      <c r="AC80" s="33">
        <v>44386</v>
      </c>
      <c r="AD80" s="33">
        <v>44406</v>
      </c>
      <c r="AE80" s="557"/>
      <c r="AF80" s="32"/>
      <c r="AG80" s="27"/>
      <c r="AH80" s="33"/>
      <c r="AI80" s="506"/>
      <c r="AJ80" s="32"/>
      <c r="AK80" s="27"/>
      <c r="AL80" s="33"/>
      <c r="AM80" s="31"/>
      <c r="AN80" s="32"/>
      <c r="AO80" s="27"/>
      <c r="AP80" s="36"/>
      <c r="AQ80" s="549">
        <f t="shared" ref="AQ80:AQ96" si="5">+W80+AA80+AE80+AI80+AM80</f>
        <v>97198</v>
      </c>
      <c r="AR80" s="598">
        <f t="shared" si="4"/>
        <v>97198</v>
      </c>
    </row>
    <row r="81" spans="2:44" s="39" customFormat="1" ht="22.5">
      <c r="B81" s="559">
        <f t="shared" si="3"/>
        <v>66</v>
      </c>
      <c r="C81" s="534" t="s">
        <v>39</v>
      </c>
      <c r="D81" s="595">
        <v>30482630</v>
      </c>
      <c r="E81" s="596" t="s">
        <v>2457</v>
      </c>
      <c r="F81" s="537" t="s">
        <v>317</v>
      </c>
      <c r="G81" s="601" t="s">
        <v>2384</v>
      </c>
      <c r="H81" s="540" t="s">
        <v>2398</v>
      </c>
      <c r="I81" s="555" t="s">
        <v>52</v>
      </c>
      <c r="J81" s="582">
        <v>384286</v>
      </c>
      <c r="K81" s="557">
        <v>12727</v>
      </c>
      <c r="L81" s="557">
        <v>371558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/>
      <c r="T81" s="34"/>
      <c r="U81" s="34"/>
      <c r="V81" s="546">
        <f t="shared" ref="V81:V98" si="6">SUM(M81:U81)</f>
        <v>0</v>
      </c>
      <c r="W81" s="600">
        <v>1</v>
      </c>
      <c r="X81" s="32">
        <v>31</v>
      </c>
      <c r="Y81" s="33">
        <v>44293</v>
      </c>
      <c r="Z81" s="33">
        <v>44307</v>
      </c>
      <c r="AA81" s="34"/>
      <c r="AB81" s="35"/>
      <c r="AC81" s="27"/>
      <c r="AD81" s="33"/>
      <c r="AE81" s="557"/>
      <c r="AF81" s="32"/>
      <c r="AG81" s="27"/>
      <c r="AH81" s="33"/>
      <c r="AI81" s="506"/>
      <c r="AJ81" s="32"/>
      <c r="AK81" s="27"/>
      <c r="AL81" s="33"/>
      <c r="AM81" s="31"/>
      <c r="AN81" s="32"/>
      <c r="AO81" s="27"/>
      <c r="AP81" s="36"/>
      <c r="AQ81" s="549">
        <f t="shared" si="5"/>
        <v>1</v>
      </c>
      <c r="AR81" s="598">
        <f t="shared" si="4"/>
        <v>1</v>
      </c>
    </row>
    <row r="82" spans="2:44" s="39" customFormat="1" ht="22.5">
      <c r="B82" s="559">
        <f t="shared" si="3"/>
        <v>67</v>
      </c>
      <c r="C82" s="534" t="s">
        <v>39</v>
      </c>
      <c r="D82" s="595">
        <v>30487163</v>
      </c>
      <c r="E82" s="596" t="s">
        <v>2458</v>
      </c>
      <c r="F82" s="602" t="s">
        <v>317</v>
      </c>
      <c r="G82" s="554" t="s">
        <v>2384</v>
      </c>
      <c r="H82" s="552" t="s">
        <v>2398</v>
      </c>
      <c r="I82" s="555" t="s">
        <v>52</v>
      </c>
      <c r="J82" s="582">
        <v>123211</v>
      </c>
      <c r="K82" s="557">
        <v>511</v>
      </c>
      <c r="L82" s="557">
        <v>122700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20641</v>
      </c>
      <c r="S82" s="34">
        <v>41998</v>
      </c>
      <c r="T82" s="34">
        <v>35463</v>
      </c>
      <c r="U82" s="34"/>
      <c r="V82" s="546">
        <f t="shared" si="6"/>
        <v>98102</v>
      </c>
      <c r="W82" s="600">
        <v>120000</v>
      </c>
      <c r="X82" s="32">
        <v>31</v>
      </c>
      <c r="Y82" s="33">
        <v>44293</v>
      </c>
      <c r="Z82" s="33">
        <v>44307</v>
      </c>
      <c r="AA82" s="34"/>
      <c r="AB82" s="35"/>
      <c r="AC82" s="27"/>
      <c r="AD82" s="33"/>
      <c r="AE82" s="557"/>
      <c r="AF82" s="32"/>
      <c r="AG82" s="27"/>
      <c r="AH82" s="33"/>
      <c r="AI82" s="506"/>
      <c r="AJ82" s="32"/>
      <c r="AK82" s="27"/>
      <c r="AL82" s="33"/>
      <c r="AM82" s="31"/>
      <c r="AN82" s="32"/>
      <c r="AO82" s="27"/>
      <c r="AP82" s="36"/>
      <c r="AQ82" s="549">
        <f t="shared" si="5"/>
        <v>120000</v>
      </c>
      <c r="AR82" s="598">
        <f t="shared" si="4"/>
        <v>21898</v>
      </c>
    </row>
    <row r="83" spans="2:44" s="39" customFormat="1" ht="33.75">
      <c r="B83" s="559">
        <f t="shared" ref="B83:B96" si="7">+B82+1</f>
        <v>68</v>
      </c>
      <c r="C83" s="534" t="s">
        <v>39</v>
      </c>
      <c r="D83" s="595">
        <v>40000083</v>
      </c>
      <c r="E83" s="596" t="s">
        <v>2459</v>
      </c>
      <c r="F83" s="599" t="s">
        <v>317</v>
      </c>
      <c r="G83" s="554" t="s">
        <v>2384</v>
      </c>
      <c r="H83" s="552" t="s">
        <v>342</v>
      </c>
      <c r="I83" s="555" t="s">
        <v>52</v>
      </c>
      <c r="J83" s="582">
        <v>433408</v>
      </c>
      <c r="K83" s="557">
        <v>0</v>
      </c>
      <c r="L83" s="557">
        <v>301007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/>
      <c r="T83" s="34"/>
      <c r="U83" s="34"/>
      <c r="V83" s="546">
        <f t="shared" si="6"/>
        <v>0</v>
      </c>
      <c r="W83" s="600">
        <v>4090</v>
      </c>
      <c r="X83" s="32">
        <v>31</v>
      </c>
      <c r="Y83" s="33">
        <v>44293</v>
      </c>
      <c r="Z83" s="33">
        <v>44307</v>
      </c>
      <c r="AA83" s="34">
        <v>128307</v>
      </c>
      <c r="AB83" s="35">
        <v>72</v>
      </c>
      <c r="AC83" s="33">
        <v>44386</v>
      </c>
      <c r="AD83" s="33">
        <v>44406</v>
      </c>
      <c r="AE83" s="557"/>
      <c r="AF83" s="32"/>
      <c r="AG83" s="27"/>
      <c r="AH83" s="33"/>
      <c r="AI83" s="506"/>
      <c r="AJ83" s="32"/>
      <c r="AK83" s="27"/>
      <c r="AL83" s="33"/>
      <c r="AM83" s="31"/>
      <c r="AN83" s="32"/>
      <c r="AO83" s="27"/>
      <c r="AP83" s="36"/>
      <c r="AQ83" s="549">
        <f t="shared" si="5"/>
        <v>132397</v>
      </c>
      <c r="AR83" s="598">
        <f t="shared" si="4"/>
        <v>132397</v>
      </c>
    </row>
    <row r="84" spans="2:44" s="39" customFormat="1" ht="22.5">
      <c r="B84" s="559">
        <f t="shared" si="7"/>
        <v>69</v>
      </c>
      <c r="C84" s="534" t="s">
        <v>39</v>
      </c>
      <c r="D84" s="595">
        <v>40000423</v>
      </c>
      <c r="E84" s="596" t="s">
        <v>2460</v>
      </c>
      <c r="F84" s="597" t="s">
        <v>317</v>
      </c>
      <c r="G84" s="539" t="s">
        <v>2384</v>
      </c>
      <c r="H84" s="540" t="s">
        <v>2388</v>
      </c>
      <c r="I84" s="555" t="s">
        <v>52</v>
      </c>
      <c r="J84" s="582">
        <v>462754</v>
      </c>
      <c r="K84" s="557">
        <v>0</v>
      </c>
      <c r="L84" s="557">
        <v>257802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/>
      <c r="T84" s="34"/>
      <c r="U84" s="34"/>
      <c r="V84" s="546">
        <f t="shared" si="6"/>
        <v>0</v>
      </c>
      <c r="W84" s="557">
        <v>204499</v>
      </c>
      <c r="X84" s="32">
        <v>31</v>
      </c>
      <c r="Y84" s="33">
        <v>44293</v>
      </c>
      <c r="Z84" s="33">
        <v>44307</v>
      </c>
      <c r="AA84" s="34">
        <v>-200000</v>
      </c>
      <c r="AB84" s="32">
        <v>89</v>
      </c>
      <c r="AC84" s="33">
        <v>44452</v>
      </c>
      <c r="AD84" s="33">
        <v>44466</v>
      </c>
      <c r="AE84" s="557"/>
      <c r="AF84" s="32"/>
      <c r="AG84" s="27"/>
      <c r="AH84" s="33"/>
      <c r="AI84" s="506"/>
      <c r="AJ84" s="32"/>
      <c r="AK84" s="27"/>
      <c r="AL84" s="33"/>
      <c r="AM84" s="31"/>
      <c r="AN84" s="32"/>
      <c r="AO84" s="27"/>
      <c r="AP84" s="36"/>
      <c r="AQ84" s="549">
        <f t="shared" si="5"/>
        <v>4499</v>
      </c>
      <c r="AR84" s="598">
        <f t="shared" si="4"/>
        <v>4499</v>
      </c>
    </row>
    <row r="85" spans="2:44" s="39" customFormat="1" ht="22.5">
      <c r="B85" s="559">
        <f t="shared" si="7"/>
        <v>70</v>
      </c>
      <c r="C85" s="534" t="s">
        <v>39</v>
      </c>
      <c r="D85" s="595">
        <v>40005327</v>
      </c>
      <c r="E85" s="596" t="s">
        <v>2461</v>
      </c>
      <c r="F85" s="602" t="s">
        <v>317</v>
      </c>
      <c r="G85" s="554" t="s">
        <v>2384</v>
      </c>
      <c r="H85" s="552" t="s">
        <v>2392</v>
      </c>
      <c r="I85" s="555" t="s">
        <v>52</v>
      </c>
      <c r="J85" s="582">
        <v>163084</v>
      </c>
      <c r="K85" s="557">
        <v>511</v>
      </c>
      <c r="L85" s="557">
        <v>62561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/>
      <c r="T85" s="34"/>
      <c r="U85" s="34"/>
      <c r="V85" s="546">
        <f t="shared" si="6"/>
        <v>0</v>
      </c>
      <c r="W85" s="557">
        <v>99999</v>
      </c>
      <c r="X85" s="32">
        <v>31</v>
      </c>
      <c r="Y85" s="33">
        <v>44293</v>
      </c>
      <c r="Z85" s="33">
        <v>44307</v>
      </c>
      <c r="AA85" s="34"/>
      <c r="AB85" s="35"/>
      <c r="AC85" s="27"/>
      <c r="AD85" s="33"/>
      <c r="AE85" s="557"/>
      <c r="AF85" s="32"/>
      <c r="AG85" s="27"/>
      <c r="AH85" s="33"/>
      <c r="AI85" s="506"/>
      <c r="AJ85" s="32"/>
      <c r="AK85" s="27"/>
      <c r="AL85" s="33"/>
      <c r="AM85" s="31"/>
      <c r="AN85" s="32"/>
      <c r="AO85" s="27"/>
      <c r="AP85" s="36"/>
      <c r="AQ85" s="549">
        <f t="shared" si="5"/>
        <v>99999</v>
      </c>
      <c r="AR85" s="598">
        <f t="shared" si="4"/>
        <v>99999</v>
      </c>
    </row>
    <row r="86" spans="2:44" s="39" customFormat="1" ht="22.5">
      <c r="B86" s="559">
        <f t="shared" si="7"/>
        <v>71</v>
      </c>
      <c r="C86" s="534" t="s">
        <v>39</v>
      </c>
      <c r="D86" s="595">
        <v>40014177</v>
      </c>
      <c r="E86" s="596" t="s">
        <v>2462</v>
      </c>
      <c r="F86" s="537" t="s">
        <v>317</v>
      </c>
      <c r="G86" s="539" t="s">
        <v>2384</v>
      </c>
      <c r="H86" s="540" t="s">
        <v>2398</v>
      </c>
      <c r="I86" s="555" t="s">
        <v>52</v>
      </c>
      <c r="J86" s="582">
        <v>642100</v>
      </c>
      <c r="K86" s="557">
        <v>0</v>
      </c>
      <c r="L86" s="557">
        <v>320539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/>
      <c r="T86" s="34"/>
      <c r="U86" s="34"/>
      <c r="V86" s="546">
        <f t="shared" si="6"/>
        <v>0</v>
      </c>
      <c r="W86" s="557">
        <v>321561</v>
      </c>
      <c r="X86" s="32">
        <v>31</v>
      </c>
      <c r="Y86" s="33">
        <v>44293</v>
      </c>
      <c r="Z86" s="33">
        <v>44307</v>
      </c>
      <c r="AA86" s="34"/>
      <c r="AB86" s="35"/>
      <c r="AC86" s="27"/>
      <c r="AD86" s="33"/>
      <c r="AE86" s="557"/>
      <c r="AF86" s="32"/>
      <c r="AG86" s="27"/>
      <c r="AH86" s="33"/>
      <c r="AI86" s="506"/>
      <c r="AJ86" s="32"/>
      <c r="AK86" s="27"/>
      <c r="AL86" s="33"/>
      <c r="AM86" s="31"/>
      <c r="AN86" s="32"/>
      <c r="AO86" s="27"/>
      <c r="AP86" s="36"/>
      <c r="AQ86" s="549">
        <f t="shared" si="5"/>
        <v>321561</v>
      </c>
      <c r="AR86" s="598">
        <f t="shared" si="4"/>
        <v>321561</v>
      </c>
    </row>
    <row r="87" spans="2:44" s="39" customFormat="1" ht="22.5">
      <c r="B87" s="559">
        <f t="shared" si="7"/>
        <v>72</v>
      </c>
      <c r="C87" s="534" t="s">
        <v>39</v>
      </c>
      <c r="D87" s="595">
        <v>40015395</v>
      </c>
      <c r="E87" s="596" t="s">
        <v>2463</v>
      </c>
      <c r="F87" s="602" t="s">
        <v>317</v>
      </c>
      <c r="G87" s="554" t="s">
        <v>2384</v>
      </c>
      <c r="H87" s="552" t="s">
        <v>2392</v>
      </c>
      <c r="I87" s="555" t="s">
        <v>52</v>
      </c>
      <c r="J87" s="582">
        <v>174444</v>
      </c>
      <c r="K87" s="557">
        <v>0</v>
      </c>
      <c r="L87" s="557">
        <v>174444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2522</v>
      </c>
      <c r="S87" s="34"/>
      <c r="T87" s="34"/>
      <c r="U87" s="34"/>
      <c r="V87" s="546">
        <f t="shared" si="6"/>
        <v>2522</v>
      </c>
      <c r="W87" s="557">
        <v>170606</v>
      </c>
      <c r="X87" s="32">
        <v>31</v>
      </c>
      <c r="Y87" s="33">
        <v>44293</v>
      </c>
      <c r="Z87" s="33">
        <v>44307</v>
      </c>
      <c r="AA87" s="34">
        <v>-168083</v>
      </c>
      <c r="AB87" s="35">
        <v>72</v>
      </c>
      <c r="AC87" s="33">
        <v>44386</v>
      </c>
      <c r="AD87" s="33">
        <v>44406</v>
      </c>
      <c r="AE87" s="557"/>
      <c r="AF87" s="32"/>
      <c r="AG87" s="27"/>
      <c r="AH87" s="33"/>
      <c r="AI87" s="506"/>
      <c r="AJ87" s="32"/>
      <c r="AK87" s="27"/>
      <c r="AL87" s="33"/>
      <c r="AM87" s="31"/>
      <c r="AN87" s="32"/>
      <c r="AO87" s="27"/>
      <c r="AP87" s="36"/>
      <c r="AQ87" s="549">
        <f t="shared" si="5"/>
        <v>2523</v>
      </c>
      <c r="AR87" s="598">
        <f t="shared" si="4"/>
        <v>1</v>
      </c>
    </row>
    <row r="88" spans="2:44" s="39" customFormat="1" ht="22.5">
      <c r="B88" s="559">
        <f t="shared" si="7"/>
        <v>73</v>
      </c>
      <c r="C88" s="534" t="s">
        <v>39</v>
      </c>
      <c r="D88" s="595">
        <v>30480610</v>
      </c>
      <c r="E88" s="596" t="s">
        <v>2464</v>
      </c>
      <c r="F88" s="602" t="s">
        <v>317</v>
      </c>
      <c r="G88" s="554" t="s">
        <v>2384</v>
      </c>
      <c r="H88" s="552" t="s">
        <v>2398</v>
      </c>
      <c r="I88" s="555" t="s">
        <v>44</v>
      </c>
      <c r="J88" s="582">
        <v>180444</v>
      </c>
      <c r="K88" s="557">
        <v>12912</v>
      </c>
      <c r="L88" s="557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/>
      <c r="T88" s="34"/>
      <c r="U88" s="34"/>
      <c r="V88" s="546">
        <f t="shared" si="6"/>
        <v>0</v>
      </c>
      <c r="W88" s="557">
        <v>162924</v>
      </c>
      <c r="X88" s="32">
        <v>33</v>
      </c>
      <c r="Y88" s="33">
        <v>44301</v>
      </c>
      <c r="Z88" s="33">
        <v>44315</v>
      </c>
      <c r="AA88" s="34"/>
      <c r="AB88" s="35"/>
      <c r="AC88" s="27"/>
      <c r="AD88" s="33"/>
      <c r="AE88" s="557"/>
      <c r="AF88" s="32"/>
      <c r="AG88" s="27"/>
      <c r="AH88" s="33"/>
      <c r="AI88" s="506"/>
      <c r="AJ88" s="32"/>
      <c r="AK88" s="27"/>
      <c r="AL88" s="33"/>
      <c r="AM88" s="31"/>
      <c r="AN88" s="32"/>
      <c r="AO88" s="27"/>
      <c r="AP88" s="36"/>
      <c r="AQ88" s="549">
        <f t="shared" si="5"/>
        <v>162924</v>
      </c>
      <c r="AR88" s="598">
        <f t="shared" si="4"/>
        <v>162924</v>
      </c>
    </row>
    <row r="89" spans="2:44" s="39" customFormat="1" ht="22.5">
      <c r="B89" s="559">
        <f t="shared" si="7"/>
        <v>74</v>
      </c>
      <c r="C89" s="534" t="s">
        <v>39</v>
      </c>
      <c r="D89" s="595">
        <v>30316123</v>
      </c>
      <c r="E89" s="596" t="s">
        <v>2465</v>
      </c>
      <c r="F89" s="602" t="s">
        <v>317</v>
      </c>
      <c r="G89" s="554" t="s">
        <v>2384</v>
      </c>
      <c r="H89" s="73" t="s">
        <v>342</v>
      </c>
      <c r="I89" s="555" t="s">
        <v>44</v>
      </c>
      <c r="J89" s="557">
        <v>9209075</v>
      </c>
      <c r="K89" s="557">
        <v>33543</v>
      </c>
      <c r="L89" s="557">
        <v>6103116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/>
      <c r="T89" s="34"/>
      <c r="U89" s="34"/>
      <c r="V89" s="546">
        <f t="shared" si="6"/>
        <v>0</v>
      </c>
      <c r="W89" s="557">
        <v>210000</v>
      </c>
      <c r="X89" s="32">
        <v>51</v>
      </c>
      <c r="Y89" s="33">
        <v>44334</v>
      </c>
      <c r="Z89" s="33">
        <v>44350</v>
      </c>
      <c r="AA89" s="494"/>
      <c r="AB89" s="35"/>
      <c r="AC89" s="27"/>
      <c r="AD89" s="33"/>
      <c r="AE89" s="557"/>
      <c r="AF89" s="32"/>
      <c r="AG89" s="27"/>
      <c r="AH89" s="33"/>
      <c r="AI89" s="506"/>
      <c r="AJ89" s="32"/>
      <c r="AK89" s="27"/>
      <c r="AL89" s="33"/>
      <c r="AM89" s="31"/>
      <c r="AN89" s="32"/>
      <c r="AO89" s="27"/>
      <c r="AP89" s="36"/>
      <c r="AQ89" s="549">
        <f t="shared" si="5"/>
        <v>210000</v>
      </c>
      <c r="AR89" s="598">
        <f t="shared" si="4"/>
        <v>210000</v>
      </c>
    </row>
    <row r="90" spans="2:44" s="39" customFormat="1" ht="33.75">
      <c r="B90" s="559">
        <f t="shared" si="7"/>
        <v>75</v>
      </c>
      <c r="C90" s="534" t="s">
        <v>39</v>
      </c>
      <c r="D90" s="595">
        <v>40003760</v>
      </c>
      <c r="E90" s="596" t="s">
        <v>2466</v>
      </c>
      <c r="F90" s="602" t="s">
        <v>317</v>
      </c>
      <c r="G90" s="554" t="s">
        <v>2384</v>
      </c>
      <c r="H90" s="552" t="s">
        <v>2410</v>
      </c>
      <c r="I90" s="555" t="s">
        <v>52</v>
      </c>
      <c r="J90" s="557">
        <v>216236</v>
      </c>
      <c r="K90" s="557">
        <v>0</v>
      </c>
      <c r="L90" s="557">
        <v>214188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1049</v>
      </c>
      <c r="T90" s="34"/>
      <c r="U90" s="34"/>
      <c r="V90" s="546">
        <f t="shared" si="6"/>
        <v>1049</v>
      </c>
      <c r="W90" s="557">
        <v>2048</v>
      </c>
      <c r="X90" s="32">
        <v>51</v>
      </c>
      <c r="Y90" s="33">
        <v>44334</v>
      </c>
      <c r="Z90" s="33">
        <v>44350</v>
      </c>
      <c r="AA90" s="34"/>
      <c r="AB90" s="35"/>
      <c r="AC90" s="27"/>
      <c r="AD90" s="33"/>
      <c r="AE90" s="557"/>
      <c r="AF90" s="32"/>
      <c r="AG90" s="27"/>
      <c r="AH90" s="33"/>
      <c r="AI90" s="506"/>
      <c r="AJ90" s="32"/>
      <c r="AK90" s="27"/>
      <c r="AL90" s="33"/>
      <c r="AM90" s="31"/>
      <c r="AN90" s="32"/>
      <c r="AO90" s="27"/>
      <c r="AP90" s="36"/>
      <c r="AQ90" s="549">
        <f t="shared" si="5"/>
        <v>2048</v>
      </c>
      <c r="AR90" s="598">
        <f t="shared" si="4"/>
        <v>999</v>
      </c>
    </row>
    <row r="91" spans="2:44" s="39" customFormat="1" ht="22.5">
      <c r="B91" s="559">
        <f t="shared" si="7"/>
        <v>76</v>
      </c>
      <c r="C91" s="534" t="s">
        <v>39</v>
      </c>
      <c r="D91" s="595">
        <v>40027250</v>
      </c>
      <c r="E91" s="596" t="s">
        <v>2467</v>
      </c>
      <c r="F91" s="602" t="s">
        <v>317</v>
      </c>
      <c r="G91" s="554" t="s">
        <v>2384</v>
      </c>
      <c r="H91" s="552" t="s">
        <v>2398</v>
      </c>
      <c r="I91" s="555" t="s">
        <v>52</v>
      </c>
      <c r="J91" s="557">
        <v>488820</v>
      </c>
      <c r="K91" s="557">
        <v>0</v>
      </c>
      <c r="L91" s="557">
        <v>447020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/>
      <c r="T91" s="34"/>
      <c r="U91" s="34"/>
      <c r="V91" s="546">
        <f t="shared" si="6"/>
        <v>0</v>
      </c>
      <c r="W91" s="557">
        <v>41800</v>
      </c>
      <c r="X91" s="32">
        <v>51</v>
      </c>
      <c r="Y91" s="33">
        <v>44334</v>
      </c>
      <c r="Z91" s="33">
        <v>44350</v>
      </c>
      <c r="AA91" s="34"/>
      <c r="AB91" s="35"/>
      <c r="AC91" s="27"/>
      <c r="AD91" s="33"/>
      <c r="AE91" s="557"/>
      <c r="AF91" s="32"/>
      <c r="AG91" s="27"/>
      <c r="AH91" s="33"/>
      <c r="AI91" s="506"/>
      <c r="AJ91" s="32"/>
      <c r="AK91" s="27"/>
      <c r="AL91" s="33"/>
      <c r="AM91" s="31"/>
      <c r="AN91" s="32"/>
      <c r="AO91" s="27"/>
      <c r="AP91" s="36"/>
      <c r="AQ91" s="549">
        <f t="shared" si="5"/>
        <v>41800</v>
      </c>
      <c r="AR91" s="598">
        <f t="shared" si="4"/>
        <v>41800</v>
      </c>
    </row>
    <row r="92" spans="2:44" s="39" customFormat="1" ht="22.5">
      <c r="B92" s="559">
        <f t="shared" si="7"/>
        <v>77</v>
      </c>
      <c r="C92" s="534" t="s">
        <v>39</v>
      </c>
      <c r="D92" s="595">
        <v>30083917</v>
      </c>
      <c r="E92" s="603" t="s">
        <v>2468</v>
      </c>
      <c r="F92" s="602" t="s">
        <v>317</v>
      </c>
      <c r="G92" s="554" t="s">
        <v>2384</v>
      </c>
      <c r="H92" s="552" t="s">
        <v>2398</v>
      </c>
      <c r="I92" s="555" t="s">
        <v>52</v>
      </c>
      <c r="J92" s="557">
        <v>113171</v>
      </c>
      <c r="K92" s="557">
        <v>0</v>
      </c>
      <c r="L92" s="557">
        <v>107122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/>
      <c r="T92" s="34"/>
      <c r="U92" s="34"/>
      <c r="V92" s="546">
        <f t="shared" si="6"/>
        <v>0</v>
      </c>
      <c r="W92" s="557">
        <v>6049</v>
      </c>
      <c r="X92" s="32">
        <v>63</v>
      </c>
      <c r="Y92" s="33">
        <v>44361</v>
      </c>
      <c r="Z92" s="33">
        <v>44382</v>
      </c>
      <c r="AA92" s="34"/>
      <c r="AB92" s="35"/>
      <c r="AC92" s="27"/>
      <c r="AD92" s="33"/>
      <c r="AE92" s="557"/>
      <c r="AF92" s="32"/>
      <c r="AG92" s="27"/>
      <c r="AH92" s="33"/>
      <c r="AI92" s="506"/>
      <c r="AJ92" s="32"/>
      <c r="AK92" s="27"/>
      <c r="AL92" s="33"/>
      <c r="AM92" s="31"/>
      <c r="AN92" s="32"/>
      <c r="AO92" s="27"/>
      <c r="AP92" s="36"/>
      <c r="AQ92" s="549">
        <f t="shared" si="5"/>
        <v>6049</v>
      </c>
      <c r="AR92" s="598">
        <f t="shared" si="4"/>
        <v>6049</v>
      </c>
    </row>
    <row r="93" spans="2:44" s="39" customFormat="1" ht="22.5">
      <c r="B93" s="559">
        <f t="shared" si="7"/>
        <v>78</v>
      </c>
      <c r="C93" s="534" t="s">
        <v>39</v>
      </c>
      <c r="D93" s="595">
        <v>40003500</v>
      </c>
      <c r="E93" s="603" t="s">
        <v>2469</v>
      </c>
      <c r="F93" s="602" t="s">
        <v>317</v>
      </c>
      <c r="G93" s="554" t="s">
        <v>2384</v>
      </c>
      <c r="H93" s="552" t="s">
        <v>2388</v>
      </c>
      <c r="I93" s="555" t="s">
        <v>52</v>
      </c>
      <c r="J93" s="557">
        <v>101793</v>
      </c>
      <c r="K93" s="557">
        <v>0</v>
      </c>
      <c r="L93" s="557">
        <v>42908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/>
      <c r="T93" s="34"/>
      <c r="U93" s="34"/>
      <c r="V93" s="546">
        <f t="shared" si="6"/>
        <v>0</v>
      </c>
      <c r="W93" s="557">
        <v>58885</v>
      </c>
      <c r="X93" s="32">
        <v>63</v>
      </c>
      <c r="Y93" s="33">
        <v>44361</v>
      </c>
      <c r="Z93" s="33">
        <v>44382</v>
      </c>
      <c r="AA93" s="34"/>
      <c r="AB93" s="35"/>
      <c r="AC93" s="27"/>
      <c r="AD93" s="33"/>
      <c r="AE93" s="557"/>
      <c r="AF93" s="32"/>
      <c r="AG93" s="27"/>
      <c r="AH93" s="33"/>
      <c r="AI93" s="506"/>
      <c r="AJ93" s="32"/>
      <c r="AK93" s="27"/>
      <c r="AL93" s="33"/>
      <c r="AM93" s="31"/>
      <c r="AN93" s="32"/>
      <c r="AO93" s="27"/>
      <c r="AP93" s="36"/>
      <c r="AQ93" s="549">
        <f t="shared" si="5"/>
        <v>58885</v>
      </c>
      <c r="AR93" s="598">
        <f t="shared" ref="AR93:AR96" si="8">+AQ93-V93</f>
        <v>58885</v>
      </c>
    </row>
    <row r="94" spans="2:44" s="39" customFormat="1" ht="22.5">
      <c r="B94" s="559">
        <f t="shared" si="7"/>
        <v>79</v>
      </c>
      <c r="C94" s="534" t="s">
        <v>39</v>
      </c>
      <c r="D94" s="595">
        <v>40031310</v>
      </c>
      <c r="E94" s="603" t="s">
        <v>2470</v>
      </c>
      <c r="F94" s="602" t="s">
        <v>317</v>
      </c>
      <c r="G94" s="539" t="s">
        <v>2384</v>
      </c>
      <c r="H94" s="540" t="s">
        <v>2388</v>
      </c>
      <c r="I94" s="555" t="s">
        <v>52</v>
      </c>
      <c r="J94" s="557">
        <v>425307</v>
      </c>
      <c r="K94" s="557">
        <v>0</v>
      </c>
      <c r="L94" s="557">
        <v>388707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/>
      <c r="T94" s="34"/>
      <c r="U94" s="34"/>
      <c r="V94" s="546">
        <f t="shared" si="6"/>
        <v>0</v>
      </c>
      <c r="W94" s="557">
        <v>36600</v>
      </c>
      <c r="X94" s="32">
        <v>63</v>
      </c>
      <c r="Y94" s="33">
        <v>44361</v>
      </c>
      <c r="Z94" s="33">
        <v>44382</v>
      </c>
      <c r="AA94" s="34"/>
      <c r="AB94" s="35"/>
      <c r="AC94" s="27"/>
      <c r="AD94" s="33"/>
      <c r="AE94" s="557"/>
      <c r="AF94" s="32"/>
      <c r="AG94" s="27"/>
      <c r="AH94" s="33"/>
      <c r="AI94" s="506"/>
      <c r="AJ94" s="32"/>
      <c r="AK94" s="27"/>
      <c r="AL94" s="33"/>
      <c r="AM94" s="31"/>
      <c r="AN94" s="32"/>
      <c r="AO94" s="27"/>
      <c r="AP94" s="36"/>
      <c r="AQ94" s="549">
        <f t="shared" si="5"/>
        <v>36600</v>
      </c>
      <c r="AR94" s="598">
        <f t="shared" si="8"/>
        <v>36600</v>
      </c>
    </row>
    <row r="95" spans="2:44" s="39" customFormat="1" ht="22.5">
      <c r="B95" s="559">
        <f t="shared" si="7"/>
        <v>80</v>
      </c>
      <c r="C95" s="534" t="s">
        <v>39</v>
      </c>
      <c r="D95" s="595">
        <v>40025927</v>
      </c>
      <c r="E95" s="603" t="s">
        <v>2471</v>
      </c>
      <c r="F95" s="602" t="s">
        <v>317</v>
      </c>
      <c r="G95" s="554" t="s">
        <v>2384</v>
      </c>
      <c r="H95" s="552" t="s">
        <v>2394</v>
      </c>
      <c r="I95" s="555" t="s">
        <v>52</v>
      </c>
      <c r="J95" s="557">
        <v>947928</v>
      </c>
      <c r="K95" s="557">
        <v>0</v>
      </c>
      <c r="L95" s="557">
        <v>941693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/>
      <c r="T95" s="34"/>
      <c r="U95" s="34"/>
      <c r="V95" s="546">
        <f t="shared" si="6"/>
        <v>0</v>
      </c>
      <c r="W95" s="557">
        <v>6235</v>
      </c>
      <c r="X95" s="32">
        <v>89</v>
      </c>
      <c r="Y95" s="33">
        <v>44452</v>
      </c>
      <c r="Z95" s="33">
        <v>44466</v>
      </c>
      <c r="AA95" s="34"/>
      <c r="AB95" s="35"/>
      <c r="AC95" s="27"/>
      <c r="AD95" s="33"/>
      <c r="AE95" s="557"/>
      <c r="AF95" s="32"/>
      <c r="AG95" s="27"/>
      <c r="AH95" s="33"/>
      <c r="AI95" s="506"/>
      <c r="AJ95" s="32"/>
      <c r="AK95" s="27"/>
      <c r="AL95" s="33"/>
      <c r="AM95" s="31"/>
      <c r="AN95" s="32"/>
      <c r="AO95" s="27"/>
      <c r="AP95" s="36"/>
      <c r="AQ95" s="549">
        <f t="shared" si="5"/>
        <v>6235</v>
      </c>
      <c r="AR95" s="598">
        <f t="shared" si="8"/>
        <v>6235</v>
      </c>
    </row>
    <row r="96" spans="2:44" s="39" customFormat="1" ht="22.5">
      <c r="B96" s="559">
        <f t="shared" si="7"/>
        <v>81</v>
      </c>
      <c r="C96" s="534" t="s">
        <v>39</v>
      </c>
      <c r="D96" s="595">
        <v>40033612</v>
      </c>
      <c r="E96" s="603" t="s">
        <v>2472</v>
      </c>
      <c r="F96" s="602" t="s">
        <v>317</v>
      </c>
      <c r="G96" s="554" t="s">
        <v>2384</v>
      </c>
      <c r="H96" s="552" t="s">
        <v>2392</v>
      </c>
      <c r="I96" s="555" t="s">
        <v>52</v>
      </c>
      <c r="J96" s="557">
        <v>27865</v>
      </c>
      <c r="K96" s="557">
        <v>0</v>
      </c>
      <c r="L96" s="557">
        <v>27865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/>
      <c r="T96" s="34"/>
      <c r="U96" s="34"/>
      <c r="V96" s="546">
        <f t="shared" si="6"/>
        <v>0</v>
      </c>
      <c r="W96" s="557">
        <v>21630</v>
      </c>
      <c r="X96" s="32">
        <v>89</v>
      </c>
      <c r="Y96" s="33">
        <v>44452</v>
      </c>
      <c r="Z96" s="33">
        <v>44466</v>
      </c>
      <c r="AA96" s="34"/>
      <c r="AB96" s="35"/>
      <c r="AC96" s="27"/>
      <c r="AD96" s="33"/>
      <c r="AE96" s="557"/>
      <c r="AF96" s="32"/>
      <c r="AG96" s="27"/>
      <c r="AH96" s="33"/>
      <c r="AI96" s="506"/>
      <c r="AJ96" s="32"/>
      <c r="AK96" s="27"/>
      <c r="AL96" s="33"/>
      <c r="AM96" s="31"/>
      <c r="AN96" s="32"/>
      <c r="AO96" s="27"/>
      <c r="AP96" s="36"/>
      <c r="AQ96" s="549">
        <f t="shared" si="5"/>
        <v>21630</v>
      </c>
      <c r="AR96" s="598">
        <f t="shared" si="8"/>
        <v>21630</v>
      </c>
    </row>
    <row r="97" spans="2:44" s="39" customFormat="1">
      <c r="B97" s="559"/>
      <c r="C97" s="534"/>
      <c r="D97" s="595"/>
      <c r="E97" s="603"/>
      <c r="F97" s="602"/>
      <c r="G97" s="554"/>
      <c r="H97" s="604"/>
      <c r="I97" s="555"/>
      <c r="J97" s="557"/>
      <c r="K97" s="557"/>
      <c r="L97" s="557"/>
      <c r="M97" s="34"/>
      <c r="N97" s="34"/>
      <c r="O97" s="34"/>
      <c r="P97" s="34"/>
      <c r="Q97" s="34"/>
      <c r="R97" s="34"/>
      <c r="S97" s="34"/>
      <c r="T97" s="34"/>
      <c r="U97" s="34"/>
      <c r="V97" s="546">
        <f t="shared" si="6"/>
        <v>0</v>
      </c>
      <c r="W97" s="557"/>
      <c r="X97" s="32"/>
      <c r="Y97" s="33"/>
      <c r="Z97" s="33"/>
      <c r="AA97" s="34"/>
      <c r="AB97" s="35"/>
      <c r="AC97" s="27"/>
      <c r="AD97" s="33"/>
      <c r="AE97" s="557"/>
      <c r="AF97" s="32"/>
      <c r="AG97" s="27"/>
      <c r="AH97" s="33"/>
      <c r="AI97" s="506"/>
      <c r="AJ97" s="32"/>
      <c r="AK97" s="27"/>
      <c r="AL97" s="33"/>
      <c r="AM97" s="31"/>
      <c r="AN97" s="32"/>
      <c r="AO97" s="27"/>
      <c r="AP97" s="36"/>
      <c r="AQ97" s="598"/>
      <c r="AR97" s="598"/>
    </row>
    <row r="98" spans="2:44" s="39" customFormat="1">
      <c r="B98" s="559"/>
      <c r="C98" s="534"/>
      <c r="D98" s="595"/>
      <c r="E98" s="603"/>
      <c r="F98" s="602"/>
      <c r="G98" s="554"/>
      <c r="H98" s="604"/>
      <c r="I98" s="555"/>
      <c r="J98" s="557"/>
      <c r="K98" s="557"/>
      <c r="L98" s="557"/>
      <c r="M98" s="34"/>
      <c r="N98" s="34"/>
      <c r="O98" s="34"/>
      <c r="P98" s="34"/>
      <c r="Q98" s="34"/>
      <c r="R98" s="34"/>
      <c r="S98" s="34"/>
      <c r="T98" s="34"/>
      <c r="U98" s="34"/>
      <c r="V98" s="546">
        <f t="shared" si="6"/>
        <v>0</v>
      </c>
      <c r="W98" s="557"/>
      <c r="X98" s="32"/>
      <c r="Y98" s="33"/>
      <c r="Z98" s="33"/>
      <c r="AA98" s="34"/>
      <c r="AB98" s="35"/>
      <c r="AC98" s="27"/>
      <c r="AD98" s="33"/>
      <c r="AE98" s="557"/>
      <c r="AF98" s="32"/>
      <c r="AG98" s="27"/>
      <c r="AH98" s="33"/>
      <c r="AI98" s="506"/>
      <c r="AJ98" s="32"/>
      <c r="AK98" s="27"/>
      <c r="AL98" s="33"/>
      <c r="AM98" s="31"/>
      <c r="AN98" s="32"/>
      <c r="AO98" s="27"/>
      <c r="AP98" s="36"/>
      <c r="AQ98" s="598"/>
      <c r="AR98" s="598"/>
    </row>
    <row r="99" spans="2:44" ht="15" customHeight="1">
      <c r="B99" s="776" t="s">
        <v>134</v>
      </c>
      <c r="C99" s="777"/>
      <c r="D99" s="777"/>
      <c r="E99" s="777"/>
      <c r="F99" s="777"/>
      <c r="G99" s="777"/>
      <c r="H99" s="777"/>
      <c r="I99" s="778"/>
      <c r="J99" s="609">
        <f>SUBTOTAL(9,J16:J96)</f>
        <v>193296387</v>
      </c>
      <c r="K99" s="609">
        <f t="shared" ref="K99:V99" si="9">SUBTOTAL(9,K16:K96)</f>
        <v>87795066</v>
      </c>
      <c r="L99" s="609">
        <f t="shared" si="9"/>
        <v>42149939</v>
      </c>
      <c r="M99" s="609">
        <f t="shared" si="9"/>
        <v>0</v>
      </c>
      <c r="N99" s="609">
        <f t="shared" si="9"/>
        <v>2285449</v>
      </c>
      <c r="O99" s="609">
        <f t="shared" si="9"/>
        <v>1945363</v>
      </c>
      <c r="P99" s="609">
        <f t="shared" si="9"/>
        <v>3045077</v>
      </c>
      <c r="Q99" s="609">
        <f t="shared" si="9"/>
        <v>1624573</v>
      </c>
      <c r="R99" s="609">
        <f t="shared" si="9"/>
        <v>2299595</v>
      </c>
      <c r="S99" s="609">
        <f t="shared" si="9"/>
        <v>1169178</v>
      </c>
      <c r="T99" s="609">
        <f t="shared" si="9"/>
        <v>1365141</v>
      </c>
      <c r="U99" s="609">
        <f t="shared" si="9"/>
        <v>2395926</v>
      </c>
      <c r="V99" s="609">
        <f t="shared" si="9"/>
        <v>16130302</v>
      </c>
      <c r="W99" s="609">
        <f>SUBTOTAL(9,W16:W96)</f>
        <v>31491990</v>
      </c>
      <c r="X99" s="609"/>
      <c r="Y99" s="609"/>
      <c r="Z99" s="609"/>
      <c r="AA99" s="609">
        <f>SUBTOTAL(9,AA16:AA96)</f>
        <v>-3105778</v>
      </c>
      <c r="AB99" s="609"/>
      <c r="AC99" s="609"/>
      <c r="AD99" s="609"/>
      <c r="AE99" s="609">
        <f>SUBTOTAL(9,AE16:AE96)</f>
        <v>1872087</v>
      </c>
      <c r="AF99" s="609"/>
      <c r="AG99" s="609"/>
      <c r="AH99" s="609"/>
      <c r="AI99" s="609">
        <f>SUBTOTAL(9,AI16:AI96)</f>
        <v>-168000</v>
      </c>
      <c r="AJ99" s="609"/>
      <c r="AK99" s="609"/>
      <c r="AL99" s="609"/>
      <c r="AM99" s="609">
        <f>SUBTOTAL(9,AM16:AM96)</f>
        <v>0</v>
      </c>
      <c r="AN99" s="609"/>
      <c r="AO99" s="609"/>
      <c r="AP99" s="609"/>
      <c r="AQ99" s="609">
        <f>SUBTOTAL(9,AQ16:AQ96)</f>
        <v>30090299</v>
      </c>
      <c r="AR99" s="609">
        <f>SUBTOTAL(9,AR16:AR96)</f>
        <v>13959997</v>
      </c>
    </row>
    <row r="100" spans="2:44" s="123" customFormat="1" ht="20.25" customHeight="1">
      <c r="B100" s="752"/>
      <c r="C100" s="752"/>
      <c r="D100" s="752"/>
      <c r="E100" s="752"/>
      <c r="F100" s="140"/>
      <c r="G100" s="125"/>
      <c r="H100" s="125"/>
      <c r="V100" s="605"/>
      <c r="X100" s="74"/>
      <c r="AB100" s="124"/>
      <c r="AF100" s="74"/>
      <c r="AJ100" s="74"/>
      <c r="AN100" s="74"/>
    </row>
    <row r="101" spans="2:44" s="123" customFormat="1" ht="15">
      <c r="B101" s="779"/>
      <c r="C101" s="779"/>
      <c r="D101" s="779"/>
      <c r="E101" s="779"/>
      <c r="F101" s="779"/>
      <c r="G101" s="779"/>
      <c r="H101" s="779"/>
      <c r="I101" s="779"/>
      <c r="J101" s="779"/>
      <c r="K101" s="779"/>
      <c r="L101" s="779"/>
      <c r="M101" s="779"/>
      <c r="N101" s="779"/>
      <c r="O101" s="779"/>
      <c r="P101" s="779"/>
      <c r="Q101" s="779"/>
      <c r="R101" s="779"/>
      <c r="S101" s="779"/>
      <c r="T101" s="779"/>
      <c r="U101" s="779"/>
      <c r="V101" s="779"/>
      <c r="W101" s="779"/>
      <c r="X101" s="779"/>
      <c r="Y101" s="779"/>
      <c r="Z101" s="779"/>
      <c r="AA101" s="779"/>
      <c r="AB101" s="779"/>
      <c r="AC101" s="779"/>
      <c r="AD101" s="779"/>
      <c r="AE101" s="779"/>
      <c r="AF101" s="779"/>
      <c r="AG101" s="210"/>
      <c r="AH101" s="210"/>
      <c r="AI101" s="210"/>
      <c r="AJ101" s="211"/>
      <c r="AK101" s="210"/>
      <c r="AL101" s="210"/>
      <c r="AM101" s="209"/>
      <c r="AN101" s="211"/>
      <c r="AO101" s="210"/>
      <c r="AP101" s="210"/>
      <c r="AQ101" s="78"/>
    </row>
    <row r="102" spans="2:44" s="123" customFormat="1" ht="15">
      <c r="B102" s="125"/>
      <c r="D102" s="125"/>
      <c r="N102" s="21"/>
      <c r="O102" s="21"/>
      <c r="P102" s="21"/>
      <c r="Q102" s="21"/>
      <c r="R102" s="21"/>
      <c r="S102" s="21"/>
      <c r="T102" s="21"/>
      <c r="U102" s="21"/>
      <c r="V102" s="606"/>
      <c r="W102" s="21"/>
      <c r="X102" s="124"/>
      <c r="Y102" s="124"/>
      <c r="Z102" s="124"/>
      <c r="AB102" s="124"/>
      <c r="AF102" s="74"/>
      <c r="AJ102" s="74"/>
      <c r="AN102" s="74"/>
      <c r="AQ102" s="78"/>
    </row>
    <row r="103" spans="2:44" s="123" customFormat="1" ht="15">
      <c r="B103" s="125"/>
      <c r="D103" s="125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124"/>
      <c r="Y103" s="124"/>
      <c r="Z103" s="124"/>
      <c r="AB103" s="124"/>
      <c r="AF103" s="74"/>
      <c r="AJ103" s="74"/>
      <c r="AN103" s="74"/>
      <c r="AQ103" s="21"/>
    </row>
    <row r="104" spans="2:44" s="123" customFormat="1" ht="15">
      <c r="B104" s="125"/>
      <c r="D104" s="125"/>
      <c r="N104" s="21"/>
      <c r="O104" s="21"/>
      <c r="P104" s="21"/>
      <c r="Q104" s="21"/>
      <c r="R104" s="21"/>
      <c r="S104" s="21"/>
      <c r="T104" s="21"/>
      <c r="U104" s="21"/>
      <c r="V104" s="78"/>
      <c r="W104" s="21"/>
      <c r="X104" s="124"/>
      <c r="Y104" s="124"/>
      <c r="Z104" s="124"/>
      <c r="AB104" s="124"/>
      <c r="AF104" s="74"/>
      <c r="AJ104" s="74"/>
      <c r="AN104" s="74"/>
      <c r="AQ104" s="76"/>
    </row>
    <row r="105" spans="2:44" s="123" customFormat="1" ht="15">
      <c r="B105" s="125"/>
      <c r="D105" s="125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124"/>
      <c r="Y105" s="124"/>
      <c r="Z105" s="124"/>
      <c r="AB105" s="124"/>
      <c r="AF105" s="74"/>
      <c r="AJ105" s="74"/>
      <c r="AL105" s="607"/>
      <c r="AM105" s="607"/>
      <c r="AN105" s="607"/>
    </row>
    <row r="106" spans="2:44" s="123" customFormat="1" ht="15">
      <c r="B106" s="125"/>
      <c r="D106" s="125"/>
      <c r="P106" s="21"/>
      <c r="Q106" s="21"/>
      <c r="R106" s="21"/>
      <c r="S106" s="21"/>
      <c r="T106" s="21"/>
      <c r="U106" s="21"/>
      <c r="V106" s="21"/>
      <c r="W106" s="21"/>
      <c r="X106" s="74"/>
      <c r="AB106" s="124"/>
      <c r="AF106" s="74"/>
      <c r="AJ106" s="74"/>
      <c r="AL106" s="607"/>
      <c r="AM106" s="607"/>
      <c r="AN106" s="607"/>
    </row>
    <row r="107" spans="2:44" s="123" customFormat="1" ht="15">
      <c r="B107" s="125"/>
      <c r="D107" s="125"/>
      <c r="V107" s="78"/>
      <c r="X107" s="74"/>
      <c r="AB107" s="124"/>
      <c r="AF107" s="74"/>
      <c r="AJ107" s="74"/>
      <c r="AL107" s="607"/>
      <c r="AM107" s="607"/>
      <c r="AN107" s="607"/>
    </row>
    <row r="108" spans="2:44" s="123" customFormat="1" ht="18.75">
      <c r="B108" s="125"/>
      <c r="D108" s="125"/>
      <c r="V108" s="608"/>
      <c r="X108" s="74"/>
      <c r="AB108" s="124"/>
      <c r="AF108" s="74"/>
      <c r="AJ108" s="74"/>
      <c r="AL108" s="607"/>
      <c r="AM108" s="607"/>
      <c r="AN108" s="607"/>
    </row>
    <row r="109" spans="2:44" s="123" customFormat="1" ht="18.75">
      <c r="B109" s="125"/>
      <c r="D109" s="125"/>
      <c r="V109" s="608"/>
      <c r="X109" s="74"/>
      <c r="AB109" s="124"/>
      <c r="AF109" s="74"/>
      <c r="AJ109" s="74"/>
      <c r="AL109" s="607"/>
      <c r="AM109" s="607"/>
      <c r="AN109" s="607"/>
    </row>
    <row r="110" spans="2:44" s="123" customFormat="1">
      <c r="B110" s="125"/>
      <c r="D110" s="125"/>
      <c r="X110" s="74"/>
      <c r="AB110" s="124"/>
      <c r="AF110" s="74"/>
      <c r="AJ110" s="74"/>
      <c r="AL110" s="607"/>
      <c r="AM110" s="607"/>
      <c r="AN110" s="607"/>
    </row>
    <row r="111" spans="2:44" s="123" customFormat="1">
      <c r="B111" s="125"/>
      <c r="D111" s="125"/>
      <c r="X111" s="74"/>
      <c r="AB111" s="124"/>
      <c r="AF111" s="74"/>
      <c r="AJ111" s="74"/>
      <c r="AL111" s="607"/>
      <c r="AM111" s="607"/>
      <c r="AN111" s="607"/>
    </row>
    <row r="112" spans="2:44" s="123" customFormat="1">
      <c r="B112" s="125"/>
      <c r="D112" s="125"/>
      <c r="X112" s="74"/>
      <c r="AB112" s="124"/>
      <c r="AF112" s="74"/>
      <c r="AJ112" s="74"/>
      <c r="AL112" s="607"/>
      <c r="AM112" s="607"/>
      <c r="AN112" s="607"/>
    </row>
    <row r="113" spans="2:40" s="123" customFormat="1">
      <c r="B113" s="125"/>
      <c r="D113" s="125"/>
      <c r="X113" s="74"/>
      <c r="AB113" s="124"/>
      <c r="AF113" s="74"/>
      <c r="AJ113" s="74"/>
      <c r="AL113" s="607"/>
      <c r="AM113" s="607"/>
      <c r="AN113" s="607"/>
    </row>
    <row r="114" spans="2:40" s="123" customFormat="1">
      <c r="B114" s="125"/>
      <c r="D114" s="125"/>
      <c r="X114" s="74"/>
      <c r="AB114" s="124"/>
      <c r="AF114" s="74"/>
      <c r="AJ114" s="74"/>
      <c r="AL114" s="607"/>
      <c r="AM114" s="607"/>
      <c r="AN114" s="607"/>
    </row>
    <row r="115" spans="2:40" s="123" customFormat="1">
      <c r="B115" s="125"/>
      <c r="D115" s="125"/>
      <c r="X115" s="74"/>
      <c r="AB115" s="124"/>
      <c r="AF115" s="74"/>
      <c r="AJ115" s="74"/>
      <c r="AL115" s="607"/>
      <c r="AM115" s="607"/>
      <c r="AN115" s="607"/>
    </row>
    <row r="116" spans="2:40" s="123" customFormat="1">
      <c r="B116" s="125"/>
      <c r="D116" s="125"/>
      <c r="X116" s="74"/>
      <c r="AB116" s="124"/>
      <c r="AF116" s="74"/>
      <c r="AJ116" s="74"/>
      <c r="AL116" s="142"/>
      <c r="AM116" s="142"/>
      <c r="AN116" s="74"/>
    </row>
    <row r="117" spans="2:40" s="123" customFormat="1">
      <c r="B117" s="125"/>
      <c r="D117" s="125"/>
      <c r="X117" s="74"/>
      <c r="AB117" s="124"/>
      <c r="AF117" s="74"/>
      <c r="AJ117" s="74"/>
      <c r="AN117" s="74"/>
    </row>
    <row r="118" spans="2:40" s="123" customFormat="1">
      <c r="B118" s="125"/>
      <c r="D118" s="125"/>
      <c r="X118" s="74"/>
      <c r="AB118" s="124"/>
      <c r="AF118" s="74"/>
      <c r="AJ118" s="74"/>
      <c r="AN118" s="74"/>
    </row>
    <row r="119" spans="2:40" s="123" customFormat="1">
      <c r="B119" s="125"/>
      <c r="D119" s="125"/>
      <c r="X119" s="74"/>
      <c r="AB119" s="124"/>
      <c r="AF119" s="74"/>
      <c r="AJ119" s="74"/>
      <c r="AN119" s="74"/>
    </row>
    <row r="120" spans="2:40" s="123" customFormat="1">
      <c r="B120" s="125"/>
      <c r="D120" s="125"/>
      <c r="X120" s="74"/>
      <c r="AB120" s="124"/>
      <c r="AF120" s="74"/>
      <c r="AJ120" s="74"/>
      <c r="AN120" s="74"/>
    </row>
    <row r="121" spans="2:40" s="123" customFormat="1">
      <c r="B121" s="125"/>
      <c r="D121" s="125"/>
      <c r="X121" s="74"/>
      <c r="AB121" s="124"/>
      <c r="AF121" s="74"/>
      <c r="AJ121" s="74"/>
      <c r="AN121" s="74"/>
    </row>
    <row r="122" spans="2:40" s="123" customFormat="1">
      <c r="B122" s="125"/>
      <c r="D122" s="125"/>
      <c r="X122" s="74"/>
      <c r="AB122" s="124"/>
      <c r="AF122" s="74"/>
      <c r="AJ122" s="74"/>
      <c r="AN122" s="74"/>
    </row>
    <row r="123" spans="2:40" s="123" customFormat="1">
      <c r="B123" s="125"/>
      <c r="D123" s="125"/>
      <c r="X123" s="74"/>
      <c r="AB123" s="124"/>
      <c r="AF123" s="74"/>
      <c r="AJ123" s="74"/>
      <c r="AN123" s="74"/>
    </row>
    <row r="124" spans="2:40" s="123" customFormat="1">
      <c r="B124" s="125"/>
      <c r="D124" s="125"/>
      <c r="X124" s="74"/>
      <c r="AB124" s="124"/>
      <c r="AF124" s="74"/>
      <c r="AJ124" s="74"/>
      <c r="AN124" s="74"/>
    </row>
    <row r="125" spans="2:40" s="123" customFormat="1">
      <c r="B125" s="125"/>
      <c r="D125" s="125"/>
      <c r="X125" s="74"/>
      <c r="AB125" s="124"/>
      <c r="AF125" s="74"/>
      <c r="AJ125" s="74"/>
      <c r="AN125" s="74"/>
    </row>
    <row r="126" spans="2:40" s="123" customFormat="1">
      <c r="B126" s="125"/>
      <c r="D126" s="125"/>
      <c r="X126" s="74"/>
      <c r="AB126" s="124"/>
      <c r="AF126" s="74"/>
      <c r="AJ126" s="74"/>
      <c r="AN126" s="74"/>
    </row>
    <row r="127" spans="2:40" s="123" customFormat="1">
      <c r="B127" s="125"/>
      <c r="D127" s="125"/>
      <c r="X127" s="74"/>
      <c r="AB127" s="124"/>
      <c r="AF127" s="74"/>
      <c r="AJ127" s="74"/>
      <c r="AN127" s="74"/>
    </row>
    <row r="128" spans="2:40" s="123" customFormat="1">
      <c r="B128" s="125"/>
      <c r="D128" s="125"/>
      <c r="X128" s="74"/>
      <c r="AB128" s="124"/>
      <c r="AF128" s="74"/>
      <c r="AJ128" s="74"/>
      <c r="AN128" s="74"/>
    </row>
    <row r="129" spans="2:40" s="123" customFormat="1">
      <c r="B129" s="125"/>
      <c r="D129" s="125"/>
      <c r="X129" s="74"/>
      <c r="AB129" s="124"/>
      <c r="AF129" s="74"/>
      <c r="AJ129" s="74"/>
      <c r="AN129" s="74"/>
    </row>
    <row r="130" spans="2:40" s="123" customFormat="1">
      <c r="B130" s="125"/>
      <c r="D130" s="125"/>
      <c r="X130" s="74"/>
      <c r="AB130" s="124"/>
      <c r="AF130" s="74"/>
      <c r="AJ130" s="74"/>
      <c r="AN130" s="74"/>
    </row>
    <row r="131" spans="2:40" s="123" customFormat="1">
      <c r="B131" s="125"/>
      <c r="D131" s="125"/>
      <c r="X131" s="74"/>
      <c r="AB131" s="124"/>
      <c r="AF131" s="74"/>
      <c r="AJ131" s="74"/>
      <c r="AN131" s="74"/>
    </row>
    <row r="132" spans="2:40" s="123" customFormat="1">
      <c r="B132" s="125"/>
      <c r="D132" s="125"/>
      <c r="X132" s="74"/>
      <c r="AB132" s="124"/>
      <c r="AF132" s="74"/>
      <c r="AJ132" s="74"/>
      <c r="AN132" s="74"/>
    </row>
    <row r="133" spans="2:40" s="123" customFormat="1">
      <c r="B133" s="125"/>
      <c r="D133" s="125"/>
      <c r="X133" s="74"/>
      <c r="AB133" s="124"/>
      <c r="AF133" s="74"/>
      <c r="AJ133" s="74"/>
      <c r="AN133" s="74"/>
    </row>
    <row r="134" spans="2:40" s="123" customFormat="1">
      <c r="B134" s="125"/>
      <c r="D134" s="125"/>
      <c r="X134" s="74"/>
      <c r="AB134" s="124"/>
      <c r="AF134" s="74"/>
      <c r="AJ134" s="74"/>
      <c r="AN134" s="74"/>
    </row>
    <row r="135" spans="2:40" s="123" customFormat="1">
      <c r="B135" s="125"/>
      <c r="D135" s="125"/>
      <c r="X135" s="74"/>
      <c r="AB135" s="124"/>
      <c r="AF135" s="74"/>
      <c r="AJ135" s="74"/>
      <c r="AN135" s="74"/>
    </row>
    <row r="136" spans="2:40" s="123" customFormat="1">
      <c r="B136" s="125"/>
      <c r="D136" s="125"/>
      <c r="X136" s="74"/>
      <c r="AB136" s="124"/>
      <c r="AF136" s="74"/>
      <c r="AJ136" s="74"/>
      <c r="AN136" s="74"/>
    </row>
    <row r="137" spans="2:40" s="123" customFormat="1">
      <c r="B137" s="125"/>
      <c r="D137" s="125"/>
      <c r="X137" s="74"/>
      <c r="AB137" s="124"/>
      <c r="AF137" s="74"/>
      <c r="AJ137" s="74"/>
      <c r="AN137" s="74"/>
    </row>
    <row r="138" spans="2:40" s="123" customFormat="1">
      <c r="B138" s="125"/>
      <c r="D138" s="125"/>
      <c r="X138" s="74"/>
      <c r="AB138" s="124"/>
      <c r="AF138" s="74"/>
      <c r="AJ138" s="74"/>
      <c r="AN138" s="74"/>
    </row>
    <row r="139" spans="2:40" s="123" customFormat="1">
      <c r="B139" s="125"/>
      <c r="D139" s="125"/>
      <c r="X139" s="74"/>
      <c r="AB139" s="124"/>
      <c r="AF139" s="74"/>
      <c r="AJ139" s="74"/>
      <c r="AN139" s="74"/>
    </row>
    <row r="140" spans="2:40" s="123" customFormat="1">
      <c r="B140" s="125"/>
      <c r="D140" s="125"/>
      <c r="X140" s="74"/>
      <c r="AB140" s="124"/>
      <c r="AF140" s="74"/>
      <c r="AJ140" s="74"/>
      <c r="AN140" s="74"/>
    </row>
    <row r="141" spans="2:40" s="123" customFormat="1">
      <c r="B141" s="125"/>
      <c r="D141" s="125"/>
      <c r="X141" s="74"/>
      <c r="AB141" s="124"/>
      <c r="AF141" s="74"/>
      <c r="AJ141" s="74"/>
      <c r="AN141" s="74"/>
    </row>
    <row r="142" spans="2:40" s="123" customFormat="1">
      <c r="B142" s="125"/>
      <c r="D142" s="125"/>
      <c r="X142" s="74"/>
      <c r="AB142" s="124"/>
      <c r="AF142" s="74"/>
      <c r="AJ142" s="74"/>
      <c r="AN142" s="74"/>
    </row>
    <row r="143" spans="2:40" s="123" customFormat="1">
      <c r="B143" s="125"/>
      <c r="D143" s="125"/>
      <c r="X143" s="74"/>
      <c r="AB143" s="124"/>
      <c r="AF143" s="74"/>
      <c r="AJ143" s="74"/>
      <c r="AN143" s="74"/>
    </row>
    <row r="144" spans="2:40" s="123" customFormat="1">
      <c r="B144" s="125"/>
      <c r="D144" s="125"/>
      <c r="X144" s="74"/>
      <c r="AB144" s="124"/>
      <c r="AF144" s="74"/>
      <c r="AJ144" s="74"/>
      <c r="AN144" s="74"/>
    </row>
    <row r="145" spans="2:40" s="123" customFormat="1">
      <c r="B145" s="125"/>
      <c r="D145" s="125"/>
      <c r="X145" s="74"/>
      <c r="AB145" s="124"/>
      <c r="AF145" s="74"/>
      <c r="AJ145" s="74"/>
      <c r="AN145" s="74"/>
    </row>
    <row r="146" spans="2:40" s="123" customFormat="1">
      <c r="B146" s="125"/>
      <c r="D146" s="125"/>
      <c r="X146" s="74"/>
      <c r="AB146" s="124"/>
      <c r="AF146" s="74"/>
      <c r="AJ146" s="74"/>
      <c r="AN146" s="74"/>
    </row>
    <row r="147" spans="2:40" s="123" customFormat="1">
      <c r="B147" s="125"/>
      <c r="D147" s="125"/>
      <c r="X147" s="74"/>
      <c r="AB147" s="124"/>
      <c r="AF147" s="74"/>
      <c r="AJ147" s="74"/>
      <c r="AN147" s="74"/>
    </row>
    <row r="148" spans="2:40" s="123" customFormat="1">
      <c r="B148" s="125"/>
      <c r="D148" s="125"/>
      <c r="X148" s="74"/>
      <c r="AB148" s="124"/>
      <c r="AF148" s="74"/>
      <c r="AJ148" s="74"/>
      <c r="AN148" s="74"/>
    </row>
    <row r="149" spans="2:40" s="123" customFormat="1">
      <c r="B149" s="125"/>
      <c r="D149" s="125"/>
      <c r="X149" s="74"/>
      <c r="AB149" s="124"/>
      <c r="AF149" s="74"/>
      <c r="AJ149" s="74"/>
      <c r="AN149" s="74"/>
    </row>
    <row r="150" spans="2:40" s="123" customFormat="1">
      <c r="B150" s="125"/>
      <c r="D150" s="125"/>
      <c r="X150" s="74"/>
      <c r="AB150" s="124"/>
      <c r="AF150" s="74"/>
      <c r="AJ150" s="74"/>
      <c r="AN150" s="74"/>
    </row>
    <row r="151" spans="2:40" s="123" customFormat="1">
      <c r="B151" s="125"/>
      <c r="D151" s="125"/>
      <c r="X151" s="74"/>
      <c r="AB151" s="124"/>
      <c r="AF151" s="74"/>
      <c r="AJ151" s="74"/>
      <c r="AN151" s="74"/>
    </row>
    <row r="152" spans="2:40" s="123" customFormat="1">
      <c r="B152" s="125"/>
      <c r="D152" s="125"/>
      <c r="X152" s="74"/>
      <c r="AB152" s="124"/>
      <c r="AF152" s="74"/>
      <c r="AJ152" s="74"/>
      <c r="AN152" s="74"/>
    </row>
    <row r="153" spans="2:40" s="123" customFormat="1">
      <c r="B153" s="125"/>
      <c r="D153" s="125"/>
      <c r="X153" s="74"/>
      <c r="AB153" s="124"/>
      <c r="AF153" s="74"/>
      <c r="AJ153" s="74"/>
      <c r="AN153" s="74"/>
    </row>
    <row r="154" spans="2:40" s="123" customFormat="1">
      <c r="B154" s="125"/>
      <c r="D154" s="125"/>
      <c r="X154" s="74"/>
      <c r="AB154" s="124"/>
      <c r="AF154" s="74"/>
      <c r="AJ154" s="74"/>
      <c r="AN154" s="74"/>
    </row>
    <row r="155" spans="2:40" s="123" customFormat="1">
      <c r="B155" s="125"/>
      <c r="D155" s="125"/>
      <c r="X155" s="74"/>
      <c r="AB155" s="124"/>
      <c r="AF155" s="74"/>
      <c r="AJ155" s="74"/>
      <c r="AN155" s="74"/>
    </row>
    <row r="156" spans="2:40" s="123" customFormat="1">
      <c r="B156" s="125"/>
      <c r="D156" s="125"/>
      <c r="X156" s="74"/>
      <c r="AB156" s="124"/>
      <c r="AF156" s="74"/>
      <c r="AJ156" s="74"/>
      <c r="AN156" s="74"/>
    </row>
    <row r="157" spans="2:40" s="123" customFormat="1">
      <c r="B157" s="125"/>
      <c r="D157" s="125"/>
      <c r="X157" s="74"/>
      <c r="AB157" s="124"/>
      <c r="AF157" s="74"/>
      <c r="AJ157" s="74"/>
      <c r="AN157" s="74"/>
    </row>
    <row r="158" spans="2:40" s="123" customFormat="1">
      <c r="B158" s="125"/>
      <c r="D158" s="125"/>
      <c r="X158" s="74"/>
      <c r="AB158" s="124"/>
      <c r="AF158" s="74"/>
      <c r="AJ158" s="74"/>
      <c r="AN158" s="74"/>
    </row>
    <row r="159" spans="2:40" s="123" customFormat="1">
      <c r="B159" s="125"/>
      <c r="D159" s="125"/>
      <c r="X159" s="74"/>
      <c r="AB159" s="124"/>
      <c r="AF159" s="74"/>
      <c r="AJ159" s="74"/>
      <c r="AN159" s="74"/>
    </row>
    <row r="160" spans="2:40" s="123" customFormat="1">
      <c r="B160" s="125"/>
      <c r="D160" s="125"/>
      <c r="X160" s="74"/>
      <c r="AB160" s="124"/>
      <c r="AF160" s="74"/>
      <c r="AJ160" s="74"/>
      <c r="AN160" s="74"/>
    </row>
    <row r="161" spans="2:40" s="123" customFormat="1">
      <c r="B161" s="125"/>
      <c r="D161" s="125"/>
      <c r="X161" s="74"/>
      <c r="AB161" s="124"/>
      <c r="AF161" s="74"/>
      <c r="AJ161" s="74"/>
      <c r="AN161" s="74"/>
    </row>
    <row r="162" spans="2:40" s="123" customFormat="1">
      <c r="B162" s="125"/>
      <c r="D162" s="125"/>
      <c r="X162" s="74"/>
      <c r="AB162" s="124"/>
      <c r="AF162" s="74"/>
      <c r="AJ162" s="74"/>
      <c r="AN162" s="74"/>
    </row>
    <row r="163" spans="2:40" s="123" customFormat="1">
      <c r="B163" s="125"/>
      <c r="D163" s="125"/>
      <c r="X163" s="74"/>
      <c r="AB163" s="124"/>
      <c r="AF163" s="74"/>
      <c r="AJ163" s="74"/>
      <c r="AN163" s="74"/>
    </row>
    <row r="164" spans="2:40" s="123" customFormat="1">
      <c r="B164" s="125"/>
      <c r="D164" s="125"/>
      <c r="X164" s="74"/>
      <c r="AB164" s="124"/>
      <c r="AF164" s="74"/>
      <c r="AJ164" s="74"/>
      <c r="AN164" s="74"/>
    </row>
    <row r="165" spans="2:40" s="123" customFormat="1">
      <c r="B165" s="125"/>
      <c r="D165" s="125"/>
      <c r="X165" s="74"/>
      <c r="AB165" s="124"/>
      <c r="AF165" s="74"/>
      <c r="AJ165" s="74"/>
      <c r="AN165" s="74"/>
    </row>
    <row r="166" spans="2:40" s="123" customFormat="1">
      <c r="B166" s="125"/>
      <c r="D166" s="125"/>
      <c r="X166" s="74"/>
      <c r="AB166" s="124"/>
      <c r="AF166" s="74"/>
      <c r="AJ166" s="74"/>
      <c r="AN166" s="74"/>
    </row>
    <row r="167" spans="2:40" s="123" customFormat="1">
      <c r="B167" s="125"/>
      <c r="D167" s="125"/>
      <c r="X167" s="74"/>
      <c r="AB167" s="124"/>
      <c r="AF167" s="74"/>
      <c r="AJ167" s="74"/>
      <c r="AN167" s="74"/>
    </row>
    <row r="168" spans="2:40" s="123" customFormat="1">
      <c r="B168" s="125"/>
      <c r="D168" s="125"/>
      <c r="X168" s="74"/>
      <c r="AB168" s="124"/>
      <c r="AF168" s="74"/>
      <c r="AJ168" s="74"/>
      <c r="AN168" s="74"/>
    </row>
    <row r="169" spans="2:40" s="123" customFormat="1">
      <c r="B169" s="125"/>
      <c r="D169" s="125"/>
      <c r="X169" s="74"/>
      <c r="AB169" s="124"/>
      <c r="AF169" s="74"/>
      <c r="AJ169" s="74"/>
      <c r="AN169" s="74"/>
    </row>
    <row r="170" spans="2:40" s="123" customFormat="1">
      <c r="B170" s="125"/>
      <c r="D170" s="125"/>
      <c r="X170" s="74"/>
      <c r="AB170" s="124"/>
      <c r="AF170" s="74"/>
      <c r="AJ170" s="74"/>
      <c r="AN170" s="74"/>
    </row>
    <row r="171" spans="2:40" s="123" customFormat="1">
      <c r="B171" s="125"/>
      <c r="D171" s="125"/>
      <c r="X171" s="74"/>
      <c r="AB171" s="124"/>
      <c r="AF171" s="74"/>
      <c r="AJ171" s="74"/>
      <c r="AN171" s="74"/>
    </row>
    <row r="172" spans="2:40" s="123" customFormat="1">
      <c r="B172" s="125"/>
      <c r="D172" s="125"/>
      <c r="X172" s="74"/>
      <c r="AB172" s="124"/>
      <c r="AF172" s="74"/>
      <c r="AJ172" s="74"/>
      <c r="AN172" s="74"/>
    </row>
    <row r="173" spans="2:40" s="123" customFormat="1">
      <c r="B173" s="125"/>
      <c r="D173" s="125"/>
      <c r="X173" s="74"/>
      <c r="AB173" s="124"/>
      <c r="AF173" s="74"/>
      <c r="AJ173" s="74"/>
      <c r="AN173" s="74"/>
    </row>
    <row r="174" spans="2:40" s="123" customFormat="1">
      <c r="B174" s="125"/>
      <c r="D174" s="125"/>
      <c r="X174" s="74"/>
      <c r="AB174" s="124"/>
      <c r="AF174" s="74"/>
      <c r="AJ174" s="74"/>
      <c r="AN174" s="74"/>
    </row>
    <row r="175" spans="2:40" s="123" customFormat="1">
      <c r="B175" s="125"/>
      <c r="D175" s="125"/>
      <c r="X175" s="74"/>
      <c r="AB175" s="124"/>
      <c r="AF175" s="74"/>
      <c r="AJ175" s="74"/>
      <c r="AN175" s="74"/>
    </row>
    <row r="176" spans="2:40" s="123" customFormat="1">
      <c r="B176" s="125"/>
      <c r="D176" s="125"/>
      <c r="X176" s="74"/>
      <c r="AB176" s="124"/>
      <c r="AF176" s="74"/>
      <c r="AJ176" s="74"/>
      <c r="AN176" s="74"/>
    </row>
    <row r="177" spans="2:40" s="123" customFormat="1">
      <c r="B177" s="125"/>
      <c r="D177" s="125"/>
      <c r="X177" s="74"/>
      <c r="AB177" s="124"/>
      <c r="AF177" s="74"/>
      <c r="AJ177" s="74"/>
      <c r="AN177" s="74"/>
    </row>
    <row r="178" spans="2:40" s="123" customFormat="1">
      <c r="B178" s="125"/>
      <c r="D178" s="125"/>
      <c r="X178" s="74"/>
      <c r="AB178" s="124"/>
      <c r="AF178" s="74"/>
      <c r="AJ178" s="74"/>
      <c r="AN178" s="74"/>
    </row>
    <row r="179" spans="2:40" s="123" customFormat="1">
      <c r="B179" s="125"/>
      <c r="D179" s="125"/>
      <c r="X179" s="74"/>
      <c r="AB179" s="124"/>
      <c r="AF179" s="74"/>
      <c r="AJ179" s="74"/>
      <c r="AN179" s="74"/>
    </row>
    <row r="180" spans="2:40" s="123" customFormat="1">
      <c r="B180" s="125"/>
      <c r="D180" s="125"/>
      <c r="X180" s="74"/>
      <c r="AB180" s="124"/>
      <c r="AF180" s="74"/>
      <c r="AJ180" s="74"/>
      <c r="AN180" s="74"/>
    </row>
    <row r="181" spans="2:40" s="123" customFormat="1">
      <c r="B181" s="125"/>
      <c r="D181" s="125"/>
      <c r="X181" s="74"/>
      <c r="AB181" s="124"/>
      <c r="AF181" s="74"/>
      <c r="AJ181" s="74"/>
      <c r="AN181" s="74"/>
    </row>
    <row r="182" spans="2:40" s="123" customFormat="1">
      <c r="B182" s="125"/>
      <c r="D182" s="125"/>
      <c r="X182" s="74"/>
      <c r="AB182" s="124"/>
      <c r="AF182" s="74"/>
      <c r="AJ182" s="74"/>
      <c r="AN182" s="74"/>
    </row>
    <row r="183" spans="2:40" s="123" customFormat="1">
      <c r="B183" s="125"/>
      <c r="D183" s="125"/>
      <c r="X183" s="74"/>
      <c r="AB183" s="124"/>
      <c r="AF183" s="74"/>
      <c r="AJ183" s="74"/>
      <c r="AN183" s="74"/>
    </row>
    <row r="184" spans="2:40" s="123" customFormat="1">
      <c r="B184" s="125"/>
      <c r="D184" s="125"/>
      <c r="X184" s="74"/>
      <c r="AB184" s="124"/>
      <c r="AF184" s="74"/>
      <c r="AJ184" s="74"/>
      <c r="AN184" s="74"/>
    </row>
    <row r="185" spans="2:40" s="123" customFormat="1">
      <c r="B185" s="125"/>
      <c r="D185" s="125"/>
      <c r="X185" s="74"/>
      <c r="AB185" s="124"/>
      <c r="AF185" s="74"/>
      <c r="AJ185" s="74"/>
      <c r="AN185" s="74"/>
    </row>
    <row r="186" spans="2:40" s="123" customFormat="1">
      <c r="B186" s="125"/>
      <c r="D186" s="125"/>
      <c r="X186" s="74"/>
      <c r="AB186" s="124"/>
      <c r="AF186" s="74"/>
      <c r="AJ186" s="74"/>
      <c r="AN186" s="74"/>
    </row>
    <row r="187" spans="2:40" s="123" customFormat="1">
      <c r="B187" s="125"/>
      <c r="D187" s="125"/>
      <c r="X187" s="74"/>
      <c r="AB187" s="124"/>
      <c r="AF187" s="74"/>
      <c r="AJ187" s="74"/>
      <c r="AN187" s="74"/>
    </row>
    <row r="188" spans="2:40" s="123" customFormat="1">
      <c r="B188" s="125"/>
      <c r="D188" s="125"/>
      <c r="X188" s="74"/>
      <c r="AB188" s="124"/>
      <c r="AF188" s="74"/>
      <c r="AJ188" s="74"/>
      <c r="AN188" s="74"/>
    </row>
    <row r="189" spans="2:40" s="123" customFormat="1">
      <c r="B189" s="125"/>
      <c r="D189" s="125"/>
      <c r="X189" s="74"/>
      <c r="AB189" s="124"/>
      <c r="AF189" s="74"/>
      <c r="AJ189" s="74"/>
      <c r="AN189" s="74"/>
    </row>
    <row r="190" spans="2:40" s="123" customFormat="1">
      <c r="B190" s="125"/>
      <c r="D190" s="125"/>
      <c r="X190" s="74"/>
      <c r="AB190" s="124"/>
      <c r="AF190" s="74"/>
      <c r="AJ190" s="74"/>
      <c r="AN190" s="74"/>
    </row>
    <row r="191" spans="2:40" s="123" customFormat="1">
      <c r="B191" s="125"/>
      <c r="D191" s="125"/>
      <c r="X191" s="74"/>
      <c r="AB191" s="124"/>
      <c r="AF191" s="74"/>
      <c r="AJ191" s="74"/>
      <c r="AN191" s="74"/>
    </row>
    <row r="192" spans="2:40" s="123" customFormat="1">
      <c r="B192" s="125"/>
      <c r="D192" s="125"/>
      <c r="X192" s="74"/>
      <c r="AB192" s="124"/>
      <c r="AF192" s="74"/>
      <c r="AJ192" s="74"/>
      <c r="AN192" s="74"/>
    </row>
    <row r="193" spans="2:40" s="123" customFormat="1">
      <c r="B193" s="125"/>
      <c r="D193" s="125"/>
      <c r="X193" s="74"/>
      <c r="AB193" s="124"/>
      <c r="AF193" s="74"/>
      <c r="AJ193" s="74"/>
      <c r="AN193" s="74"/>
    </row>
    <row r="194" spans="2:40" s="123" customFormat="1">
      <c r="B194" s="125"/>
      <c r="D194" s="125"/>
      <c r="X194" s="74"/>
      <c r="AB194" s="124"/>
      <c r="AF194" s="74"/>
      <c r="AJ194" s="74"/>
      <c r="AN194" s="74"/>
    </row>
    <row r="195" spans="2:40" s="123" customFormat="1">
      <c r="B195" s="125"/>
      <c r="D195" s="125"/>
      <c r="X195" s="74"/>
      <c r="AB195" s="124"/>
      <c r="AF195" s="74"/>
      <c r="AJ195" s="74"/>
      <c r="AN195" s="74"/>
    </row>
    <row r="196" spans="2:40" s="123" customFormat="1">
      <c r="B196" s="125"/>
      <c r="D196" s="125"/>
      <c r="X196" s="74"/>
      <c r="AB196" s="124"/>
      <c r="AF196" s="74"/>
      <c r="AJ196" s="74"/>
      <c r="AN196" s="74"/>
    </row>
    <row r="197" spans="2:40" s="123" customFormat="1">
      <c r="B197" s="125"/>
      <c r="D197" s="125"/>
      <c r="X197" s="74"/>
      <c r="AB197" s="124"/>
      <c r="AF197" s="74"/>
      <c r="AJ197" s="74"/>
      <c r="AN197" s="74"/>
    </row>
    <row r="198" spans="2:40" s="123" customFormat="1">
      <c r="B198" s="125"/>
      <c r="D198" s="125"/>
      <c r="X198" s="74"/>
      <c r="AB198" s="124"/>
      <c r="AF198" s="74"/>
      <c r="AJ198" s="74"/>
      <c r="AN198" s="74"/>
    </row>
    <row r="199" spans="2:40" s="123" customFormat="1">
      <c r="B199" s="125"/>
      <c r="D199" s="125"/>
      <c r="X199" s="74"/>
      <c r="AB199" s="124"/>
      <c r="AF199" s="74"/>
      <c r="AJ199" s="74"/>
      <c r="AN199" s="74"/>
    </row>
    <row r="200" spans="2:40" s="123" customFormat="1">
      <c r="B200" s="125"/>
      <c r="D200" s="125"/>
      <c r="X200" s="74"/>
      <c r="AB200" s="124"/>
      <c r="AF200" s="74"/>
      <c r="AJ200" s="74"/>
      <c r="AN200" s="74"/>
    </row>
    <row r="201" spans="2:40" s="123" customFormat="1">
      <c r="B201" s="125"/>
      <c r="D201" s="125"/>
      <c r="X201" s="74"/>
      <c r="AB201" s="124"/>
      <c r="AF201" s="74"/>
      <c r="AJ201" s="74"/>
      <c r="AN201" s="74"/>
    </row>
    <row r="202" spans="2:40" s="123" customFormat="1">
      <c r="B202" s="125"/>
      <c r="D202" s="125"/>
      <c r="X202" s="74"/>
      <c r="AB202" s="124"/>
      <c r="AF202" s="74"/>
      <c r="AJ202" s="74"/>
      <c r="AN202" s="74"/>
    </row>
    <row r="203" spans="2:40" s="123" customFormat="1">
      <c r="B203" s="125"/>
      <c r="D203" s="125"/>
      <c r="X203" s="74"/>
      <c r="AB203" s="124"/>
      <c r="AF203" s="74"/>
      <c r="AJ203" s="74"/>
      <c r="AN203" s="74"/>
    </row>
    <row r="204" spans="2:40" s="123" customFormat="1">
      <c r="B204" s="125"/>
      <c r="D204" s="125"/>
      <c r="X204" s="74"/>
      <c r="AB204" s="124"/>
      <c r="AF204" s="74"/>
      <c r="AJ204" s="74"/>
      <c r="AN204" s="74"/>
    </row>
    <row r="205" spans="2:40" s="123" customFormat="1">
      <c r="B205" s="125"/>
      <c r="D205" s="125"/>
      <c r="X205" s="74"/>
      <c r="AB205" s="124"/>
      <c r="AF205" s="74"/>
      <c r="AJ205" s="74"/>
      <c r="AN205" s="74"/>
    </row>
    <row r="206" spans="2:40" s="123" customFormat="1">
      <c r="B206" s="125"/>
      <c r="D206" s="125"/>
      <c r="X206" s="74"/>
      <c r="AB206" s="124"/>
      <c r="AF206" s="74"/>
      <c r="AJ206" s="74"/>
      <c r="AN206" s="74"/>
    </row>
    <row r="207" spans="2:40" s="123" customFormat="1">
      <c r="B207" s="125"/>
      <c r="D207" s="125"/>
      <c r="X207" s="74"/>
      <c r="AB207" s="124"/>
      <c r="AF207" s="74"/>
      <c r="AJ207" s="74"/>
      <c r="AN207" s="74"/>
    </row>
    <row r="208" spans="2:40" s="123" customFormat="1">
      <c r="B208" s="125"/>
      <c r="D208" s="125"/>
      <c r="X208" s="74"/>
      <c r="AB208" s="124"/>
      <c r="AF208" s="74"/>
      <c r="AJ208" s="74"/>
      <c r="AN208" s="74"/>
    </row>
    <row r="209" spans="2:40" s="123" customFormat="1">
      <c r="B209" s="125"/>
      <c r="D209" s="125"/>
      <c r="X209" s="74"/>
      <c r="AB209" s="124"/>
      <c r="AF209" s="74"/>
      <c r="AJ209" s="74"/>
      <c r="AN209" s="74"/>
    </row>
    <row r="210" spans="2:40" s="123" customFormat="1">
      <c r="B210" s="125"/>
      <c r="D210" s="125"/>
      <c r="X210" s="74"/>
      <c r="AB210" s="124"/>
      <c r="AF210" s="74"/>
      <c r="AJ210" s="74"/>
      <c r="AN210" s="74"/>
    </row>
    <row r="211" spans="2:40" s="123" customFormat="1">
      <c r="B211" s="125"/>
      <c r="D211" s="125"/>
      <c r="X211" s="74"/>
      <c r="AB211" s="124"/>
      <c r="AF211" s="74"/>
      <c r="AJ211" s="74"/>
      <c r="AN211" s="74"/>
    </row>
    <row r="212" spans="2:40" s="123" customFormat="1">
      <c r="B212" s="125"/>
      <c r="D212" s="125"/>
      <c r="X212" s="74"/>
      <c r="AB212" s="124"/>
      <c r="AF212" s="74"/>
      <c r="AJ212" s="74"/>
      <c r="AN212" s="74"/>
    </row>
    <row r="213" spans="2:40" s="123" customFormat="1">
      <c r="B213" s="125"/>
      <c r="D213" s="125"/>
      <c r="X213" s="74"/>
      <c r="AB213" s="124"/>
      <c r="AF213" s="74"/>
      <c r="AJ213" s="74"/>
      <c r="AN213" s="74"/>
    </row>
    <row r="214" spans="2:40" s="123" customFormat="1">
      <c r="B214" s="125"/>
      <c r="D214" s="125"/>
      <c r="X214" s="74"/>
      <c r="AB214" s="124"/>
      <c r="AF214" s="74"/>
      <c r="AJ214" s="74"/>
      <c r="AN214" s="74"/>
    </row>
    <row r="215" spans="2:40" s="123" customFormat="1">
      <c r="B215" s="125"/>
      <c r="D215" s="125"/>
      <c r="X215" s="74"/>
      <c r="AB215" s="124"/>
      <c r="AF215" s="74"/>
      <c r="AJ215" s="74"/>
      <c r="AN215" s="74"/>
    </row>
    <row r="216" spans="2:40" s="123" customFormat="1">
      <c r="B216" s="125"/>
      <c r="D216" s="125"/>
      <c r="X216" s="74"/>
      <c r="AB216" s="124"/>
      <c r="AF216" s="74"/>
      <c r="AJ216" s="74"/>
      <c r="AN216" s="74"/>
    </row>
    <row r="217" spans="2:40" s="123" customFormat="1">
      <c r="B217" s="125"/>
      <c r="D217" s="125"/>
      <c r="X217" s="74"/>
      <c r="AB217" s="124"/>
      <c r="AF217" s="74"/>
      <c r="AJ217" s="74"/>
      <c r="AN217" s="74"/>
    </row>
    <row r="218" spans="2:40" s="123" customFormat="1">
      <c r="B218" s="125"/>
      <c r="D218" s="125"/>
      <c r="X218" s="74"/>
      <c r="AB218" s="124"/>
      <c r="AF218" s="74"/>
      <c r="AJ218" s="74"/>
      <c r="AN218" s="74"/>
    </row>
    <row r="219" spans="2:40" s="123" customFormat="1">
      <c r="B219" s="125"/>
      <c r="D219" s="125"/>
      <c r="X219" s="74"/>
      <c r="AB219" s="124"/>
      <c r="AF219" s="74"/>
      <c r="AJ219" s="74"/>
      <c r="AN219" s="74"/>
    </row>
    <row r="220" spans="2:40" s="123" customFormat="1">
      <c r="B220" s="125"/>
      <c r="D220" s="125"/>
      <c r="X220" s="74"/>
      <c r="AB220" s="124"/>
      <c r="AF220" s="74"/>
      <c r="AJ220" s="74"/>
      <c r="AN220" s="74"/>
    </row>
    <row r="221" spans="2:40" s="123" customFormat="1">
      <c r="B221" s="125"/>
      <c r="D221" s="125"/>
      <c r="X221" s="74"/>
      <c r="AB221" s="124"/>
      <c r="AF221" s="74"/>
      <c r="AJ221" s="74"/>
      <c r="AN221" s="74"/>
    </row>
    <row r="222" spans="2:40" s="123" customFormat="1">
      <c r="B222" s="125"/>
      <c r="D222" s="125"/>
      <c r="X222" s="74"/>
      <c r="AB222" s="124"/>
      <c r="AF222" s="74"/>
      <c r="AJ222" s="74"/>
      <c r="AN222" s="74"/>
    </row>
    <row r="223" spans="2:40" s="123" customFormat="1">
      <c r="B223" s="125"/>
      <c r="D223" s="125"/>
      <c r="X223" s="74"/>
      <c r="AB223" s="124"/>
      <c r="AF223" s="74"/>
      <c r="AJ223" s="74"/>
      <c r="AN223" s="74"/>
    </row>
  </sheetData>
  <mergeCells count="16">
    <mergeCell ref="B8:Z8"/>
    <mergeCell ref="B1:Z2"/>
    <mergeCell ref="B3:Z4"/>
    <mergeCell ref="B5:Z5"/>
    <mergeCell ref="B6:Z6"/>
    <mergeCell ref="B7:Z7"/>
    <mergeCell ref="AQ14:AR14"/>
    <mergeCell ref="B99:I99"/>
    <mergeCell ref="B100:E100"/>
    <mergeCell ref="B101:AF101"/>
    <mergeCell ref="B9:AC10"/>
    <mergeCell ref="W14:Z14"/>
    <mergeCell ref="AA14:AD14"/>
    <mergeCell ref="AE14:AH14"/>
    <mergeCell ref="AI14:AL14"/>
    <mergeCell ref="AM14:AP14"/>
  </mergeCells>
  <conditionalFormatting sqref="D77:D83 D16:D39">
    <cfRule type="duplicateValues" dxfId="44" priority="3"/>
  </conditionalFormatting>
  <conditionalFormatting sqref="D40:D50">
    <cfRule type="duplicateValues" dxfId="43" priority="2"/>
  </conditionalFormatting>
  <conditionalFormatting sqref="D52">
    <cfRule type="duplicateValues" dxfId="42" priority="1"/>
  </conditionalFormatting>
  <conditionalFormatting sqref="D84:D98">
    <cfRule type="duplicateValues" dxfId="41" priority="4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W1632"/>
  <sheetViews>
    <sheetView topLeftCell="A9" workbookViewId="0">
      <selection activeCell="B9" sqref="B9:AC10"/>
    </sheetView>
  </sheetViews>
  <sheetFormatPr baseColWidth="10" defaultRowHeight="15"/>
  <cols>
    <col min="1" max="1" width="5" style="123" customWidth="1"/>
    <col min="2" max="2" width="10.140625" style="86" customWidth="1"/>
    <col min="3" max="3" width="9.85546875" style="83" customWidth="1"/>
    <col min="4" max="4" width="11.42578125" style="86" customWidth="1"/>
    <col min="5" max="5" width="37" style="83" customWidth="1"/>
    <col min="6" max="6" width="13.140625" style="83" customWidth="1"/>
    <col min="7" max="7" width="11.28515625" style="83" customWidth="1"/>
    <col min="8" max="8" width="18.85546875" style="83" customWidth="1"/>
    <col min="9" max="9" width="9.7109375" style="83" customWidth="1"/>
    <col min="10" max="10" width="11.7109375" style="83" customWidth="1"/>
    <col min="11" max="25" width="12" style="83" customWidth="1"/>
    <col min="26" max="26" width="10.140625" style="83" customWidth="1"/>
    <col min="27" max="27" width="10.140625" style="60" customWidth="1"/>
    <col min="28" max="30" width="10.140625" style="83" customWidth="1"/>
    <col min="31" max="31" width="10.140625" style="84" customWidth="1"/>
    <col min="32" max="34" width="10.140625" style="83" customWidth="1"/>
    <col min="35" max="35" width="10.140625" style="60" customWidth="1"/>
    <col min="36" max="38" width="10.140625" style="83" customWidth="1"/>
    <col min="39" max="39" width="10.140625" style="60" customWidth="1"/>
    <col min="40" max="50" width="10.140625" style="83" customWidth="1"/>
    <col min="51" max="51" width="10.140625" style="60" customWidth="1"/>
    <col min="52" max="54" width="10.140625" style="83" customWidth="1"/>
    <col min="55" max="55" width="10.140625" style="60" customWidth="1"/>
    <col min="56" max="58" width="10.140625" style="83" customWidth="1"/>
    <col min="59" max="59" width="10.140625" style="60" customWidth="1"/>
    <col min="60" max="62" width="10.140625" style="83" customWidth="1"/>
    <col min="63" max="63" width="10.140625" style="60" customWidth="1"/>
    <col min="64" max="66" width="10.140625" style="83" customWidth="1"/>
    <col min="67" max="67" width="10.140625" style="60" customWidth="1"/>
    <col min="68" max="74" width="10.140625" style="83" customWidth="1"/>
    <col min="75" max="75" width="10.140625" style="60" customWidth="1"/>
    <col min="76" max="109" width="10.140625" style="83" customWidth="1"/>
    <col min="114" max="115" width="11.42578125" style="83"/>
    <col min="116" max="1401" width="11.42578125" style="123"/>
    <col min="1402" max="16384" width="11.42578125" style="83"/>
  </cols>
  <sheetData>
    <row r="1" spans="1:1401" hidden="1">
      <c r="B1" s="738"/>
      <c r="C1" s="738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739"/>
      <c r="AB1" s="739"/>
      <c r="AC1" s="739"/>
      <c r="AD1" s="80"/>
      <c r="AE1" s="81"/>
      <c r="AF1" s="80"/>
      <c r="AG1" s="80"/>
      <c r="AH1" s="80"/>
      <c r="AI1" s="82"/>
      <c r="AJ1" s="80"/>
      <c r="AK1" s="80"/>
      <c r="AL1" s="80"/>
      <c r="AM1" s="82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2"/>
      <c r="AZ1" s="80"/>
      <c r="BA1" s="80"/>
      <c r="BB1" s="80"/>
      <c r="BC1" s="82"/>
      <c r="BD1" s="80"/>
      <c r="BE1" s="80"/>
      <c r="BF1" s="80"/>
      <c r="BG1" s="82"/>
      <c r="BH1" s="80"/>
      <c r="BI1" s="80"/>
      <c r="BJ1" s="80"/>
      <c r="BK1" s="82"/>
      <c r="BL1" s="80"/>
      <c r="BM1" s="80"/>
      <c r="BN1" s="80"/>
      <c r="BO1" s="82"/>
      <c r="BP1" s="80"/>
      <c r="BQ1" s="80"/>
      <c r="BR1" s="80"/>
      <c r="BS1" s="80"/>
      <c r="BT1" s="80"/>
      <c r="BU1" s="80"/>
      <c r="BV1" s="80"/>
      <c r="BW1" s="82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C1" s="80"/>
      <c r="DD1" s="80"/>
      <c r="DE1" s="80"/>
    </row>
    <row r="2" spans="1:1401" hidden="1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80"/>
      <c r="AE2" s="81"/>
      <c r="AF2" s="80"/>
      <c r="AG2" s="80"/>
      <c r="AH2" s="80"/>
      <c r="AI2" s="82"/>
      <c r="AJ2" s="80"/>
      <c r="AK2" s="80"/>
      <c r="AL2" s="80"/>
      <c r="AM2" s="82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2"/>
      <c r="AZ2" s="80"/>
      <c r="BA2" s="80"/>
      <c r="BB2" s="80"/>
      <c r="BC2" s="82"/>
      <c r="BD2" s="80"/>
      <c r="BE2" s="80"/>
      <c r="BF2" s="80"/>
      <c r="BG2" s="82"/>
      <c r="BH2" s="80"/>
      <c r="BI2" s="80"/>
      <c r="BJ2" s="80"/>
      <c r="BK2" s="82"/>
      <c r="BL2" s="80"/>
      <c r="BM2" s="80"/>
      <c r="BN2" s="80"/>
      <c r="BO2" s="82"/>
      <c r="BP2" s="80"/>
      <c r="BQ2" s="80"/>
      <c r="BR2" s="80"/>
      <c r="BS2" s="80"/>
      <c r="BT2" s="80"/>
      <c r="BU2" s="80"/>
      <c r="BV2" s="80"/>
      <c r="BW2" s="82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</row>
    <row r="3" spans="1:1401" ht="12.75" hidden="1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1"/>
      <c r="AE3" s="2"/>
      <c r="AF3" s="1"/>
      <c r="AG3" s="1"/>
      <c r="AH3" s="1"/>
      <c r="AI3" s="3"/>
      <c r="AJ3" s="1"/>
      <c r="AK3" s="1"/>
      <c r="AL3" s="1"/>
      <c r="AM3" s="3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3"/>
      <c r="AZ3" s="1"/>
      <c r="BA3" s="1"/>
      <c r="BB3" s="1"/>
      <c r="BC3" s="3"/>
      <c r="BD3" s="1"/>
      <c r="BE3" s="1"/>
      <c r="BF3" s="1"/>
      <c r="BG3" s="3"/>
      <c r="BH3" s="1"/>
      <c r="BI3" s="1"/>
      <c r="BJ3" s="1"/>
      <c r="BK3" s="3"/>
      <c r="BL3" s="1"/>
      <c r="BM3" s="1"/>
      <c r="BN3" s="1"/>
      <c r="BO3" s="3"/>
      <c r="BP3" s="1"/>
      <c r="BQ3" s="1"/>
      <c r="BR3" s="1"/>
      <c r="BS3" s="1"/>
      <c r="BT3" s="1"/>
      <c r="BU3" s="1"/>
      <c r="BV3" s="1"/>
      <c r="BW3" s="3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</row>
    <row r="4" spans="1:1401" ht="21.75" hidden="1" customHeight="1"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1"/>
      <c r="AE4" s="2"/>
      <c r="AF4" s="1"/>
      <c r="AG4" s="1"/>
      <c r="AH4" s="1"/>
      <c r="AI4" s="3"/>
      <c r="AJ4" s="1"/>
      <c r="AK4" s="1"/>
      <c r="AL4" s="1"/>
      <c r="AM4" s="3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3"/>
      <c r="AZ4" s="1"/>
      <c r="BA4" s="1"/>
      <c r="BB4" s="1"/>
      <c r="BC4" s="3"/>
      <c r="BD4" s="1"/>
      <c r="BE4" s="1"/>
      <c r="BF4" s="1"/>
      <c r="BG4" s="3"/>
      <c r="BH4" s="1"/>
      <c r="BI4" s="1"/>
      <c r="BJ4" s="1"/>
      <c r="BK4" s="3"/>
      <c r="BL4" s="1"/>
      <c r="BM4" s="1"/>
      <c r="BN4" s="1"/>
      <c r="BO4" s="3"/>
      <c r="BP4" s="1"/>
      <c r="BQ4" s="1"/>
      <c r="BR4" s="1"/>
      <c r="BS4" s="1"/>
      <c r="BT4" s="1"/>
      <c r="BU4" s="1"/>
      <c r="BV4" s="1"/>
      <c r="BW4" s="3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</row>
    <row r="5" spans="1:1401" ht="11.25" hidden="1" customHeight="1"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1"/>
      <c r="AE5" s="2"/>
      <c r="AF5" s="1"/>
      <c r="AG5" s="1"/>
      <c r="AH5" s="1"/>
      <c r="AI5" s="3"/>
      <c r="AJ5" s="1"/>
      <c r="AK5" s="1"/>
      <c r="AL5" s="1"/>
      <c r="AM5" s="3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3"/>
      <c r="AZ5" s="1"/>
      <c r="BA5" s="1"/>
      <c r="BB5" s="1"/>
      <c r="BC5" s="3"/>
      <c r="BD5" s="1"/>
      <c r="BE5" s="1"/>
      <c r="BF5" s="1"/>
      <c r="BG5" s="3"/>
      <c r="BH5" s="1"/>
      <c r="BI5" s="1"/>
      <c r="BJ5" s="1"/>
      <c r="BK5" s="3"/>
      <c r="BL5" s="1"/>
      <c r="BM5" s="1"/>
      <c r="BN5" s="1"/>
      <c r="BO5" s="3"/>
      <c r="BP5" s="1"/>
      <c r="BQ5" s="1"/>
      <c r="BR5" s="1"/>
      <c r="BS5" s="1"/>
      <c r="BT5" s="1"/>
      <c r="BU5" s="1"/>
      <c r="BV5" s="1"/>
      <c r="BW5" s="3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</row>
    <row r="6" spans="1:1401" ht="15" hidden="1" customHeight="1"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1"/>
      <c r="AE6" s="2"/>
      <c r="AF6" s="1"/>
      <c r="AG6" s="1"/>
      <c r="AH6" s="1"/>
      <c r="AI6" s="3"/>
      <c r="AJ6" s="1"/>
      <c r="AK6" s="1"/>
      <c r="AL6" s="1"/>
      <c r="AM6" s="3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3"/>
      <c r="AZ6" s="1"/>
      <c r="BA6" s="1"/>
      <c r="BB6" s="1"/>
      <c r="BC6" s="3"/>
      <c r="BD6" s="1"/>
      <c r="BE6" s="1"/>
      <c r="BF6" s="1"/>
      <c r="BG6" s="3"/>
      <c r="BH6" s="1"/>
      <c r="BI6" s="1"/>
      <c r="BJ6" s="1"/>
      <c r="BK6" s="3"/>
      <c r="BL6" s="1"/>
      <c r="BM6" s="1"/>
      <c r="BN6" s="1"/>
      <c r="BO6" s="3"/>
      <c r="BP6" s="1"/>
      <c r="BQ6" s="1"/>
      <c r="BR6" s="1"/>
      <c r="BS6" s="1"/>
      <c r="BT6" s="1"/>
      <c r="BU6" s="1"/>
      <c r="BV6" s="1"/>
      <c r="BW6" s="3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</row>
    <row r="7" spans="1:1401" ht="21" hidden="1" customHeight="1"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1"/>
      <c r="AE7" s="2"/>
      <c r="AF7" s="1"/>
      <c r="AG7" s="1"/>
      <c r="AH7" s="1"/>
      <c r="AI7" s="3"/>
      <c r="AJ7" s="1"/>
      <c r="AK7" s="1"/>
      <c r="AL7" s="1"/>
      <c r="AM7" s="3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3"/>
      <c r="AZ7" s="1"/>
      <c r="BA7" s="1"/>
      <c r="BB7" s="1"/>
      <c r="BC7" s="3"/>
      <c r="BD7" s="1"/>
      <c r="BE7" s="1"/>
      <c r="BF7" s="1"/>
      <c r="BG7" s="3"/>
      <c r="BH7" s="1"/>
      <c r="BI7" s="1"/>
      <c r="BJ7" s="1"/>
      <c r="BK7" s="3"/>
      <c r="BL7" s="1"/>
      <c r="BM7" s="1"/>
      <c r="BN7" s="1"/>
      <c r="BO7" s="3"/>
      <c r="BP7" s="1"/>
      <c r="BQ7" s="1"/>
      <c r="BR7" s="1"/>
      <c r="BS7" s="1"/>
      <c r="BT7" s="1"/>
      <c r="BU7" s="1"/>
      <c r="BV7" s="1"/>
      <c r="BW7" s="3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</row>
    <row r="8" spans="1:1401" ht="16.5" hidden="1" customHeight="1"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1"/>
      <c r="AE8" s="2"/>
      <c r="AF8" s="1"/>
      <c r="AG8" s="1"/>
      <c r="AH8" s="1"/>
      <c r="AI8" s="3"/>
      <c r="AJ8" s="1"/>
      <c r="AK8" s="1"/>
      <c r="AL8" s="1"/>
      <c r="AM8" s="3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3"/>
      <c r="AZ8" s="1"/>
      <c r="BA8" s="1"/>
      <c r="BB8" s="1"/>
      <c r="BC8" s="3"/>
      <c r="BD8" s="1"/>
      <c r="BE8" s="1"/>
      <c r="BF8" s="1"/>
      <c r="BG8" s="3"/>
      <c r="BH8" s="1"/>
      <c r="BI8" s="1"/>
      <c r="BJ8" s="1"/>
      <c r="BK8" s="3"/>
      <c r="BL8" s="1"/>
      <c r="BM8" s="1"/>
      <c r="BN8" s="1"/>
      <c r="BO8" s="3"/>
      <c r="BP8" s="1"/>
      <c r="BQ8" s="1"/>
      <c r="BR8" s="1"/>
      <c r="BS8" s="1"/>
      <c r="BT8" s="1"/>
      <c r="BU8" s="1"/>
      <c r="BV8" s="1"/>
      <c r="BW8" s="3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</row>
    <row r="9" spans="1:1401" s="123" customFormat="1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61"/>
      <c r="AE9" s="62"/>
      <c r="AF9" s="61"/>
      <c r="AG9" s="61"/>
      <c r="AH9" s="61"/>
      <c r="AI9" s="63"/>
      <c r="AJ9" s="61"/>
      <c r="AK9" s="61"/>
      <c r="AL9" s="61"/>
      <c r="AM9" s="63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3"/>
      <c r="AZ9" s="61"/>
      <c r="BA9" s="61"/>
      <c r="BB9" s="61"/>
      <c r="BC9" s="63"/>
      <c r="BD9" s="61"/>
      <c r="BE9" s="61"/>
      <c r="BF9" s="61"/>
      <c r="BG9" s="63"/>
      <c r="BH9" s="61"/>
      <c r="BI9" s="61"/>
      <c r="BJ9" s="61"/>
      <c r="BK9" s="63"/>
      <c r="BL9" s="61"/>
      <c r="BM9" s="61"/>
      <c r="BN9" s="61"/>
      <c r="BO9" s="63"/>
      <c r="BP9" s="61"/>
      <c r="BQ9" s="61"/>
      <c r="BR9" s="61"/>
      <c r="BS9" s="61"/>
      <c r="BT9" s="61"/>
      <c r="BU9" s="61"/>
      <c r="BV9" s="61"/>
      <c r="BW9" s="63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21"/>
      <c r="DG9" s="21"/>
      <c r="DH9" s="21"/>
      <c r="DI9" s="21"/>
    </row>
    <row r="10" spans="1:1401" s="123" customFormat="1" ht="15" customHeight="1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E10" s="124"/>
      <c r="AI10" s="74"/>
      <c r="AM10" s="74"/>
      <c r="AY10" s="74"/>
      <c r="BC10" s="74"/>
      <c r="BG10" s="74"/>
      <c r="BK10" s="74"/>
      <c r="BO10" s="74"/>
      <c r="BW10" s="74"/>
      <c r="DF10" s="21"/>
      <c r="DG10" s="21"/>
      <c r="DH10" s="21"/>
      <c r="DI10" s="21"/>
    </row>
    <row r="11" spans="1:1401" s="123" customFormat="1" ht="18.75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E11" s="124"/>
      <c r="AI11" s="74"/>
      <c r="AM11" s="74"/>
      <c r="AY11" s="74"/>
      <c r="BC11" s="74"/>
      <c r="BG11" s="74"/>
      <c r="BK11" s="74"/>
      <c r="BO11" s="74"/>
      <c r="BW11" s="74"/>
      <c r="DF11" s="21"/>
      <c r="DG11" s="21"/>
      <c r="DH11" s="21"/>
      <c r="DI11" s="21"/>
    </row>
    <row r="12" spans="1:1401" ht="22.5">
      <c r="B12" s="4" t="s">
        <v>1</v>
      </c>
      <c r="C12" s="4" t="s">
        <v>2</v>
      </c>
      <c r="D12" s="5" t="s">
        <v>3</v>
      </c>
      <c r="E12" s="6" t="s">
        <v>4</v>
      </c>
      <c r="F12" s="7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123"/>
      <c r="AE12" s="124"/>
      <c r="AF12" s="123"/>
      <c r="AG12" s="123"/>
      <c r="AH12" s="123"/>
      <c r="AI12" s="74"/>
      <c r="AJ12" s="123"/>
      <c r="AK12" s="123"/>
      <c r="AL12" s="123"/>
      <c r="AM12" s="74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74"/>
      <c r="AZ12" s="123"/>
      <c r="BA12" s="123"/>
      <c r="BB12" s="123"/>
      <c r="BC12" s="74"/>
      <c r="BD12" s="123"/>
      <c r="BE12" s="123"/>
      <c r="BF12" s="123"/>
      <c r="BG12" s="74"/>
      <c r="BH12" s="123"/>
      <c r="BI12" s="123"/>
      <c r="BJ12" s="123"/>
      <c r="BK12" s="74"/>
      <c r="BL12" s="123"/>
      <c r="BM12" s="123"/>
      <c r="BN12" s="123"/>
      <c r="BO12" s="74"/>
      <c r="BP12" s="123"/>
      <c r="BQ12" s="123"/>
      <c r="BR12" s="123"/>
      <c r="BS12" s="123"/>
      <c r="BT12" s="123"/>
      <c r="BU12" s="123"/>
      <c r="BV12" s="123"/>
      <c r="BW12" s="74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21"/>
      <c r="DG12" s="21"/>
      <c r="DH12" s="21"/>
      <c r="DI12" s="21"/>
      <c r="DJ12" s="123"/>
      <c r="DK12" s="123"/>
    </row>
    <row r="13" spans="1:1401" ht="18.75">
      <c r="B13" s="8">
        <f>46138317+3840529</f>
        <v>49978846</v>
      </c>
      <c r="C13" s="8">
        <f>46270224+2196789</f>
        <v>48467013</v>
      </c>
      <c r="D13" s="8">
        <v>40970822</v>
      </c>
      <c r="E13" s="8">
        <f>+Y148</f>
        <v>26450090</v>
      </c>
      <c r="F13" s="610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123"/>
      <c r="AE13" s="124"/>
      <c r="AF13" s="123"/>
      <c r="AG13" s="123"/>
      <c r="AH13" s="123"/>
      <c r="AI13" s="74"/>
      <c r="AJ13" s="123"/>
      <c r="AK13" s="123"/>
      <c r="AL13" s="123"/>
      <c r="AM13" s="74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74"/>
      <c r="AZ13" s="123"/>
      <c r="BA13" s="123"/>
      <c r="BB13" s="123"/>
      <c r="BC13" s="74"/>
      <c r="BD13" s="123"/>
      <c r="BE13" s="123"/>
      <c r="BF13" s="123"/>
      <c r="BG13" s="74"/>
      <c r="BH13" s="123"/>
      <c r="BI13" s="123"/>
      <c r="BJ13" s="123"/>
      <c r="BK13" s="74"/>
      <c r="BL13" s="123"/>
      <c r="BM13" s="123"/>
      <c r="BN13" s="123"/>
      <c r="BO13" s="74"/>
      <c r="BP13" s="123"/>
      <c r="BQ13" s="123"/>
      <c r="BR13" s="123"/>
      <c r="BS13" s="123"/>
      <c r="BT13" s="123"/>
      <c r="BU13" s="123"/>
      <c r="BV13" s="123"/>
      <c r="BW13" s="74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21"/>
      <c r="DG13" s="21"/>
      <c r="DH13" s="21"/>
      <c r="DI13" s="21"/>
      <c r="DJ13" s="123"/>
      <c r="DK13" s="123"/>
    </row>
    <row r="14" spans="1:1401" s="123" customFormat="1" ht="15" customHeight="1">
      <c r="B14" s="140"/>
      <c r="C14" s="611"/>
      <c r="D14" s="612"/>
      <c r="E14" s="611"/>
      <c r="F14" s="61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783" t="s">
        <v>5</v>
      </c>
      <c r="AA14" s="783"/>
      <c r="AB14" s="783"/>
      <c r="AC14" s="783"/>
      <c r="AD14" s="781" t="s">
        <v>6</v>
      </c>
      <c r="AE14" s="781"/>
      <c r="AF14" s="781"/>
      <c r="AG14" s="781"/>
      <c r="AH14" s="781" t="s">
        <v>6</v>
      </c>
      <c r="AI14" s="781"/>
      <c r="AJ14" s="781"/>
      <c r="AK14" s="781"/>
      <c r="AL14" s="781" t="s">
        <v>6</v>
      </c>
      <c r="AM14" s="781"/>
      <c r="AN14" s="781"/>
      <c r="AO14" s="781"/>
      <c r="AP14" s="781" t="s">
        <v>6</v>
      </c>
      <c r="AQ14" s="781"/>
      <c r="AR14" s="781"/>
      <c r="AS14" s="781"/>
      <c r="AT14" s="781" t="s">
        <v>6</v>
      </c>
      <c r="AU14" s="781"/>
      <c r="AV14" s="781"/>
      <c r="AW14" s="781"/>
      <c r="AX14" s="781" t="s">
        <v>6</v>
      </c>
      <c r="AY14" s="781"/>
      <c r="AZ14" s="781"/>
      <c r="BA14" s="781"/>
      <c r="BB14" s="781" t="s">
        <v>6</v>
      </c>
      <c r="BC14" s="781"/>
      <c r="BD14" s="781"/>
      <c r="BE14" s="781"/>
      <c r="BF14" s="781" t="s">
        <v>6</v>
      </c>
      <c r="BG14" s="781"/>
      <c r="BH14" s="781"/>
      <c r="BI14" s="781"/>
      <c r="BJ14" s="781" t="s">
        <v>6</v>
      </c>
      <c r="BK14" s="781"/>
      <c r="BL14" s="781"/>
      <c r="BM14" s="781"/>
      <c r="BN14" s="781" t="s">
        <v>6</v>
      </c>
      <c r="BO14" s="781"/>
      <c r="BP14" s="781"/>
      <c r="BQ14" s="781"/>
      <c r="BR14" s="781" t="s">
        <v>6</v>
      </c>
      <c r="BS14" s="781"/>
      <c r="BT14" s="781"/>
      <c r="BU14" s="781"/>
      <c r="BV14" s="781" t="s">
        <v>6</v>
      </c>
      <c r="BW14" s="781"/>
      <c r="BX14" s="781"/>
      <c r="BY14" s="781"/>
      <c r="BZ14" s="781" t="s">
        <v>6</v>
      </c>
      <c r="CA14" s="781"/>
      <c r="CB14" s="781"/>
      <c r="CC14" s="781"/>
      <c r="CD14" s="781" t="s">
        <v>6</v>
      </c>
      <c r="CE14" s="781"/>
      <c r="CF14" s="781"/>
      <c r="CG14" s="781"/>
      <c r="CH14" s="781" t="s">
        <v>6</v>
      </c>
      <c r="CI14" s="781"/>
      <c r="CJ14" s="781"/>
      <c r="CK14" s="781"/>
      <c r="CL14" s="781" t="s">
        <v>6</v>
      </c>
      <c r="CM14" s="781"/>
      <c r="CN14" s="781"/>
      <c r="CO14" s="781"/>
      <c r="CP14" s="781" t="s">
        <v>6</v>
      </c>
      <c r="CQ14" s="781"/>
      <c r="CR14" s="781"/>
      <c r="CS14" s="781"/>
      <c r="CT14" s="781" t="s">
        <v>6</v>
      </c>
      <c r="CU14" s="781"/>
      <c r="CV14" s="781"/>
      <c r="CW14" s="781"/>
      <c r="CX14" s="781" t="s">
        <v>6</v>
      </c>
      <c r="CY14" s="781"/>
      <c r="CZ14" s="781"/>
      <c r="DA14" s="781"/>
      <c r="DB14" s="781" t="s">
        <v>6</v>
      </c>
      <c r="DC14" s="781"/>
      <c r="DD14" s="781"/>
      <c r="DE14" s="781"/>
      <c r="DF14" s="781" t="s">
        <v>6</v>
      </c>
      <c r="DG14" s="781"/>
      <c r="DH14" s="781"/>
      <c r="DI14" s="781"/>
      <c r="DJ14" s="782" t="s">
        <v>7</v>
      </c>
      <c r="DK14" s="782"/>
    </row>
    <row r="15" spans="1:1401" s="96" customFormat="1" ht="55.5" customHeight="1">
      <c r="A15" s="39"/>
      <c r="B15" s="87" t="s">
        <v>8</v>
      </c>
      <c r="C15" s="87" t="s">
        <v>9</v>
      </c>
      <c r="D15" s="87" t="s">
        <v>10</v>
      </c>
      <c r="E15" s="6" t="s">
        <v>11</v>
      </c>
      <c r="F15" s="6" t="s">
        <v>12</v>
      </c>
      <c r="G15" s="6" t="s">
        <v>13</v>
      </c>
      <c r="H15" s="6" t="s">
        <v>14</v>
      </c>
      <c r="I15" s="6" t="s">
        <v>15</v>
      </c>
      <c r="J15" s="6" t="s">
        <v>16</v>
      </c>
      <c r="K15" s="6" t="s">
        <v>17</v>
      </c>
      <c r="L15" s="6" t="s">
        <v>18</v>
      </c>
      <c r="M15" s="88" t="s">
        <v>19</v>
      </c>
      <c r="N15" s="88" t="s">
        <v>20</v>
      </c>
      <c r="O15" s="88" t="s">
        <v>21</v>
      </c>
      <c r="P15" s="88" t="s">
        <v>22</v>
      </c>
      <c r="Q15" s="88" t="s">
        <v>23</v>
      </c>
      <c r="R15" s="88" t="s">
        <v>24</v>
      </c>
      <c r="S15" s="88" t="s">
        <v>25</v>
      </c>
      <c r="T15" s="88" t="s">
        <v>26</v>
      </c>
      <c r="U15" s="88" t="s">
        <v>27</v>
      </c>
      <c r="V15" s="88" t="s">
        <v>28</v>
      </c>
      <c r="W15" s="88" t="s">
        <v>29</v>
      </c>
      <c r="X15" s="88" t="s">
        <v>30</v>
      </c>
      <c r="Y15" s="130" t="s">
        <v>31</v>
      </c>
      <c r="Z15" s="92" t="s">
        <v>32</v>
      </c>
      <c r="AA15" s="91" t="s">
        <v>33</v>
      </c>
      <c r="AB15" s="92" t="s">
        <v>34</v>
      </c>
      <c r="AC15" s="92" t="s">
        <v>35</v>
      </c>
      <c r="AD15" s="94" t="s">
        <v>36</v>
      </c>
      <c r="AE15" s="93" t="s">
        <v>2473</v>
      </c>
      <c r="AF15" s="94" t="s">
        <v>2474</v>
      </c>
      <c r="AG15" s="94" t="s">
        <v>2475</v>
      </c>
      <c r="AH15" s="94" t="s">
        <v>36</v>
      </c>
      <c r="AI15" s="93" t="s">
        <v>2476</v>
      </c>
      <c r="AJ15" s="94" t="s">
        <v>2477</v>
      </c>
      <c r="AK15" s="94" t="s">
        <v>2478</v>
      </c>
      <c r="AL15" s="94" t="s">
        <v>36</v>
      </c>
      <c r="AM15" s="93" t="s">
        <v>2479</v>
      </c>
      <c r="AN15" s="94" t="s">
        <v>2480</v>
      </c>
      <c r="AO15" s="94" t="s">
        <v>2481</v>
      </c>
      <c r="AP15" s="94" t="s">
        <v>36</v>
      </c>
      <c r="AQ15" s="93" t="s">
        <v>2482</v>
      </c>
      <c r="AR15" s="94" t="s">
        <v>2483</v>
      </c>
      <c r="AS15" s="94" t="s">
        <v>2484</v>
      </c>
      <c r="AT15" s="94" t="s">
        <v>36</v>
      </c>
      <c r="AU15" s="93" t="s">
        <v>2485</v>
      </c>
      <c r="AV15" s="94" t="s">
        <v>2486</v>
      </c>
      <c r="AW15" s="94" t="s">
        <v>2487</v>
      </c>
      <c r="AX15" s="94" t="s">
        <v>36</v>
      </c>
      <c r="AY15" s="93" t="s">
        <v>2488</v>
      </c>
      <c r="AZ15" s="94" t="s">
        <v>2489</v>
      </c>
      <c r="BA15" s="94" t="s">
        <v>2490</v>
      </c>
      <c r="BB15" s="94" t="s">
        <v>36</v>
      </c>
      <c r="BC15" s="93" t="s">
        <v>2491</v>
      </c>
      <c r="BD15" s="94" t="s">
        <v>2492</v>
      </c>
      <c r="BE15" s="94" t="s">
        <v>2493</v>
      </c>
      <c r="BF15" s="94" t="s">
        <v>36</v>
      </c>
      <c r="BG15" s="93" t="s">
        <v>2494</v>
      </c>
      <c r="BH15" s="94" t="s">
        <v>2495</v>
      </c>
      <c r="BI15" s="94" t="s">
        <v>2496</v>
      </c>
      <c r="BJ15" s="94" t="s">
        <v>36</v>
      </c>
      <c r="BK15" s="93" t="s">
        <v>2497</v>
      </c>
      <c r="BL15" s="94" t="s">
        <v>2498</v>
      </c>
      <c r="BM15" s="94" t="s">
        <v>2499</v>
      </c>
      <c r="BN15" s="94" t="s">
        <v>36</v>
      </c>
      <c r="BO15" s="93" t="s">
        <v>2500</v>
      </c>
      <c r="BP15" s="94" t="s">
        <v>2501</v>
      </c>
      <c r="BQ15" s="94" t="s">
        <v>2502</v>
      </c>
      <c r="BR15" s="94" t="s">
        <v>36</v>
      </c>
      <c r="BS15" s="93" t="s">
        <v>2503</v>
      </c>
      <c r="BT15" s="94" t="s">
        <v>2504</v>
      </c>
      <c r="BU15" s="94" t="s">
        <v>2505</v>
      </c>
      <c r="BV15" s="94" t="s">
        <v>36</v>
      </c>
      <c r="BW15" s="93" t="s">
        <v>2506</v>
      </c>
      <c r="BX15" s="94" t="s">
        <v>2507</v>
      </c>
      <c r="BY15" s="94" t="s">
        <v>2508</v>
      </c>
      <c r="BZ15" s="94" t="s">
        <v>36</v>
      </c>
      <c r="CA15" s="93" t="s">
        <v>2509</v>
      </c>
      <c r="CB15" s="94" t="s">
        <v>2510</v>
      </c>
      <c r="CC15" s="94" t="s">
        <v>2502</v>
      </c>
      <c r="CD15" s="94" t="s">
        <v>36</v>
      </c>
      <c r="CE15" s="93" t="s">
        <v>2511</v>
      </c>
      <c r="CF15" s="94" t="s">
        <v>2512</v>
      </c>
      <c r="CG15" s="94" t="s">
        <v>2513</v>
      </c>
      <c r="CH15" s="94" t="s">
        <v>36</v>
      </c>
      <c r="CI15" s="93" t="s">
        <v>2514</v>
      </c>
      <c r="CJ15" s="94" t="s">
        <v>2515</v>
      </c>
      <c r="CK15" s="94" t="s">
        <v>2516</v>
      </c>
      <c r="CL15" s="94" t="s">
        <v>36</v>
      </c>
      <c r="CM15" s="93" t="s">
        <v>2517</v>
      </c>
      <c r="CN15" s="94" t="s">
        <v>2518</v>
      </c>
      <c r="CO15" s="94" t="s">
        <v>2519</v>
      </c>
      <c r="CP15" s="94" t="s">
        <v>36</v>
      </c>
      <c r="CQ15" s="93" t="s">
        <v>2520</v>
      </c>
      <c r="CR15" s="94" t="s">
        <v>2521</v>
      </c>
      <c r="CS15" s="94" t="s">
        <v>2522</v>
      </c>
      <c r="CT15" s="94" t="s">
        <v>36</v>
      </c>
      <c r="CU15" s="93" t="s">
        <v>2523</v>
      </c>
      <c r="CV15" s="94" t="s">
        <v>2524</v>
      </c>
      <c r="CW15" s="94" t="s">
        <v>2525</v>
      </c>
      <c r="CX15" s="94" t="s">
        <v>36</v>
      </c>
      <c r="CY15" s="93" t="s">
        <v>2526</v>
      </c>
      <c r="CZ15" s="94" t="s">
        <v>2527</v>
      </c>
      <c r="DA15" s="94" t="s">
        <v>2528</v>
      </c>
      <c r="DB15" s="94" t="s">
        <v>36</v>
      </c>
      <c r="DC15" s="93" t="s">
        <v>2529</v>
      </c>
      <c r="DD15" s="94" t="s">
        <v>2530</v>
      </c>
      <c r="DE15" s="94" t="s">
        <v>2531</v>
      </c>
      <c r="DF15" s="94" t="s">
        <v>36</v>
      </c>
      <c r="DG15" s="93" t="s">
        <v>2532</v>
      </c>
      <c r="DH15" s="94" t="s">
        <v>2533</v>
      </c>
      <c r="DI15" s="94" t="s">
        <v>2502</v>
      </c>
      <c r="DJ15" s="95" t="s">
        <v>37</v>
      </c>
      <c r="DK15" s="95" t="s">
        <v>38</v>
      </c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9"/>
      <c r="AMB15" s="39"/>
      <c r="AMC15" s="39"/>
      <c r="AMD15" s="39"/>
      <c r="AME15" s="39"/>
      <c r="AMF15" s="39"/>
      <c r="AMG15" s="39"/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9"/>
      <c r="AMZ15" s="39"/>
      <c r="ANA15" s="39"/>
      <c r="ANB15" s="39"/>
      <c r="ANC15" s="39"/>
      <c r="AND15" s="39"/>
      <c r="ANE15" s="39"/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9"/>
      <c r="ANX15" s="39"/>
      <c r="ANY15" s="39"/>
      <c r="ANZ15" s="39"/>
      <c r="AOA15" s="39"/>
      <c r="AOB15" s="39"/>
      <c r="AOC15" s="39"/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9"/>
      <c r="AOV15" s="39"/>
      <c r="AOW15" s="39"/>
      <c r="AOX15" s="39"/>
      <c r="AOY15" s="39"/>
      <c r="AOZ15" s="39"/>
      <c r="APA15" s="39"/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9"/>
      <c r="APT15" s="39"/>
      <c r="APU15" s="39"/>
      <c r="APV15" s="39"/>
      <c r="APW15" s="39"/>
      <c r="APX15" s="39"/>
      <c r="APY15" s="39"/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9"/>
      <c r="AQR15" s="39"/>
      <c r="AQS15" s="39"/>
      <c r="AQT15" s="39"/>
      <c r="AQU15" s="39"/>
      <c r="AQV15" s="39"/>
      <c r="AQW15" s="39"/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9"/>
      <c r="ARP15" s="39"/>
      <c r="ARQ15" s="39"/>
      <c r="ARR15" s="39"/>
      <c r="ARS15" s="39"/>
      <c r="ART15" s="39"/>
      <c r="ARU15" s="39"/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9"/>
      <c r="ASN15" s="39"/>
      <c r="ASO15" s="39"/>
      <c r="ASP15" s="39"/>
      <c r="ASQ15" s="39"/>
      <c r="ASR15" s="39"/>
      <c r="ASS15" s="39"/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9"/>
      <c r="ATL15" s="39"/>
      <c r="ATM15" s="39"/>
      <c r="ATN15" s="39"/>
      <c r="ATO15" s="39"/>
      <c r="ATP15" s="39"/>
      <c r="ATQ15" s="39"/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9"/>
      <c r="AUJ15" s="39"/>
      <c r="AUK15" s="39"/>
      <c r="AUL15" s="39"/>
      <c r="AUM15" s="39"/>
      <c r="AUN15" s="39"/>
      <c r="AUO15" s="39"/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G15" s="39"/>
      <c r="AVH15" s="39"/>
      <c r="AVI15" s="39"/>
      <c r="AVJ15" s="39"/>
      <c r="AVK15" s="39"/>
      <c r="AVL15" s="39"/>
      <c r="AVM15" s="39"/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9"/>
      <c r="AWF15" s="39"/>
      <c r="AWG15" s="39"/>
      <c r="AWH15" s="39"/>
      <c r="AWI15" s="39"/>
      <c r="AWJ15" s="39"/>
      <c r="AWK15" s="39"/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9"/>
      <c r="AXD15" s="39"/>
      <c r="AXE15" s="39"/>
      <c r="AXF15" s="39"/>
      <c r="AXG15" s="39"/>
      <c r="AXH15" s="39"/>
      <c r="AXI15" s="39"/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9"/>
      <c r="AYB15" s="39"/>
      <c r="AYC15" s="39"/>
      <c r="AYD15" s="39"/>
      <c r="AYE15" s="39"/>
      <c r="AYF15" s="39"/>
      <c r="AYG15" s="39"/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9"/>
      <c r="AYZ15" s="39"/>
      <c r="AZA15" s="39"/>
      <c r="AZB15" s="39"/>
      <c r="AZC15" s="39"/>
      <c r="AZD15" s="39"/>
      <c r="AZE15" s="39"/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9"/>
      <c r="AZX15" s="39"/>
      <c r="AZY15" s="39"/>
      <c r="AZZ15" s="39"/>
      <c r="BAA15" s="39"/>
      <c r="BAB15" s="39"/>
      <c r="BAC15" s="39"/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9"/>
      <c r="BAV15" s="39"/>
      <c r="BAW15" s="39"/>
    </row>
    <row r="16" spans="1:1401" s="96" customFormat="1" ht="33.75">
      <c r="A16" s="39"/>
      <c r="B16" s="613">
        <v>1</v>
      </c>
      <c r="C16" s="613" t="s">
        <v>65</v>
      </c>
      <c r="D16" s="614">
        <v>30484670</v>
      </c>
      <c r="E16" s="615" t="s">
        <v>2534</v>
      </c>
      <c r="F16" s="616" t="s">
        <v>146</v>
      </c>
      <c r="G16" s="617" t="s">
        <v>2535</v>
      </c>
      <c r="H16" s="617" t="s">
        <v>2536</v>
      </c>
      <c r="I16" s="616" t="s">
        <v>2537</v>
      </c>
      <c r="J16" s="618">
        <v>78678</v>
      </c>
      <c r="K16" s="618">
        <v>0</v>
      </c>
      <c r="L16" s="618">
        <v>26532</v>
      </c>
      <c r="M16" s="618"/>
      <c r="N16" s="618"/>
      <c r="O16" s="618"/>
      <c r="P16" s="618"/>
      <c r="Q16" s="618"/>
      <c r="R16" s="618"/>
      <c r="S16" s="618"/>
      <c r="T16" s="618"/>
      <c r="U16" s="618"/>
      <c r="V16" s="618"/>
      <c r="W16" s="618"/>
      <c r="X16" s="618"/>
      <c r="Y16" s="618">
        <f>SUM(M16:X16)</f>
        <v>0</v>
      </c>
      <c r="Z16" s="495">
        <f>75000</f>
        <v>75000</v>
      </c>
      <c r="AA16" s="619">
        <v>1</v>
      </c>
      <c r="AB16" s="620">
        <v>44223</v>
      </c>
      <c r="AC16" s="621">
        <v>44244</v>
      </c>
      <c r="AD16" s="495"/>
      <c r="AE16" s="622"/>
      <c r="AF16" s="620"/>
      <c r="AG16" s="621"/>
      <c r="AH16" s="495">
        <v>-60000</v>
      </c>
      <c r="AI16" s="622">
        <v>9</v>
      </c>
      <c r="AJ16" s="620">
        <v>44244</v>
      </c>
      <c r="AK16" s="621">
        <v>44249</v>
      </c>
      <c r="AL16" s="495">
        <v>-3195</v>
      </c>
      <c r="AM16" s="622">
        <v>13</v>
      </c>
      <c r="AN16" s="620">
        <v>44277</v>
      </c>
      <c r="AO16" s="621">
        <v>44281</v>
      </c>
      <c r="AP16" s="495"/>
      <c r="AQ16" s="622"/>
      <c r="AR16" s="620"/>
      <c r="AS16" s="621"/>
      <c r="AT16" s="495"/>
      <c r="AU16" s="622"/>
      <c r="AV16" s="620"/>
      <c r="AW16" s="621"/>
      <c r="AX16" s="495">
        <v>-10000</v>
      </c>
      <c r="AY16" s="622">
        <v>18</v>
      </c>
      <c r="AZ16" s="620">
        <v>44308</v>
      </c>
      <c r="BA16" s="621">
        <v>44314</v>
      </c>
      <c r="BB16" s="495"/>
      <c r="BC16" s="622"/>
      <c r="BD16" s="620"/>
      <c r="BE16" s="621"/>
      <c r="BF16" s="495"/>
      <c r="BG16" s="622"/>
      <c r="BH16" s="620"/>
      <c r="BI16" s="621"/>
      <c r="BJ16" s="495"/>
      <c r="BK16" s="622"/>
      <c r="BL16" s="620"/>
      <c r="BM16" s="621"/>
      <c r="BN16" s="495"/>
      <c r="BO16" s="622"/>
      <c r="BP16" s="620"/>
      <c r="BQ16" s="621"/>
      <c r="BR16" s="495"/>
      <c r="BS16" s="622"/>
      <c r="BT16" s="620"/>
      <c r="BU16" s="621"/>
      <c r="BV16" s="495"/>
      <c r="BW16" s="622"/>
      <c r="BX16" s="620"/>
      <c r="BY16" s="621"/>
      <c r="BZ16" s="495"/>
      <c r="CA16" s="622"/>
      <c r="CB16" s="620"/>
      <c r="CC16" s="621"/>
      <c r="CD16" s="495"/>
      <c r="CE16" s="622"/>
      <c r="CF16" s="620"/>
      <c r="CG16" s="621"/>
      <c r="CH16" s="495"/>
      <c r="CI16" s="622"/>
      <c r="CJ16" s="620"/>
      <c r="CK16" s="621"/>
      <c r="CL16" s="495"/>
      <c r="CM16" s="622"/>
      <c r="CN16" s="620"/>
      <c r="CO16" s="621"/>
      <c r="CP16" s="495"/>
      <c r="CQ16" s="622"/>
      <c r="CR16" s="620"/>
      <c r="CS16" s="621"/>
      <c r="CT16" s="495"/>
      <c r="CU16" s="622"/>
      <c r="CV16" s="620"/>
      <c r="CW16" s="621"/>
      <c r="CX16" s="495"/>
      <c r="CY16" s="622"/>
      <c r="CZ16" s="620"/>
      <c r="DA16" s="621"/>
      <c r="DB16" s="495"/>
      <c r="DC16" s="622"/>
      <c r="DD16" s="620"/>
      <c r="DE16" s="621"/>
      <c r="DF16" s="495"/>
      <c r="DG16" s="622"/>
      <c r="DH16" s="620"/>
      <c r="DI16" s="621"/>
      <c r="DJ16" s="623">
        <f>+Z16+AD16+AH16+AL16+AP16+AT16+AX16+BB16+BF16+BJ16+BN16+BR16+BV16+BZ16+CD16+CH16+CL16+CP16++CT16+CX16+DB16+DF16</f>
        <v>1805</v>
      </c>
      <c r="DK16" s="624">
        <f>+DJ16-Y16</f>
        <v>1805</v>
      </c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39"/>
      <c r="ALZ16" s="39"/>
      <c r="AMA16" s="39"/>
      <c r="AMB16" s="39"/>
      <c r="AMC16" s="39"/>
      <c r="AMD16" s="39"/>
      <c r="AME16" s="39"/>
      <c r="AMF16" s="39"/>
      <c r="AMG16" s="39"/>
      <c r="AMH16" s="39"/>
      <c r="AMI16" s="39"/>
      <c r="AMJ16" s="39"/>
      <c r="AMK16" s="39"/>
      <c r="AML16" s="39"/>
      <c r="AMM16" s="39"/>
      <c r="AMN16" s="39"/>
      <c r="AMO16" s="39"/>
      <c r="AMP16" s="39"/>
      <c r="AMQ16" s="39"/>
      <c r="AMR16" s="39"/>
      <c r="AMS16" s="39"/>
      <c r="AMT16" s="39"/>
      <c r="AMU16" s="39"/>
      <c r="AMV16" s="39"/>
      <c r="AMW16" s="39"/>
      <c r="AMX16" s="39"/>
      <c r="AMY16" s="39"/>
      <c r="AMZ16" s="39"/>
      <c r="ANA16" s="39"/>
      <c r="ANB16" s="39"/>
      <c r="ANC16" s="39"/>
      <c r="AND16" s="39"/>
      <c r="ANE16" s="39"/>
      <c r="ANF16" s="39"/>
      <c r="ANG16" s="39"/>
      <c r="ANH16" s="39"/>
      <c r="ANI16" s="39"/>
      <c r="ANJ16" s="39"/>
      <c r="ANK16" s="39"/>
      <c r="ANL16" s="39"/>
      <c r="ANM16" s="39"/>
      <c r="ANN16" s="39"/>
      <c r="ANO16" s="39"/>
      <c r="ANP16" s="39"/>
      <c r="ANQ16" s="39"/>
      <c r="ANR16" s="39"/>
      <c r="ANS16" s="39"/>
      <c r="ANT16" s="39"/>
      <c r="ANU16" s="39"/>
      <c r="ANV16" s="39"/>
      <c r="ANW16" s="39"/>
      <c r="ANX16" s="39"/>
      <c r="ANY16" s="39"/>
      <c r="ANZ16" s="39"/>
      <c r="AOA16" s="39"/>
      <c r="AOB16" s="39"/>
      <c r="AOC16" s="39"/>
      <c r="AOD16" s="39"/>
      <c r="AOE16" s="39"/>
      <c r="AOF16" s="39"/>
      <c r="AOG16" s="39"/>
      <c r="AOH16" s="39"/>
      <c r="AOI16" s="39"/>
      <c r="AOJ16" s="39"/>
      <c r="AOK16" s="39"/>
      <c r="AOL16" s="39"/>
      <c r="AOM16" s="39"/>
      <c r="AON16" s="39"/>
      <c r="AOO16" s="39"/>
      <c r="AOP16" s="39"/>
      <c r="AOQ16" s="39"/>
      <c r="AOR16" s="39"/>
      <c r="AOS16" s="39"/>
      <c r="AOT16" s="39"/>
      <c r="AOU16" s="39"/>
      <c r="AOV16" s="39"/>
      <c r="AOW16" s="39"/>
      <c r="AOX16" s="39"/>
      <c r="AOY16" s="39"/>
      <c r="AOZ16" s="39"/>
      <c r="APA16" s="39"/>
      <c r="APB16" s="39"/>
      <c r="APC16" s="39"/>
      <c r="APD16" s="39"/>
      <c r="APE16" s="39"/>
      <c r="APF16" s="39"/>
      <c r="APG16" s="39"/>
      <c r="APH16" s="39"/>
      <c r="API16" s="39"/>
      <c r="APJ16" s="39"/>
      <c r="APK16" s="39"/>
      <c r="APL16" s="39"/>
      <c r="APM16" s="39"/>
      <c r="APN16" s="39"/>
      <c r="APO16" s="39"/>
      <c r="APP16" s="39"/>
      <c r="APQ16" s="39"/>
      <c r="APR16" s="39"/>
      <c r="APS16" s="39"/>
      <c r="APT16" s="39"/>
      <c r="APU16" s="39"/>
      <c r="APV16" s="39"/>
      <c r="APW16" s="39"/>
      <c r="APX16" s="39"/>
      <c r="APY16" s="39"/>
      <c r="APZ16" s="39"/>
      <c r="AQA16" s="39"/>
      <c r="AQB16" s="39"/>
      <c r="AQC16" s="39"/>
      <c r="AQD16" s="39"/>
      <c r="AQE16" s="39"/>
      <c r="AQF16" s="39"/>
      <c r="AQG16" s="39"/>
      <c r="AQH16" s="39"/>
      <c r="AQI16" s="39"/>
      <c r="AQJ16" s="39"/>
      <c r="AQK16" s="39"/>
      <c r="AQL16" s="39"/>
      <c r="AQM16" s="39"/>
      <c r="AQN16" s="39"/>
      <c r="AQO16" s="39"/>
      <c r="AQP16" s="39"/>
      <c r="AQQ16" s="39"/>
      <c r="AQR16" s="39"/>
      <c r="AQS16" s="39"/>
      <c r="AQT16" s="39"/>
      <c r="AQU16" s="39"/>
      <c r="AQV16" s="39"/>
      <c r="AQW16" s="39"/>
      <c r="AQX16" s="39"/>
      <c r="AQY16" s="39"/>
      <c r="AQZ16" s="39"/>
      <c r="ARA16" s="39"/>
      <c r="ARB16" s="39"/>
      <c r="ARC16" s="39"/>
      <c r="ARD16" s="39"/>
      <c r="ARE16" s="39"/>
      <c r="ARF16" s="39"/>
      <c r="ARG16" s="39"/>
      <c r="ARH16" s="39"/>
      <c r="ARI16" s="39"/>
      <c r="ARJ16" s="39"/>
      <c r="ARK16" s="39"/>
      <c r="ARL16" s="39"/>
      <c r="ARM16" s="39"/>
      <c r="ARN16" s="39"/>
      <c r="ARO16" s="39"/>
      <c r="ARP16" s="39"/>
      <c r="ARQ16" s="39"/>
      <c r="ARR16" s="39"/>
      <c r="ARS16" s="39"/>
      <c r="ART16" s="39"/>
      <c r="ARU16" s="39"/>
      <c r="ARV16" s="39"/>
      <c r="ARW16" s="39"/>
      <c r="ARX16" s="39"/>
      <c r="ARY16" s="39"/>
      <c r="ARZ16" s="39"/>
      <c r="ASA16" s="39"/>
      <c r="ASB16" s="39"/>
      <c r="ASC16" s="39"/>
      <c r="ASD16" s="39"/>
      <c r="ASE16" s="39"/>
      <c r="ASF16" s="39"/>
      <c r="ASG16" s="39"/>
      <c r="ASH16" s="39"/>
      <c r="ASI16" s="39"/>
      <c r="ASJ16" s="39"/>
      <c r="ASK16" s="39"/>
      <c r="ASL16" s="39"/>
      <c r="ASM16" s="39"/>
      <c r="ASN16" s="39"/>
      <c r="ASO16" s="39"/>
      <c r="ASP16" s="39"/>
      <c r="ASQ16" s="39"/>
      <c r="ASR16" s="39"/>
      <c r="ASS16" s="39"/>
      <c r="AST16" s="39"/>
      <c r="ASU16" s="39"/>
      <c r="ASV16" s="39"/>
      <c r="ASW16" s="39"/>
      <c r="ASX16" s="39"/>
      <c r="ASY16" s="39"/>
      <c r="ASZ16" s="39"/>
      <c r="ATA16" s="39"/>
      <c r="ATB16" s="39"/>
      <c r="ATC16" s="39"/>
      <c r="ATD16" s="39"/>
      <c r="ATE16" s="39"/>
      <c r="ATF16" s="39"/>
      <c r="ATG16" s="39"/>
      <c r="ATH16" s="39"/>
      <c r="ATI16" s="39"/>
      <c r="ATJ16" s="39"/>
      <c r="ATK16" s="39"/>
      <c r="ATL16" s="39"/>
      <c r="ATM16" s="39"/>
      <c r="ATN16" s="39"/>
      <c r="ATO16" s="39"/>
      <c r="ATP16" s="39"/>
      <c r="ATQ16" s="39"/>
      <c r="ATR16" s="39"/>
      <c r="ATS16" s="39"/>
      <c r="ATT16" s="39"/>
      <c r="ATU16" s="39"/>
      <c r="ATV16" s="39"/>
      <c r="ATW16" s="39"/>
      <c r="ATX16" s="39"/>
      <c r="ATY16" s="39"/>
      <c r="ATZ16" s="39"/>
      <c r="AUA16" s="39"/>
      <c r="AUB16" s="39"/>
      <c r="AUC16" s="39"/>
      <c r="AUD16" s="39"/>
      <c r="AUE16" s="39"/>
      <c r="AUF16" s="39"/>
      <c r="AUG16" s="39"/>
      <c r="AUH16" s="39"/>
      <c r="AUI16" s="39"/>
      <c r="AUJ16" s="39"/>
      <c r="AUK16" s="39"/>
      <c r="AUL16" s="39"/>
      <c r="AUM16" s="39"/>
      <c r="AUN16" s="39"/>
      <c r="AUO16" s="39"/>
      <c r="AUP16" s="39"/>
      <c r="AUQ16" s="39"/>
      <c r="AUR16" s="39"/>
      <c r="AUS16" s="39"/>
      <c r="AUT16" s="39"/>
      <c r="AUU16" s="39"/>
      <c r="AUV16" s="39"/>
      <c r="AUW16" s="39"/>
      <c r="AUX16" s="39"/>
      <c r="AUY16" s="39"/>
      <c r="AUZ16" s="39"/>
      <c r="AVA16" s="39"/>
      <c r="AVB16" s="39"/>
      <c r="AVC16" s="39"/>
      <c r="AVD16" s="39"/>
      <c r="AVE16" s="39"/>
      <c r="AVF16" s="39"/>
      <c r="AVG16" s="39"/>
      <c r="AVH16" s="39"/>
      <c r="AVI16" s="39"/>
      <c r="AVJ16" s="39"/>
      <c r="AVK16" s="39"/>
      <c r="AVL16" s="39"/>
      <c r="AVM16" s="39"/>
      <c r="AVN16" s="39"/>
      <c r="AVO16" s="39"/>
      <c r="AVP16" s="39"/>
      <c r="AVQ16" s="39"/>
      <c r="AVR16" s="39"/>
      <c r="AVS16" s="39"/>
      <c r="AVT16" s="39"/>
      <c r="AVU16" s="39"/>
      <c r="AVV16" s="39"/>
      <c r="AVW16" s="39"/>
      <c r="AVX16" s="39"/>
      <c r="AVY16" s="39"/>
      <c r="AVZ16" s="39"/>
      <c r="AWA16" s="39"/>
      <c r="AWB16" s="39"/>
      <c r="AWC16" s="39"/>
      <c r="AWD16" s="39"/>
      <c r="AWE16" s="39"/>
      <c r="AWF16" s="39"/>
      <c r="AWG16" s="39"/>
      <c r="AWH16" s="39"/>
      <c r="AWI16" s="39"/>
      <c r="AWJ16" s="39"/>
      <c r="AWK16" s="39"/>
      <c r="AWL16" s="39"/>
      <c r="AWM16" s="39"/>
      <c r="AWN16" s="39"/>
      <c r="AWO16" s="39"/>
      <c r="AWP16" s="39"/>
      <c r="AWQ16" s="39"/>
      <c r="AWR16" s="39"/>
      <c r="AWS16" s="39"/>
      <c r="AWT16" s="39"/>
      <c r="AWU16" s="39"/>
      <c r="AWV16" s="39"/>
      <c r="AWW16" s="39"/>
      <c r="AWX16" s="39"/>
      <c r="AWY16" s="39"/>
      <c r="AWZ16" s="39"/>
      <c r="AXA16" s="39"/>
      <c r="AXB16" s="39"/>
      <c r="AXC16" s="39"/>
      <c r="AXD16" s="39"/>
      <c r="AXE16" s="39"/>
      <c r="AXF16" s="39"/>
      <c r="AXG16" s="39"/>
      <c r="AXH16" s="39"/>
      <c r="AXI16" s="39"/>
      <c r="AXJ16" s="39"/>
      <c r="AXK16" s="39"/>
      <c r="AXL16" s="39"/>
      <c r="AXM16" s="39"/>
      <c r="AXN16" s="39"/>
      <c r="AXO16" s="39"/>
      <c r="AXP16" s="39"/>
      <c r="AXQ16" s="39"/>
      <c r="AXR16" s="39"/>
      <c r="AXS16" s="39"/>
      <c r="AXT16" s="39"/>
      <c r="AXU16" s="39"/>
      <c r="AXV16" s="39"/>
      <c r="AXW16" s="39"/>
      <c r="AXX16" s="39"/>
      <c r="AXY16" s="39"/>
      <c r="AXZ16" s="39"/>
      <c r="AYA16" s="39"/>
      <c r="AYB16" s="39"/>
      <c r="AYC16" s="39"/>
      <c r="AYD16" s="39"/>
      <c r="AYE16" s="39"/>
      <c r="AYF16" s="39"/>
      <c r="AYG16" s="39"/>
      <c r="AYH16" s="39"/>
      <c r="AYI16" s="39"/>
      <c r="AYJ16" s="39"/>
      <c r="AYK16" s="39"/>
      <c r="AYL16" s="39"/>
      <c r="AYM16" s="39"/>
      <c r="AYN16" s="39"/>
      <c r="AYO16" s="39"/>
      <c r="AYP16" s="39"/>
      <c r="AYQ16" s="39"/>
      <c r="AYR16" s="39"/>
      <c r="AYS16" s="39"/>
      <c r="AYT16" s="39"/>
      <c r="AYU16" s="39"/>
      <c r="AYV16" s="39"/>
      <c r="AYW16" s="39"/>
      <c r="AYX16" s="39"/>
      <c r="AYY16" s="39"/>
      <c r="AYZ16" s="39"/>
      <c r="AZA16" s="39"/>
      <c r="AZB16" s="39"/>
      <c r="AZC16" s="39"/>
      <c r="AZD16" s="39"/>
      <c r="AZE16" s="39"/>
      <c r="AZF16" s="39"/>
      <c r="AZG16" s="39"/>
      <c r="AZH16" s="39"/>
      <c r="AZI16" s="39"/>
      <c r="AZJ16" s="39"/>
      <c r="AZK16" s="39"/>
      <c r="AZL16" s="39"/>
      <c r="AZM16" s="39"/>
      <c r="AZN16" s="39"/>
      <c r="AZO16" s="39"/>
      <c r="AZP16" s="39"/>
      <c r="AZQ16" s="39"/>
      <c r="AZR16" s="39"/>
      <c r="AZS16" s="39"/>
      <c r="AZT16" s="39"/>
      <c r="AZU16" s="39"/>
      <c r="AZV16" s="39"/>
      <c r="AZW16" s="39"/>
      <c r="AZX16" s="39"/>
      <c r="AZY16" s="39"/>
      <c r="AZZ16" s="39"/>
      <c r="BAA16" s="39"/>
      <c r="BAB16" s="39"/>
      <c r="BAC16" s="39"/>
      <c r="BAD16" s="39"/>
      <c r="BAE16" s="39"/>
      <c r="BAF16" s="39"/>
      <c r="BAG16" s="39"/>
      <c r="BAH16" s="39"/>
      <c r="BAI16" s="39"/>
      <c r="BAJ16" s="39"/>
      <c r="BAK16" s="39"/>
      <c r="BAL16" s="39"/>
      <c r="BAM16" s="39"/>
      <c r="BAN16" s="39"/>
      <c r="BAO16" s="39"/>
      <c r="BAP16" s="39"/>
      <c r="BAQ16" s="39"/>
      <c r="BAR16" s="39"/>
      <c r="BAS16" s="39"/>
      <c r="BAT16" s="39"/>
      <c r="BAU16" s="39"/>
      <c r="BAV16" s="39"/>
      <c r="BAW16" s="39"/>
    </row>
    <row r="17" spans="1:1401" s="96" customFormat="1" ht="22.5">
      <c r="A17" s="39"/>
      <c r="B17" s="112">
        <v>2</v>
      </c>
      <c r="C17" s="112" t="s">
        <v>65</v>
      </c>
      <c r="D17" s="532">
        <v>40013512</v>
      </c>
      <c r="E17" s="52" t="s">
        <v>2538</v>
      </c>
      <c r="F17" s="625" t="s">
        <v>146</v>
      </c>
      <c r="G17" s="56" t="s">
        <v>2535</v>
      </c>
      <c r="H17" s="56" t="s">
        <v>2539</v>
      </c>
      <c r="I17" s="625" t="s">
        <v>2540</v>
      </c>
      <c r="J17" s="54">
        <v>36978</v>
      </c>
      <c r="K17" s="54">
        <v>0</v>
      </c>
      <c r="L17" s="54">
        <v>35510</v>
      </c>
      <c r="M17" s="54"/>
      <c r="N17" s="54"/>
      <c r="O17" s="54"/>
      <c r="P17" s="54"/>
      <c r="Q17" s="54"/>
      <c r="R17" s="54"/>
      <c r="S17" s="54">
        <v>10410</v>
      </c>
      <c r="T17" s="54">
        <v>10811</v>
      </c>
      <c r="U17" s="54"/>
      <c r="V17" s="54"/>
      <c r="W17" s="54"/>
      <c r="X17" s="54"/>
      <c r="Y17" s="54">
        <f t="shared" ref="Y17:Y111" si="0">SUM(M17:X17)</f>
        <v>21221</v>
      </c>
      <c r="Z17" s="221">
        <v>1468</v>
      </c>
      <c r="AA17" s="116">
        <v>1</v>
      </c>
      <c r="AB17" s="200">
        <v>44207</v>
      </c>
      <c r="AC17" s="118">
        <v>44214</v>
      </c>
      <c r="AD17" s="221"/>
      <c r="AE17" s="117"/>
      <c r="AF17" s="115"/>
      <c r="AG17" s="118"/>
      <c r="AH17" s="221"/>
      <c r="AI17" s="117"/>
      <c r="AJ17" s="115"/>
      <c r="AK17" s="118"/>
      <c r="AL17" s="221"/>
      <c r="AM17" s="117"/>
      <c r="AN17" s="115"/>
      <c r="AO17" s="118"/>
      <c r="AP17" s="221"/>
      <c r="AQ17" s="117"/>
      <c r="AR17" s="115"/>
      <c r="AS17" s="118"/>
      <c r="AT17" s="221"/>
      <c r="AU17" s="117"/>
      <c r="AV17" s="115"/>
      <c r="AW17" s="118"/>
      <c r="AX17" s="221"/>
      <c r="AY17" s="117"/>
      <c r="AZ17" s="115"/>
      <c r="BA17" s="118"/>
      <c r="BB17" s="221"/>
      <c r="BC17" s="117"/>
      <c r="BD17" s="115"/>
      <c r="BE17" s="118"/>
      <c r="BF17" s="221"/>
      <c r="BG17" s="117"/>
      <c r="BH17" s="115"/>
      <c r="BI17" s="118"/>
      <c r="BJ17" s="221"/>
      <c r="BK17" s="117"/>
      <c r="BL17" s="115"/>
      <c r="BM17" s="118"/>
      <c r="BN17" s="221"/>
      <c r="BO17" s="117"/>
      <c r="BP17" s="115"/>
      <c r="BQ17" s="118"/>
      <c r="BR17" s="221"/>
      <c r="BS17" s="117"/>
      <c r="BT17" s="115"/>
      <c r="BU17" s="118"/>
      <c r="BV17" s="221"/>
      <c r="BW17" s="117"/>
      <c r="BX17" s="115"/>
      <c r="BY17" s="118"/>
      <c r="BZ17" s="221">
        <v>33700</v>
      </c>
      <c r="CA17" s="117">
        <v>31</v>
      </c>
      <c r="CB17" s="118">
        <v>44384</v>
      </c>
      <c r="CC17" s="118">
        <v>44390</v>
      </c>
      <c r="CD17" s="221"/>
      <c r="CE17" s="117"/>
      <c r="CF17" s="115"/>
      <c r="CG17" s="118"/>
      <c r="CH17" s="221"/>
      <c r="CI17" s="117"/>
      <c r="CJ17" s="115"/>
      <c r="CK17" s="118"/>
      <c r="CL17" s="221"/>
      <c r="CM17" s="117"/>
      <c r="CN17" s="115"/>
      <c r="CO17" s="118"/>
      <c r="CP17" s="221"/>
      <c r="CQ17" s="117"/>
      <c r="CR17" s="115"/>
      <c r="CS17" s="118"/>
      <c r="CT17" s="221"/>
      <c r="CU17" s="117"/>
      <c r="CV17" s="115"/>
      <c r="CW17" s="118"/>
      <c r="CX17" s="221"/>
      <c r="CY17" s="117"/>
      <c r="CZ17" s="115"/>
      <c r="DA17" s="118"/>
      <c r="DB17" s="221"/>
      <c r="DC17" s="117"/>
      <c r="DD17" s="115"/>
      <c r="DE17" s="118"/>
      <c r="DF17" s="221"/>
      <c r="DG17" s="117"/>
      <c r="DH17" s="115"/>
      <c r="DI17" s="118"/>
      <c r="DJ17" s="623">
        <f t="shared" ref="DJ17:DJ80" si="1">+Z17+AD17+AH17+AL17+AP17+AT17+AX17+BB17+BF17+BJ17+BN17+BR17+BV17+BZ17+CD17+CH17+CL17+CP17++CT17+CX17+DB17+DF17</f>
        <v>35168</v>
      </c>
      <c r="DK17" s="43">
        <f t="shared" ref="DK17:DK80" si="2">+DJ17-Y17</f>
        <v>13947</v>
      </c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39"/>
      <c r="ALZ17" s="39"/>
      <c r="AMA17" s="39"/>
      <c r="AMB17" s="39"/>
      <c r="AMC17" s="39"/>
      <c r="AMD17" s="39"/>
      <c r="AME17" s="39"/>
      <c r="AMF17" s="39"/>
      <c r="AMG17" s="39"/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MS17" s="39"/>
      <c r="AMT17" s="39"/>
      <c r="AMU17" s="39"/>
      <c r="AMV17" s="39"/>
      <c r="AMW17" s="39"/>
      <c r="AMX17" s="39"/>
      <c r="AMY17" s="39"/>
      <c r="AMZ17" s="39"/>
      <c r="ANA17" s="39"/>
      <c r="ANB17" s="39"/>
      <c r="ANC17" s="39"/>
      <c r="AND17" s="39"/>
      <c r="ANE17" s="39"/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NQ17" s="39"/>
      <c r="ANR17" s="39"/>
      <c r="ANS17" s="39"/>
      <c r="ANT17" s="39"/>
      <c r="ANU17" s="39"/>
      <c r="ANV17" s="39"/>
      <c r="ANW17" s="39"/>
      <c r="ANX17" s="39"/>
      <c r="ANY17" s="39"/>
      <c r="ANZ17" s="39"/>
      <c r="AOA17" s="39"/>
      <c r="AOB17" s="39"/>
      <c r="AOC17" s="39"/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OO17" s="39"/>
      <c r="AOP17" s="39"/>
      <c r="AOQ17" s="39"/>
      <c r="AOR17" s="39"/>
      <c r="AOS17" s="39"/>
      <c r="AOT17" s="39"/>
      <c r="AOU17" s="39"/>
      <c r="AOV17" s="39"/>
      <c r="AOW17" s="39"/>
      <c r="AOX17" s="39"/>
      <c r="AOY17" s="39"/>
      <c r="AOZ17" s="39"/>
      <c r="APA17" s="39"/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M17" s="39"/>
      <c r="APN17" s="39"/>
      <c r="APO17" s="39"/>
      <c r="APP17" s="39"/>
      <c r="APQ17" s="39"/>
      <c r="APR17" s="39"/>
      <c r="APS17" s="39"/>
      <c r="APT17" s="39"/>
      <c r="APU17" s="39"/>
      <c r="APV17" s="39"/>
      <c r="APW17" s="39"/>
      <c r="APX17" s="39"/>
      <c r="APY17" s="39"/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K17" s="39"/>
      <c r="AQL17" s="39"/>
      <c r="AQM17" s="39"/>
      <c r="AQN17" s="39"/>
      <c r="AQO17" s="39"/>
      <c r="AQP17" s="39"/>
      <c r="AQQ17" s="39"/>
      <c r="AQR17" s="39"/>
      <c r="AQS17" s="39"/>
      <c r="AQT17" s="39"/>
      <c r="AQU17" s="39"/>
      <c r="AQV17" s="39"/>
      <c r="AQW17" s="39"/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I17" s="39"/>
      <c r="ARJ17" s="39"/>
      <c r="ARK17" s="39"/>
      <c r="ARL17" s="39"/>
      <c r="ARM17" s="39"/>
      <c r="ARN17" s="39"/>
      <c r="ARO17" s="39"/>
      <c r="ARP17" s="39"/>
      <c r="ARQ17" s="39"/>
      <c r="ARR17" s="39"/>
      <c r="ARS17" s="39"/>
      <c r="ART17" s="39"/>
      <c r="ARU17" s="39"/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G17" s="39"/>
      <c r="ASH17" s="39"/>
      <c r="ASI17" s="39"/>
      <c r="ASJ17" s="39"/>
      <c r="ASK17" s="39"/>
      <c r="ASL17" s="39"/>
      <c r="ASM17" s="39"/>
      <c r="ASN17" s="39"/>
      <c r="ASO17" s="39"/>
      <c r="ASP17" s="39"/>
      <c r="ASQ17" s="39"/>
      <c r="ASR17" s="39"/>
      <c r="ASS17" s="39"/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E17" s="39"/>
      <c r="ATF17" s="39"/>
      <c r="ATG17" s="39"/>
      <c r="ATH17" s="39"/>
      <c r="ATI17" s="39"/>
      <c r="ATJ17" s="39"/>
      <c r="ATK17" s="39"/>
      <c r="ATL17" s="39"/>
      <c r="ATM17" s="39"/>
      <c r="ATN17" s="39"/>
      <c r="ATO17" s="39"/>
      <c r="ATP17" s="39"/>
      <c r="ATQ17" s="39"/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C17" s="39"/>
      <c r="AUD17" s="39"/>
      <c r="AUE17" s="39"/>
      <c r="AUF17" s="39"/>
      <c r="AUG17" s="39"/>
      <c r="AUH17" s="39"/>
      <c r="AUI17" s="39"/>
      <c r="AUJ17" s="39"/>
      <c r="AUK17" s="39"/>
      <c r="AUL17" s="39"/>
      <c r="AUM17" s="39"/>
      <c r="AUN17" s="39"/>
      <c r="AUO17" s="39"/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A17" s="39"/>
      <c r="AVB17" s="39"/>
      <c r="AVC17" s="39"/>
      <c r="AVD17" s="39"/>
      <c r="AVE17" s="39"/>
      <c r="AVF17" s="39"/>
      <c r="AVG17" s="39"/>
      <c r="AVH17" s="39"/>
      <c r="AVI17" s="39"/>
      <c r="AVJ17" s="39"/>
      <c r="AVK17" s="39"/>
      <c r="AVL17" s="39"/>
      <c r="AVM17" s="39"/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VY17" s="39"/>
      <c r="AVZ17" s="39"/>
      <c r="AWA17" s="39"/>
      <c r="AWB17" s="39"/>
      <c r="AWC17" s="39"/>
      <c r="AWD17" s="39"/>
      <c r="AWE17" s="39"/>
      <c r="AWF17" s="39"/>
      <c r="AWG17" s="39"/>
      <c r="AWH17" s="39"/>
      <c r="AWI17" s="39"/>
      <c r="AWJ17" s="39"/>
      <c r="AWK17" s="39"/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WW17" s="39"/>
      <c r="AWX17" s="39"/>
      <c r="AWY17" s="39"/>
      <c r="AWZ17" s="39"/>
      <c r="AXA17" s="39"/>
      <c r="AXB17" s="39"/>
      <c r="AXC17" s="39"/>
      <c r="AXD17" s="39"/>
      <c r="AXE17" s="39"/>
      <c r="AXF17" s="39"/>
      <c r="AXG17" s="39"/>
      <c r="AXH17" s="39"/>
      <c r="AXI17" s="39"/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XU17" s="39"/>
      <c r="AXV17" s="39"/>
      <c r="AXW17" s="39"/>
      <c r="AXX17" s="39"/>
      <c r="AXY17" s="39"/>
      <c r="AXZ17" s="39"/>
      <c r="AYA17" s="39"/>
      <c r="AYB17" s="39"/>
      <c r="AYC17" s="39"/>
      <c r="AYD17" s="39"/>
      <c r="AYE17" s="39"/>
      <c r="AYF17" s="39"/>
      <c r="AYG17" s="39"/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YS17" s="39"/>
      <c r="AYT17" s="39"/>
      <c r="AYU17" s="39"/>
      <c r="AYV17" s="39"/>
      <c r="AYW17" s="39"/>
      <c r="AYX17" s="39"/>
      <c r="AYY17" s="39"/>
      <c r="AYZ17" s="39"/>
      <c r="AZA17" s="39"/>
      <c r="AZB17" s="39"/>
      <c r="AZC17" s="39"/>
      <c r="AZD17" s="39"/>
      <c r="AZE17" s="39"/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AZQ17" s="39"/>
      <c r="AZR17" s="39"/>
      <c r="AZS17" s="39"/>
      <c r="AZT17" s="39"/>
      <c r="AZU17" s="39"/>
      <c r="AZV17" s="39"/>
      <c r="AZW17" s="39"/>
      <c r="AZX17" s="39"/>
      <c r="AZY17" s="39"/>
      <c r="AZZ17" s="39"/>
      <c r="BAA17" s="39"/>
      <c r="BAB17" s="39"/>
      <c r="BAC17" s="39"/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AO17" s="39"/>
      <c r="BAP17" s="39"/>
      <c r="BAQ17" s="39"/>
      <c r="BAR17" s="39"/>
      <c r="BAS17" s="39"/>
      <c r="BAT17" s="39"/>
      <c r="BAU17" s="39"/>
      <c r="BAV17" s="39"/>
      <c r="BAW17" s="39"/>
    </row>
    <row r="18" spans="1:1401" s="96" customFormat="1" ht="22.5">
      <c r="A18" s="39"/>
      <c r="B18" s="112">
        <v>3</v>
      </c>
      <c r="C18" s="112" t="s">
        <v>65</v>
      </c>
      <c r="D18" s="532">
        <v>30480932</v>
      </c>
      <c r="E18" s="52" t="s">
        <v>2541</v>
      </c>
      <c r="F18" s="625" t="s">
        <v>146</v>
      </c>
      <c r="G18" s="56" t="s">
        <v>2542</v>
      </c>
      <c r="H18" s="56" t="s">
        <v>2543</v>
      </c>
      <c r="I18" s="625" t="s">
        <v>2537</v>
      </c>
      <c r="J18" s="54">
        <v>73259</v>
      </c>
      <c r="K18" s="54">
        <v>53742</v>
      </c>
      <c r="L18" s="54">
        <v>0</v>
      </c>
      <c r="M18" s="54"/>
      <c r="N18" s="54"/>
      <c r="O18" s="54">
        <v>11917</v>
      </c>
      <c r="P18" s="54"/>
      <c r="Q18" s="54"/>
      <c r="R18" s="54"/>
      <c r="S18" s="54"/>
      <c r="T18" s="54"/>
      <c r="U18" s="54"/>
      <c r="V18" s="54"/>
      <c r="W18" s="54"/>
      <c r="X18" s="54"/>
      <c r="Y18" s="54">
        <f t="shared" si="0"/>
        <v>11917</v>
      </c>
      <c r="Z18" s="221">
        <v>19517</v>
      </c>
      <c r="AA18" s="202">
        <v>1</v>
      </c>
      <c r="AB18" s="200">
        <v>44207</v>
      </c>
      <c r="AC18" s="118">
        <v>44214</v>
      </c>
      <c r="AD18" s="487"/>
      <c r="AE18" s="203"/>
      <c r="AF18" s="200"/>
      <c r="AG18" s="201"/>
      <c r="AH18" s="487"/>
      <c r="AI18" s="203"/>
      <c r="AJ18" s="200"/>
      <c r="AK18" s="201"/>
      <c r="AL18" s="487"/>
      <c r="AM18" s="203"/>
      <c r="AN18" s="200"/>
      <c r="AO18" s="201"/>
      <c r="AP18" s="487"/>
      <c r="AQ18" s="203"/>
      <c r="AR18" s="200"/>
      <c r="AS18" s="201"/>
      <c r="AT18" s="487"/>
      <c r="AU18" s="203"/>
      <c r="AV18" s="200"/>
      <c r="AW18" s="201"/>
      <c r="AX18" s="487">
        <v>-6000</v>
      </c>
      <c r="AY18" s="203">
        <v>18</v>
      </c>
      <c r="AZ18" s="200">
        <v>44308</v>
      </c>
      <c r="BA18" s="118">
        <v>44314</v>
      </c>
      <c r="BB18" s="487"/>
      <c r="BC18" s="203"/>
      <c r="BD18" s="200"/>
      <c r="BE18" s="201"/>
      <c r="BF18" s="487"/>
      <c r="BG18" s="203"/>
      <c r="BH18" s="200"/>
      <c r="BI18" s="201"/>
      <c r="BJ18" s="487"/>
      <c r="BK18" s="203"/>
      <c r="BL18" s="200"/>
      <c r="BM18" s="201"/>
      <c r="BN18" s="487"/>
      <c r="BO18" s="203"/>
      <c r="BP18" s="200"/>
      <c r="BQ18" s="201"/>
      <c r="BR18" s="487"/>
      <c r="BS18" s="203"/>
      <c r="BT18" s="200"/>
      <c r="BU18" s="201"/>
      <c r="BV18" s="487"/>
      <c r="BW18" s="203"/>
      <c r="BX18" s="200"/>
      <c r="BY18" s="201"/>
      <c r="BZ18" s="487"/>
      <c r="CA18" s="203"/>
      <c r="CB18" s="200"/>
      <c r="CC18" s="201"/>
      <c r="CD18" s="487"/>
      <c r="CE18" s="203"/>
      <c r="CF18" s="200"/>
      <c r="CG18" s="201"/>
      <c r="CH18" s="487"/>
      <c r="CI18" s="203"/>
      <c r="CJ18" s="200"/>
      <c r="CK18" s="201"/>
      <c r="CL18" s="487"/>
      <c r="CM18" s="203"/>
      <c r="CN18" s="200"/>
      <c r="CO18" s="201"/>
      <c r="CP18" s="487"/>
      <c r="CQ18" s="203"/>
      <c r="CR18" s="200"/>
      <c r="CS18" s="201"/>
      <c r="CT18" s="487"/>
      <c r="CU18" s="203"/>
      <c r="CV18" s="200"/>
      <c r="CW18" s="201"/>
      <c r="CX18" s="487"/>
      <c r="CY18" s="203"/>
      <c r="CZ18" s="200"/>
      <c r="DA18" s="201"/>
      <c r="DB18" s="487"/>
      <c r="DC18" s="203"/>
      <c r="DD18" s="200"/>
      <c r="DE18" s="201"/>
      <c r="DF18" s="487"/>
      <c r="DG18" s="203"/>
      <c r="DH18" s="200"/>
      <c r="DI18" s="201"/>
      <c r="DJ18" s="623">
        <f t="shared" si="1"/>
        <v>13517</v>
      </c>
      <c r="DK18" s="43">
        <f t="shared" si="2"/>
        <v>1600</v>
      </c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</row>
    <row r="19" spans="1:1401" s="96" customFormat="1" ht="22.5">
      <c r="A19" s="39"/>
      <c r="B19" s="112">
        <v>4</v>
      </c>
      <c r="C19" s="112" t="s">
        <v>65</v>
      </c>
      <c r="D19" s="532">
        <v>40004727</v>
      </c>
      <c r="E19" s="52" t="s">
        <v>2544</v>
      </c>
      <c r="F19" s="625" t="s">
        <v>146</v>
      </c>
      <c r="G19" s="56" t="s">
        <v>2545</v>
      </c>
      <c r="H19" s="56" t="s">
        <v>2546</v>
      </c>
      <c r="I19" s="625" t="s">
        <v>2537</v>
      </c>
      <c r="J19" s="54">
        <v>186383</v>
      </c>
      <c r="K19" s="54">
        <v>0</v>
      </c>
      <c r="L19" s="54">
        <v>174233</v>
      </c>
      <c r="M19" s="54"/>
      <c r="N19" s="54"/>
      <c r="O19" s="54"/>
      <c r="P19" s="54">
        <v>30000</v>
      </c>
      <c r="Q19" s="54"/>
      <c r="R19" s="54"/>
      <c r="S19" s="54"/>
      <c r="T19" s="54"/>
      <c r="U19" s="54">
        <v>20000</v>
      </c>
      <c r="V19" s="54"/>
      <c r="W19" s="54"/>
      <c r="X19" s="54"/>
      <c r="Y19" s="54">
        <f t="shared" si="0"/>
        <v>50000</v>
      </c>
      <c r="Z19" s="221">
        <f>12150</f>
        <v>12150</v>
      </c>
      <c r="AA19" s="202">
        <v>1</v>
      </c>
      <c r="AB19" s="200">
        <v>44223</v>
      </c>
      <c r="AC19" s="201">
        <v>44244</v>
      </c>
      <c r="AD19" s="221"/>
      <c r="AE19" s="203"/>
      <c r="AF19" s="200"/>
      <c r="AG19" s="201"/>
      <c r="AH19" s="221"/>
      <c r="AI19" s="203"/>
      <c r="AJ19" s="200"/>
      <c r="AK19" s="201"/>
      <c r="AL19" s="221">
        <v>3195</v>
      </c>
      <c r="AM19" s="203">
        <v>13</v>
      </c>
      <c r="AN19" s="200">
        <v>44277</v>
      </c>
      <c r="AO19" s="201">
        <v>44281</v>
      </c>
      <c r="AP19" s="221"/>
      <c r="AQ19" s="203"/>
      <c r="AR19" s="200"/>
      <c r="AS19" s="201"/>
      <c r="AT19" s="221"/>
      <c r="AU19" s="203"/>
      <c r="AV19" s="200"/>
      <c r="AW19" s="201"/>
      <c r="AX19" s="221">
        <v>16000</v>
      </c>
      <c r="AY19" s="203">
        <v>18</v>
      </c>
      <c r="AZ19" s="200">
        <v>44308</v>
      </c>
      <c r="BA19" s="118">
        <v>44314</v>
      </c>
      <c r="BB19" s="221"/>
      <c r="BC19" s="203"/>
      <c r="BD19" s="200"/>
      <c r="BE19" s="201"/>
      <c r="BF19" s="221">
        <v>20000</v>
      </c>
      <c r="BG19" s="203">
        <v>25</v>
      </c>
      <c r="BH19" s="200">
        <v>44329</v>
      </c>
      <c r="BI19" s="201">
        <v>44335</v>
      </c>
      <c r="BJ19" s="221"/>
      <c r="BK19" s="203"/>
      <c r="BL19" s="200"/>
      <c r="BM19" s="201"/>
      <c r="BN19" s="221"/>
      <c r="BO19" s="203"/>
      <c r="BP19" s="200"/>
      <c r="BQ19" s="201"/>
      <c r="BR19" s="221"/>
      <c r="BS19" s="203"/>
      <c r="BT19" s="200"/>
      <c r="BU19" s="201"/>
      <c r="BV19" s="221"/>
      <c r="BW19" s="203"/>
      <c r="BX19" s="200"/>
      <c r="BY19" s="201"/>
      <c r="BZ19" s="221"/>
      <c r="CA19" s="203"/>
      <c r="CB19" s="200"/>
      <c r="CC19" s="201"/>
      <c r="CD19" s="221"/>
      <c r="CE19" s="203"/>
      <c r="CF19" s="200"/>
      <c r="CG19" s="201"/>
      <c r="CH19" s="221"/>
      <c r="CI19" s="203"/>
      <c r="CJ19" s="200"/>
      <c r="CK19" s="201"/>
      <c r="CL19" s="221"/>
      <c r="CM19" s="203"/>
      <c r="CN19" s="200"/>
      <c r="CO19" s="201"/>
      <c r="CP19" s="221"/>
      <c r="CQ19" s="203"/>
      <c r="CR19" s="200"/>
      <c r="CS19" s="201"/>
      <c r="CT19" s="221"/>
      <c r="CU19" s="203"/>
      <c r="CV19" s="200"/>
      <c r="CW19" s="201"/>
      <c r="CX19" s="221"/>
      <c r="CY19" s="203"/>
      <c r="CZ19" s="200"/>
      <c r="DA19" s="201"/>
      <c r="DB19" s="221"/>
      <c r="DC19" s="203"/>
      <c r="DD19" s="200"/>
      <c r="DE19" s="201"/>
      <c r="DF19" s="221"/>
      <c r="DG19" s="203"/>
      <c r="DH19" s="200"/>
      <c r="DI19" s="201"/>
      <c r="DJ19" s="623">
        <f t="shared" si="1"/>
        <v>51345</v>
      </c>
      <c r="DK19" s="43">
        <f t="shared" si="2"/>
        <v>1345</v>
      </c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A19" s="39"/>
      <c r="AJB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LU19" s="39"/>
      <c r="ALV19" s="39"/>
      <c r="ALW19" s="39"/>
      <c r="ALX19" s="39"/>
      <c r="ALY19" s="39"/>
      <c r="ALZ19" s="39"/>
      <c r="AMA19" s="39"/>
      <c r="AMB19" s="39"/>
      <c r="AMC19" s="39"/>
      <c r="AMD19" s="39"/>
      <c r="AME19" s="39"/>
      <c r="AMF19" s="39"/>
      <c r="AMG19" s="39"/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MS19" s="39"/>
      <c r="AMT19" s="39"/>
      <c r="AMU19" s="39"/>
      <c r="AMV19" s="39"/>
      <c r="AMW19" s="39"/>
      <c r="AMX19" s="39"/>
      <c r="AMY19" s="39"/>
      <c r="AMZ19" s="39"/>
      <c r="ANA19" s="39"/>
      <c r="ANB19" s="39"/>
      <c r="ANC19" s="39"/>
      <c r="AND19" s="39"/>
      <c r="ANE19" s="39"/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NQ19" s="39"/>
      <c r="ANR19" s="39"/>
      <c r="ANS19" s="39"/>
      <c r="ANT19" s="39"/>
      <c r="ANU19" s="39"/>
      <c r="ANV19" s="39"/>
      <c r="ANW19" s="39"/>
      <c r="ANX19" s="39"/>
      <c r="ANY19" s="39"/>
      <c r="ANZ19" s="39"/>
      <c r="AOA19" s="39"/>
      <c r="AOB19" s="39"/>
      <c r="AOC19" s="39"/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OO19" s="39"/>
      <c r="AOP19" s="39"/>
      <c r="AOQ19" s="39"/>
      <c r="AOR19" s="39"/>
      <c r="AOS19" s="39"/>
      <c r="AOT19" s="39"/>
      <c r="AOU19" s="39"/>
      <c r="AOV19" s="39"/>
      <c r="AOW19" s="39"/>
      <c r="AOX19" s="39"/>
      <c r="AOY19" s="39"/>
      <c r="AOZ19" s="39"/>
      <c r="APA19" s="39"/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M19" s="39"/>
      <c r="APN19" s="39"/>
      <c r="APO19" s="39"/>
      <c r="APP19" s="39"/>
      <c r="APQ19" s="39"/>
      <c r="APR19" s="39"/>
      <c r="APS19" s="39"/>
      <c r="APT19" s="39"/>
      <c r="APU19" s="39"/>
      <c r="APV19" s="39"/>
      <c r="APW19" s="39"/>
      <c r="APX19" s="39"/>
      <c r="APY19" s="39"/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K19" s="39"/>
      <c r="AQL19" s="39"/>
      <c r="AQM19" s="39"/>
      <c r="AQN19" s="39"/>
      <c r="AQO19" s="39"/>
      <c r="AQP19" s="39"/>
      <c r="AQQ19" s="39"/>
      <c r="AQR19" s="39"/>
      <c r="AQS19" s="39"/>
      <c r="AQT19" s="39"/>
      <c r="AQU19" s="39"/>
      <c r="AQV19" s="39"/>
      <c r="AQW19" s="39"/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I19" s="39"/>
      <c r="ARJ19" s="39"/>
      <c r="ARK19" s="39"/>
      <c r="ARL19" s="39"/>
      <c r="ARM19" s="39"/>
      <c r="ARN19" s="39"/>
      <c r="ARO19" s="39"/>
      <c r="ARP19" s="39"/>
      <c r="ARQ19" s="39"/>
      <c r="ARR19" s="39"/>
      <c r="ARS19" s="39"/>
      <c r="ART19" s="39"/>
      <c r="ARU19" s="39"/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G19" s="39"/>
      <c r="ASH19" s="39"/>
      <c r="ASI19" s="39"/>
      <c r="ASJ19" s="39"/>
      <c r="ASK19" s="39"/>
      <c r="ASL19" s="39"/>
      <c r="ASM19" s="39"/>
      <c r="ASN19" s="39"/>
      <c r="ASO19" s="39"/>
      <c r="ASP19" s="39"/>
      <c r="ASQ19" s="39"/>
      <c r="ASR19" s="39"/>
      <c r="ASS19" s="39"/>
      <c r="AST19" s="39"/>
      <c r="ASU19" s="39"/>
      <c r="ASV19" s="39"/>
      <c r="ASW19" s="39"/>
      <c r="ASX19" s="39"/>
      <c r="ASY19" s="39"/>
      <c r="ASZ19" s="39"/>
      <c r="ATA19" s="39"/>
      <c r="ATB19" s="39"/>
      <c r="ATC19" s="39"/>
      <c r="ATD19" s="39"/>
      <c r="ATE19" s="39"/>
      <c r="ATF19" s="39"/>
      <c r="ATG19" s="39"/>
      <c r="ATH19" s="39"/>
      <c r="ATI19" s="39"/>
      <c r="ATJ19" s="39"/>
      <c r="ATK19" s="39"/>
      <c r="ATL19" s="39"/>
      <c r="ATM19" s="39"/>
      <c r="ATN19" s="39"/>
      <c r="ATO19" s="39"/>
      <c r="ATP19" s="39"/>
      <c r="ATQ19" s="39"/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C19" s="39"/>
      <c r="AUD19" s="39"/>
      <c r="AUE19" s="39"/>
      <c r="AUF19" s="39"/>
      <c r="AUG19" s="39"/>
      <c r="AUH19" s="39"/>
      <c r="AUI19" s="39"/>
      <c r="AUJ19" s="39"/>
      <c r="AUK19" s="39"/>
      <c r="AUL19" s="39"/>
      <c r="AUM19" s="39"/>
      <c r="AUN19" s="39"/>
      <c r="AUO19" s="39"/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A19" s="39"/>
      <c r="AVB19" s="39"/>
      <c r="AVC19" s="39"/>
      <c r="AVD19" s="39"/>
      <c r="AVE19" s="39"/>
      <c r="AVF19" s="39"/>
      <c r="AVG19" s="39"/>
      <c r="AVH19" s="39"/>
      <c r="AVI19" s="39"/>
      <c r="AVJ19" s="39"/>
      <c r="AVK19" s="39"/>
      <c r="AVL19" s="39"/>
      <c r="AVM19" s="39"/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VY19" s="39"/>
      <c r="AVZ19" s="39"/>
      <c r="AWA19" s="39"/>
      <c r="AWB19" s="39"/>
      <c r="AWC19" s="39"/>
      <c r="AWD19" s="39"/>
      <c r="AWE19" s="39"/>
      <c r="AWF19" s="39"/>
      <c r="AWG19" s="39"/>
      <c r="AWH19" s="39"/>
      <c r="AWI19" s="39"/>
      <c r="AWJ19" s="39"/>
      <c r="AWK19" s="39"/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WW19" s="39"/>
      <c r="AWX19" s="39"/>
      <c r="AWY19" s="39"/>
      <c r="AWZ19" s="39"/>
      <c r="AXA19" s="39"/>
      <c r="AXB19" s="39"/>
      <c r="AXC19" s="39"/>
      <c r="AXD19" s="39"/>
      <c r="AXE19" s="39"/>
      <c r="AXF19" s="39"/>
      <c r="AXG19" s="39"/>
      <c r="AXH19" s="39"/>
      <c r="AXI19" s="39"/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XU19" s="39"/>
      <c r="AXV19" s="39"/>
      <c r="AXW19" s="39"/>
      <c r="AXX19" s="39"/>
      <c r="AXY19" s="39"/>
      <c r="AXZ19" s="39"/>
      <c r="AYA19" s="39"/>
      <c r="AYB19" s="39"/>
      <c r="AYC19" s="39"/>
      <c r="AYD19" s="39"/>
      <c r="AYE19" s="39"/>
      <c r="AYF19" s="39"/>
      <c r="AYG19" s="39"/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YS19" s="39"/>
      <c r="AYT19" s="39"/>
      <c r="AYU19" s="39"/>
      <c r="AYV19" s="39"/>
      <c r="AYW19" s="39"/>
      <c r="AYX19" s="39"/>
      <c r="AYY19" s="39"/>
      <c r="AYZ19" s="39"/>
      <c r="AZA19" s="39"/>
      <c r="AZB19" s="39"/>
      <c r="AZC19" s="39"/>
      <c r="AZD19" s="39"/>
      <c r="AZE19" s="39"/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AZQ19" s="39"/>
      <c r="AZR19" s="39"/>
      <c r="AZS19" s="39"/>
      <c r="AZT19" s="39"/>
      <c r="AZU19" s="39"/>
      <c r="AZV19" s="39"/>
      <c r="AZW19" s="39"/>
      <c r="AZX19" s="39"/>
      <c r="AZY19" s="39"/>
      <c r="AZZ19" s="39"/>
      <c r="BAA19" s="39"/>
      <c r="BAB19" s="39"/>
      <c r="BAC19" s="39"/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AO19" s="39"/>
      <c r="BAP19" s="39"/>
      <c r="BAQ19" s="39"/>
      <c r="BAR19" s="39"/>
      <c r="BAS19" s="39"/>
      <c r="BAT19" s="39"/>
      <c r="BAU19" s="39"/>
      <c r="BAV19" s="39"/>
      <c r="BAW19" s="39"/>
    </row>
    <row r="20" spans="1:1401" s="96" customFormat="1" ht="22.5">
      <c r="A20" s="39"/>
      <c r="B20" s="112">
        <v>5</v>
      </c>
      <c r="C20" s="112" t="s">
        <v>39</v>
      </c>
      <c r="D20" s="532">
        <v>30076653</v>
      </c>
      <c r="E20" s="52" t="s">
        <v>2547</v>
      </c>
      <c r="F20" s="625" t="s">
        <v>146</v>
      </c>
      <c r="G20" s="56" t="s">
        <v>2548</v>
      </c>
      <c r="H20" s="56" t="s">
        <v>2549</v>
      </c>
      <c r="I20" s="625" t="s">
        <v>2537</v>
      </c>
      <c r="J20" s="54">
        <v>1186275</v>
      </c>
      <c r="K20" s="54">
        <v>876710</v>
      </c>
      <c r="L20" s="54">
        <v>0</v>
      </c>
      <c r="M20" s="54"/>
      <c r="N20" s="54">
        <v>134007</v>
      </c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>
        <f t="shared" si="0"/>
        <v>134007</v>
      </c>
      <c r="Z20" s="221">
        <v>309565</v>
      </c>
      <c r="AA20" s="202">
        <v>1</v>
      </c>
      <c r="AB20" s="200">
        <v>44207</v>
      </c>
      <c r="AC20" s="118">
        <v>44214</v>
      </c>
      <c r="AD20" s="221"/>
      <c r="AE20" s="203"/>
      <c r="AF20" s="200"/>
      <c r="AG20" s="201"/>
      <c r="AH20" s="221"/>
      <c r="AI20" s="203"/>
      <c r="AJ20" s="200"/>
      <c r="AK20" s="201"/>
      <c r="AL20" s="221"/>
      <c r="AM20" s="203"/>
      <c r="AN20" s="200"/>
      <c r="AO20" s="201"/>
      <c r="AP20" s="221"/>
      <c r="AQ20" s="203"/>
      <c r="AR20" s="200"/>
      <c r="AS20" s="201"/>
      <c r="AT20" s="221"/>
      <c r="AU20" s="203"/>
      <c r="AV20" s="200"/>
      <c r="AW20" s="201"/>
      <c r="AX20" s="221"/>
      <c r="AY20" s="203"/>
      <c r="AZ20" s="200"/>
      <c r="BA20" s="201"/>
      <c r="BB20" s="221"/>
      <c r="BC20" s="203"/>
      <c r="BD20" s="200"/>
      <c r="BE20" s="201"/>
      <c r="BF20" s="221"/>
      <c r="BG20" s="203"/>
      <c r="BH20" s="200"/>
      <c r="BI20" s="201"/>
      <c r="BJ20" s="221"/>
      <c r="BK20" s="203"/>
      <c r="BL20" s="200"/>
      <c r="BM20" s="201"/>
      <c r="BN20" s="221"/>
      <c r="BO20" s="203"/>
      <c r="BP20" s="200"/>
      <c r="BQ20" s="201"/>
      <c r="BR20" s="221"/>
      <c r="BS20" s="203"/>
      <c r="BT20" s="200"/>
      <c r="BU20" s="201"/>
      <c r="BV20" s="221"/>
      <c r="BW20" s="203"/>
      <c r="BX20" s="200"/>
      <c r="BY20" s="201"/>
      <c r="BZ20" s="221"/>
      <c r="CA20" s="203"/>
      <c r="CB20" s="200"/>
      <c r="CC20" s="201"/>
      <c r="CD20" s="221"/>
      <c r="CE20" s="203"/>
      <c r="CF20" s="200"/>
      <c r="CG20" s="201"/>
      <c r="CH20" s="221"/>
      <c r="CI20" s="203"/>
      <c r="CJ20" s="200"/>
      <c r="CK20" s="201"/>
      <c r="CL20" s="221"/>
      <c r="CM20" s="203"/>
      <c r="CN20" s="200"/>
      <c r="CO20" s="201"/>
      <c r="CP20" s="221"/>
      <c r="CQ20" s="203"/>
      <c r="CR20" s="200"/>
      <c r="CS20" s="201"/>
      <c r="CT20" s="221">
        <v>-100000</v>
      </c>
      <c r="CU20" s="203">
        <v>39</v>
      </c>
      <c r="CV20" s="200">
        <v>44431</v>
      </c>
      <c r="CW20" s="201">
        <v>44435</v>
      </c>
      <c r="CX20" s="221"/>
      <c r="CY20" s="203"/>
      <c r="CZ20" s="200"/>
      <c r="DA20" s="201"/>
      <c r="DB20" s="221"/>
      <c r="DC20" s="203"/>
      <c r="DD20" s="200"/>
      <c r="DE20" s="201"/>
      <c r="DF20" s="221"/>
      <c r="DG20" s="203"/>
      <c r="DH20" s="200"/>
      <c r="DI20" s="201"/>
      <c r="DJ20" s="623">
        <f t="shared" si="1"/>
        <v>209565</v>
      </c>
      <c r="DK20" s="43">
        <f t="shared" si="2"/>
        <v>75558</v>
      </c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39"/>
      <c r="ALK20" s="39"/>
      <c r="ALL20" s="39"/>
      <c r="ALM20" s="39"/>
      <c r="ALN20" s="39"/>
      <c r="ALO20" s="39"/>
      <c r="ALP20" s="39"/>
      <c r="ALQ20" s="39"/>
      <c r="ALR20" s="39"/>
      <c r="ALS20" s="39"/>
      <c r="ALT20" s="39"/>
      <c r="ALU20" s="39"/>
      <c r="ALV20" s="39"/>
      <c r="ALW20" s="39"/>
      <c r="ALX20" s="39"/>
      <c r="ALY20" s="39"/>
      <c r="ALZ20" s="39"/>
      <c r="AMA20" s="39"/>
      <c r="AMB20" s="39"/>
      <c r="AMC20" s="39"/>
      <c r="AMD20" s="39"/>
      <c r="AME20" s="39"/>
      <c r="AMF20" s="39"/>
      <c r="AMG20" s="39"/>
      <c r="AMH20" s="39"/>
      <c r="AMI20" s="39"/>
      <c r="AMJ20" s="39"/>
      <c r="AMK20" s="39"/>
      <c r="AML20" s="39"/>
      <c r="AMM20" s="39"/>
      <c r="AMN20" s="39"/>
      <c r="AMO20" s="39"/>
      <c r="AMP20" s="39"/>
      <c r="AMQ20" s="39"/>
      <c r="AMR20" s="39"/>
      <c r="AMS20" s="39"/>
      <c r="AMT20" s="39"/>
      <c r="AMU20" s="39"/>
      <c r="AMV20" s="39"/>
      <c r="AMW20" s="39"/>
      <c r="AMX20" s="39"/>
      <c r="AMY20" s="39"/>
      <c r="AMZ20" s="39"/>
      <c r="ANA20" s="39"/>
      <c r="ANB20" s="39"/>
      <c r="ANC20" s="39"/>
      <c r="AND20" s="39"/>
      <c r="ANE20" s="39"/>
      <c r="ANF20" s="39"/>
      <c r="ANG20" s="39"/>
      <c r="ANH20" s="39"/>
      <c r="ANI20" s="39"/>
      <c r="ANJ20" s="39"/>
      <c r="ANK20" s="39"/>
      <c r="ANL20" s="39"/>
      <c r="ANM20" s="39"/>
      <c r="ANN20" s="39"/>
      <c r="ANO20" s="39"/>
      <c r="ANP20" s="39"/>
      <c r="ANQ20" s="39"/>
      <c r="ANR20" s="39"/>
      <c r="ANS20" s="39"/>
      <c r="ANT20" s="39"/>
      <c r="ANU20" s="39"/>
      <c r="ANV20" s="39"/>
      <c r="ANW20" s="39"/>
      <c r="ANX20" s="39"/>
      <c r="ANY20" s="39"/>
      <c r="ANZ20" s="39"/>
      <c r="AOA20" s="39"/>
      <c r="AOB20" s="39"/>
      <c r="AOC20" s="39"/>
      <c r="AOD20" s="39"/>
      <c r="AOE20" s="39"/>
      <c r="AOF20" s="39"/>
      <c r="AOG20" s="39"/>
      <c r="AOH20" s="39"/>
      <c r="AOI20" s="39"/>
      <c r="AOJ20" s="39"/>
      <c r="AOK20" s="39"/>
      <c r="AOL20" s="39"/>
      <c r="AOM20" s="39"/>
      <c r="AON20" s="39"/>
      <c r="AOO20" s="39"/>
      <c r="AOP20" s="39"/>
      <c r="AOQ20" s="39"/>
      <c r="AOR20" s="39"/>
      <c r="AOS20" s="39"/>
      <c r="AOT20" s="39"/>
      <c r="AOU20" s="39"/>
      <c r="AOV20" s="39"/>
      <c r="AOW20" s="39"/>
      <c r="AOX20" s="39"/>
      <c r="AOY20" s="39"/>
      <c r="AOZ20" s="39"/>
      <c r="APA20" s="39"/>
      <c r="APB20" s="39"/>
      <c r="APC20" s="39"/>
      <c r="APD20" s="39"/>
      <c r="APE20" s="39"/>
      <c r="APF20" s="39"/>
      <c r="APG20" s="39"/>
      <c r="APH20" s="39"/>
      <c r="API20" s="39"/>
      <c r="APJ20" s="39"/>
      <c r="APK20" s="39"/>
      <c r="APL20" s="39"/>
      <c r="APM20" s="39"/>
      <c r="APN20" s="39"/>
      <c r="APO20" s="39"/>
      <c r="APP20" s="39"/>
      <c r="APQ20" s="39"/>
      <c r="APR20" s="39"/>
      <c r="APS20" s="39"/>
      <c r="APT20" s="39"/>
      <c r="APU20" s="39"/>
      <c r="APV20" s="39"/>
      <c r="APW20" s="39"/>
      <c r="APX20" s="39"/>
      <c r="APY20" s="39"/>
      <c r="APZ20" s="39"/>
      <c r="AQA20" s="39"/>
      <c r="AQB20" s="39"/>
      <c r="AQC20" s="39"/>
      <c r="AQD20" s="39"/>
      <c r="AQE20" s="39"/>
      <c r="AQF20" s="39"/>
      <c r="AQG20" s="39"/>
      <c r="AQH20" s="39"/>
      <c r="AQI20" s="39"/>
      <c r="AQJ20" s="39"/>
      <c r="AQK20" s="39"/>
      <c r="AQL20" s="39"/>
      <c r="AQM20" s="39"/>
      <c r="AQN20" s="39"/>
      <c r="AQO20" s="39"/>
      <c r="AQP20" s="39"/>
      <c r="AQQ20" s="39"/>
      <c r="AQR20" s="39"/>
      <c r="AQS20" s="39"/>
      <c r="AQT20" s="39"/>
      <c r="AQU20" s="39"/>
      <c r="AQV20" s="39"/>
      <c r="AQW20" s="39"/>
      <c r="AQX20" s="39"/>
      <c r="AQY20" s="39"/>
      <c r="AQZ20" s="39"/>
      <c r="ARA20" s="39"/>
      <c r="ARB20" s="39"/>
      <c r="ARC20" s="39"/>
      <c r="ARD20" s="39"/>
      <c r="ARE20" s="39"/>
      <c r="ARF20" s="39"/>
      <c r="ARG20" s="39"/>
      <c r="ARH20" s="39"/>
      <c r="ARI20" s="39"/>
      <c r="ARJ20" s="39"/>
      <c r="ARK20" s="39"/>
      <c r="ARL20" s="39"/>
      <c r="ARM20" s="39"/>
      <c r="ARN20" s="39"/>
      <c r="ARO20" s="39"/>
      <c r="ARP20" s="39"/>
      <c r="ARQ20" s="39"/>
      <c r="ARR20" s="39"/>
      <c r="ARS20" s="39"/>
      <c r="ART20" s="39"/>
      <c r="ARU20" s="39"/>
      <c r="ARV20" s="39"/>
      <c r="ARW20" s="39"/>
      <c r="ARX20" s="39"/>
      <c r="ARY20" s="39"/>
      <c r="ARZ20" s="39"/>
      <c r="ASA20" s="39"/>
      <c r="ASB20" s="39"/>
      <c r="ASC20" s="39"/>
      <c r="ASD20" s="39"/>
      <c r="ASE20" s="39"/>
      <c r="ASF20" s="39"/>
      <c r="ASG20" s="39"/>
      <c r="ASH20" s="39"/>
      <c r="ASI20" s="39"/>
      <c r="ASJ20" s="39"/>
      <c r="ASK20" s="39"/>
      <c r="ASL20" s="39"/>
      <c r="ASM20" s="39"/>
      <c r="ASN20" s="39"/>
      <c r="ASO20" s="39"/>
      <c r="ASP20" s="39"/>
      <c r="ASQ20" s="39"/>
      <c r="ASR20" s="39"/>
      <c r="ASS20" s="39"/>
      <c r="AST20" s="39"/>
      <c r="ASU20" s="39"/>
      <c r="ASV20" s="39"/>
      <c r="ASW20" s="39"/>
      <c r="ASX20" s="39"/>
      <c r="ASY20" s="39"/>
      <c r="ASZ20" s="39"/>
      <c r="ATA20" s="39"/>
      <c r="ATB20" s="39"/>
      <c r="ATC20" s="39"/>
      <c r="ATD20" s="39"/>
      <c r="ATE20" s="39"/>
      <c r="ATF20" s="39"/>
      <c r="ATG20" s="39"/>
      <c r="ATH20" s="39"/>
      <c r="ATI20" s="39"/>
      <c r="ATJ20" s="39"/>
      <c r="ATK20" s="39"/>
      <c r="ATL20" s="39"/>
      <c r="ATM20" s="39"/>
      <c r="ATN20" s="39"/>
      <c r="ATO20" s="39"/>
      <c r="ATP20" s="39"/>
      <c r="ATQ20" s="39"/>
      <c r="ATR20" s="39"/>
      <c r="ATS20" s="39"/>
      <c r="ATT20" s="39"/>
      <c r="ATU20" s="39"/>
      <c r="ATV20" s="39"/>
      <c r="ATW20" s="39"/>
      <c r="ATX20" s="39"/>
      <c r="ATY20" s="39"/>
      <c r="ATZ20" s="39"/>
      <c r="AUA20" s="39"/>
      <c r="AUB20" s="39"/>
      <c r="AUC20" s="39"/>
      <c r="AUD20" s="39"/>
      <c r="AUE20" s="39"/>
      <c r="AUF20" s="39"/>
      <c r="AUG20" s="39"/>
      <c r="AUH20" s="39"/>
      <c r="AUI20" s="39"/>
      <c r="AUJ20" s="39"/>
      <c r="AUK20" s="39"/>
      <c r="AUL20" s="39"/>
      <c r="AUM20" s="39"/>
      <c r="AUN20" s="39"/>
      <c r="AUO20" s="39"/>
      <c r="AUP20" s="39"/>
      <c r="AUQ20" s="39"/>
      <c r="AUR20" s="39"/>
      <c r="AUS20" s="39"/>
      <c r="AUT20" s="39"/>
      <c r="AUU20" s="39"/>
      <c r="AUV20" s="39"/>
      <c r="AUW20" s="39"/>
      <c r="AUX20" s="39"/>
      <c r="AUY20" s="39"/>
      <c r="AUZ20" s="39"/>
      <c r="AVA20" s="39"/>
      <c r="AVB20" s="39"/>
      <c r="AVC20" s="39"/>
      <c r="AVD20" s="39"/>
      <c r="AVE20" s="39"/>
      <c r="AVF20" s="39"/>
      <c r="AVG20" s="39"/>
      <c r="AVH20" s="39"/>
      <c r="AVI20" s="39"/>
      <c r="AVJ20" s="39"/>
      <c r="AVK20" s="39"/>
      <c r="AVL20" s="39"/>
      <c r="AVM20" s="39"/>
      <c r="AVN20" s="39"/>
      <c r="AVO20" s="39"/>
      <c r="AVP20" s="39"/>
      <c r="AVQ20" s="39"/>
      <c r="AVR20" s="39"/>
      <c r="AVS20" s="39"/>
      <c r="AVT20" s="39"/>
      <c r="AVU20" s="39"/>
      <c r="AVV20" s="39"/>
      <c r="AVW20" s="39"/>
      <c r="AVX20" s="39"/>
      <c r="AVY20" s="39"/>
      <c r="AVZ20" s="39"/>
      <c r="AWA20" s="39"/>
      <c r="AWB20" s="39"/>
      <c r="AWC20" s="39"/>
      <c r="AWD20" s="39"/>
      <c r="AWE20" s="39"/>
      <c r="AWF20" s="39"/>
      <c r="AWG20" s="39"/>
      <c r="AWH20" s="39"/>
      <c r="AWI20" s="39"/>
      <c r="AWJ20" s="39"/>
      <c r="AWK20" s="39"/>
      <c r="AWL20" s="39"/>
      <c r="AWM20" s="39"/>
      <c r="AWN20" s="39"/>
      <c r="AWO20" s="39"/>
      <c r="AWP20" s="39"/>
      <c r="AWQ20" s="39"/>
      <c r="AWR20" s="39"/>
      <c r="AWS20" s="39"/>
      <c r="AWT20" s="39"/>
      <c r="AWU20" s="39"/>
      <c r="AWV20" s="39"/>
      <c r="AWW20" s="39"/>
      <c r="AWX20" s="39"/>
      <c r="AWY20" s="39"/>
      <c r="AWZ20" s="39"/>
      <c r="AXA20" s="39"/>
      <c r="AXB20" s="39"/>
      <c r="AXC20" s="39"/>
      <c r="AXD20" s="39"/>
      <c r="AXE20" s="39"/>
      <c r="AXF20" s="39"/>
      <c r="AXG20" s="39"/>
      <c r="AXH20" s="39"/>
      <c r="AXI20" s="39"/>
      <c r="AXJ20" s="39"/>
      <c r="AXK20" s="39"/>
      <c r="AXL20" s="39"/>
      <c r="AXM20" s="39"/>
      <c r="AXN20" s="39"/>
      <c r="AXO20" s="39"/>
      <c r="AXP20" s="39"/>
      <c r="AXQ20" s="39"/>
      <c r="AXR20" s="39"/>
      <c r="AXS20" s="39"/>
      <c r="AXT20" s="39"/>
      <c r="AXU20" s="39"/>
      <c r="AXV20" s="39"/>
      <c r="AXW20" s="39"/>
      <c r="AXX20" s="39"/>
      <c r="AXY20" s="39"/>
      <c r="AXZ20" s="39"/>
      <c r="AYA20" s="39"/>
      <c r="AYB20" s="39"/>
      <c r="AYC20" s="39"/>
      <c r="AYD20" s="39"/>
      <c r="AYE20" s="39"/>
      <c r="AYF20" s="39"/>
      <c r="AYG20" s="39"/>
      <c r="AYH20" s="39"/>
      <c r="AYI20" s="39"/>
      <c r="AYJ20" s="39"/>
      <c r="AYK20" s="39"/>
      <c r="AYL20" s="39"/>
      <c r="AYM20" s="39"/>
      <c r="AYN20" s="39"/>
      <c r="AYO20" s="39"/>
      <c r="AYP20" s="39"/>
      <c r="AYQ20" s="39"/>
      <c r="AYR20" s="39"/>
      <c r="AYS20" s="39"/>
      <c r="AYT20" s="39"/>
      <c r="AYU20" s="39"/>
      <c r="AYV20" s="39"/>
      <c r="AYW20" s="39"/>
      <c r="AYX20" s="39"/>
      <c r="AYY20" s="39"/>
      <c r="AYZ20" s="39"/>
      <c r="AZA20" s="39"/>
      <c r="AZB20" s="39"/>
      <c r="AZC20" s="39"/>
      <c r="AZD20" s="39"/>
      <c r="AZE20" s="39"/>
      <c r="AZF20" s="39"/>
      <c r="AZG20" s="39"/>
      <c r="AZH20" s="39"/>
      <c r="AZI20" s="39"/>
      <c r="AZJ20" s="39"/>
      <c r="AZK20" s="39"/>
      <c r="AZL20" s="39"/>
      <c r="AZM20" s="39"/>
      <c r="AZN20" s="39"/>
      <c r="AZO20" s="39"/>
      <c r="AZP20" s="39"/>
      <c r="AZQ20" s="39"/>
      <c r="AZR20" s="39"/>
      <c r="AZS20" s="39"/>
      <c r="AZT20" s="39"/>
      <c r="AZU20" s="39"/>
      <c r="AZV20" s="39"/>
      <c r="AZW20" s="39"/>
      <c r="AZX20" s="39"/>
      <c r="AZY20" s="39"/>
      <c r="AZZ20" s="39"/>
      <c r="BAA20" s="39"/>
      <c r="BAB20" s="39"/>
      <c r="BAC20" s="39"/>
      <c r="BAD20" s="39"/>
      <c r="BAE20" s="39"/>
      <c r="BAF20" s="39"/>
      <c r="BAG20" s="39"/>
      <c r="BAH20" s="39"/>
      <c r="BAI20" s="39"/>
      <c r="BAJ20" s="39"/>
      <c r="BAK20" s="39"/>
      <c r="BAL20" s="39"/>
      <c r="BAM20" s="39"/>
      <c r="BAN20" s="39"/>
      <c r="BAO20" s="39"/>
      <c r="BAP20" s="39"/>
      <c r="BAQ20" s="39"/>
      <c r="BAR20" s="39"/>
      <c r="BAS20" s="39"/>
      <c r="BAT20" s="39"/>
      <c r="BAU20" s="39"/>
      <c r="BAV20" s="39"/>
      <c r="BAW20" s="39"/>
    </row>
    <row r="21" spans="1:1401" s="39" customFormat="1" ht="22.5">
      <c r="B21" s="97">
        <v>6</v>
      </c>
      <c r="C21" s="97" t="s">
        <v>39</v>
      </c>
      <c r="D21" s="532">
        <v>30081565</v>
      </c>
      <c r="E21" s="48" t="s">
        <v>2550</v>
      </c>
      <c r="F21" s="626" t="s">
        <v>146</v>
      </c>
      <c r="G21" s="26" t="s">
        <v>1373</v>
      </c>
      <c r="H21" s="26" t="s">
        <v>342</v>
      </c>
      <c r="I21" s="626" t="s">
        <v>2540</v>
      </c>
      <c r="J21" s="34">
        <v>2545476</v>
      </c>
      <c r="K21" s="34">
        <v>0</v>
      </c>
      <c r="L21" s="34">
        <v>2544476</v>
      </c>
      <c r="M21" s="34"/>
      <c r="N21" s="34"/>
      <c r="O21" s="34"/>
      <c r="P21" s="34"/>
      <c r="Q21" s="34"/>
      <c r="R21" s="34"/>
      <c r="S21" s="34">
        <v>500</v>
      </c>
      <c r="T21" s="34"/>
      <c r="U21" s="34"/>
      <c r="V21" s="34"/>
      <c r="W21" s="34"/>
      <c r="X21" s="34"/>
      <c r="Y21" s="34">
        <f t="shared" si="0"/>
        <v>500</v>
      </c>
      <c r="Z21" s="31">
        <v>2</v>
      </c>
      <c r="AA21" s="32">
        <v>1</v>
      </c>
      <c r="AB21" s="33">
        <v>44207</v>
      </c>
      <c r="AC21" s="36">
        <v>44214</v>
      </c>
      <c r="AD21" s="31"/>
      <c r="AE21" s="35"/>
      <c r="AF21" s="33"/>
      <c r="AG21" s="36"/>
      <c r="AH21" s="31"/>
      <c r="AI21" s="35"/>
      <c r="AJ21" s="33"/>
      <c r="AK21" s="36"/>
      <c r="AL21" s="31"/>
      <c r="AM21" s="35"/>
      <c r="AN21" s="33"/>
      <c r="AO21" s="36"/>
      <c r="AP21" s="31"/>
      <c r="AQ21" s="35"/>
      <c r="AR21" s="33"/>
      <c r="AS21" s="36"/>
      <c r="AT21" s="31"/>
      <c r="AU21" s="35"/>
      <c r="AV21" s="33"/>
      <c r="AW21" s="36"/>
      <c r="AX21" s="31"/>
      <c r="AY21" s="35"/>
      <c r="AZ21" s="33"/>
      <c r="BA21" s="36"/>
      <c r="BB21" s="31"/>
      <c r="BC21" s="35"/>
      <c r="BD21" s="33"/>
      <c r="BE21" s="36"/>
      <c r="BF21" s="31">
        <v>1000</v>
      </c>
      <c r="BG21" s="35">
        <v>25</v>
      </c>
      <c r="BH21" s="33">
        <v>44329</v>
      </c>
      <c r="BI21" s="36">
        <v>44335</v>
      </c>
      <c r="BJ21" s="31"/>
      <c r="BK21" s="35"/>
      <c r="BL21" s="33"/>
      <c r="BM21" s="36"/>
      <c r="BN21" s="31"/>
      <c r="BO21" s="35"/>
      <c r="BP21" s="33"/>
      <c r="BQ21" s="36"/>
      <c r="BR21" s="31"/>
      <c r="BS21" s="35"/>
      <c r="BT21" s="33"/>
      <c r="BU21" s="36"/>
      <c r="BV21" s="31"/>
      <c r="BW21" s="35"/>
      <c r="BX21" s="33"/>
      <c r="BY21" s="36"/>
      <c r="BZ21" s="31"/>
      <c r="CA21" s="35"/>
      <c r="CB21" s="33"/>
      <c r="CC21" s="36"/>
      <c r="CD21" s="31"/>
      <c r="CE21" s="35"/>
      <c r="CF21" s="33"/>
      <c r="CG21" s="36"/>
      <c r="CH21" s="31"/>
      <c r="CI21" s="35"/>
      <c r="CJ21" s="33"/>
      <c r="CK21" s="36"/>
      <c r="CL21" s="31"/>
      <c r="CM21" s="35"/>
      <c r="CN21" s="33"/>
      <c r="CO21" s="36"/>
      <c r="CP21" s="31"/>
      <c r="CQ21" s="35"/>
      <c r="CR21" s="33"/>
      <c r="CS21" s="36"/>
      <c r="CT21" s="31"/>
      <c r="CU21" s="35"/>
      <c r="CV21" s="33"/>
      <c r="CW21" s="36"/>
      <c r="CX21" s="31"/>
      <c r="CY21" s="35"/>
      <c r="CZ21" s="33"/>
      <c r="DA21" s="36"/>
      <c r="DB21" s="31"/>
      <c r="DC21" s="35"/>
      <c r="DD21" s="33"/>
      <c r="DE21" s="36"/>
      <c r="DF21" s="31"/>
      <c r="DG21" s="35"/>
      <c r="DH21" s="33"/>
      <c r="DI21" s="36"/>
      <c r="DJ21" s="623">
        <f t="shared" si="1"/>
        <v>1002</v>
      </c>
      <c r="DK21" s="38">
        <f t="shared" si="2"/>
        <v>502</v>
      </c>
    </row>
    <row r="22" spans="1:1401" s="39" customFormat="1" ht="22.5">
      <c r="B22" s="97">
        <v>7</v>
      </c>
      <c r="C22" s="97" t="s">
        <v>39</v>
      </c>
      <c r="D22" s="532">
        <v>30116594</v>
      </c>
      <c r="E22" s="48" t="s">
        <v>2551</v>
      </c>
      <c r="F22" s="626" t="s">
        <v>146</v>
      </c>
      <c r="G22" s="26" t="s">
        <v>2548</v>
      </c>
      <c r="H22" s="26" t="s">
        <v>2549</v>
      </c>
      <c r="I22" s="626" t="s">
        <v>2537</v>
      </c>
      <c r="J22" s="34">
        <v>10974639</v>
      </c>
      <c r="K22" s="34">
        <v>9311872</v>
      </c>
      <c r="L22" s="34">
        <v>1</v>
      </c>
      <c r="M22" s="34">
        <v>201780</v>
      </c>
      <c r="N22" s="34"/>
      <c r="O22" s="34">
        <v>431945</v>
      </c>
      <c r="P22" s="34"/>
      <c r="Q22" s="34">
        <v>287751</v>
      </c>
      <c r="R22" s="34">
        <v>166514</v>
      </c>
      <c r="S22" s="34">
        <v>45839</v>
      </c>
      <c r="T22" s="34">
        <v>80917</v>
      </c>
      <c r="U22" s="34">
        <v>19839</v>
      </c>
      <c r="V22" s="34" t="s">
        <v>2552</v>
      </c>
      <c r="W22" s="34"/>
      <c r="X22" s="34"/>
      <c r="Y22" s="34">
        <f t="shared" si="0"/>
        <v>1234585</v>
      </c>
      <c r="Z22" s="31">
        <v>1444864</v>
      </c>
      <c r="AA22" s="32">
        <v>1</v>
      </c>
      <c r="AB22" s="33">
        <v>44207</v>
      </c>
      <c r="AC22" s="36">
        <v>44214</v>
      </c>
      <c r="AD22" s="31"/>
      <c r="AE22" s="35"/>
      <c r="AF22" s="27"/>
      <c r="AG22" s="36"/>
      <c r="AH22" s="31"/>
      <c r="AI22" s="35"/>
      <c r="AJ22" s="27"/>
      <c r="AK22" s="36"/>
      <c r="AL22" s="31"/>
      <c r="AM22" s="35"/>
      <c r="AN22" s="27"/>
      <c r="AO22" s="36"/>
      <c r="AP22" s="31"/>
      <c r="AQ22" s="35"/>
      <c r="AR22" s="27"/>
      <c r="AS22" s="36"/>
      <c r="AT22" s="31"/>
      <c r="AU22" s="35"/>
      <c r="AV22" s="27"/>
      <c r="AW22" s="36"/>
      <c r="AX22" s="31"/>
      <c r="AY22" s="35"/>
      <c r="AZ22" s="27"/>
      <c r="BA22" s="36"/>
      <c r="BB22" s="31"/>
      <c r="BC22" s="35"/>
      <c r="BD22" s="27"/>
      <c r="BE22" s="36"/>
      <c r="BF22" s="31">
        <v>13403</v>
      </c>
      <c r="BG22" s="35">
        <v>25</v>
      </c>
      <c r="BH22" s="33">
        <v>44329</v>
      </c>
      <c r="BI22" s="36">
        <v>44335</v>
      </c>
      <c r="BJ22" s="31"/>
      <c r="BK22" s="35"/>
      <c r="BL22" s="27"/>
      <c r="BM22" s="36"/>
      <c r="BN22" s="31"/>
      <c r="BO22" s="35"/>
      <c r="BP22" s="27"/>
      <c r="BQ22" s="36"/>
      <c r="BR22" s="31"/>
      <c r="BS22" s="35"/>
      <c r="BT22" s="27"/>
      <c r="BU22" s="36"/>
      <c r="BV22" s="31"/>
      <c r="BW22" s="35"/>
      <c r="BX22" s="27"/>
      <c r="BY22" s="36"/>
      <c r="BZ22" s="31"/>
      <c r="CA22" s="35"/>
      <c r="CB22" s="27"/>
      <c r="CC22" s="36"/>
      <c r="CD22" s="31"/>
      <c r="CE22" s="35"/>
      <c r="CF22" s="27"/>
      <c r="CG22" s="36"/>
      <c r="CH22" s="31"/>
      <c r="CI22" s="35"/>
      <c r="CJ22" s="27"/>
      <c r="CK22" s="36"/>
      <c r="CL22" s="31"/>
      <c r="CM22" s="35"/>
      <c r="CN22" s="27"/>
      <c r="CO22" s="36"/>
      <c r="CP22" s="31"/>
      <c r="CQ22" s="35"/>
      <c r="CR22" s="27"/>
      <c r="CS22" s="36"/>
      <c r="CT22" s="31"/>
      <c r="CU22" s="35"/>
      <c r="CV22" s="27"/>
      <c r="CW22" s="36"/>
      <c r="CX22" s="31"/>
      <c r="CY22" s="35"/>
      <c r="CZ22" s="27"/>
      <c r="DA22" s="36"/>
      <c r="DB22" s="31"/>
      <c r="DC22" s="35"/>
      <c r="DD22" s="27"/>
      <c r="DE22" s="36"/>
      <c r="DF22" s="31"/>
      <c r="DG22" s="35"/>
      <c r="DH22" s="27"/>
      <c r="DI22" s="36"/>
      <c r="DJ22" s="623">
        <f t="shared" si="1"/>
        <v>1458267</v>
      </c>
      <c r="DK22" s="38">
        <f t="shared" si="2"/>
        <v>223682</v>
      </c>
    </row>
    <row r="23" spans="1:1401" s="39" customFormat="1" ht="22.5">
      <c r="B23" s="97">
        <v>8</v>
      </c>
      <c r="C23" s="97" t="s">
        <v>39</v>
      </c>
      <c r="D23" s="532">
        <v>30119213</v>
      </c>
      <c r="E23" s="48" t="s">
        <v>2553</v>
      </c>
      <c r="F23" s="626" t="s">
        <v>146</v>
      </c>
      <c r="G23" s="26" t="s">
        <v>2542</v>
      </c>
      <c r="H23" s="26" t="s">
        <v>2543</v>
      </c>
      <c r="I23" s="626" t="s">
        <v>2537</v>
      </c>
      <c r="J23" s="34">
        <v>1499516</v>
      </c>
      <c r="K23" s="34">
        <v>1437110</v>
      </c>
      <c r="L23" s="34">
        <v>0</v>
      </c>
      <c r="M23" s="34"/>
      <c r="N23" s="34"/>
      <c r="O23" s="34"/>
      <c r="P23" s="34"/>
      <c r="Q23" s="34">
        <v>45125</v>
      </c>
      <c r="R23" s="34"/>
      <c r="S23" s="34"/>
      <c r="T23" s="34">
        <v>11554</v>
      </c>
      <c r="U23" s="34"/>
      <c r="V23" s="34"/>
      <c r="W23" s="34"/>
      <c r="X23" s="34"/>
      <c r="Y23" s="34">
        <f t="shared" si="0"/>
        <v>56679</v>
      </c>
      <c r="Z23" s="31">
        <v>56680</v>
      </c>
      <c r="AA23" s="32">
        <v>1</v>
      </c>
      <c r="AB23" s="33">
        <v>44207</v>
      </c>
      <c r="AC23" s="36">
        <v>44214</v>
      </c>
      <c r="AD23" s="31"/>
      <c r="AE23" s="35"/>
      <c r="AF23" s="27"/>
      <c r="AG23" s="36"/>
      <c r="AH23" s="31"/>
      <c r="AI23" s="35"/>
      <c r="AJ23" s="27"/>
      <c r="AK23" s="36"/>
      <c r="AL23" s="31"/>
      <c r="AM23" s="35"/>
      <c r="AN23" s="27"/>
      <c r="AO23" s="36"/>
      <c r="AP23" s="31"/>
      <c r="AQ23" s="35"/>
      <c r="AR23" s="27"/>
      <c r="AS23" s="36"/>
      <c r="AT23" s="31"/>
      <c r="AU23" s="35"/>
      <c r="AV23" s="27"/>
      <c r="AW23" s="36"/>
      <c r="AX23" s="31"/>
      <c r="AY23" s="35"/>
      <c r="AZ23" s="27"/>
      <c r="BA23" s="36"/>
      <c r="BB23" s="31"/>
      <c r="BC23" s="35"/>
      <c r="BD23" s="27"/>
      <c r="BE23" s="36"/>
      <c r="BF23" s="31"/>
      <c r="BG23" s="35"/>
      <c r="BH23" s="27"/>
      <c r="BI23" s="36"/>
      <c r="BJ23" s="31"/>
      <c r="BK23" s="35"/>
      <c r="BL23" s="27"/>
      <c r="BM23" s="36"/>
      <c r="BN23" s="31"/>
      <c r="BO23" s="35"/>
      <c r="BP23" s="27"/>
      <c r="BQ23" s="36"/>
      <c r="BR23" s="31"/>
      <c r="BS23" s="35"/>
      <c r="BT23" s="27"/>
      <c r="BU23" s="36"/>
      <c r="BV23" s="31"/>
      <c r="BW23" s="35"/>
      <c r="BX23" s="27"/>
      <c r="BY23" s="36"/>
      <c r="BZ23" s="31"/>
      <c r="CA23" s="35"/>
      <c r="CB23" s="27"/>
      <c r="CC23" s="36"/>
      <c r="CD23" s="31"/>
      <c r="CE23" s="35"/>
      <c r="CF23" s="27"/>
      <c r="CG23" s="36"/>
      <c r="CH23" s="31"/>
      <c r="CI23" s="35"/>
      <c r="CJ23" s="27"/>
      <c r="CK23" s="36"/>
      <c r="CL23" s="31"/>
      <c r="CM23" s="35"/>
      <c r="CN23" s="27"/>
      <c r="CO23" s="36"/>
      <c r="CP23" s="31"/>
      <c r="CQ23" s="35"/>
      <c r="CR23" s="27"/>
      <c r="CS23" s="36"/>
      <c r="CT23" s="31"/>
      <c r="CU23" s="35"/>
      <c r="CV23" s="27"/>
      <c r="CW23" s="36"/>
      <c r="CX23" s="31"/>
      <c r="CY23" s="35"/>
      <c r="CZ23" s="27"/>
      <c r="DA23" s="36"/>
      <c r="DB23" s="31"/>
      <c r="DC23" s="35"/>
      <c r="DD23" s="27"/>
      <c r="DE23" s="36"/>
      <c r="DF23" s="31"/>
      <c r="DG23" s="35"/>
      <c r="DH23" s="27"/>
      <c r="DI23" s="36"/>
      <c r="DJ23" s="623">
        <f t="shared" si="1"/>
        <v>56680</v>
      </c>
      <c r="DK23" s="38">
        <f t="shared" si="2"/>
        <v>1</v>
      </c>
    </row>
    <row r="24" spans="1:1401" s="39" customFormat="1" ht="23.25" customHeight="1">
      <c r="B24" s="97">
        <v>9</v>
      </c>
      <c r="C24" s="97" t="s">
        <v>39</v>
      </c>
      <c r="D24" s="532">
        <v>30125308</v>
      </c>
      <c r="E24" s="48" t="s">
        <v>2554</v>
      </c>
      <c r="F24" s="626" t="s">
        <v>146</v>
      </c>
      <c r="G24" s="26" t="s">
        <v>2535</v>
      </c>
      <c r="H24" s="26" t="s">
        <v>2539</v>
      </c>
      <c r="I24" s="626" t="s">
        <v>2537</v>
      </c>
      <c r="J24" s="34">
        <v>2013223</v>
      </c>
      <c r="K24" s="34">
        <v>1587709</v>
      </c>
      <c r="L24" s="34">
        <v>0</v>
      </c>
      <c r="M24" s="34"/>
      <c r="N24" s="34">
        <v>1800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>
        <f t="shared" si="0"/>
        <v>1800</v>
      </c>
      <c r="Z24" s="31">
        <v>1800</v>
      </c>
      <c r="AA24" s="32">
        <v>1</v>
      </c>
      <c r="AB24" s="33">
        <v>44207</v>
      </c>
      <c r="AC24" s="36">
        <v>44214</v>
      </c>
      <c r="AD24" s="31"/>
      <c r="AE24" s="35"/>
      <c r="AF24" s="27"/>
      <c r="AG24" s="36"/>
      <c r="AH24" s="31"/>
      <c r="AI24" s="35"/>
      <c r="AJ24" s="27"/>
      <c r="AK24" s="36"/>
      <c r="AL24" s="31"/>
      <c r="AM24" s="35"/>
      <c r="AN24" s="27"/>
      <c r="AO24" s="36"/>
      <c r="AP24" s="31"/>
      <c r="AQ24" s="35"/>
      <c r="AR24" s="27"/>
      <c r="AS24" s="36"/>
      <c r="AT24" s="31"/>
      <c r="AU24" s="35"/>
      <c r="AV24" s="27"/>
      <c r="AW24" s="36"/>
      <c r="AX24" s="31"/>
      <c r="AY24" s="35"/>
      <c r="AZ24" s="27"/>
      <c r="BA24" s="36"/>
      <c r="BB24" s="31"/>
      <c r="BC24" s="35"/>
      <c r="BD24" s="27"/>
      <c r="BE24" s="36"/>
      <c r="BF24" s="31"/>
      <c r="BG24" s="35"/>
      <c r="BH24" s="27"/>
      <c r="BI24" s="36"/>
      <c r="BJ24" s="31"/>
      <c r="BK24" s="35"/>
      <c r="BL24" s="27"/>
      <c r="BM24" s="36"/>
      <c r="BN24" s="31"/>
      <c r="BO24" s="35"/>
      <c r="BP24" s="27"/>
      <c r="BQ24" s="36"/>
      <c r="BR24" s="31"/>
      <c r="BS24" s="35"/>
      <c r="BT24" s="27"/>
      <c r="BU24" s="36"/>
      <c r="BV24" s="31"/>
      <c r="BW24" s="35"/>
      <c r="BX24" s="27"/>
      <c r="BY24" s="36"/>
      <c r="BZ24" s="31"/>
      <c r="CA24" s="35"/>
      <c r="CB24" s="27"/>
      <c r="CC24" s="36"/>
      <c r="CD24" s="31"/>
      <c r="CE24" s="35"/>
      <c r="CF24" s="27"/>
      <c r="CG24" s="36"/>
      <c r="CH24" s="31"/>
      <c r="CI24" s="35"/>
      <c r="CJ24" s="27"/>
      <c r="CK24" s="36"/>
      <c r="CL24" s="31"/>
      <c r="CM24" s="35"/>
      <c r="CN24" s="27"/>
      <c r="CO24" s="36"/>
      <c r="CP24" s="31"/>
      <c r="CQ24" s="35"/>
      <c r="CR24" s="27"/>
      <c r="CS24" s="36"/>
      <c r="CT24" s="31"/>
      <c r="CU24" s="35"/>
      <c r="CV24" s="27"/>
      <c r="CW24" s="36"/>
      <c r="CX24" s="31"/>
      <c r="CY24" s="35"/>
      <c r="CZ24" s="27"/>
      <c r="DA24" s="36"/>
      <c r="DB24" s="31"/>
      <c r="DC24" s="35"/>
      <c r="DD24" s="27"/>
      <c r="DE24" s="36"/>
      <c r="DF24" s="31"/>
      <c r="DG24" s="35"/>
      <c r="DH24" s="27"/>
      <c r="DI24" s="36"/>
      <c r="DJ24" s="623">
        <f t="shared" si="1"/>
        <v>1800</v>
      </c>
      <c r="DK24" s="38">
        <f t="shared" si="2"/>
        <v>0</v>
      </c>
    </row>
    <row r="25" spans="1:1401" s="39" customFormat="1" ht="22.5">
      <c r="B25" s="97">
        <v>10</v>
      </c>
      <c r="C25" s="97" t="s">
        <v>39</v>
      </c>
      <c r="D25" s="532">
        <v>30130471</v>
      </c>
      <c r="E25" s="48" t="s">
        <v>2555</v>
      </c>
      <c r="F25" s="626" t="s">
        <v>146</v>
      </c>
      <c r="G25" s="26" t="s">
        <v>2535</v>
      </c>
      <c r="H25" s="26" t="s">
        <v>2539</v>
      </c>
      <c r="I25" s="626" t="s">
        <v>2537</v>
      </c>
      <c r="J25" s="34">
        <v>987306</v>
      </c>
      <c r="K25" s="34">
        <v>0</v>
      </c>
      <c r="L25" s="34">
        <v>325867</v>
      </c>
      <c r="M25" s="34"/>
      <c r="N25" s="34"/>
      <c r="O25" s="34"/>
      <c r="P25" s="34"/>
      <c r="Q25" s="34"/>
      <c r="R25" s="34"/>
      <c r="S25" s="34"/>
      <c r="T25" s="34">
        <v>20366</v>
      </c>
      <c r="U25" s="34">
        <v>54026</v>
      </c>
      <c r="V25" s="34" t="s">
        <v>2552</v>
      </c>
      <c r="W25" s="34"/>
      <c r="X25" s="34"/>
      <c r="Y25" s="34">
        <f t="shared" si="0"/>
        <v>74392</v>
      </c>
      <c r="Z25" s="31">
        <v>1234</v>
      </c>
      <c r="AA25" s="32">
        <v>1</v>
      </c>
      <c r="AB25" s="33">
        <v>44207</v>
      </c>
      <c r="AC25" s="36">
        <v>44214</v>
      </c>
      <c r="AD25" s="31"/>
      <c r="AE25" s="35"/>
      <c r="AF25" s="27"/>
      <c r="AG25" s="36"/>
      <c r="AH25" s="31"/>
      <c r="AI25" s="35"/>
      <c r="AJ25" s="27"/>
      <c r="AK25" s="36"/>
      <c r="AL25" s="31"/>
      <c r="AM25" s="35"/>
      <c r="AN25" s="27"/>
      <c r="AO25" s="36"/>
      <c r="AP25" s="31"/>
      <c r="AQ25" s="35"/>
      <c r="AR25" s="27"/>
      <c r="AS25" s="36"/>
      <c r="AT25" s="31"/>
      <c r="AU25" s="35"/>
      <c r="AV25" s="27"/>
      <c r="AW25" s="36"/>
      <c r="AX25" s="31"/>
      <c r="AY25" s="35"/>
      <c r="AZ25" s="27"/>
      <c r="BA25" s="36"/>
      <c r="BB25" s="31"/>
      <c r="BC25" s="35"/>
      <c r="BD25" s="27"/>
      <c r="BE25" s="36"/>
      <c r="BF25" s="31"/>
      <c r="BG25" s="35"/>
      <c r="BH25" s="27"/>
      <c r="BI25" s="36"/>
      <c r="BJ25" s="31"/>
      <c r="BK25" s="35"/>
      <c r="BL25" s="27"/>
      <c r="BM25" s="36"/>
      <c r="BN25" s="35">
        <v>100000</v>
      </c>
      <c r="BO25" s="35">
        <v>28</v>
      </c>
      <c r="BP25" s="33">
        <v>44363</v>
      </c>
      <c r="BQ25" s="36">
        <v>44371</v>
      </c>
      <c r="BR25" s="31"/>
      <c r="BS25" s="35"/>
      <c r="BT25" s="27"/>
      <c r="BU25" s="36"/>
      <c r="BV25" s="31"/>
      <c r="BW25" s="35"/>
      <c r="BX25" s="27"/>
      <c r="BY25" s="36"/>
      <c r="BZ25" s="31"/>
      <c r="CA25" s="35"/>
      <c r="CB25" s="27"/>
      <c r="CC25" s="36"/>
      <c r="CD25" s="31"/>
      <c r="CE25" s="35"/>
      <c r="CF25" s="27"/>
      <c r="CG25" s="36"/>
      <c r="CH25" s="31"/>
      <c r="CI25" s="35"/>
      <c r="CJ25" s="27"/>
      <c r="CK25" s="36"/>
      <c r="CL25" s="31"/>
      <c r="CM25" s="35"/>
      <c r="CN25" s="27"/>
      <c r="CO25" s="36"/>
      <c r="CP25" s="31">
        <v>200000</v>
      </c>
      <c r="CQ25" s="35">
        <v>37</v>
      </c>
      <c r="CR25" s="33">
        <v>44418</v>
      </c>
      <c r="CS25" s="36">
        <v>44426</v>
      </c>
      <c r="CT25" s="31">
        <v>14773</v>
      </c>
      <c r="CU25" s="35">
        <v>39</v>
      </c>
      <c r="CV25" s="33">
        <v>44431</v>
      </c>
      <c r="CW25" s="36">
        <v>44435</v>
      </c>
      <c r="CX25" s="31"/>
      <c r="CY25" s="35"/>
      <c r="CZ25" s="27"/>
      <c r="DA25" s="36"/>
      <c r="DB25" s="31"/>
      <c r="DC25" s="35"/>
      <c r="DD25" s="27"/>
      <c r="DE25" s="36"/>
      <c r="DF25" s="31"/>
      <c r="DG25" s="35"/>
      <c r="DH25" s="27"/>
      <c r="DI25" s="36"/>
      <c r="DJ25" s="623">
        <f t="shared" si="1"/>
        <v>316007</v>
      </c>
      <c r="DK25" s="38">
        <f t="shared" si="2"/>
        <v>241615</v>
      </c>
    </row>
    <row r="26" spans="1:1401" s="39" customFormat="1" ht="22.5">
      <c r="B26" s="97">
        <v>11</v>
      </c>
      <c r="C26" s="97" t="s">
        <v>39</v>
      </c>
      <c r="D26" s="532">
        <v>30137224</v>
      </c>
      <c r="E26" s="48" t="s">
        <v>2556</v>
      </c>
      <c r="F26" s="626" t="s">
        <v>146</v>
      </c>
      <c r="G26" s="26" t="s">
        <v>2548</v>
      </c>
      <c r="H26" s="26" t="s">
        <v>2549</v>
      </c>
      <c r="I26" s="626" t="s">
        <v>2537</v>
      </c>
      <c r="J26" s="34">
        <v>18470253</v>
      </c>
      <c r="K26" s="34">
        <v>44722</v>
      </c>
      <c r="L26" s="34">
        <v>13235531</v>
      </c>
      <c r="M26" s="34"/>
      <c r="N26" s="34"/>
      <c r="O26" s="34"/>
      <c r="P26" s="34"/>
      <c r="Q26" s="34"/>
      <c r="R26" s="34">
        <v>19400</v>
      </c>
      <c r="S26" s="34">
        <f>17676+1964+4000</f>
        <v>23640</v>
      </c>
      <c r="T26" s="34">
        <v>20814</v>
      </c>
      <c r="U26" s="34">
        <v>1193344</v>
      </c>
      <c r="V26" s="34" t="s">
        <v>2552</v>
      </c>
      <c r="W26" s="34"/>
      <c r="X26" s="34"/>
      <c r="Y26" s="34">
        <f t="shared" si="0"/>
        <v>1257198</v>
      </c>
      <c r="Z26" s="31">
        <f>534040</f>
        <v>534040</v>
      </c>
      <c r="AA26" s="32">
        <v>1</v>
      </c>
      <c r="AB26" s="33">
        <v>44207</v>
      </c>
      <c r="AC26" s="36">
        <v>44214</v>
      </c>
      <c r="AD26" s="31">
        <v>91960</v>
      </c>
      <c r="AE26" s="35">
        <v>3</v>
      </c>
      <c r="AF26" s="36">
        <v>44217</v>
      </c>
      <c r="AG26" s="36">
        <v>44221</v>
      </c>
      <c r="AH26" s="31"/>
      <c r="AI26" s="35"/>
      <c r="AJ26" s="627"/>
      <c r="AK26" s="36"/>
      <c r="AL26" s="31"/>
      <c r="AM26" s="35"/>
      <c r="AN26" s="627"/>
      <c r="AO26" s="36"/>
      <c r="AP26" s="31"/>
      <c r="AQ26" s="35"/>
      <c r="AR26" s="627"/>
      <c r="AS26" s="36"/>
      <c r="AT26" s="31"/>
      <c r="AU26" s="35"/>
      <c r="AV26" s="627"/>
      <c r="AW26" s="36"/>
      <c r="AX26" s="31">
        <v>500000</v>
      </c>
      <c r="AY26" s="35">
        <v>18</v>
      </c>
      <c r="AZ26" s="36">
        <v>44308</v>
      </c>
      <c r="BA26" s="36">
        <v>44314</v>
      </c>
      <c r="BB26" s="31"/>
      <c r="BC26" s="35"/>
      <c r="BD26" s="627"/>
      <c r="BE26" s="36"/>
      <c r="BF26" s="31">
        <v>100000</v>
      </c>
      <c r="BG26" s="35">
        <v>25</v>
      </c>
      <c r="BH26" s="33">
        <v>44329</v>
      </c>
      <c r="BI26" s="36">
        <v>44335</v>
      </c>
      <c r="BJ26" s="31"/>
      <c r="BK26" s="35"/>
      <c r="BL26" s="627"/>
      <c r="BM26" s="36"/>
      <c r="BN26" s="35">
        <v>-1010000</v>
      </c>
      <c r="BO26" s="35">
        <v>28</v>
      </c>
      <c r="BP26" s="33">
        <v>44363</v>
      </c>
      <c r="BQ26" s="36">
        <v>44371</v>
      </c>
      <c r="BR26" s="31"/>
      <c r="BS26" s="35"/>
      <c r="BT26" s="627"/>
      <c r="BU26" s="36"/>
      <c r="BV26" s="31"/>
      <c r="BW26" s="35"/>
      <c r="BX26" s="627"/>
      <c r="BY26" s="36"/>
      <c r="BZ26" s="31"/>
      <c r="CA26" s="35"/>
      <c r="CB26" s="627"/>
      <c r="CC26" s="36"/>
      <c r="CD26" s="31"/>
      <c r="CE26" s="35"/>
      <c r="CF26" s="627"/>
      <c r="CG26" s="36"/>
      <c r="CH26" s="31"/>
      <c r="CI26" s="35"/>
      <c r="CJ26" s="627"/>
      <c r="CK26" s="36"/>
      <c r="CL26" s="31"/>
      <c r="CM26" s="35"/>
      <c r="CN26" s="627"/>
      <c r="CO26" s="36"/>
      <c r="CP26" s="31">
        <v>1000000</v>
      </c>
      <c r="CQ26" s="35">
        <v>37</v>
      </c>
      <c r="CR26" s="33">
        <v>44418</v>
      </c>
      <c r="CS26" s="36">
        <v>44426</v>
      </c>
      <c r="CT26" s="31">
        <v>720000</v>
      </c>
      <c r="CU26" s="35">
        <v>39</v>
      </c>
      <c r="CV26" s="33">
        <v>44431</v>
      </c>
      <c r="CW26" s="36">
        <v>44435</v>
      </c>
      <c r="CX26" s="31">
        <v>599022</v>
      </c>
      <c r="CY26" s="35">
        <v>40</v>
      </c>
      <c r="CZ26" s="33">
        <v>44458</v>
      </c>
      <c r="DA26" s="36">
        <v>44460</v>
      </c>
      <c r="DB26" s="31"/>
      <c r="DC26" s="35"/>
      <c r="DD26" s="627"/>
      <c r="DE26" s="36"/>
      <c r="DF26" s="31"/>
      <c r="DG26" s="35"/>
      <c r="DH26" s="627"/>
      <c r="DI26" s="36"/>
      <c r="DJ26" s="623">
        <f t="shared" si="1"/>
        <v>2535022</v>
      </c>
      <c r="DK26" s="38">
        <f t="shared" si="2"/>
        <v>1277824</v>
      </c>
    </row>
    <row r="27" spans="1:1401" s="39" customFormat="1" ht="22.5">
      <c r="B27" s="97">
        <v>12</v>
      </c>
      <c r="C27" s="97" t="s">
        <v>39</v>
      </c>
      <c r="D27" s="532">
        <v>30179022</v>
      </c>
      <c r="E27" s="48" t="s">
        <v>2557</v>
      </c>
      <c r="F27" s="626" t="s">
        <v>146</v>
      </c>
      <c r="G27" s="26" t="s">
        <v>2545</v>
      </c>
      <c r="H27" s="26" t="s">
        <v>2546</v>
      </c>
      <c r="I27" s="626" t="s">
        <v>2537</v>
      </c>
      <c r="J27" s="34">
        <v>624401</v>
      </c>
      <c r="K27" s="34">
        <v>0</v>
      </c>
      <c r="L27" s="34">
        <v>193136</v>
      </c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>
        <f t="shared" si="0"/>
        <v>0</v>
      </c>
      <c r="Z27" s="31">
        <v>4</v>
      </c>
      <c r="AA27" s="32">
        <v>1</v>
      </c>
      <c r="AB27" s="33">
        <v>44207</v>
      </c>
      <c r="AC27" s="36">
        <v>44214</v>
      </c>
      <c r="AD27" s="31"/>
      <c r="AE27" s="35"/>
      <c r="AF27" s="27"/>
      <c r="AG27" s="36"/>
      <c r="AH27" s="31"/>
      <c r="AI27" s="35"/>
      <c r="AJ27" s="27"/>
      <c r="AK27" s="36"/>
      <c r="AL27" s="31"/>
      <c r="AM27" s="35"/>
      <c r="AN27" s="27"/>
      <c r="AO27" s="36"/>
      <c r="AP27" s="31"/>
      <c r="AQ27" s="35"/>
      <c r="AR27" s="27"/>
      <c r="AS27" s="36"/>
      <c r="AT27" s="31"/>
      <c r="AU27" s="35"/>
      <c r="AV27" s="27"/>
      <c r="AW27" s="36"/>
      <c r="AX27" s="31"/>
      <c r="AY27" s="35"/>
      <c r="AZ27" s="27"/>
      <c r="BA27" s="36"/>
      <c r="BB27" s="31"/>
      <c r="BC27" s="35"/>
      <c r="BD27" s="27"/>
      <c r="BE27" s="36"/>
      <c r="BF27" s="31"/>
      <c r="BG27" s="35"/>
      <c r="BH27" s="27"/>
      <c r="BI27" s="36"/>
      <c r="BJ27" s="31"/>
      <c r="BK27" s="35"/>
      <c r="BL27" s="27"/>
      <c r="BM27" s="36"/>
      <c r="BN27" s="35"/>
      <c r="BO27" s="35"/>
      <c r="BP27" s="27"/>
      <c r="BQ27" s="36"/>
      <c r="BR27" s="31"/>
      <c r="BS27" s="35"/>
      <c r="BT27" s="27"/>
      <c r="BU27" s="36"/>
      <c r="BV27" s="31"/>
      <c r="BW27" s="35"/>
      <c r="BX27" s="27"/>
      <c r="BY27" s="36"/>
      <c r="BZ27" s="31"/>
      <c r="CA27" s="35"/>
      <c r="CB27" s="27"/>
      <c r="CC27" s="36"/>
      <c r="CD27" s="31"/>
      <c r="CE27" s="35"/>
      <c r="CF27" s="27"/>
      <c r="CG27" s="36"/>
      <c r="CH27" s="31"/>
      <c r="CI27" s="35"/>
      <c r="CJ27" s="27"/>
      <c r="CK27" s="36"/>
      <c r="CL27" s="31"/>
      <c r="CM27" s="35"/>
      <c r="CN27" s="27"/>
      <c r="CO27" s="36"/>
      <c r="CP27" s="31"/>
      <c r="CQ27" s="35"/>
      <c r="CR27" s="27"/>
      <c r="CS27" s="36"/>
      <c r="CT27" s="31"/>
      <c r="CU27" s="35"/>
      <c r="CV27" s="27"/>
      <c r="CW27" s="36"/>
      <c r="CX27" s="31"/>
      <c r="CY27" s="35"/>
      <c r="CZ27" s="27"/>
      <c r="DA27" s="36"/>
      <c r="DB27" s="31"/>
      <c r="DC27" s="35"/>
      <c r="DD27" s="27"/>
      <c r="DE27" s="36"/>
      <c r="DF27" s="31"/>
      <c r="DG27" s="35"/>
      <c r="DH27" s="27"/>
      <c r="DI27" s="36"/>
      <c r="DJ27" s="623">
        <f t="shared" si="1"/>
        <v>4</v>
      </c>
      <c r="DK27" s="38">
        <f t="shared" si="2"/>
        <v>4</v>
      </c>
    </row>
    <row r="28" spans="1:1401" s="39" customFormat="1" ht="22.5">
      <c r="B28" s="97">
        <v>13</v>
      </c>
      <c r="C28" s="97" t="s">
        <v>39</v>
      </c>
      <c r="D28" s="532">
        <v>30187822</v>
      </c>
      <c r="E28" s="48" t="s">
        <v>2558</v>
      </c>
      <c r="F28" s="626" t="s">
        <v>146</v>
      </c>
      <c r="G28" s="26" t="s">
        <v>2535</v>
      </c>
      <c r="H28" s="26" t="s">
        <v>2539</v>
      </c>
      <c r="I28" s="626" t="s">
        <v>2537</v>
      </c>
      <c r="J28" s="34">
        <v>303134</v>
      </c>
      <c r="K28" s="34">
        <v>0</v>
      </c>
      <c r="L28" s="34">
        <v>0</v>
      </c>
      <c r="M28" s="34"/>
      <c r="N28" s="34"/>
      <c r="O28" s="34"/>
      <c r="P28" s="34">
        <v>79231</v>
      </c>
      <c r="Q28" s="34"/>
      <c r="R28" s="34">
        <v>20989</v>
      </c>
      <c r="S28" s="34">
        <v>19301</v>
      </c>
      <c r="T28" s="34"/>
      <c r="U28" s="34">
        <v>28629</v>
      </c>
      <c r="V28" s="34" t="s">
        <v>2552</v>
      </c>
      <c r="W28" s="34"/>
      <c r="X28" s="34"/>
      <c r="Y28" s="34">
        <f t="shared" si="0"/>
        <v>148150</v>
      </c>
      <c r="Z28" s="31">
        <f>1503</f>
        <v>1503</v>
      </c>
      <c r="AA28" s="32">
        <v>1</v>
      </c>
      <c r="AB28" s="33">
        <v>44207</v>
      </c>
      <c r="AC28" s="36">
        <v>44214</v>
      </c>
      <c r="AD28" s="31"/>
      <c r="AE28" s="35"/>
      <c r="AF28" s="27"/>
      <c r="AG28" s="36"/>
      <c r="AH28" s="31">
        <v>50000</v>
      </c>
      <c r="AI28" s="35">
        <v>9</v>
      </c>
      <c r="AJ28" s="36">
        <v>44244</v>
      </c>
      <c r="AK28" s="36">
        <v>44249</v>
      </c>
      <c r="AL28" s="31"/>
      <c r="AM28" s="35"/>
      <c r="AN28" s="27"/>
      <c r="AO28" s="36"/>
      <c r="AP28" s="31"/>
      <c r="AQ28" s="35"/>
      <c r="AR28" s="27"/>
      <c r="AS28" s="36"/>
      <c r="AT28" s="31"/>
      <c r="AU28" s="35"/>
      <c r="AV28" s="27"/>
      <c r="AW28" s="36"/>
      <c r="AX28" s="31">
        <v>229290</v>
      </c>
      <c r="AY28" s="35">
        <v>18</v>
      </c>
      <c r="AZ28" s="36">
        <v>44308</v>
      </c>
      <c r="BA28" s="36">
        <v>44314</v>
      </c>
      <c r="BB28" s="31"/>
      <c r="BC28" s="35"/>
      <c r="BD28" s="27"/>
      <c r="BE28" s="36"/>
      <c r="BF28" s="31"/>
      <c r="BG28" s="35"/>
      <c r="BH28" s="27"/>
      <c r="BI28" s="36"/>
      <c r="BJ28" s="31"/>
      <c r="BK28" s="35"/>
      <c r="BL28" s="27"/>
      <c r="BM28" s="36"/>
      <c r="BN28" s="35"/>
      <c r="BO28" s="35"/>
      <c r="BP28" s="27"/>
      <c r="BQ28" s="36"/>
      <c r="BR28" s="31"/>
      <c r="BS28" s="35"/>
      <c r="BT28" s="27"/>
      <c r="BU28" s="36"/>
      <c r="BV28" s="31"/>
      <c r="BW28" s="35"/>
      <c r="BX28" s="27"/>
      <c r="BY28" s="36"/>
      <c r="BZ28" s="31"/>
      <c r="CA28" s="35"/>
      <c r="CB28" s="27"/>
      <c r="CC28" s="36"/>
      <c r="CD28" s="31"/>
      <c r="CE28" s="35"/>
      <c r="CF28" s="27"/>
      <c r="CG28" s="36"/>
      <c r="CH28" s="31"/>
      <c r="CI28" s="35"/>
      <c r="CJ28" s="27"/>
      <c r="CK28" s="36"/>
      <c r="CL28" s="31"/>
      <c r="CM28" s="35"/>
      <c r="CN28" s="27"/>
      <c r="CO28" s="36"/>
      <c r="CP28" s="31"/>
      <c r="CQ28" s="35"/>
      <c r="CR28" s="27"/>
      <c r="CS28" s="36"/>
      <c r="CT28" s="31"/>
      <c r="CU28" s="35"/>
      <c r="CV28" s="27"/>
      <c r="CW28" s="36"/>
      <c r="CX28" s="31"/>
      <c r="CY28" s="35"/>
      <c r="CZ28" s="27"/>
      <c r="DA28" s="36"/>
      <c r="DB28" s="31"/>
      <c r="DC28" s="35"/>
      <c r="DD28" s="27"/>
      <c r="DE28" s="36"/>
      <c r="DF28" s="31"/>
      <c r="DG28" s="35"/>
      <c r="DH28" s="27"/>
      <c r="DI28" s="36"/>
      <c r="DJ28" s="623">
        <f t="shared" si="1"/>
        <v>280793</v>
      </c>
      <c r="DK28" s="38">
        <f t="shared" si="2"/>
        <v>132643</v>
      </c>
    </row>
    <row r="29" spans="1:1401" s="39" customFormat="1" ht="22.5">
      <c r="B29" s="97">
        <v>14</v>
      </c>
      <c r="C29" s="97" t="s">
        <v>39</v>
      </c>
      <c r="D29" s="532">
        <v>30255172</v>
      </c>
      <c r="E29" s="48" t="s">
        <v>2559</v>
      </c>
      <c r="F29" s="626" t="s">
        <v>146</v>
      </c>
      <c r="G29" s="26" t="s">
        <v>2535</v>
      </c>
      <c r="H29" s="26" t="s">
        <v>2539</v>
      </c>
      <c r="I29" s="626" t="s">
        <v>2537</v>
      </c>
      <c r="J29" s="34">
        <v>2602273</v>
      </c>
      <c r="K29" s="34">
        <v>1431672</v>
      </c>
      <c r="L29" s="34">
        <v>91035</v>
      </c>
      <c r="M29" s="34">
        <v>60404</v>
      </c>
      <c r="N29" s="34">
        <v>103556</v>
      </c>
      <c r="O29" s="34"/>
      <c r="P29" s="34">
        <v>103946</v>
      </c>
      <c r="Q29" s="34"/>
      <c r="R29" s="34"/>
      <c r="S29" s="34">
        <v>81737</v>
      </c>
      <c r="T29" s="34">
        <v>1850</v>
      </c>
      <c r="U29" s="34">
        <v>1850</v>
      </c>
      <c r="V29" s="34" t="s">
        <v>2552</v>
      </c>
      <c r="W29" s="34"/>
      <c r="X29" s="34"/>
      <c r="Y29" s="34">
        <f t="shared" si="0"/>
        <v>353343</v>
      </c>
      <c r="Z29" s="31">
        <f>629363</f>
        <v>629363</v>
      </c>
      <c r="AA29" s="32">
        <v>1</v>
      </c>
      <c r="AB29" s="33">
        <v>44207</v>
      </c>
      <c r="AC29" s="36">
        <v>44214</v>
      </c>
      <c r="AD29" s="31"/>
      <c r="AE29" s="35"/>
      <c r="AF29" s="27"/>
      <c r="AG29" s="36"/>
      <c r="AH29" s="31"/>
      <c r="AI29" s="35"/>
      <c r="AJ29" s="27"/>
      <c r="AK29" s="36"/>
      <c r="AL29" s="31">
        <v>150000</v>
      </c>
      <c r="AM29" s="35">
        <v>13</v>
      </c>
      <c r="AN29" s="36">
        <v>44277</v>
      </c>
      <c r="AO29" s="36">
        <v>44281</v>
      </c>
      <c r="AP29" s="31"/>
      <c r="AQ29" s="35"/>
      <c r="AR29" s="27"/>
      <c r="AS29" s="36"/>
      <c r="AT29" s="31"/>
      <c r="AU29" s="35"/>
      <c r="AV29" s="27"/>
      <c r="AW29" s="36"/>
      <c r="AX29" s="31"/>
      <c r="AY29" s="35"/>
      <c r="AZ29" s="27"/>
      <c r="BA29" s="36"/>
      <c r="BB29" s="31"/>
      <c r="BC29" s="35"/>
      <c r="BD29" s="27"/>
      <c r="BE29" s="36"/>
      <c r="BF29" s="31"/>
      <c r="BG29" s="35"/>
      <c r="BH29" s="27"/>
      <c r="BI29" s="36"/>
      <c r="BJ29" s="31"/>
      <c r="BK29" s="35"/>
      <c r="BL29" s="27"/>
      <c r="BM29" s="36"/>
      <c r="BN29" s="35"/>
      <c r="BO29" s="35"/>
      <c r="BP29" s="27"/>
      <c r="BQ29" s="36"/>
      <c r="BR29" s="31"/>
      <c r="BS29" s="35"/>
      <c r="BT29" s="27"/>
      <c r="BU29" s="36"/>
      <c r="BV29" s="31"/>
      <c r="BW29" s="35"/>
      <c r="BX29" s="27"/>
      <c r="BY29" s="36"/>
      <c r="BZ29" s="31"/>
      <c r="CA29" s="35"/>
      <c r="CB29" s="27"/>
      <c r="CC29" s="36"/>
      <c r="CD29" s="31">
        <v>11100</v>
      </c>
      <c r="CE29" s="35">
        <v>32</v>
      </c>
      <c r="CF29" s="33">
        <v>44389</v>
      </c>
      <c r="CG29" s="36">
        <v>44397</v>
      </c>
      <c r="CH29" s="31"/>
      <c r="CI29" s="35"/>
      <c r="CJ29" s="27"/>
      <c r="CK29" s="36"/>
      <c r="CL29" s="31"/>
      <c r="CM29" s="35"/>
      <c r="CN29" s="27"/>
      <c r="CO29" s="36"/>
      <c r="CP29" s="31">
        <v>100000</v>
      </c>
      <c r="CQ29" s="35">
        <v>37</v>
      </c>
      <c r="CR29" s="33">
        <v>44418</v>
      </c>
      <c r="CS29" s="36">
        <v>44426</v>
      </c>
      <c r="CT29" s="31"/>
      <c r="CU29" s="35"/>
      <c r="CV29" s="27"/>
      <c r="CW29" s="36"/>
      <c r="CX29" s="31"/>
      <c r="CY29" s="35"/>
      <c r="CZ29" s="27"/>
      <c r="DA29" s="36"/>
      <c r="DB29" s="31"/>
      <c r="DC29" s="35"/>
      <c r="DD29" s="27"/>
      <c r="DE29" s="36"/>
      <c r="DF29" s="31"/>
      <c r="DG29" s="35"/>
      <c r="DH29" s="27"/>
      <c r="DI29" s="36"/>
      <c r="DJ29" s="623">
        <f t="shared" si="1"/>
        <v>890463</v>
      </c>
      <c r="DK29" s="38">
        <f t="shared" si="2"/>
        <v>537120</v>
      </c>
    </row>
    <row r="30" spans="1:1401" s="39" customFormat="1" ht="22.5">
      <c r="B30" s="97">
        <v>15</v>
      </c>
      <c r="C30" s="97" t="s">
        <v>39</v>
      </c>
      <c r="D30" s="532">
        <v>30310124</v>
      </c>
      <c r="E30" s="48" t="s">
        <v>2560</v>
      </c>
      <c r="F30" s="626" t="s">
        <v>146</v>
      </c>
      <c r="G30" s="26" t="s">
        <v>2545</v>
      </c>
      <c r="H30" s="26" t="s">
        <v>342</v>
      </c>
      <c r="I30" s="626" t="s">
        <v>2537</v>
      </c>
      <c r="J30" s="34">
        <v>102231109</v>
      </c>
      <c r="K30" s="34">
        <v>59330605</v>
      </c>
      <c r="L30" s="34">
        <v>0</v>
      </c>
      <c r="M30" s="34">
        <v>403443</v>
      </c>
      <c r="N30" s="34">
        <v>681346</v>
      </c>
      <c r="O30" s="34">
        <v>740125</v>
      </c>
      <c r="P30" s="34">
        <v>37301</v>
      </c>
      <c r="Q30" s="34">
        <v>414247</v>
      </c>
      <c r="R30" s="34">
        <v>35017</v>
      </c>
      <c r="S30" s="34">
        <v>432076</v>
      </c>
      <c r="T30" s="34">
        <v>52611</v>
      </c>
      <c r="U30" s="34"/>
      <c r="V30" s="34"/>
      <c r="W30" s="34"/>
      <c r="X30" s="34"/>
      <c r="Y30" s="34">
        <f t="shared" si="0"/>
        <v>2796166</v>
      </c>
      <c r="Z30" s="31">
        <v>2563060</v>
      </c>
      <c r="AA30" s="32">
        <v>1</v>
      </c>
      <c r="AB30" s="33">
        <v>44207</v>
      </c>
      <c r="AC30" s="36">
        <v>44214</v>
      </c>
      <c r="AD30" s="31"/>
      <c r="AE30" s="35"/>
      <c r="AF30" s="27"/>
      <c r="AG30" s="36"/>
      <c r="AH30" s="31"/>
      <c r="AI30" s="35"/>
      <c r="AJ30" s="27"/>
      <c r="AK30" s="36"/>
      <c r="AL30" s="31"/>
      <c r="AM30" s="35"/>
      <c r="AN30" s="27"/>
      <c r="AO30" s="36"/>
      <c r="AP30" s="31"/>
      <c r="AQ30" s="35"/>
      <c r="AR30" s="27"/>
      <c r="AS30" s="36"/>
      <c r="AT30" s="31"/>
      <c r="AU30" s="35"/>
      <c r="AV30" s="27"/>
      <c r="AW30" s="36"/>
      <c r="AX30" s="31">
        <v>600000</v>
      </c>
      <c r="AY30" s="35">
        <v>18</v>
      </c>
      <c r="AZ30" s="36">
        <v>44308</v>
      </c>
      <c r="BA30" s="36">
        <v>44314</v>
      </c>
      <c r="BB30" s="31"/>
      <c r="BC30" s="35"/>
      <c r="BD30" s="27"/>
      <c r="BE30" s="36"/>
      <c r="BF30" s="31"/>
      <c r="BG30" s="35"/>
      <c r="BH30" s="27"/>
      <c r="BI30" s="36"/>
      <c r="BJ30" s="31"/>
      <c r="BK30" s="35"/>
      <c r="BL30" s="27"/>
      <c r="BM30" s="36"/>
      <c r="BN30" s="35">
        <v>-100000</v>
      </c>
      <c r="BO30" s="35">
        <v>28</v>
      </c>
      <c r="BP30" s="33">
        <v>44363</v>
      </c>
      <c r="BQ30" s="36">
        <v>44371</v>
      </c>
      <c r="BR30" s="31"/>
      <c r="BS30" s="35"/>
      <c r="BT30" s="27"/>
      <c r="BU30" s="36"/>
      <c r="BV30" s="31"/>
      <c r="BW30" s="35"/>
      <c r="BX30" s="27"/>
      <c r="BY30" s="36"/>
      <c r="BZ30" s="31"/>
      <c r="CA30" s="35"/>
      <c r="CB30" s="27"/>
      <c r="CC30" s="36"/>
      <c r="CD30" s="31">
        <v>100000</v>
      </c>
      <c r="CE30" s="35">
        <v>32</v>
      </c>
      <c r="CF30" s="33">
        <v>44389</v>
      </c>
      <c r="CG30" s="36">
        <v>44397</v>
      </c>
      <c r="CH30" s="31">
        <v>35000</v>
      </c>
      <c r="CI30" s="35">
        <v>34</v>
      </c>
      <c r="CJ30" s="33">
        <v>44398</v>
      </c>
      <c r="CK30" s="36">
        <v>44403</v>
      </c>
      <c r="CL30" s="31"/>
      <c r="CM30" s="35"/>
      <c r="CN30" s="27"/>
      <c r="CO30" s="36"/>
      <c r="CP30" s="31">
        <v>228500</v>
      </c>
      <c r="CQ30" s="35">
        <v>37</v>
      </c>
      <c r="CR30" s="33">
        <v>44418</v>
      </c>
      <c r="CS30" s="36">
        <v>44426</v>
      </c>
      <c r="CT30" s="31"/>
      <c r="CU30" s="35"/>
      <c r="CV30" s="27"/>
      <c r="CW30" s="36"/>
      <c r="CX30" s="31">
        <v>20000</v>
      </c>
      <c r="CY30" s="35">
        <v>40</v>
      </c>
      <c r="CZ30" s="33">
        <v>44458</v>
      </c>
      <c r="DA30" s="36">
        <v>44460</v>
      </c>
      <c r="DB30" s="31"/>
      <c r="DC30" s="35"/>
      <c r="DD30" s="27"/>
      <c r="DE30" s="36"/>
      <c r="DF30" s="31"/>
      <c r="DG30" s="35"/>
      <c r="DH30" s="27"/>
      <c r="DI30" s="36"/>
      <c r="DJ30" s="623">
        <f t="shared" si="1"/>
        <v>3446560</v>
      </c>
      <c r="DK30" s="38">
        <f t="shared" si="2"/>
        <v>650394</v>
      </c>
    </row>
    <row r="31" spans="1:1401" s="39" customFormat="1" ht="22.5">
      <c r="B31" s="97">
        <v>16</v>
      </c>
      <c r="C31" s="97" t="s">
        <v>39</v>
      </c>
      <c r="D31" s="532">
        <v>30380938</v>
      </c>
      <c r="E31" s="48" t="s">
        <v>2561</v>
      </c>
      <c r="F31" s="626" t="s">
        <v>146</v>
      </c>
      <c r="G31" s="26" t="s">
        <v>2542</v>
      </c>
      <c r="H31" s="26" t="s">
        <v>2543</v>
      </c>
      <c r="I31" s="626" t="s">
        <v>2537</v>
      </c>
      <c r="J31" s="34">
        <v>601717</v>
      </c>
      <c r="K31" s="34">
        <v>443308</v>
      </c>
      <c r="L31" s="34">
        <v>32690</v>
      </c>
      <c r="M31" s="34"/>
      <c r="N31" s="34">
        <v>28909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>
        <f t="shared" si="0"/>
        <v>28909</v>
      </c>
      <c r="Z31" s="31">
        <v>100859</v>
      </c>
      <c r="AA31" s="32">
        <v>1</v>
      </c>
      <c r="AB31" s="33">
        <v>44207</v>
      </c>
      <c r="AC31" s="36">
        <v>44214</v>
      </c>
      <c r="AD31" s="31"/>
      <c r="AE31" s="35"/>
      <c r="AF31" s="27"/>
      <c r="AG31" s="36"/>
      <c r="AH31" s="31"/>
      <c r="AI31" s="35"/>
      <c r="AJ31" s="27"/>
      <c r="AK31" s="36"/>
      <c r="AL31" s="31"/>
      <c r="AM31" s="35"/>
      <c r="AN31" s="27"/>
      <c r="AO31" s="36"/>
      <c r="AP31" s="31"/>
      <c r="AQ31" s="35"/>
      <c r="AR31" s="27"/>
      <c r="AS31" s="36"/>
      <c r="AT31" s="31"/>
      <c r="AU31" s="35"/>
      <c r="AV31" s="27"/>
      <c r="AW31" s="36"/>
      <c r="AX31" s="31"/>
      <c r="AY31" s="35"/>
      <c r="AZ31" s="27"/>
      <c r="BA31" s="36"/>
      <c r="BB31" s="31"/>
      <c r="BC31" s="35"/>
      <c r="BD31" s="27"/>
      <c r="BE31" s="36"/>
      <c r="BF31" s="31"/>
      <c r="BG31" s="35"/>
      <c r="BH31" s="27"/>
      <c r="BI31" s="36"/>
      <c r="BJ31" s="31"/>
      <c r="BK31" s="35"/>
      <c r="BL31" s="27"/>
      <c r="BM31" s="36"/>
      <c r="BN31" s="35"/>
      <c r="BO31" s="35"/>
      <c r="BP31" s="27"/>
      <c r="BQ31" s="36"/>
      <c r="BR31" s="31"/>
      <c r="BS31" s="35"/>
      <c r="BT31" s="27"/>
      <c r="BU31" s="36"/>
      <c r="BV31" s="31"/>
      <c r="BW31" s="35"/>
      <c r="BX31" s="27"/>
      <c r="BY31" s="36"/>
      <c r="BZ31" s="31"/>
      <c r="CA31" s="35"/>
      <c r="CB31" s="27"/>
      <c r="CC31" s="36"/>
      <c r="CD31" s="31"/>
      <c r="CE31" s="35"/>
      <c r="CF31" s="27"/>
      <c r="CG31" s="36"/>
      <c r="CH31" s="31"/>
      <c r="CI31" s="35"/>
      <c r="CJ31" s="27"/>
      <c r="CK31" s="36"/>
      <c r="CL31" s="31"/>
      <c r="CM31" s="35"/>
      <c r="CN31" s="27"/>
      <c r="CO31" s="36"/>
      <c r="CP31" s="31"/>
      <c r="CQ31" s="35"/>
      <c r="CR31" s="27"/>
      <c r="CS31" s="36"/>
      <c r="CT31" s="31"/>
      <c r="CU31" s="35"/>
      <c r="CV31" s="27"/>
      <c r="CW31" s="36"/>
      <c r="CX31" s="31"/>
      <c r="CY31" s="35"/>
      <c r="CZ31" s="27"/>
      <c r="DA31" s="36"/>
      <c r="DB31" s="31"/>
      <c r="DC31" s="35"/>
      <c r="DD31" s="27"/>
      <c r="DE31" s="36"/>
      <c r="DF31" s="31"/>
      <c r="DG31" s="35"/>
      <c r="DH31" s="27"/>
      <c r="DI31" s="36"/>
      <c r="DJ31" s="623">
        <f t="shared" si="1"/>
        <v>100859</v>
      </c>
      <c r="DK31" s="38">
        <f t="shared" si="2"/>
        <v>71950</v>
      </c>
    </row>
    <row r="32" spans="1:1401" s="39" customFormat="1" ht="22.5">
      <c r="B32" s="97">
        <v>17</v>
      </c>
      <c r="C32" s="97" t="s">
        <v>39</v>
      </c>
      <c r="D32" s="532">
        <v>30400822</v>
      </c>
      <c r="E32" s="48" t="s">
        <v>2562</v>
      </c>
      <c r="F32" s="626" t="s">
        <v>146</v>
      </c>
      <c r="G32" s="26" t="s">
        <v>2535</v>
      </c>
      <c r="H32" s="26" t="s">
        <v>2539</v>
      </c>
      <c r="I32" s="626" t="s">
        <v>2537</v>
      </c>
      <c r="J32" s="34">
        <v>925709</v>
      </c>
      <c r="K32" s="34">
        <v>261205</v>
      </c>
      <c r="L32" s="34">
        <v>590</v>
      </c>
      <c r="M32" s="34">
        <v>200000</v>
      </c>
      <c r="N32" s="34">
        <v>249998</v>
      </c>
      <c r="O32" s="34">
        <v>10080</v>
      </c>
      <c r="P32" s="34">
        <v>82203</v>
      </c>
      <c r="Q32" s="34"/>
      <c r="R32" s="34"/>
      <c r="S32" s="34"/>
      <c r="T32" s="34"/>
      <c r="U32" s="34"/>
      <c r="V32" s="34"/>
      <c r="W32" s="34"/>
      <c r="X32" s="34"/>
      <c r="Y32" s="34">
        <f t="shared" si="0"/>
        <v>542281</v>
      </c>
      <c r="Z32" s="31">
        <v>542282</v>
      </c>
      <c r="AA32" s="32">
        <v>1</v>
      </c>
      <c r="AB32" s="33">
        <v>44207</v>
      </c>
      <c r="AC32" s="36">
        <v>44214</v>
      </c>
      <c r="AD32" s="31"/>
      <c r="AE32" s="35"/>
      <c r="AF32" s="27"/>
      <c r="AG32" s="36"/>
      <c r="AH32" s="31"/>
      <c r="AI32" s="35"/>
      <c r="AJ32" s="27"/>
      <c r="AK32" s="36"/>
      <c r="AL32" s="31"/>
      <c r="AM32" s="35"/>
      <c r="AN32" s="27"/>
      <c r="AO32" s="36"/>
      <c r="AP32" s="31"/>
      <c r="AQ32" s="35"/>
      <c r="AR32" s="27"/>
      <c r="AS32" s="36"/>
      <c r="AT32" s="31"/>
      <c r="AU32" s="35"/>
      <c r="AV32" s="27"/>
      <c r="AW32" s="36"/>
      <c r="AX32" s="31"/>
      <c r="AY32" s="35"/>
      <c r="AZ32" s="27"/>
      <c r="BA32" s="36"/>
      <c r="BB32" s="31"/>
      <c r="BC32" s="35"/>
      <c r="BD32" s="27"/>
      <c r="BE32" s="36"/>
      <c r="BF32" s="31"/>
      <c r="BG32" s="35"/>
      <c r="BH32" s="27"/>
      <c r="BI32" s="36"/>
      <c r="BJ32" s="31"/>
      <c r="BK32" s="35"/>
      <c r="BL32" s="27"/>
      <c r="BM32" s="36"/>
      <c r="BN32" s="35"/>
      <c r="BO32" s="35"/>
      <c r="BP32" s="27"/>
      <c r="BQ32" s="36"/>
      <c r="BR32" s="31"/>
      <c r="BS32" s="35"/>
      <c r="BT32" s="27"/>
      <c r="BU32" s="36"/>
      <c r="BV32" s="31"/>
      <c r="BW32" s="35"/>
      <c r="BX32" s="27"/>
      <c r="BY32" s="36"/>
      <c r="BZ32" s="31"/>
      <c r="CA32" s="35"/>
      <c r="CB32" s="27"/>
      <c r="CC32" s="36"/>
      <c r="CD32" s="31"/>
      <c r="CE32" s="35"/>
      <c r="CF32" s="27"/>
      <c r="CG32" s="36"/>
      <c r="CH32" s="31"/>
      <c r="CI32" s="35"/>
      <c r="CJ32" s="27"/>
      <c r="CK32" s="36"/>
      <c r="CL32" s="31"/>
      <c r="CM32" s="35"/>
      <c r="CN32" s="27"/>
      <c r="CO32" s="36"/>
      <c r="CP32" s="31"/>
      <c r="CQ32" s="35"/>
      <c r="CR32" s="27"/>
      <c r="CS32" s="36"/>
      <c r="CT32" s="31"/>
      <c r="CU32" s="35"/>
      <c r="CV32" s="27"/>
      <c r="CW32" s="36"/>
      <c r="CX32" s="31"/>
      <c r="CY32" s="35"/>
      <c r="CZ32" s="27"/>
      <c r="DA32" s="36"/>
      <c r="DB32" s="31"/>
      <c r="DC32" s="35"/>
      <c r="DD32" s="27"/>
      <c r="DE32" s="36"/>
      <c r="DF32" s="31"/>
      <c r="DG32" s="35"/>
      <c r="DH32" s="27"/>
      <c r="DI32" s="36"/>
      <c r="DJ32" s="623">
        <f t="shared" si="1"/>
        <v>542282</v>
      </c>
      <c r="DK32" s="38">
        <f t="shared" si="2"/>
        <v>1</v>
      </c>
    </row>
    <row r="33" spans="2:115" s="39" customFormat="1" ht="22.5">
      <c r="B33" s="97">
        <v>18</v>
      </c>
      <c r="C33" s="97" t="s">
        <v>39</v>
      </c>
      <c r="D33" s="532">
        <v>30406024</v>
      </c>
      <c r="E33" s="48" t="s">
        <v>2563</v>
      </c>
      <c r="F33" s="626" t="s">
        <v>158</v>
      </c>
      <c r="G33" s="26" t="s">
        <v>2542</v>
      </c>
      <c r="H33" s="26" t="s">
        <v>342</v>
      </c>
      <c r="I33" s="626" t="s">
        <v>2537</v>
      </c>
      <c r="J33" s="34">
        <v>812153</v>
      </c>
      <c r="K33" s="34">
        <v>750803</v>
      </c>
      <c r="L33" s="34">
        <v>0</v>
      </c>
      <c r="M33" s="34"/>
      <c r="N33" s="34"/>
      <c r="O33" s="34"/>
      <c r="P33" s="34"/>
      <c r="Q33" s="34"/>
      <c r="R33" s="34"/>
      <c r="S33" s="34"/>
      <c r="T33" s="34"/>
      <c r="U33" s="34">
        <v>44021</v>
      </c>
      <c r="V33" s="34" t="s">
        <v>2552</v>
      </c>
      <c r="W33" s="34"/>
      <c r="X33" s="34"/>
      <c r="Y33" s="34">
        <f t="shared" si="0"/>
        <v>44021</v>
      </c>
      <c r="Z33" s="31">
        <v>44021</v>
      </c>
      <c r="AA33" s="32">
        <v>1</v>
      </c>
      <c r="AB33" s="33">
        <v>44207</v>
      </c>
      <c r="AC33" s="36">
        <v>44214</v>
      </c>
      <c r="AD33" s="31"/>
      <c r="AE33" s="35"/>
      <c r="AF33" s="27"/>
      <c r="AG33" s="36"/>
      <c r="AH33" s="31"/>
      <c r="AI33" s="35"/>
      <c r="AJ33" s="27"/>
      <c r="AK33" s="36"/>
      <c r="AL33" s="31"/>
      <c r="AM33" s="35"/>
      <c r="AN33" s="27"/>
      <c r="AO33" s="36"/>
      <c r="AP33" s="31"/>
      <c r="AQ33" s="35"/>
      <c r="AR33" s="27"/>
      <c r="AS33" s="36"/>
      <c r="AT33" s="31"/>
      <c r="AU33" s="35"/>
      <c r="AV33" s="27"/>
      <c r="AW33" s="36"/>
      <c r="AX33" s="31"/>
      <c r="AY33" s="35"/>
      <c r="AZ33" s="27"/>
      <c r="BA33" s="36"/>
      <c r="BB33" s="31"/>
      <c r="BC33" s="35"/>
      <c r="BD33" s="27"/>
      <c r="BE33" s="36"/>
      <c r="BF33" s="31"/>
      <c r="BG33" s="35"/>
      <c r="BH33" s="27"/>
      <c r="BI33" s="36"/>
      <c r="BJ33" s="31"/>
      <c r="BK33" s="35"/>
      <c r="BL33" s="27"/>
      <c r="BM33" s="36"/>
      <c r="BN33" s="35"/>
      <c r="BO33" s="35"/>
      <c r="BP33" s="27"/>
      <c r="BQ33" s="36"/>
      <c r="BR33" s="31"/>
      <c r="BS33" s="35"/>
      <c r="BT33" s="27"/>
      <c r="BU33" s="36"/>
      <c r="BV33" s="31"/>
      <c r="BW33" s="35"/>
      <c r="BX33" s="27"/>
      <c r="BY33" s="36"/>
      <c r="BZ33" s="31"/>
      <c r="CA33" s="35"/>
      <c r="CB33" s="27"/>
      <c r="CC33" s="36"/>
      <c r="CD33" s="31"/>
      <c r="CE33" s="35"/>
      <c r="CF33" s="27"/>
      <c r="CG33" s="36"/>
      <c r="CH33" s="31"/>
      <c r="CI33" s="35"/>
      <c r="CJ33" s="27"/>
      <c r="CK33" s="36"/>
      <c r="CL33" s="31"/>
      <c r="CM33" s="35"/>
      <c r="CN33" s="27"/>
      <c r="CO33" s="36"/>
      <c r="CP33" s="31"/>
      <c r="CQ33" s="35"/>
      <c r="CR33" s="27"/>
      <c r="CS33" s="36"/>
      <c r="CT33" s="31"/>
      <c r="CU33" s="35"/>
      <c r="CV33" s="27"/>
      <c r="CW33" s="36"/>
      <c r="CX33" s="31"/>
      <c r="CY33" s="35"/>
      <c r="CZ33" s="27"/>
      <c r="DA33" s="36"/>
      <c r="DB33" s="31"/>
      <c r="DC33" s="35"/>
      <c r="DD33" s="27"/>
      <c r="DE33" s="36"/>
      <c r="DF33" s="31"/>
      <c r="DG33" s="35"/>
      <c r="DH33" s="27"/>
      <c r="DI33" s="36"/>
      <c r="DJ33" s="623">
        <f t="shared" si="1"/>
        <v>44021</v>
      </c>
      <c r="DK33" s="38">
        <f t="shared" si="2"/>
        <v>0</v>
      </c>
    </row>
    <row r="34" spans="2:115" s="39" customFormat="1" ht="22.5">
      <c r="B34" s="97">
        <v>19</v>
      </c>
      <c r="C34" s="97" t="s">
        <v>39</v>
      </c>
      <c r="D34" s="532">
        <v>30447940</v>
      </c>
      <c r="E34" s="48" t="s">
        <v>2564</v>
      </c>
      <c r="F34" s="626" t="s">
        <v>146</v>
      </c>
      <c r="G34" s="26" t="s">
        <v>2535</v>
      </c>
      <c r="H34" s="26" t="s">
        <v>2539</v>
      </c>
      <c r="I34" s="626" t="s">
        <v>2537</v>
      </c>
      <c r="J34" s="34">
        <v>624577</v>
      </c>
      <c r="K34" s="34">
        <v>594365</v>
      </c>
      <c r="L34" s="34">
        <v>0</v>
      </c>
      <c r="M34" s="34"/>
      <c r="N34" s="34">
        <v>27554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>
        <f t="shared" si="0"/>
        <v>27554</v>
      </c>
      <c r="Z34" s="31">
        <v>27554</v>
      </c>
      <c r="AA34" s="32">
        <v>1</v>
      </c>
      <c r="AB34" s="33">
        <v>44207</v>
      </c>
      <c r="AC34" s="36">
        <v>44214</v>
      </c>
      <c r="AD34" s="31"/>
      <c r="AE34" s="35"/>
      <c r="AF34" s="27"/>
      <c r="AG34" s="36"/>
      <c r="AH34" s="31"/>
      <c r="AI34" s="35"/>
      <c r="AJ34" s="27"/>
      <c r="AK34" s="36"/>
      <c r="AL34" s="31"/>
      <c r="AM34" s="35"/>
      <c r="AN34" s="27"/>
      <c r="AO34" s="36"/>
      <c r="AP34" s="31"/>
      <c r="AQ34" s="35"/>
      <c r="AR34" s="27"/>
      <c r="AS34" s="36"/>
      <c r="AT34" s="31"/>
      <c r="AU34" s="35"/>
      <c r="AV34" s="27"/>
      <c r="AW34" s="36"/>
      <c r="AX34" s="31"/>
      <c r="AY34" s="35"/>
      <c r="AZ34" s="27"/>
      <c r="BA34" s="36"/>
      <c r="BB34" s="31"/>
      <c r="BC34" s="35"/>
      <c r="BD34" s="27"/>
      <c r="BE34" s="36"/>
      <c r="BF34" s="31"/>
      <c r="BG34" s="35"/>
      <c r="BH34" s="27"/>
      <c r="BI34" s="36"/>
      <c r="BJ34" s="31"/>
      <c r="BK34" s="35"/>
      <c r="BL34" s="27"/>
      <c r="BM34" s="36"/>
      <c r="BN34" s="35"/>
      <c r="BO34" s="35"/>
      <c r="BP34" s="27"/>
      <c r="BQ34" s="36"/>
      <c r="BR34" s="31"/>
      <c r="BS34" s="35"/>
      <c r="BT34" s="27"/>
      <c r="BU34" s="36"/>
      <c r="BV34" s="31"/>
      <c r="BW34" s="35"/>
      <c r="BX34" s="27"/>
      <c r="BY34" s="36"/>
      <c r="BZ34" s="31"/>
      <c r="CA34" s="35"/>
      <c r="CB34" s="27"/>
      <c r="CC34" s="36"/>
      <c r="CD34" s="31"/>
      <c r="CE34" s="35"/>
      <c r="CF34" s="27"/>
      <c r="CG34" s="36"/>
      <c r="CH34" s="31"/>
      <c r="CI34" s="35"/>
      <c r="CJ34" s="27"/>
      <c r="CK34" s="36"/>
      <c r="CL34" s="31"/>
      <c r="CM34" s="35"/>
      <c r="CN34" s="27"/>
      <c r="CO34" s="36"/>
      <c r="CP34" s="31"/>
      <c r="CQ34" s="35"/>
      <c r="CR34" s="27"/>
      <c r="CS34" s="36"/>
      <c r="CT34" s="31"/>
      <c r="CU34" s="35"/>
      <c r="CV34" s="27"/>
      <c r="CW34" s="36"/>
      <c r="CX34" s="31"/>
      <c r="CY34" s="35"/>
      <c r="CZ34" s="27"/>
      <c r="DA34" s="36"/>
      <c r="DB34" s="31"/>
      <c r="DC34" s="35"/>
      <c r="DD34" s="27"/>
      <c r="DE34" s="36"/>
      <c r="DF34" s="31"/>
      <c r="DG34" s="35"/>
      <c r="DH34" s="27"/>
      <c r="DI34" s="36"/>
      <c r="DJ34" s="623">
        <f t="shared" si="1"/>
        <v>27554</v>
      </c>
      <c r="DK34" s="38">
        <f t="shared" si="2"/>
        <v>0</v>
      </c>
    </row>
    <row r="35" spans="2:115" s="39" customFormat="1" ht="22.5">
      <c r="B35" s="97">
        <v>20</v>
      </c>
      <c r="C35" s="97" t="s">
        <v>39</v>
      </c>
      <c r="D35" s="532">
        <v>30452024</v>
      </c>
      <c r="E35" s="48" t="s">
        <v>2565</v>
      </c>
      <c r="F35" s="626" t="s">
        <v>146</v>
      </c>
      <c r="G35" s="26" t="s">
        <v>2535</v>
      </c>
      <c r="H35" s="26" t="s">
        <v>2539</v>
      </c>
      <c r="I35" s="626" t="s">
        <v>2537</v>
      </c>
      <c r="J35" s="34">
        <v>82460</v>
      </c>
      <c r="K35" s="34">
        <v>39007</v>
      </c>
      <c r="L35" s="34">
        <v>0</v>
      </c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>
        <f t="shared" si="0"/>
        <v>0</v>
      </c>
      <c r="Z35" s="31">
        <v>43453</v>
      </c>
      <c r="AA35" s="32">
        <v>1</v>
      </c>
      <c r="AB35" s="33">
        <v>44207</v>
      </c>
      <c r="AC35" s="36">
        <v>44214</v>
      </c>
      <c r="AD35" s="31"/>
      <c r="AE35" s="35"/>
      <c r="AF35" s="27"/>
      <c r="AG35" s="36"/>
      <c r="AH35" s="31"/>
      <c r="AI35" s="35"/>
      <c r="AJ35" s="27"/>
      <c r="AK35" s="36"/>
      <c r="AL35" s="31"/>
      <c r="AM35" s="35"/>
      <c r="AN35" s="27"/>
      <c r="AO35" s="36"/>
      <c r="AP35" s="31"/>
      <c r="AQ35" s="35"/>
      <c r="AR35" s="27"/>
      <c r="AS35" s="36"/>
      <c r="AT35" s="31"/>
      <c r="AU35" s="35"/>
      <c r="AV35" s="27"/>
      <c r="AW35" s="36"/>
      <c r="AX35" s="31"/>
      <c r="AY35" s="35"/>
      <c r="AZ35" s="27"/>
      <c r="BA35" s="36"/>
      <c r="BB35" s="31"/>
      <c r="BC35" s="35"/>
      <c r="BD35" s="27"/>
      <c r="BE35" s="36"/>
      <c r="BF35" s="31"/>
      <c r="BG35" s="35"/>
      <c r="BH35" s="27"/>
      <c r="BI35" s="36"/>
      <c r="BJ35" s="31"/>
      <c r="BK35" s="35"/>
      <c r="BL35" s="27"/>
      <c r="BM35" s="36"/>
      <c r="BN35" s="35"/>
      <c r="BO35" s="35"/>
      <c r="BP35" s="27"/>
      <c r="BQ35" s="36"/>
      <c r="BR35" s="31"/>
      <c r="BS35" s="35"/>
      <c r="BT35" s="27"/>
      <c r="BU35" s="36"/>
      <c r="BV35" s="31"/>
      <c r="BW35" s="35"/>
      <c r="BX35" s="27"/>
      <c r="BY35" s="36"/>
      <c r="BZ35" s="31"/>
      <c r="CA35" s="35"/>
      <c r="CB35" s="27"/>
      <c r="CC35" s="36"/>
      <c r="CD35" s="31"/>
      <c r="CE35" s="35"/>
      <c r="CF35" s="27"/>
      <c r="CG35" s="36"/>
      <c r="CH35" s="31"/>
      <c r="CI35" s="35"/>
      <c r="CJ35" s="27"/>
      <c r="CK35" s="36"/>
      <c r="CL35" s="31"/>
      <c r="CM35" s="35"/>
      <c r="CN35" s="27"/>
      <c r="CO35" s="36"/>
      <c r="CP35" s="31"/>
      <c r="CQ35" s="35"/>
      <c r="CR35" s="27"/>
      <c r="CS35" s="36"/>
      <c r="CT35" s="31"/>
      <c r="CU35" s="35"/>
      <c r="CV35" s="27"/>
      <c r="CW35" s="36"/>
      <c r="CX35" s="31"/>
      <c r="CY35" s="35"/>
      <c r="CZ35" s="27"/>
      <c r="DA35" s="36"/>
      <c r="DB35" s="31"/>
      <c r="DC35" s="35"/>
      <c r="DD35" s="27"/>
      <c r="DE35" s="36"/>
      <c r="DF35" s="31"/>
      <c r="DG35" s="35"/>
      <c r="DH35" s="27"/>
      <c r="DI35" s="36"/>
      <c r="DJ35" s="623">
        <f t="shared" si="1"/>
        <v>43453</v>
      </c>
      <c r="DK35" s="38">
        <f t="shared" si="2"/>
        <v>43453</v>
      </c>
    </row>
    <row r="36" spans="2:115" s="39" customFormat="1" ht="22.5">
      <c r="B36" s="97">
        <v>21</v>
      </c>
      <c r="C36" s="97" t="s">
        <v>39</v>
      </c>
      <c r="D36" s="532">
        <v>30459428</v>
      </c>
      <c r="E36" s="48" t="s">
        <v>2566</v>
      </c>
      <c r="F36" s="626" t="s">
        <v>158</v>
      </c>
      <c r="G36" s="26" t="s">
        <v>2542</v>
      </c>
      <c r="H36" s="26" t="s">
        <v>2543</v>
      </c>
      <c r="I36" s="626" t="s">
        <v>2537</v>
      </c>
      <c r="J36" s="34">
        <v>79124</v>
      </c>
      <c r="K36" s="34">
        <v>5489</v>
      </c>
      <c r="L36" s="34">
        <v>0</v>
      </c>
      <c r="M36" s="34"/>
      <c r="N36" s="34"/>
      <c r="O36" s="34"/>
      <c r="P36" s="34"/>
      <c r="Q36" s="34">
        <v>20124</v>
      </c>
      <c r="R36" s="34"/>
      <c r="S36" s="34"/>
      <c r="T36" s="34"/>
      <c r="U36" s="34"/>
      <c r="V36" s="34"/>
      <c r="W36" s="34"/>
      <c r="X36" s="34"/>
      <c r="Y36" s="34">
        <f t="shared" si="0"/>
        <v>20124</v>
      </c>
      <c r="Z36" s="31">
        <v>67080</v>
      </c>
      <c r="AA36" s="32">
        <v>1</v>
      </c>
      <c r="AB36" s="33">
        <v>44207</v>
      </c>
      <c r="AC36" s="36">
        <v>44214</v>
      </c>
      <c r="AD36" s="31"/>
      <c r="AE36" s="35"/>
      <c r="AF36" s="27"/>
      <c r="AG36" s="36"/>
      <c r="AH36" s="31"/>
      <c r="AI36" s="35"/>
      <c r="AJ36" s="27"/>
      <c r="AK36" s="36"/>
      <c r="AL36" s="31"/>
      <c r="AM36" s="35"/>
      <c r="AN36" s="27"/>
      <c r="AO36" s="36"/>
      <c r="AP36" s="31"/>
      <c r="AQ36" s="35"/>
      <c r="AR36" s="27"/>
      <c r="AS36" s="36"/>
      <c r="AT36" s="31"/>
      <c r="AU36" s="35"/>
      <c r="AV36" s="27"/>
      <c r="AW36" s="36"/>
      <c r="AX36" s="31"/>
      <c r="AY36" s="35"/>
      <c r="AZ36" s="27"/>
      <c r="BA36" s="36"/>
      <c r="BB36" s="31"/>
      <c r="BC36" s="35"/>
      <c r="BD36" s="27"/>
      <c r="BE36" s="36"/>
      <c r="BF36" s="31"/>
      <c r="BG36" s="35"/>
      <c r="BH36" s="27"/>
      <c r="BI36" s="36"/>
      <c r="BJ36" s="31"/>
      <c r="BK36" s="35"/>
      <c r="BL36" s="27"/>
      <c r="BM36" s="36"/>
      <c r="BN36" s="35"/>
      <c r="BO36" s="35"/>
      <c r="BP36" s="27"/>
      <c r="BQ36" s="36"/>
      <c r="BR36" s="31"/>
      <c r="BS36" s="35"/>
      <c r="BT36" s="27"/>
      <c r="BU36" s="36"/>
      <c r="BV36" s="31"/>
      <c r="BW36" s="35"/>
      <c r="BX36" s="27"/>
      <c r="BY36" s="36"/>
      <c r="BZ36" s="31"/>
      <c r="CA36" s="35"/>
      <c r="CB36" s="27"/>
      <c r="CC36" s="36"/>
      <c r="CD36" s="31"/>
      <c r="CE36" s="35"/>
      <c r="CF36" s="27"/>
      <c r="CG36" s="36"/>
      <c r="CH36" s="31"/>
      <c r="CI36" s="35"/>
      <c r="CJ36" s="27"/>
      <c r="CK36" s="36"/>
      <c r="CL36" s="31"/>
      <c r="CM36" s="35"/>
      <c r="CN36" s="27"/>
      <c r="CO36" s="36"/>
      <c r="CP36" s="31"/>
      <c r="CQ36" s="35"/>
      <c r="CR36" s="27"/>
      <c r="CS36" s="36"/>
      <c r="CT36" s="31"/>
      <c r="CU36" s="35"/>
      <c r="CV36" s="27"/>
      <c r="CW36" s="36"/>
      <c r="CX36" s="31"/>
      <c r="CY36" s="35"/>
      <c r="CZ36" s="27"/>
      <c r="DA36" s="36"/>
      <c r="DB36" s="31"/>
      <c r="DC36" s="35"/>
      <c r="DD36" s="27"/>
      <c r="DE36" s="36"/>
      <c r="DF36" s="31"/>
      <c r="DG36" s="35"/>
      <c r="DH36" s="27"/>
      <c r="DI36" s="36"/>
      <c r="DJ36" s="623">
        <f t="shared" si="1"/>
        <v>67080</v>
      </c>
      <c r="DK36" s="38">
        <f t="shared" si="2"/>
        <v>46956</v>
      </c>
    </row>
    <row r="37" spans="2:115" s="39" customFormat="1" ht="22.5">
      <c r="B37" s="97">
        <v>22</v>
      </c>
      <c r="C37" s="97" t="s">
        <v>39</v>
      </c>
      <c r="D37" s="532">
        <v>30464641</v>
      </c>
      <c r="E37" s="48" t="s">
        <v>2567</v>
      </c>
      <c r="F37" s="626" t="s">
        <v>146</v>
      </c>
      <c r="G37" s="26" t="s">
        <v>2545</v>
      </c>
      <c r="H37" s="26" t="s">
        <v>342</v>
      </c>
      <c r="I37" s="626" t="s">
        <v>2537</v>
      </c>
      <c r="J37" s="34">
        <v>84329605</v>
      </c>
      <c r="K37" s="34">
        <v>6290614</v>
      </c>
      <c r="L37" s="34">
        <v>16561409</v>
      </c>
      <c r="M37" s="34">
        <v>766058</v>
      </c>
      <c r="N37" s="34">
        <v>596027</v>
      </c>
      <c r="O37" s="34">
        <v>474774</v>
      </c>
      <c r="P37" s="34">
        <v>412605</v>
      </c>
      <c r="Q37" s="34">
        <v>52573</v>
      </c>
      <c r="R37" s="34"/>
      <c r="S37" s="34"/>
      <c r="T37" s="34"/>
      <c r="U37" s="34">
        <v>52769</v>
      </c>
      <c r="V37" s="34" t="s">
        <v>2552</v>
      </c>
      <c r="W37" s="34"/>
      <c r="X37" s="34"/>
      <c r="Y37" s="34">
        <f t="shared" si="0"/>
        <v>2354806</v>
      </c>
      <c r="Z37" s="31">
        <v>2991350</v>
      </c>
      <c r="AA37" s="32">
        <v>1</v>
      </c>
      <c r="AB37" s="33">
        <v>44207</v>
      </c>
      <c r="AC37" s="36">
        <v>44214</v>
      </c>
      <c r="AD37" s="31"/>
      <c r="AE37" s="35"/>
      <c r="AF37" s="27"/>
      <c r="AG37" s="36"/>
      <c r="AH37" s="31"/>
      <c r="AI37" s="35"/>
      <c r="AJ37" s="27"/>
      <c r="AK37" s="36"/>
      <c r="AL37" s="31"/>
      <c r="AM37" s="35"/>
      <c r="AN37" s="27"/>
      <c r="AO37" s="36"/>
      <c r="AP37" s="31"/>
      <c r="AQ37" s="35"/>
      <c r="AR37" s="27"/>
      <c r="AS37" s="36"/>
      <c r="AT37" s="31"/>
      <c r="AU37" s="35"/>
      <c r="AV37" s="27"/>
      <c r="AW37" s="36"/>
      <c r="AX37" s="31">
        <v>200000</v>
      </c>
      <c r="AY37" s="35">
        <v>18</v>
      </c>
      <c r="AZ37" s="36">
        <v>44308</v>
      </c>
      <c r="BA37" s="36">
        <v>44314</v>
      </c>
      <c r="BB37" s="31"/>
      <c r="BC37" s="35"/>
      <c r="BD37" s="27"/>
      <c r="BE37" s="36"/>
      <c r="BF37" s="31">
        <v>150000</v>
      </c>
      <c r="BG37" s="35">
        <v>25</v>
      </c>
      <c r="BH37" s="33">
        <v>44329</v>
      </c>
      <c r="BI37" s="36">
        <v>44335</v>
      </c>
      <c r="BJ37" s="31"/>
      <c r="BK37" s="35"/>
      <c r="BL37" s="27"/>
      <c r="BM37" s="36"/>
      <c r="BN37" s="35">
        <v>-275000</v>
      </c>
      <c r="BO37" s="35">
        <v>28</v>
      </c>
      <c r="BP37" s="33">
        <v>44363</v>
      </c>
      <c r="BQ37" s="36">
        <v>44371</v>
      </c>
      <c r="BR37" s="31"/>
      <c r="BS37" s="35"/>
      <c r="BT37" s="27"/>
      <c r="BU37" s="36"/>
      <c r="BV37" s="31"/>
      <c r="BW37" s="35"/>
      <c r="BX37" s="27"/>
      <c r="BY37" s="36"/>
      <c r="BZ37" s="31"/>
      <c r="CA37" s="35"/>
      <c r="CB37" s="27"/>
      <c r="CC37" s="36"/>
      <c r="CD37" s="31"/>
      <c r="CE37" s="35"/>
      <c r="CF37" s="27"/>
      <c r="CG37" s="36"/>
      <c r="CH37" s="31"/>
      <c r="CI37" s="35"/>
      <c r="CJ37" s="27"/>
      <c r="CK37" s="36"/>
      <c r="CL37" s="31"/>
      <c r="CM37" s="35"/>
      <c r="CN37" s="27"/>
      <c r="CO37" s="36"/>
      <c r="CP37" s="31"/>
      <c r="CQ37" s="35"/>
      <c r="CR37" s="27"/>
      <c r="CS37" s="36"/>
      <c r="CT37" s="31"/>
      <c r="CU37" s="35"/>
      <c r="CV37" s="27"/>
      <c r="CW37" s="36"/>
      <c r="CX37" s="31">
        <v>40000</v>
      </c>
      <c r="CY37" s="35">
        <v>40</v>
      </c>
      <c r="CZ37" s="33">
        <v>44458</v>
      </c>
      <c r="DA37" s="36">
        <v>44460</v>
      </c>
      <c r="DB37" s="31"/>
      <c r="DC37" s="35"/>
      <c r="DD37" s="27"/>
      <c r="DE37" s="36"/>
      <c r="DF37" s="31"/>
      <c r="DG37" s="35"/>
      <c r="DH37" s="27"/>
      <c r="DI37" s="36"/>
      <c r="DJ37" s="623">
        <f t="shared" si="1"/>
        <v>3106350</v>
      </c>
      <c r="DK37" s="38">
        <f t="shared" si="2"/>
        <v>751544</v>
      </c>
    </row>
    <row r="38" spans="2:115" s="39" customFormat="1" ht="22.5">
      <c r="B38" s="97">
        <v>23</v>
      </c>
      <c r="C38" s="97" t="s">
        <v>39</v>
      </c>
      <c r="D38" s="532">
        <v>30464891</v>
      </c>
      <c r="E38" s="48" t="s">
        <v>2568</v>
      </c>
      <c r="F38" s="626" t="s">
        <v>158</v>
      </c>
      <c r="G38" s="26" t="s">
        <v>2535</v>
      </c>
      <c r="H38" s="26" t="s">
        <v>2539</v>
      </c>
      <c r="I38" s="626" t="s">
        <v>2537</v>
      </c>
      <c r="J38" s="34">
        <v>24493</v>
      </c>
      <c r="K38" s="34">
        <v>21346</v>
      </c>
      <c r="L38" s="34">
        <v>0</v>
      </c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>
        <f t="shared" si="0"/>
        <v>0</v>
      </c>
      <c r="Z38" s="31">
        <v>3078</v>
      </c>
      <c r="AA38" s="32">
        <v>1</v>
      </c>
      <c r="AB38" s="33">
        <v>44207</v>
      </c>
      <c r="AC38" s="36">
        <v>44214</v>
      </c>
      <c r="AD38" s="31"/>
      <c r="AE38" s="35"/>
      <c r="AF38" s="27"/>
      <c r="AG38" s="36"/>
      <c r="AH38" s="31"/>
      <c r="AI38" s="35"/>
      <c r="AJ38" s="27"/>
      <c r="AK38" s="36"/>
      <c r="AL38" s="31"/>
      <c r="AM38" s="35"/>
      <c r="AN38" s="27"/>
      <c r="AO38" s="36"/>
      <c r="AP38" s="31"/>
      <c r="AQ38" s="35"/>
      <c r="AR38" s="27"/>
      <c r="AS38" s="36"/>
      <c r="AT38" s="31"/>
      <c r="AU38" s="35"/>
      <c r="AV38" s="27"/>
      <c r="AW38" s="36"/>
      <c r="AX38" s="31"/>
      <c r="AY38" s="35"/>
      <c r="AZ38" s="27"/>
      <c r="BA38" s="36"/>
      <c r="BB38" s="31"/>
      <c r="BC38" s="35"/>
      <c r="BD38" s="27"/>
      <c r="BE38" s="36"/>
      <c r="BF38" s="31"/>
      <c r="BG38" s="35"/>
      <c r="BH38" s="27"/>
      <c r="BI38" s="36"/>
      <c r="BJ38" s="31"/>
      <c r="BK38" s="35"/>
      <c r="BL38" s="27"/>
      <c r="BM38" s="36"/>
      <c r="BN38" s="35"/>
      <c r="BO38" s="35"/>
      <c r="BP38" s="27"/>
      <c r="BQ38" s="36"/>
      <c r="BR38" s="31"/>
      <c r="BS38" s="35"/>
      <c r="BT38" s="27"/>
      <c r="BU38" s="36"/>
      <c r="BV38" s="31"/>
      <c r="BW38" s="35"/>
      <c r="BX38" s="27"/>
      <c r="BY38" s="36"/>
      <c r="BZ38" s="31"/>
      <c r="CA38" s="35"/>
      <c r="CB38" s="27"/>
      <c r="CC38" s="36"/>
      <c r="CD38" s="31"/>
      <c r="CE38" s="35"/>
      <c r="CF38" s="27"/>
      <c r="CG38" s="36"/>
      <c r="CH38" s="31"/>
      <c r="CI38" s="35"/>
      <c r="CJ38" s="27"/>
      <c r="CK38" s="36"/>
      <c r="CL38" s="31"/>
      <c r="CM38" s="35"/>
      <c r="CN38" s="27"/>
      <c r="CO38" s="36"/>
      <c r="CP38" s="31"/>
      <c r="CQ38" s="35"/>
      <c r="CR38" s="27"/>
      <c r="CS38" s="36"/>
      <c r="CT38" s="31"/>
      <c r="CU38" s="35"/>
      <c r="CV38" s="27"/>
      <c r="CW38" s="36"/>
      <c r="CX38" s="31"/>
      <c r="CY38" s="35"/>
      <c r="CZ38" s="27"/>
      <c r="DA38" s="36"/>
      <c r="DB38" s="31"/>
      <c r="DC38" s="35"/>
      <c r="DD38" s="27"/>
      <c r="DE38" s="36"/>
      <c r="DF38" s="31"/>
      <c r="DG38" s="35"/>
      <c r="DH38" s="27"/>
      <c r="DI38" s="36"/>
      <c r="DJ38" s="623">
        <f t="shared" si="1"/>
        <v>3078</v>
      </c>
      <c r="DK38" s="38">
        <f t="shared" si="2"/>
        <v>3078</v>
      </c>
    </row>
    <row r="39" spans="2:115" s="39" customFormat="1" ht="22.5">
      <c r="B39" s="97">
        <v>24</v>
      </c>
      <c r="C39" s="97" t="s">
        <v>39</v>
      </c>
      <c r="D39" s="532">
        <v>30468185</v>
      </c>
      <c r="E39" s="48" t="s">
        <v>2569</v>
      </c>
      <c r="F39" s="626" t="s">
        <v>146</v>
      </c>
      <c r="G39" s="26" t="s">
        <v>2545</v>
      </c>
      <c r="H39" s="26" t="s">
        <v>2546</v>
      </c>
      <c r="I39" s="626" t="s">
        <v>2537</v>
      </c>
      <c r="J39" s="34">
        <v>1287585</v>
      </c>
      <c r="K39" s="34">
        <v>959397</v>
      </c>
      <c r="L39" s="34">
        <v>0</v>
      </c>
      <c r="M39" s="34"/>
      <c r="N39" s="34"/>
      <c r="O39" s="34"/>
      <c r="P39" s="34"/>
      <c r="Q39" s="34"/>
      <c r="R39" s="34"/>
      <c r="S39" s="34">
        <v>209482</v>
      </c>
      <c r="T39" s="34">
        <v>58771</v>
      </c>
      <c r="U39" s="34"/>
      <c r="V39" s="34"/>
      <c r="W39" s="34"/>
      <c r="X39" s="34"/>
      <c r="Y39" s="34">
        <f t="shared" si="0"/>
        <v>268253</v>
      </c>
      <c r="Z39" s="31">
        <v>268254</v>
      </c>
      <c r="AA39" s="32">
        <v>1</v>
      </c>
      <c r="AB39" s="33">
        <v>44207</v>
      </c>
      <c r="AC39" s="36">
        <v>44214</v>
      </c>
      <c r="AD39" s="31"/>
      <c r="AE39" s="35"/>
      <c r="AF39" s="27"/>
      <c r="AG39" s="36"/>
      <c r="AH39" s="31"/>
      <c r="AI39" s="35"/>
      <c r="AJ39" s="27"/>
      <c r="AK39" s="36"/>
      <c r="AL39" s="31"/>
      <c r="AM39" s="35"/>
      <c r="AN39" s="27"/>
      <c r="AO39" s="36"/>
      <c r="AP39" s="31"/>
      <c r="AQ39" s="35"/>
      <c r="AR39" s="27"/>
      <c r="AS39" s="36"/>
      <c r="AT39" s="31"/>
      <c r="AU39" s="35"/>
      <c r="AV39" s="27"/>
      <c r="AW39" s="36"/>
      <c r="AX39" s="31"/>
      <c r="AY39" s="35"/>
      <c r="AZ39" s="27"/>
      <c r="BA39" s="36"/>
      <c r="BB39" s="31"/>
      <c r="BC39" s="35"/>
      <c r="BD39" s="27"/>
      <c r="BE39" s="36"/>
      <c r="BF39" s="31"/>
      <c r="BG39" s="35"/>
      <c r="BH39" s="27"/>
      <c r="BI39" s="36"/>
      <c r="BJ39" s="31"/>
      <c r="BK39" s="35"/>
      <c r="BL39" s="27"/>
      <c r="BM39" s="36"/>
      <c r="BN39" s="35"/>
      <c r="BO39" s="35"/>
      <c r="BP39" s="27"/>
      <c r="BQ39" s="36"/>
      <c r="BR39" s="31"/>
      <c r="BS39" s="35"/>
      <c r="BT39" s="27"/>
      <c r="BU39" s="36"/>
      <c r="BV39" s="31"/>
      <c r="BW39" s="35"/>
      <c r="BX39" s="27"/>
      <c r="BY39" s="36"/>
      <c r="BZ39" s="31"/>
      <c r="CA39" s="35"/>
      <c r="CB39" s="27"/>
      <c r="CC39" s="36"/>
      <c r="CD39" s="31"/>
      <c r="CE39" s="35"/>
      <c r="CF39" s="27"/>
      <c r="CG39" s="36"/>
      <c r="CH39" s="31"/>
      <c r="CI39" s="35"/>
      <c r="CJ39" s="27"/>
      <c r="CK39" s="36"/>
      <c r="CL39" s="31"/>
      <c r="CM39" s="35"/>
      <c r="CN39" s="27"/>
      <c r="CO39" s="36"/>
      <c r="CP39" s="31"/>
      <c r="CQ39" s="35"/>
      <c r="CR39" s="27"/>
      <c r="CS39" s="36"/>
      <c r="CT39" s="31"/>
      <c r="CU39" s="35"/>
      <c r="CV39" s="27"/>
      <c r="CW39" s="36"/>
      <c r="CX39" s="31"/>
      <c r="CY39" s="35"/>
      <c r="CZ39" s="27"/>
      <c r="DA39" s="36"/>
      <c r="DB39" s="31"/>
      <c r="DC39" s="35"/>
      <c r="DD39" s="27"/>
      <c r="DE39" s="36"/>
      <c r="DF39" s="31"/>
      <c r="DG39" s="35"/>
      <c r="DH39" s="27"/>
      <c r="DI39" s="36"/>
      <c r="DJ39" s="623">
        <f t="shared" si="1"/>
        <v>268254</v>
      </c>
      <c r="DK39" s="38">
        <f t="shared" si="2"/>
        <v>1</v>
      </c>
    </row>
    <row r="40" spans="2:115" s="39" customFormat="1" ht="22.5">
      <c r="B40" s="97">
        <v>25</v>
      </c>
      <c r="C40" s="97" t="s">
        <v>39</v>
      </c>
      <c r="D40" s="532">
        <v>30469790</v>
      </c>
      <c r="E40" s="48" t="s">
        <v>2570</v>
      </c>
      <c r="F40" s="626" t="s">
        <v>146</v>
      </c>
      <c r="G40" s="26" t="s">
        <v>2542</v>
      </c>
      <c r="H40" s="26" t="s">
        <v>2543</v>
      </c>
      <c r="I40" s="626" t="s">
        <v>2537</v>
      </c>
      <c r="J40" s="34">
        <v>475688</v>
      </c>
      <c r="K40" s="34">
        <v>371359</v>
      </c>
      <c r="L40" s="34">
        <v>8313</v>
      </c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>
        <f t="shared" si="0"/>
        <v>0</v>
      </c>
      <c r="Z40" s="31">
        <v>39724</v>
      </c>
      <c r="AA40" s="32">
        <v>1</v>
      </c>
      <c r="AB40" s="33">
        <v>44207</v>
      </c>
      <c r="AC40" s="36">
        <v>44214</v>
      </c>
      <c r="AD40" s="31"/>
      <c r="AE40" s="35"/>
      <c r="AF40" s="27"/>
      <c r="AG40" s="36"/>
      <c r="AH40" s="31"/>
      <c r="AI40" s="35"/>
      <c r="AJ40" s="27"/>
      <c r="AK40" s="36"/>
      <c r="AL40" s="31"/>
      <c r="AM40" s="35"/>
      <c r="AN40" s="27"/>
      <c r="AO40" s="36"/>
      <c r="AP40" s="31"/>
      <c r="AQ40" s="35"/>
      <c r="AR40" s="27"/>
      <c r="AS40" s="36"/>
      <c r="AT40" s="31"/>
      <c r="AU40" s="35"/>
      <c r="AV40" s="27"/>
      <c r="AW40" s="36"/>
      <c r="AX40" s="31"/>
      <c r="AY40" s="35"/>
      <c r="AZ40" s="27"/>
      <c r="BA40" s="36"/>
      <c r="BB40" s="31"/>
      <c r="BC40" s="35"/>
      <c r="BD40" s="27"/>
      <c r="BE40" s="36"/>
      <c r="BF40" s="31"/>
      <c r="BG40" s="35"/>
      <c r="BH40" s="27"/>
      <c r="BI40" s="36"/>
      <c r="BJ40" s="31"/>
      <c r="BK40" s="35"/>
      <c r="BL40" s="27"/>
      <c r="BM40" s="36"/>
      <c r="BN40" s="35"/>
      <c r="BO40" s="35"/>
      <c r="BP40" s="27"/>
      <c r="BQ40" s="36"/>
      <c r="BR40" s="31"/>
      <c r="BS40" s="35"/>
      <c r="BT40" s="27"/>
      <c r="BU40" s="36"/>
      <c r="BV40" s="31"/>
      <c r="BW40" s="35"/>
      <c r="BX40" s="27"/>
      <c r="BY40" s="36"/>
      <c r="BZ40" s="31"/>
      <c r="CA40" s="35"/>
      <c r="CB40" s="27"/>
      <c r="CC40" s="36"/>
      <c r="CD40" s="31"/>
      <c r="CE40" s="35"/>
      <c r="CF40" s="27"/>
      <c r="CG40" s="36"/>
      <c r="CH40" s="31"/>
      <c r="CI40" s="35"/>
      <c r="CJ40" s="27"/>
      <c r="CK40" s="36"/>
      <c r="CL40" s="31"/>
      <c r="CM40" s="35"/>
      <c r="CN40" s="27"/>
      <c r="CO40" s="36"/>
      <c r="CP40" s="31"/>
      <c r="CQ40" s="35"/>
      <c r="CR40" s="27"/>
      <c r="CS40" s="36"/>
      <c r="CT40" s="31"/>
      <c r="CU40" s="35"/>
      <c r="CV40" s="27"/>
      <c r="CW40" s="36"/>
      <c r="CX40" s="31"/>
      <c r="CY40" s="35"/>
      <c r="CZ40" s="27"/>
      <c r="DA40" s="36"/>
      <c r="DB40" s="31"/>
      <c r="DC40" s="35"/>
      <c r="DD40" s="27"/>
      <c r="DE40" s="36"/>
      <c r="DF40" s="31"/>
      <c r="DG40" s="35"/>
      <c r="DH40" s="27"/>
      <c r="DI40" s="36"/>
      <c r="DJ40" s="623">
        <f t="shared" si="1"/>
        <v>39724</v>
      </c>
      <c r="DK40" s="38">
        <f t="shared" si="2"/>
        <v>39724</v>
      </c>
    </row>
    <row r="41" spans="2:115" s="39" customFormat="1" ht="22.5">
      <c r="B41" s="97">
        <v>26</v>
      </c>
      <c r="C41" s="97" t="s">
        <v>39</v>
      </c>
      <c r="D41" s="532">
        <v>30470391</v>
      </c>
      <c r="E41" s="48" t="s">
        <v>2571</v>
      </c>
      <c r="F41" s="626" t="s">
        <v>158</v>
      </c>
      <c r="G41" s="26" t="s">
        <v>2535</v>
      </c>
      <c r="H41" s="26" t="s">
        <v>2539</v>
      </c>
      <c r="I41" s="626" t="s">
        <v>2537</v>
      </c>
      <c r="J41" s="34">
        <v>30385</v>
      </c>
      <c r="K41" s="34">
        <v>27462</v>
      </c>
      <c r="L41" s="34">
        <v>0</v>
      </c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>
        <f t="shared" si="0"/>
        <v>0</v>
      </c>
      <c r="Z41" s="31">
        <v>2923</v>
      </c>
      <c r="AA41" s="32">
        <v>1</v>
      </c>
      <c r="AB41" s="33">
        <v>44207</v>
      </c>
      <c r="AC41" s="36">
        <v>44214</v>
      </c>
      <c r="AD41" s="31"/>
      <c r="AE41" s="35"/>
      <c r="AF41" s="27"/>
      <c r="AG41" s="36"/>
      <c r="AH41" s="31"/>
      <c r="AI41" s="35"/>
      <c r="AJ41" s="27"/>
      <c r="AK41" s="36"/>
      <c r="AL41" s="31"/>
      <c r="AM41" s="35"/>
      <c r="AN41" s="27"/>
      <c r="AO41" s="36"/>
      <c r="AP41" s="31"/>
      <c r="AQ41" s="35"/>
      <c r="AR41" s="27"/>
      <c r="AS41" s="36"/>
      <c r="AT41" s="31"/>
      <c r="AU41" s="35"/>
      <c r="AV41" s="27"/>
      <c r="AW41" s="36"/>
      <c r="AX41" s="31"/>
      <c r="AY41" s="35"/>
      <c r="AZ41" s="27"/>
      <c r="BA41" s="36"/>
      <c r="BB41" s="31"/>
      <c r="BC41" s="35"/>
      <c r="BD41" s="27"/>
      <c r="BE41" s="36"/>
      <c r="BF41" s="31"/>
      <c r="BG41" s="35"/>
      <c r="BH41" s="27"/>
      <c r="BI41" s="36"/>
      <c r="BJ41" s="31"/>
      <c r="BK41" s="35"/>
      <c r="BL41" s="27"/>
      <c r="BM41" s="36"/>
      <c r="BN41" s="35"/>
      <c r="BO41" s="35"/>
      <c r="BP41" s="27"/>
      <c r="BQ41" s="36"/>
      <c r="BR41" s="31"/>
      <c r="BS41" s="35"/>
      <c r="BT41" s="27"/>
      <c r="BU41" s="36"/>
      <c r="BV41" s="31"/>
      <c r="BW41" s="35"/>
      <c r="BX41" s="27"/>
      <c r="BY41" s="36"/>
      <c r="BZ41" s="31"/>
      <c r="CA41" s="35"/>
      <c r="CB41" s="27"/>
      <c r="CC41" s="36"/>
      <c r="CD41" s="31"/>
      <c r="CE41" s="35"/>
      <c r="CF41" s="27"/>
      <c r="CG41" s="36"/>
      <c r="CH41" s="31"/>
      <c r="CI41" s="35"/>
      <c r="CJ41" s="27"/>
      <c r="CK41" s="36"/>
      <c r="CL41" s="31"/>
      <c r="CM41" s="35"/>
      <c r="CN41" s="27"/>
      <c r="CO41" s="36"/>
      <c r="CP41" s="31"/>
      <c r="CQ41" s="35"/>
      <c r="CR41" s="27"/>
      <c r="CS41" s="36"/>
      <c r="CT41" s="31"/>
      <c r="CU41" s="35"/>
      <c r="CV41" s="27"/>
      <c r="CW41" s="36"/>
      <c r="CX41" s="31"/>
      <c r="CY41" s="35"/>
      <c r="CZ41" s="27"/>
      <c r="DA41" s="36"/>
      <c r="DB41" s="31"/>
      <c r="DC41" s="35"/>
      <c r="DD41" s="27"/>
      <c r="DE41" s="36"/>
      <c r="DF41" s="31"/>
      <c r="DG41" s="35"/>
      <c r="DH41" s="27"/>
      <c r="DI41" s="36"/>
      <c r="DJ41" s="623">
        <f t="shared" si="1"/>
        <v>2923</v>
      </c>
      <c r="DK41" s="38">
        <f t="shared" si="2"/>
        <v>2923</v>
      </c>
    </row>
    <row r="42" spans="2:115" s="39" customFormat="1" ht="22.5">
      <c r="B42" s="97">
        <v>27</v>
      </c>
      <c r="C42" s="97" t="s">
        <v>39</v>
      </c>
      <c r="D42" s="532">
        <v>30471786</v>
      </c>
      <c r="E42" s="48" t="s">
        <v>2572</v>
      </c>
      <c r="F42" s="626" t="s">
        <v>158</v>
      </c>
      <c r="G42" s="26" t="s">
        <v>2535</v>
      </c>
      <c r="H42" s="26" t="s">
        <v>2539</v>
      </c>
      <c r="I42" s="626" t="s">
        <v>2537</v>
      </c>
      <c r="J42" s="34">
        <v>27143</v>
      </c>
      <c r="K42" s="34">
        <v>23993</v>
      </c>
      <c r="L42" s="34">
        <v>2</v>
      </c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>
        <f t="shared" si="0"/>
        <v>0</v>
      </c>
      <c r="Z42" s="31">
        <v>3079</v>
      </c>
      <c r="AA42" s="32">
        <v>1</v>
      </c>
      <c r="AB42" s="33">
        <v>44207</v>
      </c>
      <c r="AC42" s="36">
        <v>44214</v>
      </c>
      <c r="AD42" s="31"/>
      <c r="AE42" s="35"/>
      <c r="AF42" s="27"/>
      <c r="AG42" s="36"/>
      <c r="AH42" s="31"/>
      <c r="AI42" s="35"/>
      <c r="AJ42" s="27"/>
      <c r="AK42" s="36"/>
      <c r="AL42" s="31"/>
      <c r="AM42" s="35"/>
      <c r="AN42" s="27"/>
      <c r="AO42" s="36"/>
      <c r="AP42" s="31"/>
      <c r="AQ42" s="35"/>
      <c r="AR42" s="27"/>
      <c r="AS42" s="36"/>
      <c r="AT42" s="31"/>
      <c r="AU42" s="35"/>
      <c r="AV42" s="27"/>
      <c r="AW42" s="36"/>
      <c r="AX42" s="31"/>
      <c r="AY42" s="35"/>
      <c r="AZ42" s="27"/>
      <c r="BA42" s="36"/>
      <c r="BB42" s="31"/>
      <c r="BC42" s="35"/>
      <c r="BD42" s="27"/>
      <c r="BE42" s="36"/>
      <c r="BF42" s="31"/>
      <c r="BG42" s="35"/>
      <c r="BH42" s="27"/>
      <c r="BI42" s="36"/>
      <c r="BJ42" s="31"/>
      <c r="BK42" s="35"/>
      <c r="BL42" s="27"/>
      <c r="BM42" s="36"/>
      <c r="BN42" s="35"/>
      <c r="BO42" s="35"/>
      <c r="BP42" s="27"/>
      <c r="BQ42" s="36"/>
      <c r="BR42" s="31"/>
      <c r="BS42" s="35"/>
      <c r="BT42" s="27"/>
      <c r="BU42" s="36"/>
      <c r="BV42" s="31"/>
      <c r="BW42" s="35"/>
      <c r="BX42" s="27"/>
      <c r="BY42" s="36"/>
      <c r="BZ42" s="31"/>
      <c r="CA42" s="35"/>
      <c r="CB42" s="27"/>
      <c r="CC42" s="36"/>
      <c r="CD42" s="31"/>
      <c r="CE42" s="35"/>
      <c r="CF42" s="27"/>
      <c r="CG42" s="36"/>
      <c r="CH42" s="31"/>
      <c r="CI42" s="35"/>
      <c r="CJ42" s="27"/>
      <c r="CK42" s="36"/>
      <c r="CL42" s="31"/>
      <c r="CM42" s="35"/>
      <c r="CN42" s="27"/>
      <c r="CO42" s="36"/>
      <c r="CP42" s="31"/>
      <c r="CQ42" s="35"/>
      <c r="CR42" s="27"/>
      <c r="CS42" s="36"/>
      <c r="CT42" s="31"/>
      <c r="CU42" s="35"/>
      <c r="CV42" s="27"/>
      <c r="CW42" s="36"/>
      <c r="CX42" s="31"/>
      <c r="CY42" s="35"/>
      <c r="CZ42" s="27"/>
      <c r="DA42" s="36"/>
      <c r="DB42" s="31"/>
      <c r="DC42" s="35"/>
      <c r="DD42" s="27"/>
      <c r="DE42" s="36"/>
      <c r="DF42" s="31"/>
      <c r="DG42" s="35"/>
      <c r="DH42" s="27"/>
      <c r="DI42" s="36"/>
      <c r="DJ42" s="623">
        <f t="shared" si="1"/>
        <v>3079</v>
      </c>
      <c r="DK42" s="38">
        <f t="shared" si="2"/>
        <v>3079</v>
      </c>
    </row>
    <row r="43" spans="2:115" s="39" customFormat="1" ht="22.5">
      <c r="B43" s="97">
        <v>28</v>
      </c>
      <c r="C43" s="97" t="s">
        <v>39</v>
      </c>
      <c r="D43" s="532">
        <v>30471945</v>
      </c>
      <c r="E43" s="48" t="s">
        <v>2573</v>
      </c>
      <c r="F43" s="626" t="s">
        <v>146</v>
      </c>
      <c r="G43" s="26" t="s">
        <v>2548</v>
      </c>
      <c r="H43" s="26" t="s">
        <v>2549</v>
      </c>
      <c r="I43" s="626" t="s">
        <v>2537</v>
      </c>
      <c r="J43" s="34">
        <v>1635176</v>
      </c>
      <c r="K43" s="34">
        <v>1524024</v>
      </c>
      <c r="L43" s="34">
        <v>42470</v>
      </c>
      <c r="M43" s="34"/>
      <c r="N43" s="34"/>
      <c r="O43" s="34">
        <v>193</v>
      </c>
      <c r="P43" s="34"/>
      <c r="Q43" s="34"/>
      <c r="R43" s="34"/>
      <c r="S43" s="34"/>
      <c r="T43" s="34"/>
      <c r="U43" s="34"/>
      <c r="V43" s="34"/>
      <c r="W43" s="34"/>
      <c r="X43" s="34"/>
      <c r="Y43" s="34">
        <f t="shared" si="0"/>
        <v>193</v>
      </c>
      <c r="Z43" s="31">
        <v>65467</v>
      </c>
      <c r="AA43" s="32">
        <v>1</v>
      </c>
      <c r="AB43" s="33">
        <v>44207</v>
      </c>
      <c r="AC43" s="36">
        <v>44214</v>
      </c>
      <c r="AD43" s="31"/>
      <c r="AE43" s="35"/>
      <c r="AF43" s="27"/>
      <c r="AG43" s="36"/>
      <c r="AH43" s="31"/>
      <c r="AI43" s="35"/>
      <c r="AJ43" s="27"/>
      <c r="AK43" s="36"/>
      <c r="AL43" s="31"/>
      <c r="AM43" s="35"/>
      <c r="AN43" s="27"/>
      <c r="AO43" s="36"/>
      <c r="AP43" s="31"/>
      <c r="AQ43" s="35"/>
      <c r="AR43" s="27"/>
      <c r="AS43" s="36"/>
      <c r="AT43" s="31"/>
      <c r="AU43" s="35"/>
      <c r="AV43" s="27"/>
      <c r="AW43" s="36"/>
      <c r="AX43" s="31"/>
      <c r="AY43" s="35"/>
      <c r="AZ43" s="27"/>
      <c r="BA43" s="36"/>
      <c r="BB43" s="31"/>
      <c r="BC43" s="35"/>
      <c r="BD43" s="27"/>
      <c r="BE43" s="36"/>
      <c r="BF43" s="31"/>
      <c r="BG43" s="35"/>
      <c r="BH43" s="27"/>
      <c r="BI43" s="36"/>
      <c r="BJ43" s="31"/>
      <c r="BK43" s="35"/>
      <c r="BL43" s="27"/>
      <c r="BM43" s="36"/>
      <c r="BN43" s="35"/>
      <c r="BO43" s="35"/>
      <c r="BP43" s="27"/>
      <c r="BQ43" s="36"/>
      <c r="BR43" s="31"/>
      <c r="BS43" s="35"/>
      <c r="BT43" s="27"/>
      <c r="BU43" s="36"/>
      <c r="BV43" s="31"/>
      <c r="BW43" s="35"/>
      <c r="BX43" s="27"/>
      <c r="BY43" s="36"/>
      <c r="BZ43" s="31"/>
      <c r="CA43" s="35"/>
      <c r="CB43" s="27"/>
      <c r="CC43" s="36"/>
      <c r="CD43" s="31"/>
      <c r="CE43" s="35"/>
      <c r="CF43" s="27"/>
      <c r="CG43" s="36"/>
      <c r="CH43" s="31"/>
      <c r="CI43" s="35"/>
      <c r="CJ43" s="27"/>
      <c r="CK43" s="36"/>
      <c r="CL43" s="31"/>
      <c r="CM43" s="35"/>
      <c r="CN43" s="27"/>
      <c r="CO43" s="36"/>
      <c r="CP43" s="31"/>
      <c r="CQ43" s="35"/>
      <c r="CR43" s="27"/>
      <c r="CS43" s="36"/>
      <c r="CT43" s="31">
        <v>-39268</v>
      </c>
      <c r="CU43" s="35">
        <v>39</v>
      </c>
      <c r="CV43" s="33">
        <v>44431</v>
      </c>
      <c r="CW43" s="36">
        <v>44435</v>
      </c>
      <c r="CX43" s="31"/>
      <c r="CY43" s="35"/>
      <c r="CZ43" s="27"/>
      <c r="DA43" s="36"/>
      <c r="DB43" s="31"/>
      <c r="DC43" s="35"/>
      <c r="DD43" s="27"/>
      <c r="DE43" s="36"/>
      <c r="DF43" s="31"/>
      <c r="DG43" s="35"/>
      <c r="DH43" s="27"/>
      <c r="DI43" s="36"/>
      <c r="DJ43" s="623">
        <f t="shared" si="1"/>
        <v>26199</v>
      </c>
      <c r="DK43" s="38">
        <f t="shared" si="2"/>
        <v>26006</v>
      </c>
    </row>
    <row r="44" spans="2:115" s="39" customFormat="1" ht="33.75">
      <c r="B44" s="97">
        <v>29</v>
      </c>
      <c r="C44" s="97" t="s">
        <v>39</v>
      </c>
      <c r="D44" s="532">
        <v>30472385</v>
      </c>
      <c r="E44" s="48" t="s">
        <v>2574</v>
      </c>
      <c r="F44" s="626" t="s">
        <v>146</v>
      </c>
      <c r="G44" s="26" t="s">
        <v>2542</v>
      </c>
      <c r="H44" s="26" t="s">
        <v>2543</v>
      </c>
      <c r="I44" s="626" t="s">
        <v>2537</v>
      </c>
      <c r="J44" s="34">
        <v>1511802</v>
      </c>
      <c r="K44" s="34">
        <v>1336248</v>
      </c>
      <c r="L44" s="34">
        <v>0</v>
      </c>
      <c r="M44" s="34"/>
      <c r="N44" s="34"/>
      <c r="O44" s="34">
        <v>40295</v>
      </c>
      <c r="P44" s="34"/>
      <c r="Q44" s="34"/>
      <c r="R44" s="34"/>
      <c r="S44" s="34"/>
      <c r="T44" s="34"/>
      <c r="U44" s="34"/>
      <c r="V44" s="34"/>
      <c r="W44" s="34"/>
      <c r="X44" s="34"/>
      <c r="Y44" s="34">
        <f t="shared" si="0"/>
        <v>40295</v>
      </c>
      <c r="Z44" s="31">
        <v>40295</v>
      </c>
      <c r="AA44" s="32">
        <v>1</v>
      </c>
      <c r="AB44" s="33">
        <v>44207</v>
      </c>
      <c r="AC44" s="36">
        <v>44214</v>
      </c>
      <c r="AD44" s="31"/>
      <c r="AE44" s="35"/>
      <c r="AF44" s="27"/>
      <c r="AG44" s="36"/>
      <c r="AH44" s="31"/>
      <c r="AI44" s="35"/>
      <c r="AJ44" s="27"/>
      <c r="AK44" s="36"/>
      <c r="AL44" s="31"/>
      <c r="AM44" s="35"/>
      <c r="AN44" s="27"/>
      <c r="AO44" s="36"/>
      <c r="AP44" s="31"/>
      <c r="AQ44" s="35"/>
      <c r="AR44" s="27"/>
      <c r="AS44" s="36"/>
      <c r="AT44" s="31"/>
      <c r="AU44" s="35"/>
      <c r="AV44" s="27"/>
      <c r="AW44" s="36"/>
      <c r="AX44" s="31"/>
      <c r="AY44" s="35"/>
      <c r="AZ44" s="27"/>
      <c r="BA44" s="36"/>
      <c r="BB44" s="31"/>
      <c r="BC44" s="35"/>
      <c r="BD44" s="27"/>
      <c r="BE44" s="36"/>
      <c r="BF44" s="31"/>
      <c r="BG44" s="35"/>
      <c r="BH44" s="27"/>
      <c r="BI44" s="36"/>
      <c r="BJ44" s="31"/>
      <c r="BK44" s="35"/>
      <c r="BL44" s="27"/>
      <c r="BM44" s="36"/>
      <c r="BN44" s="35"/>
      <c r="BO44" s="35"/>
      <c r="BP44" s="27"/>
      <c r="BQ44" s="36"/>
      <c r="BR44" s="31"/>
      <c r="BS44" s="35"/>
      <c r="BT44" s="27"/>
      <c r="BU44" s="36"/>
      <c r="BV44" s="31"/>
      <c r="BW44" s="35"/>
      <c r="BX44" s="27"/>
      <c r="BY44" s="36"/>
      <c r="BZ44" s="31"/>
      <c r="CA44" s="35"/>
      <c r="CB44" s="27"/>
      <c r="CC44" s="36"/>
      <c r="CD44" s="31"/>
      <c r="CE44" s="35"/>
      <c r="CF44" s="27"/>
      <c r="CG44" s="36"/>
      <c r="CH44" s="31"/>
      <c r="CI44" s="35"/>
      <c r="CJ44" s="27"/>
      <c r="CK44" s="36"/>
      <c r="CL44" s="31"/>
      <c r="CM44" s="35"/>
      <c r="CN44" s="27"/>
      <c r="CO44" s="36"/>
      <c r="CP44" s="31"/>
      <c r="CQ44" s="35"/>
      <c r="CR44" s="27"/>
      <c r="CS44" s="36"/>
      <c r="CT44" s="31"/>
      <c r="CU44" s="35"/>
      <c r="CV44" s="27"/>
      <c r="CW44" s="36"/>
      <c r="CX44" s="31"/>
      <c r="CY44" s="35"/>
      <c r="CZ44" s="27"/>
      <c r="DA44" s="36"/>
      <c r="DB44" s="31"/>
      <c r="DC44" s="35"/>
      <c r="DD44" s="27"/>
      <c r="DE44" s="36"/>
      <c r="DF44" s="31"/>
      <c r="DG44" s="35"/>
      <c r="DH44" s="27"/>
      <c r="DI44" s="36"/>
      <c r="DJ44" s="623">
        <f t="shared" si="1"/>
        <v>40295</v>
      </c>
      <c r="DK44" s="38">
        <f t="shared" si="2"/>
        <v>0</v>
      </c>
    </row>
    <row r="45" spans="2:115" s="39" customFormat="1" ht="22.5">
      <c r="B45" s="97">
        <v>30</v>
      </c>
      <c r="C45" s="97" t="s">
        <v>39</v>
      </c>
      <c r="D45" s="532">
        <v>30472887</v>
      </c>
      <c r="E45" s="48" t="s">
        <v>2575</v>
      </c>
      <c r="F45" s="626" t="s">
        <v>146</v>
      </c>
      <c r="G45" s="26" t="s">
        <v>2535</v>
      </c>
      <c r="H45" s="26" t="s">
        <v>2539</v>
      </c>
      <c r="I45" s="626" t="s">
        <v>2537</v>
      </c>
      <c r="J45" s="34">
        <v>2398253</v>
      </c>
      <c r="K45" s="34">
        <v>704650</v>
      </c>
      <c r="L45" s="34">
        <v>2</v>
      </c>
      <c r="M45" s="34">
        <v>228177</v>
      </c>
      <c r="N45" s="34">
        <v>49192</v>
      </c>
      <c r="O45" s="34">
        <v>42591</v>
      </c>
      <c r="P45" s="34">
        <v>62776</v>
      </c>
      <c r="Q45" s="34"/>
      <c r="R45" s="34">
        <v>178246</v>
      </c>
      <c r="S45" s="34">
        <v>21789</v>
      </c>
      <c r="T45" s="34">
        <v>21527</v>
      </c>
      <c r="U45" s="34">
        <v>39744</v>
      </c>
      <c r="V45" s="34" t="s">
        <v>2552</v>
      </c>
      <c r="W45" s="34"/>
      <c r="X45" s="34"/>
      <c r="Y45" s="34">
        <f t="shared" si="0"/>
        <v>644042</v>
      </c>
      <c r="Z45" s="31">
        <f>519070</f>
        <v>519070</v>
      </c>
      <c r="AA45" s="32">
        <v>1</v>
      </c>
      <c r="AB45" s="33">
        <v>44207</v>
      </c>
      <c r="AC45" s="36">
        <v>44214</v>
      </c>
      <c r="AD45" s="31"/>
      <c r="AE45" s="35"/>
      <c r="AF45" s="27"/>
      <c r="AG45" s="36"/>
      <c r="AH45" s="31"/>
      <c r="AI45" s="35"/>
      <c r="AJ45" s="27"/>
      <c r="AK45" s="36"/>
      <c r="AL45" s="31">
        <v>185208</v>
      </c>
      <c r="AM45" s="35">
        <v>13</v>
      </c>
      <c r="AN45" s="36">
        <v>44277</v>
      </c>
      <c r="AO45" s="36">
        <v>44281</v>
      </c>
      <c r="AP45" s="31"/>
      <c r="AQ45" s="35"/>
      <c r="AR45" s="27"/>
      <c r="AS45" s="36"/>
      <c r="AT45" s="31"/>
      <c r="AU45" s="35"/>
      <c r="AV45" s="27"/>
      <c r="AW45" s="36"/>
      <c r="AX45" s="31"/>
      <c r="AY45" s="35"/>
      <c r="AZ45" s="27"/>
      <c r="BA45" s="36"/>
      <c r="BB45" s="31"/>
      <c r="BC45" s="35"/>
      <c r="BD45" s="27"/>
      <c r="BE45" s="36"/>
      <c r="BF45" s="31">
        <v>300000</v>
      </c>
      <c r="BG45" s="35">
        <v>25</v>
      </c>
      <c r="BH45" s="33">
        <v>44329</v>
      </c>
      <c r="BI45" s="36">
        <v>44335</v>
      </c>
      <c r="BJ45" s="31"/>
      <c r="BK45" s="35"/>
      <c r="BL45" s="27"/>
      <c r="BM45" s="36"/>
      <c r="BN45" s="35"/>
      <c r="BO45" s="35"/>
      <c r="BP45" s="27"/>
      <c r="BQ45" s="36"/>
      <c r="BR45" s="31"/>
      <c r="BS45" s="35"/>
      <c r="BT45" s="27"/>
      <c r="BU45" s="36"/>
      <c r="BV45" s="31"/>
      <c r="BW45" s="35"/>
      <c r="BX45" s="27"/>
      <c r="BY45" s="36"/>
      <c r="BZ45" s="31"/>
      <c r="CA45" s="35"/>
      <c r="CB45" s="27"/>
      <c r="CC45" s="36"/>
      <c r="CD45" s="31">
        <v>376000</v>
      </c>
      <c r="CE45" s="35">
        <v>32</v>
      </c>
      <c r="CF45" s="33">
        <v>44389</v>
      </c>
      <c r="CG45" s="36">
        <v>44397</v>
      </c>
      <c r="CH45" s="31"/>
      <c r="CI45" s="35"/>
      <c r="CJ45" s="27"/>
      <c r="CK45" s="36"/>
      <c r="CL45" s="31"/>
      <c r="CM45" s="35"/>
      <c r="CN45" s="27"/>
      <c r="CO45" s="36"/>
      <c r="CP45" s="31"/>
      <c r="CQ45" s="35"/>
      <c r="CR45" s="27"/>
      <c r="CS45" s="36"/>
      <c r="CT45" s="31">
        <v>-18540</v>
      </c>
      <c r="CU45" s="35">
        <v>39</v>
      </c>
      <c r="CV45" s="33">
        <v>44431</v>
      </c>
      <c r="CW45" s="36">
        <v>44435</v>
      </c>
      <c r="CX45" s="31"/>
      <c r="CY45" s="35"/>
      <c r="CZ45" s="27"/>
      <c r="DA45" s="36"/>
      <c r="DB45" s="31"/>
      <c r="DC45" s="35"/>
      <c r="DD45" s="27"/>
      <c r="DE45" s="36"/>
      <c r="DF45" s="31"/>
      <c r="DG45" s="35"/>
      <c r="DH45" s="27"/>
      <c r="DI45" s="36"/>
      <c r="DJ45" s="623">
        <f t="shared" si="1"/>
        <v>1361738</v>
      </c>
      <c r="DK45" s="38">
        <f t="shared" si="2"/>
        <v>717696</v>
      </c>
    </row>
    <row r="46" spans="2:115" s="39" customFormat="1" ht="22.5">
      <c r="B46" s="97">
        <v>31</v>
      </c>
      <c r="C46" s="97" t="s">
        <v>39</v>
      </c>
      <c r="D46" s="532">
        <v>30473785</v>
      </c>
      <c r="E46" s="48" t="s">
        <v>2576</v>
      </c>
      <c r="F46" s="626" t="s">
        <v>146</v>
      </c>
      <c r="G46" s="26" t="s">
        <v>2542</v>
      </c>
      <c r="H46" s="26" t="s">
        <v>2543</v>
      </c>
      <c r="I46" s="626" t="s">
        <v>2537</v>
      </c>
      <c r="J46" s="34">
        <v>340695</v>
      </c>
      <c r="K46" s="34">
        <v>228204</v>
      </c>
      <c r="L46" s="34">
        <v>0</v>
      </c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>
        <f t="shared" si="0"/>
        <v>0</v>
      </c>
      <c r="Z46" s="31">
        <v>66815</v>
      </c>
      <c r="AA46" s="32">
        <v>1</v>
      </c>
      <c r="AB46" s="33">
        <v>44207</v>
      </c>
      <c r="AC46" s="36">
        <v>44214</v>
      </c>
      <c r="AD46" s="31"/>
      <c r="AE46" s="35"/>
      <c r="AF46" s="27"/>
      <c r="AG46" s="36"/>
      <c r="AH46" s="31"/>
      <c r="AI46" s="35"/>
      <c r="AJ46" s="27"/>
      <c r="AK46" s="36"/>
      <c r="AL46" s="31"/>
      <c r="AM46" s="35"/>
      <c r="AN46" s="36"/>
      <c r="AO46" s="36"/>
      <c r="AP46" s="31"/>
      <c r="AQ46" s="35"/>
      <c r="AR46" s="27"/>
      <c r="AS46" s="36"/>
      <c r="AT46" s="31"/>
      <c r="AU46" s="35"/>
      <c r="AV46" s="27"/>
      <c r="AW46" s="36"/>
      <c r="AX46" s="31"/>
      <c r="AY46" s="35"/>
      <c r="AZ46" s="27"/>
      <c r="BA46" s="36"/>
      <c r="BB46" s="31"/>
      <c r="BC46" s="35"/>
      <c r="BD46" s="27"/>
      <c r="BE46" s="36"/>
      <c r="BF46" s="31"/>
      <c r="BG46" s="35"/>
      <c r="BH46" s="27"/>
      <c r="BI46" s="36"/>
      <c r="BJ46" s="31"/>
      <c r="BK46" s="35"/>
      <c r="BL46" s="27"/>
      <c r="BM46" s="36"/>
      <c r="BN46" s="35"/>
      <c r="BO46" s="35"/>
      <c r="BP46" s="27"/>
      <c r="BQ46" s="36"/>
      <c r="BR46" s="31"/>
      <c r="BS46" s="35"/>
      <c r="BT46" s="27"/>
      <c r="BU46" s="36"/>
      <c r="BV46" s="31"/>
      <c r="BW46" s="35"/>
      <c r="BX46" s="27"/>
      <c r="BY46" s="36"/>
      <c r="BZ46" s="31"/>
      <c r="CA46" s="35"/>
      <c r="CB46" s="27"/>
      <c r="CC46" s="36"/>
      <c r="CD46" s="31"/>
      <c r="CE46" s="35"/>
      <c r="CF46" s="27"/>
      <c r="CG46" s="36"/>
      <c r="CH46" s="31"/>
      <c r="CI46" s="35"/>
      <c r="CJ46" s="27"/>
      <c r="CK46" s="36"/>
      <c r="CL46" s="31"/>
      <c r="CM46" s="35"/>
      <c r="CN46" s="27"/>
      <c r="CO46" s="36"/>
      <c r="CP46" s="31"/>
      <c r="CQ46" s="35"/>
      <c r="CR46" s="27"/>
      <c r="CS46" s="36"/>
      <c r="CT46" s="31"/>
      <c r="CU46" s="35"/>
      <c r="CV46" s="27"/>
      <c r="CW46" s="36"/>
      <c r="CX46" s="31"/>
      <c r="CY46" s="35"/>
      <c r="CZ46" s="27"/>
      <c r="DA46" s="36"/>
      <c r="DB46" s="31"/>
      <c r="DC46" s="35"/>
      <c r="DD46" s="27"/>
      <c r="DE46" s="36"/>
      <c r="DF46" s="31"/>
      <c r="DG46" s="35"/>
      <c r="DH46" s="27"/>
      <c r="DI46" s="36"/>
      <c r="DJ46" s="623">
        <f t="shared" si="1"/>
        <v>66815</v>
      </c>
      <c r="DK46" s="38">
        <f t="shared" si="2"/>
        <v>66815</v>
      </c>
    </row>
    <row r="47" spans="2:115" s="39" customFormat="1" ht="22.5">
      <c r="B47" s="97">
        <v>32</v>
      </c>
      <c r="C47" s="97" t="s">
        <v>39</v>
      </c>
      <c r="D47" s="532">
        <v>30476983</v>
      </c>
      <c r="E47" s="48" t="s">
        <v>2577</v>
      </c>
      <c r="F47" s="626" t="s">
        <v>146</v>
      </c>
      <c r="G47" s="26" t="s">
        <v>2535</v>
      </c>
      <c r="H47" s="26" t="s">
        <v>2578</v>
      </c>
      <c r="I47" s="626" t="s">
        <v>2537</v>
      </c>
      <c r="J47" s="34">
        <v>793558</v>
      </c>
      <c r="K47" s="34">
        <v>668440</v>
      </c>
      <c r="L47" s="34">
        <v>1</v>
      </c>
      <c r="M47" s="34">
        <v>1898</v>
      </c>
      <c r="N47" s="34">
        <v>1898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>
        <f t="shared" si="0"/>
        <v>3796</v>
      </c>
      <c r="Z47" s="31">
        <v>125117</v>
      </c>
      <c r="AA47" s="32">
        <v>1</v>
      </c>
      <c r="AB47" s="33">
        <v>44207</v>
      </c>
      <c r="AC47" s="36">
        <v>44214</v>
      </c>
      <c r="AD47" s="31"/>
      <c r="AE47" s="35"/>
      <c r="AF47" s="27"/>
      <c r="AG47" s="36"/>
      <c r="AH47" s="31"/>
      <c r="AI47" s="35"/>
      <c r="AJ47" s="27"/>
      <c r="AK47" s="36"/>
      <c r="AL47" s="31"/>
      <c r="AM47" s="35"/>
      <c r="AN47" s="36"/>
      <c r="AO47" s="36"/>
      <c r="AP47" s="31"/>
      <c r="AQ47" s="35"/>
      <c r="AR47" s="27"/>
      <c r="AS47" s="36"/>
      <c r="AT47" s="31"/>
      <c r="AU47" s="35"/>
      <c r="AV47" s="27"/>
      <c r="AW47" s="36"/>
      <c r="AX47" s="31"/>
      <c r="AY47" s="35"/>
      <c r="AZ47" s="27"/>
      <c r="BA47" s="36"/>
      <c r="BB47" s="31"/>
      <c r="BC47" s="35"/>
      <c r="BD47" s="27"/>
      <c r="BE47" s="36"/>
      <c r="BF47" s="31"/>
      <c r="BG47" s="35"/>
      <c r="BH47" s="27"/>
      <c r="BI47" s="36"/>
      <c r="BJ47" s="31"/>
      <c r="BK47" s="35"/>
      <c r="BL47" s="27"/>
      <c r="BM47" s="36"/>
      <c r="BN47" s="35"/>
      <c r="BO47" s="35"/>
      <c r="BP47" s="27"/>
      <c r="BQ47" s="36"/>
      <c r="BR47" s="31"/>
      <c r="BS47" s="35"/>
      <c r="BT47" s="27"/>
      <c r="BU47" s="36"/>
      <c r="BV47" s="31"/>
      <c r="BW47" s="35"/>
      <c r="BX47" s="27"/>
      <c r="BY47" s="36"/>
      <c r="BZ47" s="31"/>
      <c r="CA47" s="35"/>
      <c r="CB47" s="27"/>
      <c r="CC47" s="36"/>
      <c r="CD47" s="31"/>
      <c r="CE47" s="35"/>
      <c r="CF47" s="27"/>
      <c r="CG47" s="36"/>
      <c r="CH47" s="31"/>
      <c r="CI47" s="35"/>
      <c r="CJ47" s="27"/>
      <c r="CK47" s="36"/>
      <c r="CL47" s="31"/>
      <c r="CM47" s="35"/>
      <c r="CN47" s="27"/>
      <c r="CO47" s="36"/>
      <c r="CP47" s="31"/>
      <c r="CQ47" s="35"/>
      <c r="CR47" s="27"/>
      <c r="CS47" s="36"/>
      <c r="CT47" s="31">
        <v>-111831</v>
      </c>
      <c r="CU47" s="35">
        <v>39</v>
      </c>
      <c r="CV47" s="33">
        <v>44431</v>
      </c>
      <c r="CW47" s="36">
        <v>44435</v>
      </c>
      <c r="CX47" s="31"/>
      <c r="CY47" s="35"/>
      <c r="CZ47" s="27"/>
      <c r="DA47" s="36"/>
      <c r="DB47" s="31"/>
      <c r="DC47" s="35"/>
      <c r="DD47" s="27"/>
      <c r="DE47" s="36"/>
      <c r="DF47" s="31"/>
      <c r="DG47" s="35"/>
      <c r="DH47" s="27"/>
      <c r="DI47" s="36"/>
      <c r="DJ47" s="623">
        <f t="shared" si="1"/>
        <v>13286</v>
      </c>
      <c r="DK47" s="38">
        <f t="shared" si="2"/>
        <v>9490</v>
      </c>
    </row>
    <row r="48" spans="2:115" s="39" customFormat="1" ht="22.5">
      <c r="B48" s="97">
        <v>33</v>
      </c>
      <c r="C48" s="97" t="s">
        <v>39</v>
      </c>
      <c r="D48" s="532">
        <v>30478990</v>
      </c>
      <c r="E48" s="48" t="s">
        <v>2579</v>
      </c>
      <c r="F48" s="626" t="s">
        <v>158</v>
      </c>
      <c r="G48" s="26" t="s">
        <v>2542</v>
      </c>
      <c r="H48" s="26" t="s">
        <v>2543</v>
      </c>
      <c r="I48" s="626" t="s">
        <v>2537</v>
      </c>
      <c r="J48" s="34">
        <v>156247</v>
      </c>
      <c r="K48" s="34">
        <v>25699</v>
      </c>
      <c r="L48" s="34">
        <v>0</v>
      </c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>
        <f t="shared" si="0"/>
        <v>0</v>
      </c>
      <c r="Z48" s="31">
        <v>97277</v>
      </c>
      <c r="AA48" s="32">
        <v>1</v>
      </c>
      <c r="AB48" s="33">
        <v>44207</v>
      </c>
      <c r="AC48" s="36">
        <v>44214</v>
      </c>
      <c r="AD48" s="31"/>
      <c r="AE48" s="35"/>
      <c r="AF48" s="27"/>
      <c r="AG48" s="36"/>
      <c r="AH48" s="31"/>
      <c r="AI48" s="35"/>
      <c r="AJ48" s="27"/>
      <c r="AK48" s="36"/>
      <c r="AL48" s="31"/>
      <c r="AM48" s="35"/>
      <c r="AN48" s="36"/>
      <c r="AO48" s="36"/>
      <c r="AP48" s="31"/>
      <c r="AQ48" s="35"/>
      <c r="AR48" s="27"/>
      <c r="AS48" s="36"/>
      <c r="AT48" s="31"/>
      <c r="AU48" s="35"/>
      <c r="AV48" s="27"/>
      <c r="AW48" s="36"/>
      <c r="AX48" s="31"/>
      <c r="AY48" s="35"/>
      <c r="AZ48" s="27"/>
      <c r="BA48" s="36"/>
      <c r="BB48" s="31"/>
      <c r="BC48" s="35"/>
      <c r="BD48" s="27"/>
      <c r="BE48" s="36"/>
      <c r="BF48" s="31"/>
      <c r="BG48" s="35"/>
      <c r="BH48" s="27"/>
      <c r="BI48" s="36"/>
      <c r="BJ48" s="31"/>
      <c r="BK48" s="35"/>
      <c r="BL48" s="27"/>
      <c r="BM48" s="36"/>
      <c r="BN48" s="35"/>
      <c r="BO48" s="35"/>
      <c r="BP48" s="27"/>
      <c r="BQ48" s="36"/>
      <c r="BR48" s="31"/>
      <c r="BS48" s="35"/>
      <c r="BT48" s="27"/>
      <c r="BU48" s="36"/>
      <c r="BV48" s="31"/>
      <c r="BW48" s="35"/>
      <c r="BX48" s="27"/>
      <c r="BY48" s="36"/>
      <c r="BZ48" s="31"/>
      <c r="CA48" s="35"/>
      <c r="CB48" s="27"/>
      <c r="CC48" s="36"/>
      <c r="CD48" s="31"/>
      <c r="CE48" s="35"/>
      <c r="CF48" s="27"/>
      <c r="CG48" s="36"/>
      <c r="CH48" s="31"/>
      <c r="CI48" s="35"/>
      <c r="CJ48" s="27"/>
      <c r="CK48" s="36"/>
      <c r="CL48" s="31"/>
      <c r="CM48" s="35"/>
      <c r="CN48" s="27"/>
      <c r="CO48" s="36"/>
      <c r="CP48" s="31"/>
      <c r="CQ48" s="35"/>
      <c r="CR48" s="27"/>
      <c r="CS48" s="36"/>
      <c r="CT48" s="31"/>
      <c r="CU48" s="35"/>
      <c r="CV48" s="27"/>
      <c r="CW48" s="36"/>
      <c r="CX48" s="31"/>
      <c r="CY48" s="35"/>
      <c r="CZ48" s="27"/>
      <c r="DA48" s="36"/>
      <c r="DB48" s="31"/>
      <c r="DC48" s="35"/>
      <c r="DD48" s="27"/>
      <c r="DE48" s="36"/>
      <c r="DF48" s="31"/>
      <c r="DG48" s="35"/>
      <c r="DH48" s="27"/>
      <c r="DI48" s="36"/>
      <c r="DJ48" s="623">
        <f t="shared" si="1"/>
        <v>97277</v>
      </c>
      <c r="DK48" s="38">
        <f t="shared" si="2"/>
        <v>97277</v>
      </c>
    </row>
    <row r="49" spans="2:115" s="39" customFormat="1" ht="22.5">
      <c r="B49" s="97">
        <v>34</v>
      </c>
      <c r="C49" s="97" t="s">
        <v>39</v>
      </c>
      <c r="D49" s="532">
        <v>30480796</v>
      </c>
      <c r="E49" s="48" t="s">
        <v>2580</v>
      </c>
      <c r="F49" s="626" t="s">
        <v>158</v>
      </c>
      <c r="G49" s="26" t="s">
        <v>2535</v>
      </c>
      <c r="H49" s="26" t="s">
        <v>2539</v>
      </c>
      <c r="I49" s="626" t="s">
        <v>2537</v>
      </c>
      <c r="J49" s="34">
        <v>37951</v>
      </c>
      <c r="K49" s="34">
        <v>11712</v>
      </c>
      <c r="L49" s="34">
        <v>0</v>
      </c>
      <c r="M49" s="34"/>
      <c r="N49" s="34"/>
      <c r="O49" s="34"/>
      <c r="P49" s="34"/>
      <c r="Q49" s="34"/>
      <c r="R49" s="34">
        <v>7740</v>
      </c>
      <c r="S49" s="34"/>
      <c r="T49" s="34"/>
      <c r="U49" s="34"/>
      <c r="V49" s="34"/>
      <c r="W49" s="34"/>
      <c r="X49" s="34"/>
      <c r="Y49" s="34">
        <f t="shared" si="0"/>
        <v>7740</v>
      </c>
      <c r="Z49" s="31">
        <v>26239</v>
      </c>
      <c r="AA49" s="32">
        <v>1</v>
      </c>
      <c r="AB49" s="33">
        <v>44207</v>
      </c>
      <c r="AC49" s="36">
        <v>44214</v>
      </c>
      <c r="AD49" s="31"/>
      <c r="AE49" s="35"/>
      <c r="AF49" s="27"/>
      <c r="AG49" s="36"/>
      <c r="AH49" s="31"/>
      <c r="AI49" s="35"/>
      <c r="AJ49" s="27"/>
      <c r="AK49" s="36"/>
      <c r="AL49" s="31"/>
      <c r="AM49" s="35"/>
      <c r="AN49" s="36"/>
      <c r="AO49" s="36"/>
      <c r="AP49" s="31"/>
      <c r="AQ49" s="35"/>
      <c r="AR49" s="27"/>
      <c r="AS49" s="36"/>
      <c r="AT49" s="31"/>
      <c r="AU49" s="35"/>
      <c r="AV49" s="27"/>
      <c r="AW49" s="36"/>
      <c r="AX49" s="31"/>
      <c r="AY49" s="35"/>
      <c r="AZ49" s="27"/>
      <c r="BA49" s="36"/>
      <c r="BB49" s="31"/>
      <c r="BC49" s="35"/>
      <c r="BD49" s="27"/>
      <c r="BE49" s="36"/>
      <c r="BF49" s="31"/>
      <c r="BG49" s="35"/>
      <c r="BH49" s="27"/>
      <c r="BI49" s="36"/>
      <c r="BJ49" s="31"/>
      <c r="BK49" s="35"/>
      <c r="BL49" s="27"/>
      <c r="BM49" s="36"/>
      <c r="BN49" s="35"/>
      <c r="BO49" s="35"/>
      <c r="BP49" s="27"/>
      <c r="BQ49" s="36"/>
      <c r="BR49" s="31"/>
      <c r="BS49" s="35"/>
      <c r="BT49" s="27"/>
      <c r="BU49" s="36"/>
      <c r="BV49" s="31"/>
      <c r="BW49" s="35"/>
      <c r="BX49" s="27"/>
      <c r="BY49" s="36"/>
      <c r="BZ49" s="31"/>
      <c r="CA49" s="35"/>
      <c r="CB49" s="27"/>
      <c r="CC49" s="36"/>
      <c r="CD49" s="31"/>
      <c r="CE49" s="35"/>
      <c r="CF49" s="27"/>
      <c r="CG49" s="36"/>
      <c r="CH49" s="31"/>
      <c r="CI49" s="35"/>
      <c r="CJ49" s="27"/>
      <c r="CK49" s="36"/>
      <c r="CL49" s="31"/>
      <c r="CM49" s="35"/>
      <c r="CN49" s="27"/>
      <c r="CO49" s="36"/>
      <c r="CP49" s="31"/>
      <c r="CQ49" s="35"/>
      <c r="CR49" s="27"/>
      <c r="CS49" s="36"/>
      <c r="CT49" s="31"/>
      <c r="CU49" s="35"/>
      <c r="CV49" s="27"/>
      <c r="CW49" s="36"/>
      <c r="CX49" s="31"/>
      <c r="CY49" s="35"/>
      <c r="CZ49" s="27"/>
      <c r="DA49" s="36"/>
      <c r="DB49" s="31"/>
      <c r="DC49" s="35"/>
      <c r="DD49" s="27"/>
      <c r="DE49" s="36"/>
      <c r="DF49" s="31"/>
      <c r="DG49" s="35"/>
      <c r="DH49" s="27"/>
      <c r="DI49" s="36"/>
      <c r="DJ49" s="623">
        <f t="shared" si="1"/>
        <v>26239</v>
      </c>
      <c r="DK49" s="38">
        <f t="shared" si="2"/>
        <v>18499</v>
      </c>
    </row>
    <row r="50" spans="2:115" s="39" customFormat="1" ht="22.5">
      <c r="B50" s="97">
        <v>35</v>
      </c>
      <c r="C50" s="97" t="s">
        <v>39</v>
      </c>
      <c r="D50" s="532">
        <v>30481819</v>
      </c>
      <c r="E50" s="48" t="s">
        <v>2581</v>
      </c>
      <c r="F50" s="626" t="s">
        <v>146</v>
      </c>
      <c r="G50" s="26" t="s">
        <v>2535</v>
      </c>
      <c r="H50" s="26" t="s">
        <v>2539</v>
      </c>
      <c r="I50" s="626" t="s">
        <v>2537</v>
      </c>
      <c r="J50" s="34">
        <v>4931962</v>
      </c>
      <c r="K50" s="34">
        <v>213752</v>
      </c>
      <c r="L50" s="34">
        <v>1690654</v>
      </c>
      <c r="M50" s="34">
        <v>118493</v>
      </c>
      <c r="N50" s="34">
        <v>112960</v>
      </c>
      <c r="O50" s="34">
        <v>166745</v>
      </c>
      <c r="P50" s="34"/>
      <c r="Q50" s="34">
        <v>194948</v>
      </c>
      <c r="R50" s="34"/>
      <c r="S50" s="34">
        <v>682333</v>
      </c>
      <c r="T50" s="34"/>
      <c r="U50" s="34">
        <v>393911</v>
      </c>
      <c r="V50" s="34" t="s">
        <v>2552</v>
      </c>
      <c r="W50" s="34"/>
      <c r="X50" s="34"/>
      <c r="Y50" s="34">
        <f t="shared" si="0"/>
        <v>1669390</v>
      </c>
      <c r="Z50" s="31">
        <f>815000</f>
        <v>815000</v>
      </c>
      <c r="AA50" s="32">
        <v>1</v>
      </c>
      <c r="AB50" s="33">
        <v>44207</v>
      </c>
      <c r="AC50" s="36">
        <v>44214</v>
      </c>
      <c r="AD50" s="31"/>
      <c r="AE50" s="35"/>
      <c r="AF50" s="27"/>
      <c r="AG50" s="36"/>
      <c r="AH50" s="31"/>
      <c r="AI50" s="35"/>
      <c r="AJ50" s="27"/>
      <c r="AK50" s="36"/>
      <c r="AL50" s="31">
        <v>300000</v>
      </c>
      <c r="AM50" s="35">
        <v>13</v>
      </c>
      <c r="AN50" s="36">
        <v>44277</v>
      </c>
      <c r="AO50" s="36">
        <v>44281</v>
      </c>
      <c r="AP50" s="31"/>
      <c r="AQ50" s="35"/>
      <c r="AR50" s="27"/>
      <c r="AS50" s="36"/>
      <c r="AT50" s="31"/>
      <c r="AU50" s="35"/>
      <c r="AV50" s="27"/>
      <c r="AW50" s="36"/>
      <c r="AX50" s="31"/>
      <c r="AY50" s="35"/>
      <c r="AZ50" s="27"/>
      <c r="BA50" s="36"/>
      <c r="BB50" s="31"/>
      <c r="BC50" s="35"/>
      <c r="BD50" s="27"/>
      <c r="BE50" s="36"/>
      <c r="BF50" s="31"/>
      <c r="BG50" s="35"/>
      <c r="BH50" s="27"/>
      <c r="BI50" s="36"/>
      <c r="BJ50" s="31"/>
      <c r="BK50" s="35"/>
      <c r="BL50" s="27"/>
      <c r="BM50" s="36"/>
      <c r="BN50" s="35">
        <v>500000</v>
      </c>
      <c r="BO50" s="35">
        <v>28</v>
      </c>
      <c r="BP50" s="33">
        <v>44363</v>
      </c>
      <c r="BQ50" s="36">
        <v>44371</v>
      </c>
      <c r="BR50" s="31"/>
      <c r="BS50" s="35"/>
      <c r="BT50" s="27"/>
      <c r="BU50" s="36"/>
      <c r="BV50" s="31"/>
      <c r="BW50" s="35"/>
      <c r="BX50" s="27"/>
      <c r="BY50" s="36"/>
      <c r="BZ50" s="31"/>
      <c r="CA50" s="35"/>
      <c r="CB50" s="27"/>
      <c r="CC50" s="36"/>
      <c r="CD50" s="31">
        <v>112000</v>
      </c>
      <c r="CE50" s="35">
        <v>32</v>
      </c>
      <c r="CF50" s="33">
        <v>44389</v>
      </c>
      <c r="CG50" s="36">
        <v>44397</v>
      </c>
      <c r="CH50" s="31"/>
      <c r="CI50" s="35"/>
      <c r="CJ50" s="27"/>
      <c r="CK50" s="36"/>
      <c r="CL50" s="31"/>
      <c r="CM50" s="35"/>
      <c r="CN50" s="27"/>
      <c r="CO50" s="36"/>
      <c r="CP50" s="31">
        <v>500000</v>
      </c>
      <c r="CQ50" s="35">
        <v>37</v>
      </c>
      <c r="CR50" s="33">
        <v>44418</v>
      </c>
      <c r="CS50" s="36">
        <v>44426</v>
      </c>
      <c r="CT50" s="31"/>
      <c r="CU50" s="35"/>
      <c r="CV50" s="27"/>
      <c r="CW50" s="36"/>
      <c r="CX50" s="31"/>
      <c r="CY50" s="35"/>
      <c r="CZ50" s="27"/>
      <c r="DA50" s="36"/>
      <c r="DB50" s="31"/>
      <c r="DC50" s="35"/>
      <c r="DD50" s="27"/>
      <c r="DE50" s="36"/>
      <c r="DF50" s="31"/>
      <c r="DG50" s="35"/>
      <c r="DH50" s="27"/>
      <c r="DI50" s="36"/>
      <c r="DJ50" s="623">
        <f t="shared" si="1"/>
        <v>2227000</v>
      </c>
      <c r="DK50" s="38">
        <f t="shared" si="2"/>
        <v>557610</v>
      </c>
    </row>
    <row r="51" spans="2:115" s="39" customFormat="1" ht="22.5">
      <c r="B51" s="97">
        <v>36</v>
      </c>
      <c r="C51" s="97" t="s">
        <v>39</v>
      </c>
      <c r="D51" s="532">
        <v>30482300</v>
      </c>
      <c r="E51" s="48" t="s">
        <v>2582</v>
      </c>
      <c r="F51" s="626" t="s">
        <v>146</v>
      </c>
      <c r="G51" s="26" t="s">
        <v>2542</v>
      </c>
      <c r="H51" s="26" t="s">
        <v>2543</v>
      </c>
      <c r="I51" s="626" t="s">
        <v>2537</v>
      </c>
      <c r="J51" s="34">
        <v>3436260</v>
      </c>
      <c r="K51" s="34">
        <v>0</v>
      </c>
      <c r="L51" s="34">
        <v>3</v>
      </c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>
        <f t="shared" si="0"/>
        <v>0</v>
      </c>
      <c r="Z51" s="31">
        <f>353000</f>
        <v>353000</v>
      </c>
      <c r="AA51" s="32">
        <v>1</v>
      </c>
      <c r="AB51" s="33">
        <v>44207</v>
      </c>
      <c r="AC51" s="36">
        <v>44214</v>
      </c>
      <c r="AD51" s="31"/>
      <c r="AE51" s="35"/>
      <c r="AF51" s="27"/>
      <c r="AG51" s="36"/>
      <c r="AH51" s="31">
        <v>181000</v>
      </c>
      <c r="AI51" s="35">
        <v>9</v>
      </c>
      <c r="AJ51" s="36">
        <v>44244</v>
      </c>
      <c r="AK51" s="36">
        <v>44249</v>
      </c>
      <c r="AL51" s="31">
        <v>362000</v>
      </c>
      <c r="AM51" s="35">
        <v>13</v>
      </c>
      <c r="AN51" s="36">
        <v>44277</v>
      </c>
      <c r="AO51" s="36">
        <v>44281</v>
      </c>
      <c r="AP51" s="31"/>
      <c r="AQ51" s="35"/>
      <c r="AR51" s="27"/>
      <c r="AS51" s="36"/>
      <c r="AT51" s="31"/>
      <c r="AU51" s="35"/>
      <c r="AV51" s="27"/>
      <c r="AW51" s="36"/>
      <c r="AX51" s="31"/>
      <c r="AY51" s="35"/>
      <c r="AZ51" s="27"/>
      <c r="BA51" s="36"/>
      <c r="BB51" s="31"/>
      <c r="BC51" s="35"/>
      <c r="BD51" s="27"/>
      <c r="BE51" s="36"/>
      <c r="BF51" s="31"/>
      <c r="BG51" s="35"/>
      <c r="BH51" s="27"/>
      <c r="BI51" s="36"/>
      <c r="BJ51" s="31"/>
      <c r="BK51" s="35"/>
      <c r="BL51" s="27"/>
      <c r="BM51" s="36"/>
      <c r="BN51" s="35"/>
      <c r="BO51" s="35"/>
      <c r="BP51" s="27"/>
      <c r="BQ51" s="36"/>
      <c r="BR51" s="31"/>
      <c r="BS51" s="35"/>
      <c r="BT51" s="27"/>
      <c r="BU51" s="36"/>
      <c r="BV51" s="31"/>
      <c r="BW51" s="35"/>
      <c r="BX51" s="27"/>
      <c r="BY51" s="36"/>
      <c r="BZ51" s="31"/>
      <c r="CA51" s="35"/>
      <c r="CB51" s="27"/>
      <c r="CC51" s="36"/>
      <c r="CD51" s="31"/>
      <c r="CE51" s="35"/>
      <c r="CF51" s="27"/>
      <c r="CG51" s="36"/>
      <c r="CH51" s="31"/>
      <c r="CI51" s="35"/>
      <c r="CJ51" s="27"/>
      <c r="CK51" s="36"/>
      <c r="CL51" s="31"/>
      <c r="CM51" s="35"/>
      <c r="CN51" s="27"/>
      <c r="CO51" s="36"/>
      <c r="CP51" s="31">
        <v>255000</v>
      </c>
      <c r="CQ51" s="35">
        <v>37</v>
      </c>
      <c r="CR51" s="33">
        <v>44418</v>
      </c>
      <c r="CS51" s="36">
        <v>44426</v>
      </c>
      <c r="CT51" s="31"/>
      <c r="CU51" s="35"/>
      <c r="CV51" s="27"/>
      <c r="CW51" s="36"/>
      <c r="CX51" s="31"/>
      <c r="CY51" s="35"/>
      <c r="CZ51" s="27"/>
      <c r="DA51" s="36"/>
      <c r="DB51" s="31"/>
      <c r="DC51" s="35"/>
      <c r="DD51" s="27"/>
      <c r="DE51" s="36"/>
      <c r="DF51" s="31"/>
      <c r="DG51" s="35"/>
      <c r="DH51" s="27"/>
      <c r="DI51" s="36"/>
      <c r="DJ51" s="623">
        <f t="shared" si="1"/>
        <v>1151000</v>
      </c>
      <c r="DK51" s="38">
        <f t="shared" si="2"/>
        <v>1151000</v>
      </c>
    </row>
    <row r="52" spans="2:115" s="39" customFormat="1" ht="22.5">
      <c r="B52" s="97">
        <v>37</v>
      </c>
      <c r="C52" s="97" t="s">
        <v>39</v>
      </c>
      <c r="D52" s="532">
        <v>30483336</v>
      </c>
      <c r="E52" s="48" t="s">
        <v>2583</v>
      </c>
      <c r="F52" s="626" t="s">
        <v>146</v>
      </c>
      <c r="G52" s="26" t="s">
        <v>2535</v>
      </c>
      <c r="H52" s="26" t="s">
        <v>2539</v>
      </c>
      <c r="I52" s="626" t="s">
        <v>2537</v>
      </c>
      <c r="J52" s="34">
        <v>433685</v>
      </c>
      <c r="K52" s="34">
        <v>0</v>
      </c>
      <c r="L52" s="34">
        <v>0</v>
      </c>
      <c r="M52" s="34"/>
      <c r="N52" s="34"/>
      <c r="O52" s="34">
        <v>28277</v>
      </c>
      <c r="P52" s="34">
        <v>40074</v>
      </c>
      <c r="Q52" s="34">
        <v>21325</v>
      </c>
      <c r="R52" s="34">
        <v>83674</v>
      </c>
      <c r="S52" s="34">
        <v>40145</v>
      </c>
      <c r="T52" s="34">
        <v>13860</v>
      </c>
      <c r="U52" s="34">
        <v>40935</v>
      </c>
      <c r="V52" s="34" t="s">
        <v>2552</v>
      </c>
      <c r="W52" s="34"/>
      <c r="X52" s="34"/>
      <c r="Y52" s="34">
        <f t="shared" si="0"/>
        <v>268290</v>
      </c>
      <c r="Z52" s="31">
        <f>60000</f>
        <v>60000</v>
      </c>
      <c r="AA52" s="32">
        <v>1</v>
      </c>
      <c r="AB52" s="33">
        <v>44207</v>
      </c>
      <c r="AC52" s="36">
        <v>44214</v>
      </c>
      <c r="AD52" s="31"/>
      <c r="AE52" s="35"/>
      <c r="AF52" s="27"/>
      <c r="AG52" s="36"/>
      <c r="AH52" s="31">
        <v>30000</v>
      </c>
      <c r="AI52" s="35">
        <v>9</v>
      </c>
      <c r="AJ52" s="36">
        <v>44244</v>
      </c>
      <c r="AK52" s="36">
        <v>44249</v>
      </c>
      <c r="AL52" s="31"/>
      <c r="AM52" s="35"/>
      <c r="AN52" s="36"/>
      <c r="AO52" s="36"/>
      <c r="AP52" s="31"/>
      <c r="AQ52" s="35"/>
      <c r="AR52" s="27"/>
      <c r="AS52" s="36"/>
      <c r="AT52" s="31"/>
      <c r="AU52" s="35"/>
      <c r="AV52" s="27"/>
      <c r="AW52" s="36"/>
      <c r="AX52" s="31">
        <v>313974</v>
      </c>
      <c r="AY52" s="35">
        <v>18</v>
      </c>
      <c r="AZ52" s="36">
        <v>44308</v>
      </c>
      <c r="BA52" s="36">
        <v>44314</v>
      </c>
      <c r="BB52" s="31"/>
      <c r="BC52" s="35"/>
      <c r="BD52" s="27"/>
      <c r="BE52" s="36"/>
      <c r="BF52" s="31"/>
      <c r="BG52" s="35"/>
      <c r="BH52" s="27"/>
      <c r="BI52" s="36"/>
      <c r="BJ52" s="31"/>
      <c r="BK52" s="35"/>
      <c r="BL52" s="27"/>
      <c r="BM52" s="36"/>
      <c r="BN52" s="35"/>
      <c r="BO52" s="35"/>
      <c r="BP52" s="27"/>
      <c r="BQ52" s="36"/>
      <c r="BR52" s="31"/>
      <c r="BS52" s="35"/>
      <c r="BT52" s="27"/>
      <c r="BU52" s="36"/>
      <c r="BV52" s="31"/>
      <c r="BW52" s="35"/>
      <c r="BX52" s="27"/>
      <c r="BY52" s="36"/>
      <c r="BZ52" s="31"/>
      <c r="CA52" s="35"/>
      <c r="CB52" s="27"/>
      <c r="CC52" s="36"/>
      <c r="CD52" s="31"/>
      <c r="CE52" s="35"/>
      <c r="CF52" s="27"/>
      <c r="CG52" s="36"/>
      <c r="CH52" s="31"/>
      <c r="CI52" s="35"/>
      <c r="CJ52" s="27"/>
      <c r="CK52" s="36"/>
      <c r="CL52" s="31"/>
      <c r="CM52" s="35"/>
      <c r="CN52" s="27"/>
      <c r="CO52" s="36"/>
      <c r="CP52" s="31"/>
      <c r="CQ52" s="35"/>
      <c r="CR52" s="27"/>
      <c r="CS52" s="36"/>
      <c r="CT52" s="31"/>
      <c r="CU52" s="35"/>
      <c r="CV52" s="27"/>
      <c r="CW52" s="36"/>
      <c r="CX52" s="31"/>
      <c r="CY52" s="35"/>
      <c r="CZ52" s="27"/>
      <c r="DA52" s="36"/>
      <c r="DB52" s="31"/>
      <c r="DC52" s="35"/>
      <c r="DD52" s="27"/>
      <c r="DE52" s="36"/>
      <c r="DF52" s="31"/>
      <c r="DG52" s="35"/>
      <c r="DH52" s="27"/>
      <c r="DI52" s="36"/>
      <c r="DJ52" s="623">
        <f t="shared" si="1"/>
        <v>403974</v>
      </c>
      <c r="DK52" s="38">
        <f t="shared" si="2"/>
        <v>135684</v>
      </c>
    </row>
    <row r="53" spans="2:115" s="39" customFormat="1" ht="33.75">
      <c r="B53" s="97">
        <v>38</v>
      </c>
      <c r="C53" s="97" t="s">
        <v>39</v>
      </c>
      <c r="D53" s="532">
        <v>30483766</v>
      </c>
      <c r="E53" s="48" t="s">
        <v>2584</v>
      </c>
      <c r="F53" s="626" t="s">
        <v>146</v>
      </c>
      <c r="G53" s="26" t="s">
        <v>2535</v>
      </c>
      <c r="H53" s="26" t="s">
        <v>2539</v>
      </c>
      <c r="I53" s="626" t="s">
        <v>2537</v>
      </c>
      <c r="J53" s="34">
        <v>1026255</v>
      </c>
      <c r="K53" s="34">
        <v>306960</v>
      </c>
      <c r="L53" s="34">
        <v>0</v>
      </c>
      <c r="M53" s="34">
        <v>29225</v>
      </c>
      <c r="N53" s="34"/>
      <c r="O53" s="34">
        <v>17036</v>
      </c>
      <c r="P53" s="34">
        <v>6909</v>
      </c>
      <c r="Q53" s="34"/>
      <c r="R53" s="34">
        <v>6586</v>
      </c>
      <c r="S53" s="34"/>
      <c r="T53" s="34"/>
      <c r="U53" s="34">
        <v>7356</v>
      </c>
      <c r="V53" s="34" t="s">
        <v>2552</v>
      </c>
      <c r="W53" s="34"/>
      <c r="X53" s="34"/>
      <c r="Y53" s="34">
        <f t="shared" si="0"/>
        <v>67112</v>
      </c>
      <c r="Z53" s="31">
        <v>719295</v>
      </c>
      <c r="AA53" s="32">
        <v>1</v>
      </c>
      <c r="AB53" s="33">
        <v>44207</v>
      </c>
      <c r="AC53" s="36">
        <v>44214</v>
      </c>
      <c r="AD53" s="31"/>
      <c r="AE53" s="35"/>
      <c r="AF53" s="27"/>
      <c r="AG53" s="36"/>
      <c r="AH53" s="31"/>
      <c r="AI53" s="35"/>
      <c r="AJ53" s="36"/>
      <c r="AK53" s="36"/>
      <c r="AL53" s="31"/>
      <c r="AM53" s="35"/>
      <c r="AN53" s="36"/>
      <c r="AO53" s="36"/>
      <c r="AP53" s="31"/>
      <c r="AQ53" s="35"/>
      <c r="AR53" s="27"/>
      <c r="AS53" s="36"/>
      <c r="AT53" s="31"/>
      <c r="AU53" s="35"/>
      <c r="AV53" s="27"/>
      <c r="AW53" s="36"/>
      <c r="AX53" s="31"/>
      <c r="AY53" s="35"/>
      <c r="AZ53" s="27"/>
      <c r="BA53" s="36"/>
      <c r="BB53" s="31"/>
      <c r="BC53" s="35"/>
      <c r="BD53" s="27"/>
      <c r="BE53" s="36"/>
      <c r="BF53" s="31"/>
      <c r="BG53" s="35"/>
      <c r="BH53" s="27"/>
      <c r="BI53" s="36"/>
      <c r="BJ53" s="31"/>
      <c r="BK53" s="35"/>
      <c r="BL53" s="27"/>
      <c r="BM53" s="36"/>
      <c r="BN53" s="35"/>
      <c r="BO53" s="35"/>
      <c r="BP53" s="27"/>
      <c r="BQ53" s="36"/>
      <c r="BR53" s="31"/>
      <c r="BS53" s="35"/>
      <c r="BT53" s="27"/>
      <c r="BU53" s="36"/>
      <c r="BV53" s="31"/>
      <c r="BW53" s="35"/>
      <c r="BX53" s="27"/>
      <c r="BY53" s="36"/>
      <c r="BZ53" s="31"/>
      <c r="CA53" s="35"/>
      <c r="CB53" s="27"/>
      <c r="CC53" s="36"/>
      <c r="CD53" s="31"/>
      <c r="CE53" s="35"/>
      <c r="CF53" s="27"/>
      <c r="CG53" s="36"/>
      <c r="CH53" s="31"/>
      <c r="CI53" s="35"/>
      <c r="CJ53" s="27"/>
      <c r="CK53" s="36"/>
      <c r="CL53" s="31"/>
      <c r="CM53" s="35"/>
      <c r="CN53" s="27"/>
      <c r="CO53" s="36"/>
      <c r="CP53" s="31">
        <v>-206730</v>
      </c>
      <c r="CQ53" s="35">
        <v>37</v>
      </c>
      <c r="CR53" s="33">
        <v>44418</v>
      </c>
      <c r="CS53" s="36">
        <v>44426</v>
      </c>
      <c r="CT53" s="31"/>
      <c r="CU53" s="35"/>
      <c r="CV53" s="27"/>
      <c r="CW53" s="36"/>
      <c r="CX53" s="31"/>
      <c r="CY53" s="35"/>
      <c r="CZ53" s="27"/>
      <c r="DA53" s="36"/>
      <c r="DB53" s="31"/>
      <c r="DC53" s="35"/>
      <c r="DD53" s="27"/>
      <c r="DE53" s="36"/>
      <c r="DF53" s="31"/>
      <c r="DG53" s="35"/>
      <c r="DH53" s="27"/>
      <c r="DI53" s="36"/>
      <c r="DJ53" s="623">
        <f t="shared" si="1"/>
        <v>512565</v>
      </c>
      <c r="DK53" s="38">
        <f t="shared" si="2"/>
        <v>445453</v>
      </c>
    </row>
    <row r="54" spans="2:115" s="39" customFormat="1" ht="22.5">
      <c r="B54" s="97">
        <v>39</v>
      </c>
      <c r="C54" s="97" t="s">
        <v>39</v>
      </c>
      <c r="D54" s="532">
        <v>30484501</v>
      </c>
      <c r="E54" s="48" t="s">
        <v>2585</v>
      </c>
      <c r="F54" s="626" t="s">
        <v>158</v>
      </c>
      <c r="G54" s="26" t="s">
        <v>2535</v>
      </c>
      <c r="H54" s="26" t="s">
        <v>2539</v>
      </c>
      <c r="I54" s="626" t="s">
        <v>2537</v>
      </c>
      <c r="J54" s="34">
        <v>17164</v>
      </c>
      <c r="K54" s="34">
        <v>5731</v>
      </c>
      <c r="L54" s="34">
        <v>0</v>
      </c>
      <c r="M54" s="34"/>
      <c r="N54" s="34"/>
      <c r="O54" s="34"/>
      <c r="P54" s="34"/>
      <c r="Q54" s="34"/>
      <c r="R54" s="34">
        <v>3374</v>
      </c>
      <c r="S54" s="34"/>
      <c r="T54" s="34"/>
      <c r="U54" s="34"/>
      <c r="V54" s="34"/>
      <c r="W54" s="34"/>
      <c r="X54" s="34"/>
      <c r="Y54" s="34">
        <f t="shared" si="0"/>
        <v>3374</v>
      </c>
      <c r="Z54" s="31">
        <v>11433</v>
      </c>
      <c r="AA54" s="32">
        <v>1</v>
      </c>
      <c r="AB54" s="33">
        <v>44207</v>
      </c>
      <c r="AC54" s="36">
        <v>44214</v>
      </c>
      <c r="AD54" s="31"/>
      <c r="AE54" s="35"/>
      <c r="AF54" s="27"/>
      <c r="AG54" s="36"/>
      <c r="AH54" s="31"/>
      <c r="AI54" s="35"/>
      <c r="AJ54" s="36"/>
      <c r="AK54" s="36"/>
      <c r="AL54" s="31"/>
      <c r="AM54" s="35"/>
      <c r="AN54" s="36"/>
      <c r="AO54" s="36"/>
      <c r="AP54" s="31"/>
      <c r="AQ54" s="35"/>
      <c r="AR54" s="27"/>
      <c r="AS54" s="36"/>
      <c r="AT54" s="31"/>
      <c r="AU54" s="35"/>
      <c r="AV54" s="27"/>
      <c r="AW54" s="36"/>
      <c r="AX54" s="31"/>
      <c r="AY54" s="35"/>
      <c r="AZ54" s="27"/>
      <c r="BA54" s="36"/>
      <c r="BB54" s="31"/>
      <c r="BC54" s="35"/>
      <c r="BD54" s="27"/>
      <c r="BE54" s="36"/>
      <c r="BF54" s="31"/>
      <c r="BG54" s="35"/>
      <c r="BH54" s="27"/>
      <c r="BI54" s="36"/>
      <c r="BJ54" s="31"/>
      <c r="BK54" s="35"/>
      <c r="BL54" s="27"/>
      <c r="BM54" s="36"/>
      <c r="BN54" s="35"/>
      <c r="BO54" s="35"/>
      <c r="BP54" s="27"/>
      <c r="BQ54" s="36"/>
      <c r="BR54" s="31"/>
      <c r="BS54" s="35"/>
      <c r="BT54" s="27"/>
      <c r="BU54" s="36"/>
      <c r="BV54" s="31"/>
      <c r="BW54" s="35"/>
      <c r="BX54" s="27"/>
      <c r="BY54" s="36"/>
      <c r="BZ54" s="31"/>
      <c r="CA54" s="35"/>
      <c r="CB54" s="27"/>
      <c r="CC54" s="36"/>
      <c r="CD54" s="31"/>
      <c r="CE54" s="35"/>
      <c r="CF54" s="27"/>
      <c r="CG54" s="36"/>
      <c r="CH54" s="31"/>
      <c r="CI54" s="35"/>
      <c r="CJ54" s="27"/>
      <c r="CK54" s="36"/>
      <c r="CL54" s="31"/>
      <c r="CM54" s="35"/>
      <c r="CN54" s="27"/>
      <c r="CO54" s="36"/>
      <c r="CP54" s="31"/>
      <c r="CQ54" s="35"/>
      <c r="CR54" s="27"/>
      <c r="CS54" s="36"/>
      <c r="CT54" s="31"/>
      <c r="CU54" s="35"/>
      <c r="CV54" s="27"/>
      <c r="CW54" s="36"/>
      <c r="CX54" s="31"/>
      <c r="CY54" s="35"/>
      <c r="CZ54" s="27"/>
      <c r="DA54" s="36"/>
      <c r="DB54" s="31"/>
      <c r="DC54" s="35"/>
      <c r="DD54" s="27"/>
      <c r="DE54" s="36"/>
      <c r="DF54" s="31"/>
      <c r="DG54" s="35"/>
      <c r="DH54" s="27"/>
      <c r="DI54" s="36"/>
      <c r="DJ54" s="623">
        <f t="shared" si="1"/>
        <v>11433</v>
      </c>
      <c r="DK54" s="38">
        <f t="shared" si="2"/>
        <v>8059</v>
      </c>
    </row>
    <row r="55" spans="2:115" s="39" customFormat="1" ht="22.5">
      <c r="B55" s="97">
        <v>40</v>
      </c>
      <c r="C55" s="97" t="s">
        <v>39</v>
      </c>
      <c r="D55" s="532">
        <v>30484512</v>
      </c>
      <c r="E55" s="48" t="s">
        <v>2586</v>
      </c>
      <c r="F55" s="626" t="s">
        <v>146</v>
      </c>
      <c r="G55" s="26" t="s">
        <v>2545</v>
      </c>
      <c r="H55" s="26" t="s">
        <v>2546</v>
      </c>
      <c r="I55" s="626" t="s">
        <v>2537</v>
      </c>
      <c r="J55" s="34">
        <v>1754993</v>
      </c>
      <c r="K55" s="34">
        <v>0</v>
      </c>
      <c r="L55" s="34">
        <v>711873</v>
      </c>
      <c r="M55" s="34"/>
      <c r="N55" s="34"/>
      <c r="O55" s="34"/>
      <c r="P55" s="34"/>
      <c r="Q55" s="34"/>
      <c r="R55" s="34">
        <v>50353</v>
      </c>
      <c r="S55" s="34">
        <v>25320</v>
      </c>
      <c r="T55" s="34">
        <v>6916</v>
      </c>
      <c r="U55" s="34">
        <v>3526</v>
      </c>
      <c r="V55" s="34" t="s">
        <v>2552</v>
      </c>
      <c r="W55" s="34"/>
      <c r="X55" s="34"/>
      <c r="Y55" s="34">
        <f t="shared" si="0"/>
        <v>86115</v>
      </c>
      <c r="Z55" s="31">
        <v>106888</v>
      </c>
      <c r="AA55" s="32">
        <v>1</v>
      </c>
      <c r="AB55" s="33">
        <v>44207</v>
      </c>
      <c r="AC55" s="36">
        <v>44214</v>
      </c>
      <c r="AD55" s="31"/>
      <c r="AE55" s="35"/>
      <c r="AF55" s="27"/>
      <c r="AG55" s="36"/>
      <c r="AH55" s="31"/>
      <c r="AI55" s="35"/>
      <c r="AJ55" s="36"/>
      <c r="AK55" s="36"/>
      <c r="AL55" s="31"/>
      <c r="AM55" s="35"/>
      <c r="AN55" s="36"/>
      <c r="AO55" s="36"/>
      <c r="AP55" s="31"/>
      <c r="AQ55" s="35"/>
      <c r="AR55" s="27"/>
      <c r="AS55" s="36"/>
      <c r="AT55" s="31"/>
      <c r="AU55" s="35"/>
      <c r="AV55" s="27"/>
      <c r="AW55" s="36"/>
      <c r="AX55" s="31">
        <v>302000</v>
      </c>
      <c r="AY55" s="35">
        <v>18</v>
      </c>
      <c r="AZ55" s="36">
        <v>44308</v>
      </c>
      <c r="BA55" s="36">
        <v>44314</v>
      </c>
      <c r="BB55" s="31"/>
      <c r="BC55" s="35"/>
      <c r="BD55" s="27"/>
      <c r="BE55" s="36"/>
      <c r="BF55" s="31">
        <v>40000</v>
      </c>
      <c r="BG55" s="35">
        <v>25</v>
      </c>
      <c r="BH55" s="33">
        <v>44329</v>
      </c>
      <c r="BI55" s="36">
        <v>44335</v>
      </c>
      <c r="BJ55" s="31"/>
      <c r="BK55" s="35"/>
      <c r="BL55" s="27"/>
      <c r="BM55" s="36"/>
      <c r="BN55" s="35"/>
      <c r="BO55" s="35"/>
      <c r="BP55" s="27"/>
      <c r="BQ55" s="36"/>
      <c r="BR55" s="31"/>
      <c r="BS55" s="35"/>
      <c r="BT55" s="27"/>
      <c r="BU55" s="36"/>
      <c r="BV55" s="31"/>
      <c r="BW55" s="35"/>
      <c r="BX55" s="27"/>
      <c r="BY55" s="36"/>
      <c r="BZ55" s="31"/>
      <c r="CA55" s="35"/>
      <c r="CB55" s="27"/>
      <c r="CC55" s="36"/>
      <c r="CD55" s="31"/>
      <c r="CE55" s="35"/>
      <c r="CF55" s="27"/>
      <c r="CG55" s="36"/>
      <c r="CH55" s="31"/>
      <c r="CI55" s="35"/>
      <c r="CJ55" s="27"/>
      <c r="CK55" s="36"/>
      <c r="CL55" s="31"/>
      <c r="CM55" s="35"/>
      <c r="CN55" s="27"/>
      <c r="CO55" s="36"/>
      <c r="CP55" s="31"/>
      <c r="CQ55" s="35"/>
      <c r="CR55" s="27"/>
      <c r="CS55" s="36"/>
      <c r="CT55" s="31"/>
      <c r="CU55" s="35"/>
      <c r="CV55" s="27"/>
      <c r="CW55" s="36"/>
      <c r="CX55" s="31"/>
      <c r="CY55" s="35"/>
      <c r="CZ55" s="27"/>
      <c r="DA55" s="36"/>
      <c r="DB55" s="31"/>
      <c r="DC55" s="35"/>
      <c r="DD55" s="27"/>
      <c r="DE55" s="36"/>
      <c r="DF55" s="31"/>
      <c r="DG55" s="35"/>
      <c r="DH55" s="27"/>
      <c r="DI55" s="36"/>
      <c r="DJ55" s="623">
        <f t="shared" si="1"/>
        <v>448888</v>
      </c>
      <c r="DK55" s="38">
        <f t="shared" si="2"/>
        <v>362773</v>
      </c>
    </row>
    <row r="56" spans="2:115" s="39" customFormat="1" ht="22.5">
      <c r="B56" s="97">
        <v>41</v>
      </c>
      <c r="C56" s="97" t="s">
        <v>39</v>
      </c>
      <c r="D56" s="532">
        <v>30484519</v>
      </c>
      <c r="E56" s="48" t="s">
        <v>2587</v>
      </c>
      <c r="F56" s="626" t="s">
        <v>158</v>
      </c>
      <c r="G56" s="26" t="s">
        <v>2535</v>
      </c>
      <c r="H56" s="26" t="s">
        <v>2539</v>
      </c>
      <c r="I56" s="626" t="s">
        <v>2537</v>
      </c>
      <c r="J56" s="34">
        <v>28485</v>
      </c>
      <c r="K56" s="34">
        <v>21848</v>
      </c>
      <c r="L56" s="34">
        <v>0</v>
      </c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>
        <f t="shared" si="0"/>
        <v>0</v>
      </c>
      <c r="Z56" s="31">
        <v>6637</v>
      </c>
      <c r="AA56" s="32">
        <v>1</v>
      </c>
      <c r="AB56" s="33">
        <v>44207</v>
      </c>
      <c r="AC56" s="36">
        <v>44214</v>
      </c>
      <c r="AD56" s="31"/>
      <c r="AE56" s="35"/>
      <c r="AF56" s="27"/>
      <c r="AG56" s="36"/>
      <c r="AH56" s="31"/>
      <c r="AI56" s="35"/>
      <c r="AJ56" s="36"/>
      <c r="AK56" s="36"/>
      <c r="AL56" s="31"/>
      <c r="AM56" s="35"/>
      <c r="AN56" s="36"/>
      <c r="AO56" s="36"/>
      <c r="AP56" s="31"/>
      <c r="AQ56" s="35"/>
      <c r="AR56" s="27"/>
      <c r="AS56" s="36"/>
      <c r="AT56" s="31"/>
      <c r="AU56" s="35"/>
      <c r="AV56" s="27"/>
      <c r="AW56" s="36"/>
      <c r="AX56" s="31"/>
      <c r="AY56" s="35"/>
      <c r="AZ56" s="27"/>
      <c r="BA56" s="36"/>
      <c r="BB56" s="31"/>
      <c r="BC56" s="35"/>
      <c r="BD56" s="27"/>
      <c r="BE56" s="36"/>
      <c r="BF56" s="31"/>
      <c r="BG56" s="35"/>
      <c r="BH56" s="27"/>
      <c r="BI56" s="36"/>
      <c r="BJ56" s="31"/>
      <c r="BK56" s="35"/>
      <c r="BL56" s="27"/>
      <c r="BM56" s="36"/>
      <c r="BN56" s="35"/>
      <c r="BO56" s="35"/>
      <c r="BP56" s="27"/>
      <c r="BQ56" s="36"/>
      <c r="BR56" s="31"/>
      <c r="BS56" s="35"/>
      <c r="BT56" s="27"/>
      <c r="BU56" s="36"/>
      <c r="BV56" s="31"/>
      <c r="BW56" s="35"/>
      <c r="BX56" s="27"/>
      <c r="BY56" s="36"/>
      <c r="BZ56" s="31"/>
      <c r="CA56" s="35"/>
      <c r="CB56" s="27"/>
      <c r="CC56" s="36"/>
      <c r="CD56" s="31"/>
      <c r="CE56" s="35"/>
      <c r="CF56" s="27"/>
      <c r="CG56" s="36"/>
      <c r="CH56" s="31"/>
      <c r="CI56" s="35"/>
      <c r="CJ56" s="27"/>
      <c r="CK56" s="36"/>
      <c r="CL56" s="31"/>
      <c r="CM56" s="35"/>
      <c r="CN56" s="27"/>
      <c r="CO56" s="36"/>
      <c r="CP56" s="31"/>
      <c r="CQ56" s="35"/>
      <c r="CR56" s="27"/>
      <c r="CS56" s="36"/>
      <c r="CT56" s="31"/>
      <c r="CU56" s="35"/>
      <c r="CV56" s="27"/>
      <c r="CW56" s="36"/>
      <c r="CX56" s="31"/>
      <c r="CY56" s="35"/>
      <c r="CZ56" s="27"/>
      <c r="DA56" s="36"/>
      <c r="DB56" s="31"/>
      <c r="DC56" s="35"/>
      <c r="DD56" s="27"/>
      <c r="DE56" s="36"/>
      <c r="DF56" s="31"/>
      <c r="DG56" s="35"/>
      <c r="DH56" s="27"/>
      <c r="DI56" s="36"/>
      <c r="DJ56" s="623">
        <f t="shared" si="1"/>
        <v>6637</v>
      </c>
      <c r="DK56" s="38">
        <f t="shared" si="2"/>
        <v>6637</v>
      </c>
    </row>
    <row r="57" spans="2:115" s="39" customFormat="1" ht="22.5">
      <c r="B57" s="97">
        <v>42</v>
      </c>
      <c r="C57" s="97" t="s">
        <v>39</v>
      </c>
      <c r="D57" s="532">
        <v>30484520</v>
      </c>
      <c r="E57" s="48" t="s">
        <v>2588</v>
      </c>
      <c r="F57" s="626" t="s">
        <v>158</v>
      </c>
      <c r="G57" s="26" t="s">
        <v>2535</v>
      </c>
      <c r="H57" s="26" t="s">
        <v>2539</v>
      </c>
      <c r="I57" s="626" t="s">
        <v>2537</v>
      </c>
      <c r="J57" s="34">
        <v>24127</v>
      </c>
      <c r="K57" s="34">
        <v>18566</v>
      </c>
      <c r="L57" s="34">
        <v>0</v>
      </c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>
        <f t="shared" si="0"/>
        <v>0</v>
      </c>
      <c r="Z57" s="31">
        <v>5561</v>
      </c>
      <c r="AA57" s="32">
        <v>1</v>
      </c>
      <c r="AB57" s="33">
        <v>44207</v>
      </c>
      <c r="AC57" s="36">
        <v>44214</v>
      </c>
      <c r="AD57" s="31"/>
      <c r="AE57" s="35"/>
      <c r="AF57" s="27"/>
      <c r="AG57" s="36"/>
      <c r="AH57" s="31"/>
      <c r="AI57" s="35"/>
      <c r="AJ57" s="36"/>
      <c r="AK57" s="36"/>
      <c r="AL57" s="31"/>
      <c r="AM57" s="35"/>
      <c r="AN57" s="36"/>
      <c r="AO57" s="36"/>
      <c r="AP57" s="31"/>
      <c r="AQ57" s="35"/>
      <c r="AR57" s="27"/>
      <c r="AS57" s="36"/>
      <c r="AT57" s="31"/>
      <c r="AU57" s="35"/>
      <c r="AV57" s="27"/>
      <c r="AW57" s="36"/>
      <c r="AX57" s="31"/>
      <c r="AY57" s="35"/>
      <c r="AZ57" s="27"/>
      <c r="BA57" s="36"/>
      <c r="BB57" s="31"/>
      <c r="BC57" s="35"/>
      <c r="BD57" s="27"/>
      <c r="BE57" s="36"/>
      <c r="BF57" s="31"/>
      <c r="BG57" s="35"/>
      <c r="BH57" s="27"/>
      <c r="BI57" s="36"/>
      <c r="BJ57" s="31"/>
      <c r="BK57" s="35"/>
      <c r="BL57" s="27"/>
      <c r="BM57" s="36"/>
      <c r="BN57" s="35"/>
      <c r="BO57" s="35"/>
      <c r="BP57" s="27"/>
      <c r="BQ57" s="36"/>
      <c r="BR57" s="31"/>
      <c r="BS57" s="35"/>
      <c r="BT57" s="27"/>
      <c r="BU57" s="36"/>
      <c r="BV57" s="31"/>
      <c r="BW57" s="35"/>
      <c r="BX57" s="27"/>
      <c r="BY57" s="36"/>
      <c r="BZ57" s="31"/>
      <c r="CA57" s="35"/>
      <c r="CB57" s="27"/>
      <c r="CC57" s="36"/>
      <c r="CD57" s="31"/>
      <c r="CE57" s="35"/>
      <c r="CF57" s="27"/>
      <c r="CG57" s="36"/>
      <c r="CH57" s="31"/>
      <c r="CI57" s="35"/>
      <c r="CJ57" s="27"/>
      <c r="CK57" s="36"/>
      <c r="CL57" s="31"/>
      <c r="CM57" s="35"/>
      <c r="CN57" s="27"/>
      <c r="CO57" s="36"/>
      <c r="CP57" s="31"/>
      <c r="CQ57" s="35"/>
      <c r="CR57" s="27"/>
      <c r="CS57" s="36"/>
      <c r="CT57" s="31"/>
      <c r="CU57" s="35"/>
      <c r="CV57" s="27"/>
      <c r="CW57" s="36"/>
      <c r="CX57" s="31"/>
      <c r="CY57" s="35"/>
      <c r="CZ57" s="27"/>
      <c r="DA57" s="36"/>
      <c r="DB57" s="31"/>
      <c r="DC57" s="35"/>
      <c r="DD57" s="27"/>
      <c r="DE57" s="36"/>
      <c r="DF57" s="31"/>
      <c r="DG57" s="35"/>
      <c r="DH57" s="27"/>
      <c r="DI57" s="36"/>
      <c r="DJ57" s="623">
        <f t="shared" si="1"/>
        <v>5561</v>
      </c>
      <c r="DK57" s="38">
        <f t="shared" si="2"/>
        <v>5561</v>
      </c>
    </row>
    <row r="58" spans="2:115" s="39" customFormat="1" ht="22.5">
      <c r="B58" s="97">
        <v>43</v>
      </c>
      <c r="C58" s="97" t="s">
        <v>39</v>
      </c>
      <c r="D58" s="532">
        <v>30484525</v>
      </c>
      <c r="E58" s="48" t="s">
        <v>2589</v>
      </c>
      <c r="F58" s="626" t="s">
        <v>158</v>
      </c>
      <c r="G58" s="26" t="s">
        <v>2535</v>
      </c>
      <c r="H58" s="26" t="s">
        <v>2539</v>
      </c>
      <c r="I58" s="626" t="s">
        <v>2537</v>
      </c>
      <c r="J58" s="34">
        <v>24158</v>
      </c>
      <c r="K58" s="34">
        <v>18567</v>
      </c>
      <c r="L58" s="34">
        <v>0</v>
      </c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>
        <f t="shared" si="0"/>
        <v>0</v>
      </c>
      <c r="Z58" s="31">
        <v>5591</v>
      </c>
      <c r="AA58" s="32">
        <v>1</v>
      </c>
      <c r="AB58" s="33">
        <v>44207</v>
      </c>
      <c r="AC58" s="36">
        <v>44214</v>
      </c>
      <c r="AD58" s="31"/>
      <c r="AE58" s="35"/>
      <c r="AF58" s="27"/>
      <c r="AG58" s="36"/>
      <c r="AH58" s="31"/>
      <c r="AI58" s="35"/>
      <c r="AJ58" s="36"/>
      <c r="AK58" s="36"/>
      <c r="AL58" s="31"/>
      <c r="AM58" s="35"/>
      <c r="AN58" s="36"/>
      <c r="AO58" s="36"/>
      <c r="AP58" s="31"/>
      <c r="AQ58" s="35"/>
      <c r="AR58" s="27"/>
      <c r="AS58" s="36"/>
      <c r="AT58" s="31"/>
      <c r="AU58" s="35"/>
      <c r="AV58" s="27"/>
      <c r="AW58" s="36"/>
      <c r="AX58" s="31"/>
      <c r="AY58" s="35"/>
      <c r="AZ58" s="27"/>
      <c r="BA58" s="36"/>
      <c r="BB58" s="31"/>
      <c r="BC58" s="35"/>
      <c r="BD58" s="27"/>
      <c r="BE58" s="36"/>
      <c r="BF58" s="31"/>
      <c r="BG58" s="35"/>
      <c r="BH58" s="27"/>
      <c r="BI58" s="36"/>
      <c r="BJ58" s="31"/>
      <c r="BK58" s="35"/>
      <c r="BL58" s="27"/>
      <c r="BM58" s="36"/>
      <c r="BN58" s="35"/>
      <c r="BO58" s="35"/>
      <c r="BP58" s="27"/>
      <c r="BQ58" s="36"/>
      <c r="BR58" s="31"/>
      <c r="BS58" s="35"/>
      <c r="BT58" s="27"/>
      <c r="BU58" s="36"/>
      <c r="BV58" s="31"/>
      <c r="BW58" s="35"/>
      <c r="BX58" s="27"/>
      <c r="BY58" s="36"/>
      <c r="BZ58" s="31"/>
      <c r="CA58" s="35"/>
      <c r="CB58" s="27"/>
      <c r="CC58" s="36"/>
      <c r="CD58" s="31"/>
      <c r="CE58" s="35"/>
      <c r="CF58" s="27"/>
      <c r="CG58" s="36"/>
      <c r="CH58" s="31"/>
      <c r="CI58" s="35"/>
      <c r="CJ58" s="27"/>
      <c r="CK58" s="36"/>
      <c r="CL58" s="31"/>
      <c r="CM58" s="35"/>
      <c r="CN58" s="27"/>
      <c r="CO58" s="36"/>
      <c r="CP58" s="31"/>
      <c r="CQ58" s="35"/>
      <c r="CR58" s="27"/>
      <c r="CS58" s="36"/>
      <c r="CT58" s="31"/>
      <c r="CU58" s="35"/>
      <c r="CV58" s="27"/>
      <c r="CW58" s="36"/>
      <c r="CX58" s="31"/>
      <c r="CY58" s="35"/>
      <c r="CZ58" s="27"/>
      <c r="DA58" s="36"/>
      <c r="DB58" s="31"/>
      <c r="DC58" s="35"/>
      <c r="DD58" s="27"/>
      <c r="DE58" s="36"/>
      <c r="DF58" s="31"/>
      <c r="DG58" s="35"/>
      <c r="DH58" s="27"/>
      <c r="DI58" s="36"/>
      <c r="DJ58" s="623">
        <f t="shared" si="1"/>
        <v>5591</v>
      </c>
      <c r="DK58" s="38">
        <f t="shared" si="2"/>
        <v>5591</v>
      </c>
    </row>
    <row r="59" spans="2:115" s="39" customFormat="1" ht="22.5">
      <c r="B59" s="97">
        <v>44</v>
      </c>
      <c r="C59" s="97" t="s">
        <v>39</v>
      </c>
      <c r="D59" s="532">
        <v>30484992</v>
      </c>
      <c r="E59" s="48" t="s">
        <v>2590</v>
      </c>
      <c r="F59" s="626" t="s">
        <v>146</v>
      </c>
      <c r="G59" s="26" t="s">
        <v>2535</v>
      </c>
      <c r="H59" s="26" t="s">
        <v>2539</v>
      </c>
      <c r="I59" s="626" t="s">
        <v>2537</v>
      </c>
      <c r="J59" s="34">
        <v>803851</v>
      </c>
      <c r="K59" s="34">
        <v>695793</v>
      </c>
      <c r="L59" s="34">
        <v>0</v>
      </c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>
        <f t="shared" si="0"/>
        <v>0</v>
      </c>
      <c r="Z59" s="31">
        <v>108058</v>
      </c>
      <c r="AA59" s="32">
        <v>1</v>
      </c>
      <c r="AB59" s="33">
        <v>44207</v>
      </c>
      <c r="AC59" s="36">
        <v>44214</v>
      </c>
      <c r="AD59" s="31"/>
      <c r="AE59" s="35"/>
      <c r="AF59" s="27"/>
      <c r="AG59" s="36"/>
      <c r="AH59" s="31"/>
      <c r="AI59" s="35"/>
      <c r="AJ59" s="36"/>
      <c r="AK59" s="36"/>
      <c r="AL59" s="31"/>
      <c r="AM59" s="35"/>
      <c r="AN59" s="36"/>
      <c r="AO59" s="36"/>
      <c r="AP59" s="31"/>
      <c r="AQ59" s="35"/>
      <c r="AR59" s="27"/>
      <c r="AS59" s="36"/>
      <c r="AT59" s="31"/>
      <c r="AU59" s="35"/>
      <c r="AV59" s="27"/>
      <c r="AW59" s="36"/>
      <c r="AX59" s="31"/>
      <c r="AY59" s="35"/>
      <c r="AZ59" s="27"/>
      <c r="BA59" s="36"/>
      <c r="BB59" s="31"/>
      <c r="BC59" s="35"/>
      <c r="BD59" s="27"/>
      <c r="BE59" s="36"/>
      <c r="BF59" s="31"/>
      <c r="BG59" s="35"/>
      <c r="BH59" s="27"/>
      <c r="BI59" s="36"/>
      <c r="BJ59" s="31"/>
      <c r="BK59" s="35"/>
      <c r="BL59" s="27"/>
      <c r="BM59" s="36"/>
      <c r="BN59" s="35"/>
      <c r="BO59" s="35"/>
      <c r="BP59" s="27"/>
      <c r="BQ59" s="36"/>
      <c r="BR59" s="31"/>
      <c r="BS59" s="35"/>
      <c r="BT59" s="27"/>
      <c r="BU59" s="36"/>
      <c r="BV59" s="31"/>
      <c r="BW59" s="35"/>
      <c r="BX59" s="27"/>
      <c r="BY59" s="36"/>
      <c r="BZ59" s="31"/>
      <c r="CA59" s="35"/>
      <c r="CB59" s="27"/>
      <c r="CC59" s="36"/>
      <c r="CD59" s="31"/>
      <c r="CE59" s="35"/>
      <c r="CF59" s="27"/>
      <c r="CG59" s="36"/>
      <c r="CH59" s="31"/>
      <c r="CI59" s="35"/>
      <c r="CJ59" s="27"/>
      <c r="CK59" s="36"/>
      <c r="CL59" s="31"/>
      <c r="CM59" s="35"/>
      <c r="CN59" s="27"/>
      <c r="CO59" s="36"/>
      <c r="CP59" s="31"/>
      <c r="CQ59" s="35"/>
      <c r="CR59" s="27"/>
      <c r="CS59" s="36"/>
      <c r="CT59" s="31">
        <v>-28000</v>
      </c>
      <c r="CU59" s="35">
        <v>39</v>
      </c>
      <c r="CV59" s="33">
        <v>44431</v>
      </c>
      <c r="CW59" s="36">
        <v>44435</v>
      </c>
      <c r="CX59" s="31"/>
      <c r="CY59" s="35"/>
      <c r="CZ59" s="27"/>
      <c r="DA59" s="36"/>
      <c r="DB59" s="31"/>
      <c r="DC59" s="35"/>
      <c r="DD59" s="27"/>
      <c r="DE59" s="36"/>
      <c r="DF59" s="31"/>
      <c r="DG59" s="35"/>
      <c r="DH59" s="27"/>
      <c r="DI59" s="36"/>
      <c r="DJ59" s="623">
        <f t="shared" si="1"/>
        <v>80058</v>
      </c>
      <c r="DK59" s="38">
        <f t="shared" si="2"/>
        <v>80058</v>
      </c>
    </row>
    <row r="60" spans="2:115" s="39" customFormat="1" ht="22.5">
      <c r="B60" s="97">
        <v>45</v>
      </c>
      <c r="C60" s="97" t="s">
        <v>39</v>
      </c>
      <c r="D60" s="532">
        <v>30485766</v>
      </c>
      <c r="E60" s="48" t="s">
        <v>2591</v>
      </c>
      <c r="F60" s="626" t="s">
        <v>158</v>
      </c>
      <c r="G60" s="26" t="s">
        <v>2535</v>
      </c>
      <c r="H60" s="26" t="s">
        <v>2539</v>
      </c>
      <c r="I60" s="626" t="s">
        <v>2537</v>
      </c>
      <c r="J60" s="34">
        <v>28976</v>
      </c>
      <c r="K60" s="34">
        <v>22252</v>
      </c>
      <c r="L60" s="34">
        <v>0</v>
      </c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>
        <f t="shared" si="0"/>
        <v>0</v>
      </c>
      <c r="Z60" s="31">
        <v>6724</v>
      </c>
      <c r="AA60" s="32">
        <v>1</v>
      </c>
      <c r="AB60" s="33">
        <v>44207</v>
      </c>
      <c r="AC60" s="36">
        <v>44214</v>
      </c>
      <c r="AD60" s="31"/>
      <c r="AE60" s="35"/>
      <c r="AF60" s="27"/>
      <c r="AG60" s="36"/>
      <c r="AH60" s="31"/>
      <c r="AI60" s="35"/>
      <c r="AJ60" s="36"/>
      <c r="AK60" s="36"/>
      <c r="AL60" s="31"/>
      <c r="AM60" s="35"/>
      <c r="AN60" s="36"/>
      <c r="AO60" s="36"/>
      <c r="AP60" s="31"/>
      <c r="AQ60" s="35"/>
      <c r="AR60" s="27"/>
      <c r="AS60" s="36"/>
      <c r="AT60" s="31"/>
      <c r="AU60" s="35"/>
      <c r="AV60" s="27"/>
      <c r="AW60" s="36"/>
      <c r="AX60" s="31"/>
      <c r="AY60" s="35"/>
      <c r="AZ60" s="27"/>
      <c r="BA60" s="36"/>
      <c r="BB60" s="31"/>
      <c r="BC60" s="35"/>
      <c r="BD60" s="27"/>
      <c r="BE60" s="36"/>
      <c r="BF60" s="31"/>
      <c r="BG60" s="35"/>
      <c r="BH60" s="27"/>
      <c r="BI60" s="36"/>
      <c r="BJ60" s="31"/>
      <c r="BK60" s="35"/>
      <c r="BL60" s="27"/>
      <c r="BM60" s="36"/>
      <c r="BN60" s="35"/>
      <c r="BO60" s="35"/>
      <c r="BP60" s="27"/>
      <c r="BQ60" s="36"/>
      <c r="BR60" s="31"/>
      <c r="BS60" s="35"/>
      <c r="BT60" s="27"/>
      <c r="BU60" s="36"/>
      <c r="BV60" s="31"/>
      <c r="BW60" s="35"/>
      <c r="BX60" s="27"/>
      <c r="BY60" s="36"/>
      <c r="BZ60" s="31"/>
      <c r="CA60" s="35"/>
      <c r="CB60" s="27"/>
      <c r="CC60" s="36"/>
      <c r="CD60" s="31"/>
      <c r="CE60" s="35"/>
      <c r="CF60" s="27"/>
      <c r="CG60" s="36"/>
      <c r="CH60" s="31"/>
      <c r="CI60" s="35"/>
      <c r="CJ60" s="27"/>
      <c r="CK60" s="36"/>
      <c r="CL60" s="31"/>
      <c r="CM60" s="35"/>
      <c r="CN60" s="27"/>
      <c r="CO60" s="36"/>
      <c r="CP60" s="31"/>
      <c r="CQ60" s="35"/>
      <c r="CR60" s="27"/>
      <c r="CS60" s="36"/>
      <c r="CT60" s="31"/>
      <c r="CU60" s="35"/>
      <c r="CV60" s="27"/>
      <c r="CW60" s="36"/>
      <c r="CX60" s="31"/>
      <c r="CY60" s="35"/>
      <c r="CZ60" s="27"/>
      <c r="DA60" s="36"/>
      <c r="DB60" s="31"/>
      <c r="DC60" s="35"/>
      <c r="DD60" s="27"/>
      <c r="DE60" s="36"/>
      <c r="DF60" s="31"/>
      <c r="DG60" s="35"/>
      <c r="DH60" s="27"/>
      <c r="DI60" s="36"/>
      <c r="DJ60" s="623">
        <f t="shared" si="1"/>
        <v>6724</v>
      </c>
      <c r="DK60" s="38">
        <f t="shared" si="2"/>
        <v>6724</v>
      </c>
    </row>
    <row r="61" spans="2:115" s="39" customFormat="1" ht="22.5">
      <c r="B61" s="97">
        <v>46</v>
      </c>
      <c r="C61" s="97" t="s">
        <v>39</v>
      </c>
      <c r="D61" s="532">
        <v>30486838</v>
      </c>
      <c r="E61" s="48" t="s">
        <v>2592</v>
      </c>
      <c r="F61" s="626" t="s">
        <v>158</v>
      </c>
      <c r="G61" s="26" t="s">
        <v>2535</v>
      </c>
      <c r="H61" s="26" t="s">
        <v>2539</v>
      </c>
      <c r="I61" s="626" t="s">
        <v>2537</v>
      </c>
      <c r="J61" s="34">
        <v>12014</v>
      </c>
      <c r="K61" s="34">
        <v>4232</v>
      </c>
      <c r="L61" s="34">
        <v>0</v>
      </c>
      <c r="M61" s="34"/>
      <c r="N61" s="34"/>
      <c r="O61" s="34"/>
      <c r="P61" s="34"/>
      <c r="Q61" s="34"/>
      <c r="R61" s="34">
        <v>2296</v>
      </c>
      <c r="S61" s="34"/>
      <c r="T61" s="34"/>
      <c r="U61" s="34"/>
      <c r="V61" s="34"/>
      <c r="W61" s="34"/>
      <c r="X61" s="34"/>
      <c r="Y61" s="34">
        <f t="shared" si="0"/>
        <v>2296</v>
      </c>
      <c r="Z61" s="31">
        <v>7782</v>
      </c>
      <c r="AA61" s="32">
        <v>1</v>
      </c>
      <c r="AB61" s="33">
        <v>44207</v>
      </c>
      <c r="AC61" s="36">
        <v>44214</v>
      </c>
      <c r="AD61" s="31"/>
      <c r="AE61" s="35"/>
      <c r="AF61" s="27"/>
      <c r="AG61" s="36"/>
      <c r="AH61" s="31"/>
      <c r="AI61" s="35"/>
      <c r="AJ61" s="36"/>
      <c r="AK61" s="36"/>
      <c r="AL61" s="31"/>
      <c r="AM61" s="35"/>
      <c r="AN61" s="36"/>
      <c r="AO61" s="36"/>
      <c r="AP61" s="31"/>
      <c r="AQ61" s="35"/>
      <c r="AR61" s="27"/>
      <c r="AS61" s="36"/>
      <c r="AT61" s="31"/>
      <c r="AU61" s="35"/>
      <c r="AV61" s="27"/>
      <c r="AW61" s="36"/>
      <c r="AX61" s="31"/>
      <c r="AY61" s="35"/>
      <c r="AZ61" s="27"/>
      <c r="BA61" s="36"/>
      <c r="BB61" s="31"/>
      <c r="BC61" s="35"/>
      <c r="BD61" s="27"/>
      <c r="BE61" s="36"/>
      <c r="BF61" s="31"/>
      <c r="BG61" s="35"/>
      <c r="BH61" s="27"/>
      <c r="BI61" s="36"/>
      <c r="BJ61" s="31"/>
      <c r="BK61" s="35"/>
      <c r="BL61" s="27"/>
      <c r="BM61" s="36"/>
      <c r="BN61" s="35"/>
      <c r="BO61" s="35"/>
      <c r="BP61" s="27"/>
      <c r="BQ61" s="36"/>
      <c r="BR61" s="31"/>
      <c r="BS61" s="35"/>
      <c r="BT61" s="27"/>
      <c r="BU61" s="36"/>
      <c r="BV61" s="31"/>
      <c r="BW61" s="35"/>
      <c r="BX61" s="27"/>
      <c r="BY61" s="36"/>
      <c r="BZ61" s="31"/>
      <c r="CA61" s="35"/>
      <c r="CB61" s="27"/>
      <c r="CC61" s="36"/>
      <c r="CD61" s="31"/>
      <c r="CE61" s="35"/>
      <c r="CF61" s="27"/>
      <c r="CG61" s="36"/>
      <c r="CH61" s="31"/>
      <c r="CI61" s="35"/>
      <c r="CJ61" s="27"/>
      <c r="CK61" s="36"/>
      <c r="CL61" s="31"/>
      <c r="CM61" s="35"/>
      <c r="CN61" s="27"/>
      <c r="CO61" s="36"/>
      <c r="CP61" s="31"/>
      <c r="CQ61" s="35"/>
      <c r="CR61" s="27"/>
      <c r="CS61" s="36"/>
      <c r="CT61" s="31"/>
      <c r="CU61" s="35"/>
      <c r="CV61" s="27"/>
      <c r="CW61" s="36"/>
      <c r="CX61" s="31"/>
      <c r="CY61" s="35"/>
      <c r="CZ61" s="27"/>
      <c r="DA61" s="36"/>
      <c r="DB61" s="31"/>
      <c r="DC61" s="35"/>
      <c r="DD61" s="27"/>
      <c r="DE61" s="36"/>
      <c r="DF61" s="31"/>
      <c r="DG61" s="35"/>
      <c r="DH61" s="27"/>
      <c r="DI61" s="36"/>
      <c r="DJ61" s="623">
        <f t="shared" si="1"/>
        <v>7782</v>
      </c>
      <c r="DK61" s="38">
        <f t="shared" si="2"/>
        <v>5486</v>
      </c>
    </row>
    <row r="62" spans="2:115" s="39" customFormat="1" ht="22.5">
      <c r="B62" s="97">
        <v>47</v>
      </c>
      <c r="C62" s="97" t="s">
        <v>39</v>
      </c>
      <c r="D62" s="532">
        <v>30487243</v>
      </c>
      <c r="E62" s="48" t="s">
        <v>2593</v>
      </c>
      <c r="F62" s="626" t="s">
        <v>146</v>
      </c>
      <c r="G62" s="26" t="s">
        <v>2542</v>
      </c>
      <c r="H62" s="26" t="s">
        <v>2594</v>
      </c>
      <c r="I62" s="626" t="s">
        <v>2537</v>
      </c>
      <c r="J62" s="34">
        <v>912601</v>
      </c>
      <c r="K62" s="34">
        <v>306443</v>
      </c>
      <c r="L62" s="34">
        <v>0</v>
      </c>
      <c r="M62" s="34"/>
      <c r="N62" s="34">
        <v>35085</v>
      </c>
      <c r="O62" s="34">
        <v>110243</v>
      </c>
      <c r="P62" s="34"/>
      <c r="Q62" s="34">
        <v>130138</v>
      </c>
      <c r="R62" s="34"/>
      <c r="S62" s="34">
        <v>90980</v>
      </c>
      <c r="T62" s="34">
        <v>67885</v>
      </c>
      <c r="U62" s="34">
        <v>536</v>
      </c>
      <c r="V62" s="34" t="s">
        <v>2552</v>
      </c>
      <c r="W62" s="34"/>
      <c r="X62" s="34"/>
      <c r="Y62" s="34">
        <f t="shared" si="0"/>
        <v>434867</v>
      </c>
      <c r="Z62" s="31">
        <f>250000</f>
        <v>250000</v>
      </c>
      <c r="AA62" s="32">
        <v>1</v>
      </c>
      <c r="AB62" s="33">
        <v>44207</v>
      </c>
      <c r="AC62" s="36">
        <v>44214</v>
      </c>
      <c r="AD62" s="31"/>
      <c r="AE62" s="35"/>
      <c r="AF62" s="27"/>
      <c r="AG62" s="36"/>
      <c r="AH62" s="31">
        <v>200000</v>
      </c>
      <c r="AI62" s="35">
        <v>9</v>
      </c>
      <c r="AJ62" s="36">
        <v>44244</v>
      </c>
      <c r="AK62" s="36">
        <v>44249</v>
      </c>
      <c r="AL62" s="31"/>
      <c r="AM62" s="35"/>
      <c r="AN62" s="36"/>
      <c r="AO62" s="36"/>
      <c r="AP62" s="31"/>
      <c r="AQ62" s="35"/>
      <c r="AR62" s="27"/>
      <c r="AS62" s="36"/>
      <c r="AT62" s="31"/>
      <c r="AU62" s="35"/>
      <c r="AV62" s="27"/>
      <c r="AW62" s="36"/>
      <c r="AX62" s="31">
        <v>115000</v>
      </c>
      <c r="AY62" s="35">
        <v>18</v>
      </c>
      <c r="AZ62" s="36">
        <v>44308</v>
      </c>
      <c r="BA62" s="36">
        <v>44314</v>
      </c>
      <c r="BB62" s="31"/>
      <c r="BC62" s="35"/>
      <c r="BD62" s="27"/>
      <c r="BE62" s="36"/>
      <c r="BF62" s="31"/>
      <c r="BG62" s="35"/>
      <c r="BH62" s="27"/>
      <c r="BI62" s="36"/>
      <c r="BJ62" s="31"/>
      <c r="BK62" s="35"/>
      <c r="BL62" s="27"/>
      <c r="BM62" s="36"/>
      <c r="BN62" s="35"/>
      <c r="BO62" s="35"/>
      <c r="BP62" s="27"/>
      <c r="BQ62" s="36"/>
      <c r="BR62" s="31"/>
      <c r="BS62" s="35"/>
      <c r="BT62" s="27"/>
      <c r="BU62" s="36"/>
      <c r="BV62" s="31"/>
      <c r="BW62" s="35"/>
      <c r="BX62" s="27"/>
      <c r="BY62" s="36"/>
      <c r="BZ62" s="31"/>
      <c r="CA62" s="35"/>
      <c r="CB62" s="27"/>
      <c r="CC62" s="36"/>
      <c r="CD62" s="31"/>
      <c r="CE62" s="35"/>
      <c r="CF62" s="27"/>
      <c r="CG62" s="36"/>
      <c r="CH62" s="31"/>
      <c r="CI62" s="35"/>
      <c r="CJ62" s="27"/>
      <c r="CK62" s="36"/>
      <c r="CL62" s="31"/>
      <c r="CM62" s="35"/>
      <c r="CN62" s="27"/>
      <c r="CO62" s="36"/>
      <c r="CP62" s="31"/>
      <c r="CQ62" s="35"/>
      <c r="CR62" s="27"/>
      <c r="CS62" s="36"/>
      <c r="CT62" s="31"/>
      <c r="CU62" s="35"/>
      <c r="CV62" s="27"/>
      <c r="CW62" s="36"/>
      <c r="CX62" s="31">
        <v>21040</v>
      </c>
      <c r="CY62" s="35">
        <v>40</v>
      </c>
      <c r="CZ62" s="33">
        <v>44458</v>
      </c>
      <c r="DA62" s="36">
        <v>44460</v>
      </c>
      <c r="DB62" s="31"/>
      <c r="DC62" s="35"/>
      <c r="DD62" s="27"/>
      <c r="DE62" s="36"/>
      <c r="DF62" s="31"/>
      <c r="DG62" s="35"/>
      <c r="DH62" s="27"/>
      <c r="DI62" s="36"/>
      <c r="DJ62" s="623">
        <f t="shared" si="1"/>
        <v>586040</v>
      </c>
      <c r="DK62" s="38">
        <f t="shared" si="2"/>
        <v>151173</v>
      </c>
    </row>
    <row r="63" spans="2:115" s="39" customFormat="1" ht="22.5">
      <c r="B63" s="97">
        <v>48</v>
      </c>
      <c r="C63" s="97" t="s">
        <v>39</v>
      </c>
      <c r="D63" s="532">
        <v>40000590</v>
      </c>
      <c r="E63" s="48" t="s">
        <v>2595</v>
      </c>
      <c r="F63" s="626" t="s">
        <v>146</v>
      </c>
      <c r="G63" s="26" t="s">
        <v>2535</v>
      </c>
      <c r="H63" s="26" t="s">
        <v>2539</v>
      </c>
      <c r="I63" s="626" t="s">
        <v>2537</v>
      </c>
      <c r="J63" s="34">
        <v>26068089</v>
      </c>
      <c r="K63" s="34">
        <v>0</v>
      </c>
      <c r="L63" s="34">
        <v>10730590</v>
      </c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>
        <f t="shared" si="0"/>
        <v>0</v>
      </c>
      <c r="Z63" s="31">
        <v>1</v>
      </c>
      <c r="AA63" s="32">
        <v>1</v>
      </c>
      <c r="AB63" s="33">
        <v>44207</v>
      </c>
      <c r="AC63" s="36">
        <v>44214</v>
      </c>
      <c r="AD63" s="31"/>
      <c r="AE63" s="35"/>
      <c r="AF63" s="27"/>
      <c r="AG63" s="36"/>
      <c r="AH63" s="31"/>
      <c r="AI63" s="35"/>
      <c r="AJ63" s="36"/>
      <c r="AK63" s="36"/>
      <c r="AL63" s="31"/>
      <c r="AM63" s="35"/>
      <c r="AN63" s="36"/>
      <c r="AO63" s="36"/>
      <c r="AP63" s="31"/>
      <c r="AQ63" s="35"/>
      <c r="AR63" s="27"/>
      <c r="AS63" s="36"/>
      <c r="AT63" s="31"/>
      <c r="AU63" s="35"/>
      <c r="AV63" s="27"/>
      <c r="AW63" s="36"/>
      <c r="AX63" s="31"/>
      <c r="AY63" s="35"/>
      <c r="AZ63" s="27"/>
      <c r="BA63" s="36"/>
      <c r="BB63" s="31"/>
      <c r="BC63" s="35"/>
      <c r="BD63" s="27"/>
      <c r="BE63" s="36"/>
      <c r="BF63" s="31"/>
      <c r="BG63" s="35"/>
      <c r="BH63" s="27"/>
      <c r="BI63" s="36"/>
      <c r="BJ63" s="31"/>
      <c r="BK63" s="35"/>
      <c r="BL63" s="27"/>
      <c r="BM63" s="36"/>
      <c r="BN63" s="35"/>
      <c r="BO63" s="35"/>
      <c r="BP63" s="27"/>
      <c r="BQ63" s="36"/>
      <c r="BR63" s="31"/>
      <c r="BS63" s="35"/>
      <c r="BT63" s="27"/>
      <c r="BU63" s="36"/>
      <c r="BV63" s="31"/>
      <c r="BW63" s="35"/>
      <c r="BX63" s="27"/>
      <c r="BY63" s="36"/>
      <c r="BZ63" s="31"/>
      <c r="CA63" s="35"/>
      <c r="CB63" s="27"/>
      <c r="CC63" s="36"/>
      <c r="CD63" s="31"/>
      <c r="CE63" s="35"/>
      <c r="CF63" s="27"/>
      <c r="CG63" s="36"/>
      <c r="CH63" s="31"/>
      <c r="CI63" s="35"/>
      <c r="CJ63" s="27"/>
      <c r="CK63" s="36"/>
      <c r="CL63" s="31"/>
      <c r="CM63" s="35"/>
      <c r="CN63" s="27"/>
      <c r="CO63" s="36"/>
      <c r="CP63" s="31"/>
      <c r="CQ63" s="35"/>
      <c r="CR63" s="27"/>
      <c r="CS63" s="36"/>
      <c r="CT63" s="31"/>
      <c r="CU63" s="35"/>
      <c r="CV63" s="27"/>
      <c r="CW63" s="36"/>
      <c r="CX63" s="31"/>
      <c r="CY63" s="35"/>
      <c r="CZ63" s="27"/>
      <c r="DA63" s="36"/>
      <c r="DB63" s="31"/>
      <c r="DC63" s="35"/>
      <c r="DD63" s="27"/>
      <c r="DE63" s="36"/>
      <c r="DF63" s="31"/>
      <c r="DG63" s="35"/>
      <c r="DH63" s="27"/>
      <c r="DI63" s="36"/>
      <c r="DJ63" s="623">
        <f t="shared" si="1"/>
        <v>1</v>
      </c>
      <c r="DK63" s="38">
        <f t="shared" si="2"/>
        <v>1</v>
      </c>
    </row>
    <row r="64" spans="2:115" s="39" customFormat="1" ht="33.75" customHeight="1">
      <c r="B64" s="97">
        <v>49</v>
      </c>
      <c r="C64" s="97" t="s">
        <v>39</v>
      </c>
      <c r="D64" s="532">
        <v>40001037</v>
      </c>
      <c r="E64" s="48" t="s">
        <v>2596</v>
      </c>
      <c r="F64" s="626" t="s">
        <v>146</v>
      </c>
      <c r="G64" s="26" t="s">
        <v>2535</v>
      </c>
      <c r="H64" s="26" t="s">
        <v>2536</v>
      </c>
      <c r="I64" s="626" t="s">
        <v>2537</v>
      </c>
      <c r="J64" s="34">
        <v>1893019</v>
      </c>
      <c r="K64" s="34">
        <v>525</v>
      </c>
      <c r="L64" s="34">
        <v>318715</v>
      </c>
      <c r="M64" s="34"/>
      <c r="N64" s="34">
        <v>35931</v>
      </c>
      <c r="O64" s="34">
        <v>80682</v>
      </c>
      <c r="P64" s="34">
        <v>18382</v>
      </c>
      <c r="Q64" s="34">
        <v>154830</v>
      </c>
      <c r="R64" s="34">
        <v>85425</v>
      </c>
      <c r="S64" s="34"/>
      <c r="T64" s="34">
        <v>87644</v>
      </c>
      <c r="U64" s="34">
        <v>86954</v>
      </c>
      <c r="V64" s="34" t="s">
        <v>2552</v>
      </c>
      <c r="W64" s="34"/>
      <c r="X64" s="34"/>
      <c r="Y64" s="34">
        <f t="shared" si="0"/>
        <v>549848</v>
      </c>
      <c r="Z64" s="31">
        <f>350000</f>
        <v>350000</v>
      </c>
      <c r="AA64" s="32">
        <v>1</v>
      </c>
      <c r="AB64" s="33">
        <v>44207</v>
      </c>
      <c r="AC64" s="36">
        <v>44214</v>
      </c>
      <c r="AD64" s="31"/>
      <c r="AE64" s="35"/>
      <c r="AF64" s="27"/>
      <c r="AG64" s="36"/>
      <c r="AH64" s="31">
        <v>254372</v>
      </c>
      <c r="AI64" s="35">
        <v>9</v>
      </c>
      <c r="AJ64" s="36">
        <v>44244</v>
      </c>
      <c r="AK64" s="36">
        <v>44249</v>
      </c>
      <c r="AL64" s="31">
        <v>255933</v>
      </c>
      <c r="AM64" s="35">
        <v>13</v>
      </c>
      <c r="AN64" s="36">
        <v>44277</v>
      </c>
      <c r="AO64" s="36">
        <v>44281</v>
      </c>
      <c r="AP64" s="31"/>
      <c r="AQ64" s="35"/>
      <c r="AR64" s="27"/>
      <c r="AS64" s="36"/>
      <c r="AT64" s="31"/>
      <c r="AU64" s="35"/>
      <c r="AV64" s="27"/>
      <c r="AW64" s="36"/>
      <c r="AX64" s="31">
        <v>331796</v>
      </c>
      <c r="AY64" s="35">
        <v>18</v>
      </c>
      <c r="AZ64" s="36">
        <v>44308</v>
      </c>
      <c r="BA64" s="36">
        <v>44314</v>
      </c>
      <c r="BB64" s="31"/>
      <c r="BC64" s="35"/>
      <c r="BD64" s="27"/>
      <c r="BE64" s="36"/>
      <c r="BF64" s="31"/>
      <c r="BG64" s="35"/>
      <c r="BH64" s="27"/>
      <c r="BI64" s="36"/>
      <c r="BJ64" s="31"/>
      <c r="BK64" s="35"/>
      <c r="BL64" s="27"/>
      <c r="BM64" s="36"/>
      <c r="BN64" s="35"/>
      <c r="BO64" s="35"/>
      <c r="BP64" s="27"/>
      <c r="BQ64" s="36"/>
      <c r="BR64" s="31"/>
      <c r="BS64" s="35"/>
      <c r="BT64" s="27"/>
      <c r="BU64" s="36"/>
      <c r="BV64" s="31"/>
      <c r="BW64" s="35"/>
      <c r="BX64" s="27"/>
      <c r="BY64" s="36"/>
      <c r="BZ64" s="31"/>
      <c r="CA64" s="35"/>
      <c r="CB64" s="27"/>
      <c r="CC64" s="36"/>
      <c r="CD64" s="31"/>
      <c r="CE64" s="35"/>
      <c r="CF64" s="27"/>
      <c r="CG64" s="36"/>
      <c r="CH64" s="31"/>
      <c r="CI64" s="35"/>
      <c r="CJ64" s="27"/>
      <c r="CK64" s="36"/>
      <c r="CL64" s="31"/>
      <c r="CM64" s="35"/>
      <c r="CN64" s="27"/>
      <c r="CO64" s="36"/>
      <c r="CP64" s="31"/>
      <c r="CQ64" s="35"/>
      <c r="CR64" s="27"/>
      <c r="CS64" s="36"/>
      <c r="CT64" s="31">
        <v>-441000</v>
      </c>
      <c r="CU64" s="35">
        <v>39</v>
      </c>
      <c r="CV64" s="33">
        <v>44431</v>
      </c>
      <c r="CW64" s="36">
        <v>44435</v>
      </c>
      <c r="CX64" s="31"/>
      <c r="CY64" s="35"/>
      <c r="CZ64" s="27"/>
      <c r="DA64" s="36"/>
      <c r="DB64" s="31"/>
      <c r="DC64" s="35"/>
      <c r="DD64" s="27"/>
      <c r="DE64" s="36"/>
      <c r="DF64" s="31"/>
      <c r="DG64" s="35"/>
      <c r="DH64" s="27"/>
      <c r="DI64" s="36"/>
      <c r="DJ64" s="623">
        <f t="shared" si="1"/>
        <v>751101</v>
      </c>
      <c r="DK64" s="38">
        <f t="shared" si="2"/>
        <v>201253</v>
      </c>
    </row>
    <row r="65" spans="2:115" s="39" customFormat="1" ht="33.75">
      <c r="B65" s="97">
        <v>50</v>
      </c>
      <c r="C65" s="97" t="s">
        <v>39</v>
      </c>
      <c r="D65" s="532">
        <v>40001293</v>
      </c>
      <c r="E65" s="48" t="s">
        <v>2597</v>
      </c>
      <c r="F65" s="626" t="s">
        <v>146</v>
      </c>
      <c r="G65" s="26" t="s">
        <v>2535</v>
      </c>
      <c r="H65" s="26" t="s">
        <v>2539</v>
      </c>
      <c r="I65" s="626" t="s">
        <v>2537</v>
      </c>
      <c r="J65" s="34">
        <v>7956114</v>
      </c>
      <c r="K65" s="34">
        <v>3708483</v>
      </c>
      <c r="L65" s="34">
        <v>0</v>
      </c>
      <c r="M65" s="34">
        <v>194187</v>
      </c>
      <c r="N65" s="34"/>
      <c r="O65" s="34">
        <v>176843</v>
      </c>
      <c r="P65" s="34">
        <v>562846</v>
      </c>
      <c r="Q65" s="34">
        <v>176064</v>
      </c>
      <c r="R65" s="34">
        <v>240672</v>
      </c>
      <c r="S65" s="34">
        <v>169633</v>
      </c>
      <c r="T65" s="34">
        <v>186088</v>
      </c>
      <c r="U65" s="34">
        <v>210150</v>
      </c>
      <c r="V65" s="34" t="s">
        <v>2552</v>
      </c>
      <c r="W65" s="34"/>
      <c r="X65" s="34"/>
      <c r="Y65" s="34">
        <f t="shared" si="0"/>
        <v>1916483</v>
      </c>
      <c r="Z65" s="31">
        <v>1313066</v>
      </c>
      <c r="AA65" s="32">
        <v>1</v>
      </c>
      <c r="AB65" s="33">
        <v>44207</v>
      </c>
      <c r="AC65" s="36">
        <v>44214</v>
      </c>
      <c r="AD65" s="31"/>
      <c r="AE65" s="35"/>
      <c r="AF65" s="27"/>
      <c r="AG65" s="36"/>
      <c r="AH65" s="31"/>
      <c r="AI65" s="35"/>
      <c r="AJ65" s="36"/>
      <c r="AK65" s="36"/>
      <c r="AL65" s="31"/>
      <c r="AM65" s="35"/>
      <c r="AN65" s="36"/>
      <c r="AO65" s="36"/>
      <c r="AP65" s="31"/>
      <c r="AQ65" s="35"/>
      <c r="AR65" s="27"/>
      <c r="AS65" s="36"/>
      <c r="AT65" s="31"/>
      <c r="AU65" s="35"/>
      <c r="AV65" s="27"/>
      <c r="AW65" s="36"/>
      <c r="AX65" s="31">
        <v>56000</v>
      </c>
      <c r="AY65" s="35">
        <v>18</v>
      </c>
      <c r="AZ65" s="36">
        <v>44308</v>
      </c>
      <c r="BA65" s="36">
        <v>44314</v>
      </c>
      <c r="BB65" s="31"/>
      <c r="BC65" s="35"/>
      <c r="BD65" s="27"/>
      <c r="BE65" s="36"/>
      <c r="BF65" s="31">
        <v>45275</v>
      </c>
      <c r="BG65" s="35">
        <v>25</v>
      </c>
      <c r="BH65" s="33">
        <v>44329</v>
      </c>
      <c r="BI65" s="36">
        <v>44335</v>
      </c>
      <c r="BJ65" s="31"/>
      <c r="BK65" s="35"/>
      <c r="BL65" s="27"/>
      <c r="BM65" s="36"/>
      <c r="BN65" s="35">
        <v>160000</v>
      </c>
      <c r="BO65" s="35">
        <v>28</v>
      </c>
      <c r="BP65" s="33">
        <v>44363</v>
      </c>
      <c r="BQ65" s="36">
        <v>44371</v>
      </c>
      <c r="BR65" s="31"/>
      <c r="BS65" s="35"/>
      <c r="BT65" s="27"/>
      <c r="BU65" s="36"/>
      <c r="BV65" s="31"/>
      <c r="BW65" s="35"/>
      <c r="BX65" s="27"/>
      <c r="BY65" s="36"/>
      <c r="BZ65" s="31"/>
      <c r="CA65" s="35"/>
      <c r="CB65" s="27"/>
      <c r="CC65" s="36"/>
      <c r="CD65" s="31">
        <v>113486</v>
      </c>
      <c r="CE65" s="35">
        <v>32</v>
      </c>
      <c r="CF65" s="33">
        <v>44389</v>
      </c>
      <c r="CG65" s="36">
        <v>44397</v>
      </c>
      <c r="CH65" s="31"/>
      <c r="CI65" s="35"/>
      <c r="CJ65" s="27"/>
      <c r="CK65" s="36"/>
      <c r="CL65" s="31"/>
      <c r="CM65" s="35"/>
      <c r="CN65" s="27"/>
      <c r="CO65" s="36"/>
      <c r="CP65" s="31">
        <v>347500</v>
      </c>
      <c r="CQ65" s="35">
        <v>37</v>
      </c>
      <c r="CR65" s="33">
        <v>44418</v>
      </c>
      <c r="CS65" s="36">
        <v>44426</v>
      </c>
      <c r="CT65" s="31"/>
      <c r="CU65" s="35"/>
      <c r="CV65" s="27"/>
      <c r="CW65" s="36"/>
      <c r="CX65" s="31">
        <v>100000</v>
      </c>
      <c r="CY65" s="35">
        <v>40</v>
      </c>
      <c r="CZ65" s="33">
        <v>44458</v>
      </c>
      <c r="DA65" s="36">
        <v>44460</v>
      </c>
      <c r="DB65" s="31"/>
      <c r="DC65" s="35"/>
      <c r="DD65" s="27"/>
      <c r="DE65" s="36"/>
      <c r="DF65" s="31"/>
      <c r="DG65" s="35"/>
      <c r="DH65" s="27"/>
      <c r="DI65" s="36"/>
      <c r="DJ65" s="623">
        <f t="shared" si="1"/>
        <v>2135327</v>
      </c>
      <c r="DK65" s="38">
        <f t="shared" si="2"/>
        <v>218844</v>
      </c>
    </row>
    <row r="66" spans="2:115" s="39" customFormat="1" ht="22.5">
      <c r="B66" s="97">
        <v>51</v>
      </c>
      <c r="C66" s="97" t="s">
        <v>39</v>
      </c>
      <c r="D66" s="532">
        <v>40001567</v>
      </c>
      <c r="E66" s="48" t="s">
        <v>2598</v>
      </c>
      <c r="F66" s="626" t="s">
        <v>146</v>
      </c>
      <c r="G66" s="26" t="s">
        <v>2535</v>
      </c>
      <c r="H66" s="26" t="s">
        <v>2539</v>
      </c>
      <c r="I66" s="626" t="s">
        <v>2537</v>
      </c>
      <c r="J66" s="34">
        <v>642492</v>
      </c>
      <c r="K66" s="34">
        <v>572124</v>
      </c>
      <c r="L66" s="34">
        <v>4871</v>
      </c>
      <c r="M66" s="34"/>
      <c r="N66" s="34">
        <v>1325</v>
      </c>
      <c r="O66" s="34">
        <v>1829</v>
      </c>
      <c r="P66" s="34">
        <v>6137</v>
      </c>
      <c r="Q66" s="34">
        <v>1483</v>
      </c>
      <c r="R66" s="34">
        <v>1057</v>
      </c>
      <c r="S66" s="34">
        <v>2684</v>
      </c>
      <c r="T66" s="34">
        <v>1980</v>
      </c>
      <c r="U66" s="34"/>
      <c r="V66" s="34"/>
      <c r="W66" s="34"/>
      <c r="X66" s="34"/>
      <c r="Y66" s="34">
        <f t="shared" si="0"/>
        <v>16495</v>
      </c>
      <c r="Z66" s="31">
        <f>37301</f>
        <v>37301</v>
      </c>
      <c r="AA66" s="32">
        <v>1</v>
      </c>
      <c r="AB66" s="33">
        <v>44207</v>
      </c>
      <c r="AC66" s="36">
        <v>44214</v>
      </c>
      <c r="AD66" s="31"/>
      <c r="AE66" s="35"/>
      <c r="AF66" s="27"/>
      <c r="AG66" s="36"/>
      <c r="AH66" s="31">
        <v>2161</v>
      </c>
      <c r="AI66" s="35">
        <v>9</v>
      </c>
      <c r="AJ66" s="36">
        <v>44244</v>
      </c>
      <c r="AK66" s="36">
        <v>44249</v>
      </c>
      <c r="AL66" s="31"/>
      <c r="AM66" s="35"/>
      <c r="AN66" s="36"/>
      <c r="AO66" s="36"/>
      <c r="AP66" s="31"/>
      <c r="AQ66" s="35"/>
      <c r="AR66" s="27"/>
      <c r="AS66" s="36"/>
      <c r="AT66" s="31"/>
      <c r="AU66" s="35"/>
      <c r="AV66" s="27"/>
      <c r="AW66" s="36"/>
      <c r="AX66" s="31"/>
      <c r="AY66" s="35"/>
      <c r="AZ66" s="27"/>
      <c r="BA66" s="36"/>
      <c r="BB66" s="31"/>
      <c r="BC66" s="35"/>
      <c r="BD66" s="27"/>
      <c r="BE66" s="36"/>
      <c r="BF66" s="31"/>
      <c r="BG66" s="35"/>
      <c r="BH66" s="27"/>
      <c r="BI66" s="36"/>
      <c r="BJ66" s="31"/>
      <c r="BK66" s="35"/>
      <c r="BL66" s="27"/>
      <c r="BM66" s="36"/>
      <c r="BN66" s="35"/>
      <c r="BO66" s="35"/>
      <c r="BP66" s="27"/>
      <c r="BQ66" s="36"/>
      <c r="BR66" s="31">
        <v>515814</v>
      </c>
      <c r="BS66" s="35">
        <v>17</v>
      </c>
      <c r="BT66" s="33">
        <v>44301</v>
      </c>
      <c r="BU66" s="36">
        <v>44312</v>
      </c>
      <c r="BV66" s="31"/>
      <c r="BW66" s="35"/>
      <c r="BX66" s="27"/>
      <c r="BY66" s="36"/>
      <c r="BZ66" s="31"/>
      <c r="CA66" s="35"/>
      <c r="CB66" s="27"/>
      <c r="CC66" s="36"/>
      <c r="CD66" s="31"/>
      <c r="CE66" s="35"/>
      <c r="CF66" s="27"/>
      <c r="CG66" s="36"/>
      <c r="CH66" s="31"/>
      <c r="CI66" s="35"/>
      <c r="CJ66" s="27"/>
      <c r="CK66" s="36"/>
      <c r="CL66" s="31"/>
      <c r="CM66" s="35"/>
      <c r="CN66" s="27"/>
      <c r="CO66" s="36"/>
      <c r="CP66" s="31"/>
      <c r="CQ66" s="35"/>
      <c r="CR66" s="27"/>
      <c r="CS66" s="36"/>
      <c r="CT66" s="31"/>
      <c r="CU66" s="35"/>
      <c r="CV66" s="27"/>
      <c r="CW66" s="36"/>
      <c r="CX66" s="31">
        <v>21000</v>
      </c>
      <c r="CY66" s="35">
        <v>40</v>
      </c>
      <c r="CZ66" s="33">
        <v>44458</v>
      </c>
      <c r="DA66" s="36">
        <v>44460</v>
      </c>
      <c r="DB66" s="31"/>
      <c r="DC66" s="35"/>
      <c r="DD66" s="27"/>
      <c r="DE66" s="36"/>
      <c r="DF66" s="31"/>
      <c r="DG66" s="35"/>
      <c r="DH66" s="27"/>
      <c r="DI66" s="36"/>
      <c r="DJ66" s="623">
        <f t="shared" si="1"/>
        <v>576276</v>
      </c>
      <c r="DK66" s="38">
        <f t="shared" si="2"/>
        <v>559781</v>
      </c>
    </row>
    <row r="67" spans="2:115" s="39" customFormat="1" ht="33.75" customHeight="1">
      <c r="B67" s="97">
        <v>52</v>
      </c>
      <c r="C67" s="97" t="s">
        <v>39</v>
      </c>
      <c r="D67" s="532">
        <v>40019277</v>
      </c>
      <c r="E67" s="48" t="s">
        <v>2599</v>
      </c>
      <c r="F67" s="626" t="s">
        <v>146</v>
      </c>
      <c r="G67" s="26" t="s">
        <v>2545</v>
      </c>
      <c r="H67" s="26" t="s">
        <v>2600</v>
      </c>
      <c r="I67" s="626" t="s">
        <v>2540</v>
      </c>
      <c r="J67" s="34">
        <v>862646</v>
      </c>
      <c r="K67" s="34">
        <v>0</v>
      </c>
      <c r="L67" s="34">
        <v>0</v>
      </c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>
        <f t="shared" si="0"/>
        <v>0</v>
      </c>
      <c r="Z67" s="31">
        <v>862646</v>
      </c>
      <c r="AA67" s="32">
        <v>1</v>
      </c>
      <c r="AB67" s="33">
        <v>44207</v>
      </c>
      <c r="AC67" s="36">
        <v>44214</v>
      </c>
      <c r="AD67" s="31"/>
      <c r="AE67" s="35"/>
      <c r="AF67" s="27"/>
      <c r="AG67" s="36"/>
      <c r="AH67" s="31"/>
      <c r="AI67" s="35"/>
      <c r="AJ67" s="27"/>
      <c r="AK67" s="36"/>
      <c r="AL67" s="31"/>
      <c r="AM67" s="35"/>
      <c r="AN67" s="36"/>
      <c r="AO67" s="36"/>
      <c r="AP67" s="31"/>
      <c r="AQ67" s="35"/>
      <c r="AR67" s="27"/>
      <c r="AS67" s="36"/>
      <c r="AT67" s="31"/>
      <c r="AU67" s="35"/>
      <c r="AV67" s="27"/>
      <c r="AW67" s="36"/>
      <c r="AX67" s="31"/>
      <c r="AY67" s="35"/>
      <c r="AZ67" s="27"/>
      <c r="BA67" s="36"/>
      <c r="BB67" s="31"/>
      <c r="BC67" s="35"/>
      <c r="BD67" s="27"/>
      <c r="BE67" s="36"/>
      <c r="BF67" s="31"/>
      <c r="BG67" s="35"/>
      <c r="BH67" s="27"/>
      <c r="BI67" s="36"/>
      <c r="BJ67" s="31"/>
      <c r="BK67" s="35"/>
      <c r="BL67" s="27"/>
      <c r="BM67" s="36"/>
      <c r="BN67" s="35"/>
      <c r="BO67" s="35"/>
      <c r="BP67" s="27"/>
      <c r="BQ67" s="36"/>
      <c r="BR67" s="31"/>
      <c r="BS67" s="35"/>
      <c r="BT67" s="27"/>
      <c r="BU67" s="36"/>
      <c r="BV67" s="31"/>
      <c r="BW67" s="35"/>
      <c r="BX67" s="27"/>
      <c r="BY67" s="36"/>
      <c r="BZ67" s="31"/>
      <c r="CA67" s="35"/>
      <c r="CB67" s="27"/>
      <c r="CC67" s="36"/>
      <c r="CD67" s="31"/>
      <c r="CE67" s="35"/>
      <c r="CF67" s="27"/>
      <c r="CG67" s="36"/>
      <c r="CH67" s="31"/>
      <c r="CI67" s="35"/>
      <c r="CJ67" s="27"/>
      <c r="CK67" s="36"/>
      <c r="CL67" s="31"/>
      <c r="CM67" s="35"/>
      <c r="CN67" s="27"/>
      <c r="CO67" s="36"/>
      <c r="CP67" s="31"/>
      <c r="CQ67" s="35"/>
      <c r="CR67" s="27"/>
      <c r="CS67" s="36"/>
      <c r="CT67" s="31">
        <v>-842225</v>
      </c>
      <c r="CU67" s="35">
        <v>39</v>
      </c>
      <c r="CV67" s="33">
        <v>44431</v>
      </c>
      <c r="CW67" s="36">
        <v>44435</v>
      </c>
      <c r="CX67" s="31"/>
      <c r="CY67" s="35"/>
      <c r="CZ67" s="27"/>
      <c r="DA67" s="36"/>
      <c r="DB67" s="31"/>
      <c r="DC67" s="35"/>
      <c r="DD67" s="27"/>
      <c r="DE67" s="36"/>
      <c r="DF67" s="31"/>
      <c r="DG67" s="35"/>
      <c r="DH67" s="27"/>
      <c r="DI67" s="36"/>
      <c r="DJ67" s="623">
        <f t="shared" si="1"/>
        <v>20421</v>
      </c>
      <c r="DK67" s="38">
        <f t="shared" si="2"/>
        <v>20421</v>
      </c>
    </row>
    <row r="68" spans="2:115" s="39" customFormat="1" ht="22.5">
      <c r="B68" s="97">
        <v>53</v>
      </c>
      <c r="C68" s="97" t="s">
        <v>39</v>
      </c>
      <c r="D68" s="532">
        <v>40003654</v>
      </c>
      <c r="E68" s="48" t="s">
        <v>2601</v>
      </c>
      <c r="F68" s="626" t="s">
        <v>146</v>
      </c>
      <c r="G68" s="26" t="s">
        <v>2535</v>
      </c>
      <c r="H68" s="26" t="s">
        <v>2539</v>
      </c>
      <c r="I68" s="626" t="s">
        <v>2537</v>
      </c>
      <c r="J68" s="34">
        <v>1660998</v>
      </c>
      <c r="K68" s="34">
        <v>81874</v>
      </c>
      <c r="L68" s="34">
        <v>0</v>
      </c>
      <c r="M68" s="34">
        <v>108466</v>
      </c>
      <c r="N68" s="34">
        <v>162300</v>
      </c>
      <c r="O68" s="34">
        <v>184089</v>
      </c>
      <c r="P68" s="34">
        <v>320005</v>
      </c>
      <c r="Q68" s="34">
        <v>158668</v>
      </c>
      <c r="R68" s="34">
        <v>120909</v>
      </c>
      <c r="S68" s="34">
        <v>111797</v>
      </c>
      <c r="T68" s="34">
        <v>117791</v>
      </c>
      <c r="U68" s="34">
        <v>83053</v>
      </c>
      <c r="V68" s="34" t="s">
        <v>2552</v>
      </c>
      <c r="W68" s="34"/>
      <c r="X68" s="34"/>
      <c r="Y68" s="34">
        <f t="shared" si="0"/>
        <v>1367078</v>
      </c>
      <c r="Z68" s="31">
        <f>574569</f>
        <v>574569</v>
      </c>
      <c r="AA68" s="32">
        <v>1</v>
      </c>
      <c r="AB68" s="33">
        <v>44207</v>
      </c>
      <c r="AC68" s="36">
        <v>44214</v>
      </c>
      <c r="AD68" s="31"/>
      <c r="AE68" s="35"/>
      <c r="AF68" s="27"/>
      <c r="AG68" s="36"/>
      <c r="AH68" s="31"/>
      <c r="AI68" s="35"/>
      <c r="AJ68" s="27"/>
      <c r="AK68" s="36"/>
      <c r="AL68" s="31">
        <v>470000</v>
      </c>
      <c r="AM68" s="35">
        <v>13</v>
      </c>
      <c r="AN68" s="36">
        <v>44277</v>
      </c>
      <c r="AO68" s="36">
        <v>44281</v>
      </c>
      <c r="AP68" s="31"/>
      <c r="AQ68" s="35"/>
      <c r="AR68" s="27"/>
      <c r="AS68" s="36"/>
      <c r="AT68" s="31"/>
      <c r="AU68" s="35"/>
      <c r="AV68" s="27"/>
      <c r="AW68" s="36"/>
      <c r="AX68" s="31">
        <v>15000</v>
      </c>
      <c r="AY68" s="35">
        <v>18</v>
      </c>
      <c r="AZ68" s="36">
        <v>44308</v>
      </c>
      <c r="BA68" s="36">
        <v>44314</v>
      </c>
      <c r="BB68" s="31"/>
      <c r="BC68" s="35"/>
      <c r="BD68" s="27"/>
      <c r="BE68" s="36"/>
      <c r="BF68" s="31">
        <v>300000</v>
      </c>
      <c r="BG68" s="35">
        <v>25</v>
      </c>
      <c r="BH68" s="33">
        <v>44329</v>
      </c>
      <c r="BI68" s="36">
        <v>44335</v>
      </c>
      <c r="BJ68" s="31"/>
      <c r="BK68" s="35"/>
      <c r="BL68" s="27"/>
      <c r="BM68" s="36"/>
      <c r="BN68" s="35">
        <v>147588</v>
      </c>
      <c r="BO68" s="35">
        <v>28</v>
      </c>
      <c r="BP68" s="33">
        <v>44363</v>
      </c>
      <c r="BQ68" s="36">
        <v>44371</v>
      </c>
      <c r="BR68" s="31"/>
      <c r="BS68" s="35"/>
      <c r="BT68" s="27"/>
      <c r="BU68" s="36"/>
      <c r="BV68" s="31"/>
      <c r="BW68" s="35"/>
      <c r="BX68" s="27"/>
      <c r="BY68" s="36"/>
      <c r="BZ68" s="31"/>
      <c r="CA68" s="35"/>
      <c r="CB68" s="27"/>
      <c r="CC68" s="36"/>
      <c r="CD68" s="31"/>
      <c r="CE68" s="35"/>
      <c r="CF68" s="27"/>
      <c r="CG68" s="36"/>
      <c r="CH68" s="31"/>
      <c r="CI68" s="35"/>
      <c r="CJ68" s="27"/>
      <c r="CK68" s="36"/>
      <c r="CL68" s="31"/>
      <c r="CM68" s="35"/>
      <c r="CN68" s="27"/>
      <c r="CO68" s="36"/>
      <c r="CP68" s="31"/>
      <c r="CQ68" s="35"/>
      <c r="CR68" s="27"/>
      <c r="CS68" s="36"/>
      <c r="CT68" s="31"/>
      <c r="CU68" s="35"/>
      <c r="CV68" s="27"/>
      <c r="CW68" s="36"/>
      <c r="CX68" s="31"/>
      <c r="CY68" s="35"/>
      <c r="CZ68" s="27"/>
      <c r="DA68" s="36"/>
      <c r="DB68" s="31"/>
      <c r="DC68" s="35"/>
      <c r="DD68" s="27"/>
      <c r="DE68" s="36"/>
      <c r="DF68" s="31"/>
      <c r="DG68" s="35"/>
      <c r="DH68" s="27"/>
      <c r="DI68" s="36"/>
      <c r="DJ68" s="623">
        <f t="shared" si="1"/>
        <v>1507157</v>
      </c>
      <c r="DK68" s="38">
        <f t="shared" si="2"/>
        <v>140079</v>
      </c>
    </row>
    <row r="69" spans="2:115" s="39" customFormat="1" ht="22.5">
      <c r="B69" s="97">
        <v>54</v>
      </c>
      <c r="C69" s="97" t="s">
        <v>39</v>
      </c>
      <c r="D69" s="532">
        <v>40005912</v>
      </c>
      <c r="E69" s="48" t="s">
        <v>2602</v>
      </c>
      <c r="F69" s="626" t="s">
        <v>146</v>
      </c>
      <c r="G69" s="26" t="s">
        <v>2535</v>
      </c>
      <c r="H69" s="26" t="s">
        <v>2539</v>
      </c>
      <c r="I69" s="626" t="s">
        <v>2537</v>
      </c>
      <c r="J69" s="34">
        <v>2605269</v>
      </c>
      <c r="K69" s="34">
        <v>0</v>
      </c>
      <c r="L69" s="34">
        <v>2253725</v>
      </c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>
        <f t="shared" si="0"/>
        <v>0</v>
      </c>
      <c r="Z69" s="31">
        <v>351544</v>
      </c>
      <c r="AA69" s="32">
        <v>1</v>
      </c>
      <c r="AB69" s="33">
        <v>44207</v>
      </c>
      <c r="AC69" s="36">
        <v>44214</v>
      </c>
      <c r="AD69" s="31"/>
      <c r="AE69" s="35"/>
      <c r="AF69" s="27"/>
      <c r="AG69" s="36"/>
      <c r="AH69" s="31"/>
      <c r="AI69" s="35"/>
      <c r="AJ69" s="27"/>
      <c r="AK69" s="36"/>
      <c r="AL69" s="31"/>
      <c r="AM69" s="35"/>
      <c r="AN69" s="36"/>
      <c r="AO69" s="36"/>
      <c r="AP69" s="31"/>
      <c r="AQ69" s="35"/>
      <c r="AR69" s="27"/>
      <c r="AS69" s="36"/>
      <c r="AT69" s="31"/>
      <c r="AU69" s="35"/>
      <c r="AV69" s="27"/>
      <c r="AW69" s="36"/>
      <c r="AX69" s="31"/>
      <c r="AY69" s="35"/>
      <c r="AZ69" s="27"/>
      <c r="BA69" s="36"/>
      <c r="BB69" s="31"/>
      <c r="BC69" s="35"/>
      <c r="BD69" s="27"/>
      <c r="BE69" s="36"/>
      <c r="BF69" s="31"/>
      <c r="BG69" s="35"/>
      <c r="BH69" s="27"/>
      <c r="BI69" s="36"/>
      <c r="BJ69" s="31"/>
      <c r="BK69" s="35"/>
      <c r="BL69" s="27"/>
      <c r="BM69" s="36"/>
      <c r="BN69" s="35"/>
      <c r="BO69" s="35"/>
      <c r="BP69" s="27"/>
      <c r="BQ69" s="36"/>
      <c r="BR69" s="31"/>
      <c r="BS69" s="35"/>
      <c r="BT69" s="27"/>
      <c r="BU69" s="36"/>
      <c r="BV69" s="31"/>
      <c r="BW69" s="35"/>
      <c r="BX69" s="27"/>
      <c r="BY69" s="36"/>
      <c r="BZ69" s="31"/>
      <c r="CA69" s="35"/>
      <c r="CB69" s="27"/>
      <c r="CC69" s="36"/>
      <c r="CD69" s="31"/>
      <c r="CE69" s="35"/>
      <c r="CF69" s="27"/>
      <c r="CG69" s="36"/>
      <c r="CH69" s="31"/>
      <c r="CI69" s="35"/>
      <c r="CJ69" s="27"/>
      <c r="CK69" s="36"/>
      <c r="CL69" s="31"/>
      <c r="CM69" s="35"/>
      <c r="CN69" s="27"/>
      <c r="CO69" s="36"/>
      <c r="CP69" s="31"/>
      <c r="CQ69" s="35"/>
      <c r="CR69" s="27"/>
      <c r="CS69" s="36"/>
      <c r="CT69" s="31"/>
      <c r="CU69" s="35"/>
      <c r="CV69" s="27"/>
      <c r="CW69" s="36"/>
      <c r="CX69" s="31"/>
      <c r="CY69" s="35"/>
      <c r="CZ69" s="27"/>
      <c r="DA69" s="36"/>
      <c r="DB69" s="31"/>
      <c r="DC69" s="35"/>
      <c r="DD69" s="27"/>
      <c r="DE69" s="36"/>
      <c r="DF69" s="31"/>
      <c r="DG69" s="35"/>
      <c r="DH69" s="27"/>
      <c r="DI69" s="36"/>
      <c r="DJ69" s="623">
        <f t="shared" si="1"/>
        <v>351544</v>
      </c>
      <c r="DK69" s="38">
        <f t="shared" si="2"/>
        <v>351544</v>
      </c>
    </row>
    <row r="70" spans="2:115" s="39" customFormat="1" ht="22.5">
      <c r="B70" s="97">
        <v>55</v>
      </c>
      <c r="C70" s="97" t="s">
        <v>39</v>
      </c>
      <c r="D70" s="532">
        <v>40006570</v>
      </c>
      <c r="E70" s="48" t="s">
        <v>2603</v>
      </c>
      <c r="F70" s="626" t="s">
        <v>146</v>
      </c>
      <c r="G70" s="26" t="s">
        <v>2535</v>
      </c>
      <c r="H70" s="26" t="s">
        <v>2539</v>
      </c>
      <c r="I70" s="626" t="s">
        <v>2537</v>
      </c>
      <c r="J70" s="34">
        <v>359975</v>
      </c>
      <c r="K70" s="34">
        <v>843</v>
      </c>
      <c r="L70" s="34">
        <v>0</v>
      </c>
      <c r="M70" s="34">
        <v>13949</v>
      </c>
      <c r="N70" s="34">
        <v>52311</v>
      </c>
      <c r="O70" s="34">
        <v>112092</v>
      </c>
      <c r="P70" s="34">
        <v>83763</v>
      </c>
      <c r="Q70" s="34">
        <v>49820</v>
      </c>
      <c r="R70" s="34">
        <v>22611</v>
      </c>
      <c r="S70" s="34">
        <v>3719</v>
      </c>
      <c r="T70" s="34">
        <v>10472</v>
      </c>
      <c r="U70" s="34"/>
      <c r="V70" s="34"/>
      <c r="W70" s="34"/>
      <c r="X70" s="34"/>
      <c r="Y70" s="34">
        <f t="shared" si="0"/>
        <v>348737</v>
      </c>
      <c r="Z70" s="31">
        <f>150000</f>
        <v>150000</v>
      </c>
      <c r="AA70" s="32">
        <v>1</v>
      </c>
      <c r="AB70" s="33">
        <v>44207</v>
      </c>
      <c r="AC70" s="36">
        <v>44214</v>
      </c>
      <c r="AD70" s="31"/>
      <c r="AE70" s="35"/>
      <c r="AF70" s="27"/>
      <c r="AG70" s="36"/>
      <c r="AH70" s="31"/>
      <c r="AI70" s="35"/>
      <c r="AJ70" s="27"/>
      <c r="AK70" s="36"/>
      <c r="AL70" s="31">
        <v>180000</v>
      </c>
      <c r="AM70" s="35">
        <v>13</v>
      </c>
      <c r="AN70" s="36">
        <v>44277</v>
      </c>
      <c r="AO70" s="36">
        <v>44281</v>
      </c>
      <c r="AP70" s="31"/>
      <c r="AQ70" s="35"/>
      <c r="AR70" s="27"/>
      <c r="AS70" s="36"/>
      <c r="AT70" s="31"/>
      <c r="AU70" s="35"/>
      <c r="AV70" s="27"/>
      <c r="AW70" s="36"/>
      <c r="AX70" s="31">
        <v>18737</v>
      </c>
      <c r="AY70" s="35">
        <v>18</v>
      </c>
      <c r="AZ70" s="36">
        <v>44308</v>
      </c>
      <c r="BA70" s="36">
        <v>44314</v>
      </c>
      <c r="BB70" s="31"/>
      <c r="BC70" s="35"/>
      <c r="BD70" s="27"/>
      <c r="BE70" s="36"/>
      <c r="BF70" s="31"/>
      <c r="BG70" s="35"/>
      <c r="BH70" s="27"/>
      <c r="BI70" s="36"/>
      <c r="BJ70" s="31"/>
      <c r="BK70" s="35"/>
      <c r="BL70" s="27"/>
      <c r="BM70" s="36"/>
      <c r="BN70" s="35"/>
      <c r="BO70" s="35"/>
      <c r="BP70" s="27"/>
      <c r="BQ70" s="36"/>
      <c r="BR70" s="31"/>
      <c r="BS70" s="35"/>
      <c r="BT70" s="27"/>
      <c r="BU70" s="36"/>
      <c r="BV70" s="31"/>
      <c r="BW70" s="35"/>
      <c r="BX70" s="27"/>
      <c r="BY70" s="36"/>
      <c r="BZ70" s="31"/>
      <c r="CA70" s="35"/>
      <c r="CB70" s="27"/>
      <c r="CC70" s="36"/>
      <c r="CD70" s="31"/>
      <c r="CE70" s="35"/>
      <c r="CF70" s="27"/>
      <c r="CG70" s="36"/>
      <c r="CH70" s="31"/>
      <c r="CI70" s="35"/>
      <c r="CJ70" s="27"/>
      <c r="CK70" s="36"/>
      <c r="CL70" s="31"/>
      <c r="CM70" s="35"/>
      <c r="CN70" s="27"/>
      <c r="CO70" s="36"/>
      <c r="CP70" s="31"/>
      <c r="CQ70" s="35"/>
      <c r="CR70" s="27"/>
      <c r="CS70" s="36"/>
      <c r="CT70" s="31"/>
      <c r="CU70" s="35"/>
      <c r="CV70" s="27"/>
      <c r="CW70" s="36"/>
      <c r="CX70" s="31"/>
      <c r="CY70" s="35"/>
      <c r="CZ70" s="27"/>
      <c r="DA70" s="36"/>
      <c r="DB70" s="31"/>
      <c r="DC70" s="35"/>
      <c r="DD70" s="27"/>
      <c r="DE70" s="36"/>
      <c r="DF70" s="31"/>
      <c r="DG70" s="35"/>
      <c r="DH70" s="27"/>
      <c r="DI70" s="36"/>
      <c r="DJ70" s="623">
        <f t="shared" si="1"/>
        <v>348737</v>
      </c>
      <c r="DK70" s="38">
        <f t="shared" si="2"/>
        <v>0</v>
      </c>
    </row>
    <row r="71" spans="2:115" s="39" customFormat="1" ht="22.5">
      <c r="B71" s="97">
        <v>56</v>
      </c>
      <c r="C71" s="97" t="s">
        <v>39</v>
      </c>
      <c r="D71" s="532">
        <v>40008161</v>
      </c>
      <c r="E71" s="48" t="s">
        <v>2604</v>
      </c>
      <c r="F71" s="626" t="s">
        <v>146</v>
      </c>
      <c r="G71" s="26" t="s">
        <v>2535</v>
      </c>
      <c r="H71" s="26" t="s">
        <v>2539</v>
      </c>
      <c r="I71" s="626" t="s">
        <v>2537</v>
      </c>
      <c r="J71" s="34">
        <v>4687510</v>
      </c>
      <c r="K71" s="34">
        <v>1049</v>
      </c>
      <c r="L71" s="34">
        <v>1390153</v>
      </c>
      <c r="M71" s="34"/>
      <c r="N71" s="34"/>
      <c r="O71" s="34"/>
      <c r="P71" s="34"/>
      <c r="Q71" s="34"/>
      <c r="R71" s="34">
        <v>86097</v>
      </c>
      <c r="S71" s="34">
        <v>80520</v>
      </c>
      <c r="T71" s="34">
        <v>137485</v>
      </c>
      <c r="U71" s="34">
        <v>234766</v>
      </c>
      <c r="V71" s="34" t="s">
        <v>2552</v>
      </c>
      <c r="W71" s="34"/>
      <c r="X71" s="34"/>
      <c r="Y71" s="34">
        <f t="shared" si="0"/>
        <v>538868</v>
      </c>
      <c r="Z71" s="31">
        <v>291527</v>
      </c>
      <c r="AA71" s="32">
        <v>1</v>
      </c>
      <c r="AB71" s="33">
        <v>44207</v>
      </c>
      <c r="AC71" s="36">
        <v>44214</v>
      </c>
      <c r="AD71" s="31"/>
      <c r="AE71" s="35"/>
      <c r="AF71" s="27"/>
      <c r="AG71" s="36"/>
      <c r="AH71" s="31"/>
      <c r="AI71" s="35"/>
      <c r="AJ71" s="27"/>
      <c r="AK71" s="36"/>
      <c r="AL71" s="31"/>
      <c r="AM71" s="35"/>
      <c r="AN71" s="36"/>
      <c r="AO71" s="36"/>
      <c r="AP71" s="31"/>
      <c r="AQ71" s="35"/>
      <c r="AR71" s="27"/>
      <c r="AS71" s="36"/>
      <c r="AT71" s="31"/>
      <c r="AU71" s="35"/>
      <c r="AV71" s="27"/>
      <c r="AW71" s="36"/>
      <c r="AX71" s="31"/>
      <c r="AY71" s="35"/>
      <c r="AZ71" s="27"/>
      <c r="BA71" s="36"/>
      <c r="BB71" s="31"/>
      <c r="BC71" s="35"/>
      <c r="BD71" s="27"/>
      <c r="BE71" s="36"/>
      <c r="BF71" s="31"/>
      <c r="BG71" s="35"/>
      <c r="BH71" s="27"/>
      <c r="BI71" s="36"/>
      <c r="BJ71" s="31"/>
      <c r="BK71" s="35"/>
      <c r="BL71" s="27"/>
      <c r="BM71" s="36"/>
      <c r="BN71" s="35">
        <v>200000</v>
      </c>
      <c r="BO71" s="35">
        <v>28</v>
      </c>
      <c r="BP71" s="33">
        <v>44363</v>
      </c>
      <c r="BQ71" s="36">
        <v>44371</v>
      </c>
      <c r="BR71" s="31"/>
      <c r="BS71" s="35"/>
      <c r="BT71" s="27"/>
      <c r="BU71" s="36"/>
      <c r="BV71" s="31"/>
      <c r="BW71" s="35"/>
      <c r="BX71" s="27"/>
      <c r="BY71" s="36"/>
      <c r="BZ71" s="31"/>
      <c r="CA71" s="35"/>
      <c r="CB71" s="27"/>
      <c r="CC71" s="36"/>
      <c r="CD71" s="31">
        <v>500000</v>
      </c>
      <c r="CE71" s="35">
        <v>32</v>
      </c>
      <c r="CF71" s="33">
        <v>44389</v>
      </c>
      <c r="CG71" s="36">
        <v>44397</v>
      </c>
      <c r="CH71" s="31"/>
      <c r="CI71" s="35"/>
      <c r="CJ71" s="27"/>
      <c r="CK71" s="36"/>
      <c r="CL71" s="31"/>
      <c r="CM71" s="35"/>
      <c r="CN71" s="27"/>
      <c r="CO71" s="36"/>
      <c r="CP71" s="31"/>
      <c r="CQ71" s="35"/>
      <c r="CR71" s="27"/>
      <c r="CS71" s="36"/>
      <c r="CT71" s="31"/>
      <c r="CU71" s="35"/>
      <c r="CV71" s="27"/>
      <c r="CW71" s="36"/>
      <c r="CX71" s="31"/>
      <c r="CY71" s="35"/>
      <c r="CZ71" s="27"/>
      <c r="DA71" s="36"/>
      <c r="DB71" s="31"/>
      <c r="DC71" s="35"/>
      <c r="DD71" s="27"/>
      <c r="DE71" s="36"/>
      <c r="DF71" s="31"/>
      <c r="DG71" s="35"/>
      <c r="DH71" s="27"/>
      <c r="DI71" s="36"/>
      <c r="DJ71" s="623">
        <f t="shared" si="1"/>
        <v>991527</v>
      </c>
      <c r="DK71" s="38">
        <f t="shared" si="2"/>
        <v>452659</v>
      </c>
    </row>
    <row r="72" spans="2:115" s="39" customFormat="1" ht="22.5">
      <c r="B72" s="97">
        <v>57</v>
      </c>
      <c r="C72" s="97" t="s">
        <v>39</v>
      </c>
      <c r="D72" s="532">
        <v>40009998</v>
      </c>
      <c r="E72" s="48" t="s">
        <v>2605</v>
      </c>
      <c r="F72" s="626" t="s">
        <v>158</v>
      </c>
      <c r="G72" s="26" t="s">
        <v>2535</v>
      </c>
      <c r="H72" s="26" t="s">
        <v>2539</v>
      </c>
      <c r="I72" s="626" t="s">
        <v>2537</v>
      </c>
      <c r="J72" s="34">
        <v>86087</v>
      </c>
      <c r="K72" s="34">
        <v>0</v>
      </c>
      <c r="L72" s="34">
        <v>0</v>
      </c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>
        <f t="shared" si="0"/>
        <v>0</v>
      </c>
      <c r="Z72" s="31">
        <v>2061</v>
      </c>
      <c r="AA72" s="32">
        <v>1</v>
      </c>
      <c r="AB72" s="33">
        <v>44207</v>
      </c>
      <c r="AC72" s="36">
        <v>44214</v>
      </c>
      <c r="AD72" s="31"/>
      <c r="AE72" s="35"/>
      <c r="AF72" s="27"/>
      <c r="AG72" s="36"/>
      <c r="AH72" s="31"/>
      <c r="AI72" s="35"/>
      <c r="AJ72" s="27"/>
      <c r="AK72" s="36"/>
      <c r="AL72" s="31"/>
      <c r="AM72" s="35"/>
      <c r="AN72" s="36"/>
      <c r="AO72" s="36"/>
      <c r="AP72" s="31"/>
      <c r="AQ72" s="35"/>
      <c r="AR72" s="27"/>
      <c r="AS72" s="36"/>
      <c r="AT72" s="31"/>
      <c r="AU72" s="35"/>
      <c r="AV72" s="27"/>
      <c r="AW72" s="36"/>
      <c r="AX72" s="31"/>
      <c r="AY72" s="35"/>
      <c r="AZ72" s="27"/>
      <c r="BA72" s="36"/>
      <c r="BB72" s="31"/>
      <c r="BC72" s="35"/>
      <c r="BD72" s="27"/>
      <c r="BE72" s="36"/>
      <c r="BF72" s="31"/>
      <c r="BG72" s="35"/>
      <c r="BH72" s="27"/>
      <c r="BI72" s="36"/>
      <c r="BJ72" s="31"/>
      <c r="BK72" s="35"/>
      <c r="BL72" s="27"/>
      <c r="BM72" s="36"/>
      <c r="BN72" s="35"/>
      <c r="BO72" s="35"/>
      <c r="BP72" s="27"/>
      <c r="BQ72" s="36"/>
      <c r="BR72" s="31"/>
      <c r="BS72" s="35"/>
      <c r="BT72" s="27"/>
      <c r="BU72" s="36"/>
      <c r="BV72" s="31"/>
      <c r="BW72" s="35"/>
      <c r="BX72" s="27"/>
      <c r="BY72" s="36"/>
      <c r="BZ72" s="31"/>
      <c r="CA72" s="35"/>
      <c r="CB72" s="27"/>
      <c r="CC72" s="36"/>
      <c r="CD72" s="31"/>
      <c r="CE72" s="35"/>
      <c r="CF72" s="27"/>
      <c r="CG72" s="36"/>
      <c r="CH72" s="31"/>
      <c r="CI72" s="35"/>
      <c r="CJ72" s="27"/>
      <c r="CK72" s="36"/>
      <c r="CL72" s="31"/>
      <c r="CM72" s="35"/>
      <c r="CN72" s="27"/>
      <c r="CO72" s="36"/>
      <c r="CP72" s="31"/>
      <c r="CQ72" s="35"/>
      <c r="CR72" s="27"/>
      <c r="CS72" s="36"/>
      <c r="CT72" s="31"/>
      <c r="CU72" s="35"/>
      <c r="CV72" s="27"/>
      <c r="CW72" s="36"/>
      <c r="CX72" s="31"/>
      <c r="CY72" s="35"/>
      <c r="CZ72" s="27"/>
      <c r="DA72" s="36"/>
      <c r="DB72" s="31"/>
      <c r="DC72" s="35"/>
      <c r="DD72" s="27"/>
      <c r="DE72" s="36"/>
      <c r="DF72" s="31"/>
      <c r="DG72" s="35"/>
      <c r="DH72" s="27"/>
      <c r="DI72" s="36"/>
      <c r="DJ72" s="623">
        <f t="shared" si="1"/>
        <v>2061</v>
      </c>
      <c r="DK72" s="38">
        <f t="shared" si="2"/>
        <v>2061</v>
      </c>
    </row>
    <row r="73" spans="2:115" s="39" customFormat="1" ht="22.5">
      <c r="B73" s="97">
        <v>58</v>
      </c>
      <c r="C73" s="97" t="s">
        <v>39</v>
      </c>
      <c r="D73" s="532">
        <v>40020480</v>
      </c>
      <c r="E73" s="48" t="s">
        <v>2606</v>
      </c>
      <c r="F73" s="626" t="s">
        <v>146</v>
      </c>
      <c r="G73" s="26" t="s">
        <v>2535</v>
      </c>
      <c r="H73" s="26" t="s">
        <v>2539</v>
      </c>
      <c r="I73" s="626" t="s">
        <v>2540</v>
      </c>
      <c r="J73" s="34">
        <v>2901472</v>
      </c>
      <c r="K73" s="34">
        <v>0</v>
      </c>
      <c r="L73" s="34">
        <v>2541566</v>
      </c>
      <c r="M73" s="34"/>
      <c r="N73" s="34"/>
      <c r="O73" s="34"/>
      <c r="P73" s="34"/>
      <c r="Q73" s="34">
        <v>42981</v>
      </c>
      <c r="R73" s="34">
        <v>180796</v>
      </c>
      <c r="S73" s="34">
        <v>222413</v>
      </c>
      <c r="T73" s="34">
        <v>279428</v>
      </c>
      <c r="U73" s="34">
        <v>112527</v>
      </c>
      <c r="V73" s="34" t="s">
        <v>2552</v>
      </c>
      <c r="W73" s="34"/>
      <c r="X73" s="34"/>
      <c r="Y73" s="34">
        <f t="shared" si="0"/>
        <v>838145</v>
      </c>
      <c r="Z73" s="31">
        <v>1002</v>
      </c>
      <c r="AA73" s="32">
        <v>1</v>
      </c>
      <c r="AB73" s="33">
        <v>44207</v>
      </c>
      <c r="AC73" s="36">
        <v>44214</v>
      </c>
      <c r="AD73" s="31"/>
      <c r="AE73" s="35"/>
      <c r="AF73" s="27"/>
      <c r="AG73" s="36"/>
      <c r="AH73" s="31"/>
      <c r="AI73" s="35"/>
      <c r="AJ73" s="27"/>
      <c r="AK73" s="36"/>
      <c r="AL73" s="31"/>
      <c r="AM73" s="35"/>
      <c r="AN73" s="36"/>
      <c r="AO73" s="36"/>
      <c r="AP73" s="31"/>
      <c r="AQ73" s="35"/>
      <c r="AR73" s="27"/>
      <c r="AS73" s="36"/>
      <c r="AT73" s="31"/>
      <c r="AU73" s="35"/>
      <c r="AV73" s="27"/>
      <c r="AW73" s="36"/>
      <c r="AX73" s="31">
        <v>520000</v>
      </c>
      <c r="AY73" s="35">
        <v>18</v>
      </c>
      <c r="AZ73" s="36">
        <v>44308</v>
      </c>
      <c r="BA73" s="36">
        <v>44314</v>
      </c>
      <c r="BB73" s="31"/>
      <c r="BC73" s="35"/>
      <c r="BD73" s="27"/>
      <c r="BE73" s="36"/>
      <c r="BF73" s="31"/>
      <c r="BG73" s="35"/>
      <c r="BH73" s="27"/>
      <c r="BI73" s="36"/>
      <c r="BJ73" s="31"/>
      <c r="BK73" s="35"/>
      <c r="BL73" s="27"/>
      <c r="BM73" s="36"/>
      <c r="BN73" s="35">
        <v>520000</v>
      </c>
      <c r="BO73" s="35">
        <v>28</v>
      </c>
      <c r="BP73" s="33">
        <v>44363</v>
      </c>
      <c r="BQ73" s="36">
        <v>44371</v>
      </c>
      <c r="BR73" s="31"/>
      <c r="BS73" s="35"/>
      <c r="BT73" s="27"/>
      <c r="BU73" s="36"/>
      <c r="BV73" s="31"/>
      <c r="BW73" s="35"/>
      <c r="BX73" s="27"/>
      <c r="BY73" s="36"/>
      <c r="BZ73" s="31"/>
      <c r="CA73" s="35"/>
      <c r="CB73" s="27"/>
      <c r="CC73" s="36"/>
      <c r="CD73" s="31"/>
      <c r="CE73" s="35"/>
      <c r="CF73" s="27"/>
      <c r="CG73" s="36"/>
      <c r="CH73" s="31"/>
      <c r="CI73" s="35"/>
      <c r="CJ73" s="27"/>
      <c r="CK73" s="36"/>
      <c r="CL73" s="31"/>
      <c r="CM73" s="35"/>
      <c r="CN73" s="27"/>
      <c r="CO73" s="36"/>
      <c r="CP73" s="31">
        <v>216815</v>
      </c>
      <c r="CQ73" s="35">
        <v>37</v>
      </c>
      <c r="CR73" s="33">
        <v>44418</v>
      </c>
      <c r="CS73" s="36">
        <v>44426</v>
      </c>
      <c r="CT73" s="31"/>
      <c r="CU73" s="35"/>
      <c r="CV73" s="27"/>
      <c r="CW73" s="36"/>
      <c r="CX73" s="31"/>
      <c r="CY73" s="35"/>
      <c r="CZ73" s="27"/>
      <c r="DA73" s="36"/>
      <c r="DB73" s="31"/>
      <c r="DC73" s="35"/>
      <c r="DD73" s="27"/>
      <c r="DE73" s="36"/>
      <c r="DF73" s="31"/>
      <c r="DG73" s="35"/>
      <c r="DH73" s="27"/>
      <c r="DI73" s="36"/>
      <c r="DJ73" s="623">
        <f t="shared" si="1"/>
        <v>1257817</v>
      </c>
      <c r="DK73" s="38">
        <f t="shared" si="2"/>
        <v>419672</v>
      </c>
    </row>
    <row r="74" spans="2:115" s="39" customFormat="1" ht="22.5">
      <c r="B74" s="97">
        <v>59</v>
      </c>
      <c r="C74" s="97" t="s">
        <v>39</v>
      </c>
      <c r="D74" s="532">
        <v>30485034</v>
      </c>
      <c r="E74" s="48" t="s">
        <v>2607</v>
      </c>
      <c r="F74" s="626" t="s">
        <v>146</v>
      </c>
      <c r="G74" s="26" t="s">
        <v>2542</v>
      </c>
      <c r="H74" s="26" t="s">
        <v>2543</v>
      </c>
      <c r="I74" s="626" t="s">
        <v>2537</v>
      </c>
      <c r="J74" s="34">
        <v>1988938</v>
      </c>
      <c r="K74" s="34">
        <v>1561591</v>
      </c>
      <c r="L74" s="34">
        <v>1</v>
      </c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>
        <f t="shared" si="0"/>
        <v>0</v>
      </c>
      <c r="Z74" s="31">
        <v>102000</v>
      </c>
      <c r="AA74" s="32">
        <v>1</v>
      </c>
      <c r="AB74" s="33">
        <v>44207</v>
      </c>
      <c r="AC74" s="36">
        <v>44214</v>
      </c>
      <c r="AD74" s="31"/>
      <c r="AE74" s="35"/>
      <c r="AF74" s="27"/>
      <c r="AG74" s="36"/>
      <c r="AH74" s="31"/>
      <c r="AI74" s="35"/>
      <c r="AJ74" s="27"/>
      <c r="AK74" s="36"/>
      <c r="AL74" s="31"/>
      <c r="AM74" s="35"/>
      <c r="AN74" s="36"/>
      <c r="AO74" s="36"/>
      <c r="AP74" s="31"/>
      <c r="AQ74" s="35"/>
      <c r="AR74" s="27"/>
      <c r="AS74" s="36"/>
      <c r="AT74" s="31"/>
      <c r="AU74" s="35"/>
      <c r="AV74" s="27"/>
      <c r="AW74" s="36"/>
      <c r="AX74" s="31"/>
      <c r="AY74" s="35"/>
      <c r="AZ74" s="27"/>
      <c r="BA74" s="36"/>
      <c r="BB74" s="31"/>
      <c r="BC74" s="35"/>
      <c r="BD74" s="27"/>
      <c r="BE74" s="36"/>
      <c r="BF74" s="31"/>
      <c r="BG74" s="35"/>
      <c r="BH74" s="27"/>
      <c r="BI74" s="36"/>
      <c r="BJ74" s="31"/>
      <c r="BK74" s="35"/>
      <c r="BL74" s="27"/>
      <c r="BM74" s="36"/>
      <c r="BN74" s="35">
        <v>-100000</v>
      </c>
      <c r="BO74" s="35">
        <v>28</v>
      </c>
      <c r="BP74" s="33">
        <v>44363</v>
      </c>
      <c r="BQ74" s="36">
        <v>44371</v>
      </c>
      <c r="BR74" s="31"/>
      <c r="BS74" s="35"/>
      <c r="BT74" s="27"/>
      <c r="BU74" s="36"/>
      <c r="BV74" s="31"/>
      <c r="BW74" s="35"/>
      <c r="BX74" s="27"/>
      <c r="BY74" s="36"/>
      <c r="BZ74" s="31"/>
      <c r="CA74" s="35"/>
      <c r="CB74" s="27"/>
      <c r="CC74" s="36"/>
      <c r="CD74" s="31"/>
      <c r="CE74" s="35"/>
      <c r="CF74" s="27"/>
      <c r="CG74" s="36"/>
      <c r="CH74" s="31"/>
      <c r="CI74" s="35"/>
      <c r="CJ74" s="27"/>
      <c r="CK74" s="36"/>
      <c r="CL74" s="31"/>
      <c r="CM74" s="35"/>
      <c r="CN74" s="27"/>
      <c r="CO74" s="36"/>
      <c r="CP74" s="31"/>
      <c r="CQ74" s="35"/>
      <c r="CR74" s="27"/>
      <c r="CS74" s="36"/>
      <c r="CT74" s="31"/>
      <c r="CU74" s="35"/>
      <c r="CV74" s="27"/>
      <c r="CW74" s="36"/>
      <c r="CX74" s="31"/>
      <c r="CY74" s="35"/>
      <c r="CZ74" s="27"/>
      <c r="DA74" s="36"/>
      <c r="DB74" s="31"/>
      <c r="DC74" s="35"/>
      <c r="DD74" s="27"/>
      <c r="DE74" s="36"/>
      <c r="DF74" s="31"/>
      <c r="DG74" s="35"/>
      <c r="DH74" s="27"/>
      <c r="DI74" s="36"/>
      <c r="DJ74" s="623">
        <f t="shared" si="1"/>
        <v>2000</v>
      </c>
      <c r="DK74" s="38">
        <f t="shared" si="2"/>
        <v>2000</v>
      </c>
    </row>
    <row r="75" spans="2:115" s="39" customFormat="1" ht="22.5">
      <c r="B75" s="97">
        <v>60</v>
      </c>
      <c r="C75" s="97" t="s">
        <v>65</v>
      </c>
      <c r="D75" s="532">
        <v>40010261</v>
      </c>
      <c r="E75" s="48" t="s">
        <v>2608</v>
      </c>
      <c r="F75" s="626" t="s">
        <v>146</v>
      </c>
      <c r="G75" s="26" t="s">
        <v>2542</v>
      </c>
      <c r="H75" s="26" t="s">
        <v>2594</v>
      </c>
      <c r="I75" s="626" t="s">
        <v>2537</v>
      </c>
      <c r="J75" s="34">
        <v>54409</v>
      </c>
      <c r="K75" s="34">
        <v>0</v>
      </c>
      <c r="L75" s="34">
        <v>14415</v>
      </c>
      <c r="M75" s="34"/>
      <c r="N75" s="34"/>
      <c r="O75" s="34">
        <v>14414</v>
      </c>
      <c r="P75" s="34"/>
      <c r="Q75" s="34"/>
      <c r="R75" s="34"/>
      <c r="S75" s="34">
        <v>24586</v>
      </c>
      <c r="T75" s="34"/>
      <c r="U75" s="34"/>
      <c r="V75" s="34"/>
      <c r="W75" s="34"/>
      <c r="X75" s="34"/>
      <c r="Y75" s="34">
        <f t="shared" si="0"/>
        <v>39000</v>
      </c>
      <c r="Z75" s="31">
        <f>9560</f>
        <v>9560</v>
      </c>
      <c r="AA75" s="32">
        <v>3</v>
      </c>
      <c r="AB75" s="33">
        <v>44217</v>
      </c>
      <c r="AC75" s="36">
        <v>44221</v>
      </c>
      <c r="AD75" s="31"/>
      <c r="AE75" s="35"/>
      <c r="AF75" s="27"/>
      <c r="AG75" s="36"/>
      <c r="AH75" s="31">
        <v>30000</v>
      </c>
      <c r="AI75" s="35">
        <v>9</v>
      </c>
      <c r="AJ75" s="36">
        <v>44244</v>
      </c>
      <c r="AK75" s="36">
        <v>44249</v>
      </c>
      <c r="AL75" s="31"/>
      <c r="AM75" s="35"/>
      <c r="AN75" s="36"/>
      <c r="AO75" s="36"/>
      <c r="AP75" s="31"/>
      <c r="AQ75" s="35"/>
      <c r="AR75" s="27"/>
      <c r="AS75" s="36"/>
      <c r="AT75" s="31"/>
      <c r="AU75" s="35"/>
      <c r="AV75" s="27"/>
      <c r="AW75" s="36"/>
      <c r="AX75" s="31"/>
      <c r="AY75" s="35"/>
      <c r="AZ75" s="27"/>
      <c r="BA75" s="36"/>
      <c r="BB75" s="31"/>
      <c r="BC75" s="35"/>
      <c r="BD75" s="27"/>
      <c r="BE75" s="36"/>
      <c r="BF75" s="31"/>
      <c r="BG75" s="35"/>
      <c r="BH75" s="27"/>
      <c r="BI75" s="36"/>
      <c r="BJ75" s="31"/>
      <c r="BK75" s="35"/>
      <c r="BL75" s="27"/>
      <c r="BM75" s="36"/>
      <c r="BN75" s="35"/>
      <c r="BO75" s="35"/>
      <c r="BP75" s="27"/>
      <c r="BQ75" s="36"/>
      <c r="BR75" s="31"/>
      <c r="BS75" s="35"/>
      <c r="BT75" s="27"/>
      <c r="BU75" s="36"/>
      <c r="BV75" s="31"/>
      <c r="BW75" s="35"/>
      <c r="BX75" s="27"/>
      <c r="BY75" s="36"/>
      <c r="BZ75" s="31"/>
      <c r="CA75" s="35"/>
      <c r="CB75" s="27"/>
      <c r="CC75" s="36"/>
      <c r="CD75" s="31"/>
      <c r="CE75" s="35"/>
      <c r="CF75" s="27"/>
      <c r="CG75" s="36"/>
      <c r="CH75" s="31"/>
      <c r="CI75" s="35"/>
      <c r="CJ75" s="27"/>
      <c r="CK75" s="36"/>
      <c r="CL75" s="31"/>
      <c r="CM75" s="35"/>
      <c r="CN75" s="27"/>
      <c r="CO75" s="36"/>
      <c r="CP75" s="31"/>
      <c r="CQ75" s="35"/>
      <c r="CR75" s="27"/>
      <c r="CS75" s="36"/>
      <c r="CT75" s="31"/>
      <c r="CU75" s="35"/>
      <c r="CV75" s="27"/>
      <c r="CW75" s="36"/>
      <c r="CX75" s="31"/>
      <c r="CY75" s="35"/>
      <c r="CZ75" s="27"/>
      <c r="DA75" s="36"/>
      <c r="DB75" s="31"/>
      <c r="DC75" s="35"/>
      <c r="DD75" s="27"/>
      <c r="DE75" s="36"/>
      <c r="DF75" s="31"/>
      <c r="DG75" s="35"/>
      <c r="DH75" s="27"/>
      <c r="DI75" s="36"/>
      <c r="DJ75" s="623">
        <f t="shared" si="1"/>
        <v>39560</v>
      </c>
      <c r="DK75" s="38">
        <f t="shared" si="2"/>
        <v>560</v>
      </c>
    </row>
    <row r="76" spans="2:115" s="39" customFormat="1" ht="22.5">
      <c r="B76" s="97">
        <v>61</v>
      </c>
      <c r="C76" s="97" t="s">
        <v>65</v>
      </c>
      <c r="D76" s="532">
        <v>30483861</v>
      </c>
      <c r="E76" s="48" t="s">
        <v>2609</v>
      </c>
      <c r="F76" s="626" t="s">
        <v>146</v>
      </c>
      <c r="G76" s="26" t="s">
        <v>2542</v>
      </c>
      <c r="H76" s="26" t="s">
        <v>2594</v>
      </c>
      <c r="I76" s="626" t="s">
        <v>2537</v>
      </c>
      <c r="J76" s="34">
        <v>118340</v>
      </c>
      <c r="K76" s="34">
        <v>0</v>
      </c>
      <c r="L76" s="34">
        <v>18103</v>
      </c>
      <c r="M76" s="34"/>
      <c r="N76" s="34"/>
      <c r="O76" s="34">
        <v>10000</v>
      </c>
      <c r="P76" s="34"/>
      <c r="Q76" s="34"/>
      <c r="R76" s="34"/>
      <c r="S76" s="34">
        <v>10000</v>
      </c>
      <c r="T76" s="34"/>
      <c r="U76" s="34"/>
      <c r="V76" s="34"/>
      <c r="W76" s="34"/>
      <c r="X76" s="34"/>
      <c r="Y76" s="34">
        <f t="shared" si="0"/>
        <v>20000</v>
      </c>
      <c r="Z76" s="31">
        <f>9237</f>
        <v>9237</v>
      </c>
      <c r="AA76" s="32">
        <v>3</v>
      </c>
      <c r="AB76" s="33">
        <v>44217</v>
      </c>
      <c r="AC76" s="36">
        <v>44221</v>
      </c>
      <c r="AD76" s="31"/>
      <c r="AE76" s="35"/>
      <c r="AF76" s="27"/>
      <c r="AG76" s="36"/>
      <c r="AH76" s="31">
        <v>30000</v>
      </c>
      <c r="AI76" s="35">
        <v>9</v>
      </c>
      <c r="AJ76" s="36">
        <v>44244</v>
      </c>
      <c r="AK76" s="36">
        <v>44249</v>
      </c>
      <c r="AL76" s="31"/>
      <c r="AM76" s="35"/>
      <c r="AN76" s="36"/>
      <c r="AO76" s="36"/>
      <c r="AP76" s="31"/>
      <c r="AQ76" s="35"/>
      <c r="AR76" s="27"/>
      <c r="AS76" s="36"/>
      <c r="AT76" s="31"/>
      <c r="AU76" s="35"/>
      <c r="AV76" s="27"/>
      <c r="AW76" s="36"/>
      <c r="AX76" s="31"/>
      <c r="AY76" s="35"/>
      <c r="AZ76" s="27"/>
      <c r="BA76" s="36"/>
      <c r="BB76" s="31"/>
      <c r="BC76" s="35"/>
      <c r="BD76" s="27"/>
      <c r="BE76" s="36"/>
      <c r="BF76" s="31"/>
      <c r="BG76" s="35"/>
      <c r="BH76" s="27"/>
      <c r="BI76" s="36"/>
      <c r="BJ76" s="31"/>
      <c r="BK76" s="35"/>
      <c r="BL76" s="27"/>
      <c r="BM76" s="36"/>
      <c r="BN76" s="35"/>
      <c r="BO76" s="35"/>
      <c r="BP76" s="27"/>
      <c r="BQ76" s="36"/>
      <c r="BR76" s="31"/>
      <c r="BS76" s="35"/>
      <c r="BT76" s="27"/>
      <c r="BU76" s="36"/>
      <c r="BV76" s="31"/>
      <c r="BW76" s="35"/>
      <c r="BX76" s="27"/>
      <c r="BY76" s="36"/>
      <c r="BZ76" s="31"/>
      <c r="CA76" s="35"/>
      <c r="CB76" s="27"/>
      <c r="CC76" s="36"/>
      <c r="CD76" s="31"/>
      <c r="CE76" s="35"/>
      <c r="CF76" s="27"/>
      <c r="CG76" s="36"/>
      <c r="CH76" s="31"/>
      <c r="CI76" s="35"/>
      <c r="CJ76" s="27"/>
      <c r="CK76" s="36"/>
      <c r="CL76" s="31"/>
      <c r="CM76" s="35"/>
      <c r="CN76" s="27"/>
      <c r="CO76" s="36"/>
      <c r="CP76" s="31"/>
      <c r="CQ76" s="35"/>
      <c r="CR76" s="27"/>
      <c r="CS76" s="36"/>
      <c r="CT76" s="31"/>
      <c r="CU76" s="35"/>
      <c r="CV76" s="27"/>
      <c r="CW76" s="36"/>
      <c r="CX76" s="31"/>
      <c r="CY76" s="35"/>
      <c r="CZ76" s="27"/>
      <c r="DA76" s="36"/>
      <c r="DB76" s="31"/>
      <c r="DC76" s="35"/>
      <c r="DD76" s="27"/>
      <c r="DE76" s="36"/>
      <c r="DF76" s="31"/>
      <c r="DG76" s="35"/>
      <c r="DH76" s="27"/>
      <c r="DI76" s="36"/>
      <c r="DJ76" s="623">
        <f t="shared" si="1"/>
        <v>39237</v>
      </c>
      <c r="DK76" s="38">
        <f t="shared" si="2"/>
        <v>19237</v>
      </c>
    </row>
    <row r="77" spans="2:115" s="39" customFormat="1" ht="22.5">
      <c r="B77" s="97">
        <v>62</v>
      </c>
      <c r="C77" s="97" t="s">
        <v>39</v>
      </c>
      <c r="D77" s="532">
        <v>40012128</v>
      </c>
      <c r="E77" s="48" t="s">
        <v>2610</v>
      </c>
      <c r="F77" s="626" t="s">
        <v>146</v>
      </c>
      <c r="G77" s="26" t="s">
        <v>2535</v>
      </c>
      <c r="H77" s="26" t="s">
        <v>2539</v>
      </c>
      <c r="I77" s="626" t="s">
        <v>2540</v>
      </c>
      <c r="J77" s="34">
        <v>2548731</v>
      </c>
      <c r="K77" s="34">
        <v>0</v>
      </c>
      <c r="L77" s="34">
        <v>1385090</v>
      </c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>
        <f t="shared" si="0"/>
        <v>0</v>
      </c>
      <c r="Z77" s="31">
        <v>4000</v>
      </c>
      <c r="AA77" s="32">
        <v>3</v>
      </c>
      <c r="AB77" s="33">
        <v>44217</v>
      </c>
      <c r="AC77" s="36">
        <v>44221</v>
      </c>
      <c r="AD77" s="31"/>
      <c r="AE77" s="35"/>
      <c r="AF77" s="27"/>
      <c r="AG77" s="36"/>
      <c r="AH77" s="31"/>
      <c r="AI77" s="35"/>
      <c r="AJ77" s="27"/>
      <c r="AK77" s="36"/>
      <c r="AL77" s="31"/>
      <c r="AM77" s="35"/>
      <c r="AN77" s="36"/>
      <c r="AO77" s="36"/>
      <c r="AP77" s="31"/>
      <c r="AQ77" s="35"/>
      <c r="AR77" s="27"/>
      <c r="AS77" s="36"/>
      <c r="AT77" s="31"/>
      <c r="AU77" s="35"/>
      <c r="AV77" s="27"/>
      <c r="AW77" s="36"/>
      <c r="AX77" s="31"/>
      <c r="AY77" s="35"/>
      <c r="AZ77" s="27"/>
      <c r="BA77" s="36"/>
      <c r="BB77" s="31"/>
      <c r="BC77" s="35"/>
      <c r="BD77" s="27"/>
      <c r="BE77" s="36"/>
      <c r="BF77" s="31"/>
      <c r="BG77" s="35"/>
      <c r="BH77" s="27"/>
      <c r="BI77" s="36"/>
      <c r="BJ77" s="31"/>
      <c r="BK77" s="35"/>
      <c r="BL77" s="27"/>
      <c r="BM77" s="36"/>
      <c r="BN77" s="35"/>
      <c r="BO77" s="35"/>
      <c r="BP77" s="27"/>
      <c r="BQ77" s="36"/>
      <c r="BR77" s="31"/>
      <c r="BS77" s="35"/>
      <c r="BT77" s="27"/>
      <c r="BU77" s="36"/>
      <c r="BV77" s="31"/>
      <c r="BW77" s="35"/>
      <c r="BX77" s="27"/>
      <c r="BY77" s="36"/>
      <c r="BZ77" s="31"/>
      <c r="CA77" s="35"/>
      <c r="CB77" s="27"/>
      <c r="CC77" s="36"/>
      <c r="CD77" s="31"/>
      <c r="CE77" s="35"/>
      <c r="CF77" s="27"/>
      <c r="CG77" s="36"/>
      <c r="CH77" s="31"/>
      <c r="CI77" s="35"/>
      <c r="CJ77" s="27"/>
      <c r="CK77" s="36"/>
      <c r="CL77" s="31"/>
      <c r="CM77" s="35"/>
      <c r="CN77" s="27"/>
      <c r="CO77" s="36"/>
      <c r="CP77" s="31"/>
      <c r="CQ77" s="35"/>
      <c r="CR77" s="27"/>
      <c r="CS77" s="36"/>
      <c r="CT77" s="31"/>
      <c r="CU77" s="35"/>
      <c r="CV77" s="27"/>
      <c r="CW77" s="36"/>
      <c r="CX77" s="31"/>
      <c r="CY77" s="35"/>
      <c r="CZ77" s="27"/>
      <c r="DA77" s="36"/>
      <c r="DB77" s="31"/>
      <c r="DC77" s="35"/>
      <c r="DD77" s="27"/>
      <c r="DE77" s="36"/>
      <c r="DF77" s="31"/>
      <c r="DG77" s="35"/>
      <c r="DH77" s="27"/>
      <c r="DI77" s="36"/>
      <c r="DJ77" s="623">
        <f t="shared" si="1"/>
        <v>4000</v>
      </c>
      <c r="DK77" s="38">
        <f t="shared" si="2"/>
        <v>4000</v>
      </c>
    </row>
    <row r="78" spans="2:115" s="39" customFormat="1" ht="22.5">
      <c r="B78" s="97">
        <v>63</v>
      </c>
      <c r="C78" s="97" t="s">
        <v>39</v>
      </c>
      <c r="D78" s="532">
        <v>30081014</v>
      </c>
      <c r="E78" s="48" t="s">
        <v>2611</v>
      </c>
      <c r="F78" s="626" t="s">
        <v>146</v>
      </c>
      <c r="G78" s="26" t="s">
        <v>2535</v>
      </c>
      <c r="H78" s="26" t="s">
        <v>2539</v>
      </c>
      <c r="I78" s="626" t="s">
        <v>2540</v>
      </c>
      <c r="J78" s="34">
        <v>737218</v>
      </c>
      <c r="K78" s="34">
        <v>0</v>
      </c>
      <c r="L78" s="34">
        <v>731954</v>
      </c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>
        <f t="shared" si="0"/>
        <v>0</v>
      </c>
      <c r="Z78" s="31">
        <v>2200</v>
      </c>
      <c r="AA78" s="32">
        <v>3</v>
      </c>
      <c r="AB78" s="33">
        <v>44217</v>
      </c>
      <c r="AC78" s="36">
        <v>44221</v>
      </c>
      <c r="AD78" s="31"/>
      <c r="AE78" s="35"/>
      <c r="AF78" s="27"/>
      <c r="AG78" s="36"/>
      <c r="AH78" s="31"/>
      <c r="AI78" s="35"/>
      <c r="AJ78" s="27"/>
      <c r="AK78" s="36"/>
      <c r="AL78" s="31"/>
      <c r="AM78" s="35"/>
      <c r="AN78" s="36"/>
      <c r="AO78" s="36"/>
      <c r="AP78" s="31"/>
      <c r="AQ78" s="35"/>
      <c r="AR78" s="27"/>
      <c r="AS78" s="36"/>
      <c r="AT78" s="31"/>
      <c r="AU78" s="35"/>
      <c r="AV78" s="27"/>
      <c r="AW78" s="36"/>
      <c r="AX78" s="31"/>
      <c r="AY78" s="35"/>
      <c r="AZ78" s="27"/>
      <c r="BA78" s="36"/>
      <c r="BB78" s="31"/>
      <c r="BC78" s="35"/>
      <c r="BD78" s="27"/>
      <c r="BE78" s="36"/>
      <c r="BF78" s="31"/>
      <c r="BG78" s="35"/>
      <c r="BH78" s="27"/>
      <c r="BI78" s="36"/>
      <c r="BJ78" s="31"/>
      <c r="BK78" s="35"/>
      <c r="BL78" s="27"/>
      <c r="BM78" s="36"/>
      <c r="BN78" s="35"/>
      <c r="BO78" s="35"/>
      <c r="BP78" s="27"/>
      <c r="BQ78" s="36"/>
      <c r="BR78" s="31"/>
      <c r="BS78" s="35"/>
      <c r="BT78" s="27"/>
      <c r="BU78" s="36"/>
      <c r="BV78" s="31"/>
      <c r="BW78" s="35"/>
      <c r="BX78" s="27"/>
      <c r="BY78" s="36"/>
      <c r="BZ78" s="31"/>
      <c r="CA78" s="35"/>
      <c r="CB78" s="27"/>
      <c r="CC78" s="36"/>
      <c r="CD78" s="31"/>
      <c r="CE78" s="35"/>
      <c r="CF78" s="27"/>
      <c r="CG78" s="36"/>
      <c r="CH78" s="31"/>
      <c r="CI78" s="35"/>
      <c r="CJ78" s="27"/>
      <c r="CK78" s="36"/>
      <c r="CL78" s="31"/>
      <c r="CM78" s="35"/>
      <c r="CN78" s="27"/>
      <c r="CO78" s="36"/>
      <c r="CP78" s="31"/>
      <c r="CQ78" s="35"/>
      <c r="CR78" s="27"/>
      <c r="CS78" s="36"/>
      <c r="CT78" s="31"/>
      <c r="CU78" s="35"/>
      <c r="CV78" s="27"/>
      <c r="CW78" s="36"/>
      <c r="CX78" s="31"/>
      <c r="CY78" s="35"/>
      <c r="CZ78" s="27"/>
      <c r="DA78" s="36"/>
      <c r="DB78" s="31"/>
      <c r="DC78" s="35"/>
      <c r="DD78" s="27"/>
      <c r="DE78" s="36"/>
      <c r="DF78" s="31"/>
      <c r="DG78" s="35"/>
      <c r="DH78" s="27"/>
      <c r="DI78" s="36"/>
      <c r="DJ78" s="623">
        <f t="shared" si="1"/>
        <v>2200</v>
      </c>
      <c r="DK78" s="38">
        <f t="shared" si="2"/>
        <v>2200</v>
      </c>
    </row>
    <row r="79" spans="2:115" s="39" customFormat="1" ht="22.5">
      <c r="B79" s="97">
        <v>64</v>
      </c>
      <c r="C79" s="97" t="s">
        <v>39</v>
      </c>
      <c r="D79" s="532">
        <v>40000684</v>
      </c>
      <c r="E79" s="48" t="s">
        <v>2612</v>
      </c>
      <c r="F79" s="626" t="s">
        <v>146</v>
      </c>
      <c r="G79" s="26" t="s">
        <v>2542</v>
      </c>
      <c r="H79" s="26" t="s">
        <v>2543</v>
      </c>
      <c r="I79" s="626" t="s">
        <v>2540</v>
      </c>
      <c r="J79" s="34">
        <v>1151250</v>
      </c>
      <c r="K79" s="34">
        <v>0</v>
      </c>
      <c r="L79" s="34">
        <v>459250</v>
      </c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>
        <f t="shared" si="0"/>
        <v>0</v>
      </c>
      <c r="Z79" s="31">
        <v>3000</v>
      </c>
      <c r="AA79" s="32">
        <v>3</v>
      </c>
      <c r="AB79" s="33">
        <v>44217</v>
      </c>
      <c r="AC79" s="36">
        <v>44221</v>
      </c>
      <c r="AD79" s="31"/>
      <c r="AE79" s="35"/>
      <c r="AF79" s="27"/>
      <c r="AG79" s="36"/>
      <c r="AH79" s="31"/>
      <c r="AI79" s="35"/>
      <c r="AJ79" s="27"/>
      <c r="AK79" s="36"/>
      <c r="AL79" s="31"/>
      <c r="AM79" s="35"/>
      <c r="AN79" s="36"/>
      <c r="AO79" s="36"/>
      <c r="AP79" s="31"/>
      <c r="AQ79" s="35"/>
      <c r="AR79" s="27"/>
      <c r="AS79" s="36"/>
      <c r="AT79" s="31"/>
      <c r="AU79" s="35"/>
      <c r="AV79" s="27"/>
      <c r="AW79" s="36"/>
      <c r="AX79" s="31"/>
      <c r="AY79" s="35"/>
      <c r="AZ79" s="27"/>
      <c r="BA79" s="36"/>
      <c r="BB79" s="31">
        <v>689000</v>
      </c>
      <c r="BC79" s="35">
        <v>23</v>
      </c>
      <c r="BD79" s="36">
        <v>44321</v>
      </c>
      <c r="BE79" s="36">
        <v>44326</v>
      </c>
      <c r="BF79" s="31"/>
      <c r="BG79" s="35"/>
      <c r="BH79" s="27"/>
      <c r="BI79" s="36"/>
      <c r="BJ79" s="31"/>
      <c r="BK79" s="35"/>
      <c r="BL79" s="27"/>
      <c r="BM79" s="36"/>
      <c r="BN79" s="35">
        <v>-580000</v>
      </c>
      <c r="BO79" s="35">
        <v>28</v>
      </c>
      <c r="BP79" s="33">
        <v>44363</v>
      </c>
      <c r="BQ79" s="36">
        <v>44371</v>
      </c>
      <c r="BR79" s="31"/>
      <c r="BS79" s="35"/>
      <c r="BT79" s="27"/>
      <c r="BU79" s="36"/>
      <c r="BV79" s="31"/>
      <c r="BW79" s="35"/>
      <c r="BX79" s="27"/>
      <c r="BY79" s="36"/>
      <c r="BZ79" s="31"/>
      <c r="CA79" s="35"/>
      <c r="CB79" s="27"/>
      <c r="CC79" s="36"/>
      <c r="CD79" s="31"/>
      <c r="CE79" s="35"/>
      <c r="CF79" s="27"/>
      <c r="CG79" s="36"/>
      <c r="CH79" s="31"/>
      <c r="CI79" s="35"/>
      <c r="CJ79" s="27"/>
      <c r="CK79" s="36"/>
      <c r="CL79" s="31"/>
      <c r="CM79" s="35"/>
      <c r="CN79" s="27"/>
      <c r="CO79" s="36"/>
      <c r="CP79" s="31"/>
      <c r="CQ79" s="35"/>
      <c r="CR79" s="27"/>
      <c r="CS79" s="36"/>
      <c r="CT79" s="31">
        <v>-100000</v>
      </c>
      <c r="CU79" s="35">
        <v>39</v>
      </c>
      <c r="CV79" s="33">
        <v>44431</v>
      </c>
      <c r="CW79" s="36">
        <v>44435</v>
      </c>
      <c r="CX79" s="31">
        <v>100000</v>
      </c>
      <c r="CY79" s="35">
        <v>40</v>
      </c>
      <c r="CZ79" s="33">
        <v>44458</v>
      </c>
      <c r="DA79" s="36">
        <v>44460</v>
      </c>
      <c r="DB79" s="31"/>
      <c r="DC79" s="35"/>
      <c r="DD79" s="27"/>
      <c r="DE79" s="36"/>
      <c r="DF79" s="31"/>
      <c r="DG79" s="35"/>
      <c r="DH79" s="27"/>
      <c r="DI79" s="36"/>
      <c r="DJ79" s="623">
        <f t="shared" si="1"/>
        <v>112000</v>
      </c>
      <c r="DK79" s="38">
        <f t="shared" si="2"/>
        <v>112000</v>
      </c>
    </row>
    <row r="80" spans="2:115" s="39" customFormat="1" ht="22.5">
      <c r="B80" s="97">
        <v>65</v>
      </c>
      <c r="C80" s="97" t="s">
        <v>39</v>
      </c>
      <c r="D80" s="532">
        <v>30086663</v>
      </c>
      <c r="E80" s="48" t="s">
        <v>2613</v>
      </c>
      <c r="F80" s="626" t="s">
        <v>146</v>
      </c>
      <c r="G80" s="26" t="s">
        <v>1373</v>
      </c>
      <c r="H80" s="26" t="s">
        <v>342</v>
      </c>
      <c r="I80" s="626" t="s">
        <v>2537</v>
      </c>
      <c r="J80" s="34">
        <v>7211239</v>
      </c>
      <c r="K80" s="34">
        <v>2967798</v>
      </c>
      <c r="L80" s="34">
        <v>0</v>
      </c>
      <c r="M80" s="34">
        <v>68932</v>
      </c>
      <c r="N80" s="34"/>
      <c r="O80" s="34">
        <v>65126</v>
      </c>
      <c r="P80" s="34">
        <v>58288</v>
      </c>
      <c r="Q80" s="34">
        <v>63503</v>
      </c>
      <c r="R80" s="34">
        <v>49362</v>
      </c>
      <c r="S80" s="34">
        <f>48838+5426</f>
        <v>54264</v>
      </c>
      <c r="T80" s="34">
        <v>49414</v>
      </c>
      <c r="U80" s="214">
        <v>87612</v>
      </c>
      <c r="V80" s="34" t="s">
        <v>2552</v>
      </c>
      <c r="W80" s="34"/>
      <c r="X80" s="34"/>
      <c r="Y80" s="34">
        <f t="shared" si="0"/>
        <v>496501</v>
      </c>
      <c r="Z80" s="31">
        <v>1833082</v>
      </c>
      <c r="AA80" s="32">
        <v>3</v>
      </c>
      <c r="AB80" s="33">
        <v>44217</v>
      </c>
      <c r="AC80" s="36">
        <v>44221</v>
      </c>
      <c r="AD80" s="31"/>
      <c r="AE80" s="35"/>
      <c r="AF80" s="27"/>
      <c r="AG80" s="36"/>
      <c r="AH80" s="31"/>
      <c r="AI80" s="35"/>
      <c r="AJ80" s="27"/>
      <c r="AK80" s="36"/>
      <c r="AL80" s="31"/>
      <c r="AM80" s="35"/>
      <c r="AN80" s="36"/>
      <c r="AO80" s="36"/>
      <c r="AP80" s="31"/>
      <c r="AQ80" s="35"/>
      <c r="AR80" s="27"/>
      <c r="AS80" s="36"/>
      <c r="AT80" s="31"/>
      <c r="AU80" s="35"/>
      <c r="AV80" s="27"/>
      <c r="AW80" s="36"/>
      <c r="AX80" s="31"/>
      <c r="AY80" s="35"/>
      <c r="AZ80" s="27"/>
      <c r="BA80" s="36"/>
      <c r="BB80" s="31"/>
      <c r="BC80" s="35"/>
      <c r="BD80" s="27"/>
      <c r="BE80" s="36"/>
      <c r="BF80" s="31"/>
      <c r="BG80" s="35"/>
      <c r="BH80" s="27"/>
      <c r="BI80" s="36"/>
      <c r="BJ80" s="31"/>
      <c r="BK80" s="35"/>
      <c r="BL80" s="27"/>
      <c r="BM80" s="36"/>
      <c r="BN80" s="35"/>
      <c r="BO80" s="35"/>
      <c r="BP80" s="27"/>
      <c r="BQ80" s="36"/>
      <c r="BR80" s="31"/>
      <c r="BS80" s="35"/>
      <c r="BT80" s="27"/>
      <c r="BU80" s="36"/>
      <c r="BV80" s="31"/>
      <c r="BW80" s="35"/>
      <c r="BX80" s="27"/>
      <c r="BY80" s="36"/>
      <c r="BZ80" s="31"/>
      <c r="CA80" s="35"/>
      <c r="CB80" s="27"/>
      <c r="CC80" s="36"/>
      <c r="CD80" s="31"/>
      <c r="CE80" s="35"/>
      <c r="CF80" s="27"/>
      <c r="CG80" s="36"/>
      <c r="CH80" s="31"/>
      <c r="CI80" s="35"/>
      <c r="CJ80" s="27"/>
      <c r="CK80" s="36"/>
      <c r="CL80" s="31"/>
      <c r="CM80" s="35"/>
      <c r="CN80" s="27"/>
      <c r="CO80" s="36"/>
      <c r="CP80" s="31"/>
      <c r="CQ80" s="35"/>
      <c r="CR80" s="27"/>
      <c r="CS80" s="36"/>
      <c r="CT80" s="31">
        <v>-531000</v>
      </c>
      <c r="CU80" s="35">
        <v>39</v>
      </c>
      <c r="CV80" s="33">
        <v>44431</v>
      </c>
      <c r="CW80" s="36">
        <v>44435</v>
      </c>
      <c r="CX80" s="31"/>
      <c r="CY80" s="35"/>
      <c r="CZ80" s="27"/>
      <c r="DA80" s="36"/>
      <c r="DB80" s="31"/>
      <c r="DC80" s="35"/>
      <c r="DD80" s="27"/>
      <c r="DE80" s="36"/>
      <c r="DF80" s="31"/>
      <c r="DG80" s="35"/>
      <c r="DH80" s="27"/>
      <c r="DI80" s="36"/>
      <c r="DJ80" s="623">
        <f t="shared" si="1"/>
        <v>1302082</v>
      </c>
      <c r="DK80" s="38">
        <f t="shared" si="2"/>
        <v>805581</v>
      </c>
    </row>
    <row r="81" spans="2:115" s="39" customFormat="1" ht="22.5">
      <c r="B81" s="97">
        <v>66</v>
      </c>
      <c r="C81" s="97" t="s">
        <v>39</v>
      </c>
      <c r="D81" s="532">
        <v>30125908</v>
      </c>
      <c r="E81" s="48" t="s">
        <v>2614</v>
      </c>
      <c r="F81" s="626" t="s">
        <v>146</v>
      </c>
      <c r="G81" s="26" t="s">
        <v>2535</v>
      </c>
      <c r="H81" s="26" t="s">
        <v>2539</v>
      </c>
      <c r="I81" s="626" t="s">
        <v>2537</v>
      </c>
      <c r="J81" s="34">
        <v>3793948</v>
      </c>
      <c r="K81" s="34">
        <v>0</v>
      </c>
      <c r="L81" s="34">
        <v>3590189</v>
      </c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>
        <f t="shared" si="0"/>
        <v>0</v>
      </c>
      <c r="Z81" s="31">
        <v>203759</v>
      </c>
      <c r="AA81" s="32">
        <v>3</v>
      </c>
      <c r="AB81" s="33">
        <v>44217</v>
      </c>
      <c r="AC81" s="36">
        <v>44221</v>
      </c>
      <c r="AD81" s="31"/>
      <c r="AE81" s="35"/>
      <c r="AF81" s="27"/>
      <c r="AG81" s="36"/>
      <c r="AH81" s="31"/>
      <c r="AI81" s="35"/>
      <c r="AJ81" s="27"/>
      <c r="AK81" s="36"/>
      <c r="AL81" s="31"/>
      <c r="AM81" s="35"/>
      <c r="AN81" s="36"/>
      <c r="AO81" s="36"/>
      <c r="AP81" s="31"/>
      <c r="AQ81" s="35"/>
      <c r="AR81" s="27"/>
      <c r="AS81" s="36"/>
      <c r="AT81" s="31"/>
      <c r="AU81" s="35"/>
      <c r="AV81" s="27"/>
      <c r="AW81" s="36"/>
      <c r="AX81" s="31">
        <v>6510</v>
      </c>
      <c r="AY81" s="35">
        <v>18</v>
      </c>
      <c r="AZ81" s="36">
        <v>44308</v>
      </c>
      <c r="BA81" s="36">
        <v>44314</v>
      </c>
      <c r="BB81" s="31"/>
      <c r="BC81" s="35"/>
      <c r="BD81" s="27"/>
      <c r="BE81" s="36"/>
      <c r="BF81" s="31"/>
      <c r="BG81" s="35"/>
      <c r="BH81" s="27"/>
      <c r="BI81" s="36"/>
      <c r="BJ81" s="31"/>
      <c r="BK81" s="35"/>
      <c r="BL81" s="27"/>
      <c r="BM81" s="36"/>
      <c r="BN81" s="35"/>
      <c r="BO81" s="35"/>
      <c r="BP81" s="27"/>
      <c r="BQ81" s="36"/>
      <c r="BR81" s="31"/>
      <c r="BS81" s="35"/>
      <c r="BT81" s="27"/>
      <c r="BU81" s="36"/>
      <c r="BV81" s="31"/>
      <c r="BW81" s="35"/>
      <c r="BX81" s="27"/>
      <c r="BY81" s="36"/>
      <c r="BZ81" s="31"/>
      <c r="CA81" s="35"/>
      <c r="CB81" s="27"/>
      <c r="CC81" s="36"/>
      <c r="CD81" s="31"/>
      <c r="CE81" s="35"/>
      <c r="CF81" s="27"/>
      <c r="CG81" s="36"/>
      <c r="CH81" s="31"/>
      <c r="CI81" s="35"/>
      <c r="CJ81" s="27"/>
      <c r="CK81" s="36"/>
      <c r="CL81" s="31"/>
      <c r="CM81" s="35"/>
      <c r="CN81" s="27"/>
      <c r="CO81" s="36"/>
      <c r="CP81" s="31"/>
      <c r="CQ81" s="35"/>
      <c r="CR81" s="27"/>
      <c r="CS81" s="36"/>
      <c r="CT81" s="31">
        <v>75</v>
      </c>
      <c r="CU81" s="35">
        <v>39</v>
      </c>
      <c r="CV81" s="33">
        <v>44431</v>
      </c>
      <c r="CW81" s="36">
        <v>44435</v>
      </c>
      <c r="CX81" s="31"/>
      <c r="CY81" s="35"/>
      <c r="CZ81" s="27"/>
      <c r="DA81" s="36"/>
      <c r="DB81" s="31"/>
      <c r="DC81" s="35"/>
      <c r="DD81" s="27"/>
      <c r="DE81" s="36"/>
      <c r="DF81" s="31"/>
      <c r="DG81" s="35"/>
      <c r="DH81" s="27"/>
      <c r="DI81" s="36"/>
      <c r="DJ81" s="623">
        <f t="shared" ref="DJ81:DJ144" si="3">+Z81+AD81+AH81+AL81+AP81+AT81+AX81+BB81+BF81+BJ81+BN81+BR81+BV81+BZ81+CD81+CH81+CL81+CP81++CT81+CX81+DB81+DF81</f>
        <v>210344</v>
      </c>
      <c r="DK81" s="38">
        <f t="shared" ref="DK81:DK144" si="4">+DJ81-Y81</f>
        <v>210344</v>
      </c>
    </row>
    <row r="82" spans="2:115" s="39" customFormat="1" ht="22.5">
      <c r="B82" s="97">
        <v>67</v>
      </c>
      <c r="C82" s="97" t="s">
        <v>39</v>
      </c>
      <c r="D82" s="532">
        <v>30128661</v>
      </c>
      <c r="E82" s="48" t="s">
        <v>2615</v>
      </c>
      <c r="F82" s="626" t="s">
        <v>146</v>
      </c>
      <c r="G82" s="26" t="s">
        <v>2535</v>
      </c>
      <c r="H82" s="26" t="s">
        <v>2539</v>
      </c>
      <c r="I82" s="626" t="s">
        <v>2537</v>
      </c>
      <c r="J82" s="34">
        <v>7852437</v>
      </c>
      <c r="K82" s="34">
        <v>0</v>
      </c>
      <c r="L82" s="34">
        <v>6772727</v>
      </c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>
        <f t="shared" si="0"/>
        <v>0</v>
      </c>
      <c r="Z82" s="31">
        <v>1079710</v>
      </c>
      <c r="AA82" s="32">
        <v>3</v>
      </c>
      <c r="AB82" s="33">
        <v>44217</v>
      </c>
      <c r="AC82" s="36">
        <v>44221</v>
      </c>
      <c r="AD82" s="31"/>
      <c r="AE82" s="35"/>
      <c r="AF82" s="27"/>
      <c r="AG82" s="36"/>
      <c r="AH82" s="31"/>
      <c r="AI82" s="35"/>
      <c r="AJ82" s="27"/>
      <c r="AK82" s="36"/>
      <c r="AL82" s="31"/>
      <c r="AM82" s="35"/>
      <c r="AN82" s="36"/>
      <c r="AO82" s="36"/>
      <c r="AP82" s="31"/>
      <c r="AQ82" s="35"/>
      <c r="AR82" s="27"/>
      <c r="AS82" s="36"/>
      <c r="AT82" s="31"/>
      <c r="AU82" s="35"/>
      <c r="AV82" s="27"/>
      <c r="AW82" s="36"/>
      <c r="AX82" s="31"/>
      <c r="AY82" s="35"/>
      <c r="AZ82" s="27"/>
      <c r="BA82" s="36"/>
      <c r="BB82" s="31"/>
      <c r="BC82" s="35"/>
      <c r="BD82" s="27"/>
      <c r="BE82" s="36"/>
      <c r="BF82" s="31"/>
      <c r="BG82" s="35"/>
      <c r="BH82" s="27"/>
      <c r="BI82" s="36"/>
      <c r="BJ82" s="31"/>
      <c r="BK82" s="35"/>
      <c r="BL82" s="27"/>
      <c r="BM82" s="36"/>
      <c r="BN82" s="35"/>
      <c r="BO82" s="35"/>
      <c r="BP82" s="27"/>
      <c r="BQ82" s="36"/>
      <c r="BR82" s="31"/>
      <c r="BS82" s="35"/>
      <c r="BT82" s="27"/>
      <c r="BU82" s="36"/>
      <c r="BV82" s="31"/>
      <c r="BW82" s="35"/>
      <c r="BX82" s="27"/>
      <c r="BY82" s="36"/>
      <c r="BZ82" s="31"/>
      <c r="CA82" s="35"/>
      <c r="CB82" s="27"/>
      <c r="CC82" s="36"/>
      <c r="CD82" s="31"/>
      <c r="CE82" s="35"/>
      <c r="CF82" s="27"/>
      <c r="CG82" s="36"/>
      <c r="CH82" s="31"/>
      <c r="CI82" s="35"/>
      <c r="CJ82" s="27"/>
      <c r="CK82" s="36"/>
      <c r="CL82" s="31"/>
      <c r="CM82" s="35"/>
      <c r="CN82" s="27"/>
      <c r="CO82" s="36"/>
      <c r="CP82" s="31"/>
      <c r="CQ82" s="35"/>
      <c r="CR82" s="27"/>
      <c r="CS82" s="36"/>
      <c r="CT82" s="31"/>
      <c r="CU82" s="35"/>
      <c r="CV82" s="27"/>
      <c r="CW82" s="36"/>
      <c r="CX82" s="31"/>
      <c r="CY82" s="35"/>
      <c r="CZ82" s="27"/>
      <c r="DA82" s="36"/>
      <c r="DB82" s="31"/>
      <c r="DC82" s="35"/>
      <c r="DD82" s="27"/>
      <c r="DE82" s="36"/>
      <c r="DF82" s="31"/>
      <c r="DG82" s="35"/>
      <c r="DH82" s="27"/>
      <c r="DI82" s="36"/>
      <c r="DJ82" s="623">
        <f t="shared" si="3"/>
        <v>1079710</v>
      </c>
      <c r="DK82" s="38">
        <f t="shared" si="4"/>
        <v>1079710</v>
      </c>
    </row>
    <row r="83" spans="2:115" s="39" customFormat="1" ht="22.5">
      <c r="B83" s="97">
        <v>68</v>
      </c>
      <c r="C83" s="97" t="s">
        <v>39</v>
      </c>
      <c r="D83" s="532">
        <v>30130781</v>
      </c>
      <c r="E83" s="48" t="s">
        <v>2616</v>
      </c>
      <c r="F83" s="626" t="s">
        <v>146</v>
      </c>
      <c r="G83" s="26" t="s">
        <v>2542</v>
      </c>
      <c r="H83" s="26" t="s">
        <v>2543</v>
      </c>
      <c r="I83" s="626" t="s">
        <v>2537</v>
      </c>
      <c r="J83" s="34">
        <v>6252523</v>
      </c>
      <c r="K83" s="34">
        <v>5727900</v>
      </c>
      <c r="L83" s="34">
        <v>0</v>
      </c>
      <c r="M83" s="34"/>
      <c r="N83" s="34"/>
      <c r="O83" s="34">
        <v>131023</v>
      </c>
      <c r="P83" s="34">
        <v>35950</v>
      </c>
      <c r="Q83" s="34"/>
      <c r="R83" s="34">
        <v>339634</v>
      </c>
      <c r="S83" s="34"/>
      <c r="T83" s="34"/>
      <c r="U83" s="34"/>
      <c r="V83" s="34"/>
      <c r="W83" s="34"/>
      <c r="X83" s="34"/>
      <c r="Y83" s="34">
        <f t="shared" si="0"/>
        <v>506607</v>
      </c>
      <c r="Z83" s="31">
        <v>524623</v>
      </c>
      <c r="AA83" s="32">
        <v>3</v>
      </c>
      <c r="AB83" s="33">
        <v>44217</v>
      </c>
      <c r="AC83" s="36">
        <v>44221</v>
      </c>
      <c r="AD83" s="31"/>
      <c r="AE83" s="35"/>
      <c r="AF83" s="27"/>
      <c r="AG83" s="36"/>
      <c r="AH83" s="31"/>
      <c r="AI83" s="35"/>
      <c r="AJ83" s="27"/>
      <c r="AK83" s="36"/>
      <c r="AL83" s="31"/>
      <c r="AM83" s="35"/>
      <c r="AN83" s="36"/>
      <c r="AO83" s="36"/>
      <c r="AP83" s="31"/>
      <c r="AQ83" s="35"/>
      <c r="AR83" s="27"/>
      <c r="AS83" s="36"/>
      <c r="AT83" s="31"/>
      <c r="AU83" s="35"/>
      <c r="AV83" s="27"/>
      <c r="AW83" s="36"/>
      <c r="AX83" s="31"/>
      <c r="AY83" s="35"/>
      <c r="AZ83" s="27"/>
      <c r="BA83" s="36"/>
      <c r="BB83" s="31"/>
      <c r="BC83" s="35"/>
      <c r="BD83" s="27"/>
      <c r="BE83" s="36"/>
      <c r="BF83" s="31"/>
      <c r="BG83" s="35"/>
      <c r="BH83" s="27"/>
      <c r="BI83" s="36"/>
      <c r="BJ83" s="31"/>
      <c r="BK83" s="35"/>
      <c r="BL83" s="27"/>
      <c r="BM83" s="36"/>
      <c r="BN83" s="35"/>
      <c r="BO83" s="35"/>
      <c r="BP83" s="27"/>
      <c r="BQ83" s="36"/>
      <c r="BR83" s="31"/>
      <c r="BS83" s="35"/>
      <c r="BT83" s="27"/>
      <c r="BU83" s="36"/>
      <c r="BV83" s="31"/>
      <c r="BW83" s="35"/>
      <c r="BX83" s="27"/>
      <c r="BY83" s="36"/>
      <c r="BZ83" s="31"/>
      <c r="CA83" s="35"/>
      <c r="CB83" s="27"/>
      <c r="CC83" s="36"/>
      <c r="CD83" s="31"/>
      <c r="CE83" s="35"/>
      <c r="CF83" s="27"/>
      <c r="CG83" s="36"/>
      <c r="CH83" s="31"/>
      <c r="CI83" s="35"/>
      <c r="CJ83" s="27"/>
      <c r="CK83" s="36"/>
      <c r="CL83" s="31"/>
      <c r="CM83" s="35"/>
      <c r="CN83" s="27"/>
      <c r="CO83" s="36"/>
      <c r="CP83" s="31"/>
      <c r="CQ83" s="35"/>
      <c r="CR83" s="27"/>
      <c r="CS83" s="36"/>
      <c r="CT83" s="31"/>
      <c r="CU83" s="35"/>
      <c r="CV83" s="27"/>
      <c r="CW83" s="36"/>
      <c r="CX83" s="31"/>
      <c r="CY83" s="35"/>
      <c r="CZ83" s="27"/>
      <c r="DA83" s="36"/>
      <c r="DB83" s="31"/>
      <c r="DC83" s="35"/>
      <c r="DD83" s="27"/>
      <c r="DE83" s="36"/>
      <c r="DF83" s="31"/>
      <c r="DG83" s="35"/>
      <c r="DH83" s="27"/>
      <c r="DI83" s="36"/>
      <c r="DJ83" s="623">
        <f t="shared" si="3"/>
        <v>524623</v>
      </c>
      <c r="DK83" s="38">
        <f t="shared" si="4"/>
        <v>18016</v>
      </c>
    </row>
    <row r="84" spans="2:115" s="39" customFormat="1" ht="22.5">
      <c r="B84" s="97">
        <v>69</v>
      </c>
      <c r="C84" s="97" t="s">
        <v>39</v>
      </c>
      <c r="D84" s="532">
        <v>30286673</v>
      </c>
      <c r="E84" s="48" t="s">
        <v>2617</v>
      </c>
      <c r="F84" s="626" t="s">
        <v>146</v>
      </c>
      <c r="G84" s="26" t="s">
        <v>2535</v>
      </c>
      <c r="H84" s="26" t="s">
        <v>2539</v>
      </c>
      <c r="I84" s="626" t="s">
        <v>2537</v>
      </c>
      <c r="J84" s="34">
        <v>14310403</v>
      </c>
      <c r="K84" s="34">
        <v>13612353</v>
      </c>
      <c r="L84" s="34">
        <v>250000</v>
      </c>
      <c r="M84" s="34"/>
      <c r="N84" s="34"/>
      <c r="O84" s="34">
        <v>7022</v>
      </c>
      <c r="P84" s="34"/>
      <c r="Q84" s="34"/>
      <c r="R84" s="34"/>
      <c r="S84" s="34">
        <v>10040</v>
      </c>
      <c r="T84" s="34"/>
      <c r="U84" s="34"/>
      <c r="V84" s="34"/>
      <c r="W84" s="34"/>
      <c r="X84" s="34"/>
      <c r="Y84" s="34">
        <f t="shared" si="0"/>
        <v>17062</v>
      </c>
      <c r="Z84" s="31">
        <v>400000</v>
      </c>
      <c r="AA84" s="32">
        <v>3</v>
      </c>
      <c r="AB84" s="33">
        <v>44217</v>
      </c>
      <c r="AC84" s="36">
        <v>44221</v>
      </c>
      <c r="AD84" s="31"/>
      <c r="AE84" s="35"/>
      <c r="AF84" s="27"/>
      <c r="AG84" s="36"/>
      <c r="AH84" s="31"/>
      <c r="AI84" s="35"/>
      <c r="AJ84" s="27"/>
      <c r="AK84" s="36"/>
      <c r="AL84" s="31"/>
      <c r="AM84" s="35"/>
      <c r="AN84" s="36"/>
      <c r="AO84" s="36"/>
      <c r="AP84" s="31"/>
      <c r="AQ84" s="35"/>
      <c r="AR84" s="27"/>
      <c r="AS84" s="36"/>
      <c r="AT84" s="31"/>
      <c r="AU84" s="35"/>
      <c r="AV84" s="27"/>
      <c r="AW84" s="36"/>
      <c r="AX84" s="31"/>
      <c r="AY84" s="35"/>
      <c r="AZ84" s="27"/>
      <c r="BA84" s="36"/>
      <c r="BB84" s="31"/>
      <c r="BC84" s="35"/>
      <c r="BD84" s="27"/>
      <c r="BE84" s="36"/>
      <c r="BF84" s="31"/>
      <c r="BG84" s="35"/>
      <c r="BH84" s="27"/>
      <c r="BI84" s="36"/>
      <c r="BJ84" s="31"/>
      <c r="BK84" s="35"/>
      <c r="BL84" s="27"/>
      <c r="BM84" s="36"/>
      <c r="BN84" s="35"/>
      <c r="BO84" s="35"/>
      <c r="BP84" s="27"/>
      <c r="BQ84" s="36"/>
      <c r="BR84" s="31"/>
      <c r="BS84" s="35"/>
      <c r="BT84" s="27"/>
      <c r="BU84" s="36"/>
      <c r="BV84" s="31"/>
      <c r="BW84" s="35"/>
      <c r="BX84" s="27"/>
      <c r="BY84" s="36"/>
      <c r="BZ84" s="31"/>
      <c r="CA84" s="35"/>
      <c r="CB84" s="27"/>
      <c r="CC84" s="36"/>
      <c r="CD84" s="31"/>
      <c r="CE84" s="35"/>
      <c r="CF84" s="27"/>
      <c r="CG84" s="36"/>
      <c r="CH84" s="31"/>
      <c r="CI84" s="35"/>
      <c r="CJ84" s="27"/>
      <c r="CK84" s="36"/>
      <c r="CL84" s="31">
        <v>48050</v>
      </c>
      <c r="CM84" s="35">
        <v>36</v>
      </c>
      <c r="CN84" s="27" t="s">
        <v>2618</v>
      </c>
      <c r="CO84" s="36" t="s">
        <v>2619</v>
      </c>
      <c r="CP84" s="31"/>
      <c r="CQ84" s="35"/>
      <c r="CR84" s="27"/>
      <c r="CS84" s="36"/>
      <c r="CT84" s="31"/>
      <c r="CU84" s="35"/>
      <c r="CV84" s="27"/>
      <c r="CW84" s="36"/>
      <c r="CX84" s="31"/>
      <c r="CY84" s="35"/>
      <c r="CZ84" s="27"/>
      <c r="DA84" s="36"/>
      <c r="DB84" s="31"/>
      <c r="DC84" s="35"/>
      <c r="DD84" s="27"/>
      <c r="DE84" s="36"/>
      <c r="DF84" s="31"/>
      <c r="DG84" s="35"/>
      <c r="DH84" s="27"/>
      <c r="DI84" s="36"/>
      <c r="DJ84" s="623">
        <f t="shared" si="3"/>
        <v>448050</v>
      </c>
      <c r="DK84" s="38">
        <f t="shared" si="4"/>
        <v>430988</v>
      </c>
    </row>
    <row r="85" spans="2:115" s="39" customFormat="1" ht="22.5">
      <c r="B85" s="97">
        <v>70</v>
      </c>
      <c r="C85" s="97" t="s">
        <v>39</v>
      </c>
      <c r="D85" s="628">
        <v>30305772</v>
      </c>
      <c r="E85" s="48" t="s">
        <v>2620</v>
      </c>
      <c r="F85" s="626" t="s">
        <v>146</v>
      </c>
      <c r="G85" s="26" t="s">
        <v>2548</v>
      </c>
      <c r="H85" s="26" t="s">
        <v>2549</v>
      </c>
      <c r="I85" s="626" t="s">
        <v>2537</v>
      </c>
      <c r="J85" s="34">
        <v>441816</v>
      </c>
      <c r="K85" s="34">
        <v>0</v>
      </c>
      <c r="L85" s="34">
        <v>371264</v>
      </c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>
        <f t="shared" si="0"/>
        <v>0</v>
      </c>
      <c r="Z85" s="31">
        <v>70552</v>
      </c>
      <c r="AA85" s="32">
        <v>3</v>
      </c>
      <c r="AB85" s="33">
        <v>44217</v>
      </c>
      <c r="AC85" s="36">
        <v>44221</v>
      </c>
      <c r="AD85" s="31"/>
      <c r="AE85" s="35"/>
      <c r="AF85" s="27"/>
      <c r="AG85" s="36"/>
      <c r="AH85" s="31"/>
      <c r="AI85" s="35"/>
      <c r="AJ85" s="27"/>
      <c r="AK85" s="36"/>
      <c r="AL85" s="31"/>
      <c r="AM85" s="35"/>
      <c r="AN85" s="36"/>
      <c r="AO85" s="36"/>
      <c r="AP85" s="31"/>
      <c r="AQ85" s="35"/>
      <c r="AR85" s="27"/>
      <c r="AS85" s="36"/>
      <c r="AT85" s="31"/>
      <c r="AU85" s="35"/>
      <c r="AV85" s="27"/>
      <c r="AW85" s="36"/>
      <c r="AX85" s="31"/>
      <c r="AY85" s="35"/>
      <c r="AZ85" s="27"/>
      <c r="BA85" s="36"/>
      <c r="BB85" s="31"/>
      <c r="BC85" s="35"/>
      <c r="BD85" s="27"/>
      <c r="BE85" s="36"/>
      <c r="BF85" s="31"/>
      <c r="BG85" s="35"/>
      <c r="BH85" s="27"/>
      <c r="BI85" s="36"/>
      <c r="BJ85" s="31"/>
      <c r="BK85" s="35"/>
      <c r="BL85" s="27"/>
      <c r="BM85" s="36"/>
      <c r="BN85" s="35"/>
      <c r="BO85" s="35"/>
      <c r="BP85" s="27"/>
      <c r="BQ85" s="36"/>
      <c r="BR85" s="31"/>
      <c r="BS85" s="35"/>
      <c r="BT85" s="27"/>
      <c r="BU85" s="36"/>
      <c r="BV85" s="31"/>
      <c r="BW85" s="35"/>
      <c r="BX85" s="27"/>
      <c r="BY85" s="36"/>
      <c r="BZ85" s="31"/>
      <c r="CA85" s="35"/>
      <c r="CB85" s="27"/>
      <c r="CC85" s="36"/>
      <c r="CD85" s="31"/>
      <c r="CE85" s="35"/>
      <c r="CF85" s="27"/>
      <c r="CG85" s="36"/>
      <c r="CH85" s="31"/>
      <c r="CI85" s="35"/>
      <c r="CJ85" s="27"/>
      <c r="CK85" s="36"/>
      <c r="CL85" s="31"/>
      <c r="CM85" s="35"/>
      <c r="CN85" s="27"/>
      <c r="CO85" s="36"/>
      <c r="CP85" s="31"/>
      <c r="CQ85" s="35"/>
      <c r="CR85" s="27"/>
      <c r="CS85" s="36"/>
      <c r="CT85" s="31"/>
      <c r="CU85" s="35"/>
      <c r="CV85" s="27"/>
      <c r="CW85" s="36"/>
      <c r="CX85" s="31"/>
      <c r="CY85" s="35"/>
      <c r="CZ85" s="27"/>
      <c r="DA85" s="36"/>
      <c r="DB85" s="31"/>
      <c r="DC85" s="35"/>
      <c r="DD85" s="27"/>
      <c r="DE85" s="36"/>
      <c r="DF85" s="31"/>
      <c r="DG85" s="35"/>
      <c r="DH85" s="27"/>
      <c r="DI85" s="36"/>
      <c r="DJ85" s="623">
        <f t="shared" si="3"/>
        <v>70552</v>
      </c>
      <c r="DK85" s="38">
        <f t="shared" si="4"/>
        <v>70552</v>
      </c>
    </row>
    <row r="86" spans="2:115" s="39" customFormat="1" ht="22.5">
      <c r="B86" s="97">
        <v>71</v>
      </c>
      <c r="C86" s="97" t="s">
        <v>39</v>
      </c>
      <c r="D86" s="532">
        <v>30354829</v>
      </c>
      <c r="E86" s="48" t="s">
        <v>2621</v>
      </c>
      <c r="F86" s="626" t="s">
        <v>146</v>
      </c>
      <c r="G86" s="26" t="s">
        <v>2535</v>
      </c>
      <c r="H86" s="26" t="s">
        <v>2539</v>
      </c>
      <c r="I86" s="626" t="s">
        <v>2537</v>
      </c>
      <c r="J86" s="34">
        <v>3183862</v>
      </c>
      <c r="K86" s="34">
        <v>1535</v>
      </c>
      <c r="L86" s="34">
        <v>785534</v>
      </c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>
        <f t="shared" si="0"/>
        <v>0</v>
      </c>
      <c r="Z86" s="31">
        <v>214068</v>
      </c>
      <c r="AA86" s="32">
        <v>3</v>
      </c>
      <c r="AB86" s="33">
        <v>44217</v>
      </c>
      <c r="AC86" s="36">
        <v>44221</v>
      </c>
      <c r="AD86" s="31"/>
      <c r="AE86" s="35"/>
      <c r="AF86" s="27"/>
      <c r="AG86" s="36"/>
      <c r="AH86" s="31"/>
      <c r="AI86" s="35"/>
      <c r="AJ86" s="27"/>
      <c r="AK86" s="36"/>
      <c r="AL86" s="31"/>
      <c r="AM86" s="35"/>
      <c r="AN86" s="36"/>
      <c r="AO86" s="36"/>
      <c r="AP86" s="31"/>
      <c r="AQ86" s="35"/>
      <c r="AR86" s="27"/>
      <c r="AS86" s="36"/>
      <c r="AT86" s="31"/>
      <c r="AU86" s="35"/>
      <c r="AV86" s="27"/>
      <c r="AW86" s="36"/>
      <c r="AX86" s="31"/>
      <c r="AY86" s="35"/>
      <c r="AZ86" s="27"/>
      <c r="BA86" s="36"/>
      <c r="BB86" s="31"/>
      <c r="BC86" s="35"/>
      <c r="BD86" s="27"/>
      <c r="BE86" s="36"/>
      <c r="BF86" s="31"/>
      <c r="BG86" s="35"/>
      <c r="BH86" s="27"/>
      <c r="BI86" s="36"/>
      <c r="BJ86" s="31"/>
      <c r="BK86" s="35"/>
      <c r="BL86" s="27"/>
      <c r="BM86" s="36"/>
      <c r="BN86" s="35">
        <v>-95000</v>
      </c>
      <c r="BO86" s="35">
        <v>28</v>
      </c>
      <c r="BP86" s="33">
        <v>44363</v>
      </c>
      <c r="BQ86" s="36">
        <v>44371</v>
      </c>
      <c r="BR86" s="31"/>
      <c r="BS86" s="35"/>
      <c r="BT86" s="27"/>
      <c r="BU86" s="36"/>
      <c r="BV86" s="31"/>
      <c r="BW86" s="35"/>
      <c r="BX86" s="27"/>
      <c r="BY86" s="36"/>
      <c r="BZ86" s="31"/>
      <c r="CA86" s="35"/>
      <c r="CB86" s="27"/>
      <c r="CC86" s="36"/>
      <c r="CD86" s="31"/>
      <c r="CE86" s="35"/>
      <c r="CF86" s="27"/>
      <c r="CG86" s="36"/>
      <c r="CH86" s="31"/>
      <c r="CI86" s="35"/>
      <c r="CJ86" s="27"/>
      <c r="CK86" s="36"/>
      <c r="CL86" s="31"/>
      <c r="CM86" s="35"/>
      <c r="CN86" s="27"/>
      <c r="CO86" s="36"/>
      <c r="CP86" s="31"/>
      <c r="CQ86" s="35"/>
      <c r="CR86" s="27"/>
      <c r="CS86" s="36"/>
      <c r="CT86" s="31"/>
      <c r="CU86" s="35"/>
      <c r="CV86" s="27"/>
      <c r="CW86" s="36"/>
      <c r="CX86" s="31"/>
      <c r="CY86" s="35"/>
      <c r="CZ86" s="27"/>
      <c r="DA86" s="36"/>
      <c r="DB86" s="31"/>
      <c r="DC86" s="35"/>
      <c r="DD86" s="27"/>
      <c r="DE86" s="36"/>
      <c r="DF86" s="31"/>
      <c r="DG86" s="35"/>
      <c r="DH86" s="27"/>
      <c r="DI86" s="36"/>
      <c r="DJ86" s="623">
        <f t="shared" si="3"/>
        <v>119068</v>
      </c>
      <c r="DK86" s="38">
        <f t="shared" si="4"/>
        <v>119068</v>
      </c>
    </row>
    <row r="87" spans="2:115" s="39" customFormat="1" ht="22.5">
      <c r="B87" s="97">
        <v>72</v>
      </c>
      <c r="C87" s="97" t="s">
        <v>39</v>
      </c>
      <c r="D87" s="532">
        <v>30427372</v>
      </c>
      <c r="E87" s="48" t="s">
        <v>2622</v>
      </c>
      <c r="F87" s="626" t="s">
        <v>146</v>
      </c>
      <c r="G87" s="26" t="s">
        <v>2535</v>
      </c>
      <c r="H87" s="26" t="s">
        <v>2539</v>
      </c>
      <c r="I87" s="626" t="s">
        <v>2537</v>
      </c>
      <c r="J87" s="34">
        <v>5307349</v>
      </c>
      <c r="K87" s="34">
        <v>417682</v>
      </c>
      <c r="L87" s="34">
        <v>0</v>
      </c>
      <c r="M87" s="34">
        <v>2800</v>
      </c>
      <c r="N87" s="34">
        <v>322466</v>
      </c>
      <c r="O87" s="34">
        <v>367938</v>
      </c>
      <c r="P87" s="34">
        <v>873419</v>
      </c>
      <c r="Q87" s="34">
        <v>388050</v>
      </c>
      <c r="R87" s="34">
        <v>340410</v>
      </c>
      <c r="S87" s="34">
        <v>328038</v>
      </c>
      <c r="T87" s="34">
        <v>324384</v>
      </c>
      <c r="U87" s="34">
        <v>402793</v>
      </c>
      <c r="V87" s="34" t="s">
        <v>2552</v>
      </c>
      <c r="W87" s="34"/>
      <c r="X87" s="34"/>
      <c r="Y87" s="34">
        <f t="shared" si="0"/>
        <v>3350298</v>
      </c>
      <c r="Z87" s="31">
        <v>1128000</v>
      </c>
      <c r="AA87" s="32">
        <v>3</v>
      </c>
      <c r="AB87" s="33">
        <v>44217</v>
      </c>
      <c r="AC87" s="36">
        <v>44221</v>
      </c>
      <c r="AD87" s="31"/>
      <c r="AE87" s="35"/>
      <c r="AF87" s="27"/>
      <c r="AG87" s="36"/>
      <c r="AH87" s="31"/>
      <c r="AI87" s="35"/>
      <c r="AJ87" s="27"/>
      <c r="AK87" s="36"/>
      <c r="AL87" s="31"/>
      <c r="AM87" s="35"/>
      <c r="AN87" s="36"/>
      <c r="AO87" s="36"/>
      <c r="AP87" s="31"/>
      <c r="AQ87" s="35"/>
      <c r="AR87" s="27"/>
      <c r="AS87" s="36"/>
      <c r="AT87" s="31"/>
      <c r="AU87" s="35"/>
      <c r="AV87" s="27"/>
      <c r="AW87" s="36"/>
      <c r="AX87" s="31">
        <v>560000</v>
      </c>
      <c r="AY87" s="35">
        <v>18</v>
      </c>
      <c r="AZ87" s="36">
        <v>44308</v>
      </c>
      <c r="BA87" s="36">
        <v>44314</v>
      </c>
      <c r="BB87" s="31"/>
      <c r="BC87" s="35"/>
      <c r="BD87" s="27"/>
      <c r="BE87" s="36"/>
      <c r="BF87" s="31">
        <v>400000</v>
      </c>
      <c r="BG87" s="35">
        <v>25</v>
      </c>
      <c r="BH87" s="33">
        <v>44329</v>
      </c>
      <c r="BI87" s="36">
        <v>44335</v>
      </c>
      <c r="BJ87" s="31"/>
      <c r="BK87" s="35"/>
      <c r="BL87" s="27"/>
      <c r="BM87" s="36"/>
      <c r="BN87" s="35">
        <v>400000</v>
      </c>
      <c r="BO87" s="35">
        <v>28</v>
      </c>
      <c r="BP87" s="33">
        <v>44363</v>
      </c>
      <c r="BQ87" s="36">
        <v>44371</v>
      </c>
      <c r="BR87" s="31"/>
      <c r="BS87" s="35"/>
      <c r="BT87" s="27"/>
      <c r="BU87" s="36"/>
      <c r="BV87" s="31"/>
      <c r="BW87" s="35"/>
      <c r="BX87" s="27"/>
      <c r="BY87" s="36"/>
      <c r="BZ87" s="31"/>
      <c r="CA87" s="35"/>
      <c r="CB87" s="27"/>
      <c r="CC87" s="36"/>
      <c r="CD87" s="31">
        <v>300000</v>
      </c>
      <c r="CE87" s="35">
        <v>32</v>
      </c>
      <c r="CF87" s="33">
        <v>44389</v>
      </c>
      <c r="CG87" s="36">
        <v>44397</v>
      </c>
      <c r="CH87" s="31"/>
      <c r="CI87" s="35"/>
      <c r="CJ87" s="27"/>
      <c r="CK87" s="36"/>
      <c r="CL87" s="31"/>
      <c r="CM87" s="35"/>
      <c r="CN87" s="27"/>
      <c r="CO87" s="36"/>
      <c r="CP87" s="31">
        <v>223600</v>
      </c>
      <c r="CQ87" s="35">
        <v>37</v>
      </c>
      <c r="CR87" s="33">
        <v>44418</v>
      </c>
      <c r="CS87" s="36">
        <v>44426</v>
      </c>
      <c r="CT87" s="31"/>
      <c r="CU87" s="35"/>
      <c r="CV87" s="27"/>
      <c r="CW87" s="36"/>
      <c r="CX87" s="31">
        <v>350000</v>
      </c>
      <c r="CY87" s="35">
        <v>40</v>
      </c>
      <c r="CZ87" s="33">
        <v>44458</v>
      </c>
      <c r="DA87" s="36">
        <v>44460</v>
      </c>
      <c r="DB87" s="31"/>
      <c r="DC87" s="35"/>
      <c r="DD87" s="27"/>
      <c r="DE87" s="36"/>
      <c r="DF87" s="31"/>
      <c r="DG87" s="35"/>
      <c r="DH87" s="27"/>
      <c r="DI87" s="36"/>
      <c r="DJ87" s="623">
        <f t="shared" si="3"/>
        <v>3361600</v>
      </c>
      <c r="DK87" s="38">
        <f t="shared" si="4"/>
        <v>11302</v>
      </c>
    </row>
    <row r="88" spans="2:115" s="39" customFormat="1" ht="22.5">
      <c r="B88" s="97">
        <v>73</v>
      </c>
      <c r="C88" s="97" t="s">
        <v>39</v>
      </c>
      <c r="D88" s="532">
        <v>30429822</v>
      </c>
      <c r="E88" s="48" t="s">
        <v>2623</v>
      </c>
      <c r="F88" s="626" t="s">
        <v>158</v>
      </c>
      <c r="G88" s="26" t="s">
        <v>2535</v>
      </c>
      <c r="H88" s="26" t="s">
        <v>2539</v>
      </c>
      <c r="I88" s="626" t="s">
        <v>2537</v>
      </c>
      <c r="J88" s="34">
        <v>244362</v>
      </c>
      <c r="K88" s="34">
        <v>218437</v>
      </c>
      <c r="L88" s="34">
        <v>3</v>
      </c>
      <c r="M88" s="34">
        <v>21480</v>
      </c>
      <c r="N88" s="34"/>
      <c r="O88" s="34"/>
      <c r="P88" s="34"/>
      <c r="Q88" s="34"/>
      <c r="R88" s="34">
        <v>2185</v>
      </c>
      <c r="S88" s="34"/>
      <c r="T88" s="34"/>
      <c r="U88" s="34"/>
      <c r="V88" s="34"/>
      <c r="W88" s="34"/>
      <c r="X88" s="34"/>
      <c r="Y88" s="34">
        <f t="shared" si="0"/>
        <v>23665</v>
      </c>
      <c r="Z88" s="31">
        <v>25922</v>
      </c>
      <c r="AA88" s="32">
        <v>3</v>
      </c>
      <c r="AB88" s="33">
        <v>44217</v>
      </c>
      <c r="AC88" s="36">
        <v>44221</v>
      </c>
      <c r="AD88" s="31"/>
      <c r="AE88" s="35"/>
      <c r="AF88" s="27"/>
      <c r="AG88" s="36"/>
      <c r="AH88" s="31"/>
      <c r="AI88" s="35"/>
      <c r="AJ88" s="27"/>
      <c r="AK88" s="36"/>
      <c r="AL88" s="31"/>
      <c r="AM88" s="35"/>
      <c r="AN88" s="36"/>
      <c r="AO88" s="36"/>
      <c r="AP88" s="31"/>
      <c r="AQ88" s="35"/>
      <c r="AR88" s="27"/>
      <c r="AS88" s="36"/>
      <c r="AT88" s="31"/>
      <c r="AU88" s="35"/>
      <c r="AV88" s="27"/>
      <c r="AW88" s="36"/>
      <c r="AX88" s="31"/>
      <c r="AY88" s="35"/>
      <c r="AZ88" s="27"/>
      <c r="BA88" s="36"/>
      <c r="BB88" s="31"/>
      <c r="BC88" s="35"/>
      <c r="BD88" s="27"/>
      <c r="BE88" s="36"/>
      <c r="BF88" s="31"/>
      <c r="BG88" s="35"/>
      <c r="BH88" s="27"/>
      <c r="BI88" s="36"/>
      <c r="BJ88" s="31"/>
      <c r="BK88" s="35"/>
      <c r="BL88" s="27"/>
      <c r="BM88" s="36"/>
      <c r="BN88" s="35"/>
      <c r="BO88" s="35"/>
      <c r="BP88" s="27"/>
      <c r="BQ88" s="36"/>
      <c r="BR88" s="31"/>
      <c r="BS88" s="35"/>
      <c r="BT88" s="27"/>
      <c r="BU88" s="36"/>
      <c r="BV88" s="31"/>
      <c r="BW88" s="35"/>
      <c r="BX88" s="27"/>
      <c r="BY88" s="36"/>
      <c r="BZ88" s="31"/>
      <c r="CA88" s="35"/>
      <c r="CB88" s="27"/>
      <c r="CC88" s="36"/>
      <c r="CD88" s="31"/>
      <c r="CE88" s="35"/>
      <c r="CF88" s="27"/>
      <c r="CG88" s="36"/>
      <c r="CH88" s="31"/>
      <c r="CI88" s="35"/>
      <c r="CJ88" s="27"/>
      <c r="CK88" s="36"/>
      <c r="CL88" s="31"/>
      <c r="CM88" s="35"/>
      <c r="CN88" s="27"/>
      <c r="CO88" s="36"/>
      <c r="CP88" s="31"/>
      <c r="CQ88" s="35"/>
      <c r="CR88" s="27"/>
      <c r="CS88" s="36"/>
      <c r="CT88" s="31"/>
      <c r="CU88" s="35"/>
      <c r="CV88" s="27"/>
      <c r="CW88" s="36"/>
      <c r="CX88" s="31"/>
      <c r="CY88" s="35"/>
      <c r="CZ88" s="27"/>
      <c r="DA88" s="36"/>
      <c r="DB88" s="31"/>
      <c r="DC88" s="35"/>
      <c r="DD88" s="27"/>
      <c r="DE88" s="36"/>
      <c r="DF88" s="31"/>
      <c r="DG88" s="35"/>
      <c r="DH88" s="27"/>
      <c r="DI88" s="36"/>
      <c r="DJ88" s="623">
        <f t="shared" si="3"/>
        <v>25922</v>
      </c>
      <c r="DK88" s="38">
        <f t="shared" si="4"/>
        <v>2257</v>
      </c>
    </row>
    <row r="89" spans="2:115" s="39" customFormat="1" ht="22.5">
      <c r="B89" s="97">
        <v>74</v>
      </c>
      <c r="C89" s="97" t="s">
        <v>39</v>
      </c>
      <c r="D89" s="532">
        <v>30447372</v>
      </c>
      <c r="E89" s="48" t="s">
        <v>2624</v>
      </c>
      <c r="F89" s="626" t="s">
        <v>146</v>
      </c>
      <c r="G89" s="26" t="s">
        <v>2535</v>
      </c>
      <c r="H89" s="26" t="s">
        <v>2539</v>
      </c>
      <c r="I89" s="626" t="s">
        <v>2537</v>
      </c>
      <c r="J89" s="34">
        <v>1254892</v>
      </c>
      <c r="K89" s="34">
        <v>994979</v>
      </c>
      <c r="L89" s="34">
        <v>0</v>
      </c>
      <c r="M89" s="34"/>
      <c r="N89" s="34">
        <v>12747</v>
      </c>
      <c r="O89" s="34">
        <v>191078</v>
      </c>
      <c r="P89" s="34"/>
      <c r="Q89" s="34"/>
      <c r="R89" s="34">
        <v>9761</v>
      </c>
      <c r="S89" s="34">
        <v>15030</v>
      </c>
      <c r="T89" s="34"/>
      <c r="U89" s="34"/>
      <c r="V89" s="34"/>
      <c r="W89" s="34"/>
      <c r="X89" s="34"/>
      <c r="Y89" s="34">
        <f t="shared" si="0"/>
        <v>228616</v>
      </c>
      <c r="Z89" s="31">
        <f>193028</f>
        <v>193028</v>
      </c>
      <c r="AA89" s="32">
        <v>3</v>
      </c>
      <c r="AB89" s="33">
        <v>44217</v>
      </c>
      <c r="AC89" s="36">
        <v>44221</v>
      </c>
      <c r="AD89" s="31"/>
      <c r="AE89" s="35"/>
      <c r="AF89" s="27"/>
      <c r="AG89" s="36"/>
      <c r="AH89" s="31"/>
      <c r="AI89" s="35"/>
      <c r="AJ89" s="27"/>
      <c r="AK89" s="36"/>
      <c r="AL89" s="31">
        <v>20659</v>
      </c>
      <c r="AM89" s="35">
        <v>13</v>
      </c>
      <c r="AN89" s="36">
        <v>44277</v>
      </c>
      <c r="AO89" s="36">
        <v>44281</v>
      </c>
      <c r="AP89" s="31"/>
      <c r="AQ89" s="35"/>
      <c r="AR89" s="27"/>
      <c r="AS89" s="36"/>
      <c r="AT89" s="31"/>
      <c r="AU89" s="35"/>
      <c r="AV89" s="27"/>
      <c r="AW89" s="36"/>
      <c r="AX89" s="31"/>
      <c r="AY89" s="35"/>
      <c r="AZ89" s="27"/>
      <c r="BA89" s="36"/>
      <c r="BB89" s="31"/>
      <c r="BC89" s="35"/>
      <c r="BD89" s="27"/>
      <c r="BE89" s="36"/>
      <c r="BF89" s="31"/>
      <c r="BG89" s="35"/>
      <c r="BH89" s="27"/>
      <c r="BI89" s="36"/>
      <c r="BJ89" s="31"/>
      <c r="BK89" s="35"/>
      <c r="BL89" s="27"/>
      <c r="BM89" s="36"/>
      <c r="BN89" s="35">
        <v>13600</v>
      </c>
      <c r="BO89" s="35">
        <v>28</v>
      </c>
      <c r="BP89" s="33">
        <v>44363</v>
      </c>
      <c r="BQ89" s="36">
        <v>44371</v>
      </c>
      <c r="BR89" s="31"/>
      <c r="BS89" s="35"/>
      <c r="BT89" s="27"/>
      <c r="BU89" s="36"/>
      <c r="BV89" s="31"/>
      <c r="BW89" s="35"/>
      <c r="BX89" s="27"/>
      <c r="BY89" s="36"/>
      <c r="BZ89" s="31">
        <v>1431</v>
      </c>
      <c r="CA89" s="35">
        <v>31</v>
      </c>
      <c r="CB89" s="36">
        <v>44384</v>
      </c>
      <c r="CC89" s="36">
        <v>44390</v>
      </c>
      <c r="CD89" s="31"/>
      <c r="CE89" s="35"/>
      <c r="CF89" s="27"/>
      <c r="CG89" s="36"/>
      <c r="CH89" s="31"/>
      <c r="CI89" s="35"/>
      <c r="CJ89" s="27"/>
      <c r="CK89" s="36"/>
      <c r="CL89" s="31"/>
      <c r="CM89" s="35"/>
      <c r="CN89" s="27"/>
      <c r="CO89" s="36"/>
      <c r="CP89" s="31"/>
      <c r="CQ89" s="35"/>
      <c r="CR89" s="27"/>
      <c r="CS89" s="36"/>
      <c r="CT89" s="31"/>
      <c r="CU89" s="35"/>
      <c r="CV89" s="27"/>
      <c r="CW89" s="36"/>
      <c r="CX89" s="31"/>
      <c r="CY89" s="35"/>
      <c r="CZ89" s="27"/>
      <c r="DA89" s="36"/>
      <c r="DB89" s="31"/>
      <c r="DC89" s="35"/>
      <c r="DD89" s="27"/>
      <c r="DE89" s="36"/>
      <c r="DF89" s="31"/>
      <c r="DG89" s="35"/>
      <c r="DH89" s="27"/>
      <c r="DI89" s="36"/>
      <c r="DJ89" s="623">
        <f t="shared" si="3"/>
        <v>228718</v>
      </c>
      <c r="DK89" s="38">
        <f t="shared" si="4"/>
        <v>102</v>
      </c>
    </row>
    <row r="90" spans="2:115" s="39" customFormat="1" ht="22.5">
      <c r="B90" s="97">
        <v>75</v>
      </c>
      <c r="C90" s="97" t="s">
        <v>39</v>
      </c>
      <c r="D90" s="532">
        <v>30472595</v>
      </c>
      <c r="E90" s="48" t="s">
        <v>2625</v>
      </c>
      <c r="F90" s="626" t="s">
        <v>146</v>
      </c>
      <c r="G90" s="26" t="s">
        <v>2535</v>
      </c>
      <c r="H90" s="26" t="s">
        <v>2539</v>
      </c>
      <c r="I90" s="626" t="s">
        <v>2537</v>
      </c>
      <c r="J90" s="34">
        <v>1038094</v>
      </c>
      <c r="K90" s="34">
        <v>980468</v>
      </c>
      <c r="L90" s="34">
        <v>2465</v>
      </c>
      <c r="M90" s="34"/>
      <c r="N90" s="34">
        <v>41867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>
        <f t="shared" si="0"/>
        <v>41867</v>
      </c>
      <c r="Z90" s="31">
        <v>55161</v>
      </c>
      <c r="AA90" s="32">
        <v>3</v>
      </c>
      <c r="AB90" s="33">
        <v>44217</v>
      </c>
      <c r="AC90" s="36">
        <v>44221</v>
      </c>
      <c r="AD90" s="31"/>
      <c r="AE90" s="35"/>
      <c r="AF90" s="27"/>
      <c r="AG90" s="36"/>
      <c r="AH90" s="31"/>
      <c r="AI90" s="35"/>
      <c r="AJ90" s="27"/>
      <c r="AK90" s="36"/>
      <c r="AL90" s="31"/>
      <c r="AM90" s="35"/>
      <c r="AN90" s="36"/>
      <c r="AO90" s="36"/>
      <c r="AP90" s="31"/>
      <c r="AQ90" s="35"/>
      <c r="AR90" s="27"/>
      <c r="AS90" s="36"/>
      <c r="AT90" s="31"/>
      <c r="AU90" s="35"/>
      <c r="AV90" s="27"/>
      <c r="AW90" s="36"/>
      <c r="AX90" s="31"/>
      <c r="AY90" s="35"/>
      <c r="AZ90" s="27"/>
      <c r="BA90" s="36"/>
      <c r="BB90" s="31"/>
      <c r="BC90" s="35"/>
      <c r="BD90" s="27"/>
      <c r="BE90" s="36"/>
      <c r="BF90" s="31"/>
      <c r="BG90" s="35"/>
      <c r="BH90" s="27"/>
      <c r="BI90" s="36"/>
      <c r="BJ90" s="31"/>
      <c r="BK90" s="35"/>
      <c r="BL90" s="27"/>
      <c r="BM90" s="36"/>
      <c r="BN90" s="35"/>
      <c r="BO90" s="35"/>
      <c r="BP90" s="27"/>
      <c r="BQ90" s="36"/>
      <c r="BR90" s="31"/>
      <c r="BS90" s="35"/>
      <c r="BT90" s="27"/>
      <c r="BU90" s="36"/>
      <c r="BV90" s="31"/>
      <c r="BW90" s="35"/>
      <c r="BX90" s="27"/>
      <c r="BY90" s="36"/>
      <c r="BZ90" s="31"/>
      <c r="CA90" s="35"/>
      <c r="CB90" s="27"/>
      <c r="CC90" s="36"/>
      <c r="CD90" s="31"/>
      <c r="CE90" s="35"/>
      <c r="CF90" s="27"/>
      <c r="CG90" s="36"/>
      <c r="CH90" s="31"/>
      <c r="CI90" s="35"/>
      <c r="CJ90" s="27"/>
      <c r="CK90" s="36"/>
      <c r="CL90" s="31"/>
      <c r="CM90" s="35"/>
      <c r="CN90" s="27"/>
      <c r="CO90" s="36"/>
      <c r="CP90" s="31"/>
      <c r="CQ90" s="35"/>
      <c r="CR90" s="27"/>
      <c r="CS90" s="36"/>
      <c r="CT90" s="31"/>
      <c r="CU90" s="35"/>
      <c r="CV90" s="27"/>
      <c r="CW90" s="36"/>
      <c r="CX90" s="31"/>
      <c r="CY90" s="35"/>
      <c r="CZ90" s="27"/>
      <c r="DA90" s="36"/>
      <c r="DB90" s="31"/>
      <c r="DC90" s="35"/>
      <c r="DD90" s="27"/>
      <c r="DE90" s="36"/>
      <c r="DF90" s="31"/>
      <c r="DG90" s="35"/>
      <c r="DH90" s="27"/>
      <c r="DI90" s="36"/>
      <c r="DJ90" s="623">
        <f t="shared" si="3"/>
        <v>55161</v>
      </c>
      <c r="DK90" s="38">
        <f t="shared" si="4"/>
        <v>13294</v>
      </c>
    </row>
    <row r="91" spans="2:115" s="39" customFormat="1" ht="22.5">
      <c r="B91" s="97">
        <v>76</v>
      </c>
      <c r="C91" s="97" t="s">
        <v>39</v>
      </c>
      <c r="D91" s="532">
        <v>30473835</v>
      </c>
      <c r="E91" s="48" t="s">
        <v>2626</v>
      </c>
      <c r="F91" s="626" t="s">
        <v>146</v>
      </c>
      <c r="G91" s="26" t="s">
        <v>2535</v>
      </c>
      <c r="H91" s="26" t="s">
        <v>2539</v>
      </c>
      <c r="I91" s="626" t="s">
        <v>2537</v>
      </c>
      <c r="J91" s="34">
        <v>219218</v>
      </c>
      <c r="K91" s="34">
        <v>0</v>
      </c>
      <c r="L91" s="34">
        <v>0</v>
      </c>
      <c r="M91" s="34"/>
      <c r="N91" s="34">
        <v>2462</v>
      </c>
      <c r="O91" s="34">
        <v>1231</v>
      </c>
      <c r="P91" s="34">
        <v>1231</v>
      </c>
      <c r="Q91" s="34">
        <v>575</v>
      </c>
      <c r="R91" s="34">
        <v>57543</v>
      </c>
      <c r="S91" s="34">
        <v>17847</v>
      </c>
      <c r="T91" s="34">
        <v>1231</v>
      </c>
      <c r="U91" s="34">
        <v>12725</v>
      </c>
      <c r="V91" s="34" t="s">
        <v>2552</v>
      </c>
      <c r="W91" s="34"/>
      <c r="X91" s="34"/>
      <c r="Y91" s="34">
        <f t="shared" si="0"/>
        <v>94845</v>
      </c>
      <c r="Z91" s="31">
        <v>219218</v>
      </c>
      <c r="AA91" s="32">
        <v>3</v>
      </c>
      <c r="AB91" s="33">
        <v>44217</v>
      </c>
      <c r="AC91" s="36">
        <v>44221</v>
      </c>
      <c r="AD91" s="31"/>
      <c r="AE91" s="35"/>
      <c r="AF91" s="27"/>
      <c r="AG91" s="36"/>
      <c r="AH91" s="31"/>
      <c r="AI91" s="35"/>
      <c r="AJ91" s="27"/>
      <c r="AK91" s="36"/>
      <c r="AL91" s="31"/>
      <c r="AM91" s="35"/>
      <c r="AN91" s="36"/>
      <c r="AO91" s="36"/>
      <c r="AP91" s="31"/>
      <c r="AQ91" s="35"/>
      <c r="AR91" s="27"/>
      <c r="AS91" s="36"/>
      <c r="AT91" s="31"/>
      <c r="AU91" s="35"/>
      <c r="AV91" s="27"/>
      <c r="AW91" s="36"/>
      <c r="AX91" s="31"/>
      <c r="AY91" s="35"/>
      <c r="AZ91" s="27"/>
      <c r="BA91" s="36"/>
      <c r="BB91" s="31"/>
      <c r="BC91" s="35"/>
      <c r="BD91" s="27"/>
      <c r="BE91" s="36"/>
      <c r="BF91" s="31"/>
      <c r="BG91" s="35"/>
      <c r="BH91" s="27"/>
      <c r="BI91" s="36"/>
      <c r="BJ91" s="31"/>
      <c r="BK91" s="35"/>
      <c r="BL91" s="27"/>
      <c r="BM91" s="36"/>
      <c r="BN91" s="35"/>
      <c r="BO91" s="35"/>
      <c r="BP91" s="27"/>
      <c r="BQ91" s="36"/>
      <c r="BR91" s="31"/>
      <c r="BS91" s="35"/>
      <c r="BT91" s="27"/>
      <c r="BU91" s="36"/>
      <c r="BV91" s="31"/>
      <c r="BW91" s="35"/>
      <c r="BX91" s="27"/>
      <c r="BY91" s="36"/>
      <c r="BZ91" s="31"/>
      <c r="CA91" s="35"/>
      <c r="CB91" s="27"/>
      <c r="CC91" s="36"/>
      <c r="CD91" s="31"/>
      <c r="CE91" s="35"/>
      <c r="CF91" s="27"/>
      <c r="CG91" s="36"/>
      <c r="CH91" s="31"/>
      <c r="CI91" s="35"/>
      <c r="CJ91" s="27"/>
      <c r="CK91" s="36"/>
      <c r="CL91" s="31"/>
      <c r="CM91" s="35"/>
      <c r="CN91" s="27"/>
      <c r="CO91" s="36"/>
      <c r="CP91" s="31"/>
      <c r="CQ91" s="35"/>
      <c r="CR91" s="27"/>
      <c r="CS91" s="36"/>
      <c r="CT91" s="31"/>
      <c r="CU91" s="35"/>
      <c r="CV91" s="27"/>
      <c r="CW91" s="36"/>
      <c r="CX91" s="31"/>
      <c r="CY91" s="35"/>
      <c r="CZ91" s="27"/>
      <c r="DA91" s="36"/>
      <c r="DB91" s="31"/>
      <c r="DC91" s="35"/>
      <c r="DD91" s="27"/>
      <c r="DE91" s="36"/>
      <c r="DF91" s="31"/>
      <c r="DG91" s="35"/>
      <c r="DH91" s="27"/>
      <c r="DI91" s="36"/>
      <c r="DJ91" s="623">
        <f t="shared" si="3"/>
        <v>219218</v>
      </c>
      <c r="DK91" s="38">
        <f t="shared" si="4"/>
        <v>124373</v>
      </c>
    </row>
    <row r="92" spans="2:115" s="39" customFormat="1" ht="22.5">
      <c r="B92" s="97">
        <v>77</v>
      </c>
      <c r="C92" s="97" t="s">
        <v>39</v>
      </c>
      <c r="D92" s="532">
        <v>30474241</v>
      </c>
      <c r="E92" s="48" t="s">
        <v>2627</v>
      </c>
      <c r="F92" s="626" t="s">
        <v>146</v>
      </c>
      <c r="G92" s="26" t="s">
        <v>2535</v>
      </c>
      <c r="H92" s="26" t="s">
        <v>2539</v>
      </c>
      <c r="I92" s="626" t="s">
        <v>2537</v>
      </c>
      <c r="J92" s="34">
        <v>11961571</v>
      </c>
      <c r="K92" s="34">
        <v>6136</v>
      </c>
      <c r="L92" s="34">
        <v>5661440</v>
      </c>
      <c r="M92" s="34"/>
      <c r="N92" s="34"/>
      <c r="O92" s="34"/>
      <c r="P92" s="34"/>
      <c r="Q92" s="34"/>
      <c r="R92" s="34">
        <v>23002</v>
      </c>
      <c r="S92" s="34">
        <f>19079+2120+563439</f>
        <v>584638</v>
      </c>
      <c r="T92" s="34">
        <v>13475</v>
      </c>
      <c r="U92" s="34">
        <v>10094</v>
      </c>
      <c r="V92" s="34" t="s">
        <v>2552</v>
      </c>
      <c r="W92" s="34"/>
      <c r="X92" s="34"/>
      <c r="Y92" s="34">
        <f t="shared" si="0"/>
        <v>631209</v>
      </c>
      <c r="Z92" s="31">
        <v>2528154</v>
      </c>
      <c r="AA92" s="32">
        <v>3</v>
      </c>
      <c r="AB92" s="33">
        <v>44217</v>
      </c>
      <c r="AC92" s="36">
        <v>44221</v>
      </c>
      <c r="AD92" s="31"/>
      <c r="AE92" s="35"/>
      <c r="AF92" s="27"/>
      <c r="AG92" s="36"/>
      <c r="AH92" s="31"/>
      <c r="AI92" s="35"/>
      <c r="AJ92" s="27"/>
      <c r="AK92" s="36"/>
      <c r="AL92" s="31"/>
      <c r="AM92" s="35"/>
      <c r="AN92" s="36"/>
      <c r="AO92" s="36"/>
      <c r="AP92" s="31"/>
      <c r="AQ92" s="35"/>
      <c r="AR92" s="27"/>
      <c r="AS92" s="36"/>
      <c r="AT92" s="31"/>
      <c r="AU92" s="35"/>
      <c r="AV92" s="27"/>
      <c r="AW92" s="36"/>
      <c r="AX92" s="31"/>
      <c r="AY92" s="35"/>
      <c r="AZ92" s="27"/>
      <c r="BA92" s="36"/>
      <c r="BB92" s="31"/>
      <c r="BC92" s="35"/>
      <c r="BD92" s="27"/>
      <c r="BE92" s="36"/>
      <c r="BF92" s="31"/>
      <c r="BG92" s="35"/>
      <c r="BH92" s="27"/>
      <c r="BI92" s="36"/>
      <c r="BJ92" s="31"/>
      <c r="BK92" s="35"/>
      <c r="BL92" s="27"/>
      <c r="BM92" s="36"/>
      <c r="BN92" s="35"/>
      <c r="BO92" s="35"/>
      <c r="BP92" s="27"/>
      <c r="BQ92" s="36"/>
      <c r="BR92" s="31"/>
      <c r="BS92" s="35"/>
      <c r="BT92" s="27"/>
      <c r="BU92" s="36"/>
      <c r="BV92" s="31"/>
      <c r="BW92" s="35"/>
      <c r="BX92" s="27"/>
      <c r="BY92" s="36"/>
      <c r="BZ92" s="31">
        <v>-1100000</v>
      </c>
      <c r="CA92" s="35">
        <v>31</v>
      </c>
      <c r="CB92" s="36">
        <v>44384</v>
      </c>
      <c r="CC92" s="36">
        <v>44390</v>
      </c>
      <c r="CD92" s="31"/>
      <c r="CE92" s="35"/>
      <c r="CF92" s="27"/>
      <c r="CG92" s="36"/>
      <c r="CH92" s="31"/>
      <c r="CI92" s="35"/>
      <c r="CJ92" s="27"/>
      <c r="CK92" s="36"/>
      <c r="CL92" s="31"/>
      <c r="CM92" s="35"/>
      <c r="CN92" s="27"/>
      <c r="CO92" s="36"/>
      <c r="CP92" s="31"/>
      <c r="CQ92" s="35"/>
      <c r="CR92" s="27"/>
      <c r="CS92" s="36"/>
      <c r="CT92" s="31"/>
      <c r="CU92" s="35"/>
      <c r="CV92" s="27"/>
      <c r="CW92" s="36"/>
      <c r="CX92" s="31"/>
      <c r="CY92" s="35"/>
      <c r="CZ92" s="27"/>
      <c r="DA92" s="36"/>
      <c r="DB92" s="31"/>
      <c r="DC92" s="35"/>
      <c r="DD92" s="27"/>
      <c r="DE92" s="36"/>
      <c r="DF92" s="31"/>
      <c r="DG92" s="35"/>
      <c r="DH92" s="27"/>
      <c r="DI92" s="36"/>
      <c r="DJ92" s="623">
        <f t="shared" si="3"/>
        <v>1428154</v>
      </c>
      <c r="DK92" s="38">
        <f t="shared" si="4"/>
        <v>796945</v>
      </c>
    </row>
    <row r="93" spans="2:115" s="39" customFormat="1" ht="22.5">
      <c r="B93" s="97">
        <v>78</v>
      </c>
      <c r="C93" s="97" t="s">
        <v>39</v>
      </c>
      <c r="D93" s="532">
        <v>30476635</v>
      </c>
      <c r="E93" s="48" t="s">
        <v>2628</v>
      </c>
      <c r="F93" s="626" t="s">
        <v>158</v>
      </c>
      <c r="G93" s="26" t="s">
        <v>2535</v>
      </c>
      <c r="H93" s="26" t="s">
        <v>2629</v>
      </c>
      <c r="I93" s="626" t="s">
        <v>2537</v>
      </c>
      <c r="J93" s="34">
        <v>71154</v>
      </c>
      <c r="K93" s="34">
        <v>44639</v>
      </c>
      <c r="L93" s="34">
        <v>1619</v>
      </c>
      <c r="M93" s="34"/>
      <c r="N93" s="34"/>
      <c r="O93" s="34"/>
      <c r="P93" s="34"/>
      <c r="Q93" s="34"/>
      <c r="R93" s="34"/>
      <c r="S93" s="34"/>
      <c r="T93" s="34"/>
      <c r="U93" s="34">
        <v>9975</v>
      </c>
      <c r="V93" s="34" t="s">
        <v>2552</v>
      </c>
      <c r="W93" s="34"/>
      <c r="X93" s="34"/>
      <c r="Y93" s="34">
        <f t="shared" si="0"/>
        <v>9975</v>
      </c>
      <c r="Z93" s="31">
        <v>24896</v>
      </c>
      <c r="AA93" s="32">
        <v>3</v>
      </c>
      <c r="AB93" s="33">
        <v>44217</v>
      </c>
      <c r="AC93" s="36">
        <v>44221</v>
      </c>
      <c r="AD93" s="31"/>
      <c r="AE93" s="35"/>
      <c r="AF93" s="27"/>
      <c r="AG93" s="36"/>
      <c r="AH93" s="31"/>
      <c r="AI93" s="35"/>
      <c r="AJ93" s="27"/>
      <c r="AK93" s="36"/>
      <c r="AL93" s="31"/>
      <c r="AM93" s="35"/>
      <c r="AN93" s="36"/>
      <c r="AO93" s="36"/>
      <c r="AP93" s="31"/>
      <c r="AQ93" s="35"/>
      <c r="AR93" s="27"/>
      <c r="AS93" s="36"/>
      <c r="AT93" s="31"/>
      <c r="AU93" s="35"/>
      <c r="AV93" s="27"/>
      <c r="AW93" s="36"/>
      <c r="AX93" s="31"/>
      <c r="AY93" s="35"/>
      <c r="AZ93" s="27"/>
      <c r="BA93" s="36"/>
      <c r="BB93" s="31"/>
      <c r="BC93" s="35"/>
      <c r="BD93" s="27"/>
      <c r="BE93" s="36"/>
      <c r="BF93" s="31"/>
      <c r="BG93" s="35"/>
      <c r="BH93" s="27"/>
      <c r="BI93" s="36"/>
      <c r="BJ93" s="31"/>
      <c r="BK93" s="35"/>
      <c r="BL93" s="27"/>
      <c r="BM93" s="36"/>
      <c r="BN93" s="35"/>
      <c r="BO93" s="35"/>
      <c r="BP93" s="27"/>
      <c r="BQ93" s="36"/>
      <c r="BR93" s="31"/>
      <c r="BS93" s="35"/>
      <c r="BT93" s="27"/>
      <c r="BU93" s="36"/>
      <c r="BV93" s="31"/>
      <c r="BW93" s="35"/>
      <c r="BX93" s="27"/>
      <c r="BY93" s="36"/>
      <c r="BZ93" s="31"/>
      <c r="CA93" s="35"/>
      <c r="CB93" s="27"/>
      <c r="CC93" s="36"/>
      <c r="CD93" s="31"/>
      <c r="CE93" s="35"/>
      <c r="CF93" s="27"/>
      <c r="CG93" s="36"/>
      <c r="CH93" s="31"/>
      <c r="CI93" s="35"/>
      <c r="CJ93" s="27"/>
      <c r="CK93" s="36"/>
      <c r="CL93" s="31"/>
      <c r="CM93" s="35"/>
      <c r="CN93" s="27"/>
      <c r="CO93" s="36"/>
      <c r="CP93" s="31"/>
      <c r="CQ93" s="35"/>
      <c r="CR93" s="27"/>
      <c r="CS93" s="36"/>
      <c r="CT93" s="31"/>
      <c r="CU93" s="35"/>
      <c r="CV93" s="27"/>
      <c r="CW93" s="36"/>
      <c r="CX93" s="31"/>
      <c r="CY93" s="35"/>
      <c r="CZ93" s="27"/>
      <c r="DA93" s="36"/>
      <c r="DB93" s="31"/>
      <c r="DC93" s="35"/>
      <c r="DD93" s="27"/>
      <c r="DE93" s="36"/>
      <c r="DF93" s="31"/>
      <c r="DG93" s="35"/>
      <c r="DH93" s="27"/>
      <c r="DI93" s="36"/>
      <c r="DJ93" s="623">
        <f t="shared" si="3"/>
        <v>24896</v>
      </c>
      <c r="DK93" s="38">
        <f t="shared" si="4"/>
        <v>14921</v>
      </c>
    </row>
    <row r="94" spans="2:115" s="39" customFormat="1" ht="22.5">
      <c r="B94" s="97">
        <v>79</v>
      </c>
      <c r="C94" s="97" t="s">
        <v>39</v>
      </c>
      <c r="D94" s="532">
        <v>30481458</v>
      </c>
      <c r="E94" s="48" t="s">
        <v>2630</v>
      </c>
      <c r="F94" s="626" t="s">
        <v>146</v>
      </c>
      <c r="G94" s="26" t="s">
        <v>2542</v>
      </c>
      <c r="H94" s="26" t="s">
        <v>2543</v>
      </c>
      <c r="I94" s="626" t="s">
        <v>2537</v>
      </c>
      <c r="J94" s="34">
        <v>442386</v>
      </c>
      <c r="K94" s="34">
        <v>430609</v>
      </c>
      <c r="L94" s="34">
        <v>0</v>
      </c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>
        <f t="shared" si="0"/>
        <v>0</v>
      </c>
      <c r="Z94" s="31">
        <v>11777</v>
      </c>
      <c r="AA94" s="32">
        <v>3</v>
      </c>
      <c r="AB94" s="33">
        <v>44217</v>
      </c>
      <c r="AC94" s="36">
        <v>44221</v>
      </c>
      <c r="AD94" s="31"/>
      <c r="AE94" s="35"/>
      <c r="AF94" s="27"/>
      <c r="AG94" s="36"/>
      <c r="AH94" s="31"/>
      <c r="AI94" s="35"/>
      <c r="AJ94" s="27"/>
      <c r="AK94" s="36"/>
      <c r="AL94" s="31"/>
      <c r="AM94" s="35"/>
      <c r="AN94" s="36"/>
      <c r="AO94" s="36"/>
      <c r="AP94" s="31"/>
      <c r="AQ94" s="35"/>
      <c r="AR94" s="27"/>
      <c r="AS94" s="36"/>
      <c r="AT94" s="31"/>
      <c r="AU94" s="35"/>
      <c r="AV94" s="27"/>
      <c r="AW94" s="36"/>
      <c r="AX94" s="31"/>
      <c r="AY94" s="35"/>
      <c r="AZ94" s="27"/>
      <c r="BA94" s="36"/>
      <c r="BB94" s="31"/>
      <c r="BC94" s="35"/>
      <c r="BD94" s="27"/>
      <c r="BE94" s="36"/>
      <c r="BF94" s="31"/>
      <c r="BG94" s="35"/>
      <c r="BH94" s="27"/>
      <c r="BI94" s="36"/>
      <c r="BJ94" s="31"/>
      <c r="BK94" s="35"/>
      <c r="BL94" s="27"/>
      <c r="BM94" s="36"/>
      <c r="BN94" s="35"/>
      <c r="BO94" s="35"/>
      <c r="BP94" s="27"/>
      <c r="BQ94" s="36"/>
      <c r="BR94" s="31"/>
      <c r="BS94" s="35"/>
      <c r="BT94" s="27"/>
      <c r="BU94" s="36"/>
      <c r="BV94" s="31"/>
      <c r="BW94" s="35"/>
      <c r="BX94" s="27"/>
      <c r="BY94" s="36"/>
      <c r="BZ94" s="31"/>
      <c r="CA94" s="35"/>
      <c r="CB94" s="27"/>
      <c r="CC94" s="36"/>
      <c r="CD94" s="31"/>
      <c r="CE94" s="35"/>
      <c r="CF94" s="27"/>
      <c r="CG94" s="36"/>
      <c r="CH94" s="31"/>
      <c r="CI94" s="35"/>
      <c r="CJ94" s="27"/>
      <c r="CK94" s="36"/>
      <c r="CL94" s="31"/>
      <c r="CM94" s="35"/>
      <c r="CN94" s="27"/>
      <c r="CO94" s="36"/>
      <c r="CP94" s="31"/>
      <c r="CQ94" s="35"/>
      <c r="CR94" s="27"/>
      <c r="CS94" s="36"/>
      <c r="CT94" s="31"/>
      <c r="CU94" s="35"/>
      <c r="CV94" s="27"/>
      <c r="CW94" s="36"/>
      <c r="CX94" s="31"/>
      <c r="CY94" s="35"/>
      <c r="CZ94" s="27"/>
      <c r="DA94" s="36"/>
      <c r="DB94" s="31"/>
      <c r="DC94" s="35"/>
      <c r="DD94" s="27"/>
      <c r="DE94" s="36"/>
      <c r="DF94" s="31"/>
      <c r="DG94" s="35"/>
      <c r="DH94" s="27"/>
      <c r="DI94" s="36"/>
      <c r="DJ94" s="623">
        <f t="shared" si="3"/>
        <v>11777</v>
      </c>
      <c r="DK94" s="38">
        <f t="shared" si="4"/>
        <v>11777</v>
      </c>
    </row>
    <row r="95" spans="2:115" s="39" customFormat="1" ht="22.5">
      <c r="B95" s="97">
        <v>80</v>
      </c>
      <c r="C95" s="97" t="s">
        <v>39</v>
      </c>
      <c r="D95" s="532">
        <v>30481767</v>
      </c>
      <c r="E95" s="48" t="s">
        <v>2631</v>
      </c>
      <c r="F95" s="626" t="s">
        <v>146</v>
      </c>
      <c r="G95" s="26" t="s">
        <v>2535</v>
      </c>
      <c r="H95" s="26" t="s">
        <v>2539</v>
      </c>
      <c r="I95" s="626" t="s">
        <v>2537</v>
      </c>
      <c r="J95" s="34">
        <v>169373</v>
      </c>
      <c r="K95" s="34">
        <v>110954</v>
      </c>
      <c r="L95" s="34">
        <v>0</v>
      </c>
      <c r="M95" s="34"/>
      <c r="N95" s="34">
        <v>8901</v>
      </c>
      <c r="O95" s="34">
        <v>16987</v>
      </c>
      <c r="P95" s="34">
        <v>10365</v>
      </c>
      <c r="Q95" s="34">
        <v>3533</v>
      </c>
      <c r="R95" s="34">
        <v>10778</v>
      </c>
      <c r="S95" s="34">
        <v>5173</v>
      </c>
      <c r="T95" s="34"/>
      <c r="U95" s="34"/>
      <c r="V95" s="34"/>
      <c r="W95" s="34"/>
      <c r="X95" s="34"/>
      <c r="Y95" s="34">
        <f t="shared" si="0"/>
        <v>55737</v>
      </c>
      <c r="Z95" s="31">
        <f>32156</f>
        <v>32156</v>
      </c>
      <c r="AA95" s="32">
        <v>3</v>
      </c>
      <c r="AB95" s="33">
        <v>44217</v>
      </c>
      <c r="AC95" s="36">
        <v>44221</v>
      </c>
      <c r="AD95" s="31"/>
      <c r="AE95" s="35"/>
      <c r="AF95" s="27"/>
      <c r="AG95" s="36"/>
      <c r="AH95" s="31"/>
      <c r="AI95" s="35"/>
      <c r="AJ95" s="27"/>
      <c r="AK95" s="36"/>
      <c r="AL95" s="31">
        <v>7999</v>
      </c>
      <c r="AM95" s="35">
        <v>13</v>
      </c>
      <c r="AN95" s="36">
        <v>44277</v>
      </c>
      <c r="AO95" s="36">
        <v>44281</v>
      </c>
      <c r="AP95" s="31"/>
      <c r="AQ95" s="35"/>
      <c r="AR95" s="27"/>
      <c r="AS95" s="36"/>
      <c r="AT95" s="31"/>
      <c r="AU95" s="35"/>
      <c r="AV95" s="27"/>
      <c r="AW95" s="36"/>
      <c r="AX95" s="31">
        <v>16700</v>
      </c>
      <c r="AY95" s="35">
        <v>18</v>
      </c>
      <c r="AZ95" s="36">
        <v>44308</v>
      </c>
      <c r="BA95" s="36">
        <v>44314</v>
      </c>
      <c r="BB95" s="31"/>
      <c r="BC95" s="35"/>
      <c r="BD95" s="27"/>
      <c r="BE95" s="36"/>
      <c r="BF95" s="31">
        <v>4000</v>
      </c>
      <c r="BG95" s="35">
        <v>25</v>
      </c>
      <c r="BH95" s="33">
        <v>44329</v>
      </c>
      <c r="BI95" s="36">
        <v>44335</v>
      </c>
      <c r="BJ95" s="31"/>
      <c r="BK95" s="35"/>
      <c r="BL95" s="27"/>
      <c r="BM95" s="36"/>
      <c r="BN95" s="35"/>
      <c r="BO95" s="35"/>
      <c r="BP95" s="27"/>
      <c r="BQ95" s="36"/>
      <c r="BR95" s="31"/>
      <c r="BS95" s="35"/>
      <c r="BT95" s="27"/>
      <c r="BU95" s="36"/>
      <c r="BV95" s="31"/>
      <c r="BW95" s="35"/>
      <c r="BX95" s="27"/>
      <c r="BY95" s="36"/>
      <c r="BZ95" s="31"/>
      <c r="CA95" s="35"/>
      <c r="CB95" s="27"/>
      <c r="CC95" s="36"/>
      <c r="CD95" s="31"/>
      <c r="CE95" s="35"/>
      <c r="CF95" s="27"/>
      <c r="CG95" s="36"/>
      <c r="CH95" s="31"/>
      <c r="CI95" s="35"/>
      <c r="CJ95" s="27"/>
      <c r="CK95" s="36"/>
      <c r="CL95" s="31"/>
      <c r="CM95" s="35"/>
      <c r="CN95" s="27"/>
      <c r="CO95" s="36"/>
      <c r="CP95" s="31"/>
      <c r="CQ95" s="35"/>
      <c r="CR95" s="27"/>
      <c r="CS95" s="36"/>
      <c r="CT95" s="31"/>
      <c r="CU95" s="35"/>
      <c r="CV95" s="27"/>
      <c r="CW95" s="36"/>
      <c r="CX95" s="31"/>
      <c r="CY95" s="35"/>
      <c r="CZ95" s="27"/>
      <c r="DA95" s="36"/>
      <c r="DB95" s="31"/>
      <c r="DC95" s="35"/>
      <c r="DD95" s="27"/>
      <c r="DE95" s="36"/>
      <c r="DF95" s="31"/>
      <c r="DG95" s="35"/>
      <c r="DH95" s="27"/>
      <c r="DI95" s="36"/>
      <c r="DJ95" s="623">
        <f t="shared" si="3"/>
        <v>60855</v>
      </c>
      <c r="DK95" s="38">
        <f t="shared" si="4"/>
        <v>5118</v>
      </c>
    </row>
    <row r="96" spans="2:115" s="39" customFormat="1" ht="22.5">
      <c r="B96" s="97">
        <v>81</v>
      </c>
      <c r="C96" s="97" t="s">
        <v>39</v>
      </c>
      <c r="D96" s="532">
        <v>30483953</v>
      </c>
      <c r="E96" s="48" t="s">
        <v>2632</v>
      </c>
      <c r="F96" s="626" t="s">
        <v>146</v>
      </c>
      <c r="G96" s="26" t="s">
        <v>1373</v>
      </c>
      <c r="H96" s="26" t="s">
        <v>342</v>
      </c>
      <c r="I96" s="626" t="s">
        <v>2537</v>
      </c>
      <c r="J96" s="34">
        <v>4123092</v>
      </c>
      <c r="K96" s="34">
        <v>3572424</v>
      </c>
      <c r="L96" s="34">
        <v>10000</v>
      </c>
      <c r="M96" s="34"/>
      <c r="N96" s="34">
        <v>104366</v>
      </c>
      <c r="O96" s="34">
        <v>75114</v>
      </c>
      <c r="P96" s="34">
        <v>105869</v>
      </c>
      <c r="Q96" s="34"/>
      <c r="R96" s="34">
        <v>60016</v>
      </c>
      <c r="S96" s="34">
        <v>13022</v>
      </c>
      <c r="T96" s="34"/>
      <c r="U96" s="34"/>
      <c r="V96" s="34"/>
      <c r="W96" s="34"/>
      <c r="X96" s="34"/>
      <c r="Y96" s="34">
        <f t="shared" si="0"/>
        <v>358387</v>
      </c>
      <c r="Z96" s="31">
        <v>425668</v>
      </c>
      <c r="AA96" s="32">
        <v>3</v>
      </c>
      <c r="AB96" s="33">
        <v>44217</v>
      </c>
      <c r="AC96" s="36">
        <v>44221</v>
      </c>
      <c r="AD96" s="31"/>
      <c r="AE96" s="35"/>
      <c r="AF96" s="27"/>
      <c r="AG96" s="36"/>
      <c r="AH96" s="31"/>
      <c r="AI96" s="35"/>
      <c r="AJ96" s="27"/>
      <c r="AK96" s="36"/>
      <c r="AL96" s="31"/>
      <c r="AM96" s="35"/>
      <c r="AN96" s="36"/>
      <c r="AO96" s="36"/>
      <c r="AP96" s="31"/>
      <c r="AQ96" s="35"/>
      <c r="AR96" s="27"/>
      <c r="AS96" s="36"/>
      <c r="AT96" s="31"/>
      <c r="AU96" s="35"/>
      <c r="AV96" s="27"/>
      <c r="AW96" s="36"/>
      <c r="AX96" s="31"/>
      <c r="AY96" s="35"/>
      <c r="AZ96" s="27"/>
      <c r="BA96" s="36"/>
      <c r="BB96" s="31"/>
      <c r="BC96" s="35"/>
      <c r="BD96" s="27"/>
      <c r="BE96" s="36"/>
      <c r="BF96" s="31"/>
      <c r="BG96" s="35"/>
      <c r="BH96" s="27"/>
      <c r="BI96" s="36"/>
      <c r="BJ96" s="31"/>
      <c r="BK96" s="35"/>
      <c r="BL96" s="27"/>
      <c r="BM96" s="36"/>
      <c r="BN96" s="35">
        <v>-80000</v>
      </c>
      <c r="BO96" s="35">
        <v>28</v>
      </c>
      <c r="BP96" s="33">
        <v>44363</v>
      </c>
      <c r="BQ96" s="36">
        <v>44371</v>
      </c>
      <c r="BR96" s="31"/>
      <c r="BS96" s="35"/>
      <c r="BT96" s="27"/>
      <c r="BU96" s="36"/>
      <c r="BV96" s="31"/>
      <c r="BW96" s="35"/>
      <c r="BX96" s="27"/>
      <c r="BY96" s="36"/>
      <c r="BZ96" s="31"/>
      <c r="CA96" s="35"/>
      <c r="CB96" s="27"/>
      <c r="CC96" s="36"/>
      <c r="CD96" s="31">
        <v>15000</v>
      </c>
      <c r="CE96" s="35">
        <v>32</v>
      </c>
      <c r="CF96" s="33">
        <v>44389</v>
      </c>
      <c r="CG96" s="36">
        <v>44397</v>
      </c>
      <c r="CH96" s="31"/>
      <c r="CI96" s="35"/>
      <c r="CJ96" s="27"/>
      <c r="CK96" s="36"/>
      <c r="CL96" s="31"/>
      <c r="CM96" s="35"/>
      <c r="CN96" s="27"/>
      <c r="CO96" s="36"/>
      <c r="CP96" s="31"/>
      <c r="CQ96" s="35"/>
      <c r="CR96" s="27"/>
      <c r="CS96" s="36"/>
      <c r="CT96" s="31"/>
      <c r="CU96" s="35"/>
      <c r="CV96" s="27"/>
      <c r="CW96" s="36"/>
      <c r="CX96" s="31"/>
      <c r="CY96" s="35"/>
      <c r="CZ96" s="27"/>
      <c r="DA96" s="36"/>
      <c r="DB96" s="31"/>
      <c r="DC96" s="35"/>
      <c r="DD96" s="27"/>
      <c r="DE96" s="36"/>
      <c r="DF96" s="31"/>
      <c r="DG96" s="35"/>
      <c r="DH96" s="27"/>
      <c r="DI96" s="36"/>
      <c r="DJ96" s="623">
        <f t="shared" si="3"/>
        <v>360668</v>
      </c>
      <c r="DK96" s="38">
        <f t="shared" si="4"/>
        <v>2281</v>
      </c>
    </row>
    <row r="97" spans="2:115" s="39" customFormat="1" ht="22.5">
      <c r="B97" s="97">
        <v>82</v>
      </c>
      <c r="C97" s="97" t="s">
        <v>39</v>
      </c>
      <c r="D97" s="532">
        <v>30484048</v>
      </c>
      <c r="E97" s="48" t="s">
        <v>2633</v>
      </c>
      <c r="F97" s="626" t="s">
        <v>146</v>
      </c>
      <c r="G97" s="26" t="s">
        <v>2535</v>
      </c>
      <c r="H97" s="26" t="s">
        <v>2539</v>
      </c>
      <c r="I97" s="626" t="s">
        <v>2537</v>
      </c>
      <c r="J97" s="34">
        <v>647673</v>
      </c>
      <c r="K97" s="34">
        <v>601179</v>
      </c>
      <c r="L97" s="34">
        <v>0</v>
      </c>
      <c r="M97" s="34"/>
      <c r="N97" s="34"/>
      <c r="O97" s="34">
        <v>43635</v>
      </c>
      <c r="P97" s="34"/>
      <c r="Q97" s="34"/>
      <c r="R97" s="34"/>
      <c r="S97" s="34"/>
      <c r="T97" s="34"/>
      <c r="U97" s="34"/>
      <c r="V97" s="34"/>
      <c r="W97" s="34"/>
      <c r="X97" s="34"/>
      <c r="Y97" s="34">
        <f t="shared" si="0"/>
        <v>43635</v>
      </c>
      <c r="Z97" s="31">
        <f>45964</f>
        <v>45964</v>
      </c>
      <c r="AA97" s="32">
        <v>3</v>
      </c>
      <c r="AB97" s="33">
        <v>44217</v>
      </c>
      <c r="AC97" s="36">
        <v>44221</v>
      </c>
      <c r="AD97" s="31"/>
      <c r="AE97" s="35"/>
      <c r="AF97" s="27"/>
      <c r="AG97" s="36"/>
      <c r="AH97" s="31"/>
      <c r="AI97" s="35"/>
      <c r="AJ97" s="27"/>
      <c r="AK97" s="36"/>
      <c r="AL97" s="31">
        <v>1636</v>
      </c>
      <c r="AM97" s="35">
        <v>13</v>
      </c>
      <c r="AN97" s="36">
        <v>44277</v>
      </c>
      <c r="AO97" s="36">
        <v>44281</v>
      </c>
      <c r="AP97" s="31"/>
      <c r="AQ97" s="35"/>
      <c r="AR97" s="27"/>
      <c r="AS97" s="36"/>
      <c r="AT97" s="31"/>
      <c r="AU97" s="35"/>
      <c r="AV97" s="27"/>
      <c r="AW97" s="36"/>
      <c r="AX97" s="31"/>
      <c r="AY97" s="35"/>
      <c r="AZ97" s="27"/>
      <c r="BA97" s="36"/>
      <c r="BB97" s="31"/>
      <c r="BC97" s="35"/>
      <c r="BD97" s="27"/>
      <c r="BE97" s="36"/>
      <c r="BF97" s="31"/>
      <c r="BG97" s="35"/>
      <c r="BH97" s="27"/>
      <c r="BI97" s="36"/>
      <c r="BJ97" s="31"/>
      <c r="BK97" s="35"/>
      <c r="BL97" s="27"/>
      <c r="BM97" s="36"/>
      <c r="BN97" s="35"/>
      <c r="BO97" s="35"/>
      <c r="BP97" s="27"/>
      <c r="BQ97" s="36"/>
      <c r="BR97" s="31"/>
      <c r="BS97" s="35"/>
      <c r="BT97" s="27"/>
      <c r="BU97" s="36"/>
      <c r="BV97" s="31"/>
      <c r="BW97" s="35"/>
      <c r="BX97" s="27"/>
      <c r="BY97" s="36"/>
      <c r="BZ97" s="31"/>
      <c r="CA97" s="35"/>
      <c r="CB97" s="27"/>
      <c r="CC97" s="36"/>
      <c r="CD97" s="31"/>
      <c r="CE97" s="35"/>
      <c r="CF97" s="27"/>
      <c r="CG97" s="36"/>
      <c r="CH97" s="31"/>
      <c r="CI97" s="35"/>
      <c r="CJ97" s="27"/>
      <c r="CK97" s="36"/>
      <c r="CL97" s="31"/>
      <c r="CM97" s="35"/>
      <c r="CN97" s="27"/>
      <c r="CO97" s="36"/>
      <c r="CP97" s="31"/>
      <c r="CQ97" s="35"/>
      <c r="CR97" s="27"/>
      <c r="CS97" s="36"/>
      <c r="CT97" s="31"/>
      <c r="CU97" s="35"/>
      <c r="CV97" s="27"/>
      <c r="CW97" s="36"/>
      <c r="CX97" s="31"/>
      <c r="CY97" s="35"/>
      <c r="CZ97" s="27"/>
      <c r="DA97" s="36"/>
      <c r="DB97" s="31"/>
      <c r="DC97" s="35"/>
      <c r="DD97" s="27"/>
      <c r="DE97" s="36"/>
      <c r="DF97" s="31"/>
      <c r="DG97" s="35"/>
      <c r="DH97" s="27"/>
      <c r="DI97" s="36"/>
      <c r="DJ97" s="623">
        <f t="shared" si="3"/>
        <v>47600</v>
      </c>
      <c r="DK97" s="38">
        <f t="shared" si="4"/>
        <v>3965</v>
      </c>
    </row>
    <row r="98" spans="2:115" s="39" customFormat="1" ht="22.5">
      <c r="B98" s="97">
        <v>83</v>
      </c>
      <c r="C98" s="97" t="s">
        <v>39</v>
      </c>
      <c r="D98" s="532">
        <v>30484292</v>
      </c>
      <c r="E98" s="48" t="s">
        <v>2634</v>
      </c>
      <c r="F98" s="626" t="s">
        <v>158</v>
      </c>
      <c r="G98" s="26" t="s">
        <v>2542</v>
      </c>
      <c r="H98" s="26" t="s">
        <v>2543</v>
      </c>
      <c r="I98" s="626" t="s">
        <v>2540</v>
      </c>
      <c r="J98" s="34">
        <v>83315</v>
      </c>
      <c r="K98" s="34">
        <v>0</v>
      </c>
      <c r="L98" s="34">
        <v>17112</v>
      </c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>
        <f t="shared" si="0"/>
        <v>0</v>
      </c>
      <c r="Z98" s="31">
        <v>10000</v>
      </c>
      <c r="AA98" s="32">
        <v>3</v>
      </c>
      <c r="AB98" s="33">
        <v>44217</v>
      </c>
      <c r="AC98" s="36">
        <v>44221</v>
      </c>
      <c r="AD98" s="31"/>
      <c r="AE98" s="35"/>
      <c r="AF98" s="27"/>
      <c r="AG98" s="36"/>
      <c r="AH98" s="31"/>
      <c r="AI98" s="35"/>
      <c r="AJ98" s="27"/>
      <c r="AK98" s="36"/>
      <c r="AL98" s="31"/>
      <c r="AM98" s="35"/>
      <c r="AN98" s="27"/>
      <c r="AO98" s="36"/>
      <c r="AP98" s="31"/>
      <c r="AQ98" s="35"/>
      <c r="AR98" s="27"/>
      <c r="AS98" s="36"/>
      <c r="AT98" s="31"/>
      <c r="AU98" s="35"/>
      <c r="AV98" s="27"/>
      <c r="AW98" s="36"/>
      <c r="AX98" s="31">
        <v>909</v>
      </c>
      <c r="AY98" s="35">
        <v>18</v>
      </c>
      <c r="AZ98" s="36">
        <v>44308</v>
      </c>
      <c r="BA98" s="36">
        <v>44314</v>
      </c>
      <c r="BB98" s="31"/>
      <c r="BC98" s="35"/>
      <c r="BD98" s="27"/>
      <c r="BE98" s="36"/>
      <c r="BF98" s="31"/>
      <c r="BG98" s="35"/>
      <c r="BH98" s="27"/>
      <c r="BI98" s="36"/>
      <c r="BJ98" s="31"/>
      <c r="BK98" s="35"/>
      <c r="BL98" s="27"/>
      <c r="BM98" s="36"/>
      <c r="BN98" s="35">
        <v>66000</v>
      </c>
      <c r="BO98" s="35">
        <v>28</v>
      </c>
      <c r="BP98" s="33">
        <v>44363</v>
      </c>
      <c r="BQ98" s="36">
        <v>44371</v>
      </c>
      <c r="BR98" s="31"/>
      <c r="BS98" s="35"/>
      <c r="BT98" s="27"/>
      <c r="BU98" s="36"/>
      <c r="BV98" s="31"/>
      <c r="BW98" s="35"/>
      <c r="BX98" s="27"/>
      <c r="BY98" s="36"/>
      <c r="BZ98" s="31"/>
      <c r="CA98" s="35"/>
      <c r="CB98" s="27"/>
      <c r="CC98" s="36"/>
      <c r="CD98" s="31"/>
      <c r="CE98" s="35"/>
      <c r="CF98" s="27"/>
      <c r="CG98" s="36"/>
      <c r="CH98" s="31"/>
      <c r="CI98" s="35"/>
      <c r="CJ98" s="27"/>
      <c r="CK98" s="36"/>
      <c r="CL98" s="31"/>
      <c r="CM98" s="35"/>
      <c r="CN98" s="27"/>
      <c r="CO98" s="36"/>
      <c r="CP98" s="31"/>
      <c r="CQ98" s="35"/>
      <c r="CR98" s="27"/>
      <c r="CS98" s="36"/>
      <c r="CT98" s="31"/>
      <c r="CU98" s="35"/>
      <c r="CV98" s="27"/>
      <c r="CW98" s="36"/>
      <c r="CX98" s="31"/>
      <c r="CY98" s="35"/>
      <c r="CZ98" s="27"/>
      <c r="DA98" s="36"/>
      <c r="DB98" s="31"/>
      <c r="DC98" s="35"/>
      <c r="DD98" s="27"/>
      <c r="DE98" s="36"/>
      <c r="DF98" s="31"/>
      <c r="DG98" s="35"/>
      <c r="DH98" s="27"/>
      <c r="DI98" s="36"/>
      <c r="DJ98" s="623">
        <f t="shared" si="3"/>
        <v>76909</v>
      </c>
      <c r="DK98" s="38">
        <f t="shared" si="4"/>
        <v>76909</v>
      </c>
    </row>
    <row r="99" spans="2:115" s="39" customFormat="1" ht="22.5">
      <c r="B99" s="97">
        <v>84</v>
      </c>
      <c r="C99" s="97" t="s">
        <v>39</v>
      </c>
      <c r="D99" s="532">
        <v>30484686</v>
      </c>
      <c r="E99" s="48" t="s">
        <v>2635</v>
      </c>
      <c r="F99" s="626" t="s">
        <v>158</v>
      </c>
      <c r="G99" s="26" t="s">
        <v>2535</v>
      </c>
      <c r="H99" s="26" t="s">
        <v>2539</v>
      </c>
      <c r="I99" s="626" t="s">
        <v>2537</v>
      </c>
      <c r="J99" s="34">
        <v>173040</v>
      </c>
      <c r="K99" s="34">
        <v>155079</v>
      </c>
      <c r="L99" s="34">
        <v>0</v>
      </c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>
        <f t="shared" si="0"/>
        <v>0</v>
      </c>
      <c r="Z99" s="31">
        <v>17961</v>
      </c>
      <c r="AA99" s="32">
        <v>3</v>
      </c>
      <c r="AB99" s="33">
        <v>44217</v>
      </c>
      <c r="AC99" s="36">
        <v>44221</v>
      </c>
      <c r="AD99" s="31"/>
      <c r="AE99" s="35"/>
      <c r="AF99" s="27"/>
      <c r="AG99" s="36"/>
      <c r="AH99" s="31"/>
      <c r="AI99" s="35"/>
      <c r="AJ99" s="27"/>
      <c r="AK99" s="36"/>
      <c r="AL99" s="31"/>
      <c r="AM99" s="35"/>
      <c r="AN99" s="27"/>
      <c r="AO99" s="36"/>
      <c r="AP99" s="31"/>
      <c r="AQ99" s="35"/>
      <c r="AR99" s="27"/>
      <c r="AS99" s="36"/>
      <c r="AT99" s="31"/>
      <c r="AU99" s="35"/>
      <c r="AV99" s="27"/>
      <c r="AW99" s="36"/>
      <c r="AX99" s="31"/>
      <c r="AY99" s="35"/>
      <c r="AZ99" s="27"/>
      <c r="BA99" s="36"/>
      <c r="BB99" s="31"/>
      <c r="BC99" s="35"/>
      <c r="BD99" s="27"/>
      <c r="BE99" s="36"/>
      <c r="BF99" s="31"/>
      <c r="BG99" s="35"/>
      <c r="BH99" s="27"/>
      <c r="BI99" s="36"/>
      <c r="BJ99" s="31"/>
      <c r="BK99" s="35"/>
      <c r="BL99" s="27"/>
      <c r="BM99" s="36"/>
      <c r="BN99" s="35"/>
      <c r="BO99" s="35"/>
      <c r="BP99" s="27"/>
      <c r="BQ99" s="36"/>
      <c r="BR99" s="31"/>
      <c r="BS99" s="35"/>
      <c r="BT99" s="27"/>
      <c r="BU99" s="36"/>
      <c r="BV99" s="31"/>
      <c r="BW99" s="35"/>
      <c r="BX99" s="27"/>
      <c r="BY99" s="36"/>
      <c r="BZ99" s="31"/>
      <c r="CA99" s="35"/>
      <c r="CB99" s="27"/>
      <c r="CC99" s="36"/>
      <c r="CD99" s="31"/>
      <c r="CE99" s="35"/>
      <c r="CF99" s="27"/>
      <c r="CG99" s="36"/>
      <c r="CH99" s="31"/>
      <c r="CI99" s="35"/>
      <c r="CJ99" s="27"/>
      <c r="CK99" s="36"/>
      <c r="CL99" s="31"/>
      <c r="CM99" s="35"/>
      <c r="CN99" s="27"/>
      <c r="CO99" s="36"/>
      <c r="CP99" s="31"/>
      <c r="CQ99" s="35"/>
      <c r="CR99" s="27"/>
      <c r="CS99" s="36"/>
      <c r="CT99" s="31"/>
      <c r="CU99" s="35"/>
      <c r="CV99" s="27"/>
      <c r="CW99" s="36"/>
      <c r="CX99" s="31"/>
      <c r="CY99" s="35"/>
      <c r="CZ99" s="27"/>
      <c r="DA99" s="36"/>
      <c r="DB99" s="31"/>
      <c r="DC99" s="35"/>
      <c r="DD99" s="27"/>
      <c r="DE99" s="36"/>
      <c r="DF99" s="31"/>
      <c r="DG99" s="35"/>
      <c r="DH99" s="27"/>
      <c r="DI99" s="36"/>
      <c r="DJ99" s="623">
        <f t="shared" si="3"/>
        <v>17961</v>
      </c>
      <c r="DK99" s="38">
        <f t="shared" si="4"/>
        <v>17961</v>
      </c>
    </row>
    <row r="100" spans="2:115" s="39" customFormat="1" ht="22.5">
      <c r="B100" s="97">
        <v>85</v>
      </c>
      <c r="C100" s="97" t="s">
        <v>39</v>
      </c>
      <c r="D100" s="532">
        <v>40002015</v>
      </c>
      <c r="E100" s="48" t="s">
        <v>2636</v>
      </c>
      <c r="F100" s="626" t="s">
        <v>146</v>
      </c>
      <c r="G100" s="26" t="s">
        <v>2535</v>
      </c>
      <c r="H100" s="26" t="s">
        <v>2539</v>
      </c>
      <c r="I100" s="626" t="s">
        <v>2537</v>
      </c>
      <c r="J100" s="34">
        <v>1353240</v>
      </c>
      <c r="K100" s="34">
        <v>0</v>
      </c>
      <c r="L100" s="34">
        <v>541137</v>
      </c>
      <c r="M100" s="34"/>
      <c r="N100" s="34">
        <v>73987</v>
      </c>
      <c r="O100" s="34">
        <v>24437</v>
      </c>
      <c r="P100" s="34">
        <v>40367</v>
      </c>
      <c r="Q100" s="34">
        <v>42667</v>
      </c>
      <c r="R100" s="34">
        <v>690</v>
      </c>
      <c r="S100" s="34">
        <v>32306</v>
      </c>
      <c r="T100" s="34">
        <v>44320</v>
      </c>
      <c r="U100" s="34">
        <v>690</v>
      </c>
      <c r="V100" s="34" t="s">
        <v>2552</v>
      </c>
      <c r="W100" s="34"/>
      <c r="X100" s="34"/>
      <c r="Y100" s="34">
        <f t="shared" si="0"/>
        <v>259464</v>
      </c>
      <c r="Z100" s="31">
        <v>356000</v>
      </c>
      <c r="AA100" s="32">
        <v>3</v>
      </c>
      <c r="AB100" s="33">
        <v>44217</v>
      </c>
      <c r="AC100" s="36">
        <v>44221</v>
      </c>
      <c r="AD100" s="31"/>
      <c r="AE100" s="35"/>
      <c r="AF100" s="27"/>
      <c r="AG100" s="36"/>
      <c r="AH100" s="31"/>
      <c r="AI100" s="35"/>
      <c r="AJ100" s="27"/>
      <c r="AK100" s="36"/>
      <c r="AL100" s="31"/>
      <c r="AM100" s="35"/>
      <c r="AN100" s="27"/>
      <c r="AO100" s="36"/>
      <c r="AP100" s="31"/>
      <c r="AQ100" s="35"/>
      <c r="AR100" s="27"/>
      <c r="AS100" s="36"/>
      <c r="AT100" s="31"/>
      <c r="AU100" s="35"/>
      <c r="AV100" s="27"/>
      <c r="AW100" s="36"/>
      <c r="AX100" s="31"/>
      <c r="AY100" s="35"/>
      <c r="AZ100" s="27"/>
      <c r="BA100" s="36"/>
      <c r="BB100" s="31"/>
      <c r="BC100" s="35"/>
      <c r="BD100" s="27"/>
      <c r="BE100" s="36"/>
      <c r="BF100" s="31">
        <v>50000</v>
      </c>
      <c r="BG100" s="35">
        <v>25</v>
      </c>
      <c r="BH100" s="33">
        <v>44329</v>
      </c>
      <c r="BI100" s="36">
        <v>44335</v>
      </c>
      <c r="BJ100" s="31"/>
      <c r="BK100" s="35"/>
      <c r="BL100" s="27"/>
      <c r="BM100" s="36"/>
      <c r="BN100" s="35">
        <v>50000</v>
      </c>
      <c r="BO100" s="35">
        <v>28</v>
      </c>
      <c r="BP100" s="33">
        <v>44363</v>
      </c>
      <c r="BQ100" s="36">
        <v>44371</v>
      </c>
      <c r="BR100" s="31"/>
      <c r="BS100" s="35"/>
      <c r="BT100" s="27"/>
      <c r="BU100" s="36"/>
      <c r="BV100" s="31"/>
      <c r="BW100" s="35"/>
      <c r="BX100" s="27"/>
      <c r="BY100" s="36"/>
      <c r="BZ100" s="31"/>
      <c r="CA100" s="35"/>
      <c r="CB100" s="27"/>
      <c r="CC100" s="36"/>
      <c r="CD100" s="31"/>
      <c r="CE100" s="35"/>
      <c r="CF100" s="27"/>
      <c r="CG100" s="36"/>
      <c r="CH100" s="31"/>
      <c r="CI100" s="35"/>
      <c r="CJ100" s="27"/>
      <c r="CK100" s="36"/>
      <c r="CL100" s="31"/>
      <c r="CM100" s="35"/>
      <c r="CN100" s="27"/>
      <c r="CO100" s="36"/>
      <c r="CP100" s="31">
        <v>100000</v>
      </c>
      <c r="CQ100" s="35">
        <v>37</v>
      </c>
      <c r="CR100" s="33">
        <v>44418</v>
      </c>
      <c r="CS100" s="36">
        <v>44426</v>
      </c>
      <c r="CT100" s="31"/>
      <c r="CU100" s="35"/>
      <c r="CV100" s="27"/>
      <c r="CW100" s="36"/>
      <c r="CX100" s="31"/>
      <c r="CY100" s="35"/>
      <c r="CZ100" s="27"/>
      <c r="DA100" s="36"/>
      <c r="DB100" s="31"/>
      <c r="DC100" s="35"/>
      <c r="DD100" s="27"/>
      <c r="DE100" s="36"/>
      <c r="DF100" s="31"/>
      <c r="DG100" s="35"/>
      <c r="DH100" s="27"/>
      <c r="DI100" s="36"/>
      <c r="DJ100" s="623">
        <f t="shared" si="3"/>
        <v>556000</v>
      </c>
      <c r="DK100" s="38">
        <f t="shared" si="4"/>
        <v>296536</v>
      </c>
    </row>
    <row r="101" spans="2:115" s="39" customFormat="1" ht="33.75">
      <c r="B101" s="97">
        <v>86</v>
      </c>
      <c r="C101" s="97" t="s">
        <v>39</v>
      </c>
      <c r="D101" s="532">
        <v>40005071</v>
      </c>
      <c r="E101" s="48" t="s">
        <v>2637</v>
      </c>
      <c r="F101" s="626" t="s">
        <v>231</v>
      </c>
      <c r="G101" s="26" t="s">
        <v>2548</v>
      </c>
      <c r="H101" s="26" t="s">
        <v>2549</v>
      </c>
      <c r="I101" s="626" t="s">
        <v>2537</v>
      </c>
      <c r="J101" s="34">
        <v>172199</v>
      </c>
      <c r="K101" s="34">
        <v>0</v>
      </c>
      <c r="L101" s="34">
        <v>0</v>
      </c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>
        <f t="shared" si="0"/>
        <v>0</v>
      </c>
      <c r="Z101" s="31">
        <v>172199</v>
      </c>
      <c r="AA101" s="32">
        <v>3</v>
      </c>
      <c r="AB101" s="33">
        <v>44217</v>
      </c>
      <c r="AC101" s="36">
        <v>44221</v>
      </c>
      <c r="AD101" s="31"/>
      <c r="AE101" s="35"/>
      <c r="AF101" s="27"/>
      <c r="AG101" s="36"/>
      <c r="AH101" s="31"/>
      <c r="AI101" s="35"/>
      <c r="AJ101" s="27"/>
      <c r="AK101" s="36"/>
      <c r="AL101" s="31"/>
      <c r="AM101" s="35"/>
      <c r="AN101" s="27"/>
      <c r="AO101" s="36"/>
      <c r="AP101" s="31"/>
      <c r="AQ101" s="35"/>
      <c r="AR101" s="27"/>
      <c r="AS101" s="36"/>
      <c r="AT101" s="31"/>
      <c r="AU101" s="35"/>
      <c r="AV101" s="27"/>
      <c r="AW101" s="36"/>
      <c r="AX101" s="31"/>
      <c r="AY101" s="35"/>
      <c r="AZ101" s="27"/>
      <c r="BA101" s="36"/>
      <c r="BB101" s="31"/>
      <c r="BC101" s="35"/>
      <c r="BD101" s="27"/>
      <c r="BE101" s="36"/>
      <c r="BF101" s="31"/>
      <c r="BG101" s="35"/>
      <c r="BH101" s="27"/>
      <c r="BI101" s="36"/>
      <c r="BJ101" s="31"/>
      <c r="BK101" s="35"/>
      <c r="BL101" s="27"/>
      <c r="BM101" s="36"/>
      <c r="BN101" s="35"/>
      <c r="BO101" s="35"/>
      <c r="BP101" s="27"/>
      <c r="BQ101" s="36"/>
      <c r="BR101" s="31"/>
      <c r="BS101" s="35"/>
      <c r="BT101" s="27"/>
      <c r="BU101" s="36"/>
      <c r="BV101" s="31"/>
      <c r="BW101" s="35"/>
      <c r="BX101" s="27"/>
      <c r="BY101" s="36"/>
      <c r="BZ101" s="31"/>
      <c r="CA101" s="35"/>
      <c r="CB101" s="27"/>
      <c r="CC101" s="36"/>
      <c r="CD101" s="31"/>
      <c r="CE101" s="35"/>
      <c r="CF101" s="27"/>
      <c r="CG101" s="36"/>
      <c r="CH101" s="31"/>
      <c r="CI101" s="35"/>
      <c r="CJ101" s="27"/>
      <c r="CK101" s="36"/>
      <c r="CL101" s="31"/>
      <c r="CM101" s="35"/>
      <c r="CN101" s="27"/>
      <c r="CO101" s="36"/>
      <c r="CP101" s="31"/>
      <c r="CQ101" s="35"/>
      <c r="CR101" s="27"/>
      <c r="CS101" s="36"/>
      <c r="CT101" s="31">
        <v>-70975</v>
      </c>
      <c r="CU101" s="35">
        <v>39</v>
      </c>
      <c r="CV101" s="33">
        <v>44431</v>
      </c>
      <c r="CW101" s="36">
        <v>44435</v>
      </c>
      <c r="CX101" s="31"/>
      <c r="CY101" s="35"/>
      <c r="CZ101" s="27"/>
      <c r="DA101" s="36"/>
      <c r="DB101" s="31"/>
      <c r="DC101" s="35"/>
      <c r="DD101" s="27"/>
      <c r="DE101" s="36"/>
      <c r="DF101" s="31"/>
      <c r="DG101" s="35"/>
      <c r="DH101" s="27"/>
      <c r="DI101" s="36"/>
      <c r="DJ101" s="623">
        <f t="shared" si="3"/>
        <v>101224</v>
      </c>
      <c r="DK101" s="38">
        <f t="shared" si="4"/>
        <v>101224</v>
      </c>
    </row>
    <row r="102" spans="2:115" s="39" customFormat="1" ht="22.5">
      <c r="B102" s="97">
        <v>87</v>
      </c>
      <c r="C102" s="97" t="s">
        <v>39</v>
      </c>
      <c r="D102" s="532">
        <v>40006302</v>
      </c>
      <c r="E102" s="48" t="s">
        <v>2638</v>
      </c>
      <c r="F102" s="626" t="s">
        <v>146</v>
      </c>
      <c r="G102" s="26" t="s">
        <v>2535</v>
      </c>
      <c r="H102" s="26" t="s">
        <v>2539</v>
      </c>
      <c r="I102" s="626" t="s">
        <v>2537</v>
      </c>
      <c r="J102" s="34">
        <v>1718570</v>
      </c>
      <c r="K102" s="34">
        <v>0</v>
      </c>
      <c r="L102" s="34">
        <v>1250960</v>
      </c>
      <c r="M102" s="34"/>
      <c r="N102" s="34"/>
      <c r="O102" s="34"/>
      <c r="P102" s="34"/>
      <c r="Q102" s="34"/>
      <c r="R102" s="34">
        <v>2440</v>
      </c>
      <c r="S102" s="34">
        <v>1220</v>
      </c>
      <c r="T102" s="34">
        <v>82539</v>
      </c>
      <c r="U102" s="34">
        <v>65998</v>
      </c>
      <c r="V102" s="34" t="s">
        <v>2552</v>
      </c>
      <c r="W102" s="34"/>
      <c r="X102" s="34"/>
      <c r="Y102" s="34">
        <f t="shared" si="0"/>
        <v>152197</v>
      </c>
      <c r="Z102" s="31">
        <v>8485</v>
      </c>
      <c r="AA102" s="32">
        <v>3</v>
      </c>
      <c r="AB102" s="33">
        <v>44217</v>
      </c>
      <c r="AC102" s="36">
        <v>44221</v>
      </c>
      <c r="AD102" s="31"/>
      <c r="AE102" s="35"/>
      <c r="AF102" s="27"/>
      <c r="AG102" s="36"/>
      <c r="AH102" s="31"/>
      <c r="AI102" s="35"/>
      <c r="AJ102" s="27"/>
      <c r="AK102" s="36"/>
      <c r="AL102" s="31"/>
      <c r="AM102" s="35"/>
      <c r="AN102" s="27"/>
      <c r="AO102" s="36"/>
      <c r="AP102" s="31"/>
      <c r="AQ102" s="35"/>
      <c r="AR102" s="27"/>
      <c r="AS102" s="36"/>
      <c r="AT102" s="31"/>
      <c r="AU102" s="35"/>
      <c r="AV102" s="27"/>
      <c r="AW102" s="36"/>
      <c r="AX102" s="31"/>
      <c r="AY102" s="35"/>
      <c r="AZ102" s="27"/>
      <c r="BA102" s="36"/>
      <c r="BB102" s="31"/>
      <c r="BC102" s="35"/>
      <c r="BD102" s="27"/>
      <c r="BE102" s="36"/>
      <c r="BF102" s="31"/>
      <c r="BG102" s="35"/>
      <c r="BH102" s="27"/>
      <c r="BI102" s="36"/>
      <c r="BJ102" s="31"/>
      <c r="BK102" s="35"/>
      <c r="BL102" s="27"/>
      <c r="BM102" s="36"/>
      <c r="BN102" s="35">
        <v>300000</v>
      </c>
      <c r="BO102" s="35">
        <v>28</v>
      </c>
      <c r="BP102" s="33">
        <v>44363</v>
      </c>
      <c r="BQ102" s="36">
        <v>44371</v>
      </c>
      <c r="BR102" s="31"/>
      <c r="BS102" s="35"/>
      <c r="BT102" s="27"/>
      <c r="BU102" s="36"/>
      <c r="BV102" s="31"/>
      <c r="BW102" s="35"/>
      <c r="BX102" s="27"/>
      <c r="BY102" s="36"/>
      <c r="BZ102" s="31"/>
      <c r="CA102" s="35"/>
      <c r="CB102" s="27"/>
      <c r="CC102" s="36"/>
      <c r="CD102" s="31"/>
      <c r="CE102" s="35"/>
      <c r="CF102" s="27"/>
      <c r="CG102" s="36"/>
      <c r="CH102" s="31"/>
      <c r="CI102" s="35"/>
      <c r="CJ102" s="27"/>
      <c r="CK102" s="36"/>
      <c r="CL102" s="31"/>
      <c r="CM102" s="35"/>
      <c r="CN102" s="27"/>
      <c r="CO102" s="36"/>
      <c r="CP102" s="31"/>
      <c r="CQ102" s="35"/>
      <c r="CR102" s="27"/>
      <c r="CS102" s="36"/>
      <c r="CT102" s="31">
        <v>-150000</v>
      </c>
      <c r="CU102" s="35">
        <v>39</v>
      </c>
      <c r="CV102" s="33">
        <v>44431</v>
      </c>
      <c r="CW102" s="36">
        <v>44435</v>
      </c>
      <c r="CX102" s="31">
        <v>10000</v>
      </c>
      <c r="CY102" s="35">
        <v>40</v>
      </c>
      <c r="CZ102" s="33">
        <v>44458</v>
      </c>
      <c r="DA102" s="36">
        <v>44460</v>
      </c>
      <c r="DB102" s="31"/>
      <c r="DC102" s="35"/>
      <c r="DD102" s="27"/>
      <c r="DE102" s="36"/>
      <c r="DF102" s="31"/>
      <c r="DG102" s="35"/>
      <c r="DH102" s="27"/>
      <c r="DI102" s="36"/>
      <c r="DJ102" s="623">
        <f t="shared" si="3"/>
        <v>168485</v>
      </c>
      <c r="DK102" s="38">
        <f t="shared" si="4"/>
        <v>16288</v>
      </c>
    </row>
    <row r="103" spans="2:115" s="39" customFormat="1" ht="33.75">
      <c r="B103" s="97">
        <v>88</v>
      </c>
      <c r="C103" s="97" t="s">
        <v>39</v>
      </c>
      <c r="D103" s="532">
        <v>40009238</v>
      </c>
      <c r="E103" s="48" t="s">
        <v>2639</v>
      </c>
      <c r="F103" s="626" t="s">
        <v>146</v>
      </c>
      <c r="G103" s="26" t="s">
        <v>2535</v>
      </c>
      <c r="H103" s="26" t="s">
        <v>2539</v>
      </c>
      <c r="I103" s="626" t="s">
        <v>2537</v>
      </c>
      <c r="J103" s="34">
        <v>370803</v>
      </c>
      <c r="K103" s="34">
        <v>1000</v>
      </c>
      <c r="L103" s="34">
        <v>0</v>
      </c>
      <c r="M103" s="34"/>
      <c r="N103" s="34"/>
      <c r="O103" s="34">
        <v>38311</v>
      </c>
      <c r="P103" s="34">
        <v>30830</v>
      </c>
      <c r="Q103" s="34">
        <v>40913</v>
      </c>
      <c r="R103" s="34">
        <v>60123</v>
      </c>
      <c r="S103" s="34">
        <v>33613</v>
      </c>
      <c r="T103" s="34"/>
      <c r="U103" s="34">
        <v>25733</v>
      </c>
      <c r="V103" s="34" t="s">
        <v>2552</v>
      </c>
      <c r="W103" s="34"/>
      <c r="X103" s="34"/>
      <c r="Y103" s="34">
        <f t="shared" si="0"/>
        <v>229523</v>
      </c>
      <c r="Z103" s="31">
        <v>369803</v>
      </c>
      <c r="AA103" s="32">
        <v>3</v>
      </c>
      <c r="AB103" s="33">
        <v>44217</v>
      </c>
      <c r="AC103" s="36">
        <v>44221</v>
      </c>
      <c r="AD103" s="31"/>
      <c r="AE103" s="35"/>
      <c r="AF103" s="27"/>
      <c r="AG103" s="36"/>
      <c r="AH103" s="31"/>
      <c r="AI103" s="35"/>
      <c r="AJ103" s="27"/>
      <c r="AK103" s="36"/>
      <c r="AL103" s="31"/>
      <c r="AM103" s="35"/>
      <c r="AN103" s="27"/>
      <c r="AO103" s="36"/>
      <c r="AP103" s="31"/>
      <c r="AQ103" s="35"/>
      <c r="AR103" s="27"/>
      <c r="AS103" s="36"/>
      <c r="AT103" s="31"/>
      <c r="AU103" s="35"/>
      <c r="AV103" s="27"/>
      <c r="AW103" s="36"/>
      <c r="AX103" s="31"/>
      <c r="AY103" s="35"/>
      <c r="AZ103" s="27"/>
      <c r="BA103" s="36"/>
      <c r="BB103" s="31"/>
      <c r="BC103" s="35"/>
      <c r="BD103" s="27"/>
      <c r="BE103" s="36"/>
      <c r="BF103" s="31"/>
      <c r="BG103" s="35"/>
      <c r="BH103" s="27"/>
      <c r="BI103" s="36"/>
      <c r="BJ103" s="31"/>
      <c r="BK103" s="35"/>
      <c r="BL103" s="27"/>
      <c r="BM103" s="36"/>
      <c r="BN103" s="35"/>
      <c r="BO103" s="35"/>
      <c r="BP103" s="27"/>
      <c r="BQ103" s="36"/>
      <c r="BR103" s="31"/>
      <c r="BS103" s="35"/>
      <c r="BT103" s="27"/>
      <c r="BU103" s="36"/>
      <c r="BV103" s="31"/>
      <c r="BW103" s="35"/>
      <c r="BX103" s="27"/>
      <c r="BY103" s="36"/>
      <c r="BZ103" s="31"/>
      <c r="CA103" s="35"/>
      <c r="CB103" s="27"/>
      <c r="CC103" s="36"/>
      <c r="CD103" s="31"/>
      <c r="CE103" s="35"/>
      <c r="CF103" s="27"/>
      <c r="CG103" s="36"/>
      <c r="CH103" s="31"/>
      <c r="CI103" s="35"/>
      <c r="CJ103" s="27"/>
      <c r="CK103" s="36"/>
      <c r="CL103" s="31"/>
      <c r="CM103" s="35"/>
      <c r="CN103" s="27"/>
      <c r="CO103" s="36"/>
      <c r="CP103" s="31"/>
      <c r="CQ103" s="35"/>
      <c r="CR103" s="27"/>
      <c r="CS103" s="36"/>
      <c r="CT103" s="31"/>
      <c r="CU103" s="35"/>
      <c r="CV103" s="27"/>
      <c r="CW103" s="36"/>
      <c r="CX103" s="31"/>
      <c r="CY103" s="35"/>
      <c r="CZ103" s="27"/>
      <c r="DA103" s="36"/>
      <c r="DB103" s="31"/>
      <c r="DC103" s="35"/>
      <c r="DD103" s="27"/>
      <c r="DE103" s="36"/>
      <c r="DF103" s="31"/>
      <c r="DG103" s="35"/>
      <c r="DH103" s="27"/>
      <c r="DI103" s="36"/>
      <c r="DJ103" s="623">
        <f t="shared" si="3"/>
        <v>369803</v>
      </c>
      <c r="DK103" s="38">
        <f t="shared" si="4"/>
        <v>140280</v>
      </c>
    </row>
    <row r="104" spans="2:115" s="39" customFormat="1" ht="33.75">
      <c r="B104" s="97">
        <v>89</v>
      </c>
      <c r="C104" s="97" t="s">
        <v>39</v>
      </c>
      <c r="D104" s="532">
        <v>40019276</v>
      </c>
      <c r="E104" s="48" t="s">
        <v>2640</v>
      </c>
      <c r="F104" s="626" t="s">
        <v>146</v>
      </c>
      <c r="G104" s="26" t="s">
        <v>2545</v>
      </c>
      <c r="H104" s="26" t="s">
        <v>2600</v>
      </c>
      <c r="I104" s="626" t="s">
        <v>2537</v>
      </c>
      <c r="J104" s="34">
        <v>801667</v>
      </c>
      <c r="K104" s="34">
        <v>0</v>
      </c>
      <c r="L104" s="34">
        <v>0</v>
      </c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>
        <f t="shared" si="0"/>
        <v>0</v>
      </c>
      <c r="Z104" s="31">
        <v>801667</v>
      </c>
      <c r="AA104" s="32">
        <v>3</v>
      </c>
      <c r="AB104" s="33">
        <v>44217</v>
      </c>
      <c r="AC104" s="33">
        <v>44221</v>
      </c>
      <c r="AD104" s="31"/>
      <c r="AE104" s="35"/>
      <c r="AF104" s="27"/>
      <c r="AG104" s="36"/>
      <c r="AH104" s="31"/>
      <c r="AI104" s="35"/>
      <c r="AJ104" s="27"/>
      <c r="AK104" s="36"/>
      <c r="AL104" s="31"/>
      <c r="AM104" s="35"/>
      <c r="AN104" s="27"/>
      <c r="AO104" s="36"/>
      <c r="AP104" s="31"/>
      <c r="AQ104" s="35"/>
      <c r="AR104" s="27"/>
      <c r="AS104" s="36"/>
      <c r="AT104" s="31"/>
      <c r="AU104" s="35"/>
      <c r="AV104" s="27"/>
      <c r="AW104" s="36"/>
      <c r="AX104" s="31"/>
      <c r="AY104" s="35"/>
      <c r="AZ104" s="27"/>
      <c r="BA104" s="36"/>
      <c r="BB104" s="31"/>
      <c r="BC104" s="35"/>
      <c r="BD104" s="27"/>
      <c r="BE104" s="36"/>
      <c r="BF104" s="31"/>
      <c r="BG104" s="35"/>
      <c r="BH104" s="27"/>
      <c r="BI104" s="36"/>
      <c r="BJ104" s="31"/>
      <c r="BK104" s="35"/>
      <c r="BL104" s="27"/>
      <c r="BM104" s="36"/>
      <c r="BN104" s="35"/>
      <c r="BO104" s="35"/>
      <c r="BP104" s="27"/>
      <c r="BQ104" s="36"/>
      <c r="BR104" s="31"/>
      <c r="BS104" s="35"/>
      <c r="BT104" s="27"/>
      <c r="BU104" s="36"/>
      <c r="BV104" s="31"/>
      <c r="BW104" s="35"/>
      <c r="BX104" s="27"/>
      <c r="BY104" s="36"/>
      <c r="BZ104" s="31"/>
      <c r="CA104" s="35"/>
      <c r="CB104" s="27"/>
      <c r="CC104" s="36"/>
      <c r="CD104" s="31"/>
      <c r="CE104" s="35"/>
      <c r="CF104" s="27"/>
      <c r="CG104" s="36"/>
      <c r="CH104" s="31"/>
      <c r="CI104" s="35"/>
      <c r="CJ104" s="27"/>
      <c r="CK104" s="36"/>
      <c r="CL104" s="31"/>
      <c r="CM104" s="35"/>
      <c r="CN104" s="27"/>
      <c r="CO104" s="36"/>
      <c r="CP104" s="31"/>
      <c r="CQ104" s="35"/>
      <c r="CR104" s="27"/>
      <c r="CS104" s="36"/>
      <c r="CT104" s="31">
        <v>-781246</v>
      </c>
      <c r="CU104" s="35">
        <v>39</v>
      </c>
      <c r="CV104" s="33">
        <v>44431</v>
      </c>
      <c r="CW104" s="36">
        <v>44435</v>
      </c>
      <c r="CX104" s="31"/>
      <c r="CY104" s="35"/>
      <c r="CZ104" s="27"/>
      <c r="DA104" s="36"/>
      <c r="DB104" s="31"/>
      <c r="DC104" s="35"/>
      <c r="DD104" s="27"/>
      <c r="DE104" s="36"/>
      <c r="DF104" s="31"/>
      <c r="DG104" s="35"/>
      <c r="DH104" s="27"/>
      <c r="DI104" s="36"/>
      <c r="DJ104" s="623">
        <f t="shared" si="3"/>
        <v>20421</v>
      </c>
      <c r="DK104" s="38">
        <f t="shared" si="4"/>
        <v>20421</v>
      </c>
    </row>
    <row r="105" spans="2:115" s="39" customFormat="1" ht="22.5">
      <c r="B105" s="97">
        <v>90</v>
      </c>
      <c r="C105" s="97" t="s">
        <v>39</v>
      </c>
      <c r="D105" s="532">
        <v>30351234</v>
      </c>
      <c r="E105" s="48" t="s">
        <v>2641</v>
      </c>
      <c r="F105" s="626" t="s">
        <v>146</v>
      </c>
      <c r="G105" s="26" t="s">
        <v>2545</v>
      </c>
      <c r="H105" s="26" t="s">
        <v>2546</v>
      </c>
      <c r="I105" s="626" t="s">
        <v>2540</v>
      </c>
      <c r="J105" s="34">
        <v>439722</v>
      </c>
      <c r="K105" s="34">
        <v>0</v>
      </c>
      <c r="L105" s="34">
        <v>0</v>
      </c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>
        <f t="shared" si="0"/>
        <v>0</v>
      </c>
      <c r="Z105" s="31">
        <v>3000</v>
      </c>
      <c r="AA105" s="32">
        <v>4</v>
      </c>
      <c r="AB105" s="33">
        <v>44224</v>
      </c>
      <c r="AC105" s="33">
        <v>44236</v>
      </c>
      <c r="AD105" s="31"/>
      <c r="AE105" s="35"/>
      <c r="AF105" s="27"/>
      <c r="AG105" s="36"/>
      <c r="AH105" s="31"/>
      <c r="AI105" s="35"/>
      <c r="AJ105" s="27"/>
      <c r="AK105" s="36"/>
      <c r="AL105" s="31"/>
      <c r="AM105" s="35"/>
      <c r="AN105" s="27"/>
      <c r="AO105" s="36"/>
      <c r="AP105" s="31"/>
      <c r="AQ105" s="35"/>
      <c r="AR105" s="27"/>
      <c r="AS105" s="36"/>
      <c r="AT105" s="31"/>
      <c r="AU105" s="35"/>
      <c r="AV105" s="27"/>
      <c r="AW105" s="36"/>
      <c r="AX105" s="31"/>
      <c r="AY105" s="35"/>
      <c r="AZ105" s="27"/>
      <c r="BA105" s="36"/>
      <c r="BB105" s="31"/>
      <c r="BC105" s="35"/>
      <c r="BD105" s="27"/>
      <c r="BE105" s="36"/>
      <c r="BF105" s="31"/>
      <c r="BG105" s="35"/>
      <c r="BH105" s="27"/>
      <c r="BI105" s="36"/>
      <c r="BJ105" s="31"/>
      <c r="BK105" s="35"/>
      <c r="BL105" s="27"/>
      <c r="BM105" s="36"/>
      <c r="BN105" s="35"/>
      <c r="BO105" s="35"/>
      <c r="BP105" s="27"/>
      <c r="BQ105" s="36"/>
      <c r="BR105" s="31"/>
      <c r="BS105" s="35"/>
      <c r="BT105" s="27"/>
      <c r="BU105" s="36"/>
      <c r="BV105" s="31"/>
      <c r="BW105" s="35"/>
      <c r="BX105" s="27"/>
      <c r="BY105" s="36"/>
      <c r="BZ105" s="31"/>
      <c r="CA105" s="35"/>
      <c r="CB105" s="27"/>
      <c r="CC105" s="36"/>
      <c r="CD105" s="31"/>
      <c r="CE105" s="35"/>
      <c r="CF105" s="27"/>
      <c r="CG105" s="36"/>
      <c r="CH105" s="31"/>
      <c r="CI105" s="35"/>
      <c r="CJ105" s="27"/>
      <c r="CK105" s="36"/>
      <c r="CL105" s="31"/>
      <c r="CM105" s="35"/>
      <c r="CN105" s="27"/>
      <c r="CO105" s="36"/>
      <c r="CP105" s="31"/>
      <c r="CQ105" s="35"/>
      <c r="CR105" s="27"/>
      <c r="CS105" s="36"/>
      <c r="CT105" s="31"/>
      <c r="CU105" s="35"/>
      <c r="CV105" s="27"/>
      <c r="CW105" s="36"/>
      <c r="CX105" s="31"/>
      <c r="CY105" s="35"/>
      <c r="CZ105" s="27"/>
      <c r="DA105" s="36"/>
      <c r="DB105" s="31"/>
      <c r="DC105" s="35"/>
      <c r="DD105" s="27"/>
      <c r="DE105" s="36"/>
      <c r="DF105" s="31"/>
      <c r="DG105" s="35"/>
      <c r="DH105" s="27"/>
      <c r="DI105" s="36"/>
      <c r="DJ105" s="623">
        <f t="shared" si="3"/>
        <v>3000</v>
      </c>
      <c r="DK105" s="38">
        <f t="shared" si="4"/>
        <v>3000</v>
      </c>
    </row>
    <row r="106" spans="2:115" s="39" customFormat="1" ht="33.75">
      <c r="B106" s="97">
        <v>91</v>
      </c>
      <c r="C106" s="97" t="s">
        <v>39</v>
      </c>
      <c r="D106" s="532">
        <v>30484306</v>
      </c>
      <c r="E106" s="48" t="s">
        <v>2642</v>
      </c>
      <c r="F106" s="626" t="s">
        <v>146</v>
      </c>
      <c r="G106" s="26" t="s">
        <v>2542</v>
      </c>
      <c r="H106" s="26" t="s">
        <v>2543</v>
      </c>
      <c r="I106" s="626" t="s">
        <v>2540</v>
      </c>
      <c r="J106" s="34">
        <v>1376127</v>
      </c>
      <c r="K106" s="34">
        <v>0</v>
      </c>
      <c r="L106" s="34">
        <v>14673</v>
      </c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>
        <f t="shared" si="0"/>
        <v>0</v>
      </c>
      <c r="Z106" s="31">
        <v>3000</v>
      </c>
      <c r="AA106" s="32">
        <v>4</v>
      </c>
      <c r="AB106" s="33">
        <v>44224</v>
      </c>
      <c r="AC106" s="33">
        <v>44236</v>
      </c>
      <c r="AD106" s="31"/>
      <c r="AE106" s="35"/>
      <c r="AF106" s="27"/>
      <c r="AG106" s="36"/>
      <c r="AH106" s="31"/>
      <c r="AI106" s="35"/>
      <c r="AJ106" s="27"/>
      <c r="AK106" s="36"/>
      <c r="AL106" s="31"/>
      <c r="AM106" s="35"/>
      <c r="AN106" s="27"/>
      <c r="AO106" s="36"/>
      <c r="AP106" s="31"/>
      <c r="AQ106" s="35"/>
      <c r="AR106" s="27"/>
      <c r="AS106" s="36"/>
      <c r="AT106" s="31"/>
      <c r="AU106" s="35"/>
      <c r="AV106" s="27"/>
      <c r="AW106" s="36"/>
      <c r="AX106" s="31"/>
      <c r="AY106" s="35"/>
      <c r="AZ106" s="27"/>
      <c r="BA106" s="36"/>
      <c r="BB106" s="31"/>
      <c r="BC106" s="35"/>
      <c r="BD106" s="27"/>
      <c r="BE106" s="36"/>
      <c r="BF106" s="31"/>
      <c r="BG106" s="35"/>
      <c r="BH106" s="27"/>
      <c r="BI106" s="36"/>
      <c r="BJ106" s="31"/>
      <c r="BK106" s="35"/>
      <c r="BL106" s="27"/>
      <c r="BM106" s="36"/>
      <c r="BN106" s="35"/>
      <c r="BO106" s="35"/>
      <c r="BP106" s="27"/>
      <c r="BQ106" s="36"/>
      <c r="BR106" s="31"/>
      <c r="BS106" s="35"/>
      <c r="BT106" s="27"/>
      <c r="BU106" s="36"/>
      <c r="BV106" s="31"/>
      <c r="BW106" s="35"/>
      <c r="BX106" s="27"/>
      <c r="BY106" s="36"/>
      <c r="BZ106" s="31"/>
      <c r="CA106" s="35"/>
      <c r="CB106" s="27"/>
      <c r="CC106" s="36"/>
      <c r="CD106" s="31"/>
      <c r="CE106" s="35"/>
      <c r="CF106" s="27"/>
      <c r="CG106" s="36"/>
      <c r="CH106" s="31"/>
      <c r="CI106" s="35"/>
      <c r="CJ106" s="27"/>
      <c r="CK106" s="36"/>
      <c r="CL106" s="31"/>
      <c r="CM106" s="35"/>
      <c r="CN106" s="27"/>
      <c r="CO106" s="36"/>
      <c r="CP106" s="31"/>
      <c r="CQ106" s="35"/>
      <c r="CR106" s="27"/>
      <c r="CS106" s="36"/>
      <c r="CT106" s="31"/>
      <c r="CU106" s="35"/>
      <c r="CV106" s="27"/>
      <c r="CW106" s="36"/>
      <c r="CX106" s="31"/>
      <c r="CY106" s="35"/>
      <c r="CZ106" s="27"/>
      <c r="DA106" s="36"/>
      <c r="DB106" s="31"/>
      <c r="DC106" s="35"/>
      <c r="DD106" s="27"/>
      <c r="DE106" s="36"/>
      <c r="DF106" s="31"/>
      <c r="DG106" s="35"/>
      <c r="DH106" s="27"/>
      <c r="DI106" s="36"/>
      <c r="DJ106" s="623">
        <f t="shared" si="3"/>
        <v>3000</v>
      </c>
      <c r="DK106" s="38">
        <f t="shared" si="4"/>
        <v>3000</v>
      </c>
    </row>
    <row r="107" spans="2:115" s="39" customFormat="1" ht="33.75">
      <c r="B107" s="97">
        <v>92</v>
      </c>
      <c r="C107" s="97" t="s">
        <v>39</v>
      </c>
      <c r="D107" s="532">
        <v>30387773</v>
      </c>
      <c r="E107" s="48" t="s">
        <v>2643</v>
      </c>
      <c r="F107" s="626" t="s">
        <v>158</v>
      </c>
      <c r="G107" s="26" t="s">
        <v>2545</v>
      </c>
      <c r="H107" s="26" t="s">
        <v>2546</v>
      </c>
      <c r="I107" s="626" t="s">
        <v>2537</v>
      </c>
      <c r="J107" s="34">
        <v>2344992</v>
      </c>
      <c r="K107" s="34">
        <v>1831507</v>
      </c>
      <c r="L107" s="34">
        <v>122938</v>
      </c>
      <c r="M107" s="34"/>
      <c r="N107" s="34"/>
      <c r="O107" s="34"/>
      <c r="P107" s="34"/>
      <c r="Q107" s="34"/>
      <c r="R107" s="34"/>
      <c r="S107" s="34"/>
      <c r="T107" s="34">
        <v>87800</v>
      </c>
      <c r="U107" s="34"/>
      <c r="V107" s="34"/>
      <c r="W107" s="34"/>
      <c r="X107" s="34"/>
      <c r="Y107" s="34">
        <f t="shared" si="0"/>
        <v>87800</v>
      </c>
      <c r="Z107" s="31">
        <v>390548</v>
      </c>
      <c r="AA107" s="32">
        <v>4</v>
      </c>
      <c r="AB107" s="33">
        <v>44224</v>
      </c>
      <c r="AC107" s="33">
        <v>44236</v>
      </c>
      <c r="AD107" s="31"/>
      <c r="AE107" s="35"/>
      <c r="AF107" s="27"/>
      <c r="AG107" s="36"/>
      <c r="AH107" s="31"/>
      <c r="AI107" s="35"/>
      <c r="AJ107" s="27"/>
      <c r="AK107" s="36"/>
      <c r="AL107" s="31"/>
      <c r="AM107" s="35"/>
      <c r="AN107" s="27"/>
      <c r="AO107" s="36"/>
      <c r="AP107" s="31"/>
      <c r="AQ107" s="35"/>
      <c r="AR107" s="27"/>
      <c r="AS107" s="36"/>
      <c r="AT107" s="31"/>
      <c r="AU107" s="35"/>
      <c r="AV107" s="27"/>
      <c r="AW107" s="36"/>
      <c r="AX107" s="31"/>
      <c r="AY107" s="35"/>
      <c r="AZ107" s="27"/>
      <c r="BA107" s="36"/>
      <c r="BB107" s="31"/>
      <c r="BC107" s="35"/>
      <c r="BD107" s="27"/>
      <c r="BE107" s="36"/>
      <c r="BF107" s="31"/>
      <c r="BG107" s="35"/>
      <c r="BH107" s="27"/>
      <c r="BI107" s="36"/>
      <c r="BJ107" s="31"/>
      <c r="BK107" s="35"/>
      <c r="BL107" s="27"/>
      <c r="BM107" s="36"/>
      <c r="BN107" s="35"/>
      <c r="BO107" s="35"/>
      <c r="BP107" s="27"/>
      <c r="BQ107" s="36"/>
      <c r="BR107" s="31"/>
      <c r="BS107" s="35"/>
      <c r="BT107" s="27"/>
      <c r="BU107" s="36"/>
      <c r="BV107" s="31"/>
      <c r="BW107" s="35"/>
      <c r="BX107" s="27"/>
      <c r="BY107" s="36"/>
      <c r="BZ107" s="31"/>
      <c r="CA107" s="35"/>
      <c r="CB107" s="27"/>
      <c r="CC107" s="36"/>
      <c r="CD107" s="31"/>
      <c r="CE107" s="35"/>
      <c r="CF107" s="27"/>
      <c r="CG107" s="36"/>
      <c r="CH107" s="31"/>
      <c r="CI107" s="35"/>
      <c r="CJ107" s="27"/>
      <c r="CK107" s="36"/>
      <c r="CL107" s="31"/>
      <c r="CM107" s="35"/>
      <c r="CN107" s="27"/>
      <c r="CO107" s="36"/>
      <c r="CP107" s="31"/>
      <c r="CQ107" s="35"/>
      <c r="CR107" s="27"/>
      <c r="CS107" s="36"/>
      <c r="CT107" s="31">
        <v>-209000</v>
      </c>
      <c r="CU107" s="35">
        <v>39</v>
      </c>
      <c r="CV107" s="33">
        <v>44431</v>
      </c>
      <c r="CW107" s="36">
        <v>44435</v>
      </c>
      <c r="CX107" s="31"/>
      <c r="CY107" s="35"/>
      <c r="CZ107" s="27"/>
      <c r="DA107" s="36"/>
      <c r="DB107" s="31"/>
      <c r="DC107" s="35"/>
      <c r="DD107" s="27"/>
      <c r="DE107" s="36"/>
      <c r="DF107" s="31"/>
      <c r="DG107" s="35"/>
      <c r="DH107" s="27"/>
      <c r="DI107" s="36"/>
      <c r="DJ107" s="623">
        <f t="shared" si="3"/>
        <v>181548</v>
      </c>
      <c r="DK107" s="38">
        <f t="shared" si="4"/>
        <v>93748</v>
      </c>
    </row>
    <row r="108" spans="2:115" s="39" customFormat="1" ht="22.5">
      <c r="B108" s="97">
        <v>93</v>
      </c>
      <c r="C108" s="97" t="s">
        <v>39</v>
      </c>
      <c r="D108" s="532">
        <v>30386072</v>
      </c>
      <c r="E108" s="48" t="s">
        <v>2644</v>
      </c>
      <c r="F108" s="626" t="s">
        <v>158</v>
      </c>
      <c r="G108" s="26" t="s">
        <v>2535</v>
      </c>
      <c r="H108" s="26" t="s">
        <v>2539</v>
      </c>
      <c r="I108" s="626" t="s">
        <v>2537</v>
      </c>
      <c r="J108" s="34">
        <v>765999</v>
      </c>
      <c r="K108" s="34">
        <v>193268</v>
      </c>
      <c r="L108" s="34">
        <v>115000</v>
      </c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>
        <f t="shared" si="0"/>
        <v>0</v>
      </c>
      <c r="Z108" s="31">
        <v>457731</v>
      </c>
      <c r="AA108" s="32">
        <v>4</v>
      </c>
      <c r="AB108" s="33">
        <v>44224</v>
      </c>
      <c r="AC108" s="33">
        <v>44236</v>
      </c>
      <c r="AD108" s="31"/>
      <c r="AE108" s="35"/>
      <c r="AF108" s="27"/>
      <c r="AG108" s="36"/>
      <c r="AH108" s="31"/>
      <c r="AI108" s="35"/>
      <c r="AJ108" s="27"/>
      <c r="AK108" s="36"/>
      <c r="AL108" s="31"/>
      <c r="AM108" s="35"/>
      <c r="AN108" s="27"/>
      <c r="AO108" s="36"/>
      <c r="AP108" s="31"/>
      <c r="AQ108" s="35"/>
      <c r="AR108" s="27"/>
      <c r="AS108" s="36"/>
      <c r="AT108" s="31"/>
      <c r="AU108" s="35"/>
      <c r="AV108" s="27"/>
      <c r="AW108" s="36"/>
      <c r="AX108" s="31"/>
      <c r="AY108" s="35"/>
      <c r="AZ108" s="27"/>
      <c r="BA108" s="36"/>
      <c r="BB108" s="31"/>
      <c r="BC108" s="35"/>
      <c r="BD108" s="27"/>
      <c r="BE108" s="36"/>
      <c r="BF108" s="31"/>
      <c r="BG108" s="35"/>
      <c r="BH108" s="27"/>
      <c r="BI108" s="36"/>
      <c r="BJ108" s="31"/>
      <c r="BK108" s="35"/>
      <c r="BL108" s="27"/>
      <c r="BM108" s="36"/>
      <c r="BN108" s="35"/>
      <c r="BO108" s="35"/>
      <c r="BP108" s="27"/>
      <c r="BQ108" s="36"/>
      <c r="BR108" s="31"/>
      <c r="BS108" s="35"/>
      <c r="BT108" s="27"/>
      <c r="BU108" s="36"/>
      <c r="BV108" s="31"/>
      <c r="BW108" s="35"/>
      <c r="BX108" s="27"/>
      <c r="BY108" s="36"/>
      <c r="BZ108" s="31"/>
      <c r="CA108" s="35"/>
      <c r="CB108" s="27"/>
      <c r="CC108" s="36"/>
      <c r="CD108" s="31"/>
      <c r="CE108" s="35"/>
      <c r="CF108" s="27"/>
      <c r="CG108" s="36"/>
      <c r="CH108" s="31"/>
      <c r="CI108" s="35"/>
      <c r="CJ108" s="27"/>
      <c r="CK108" s="36"/>
      <c r="CL108" s="31"/>
      <c r="CM108" s="35"/>
      <c r="CN108" s="27"/>
      <c r="CO108" s="36"/>
      <c r="CP108" s="31"/>
      <c r="CQ108" s="35"/>
      <c r="CR108" s="27"/>
      <c r="CS108" s="36"/>
      <c r="CT108" s="31">
        <v>-260000</v>
      </c>
      <c r="CU108" s="35">
        <v>39</v>
      </c>
      <c r="CV108" s="33">
        <v>44431</v>
      </c>
      <c r="CW108" s="36">
        <v>44435</v>
      </c>
      <c r="CX108" s="31"/>
      <c r="CY108" s="35"/>
      <c r="CZ108" s="27"/>
      <c r="DA108" s="36"/>
      <c r="DB108" s="31"/>
      <c r="DC108" s="35"/>
      <c r="DD108" s="27"/>
      <c r="DE108" s="36"/>
      <c r="DF108" s="31"/>
      <c r="DG108" s="35"/>
      <c r="DH108" s="27"/>
      <c r="DI108" s="36"/>
      <c r="DJ108" s="623">
        <f t="shared" si="3"/>
        <v>197731</v>
      </c>
      <c r="DK108" s="38">
        <f t="shared" si="4"/>
        <v>197731</v>
      </c>
    </row>
    <row r="109" spans="2:115" s="39" customFormat="1" ht="33.75">
      <c r="B109" s="97">
        <v>94</v>
      </c>
      <c r="C109" s="97" t="s">
        <v>39</v>
      </c>
      <c r="D109" s="532">
        <v>30104545</v>
      </c>
      <c r="E109" s="48" t="s">
        <v>2645</v>
      </c>
      <c r="F109" s="626" t="s">
        <v>158</v>
      </c>
      <c r="G109" s="26" t="s">
        <v>2535</v>
      </c>
      <c r="H109" s="26" t="s">
        <v>2539</v>
      </c>
      <c r="I109" s="626" t="s">
        <v>2537</v>
      </c>
      <c r="J109" s="34">
        <v>132514</v>
      </c>
      <c r="K109" s="34">
        <v>73186</v>
      </c>
      <c r="L109" s="34">
        <v>34364</v>
      </c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>
        <f t="shared" si="0"/>
        <v>0</v>
      </c>
      <c r="Z109" s="31">
        <v>24964</v>
      </c>
      <c r="AA109" s="32">
        <v>4</v>
      </c>
      <c r="AB109" s="33">
        <v>44224</v>
      </c>
      <c r="AC109" s="33">
        <v>44236</v>
      </c>
      <c r="AD109" s="31"/>
      <c r="AE109" s="35"/>
      <c r="AF109" s="27"/>
      <c r="AG109" s="36"/>
      <c r="AH109" s="31"/>
      <c r="AI109" s="35"/>
      <c r="AJ109" s="27"/>
      <c r="AK109" s="36"/>
      <c r="AL109" s="31"/>
      <c r="AM109" s="35"/>
      <c r="AN109" s="27"/>
      <c r="AO109" s="36"/>
      <c r="AP109" s="31"/>
      <c r="AQ109" s="35"/>
      <c r="AR109" s="27"/>
      <c r="AS109" s="36"/>
      <c r="AT109" s="31"/>
      <c r="AU109" s="35"/>
      <c r="AV109" s="27"/>
      <c r="AW109" s="36"/>
      <c r="AX109" s="31"/>
      <c r="AY109" s="35"/>
      <c r="AZ109" s="27"/>
      <c r="BA109" s="36"/>
      <c r="BB109" s="31"/>
      <c r="BC109" s="35"/>
      <c r="BD109" s="27"/>
      <c r="BE109" s="36"/>
      <c r="BF109" s="31"/>
      <c r="BG109" s="35"/>
      <c r="BH109" s="27"/>
      <c r="BI109" s="36"/>
      <c r="BJ109" s="31"/>
      <c r="BK109" s="35"/>
      <c r="BL109" s="27"/>
      <c r="BM109" s="36"/>
      <c r="BN109" s="35"/>
      <c r="BO109" s="35"/>
      <c r="BP109" s="27"/>
      <c r="BQ109" s="36"/>
      <c r="BR109" s="31"/>
      <c r="BS109" s="35"/>
      <c r="BT109" s="27"/>
      <c r="BU109" s="36"/>
      <c r="BV109" s="31"/>
      <c r="BW109" s="35"/>
      <c r="BX109" s="27"/>
      <c r="BY109" s="36"/>
      <c r="BZ109" s="31"/>
      <c r="CA109" s="35"/>
      <c r="CB109" s="27"/>
      <c r="CC109" s="36"/>
      <c r="CD109" s="31"/>
      <c r="CE109" s="35"/>
      <c r="CF109" s="27"/>
      <c r="CG109" s="36"/>
      <c r="CH109" s="31"/>
      <c r="CI109" s="35"/>
      <c r="CJ109" s="27"/>
      <c r="CK109" s="36"/>
      <c r="CL109" s="31"/>
      <c r="CM109" s="35"/>
      <c r="CN109" s="27"/>
      <c r="CO109" s="36"/>
      <c r="CP109" s="31"/>
      <c r="CQ109" s="35"/>
      <c r="CR109" s="27"/>
      <c r="CS109" s="36"/>
      <c r="CT109" s="31"/>
      <c r="CU109" s="35"/>
      <c r="CV109" s="27"/>
      <c r="CW109" s="36"/>
      <c r="CX109" s="31"/>
      <c r="CY109" s="35"/>
      <c r="CZ109" s="27"/>
      <c r="DA109" s="36"/>
      <c r="DB109" s="31"/>
      <c r="DC109" s="35"/>
      <c r="DD109" s="27"/>
      <c r="DE109" s="36"/>
      <c r="DF109" s="31"/>
      <c r="DG109" s="35"/>
      <c r="DH109" s="27"/>
      <c r="DI109" s="36"/>
      <c r="DJ109" s="623">
        <f t="shared" si="3"/>
        <v>24964</v>
      </c>
      <c r="DK109" s="38">
        <f t="shared" si="4"/>
        <v>24964</v>
      </c>
    </row>
    <row r="110" spans="2:115" s="39" customFormat="1" ht="22.5">
      <c r="B110" s="97">
        <v>95</v>
      </c>
      <c r="C110" s="97" t="s">
        <v>39</v>
      </c>
      <c r="D110" s="532">
        <v>30383922</v>
      </c>
      <c r="E110" s="48" t="s">
        <v>2646</v>
      </c>
      <c r="F110" s="626" t="s">
        <v>158</v>
      </c>
      <c r="G110" s="26" t="s">
        <v>2545</v>
      </c>
      <c r="H110" s="26" t="s">
        <v>2546</v>
      </c>
      <c r="I110" s="626" t="s">
        <v>2537</v>
      </c>
      <c r="J110" s="34">
        <v>148273</v>
      </c>
      <c r="K110" s="34">
        <v>134448</v>
      </c>
      <c r="L110" s="34">
        <v>0</v>
      </c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>
        <f t="shared" si="0"/>
        <v>0</v>
      </c>
      <c r="Z110" s="31">
        <v>13825</v>
      </c>
      <c r="AA110" s="32">
        <v>4</v>
      </c>
      <c r="AB110" s="33">
        <v>44224</v>
      </c>
      <c r="AC110" s="33">
        <v>44236</v>
      </c>
      <c r="AD110" s="31"/>
      <c r="AE110" s="35"/>
      <c r="AF110" s="27"/>
      <c r="AG110" s="36"/>
      <c r="AH110" s="31"/>
      <c r="AI110" s="35"/>
      <c r="AJ110" s="27"/>
      <c r="AK110" s="36"/>
      <c r="AL110" s="31"/>
      <c r="AM110" s="35"/>
      <c r="AN110" s="27"/>
      <c r="AO110" s="36"/>
      <c r="AP110" s="31"/>
      <c r="AQ110" s="35"/>
      <c r="AR110" s="27"/>
      <c r="AS110" s="36"/>
      <c r="AT110" s="31"/>
      <c r="AU110" s="35"/>
      <c r="AV110" s="27"/>
      <c r="AW110" s="36"/>
      <c r="AX110" s="31"/>
      <c r="AY110" s="35"/>
      <c r="AZ110" s="27"/>
      <c r="BA110" s="36"/>
      <c r="BB110" s="31"/>
      <c r="BC110" s="35"/>
      <c r="BD110" s="27"/>
      <c r="BE110" s="36"/>
      <c r="BF110" s="31"/>
      <c r="BG110" s="35"/>
      <c r="BH110" s="27"/>
      <c r="BI110" s="36"/>
      <c r="BJ110" s="31"/>
      <c r="BK110" s="35"/>
      <c r="BL110" s="27"/>
      <c r="BM110" s="36"/>
      <c r="BN110" s="35"/>
      <c r="BO110" s="35"/>
      <c r="BP110" s="27"/>
      <c r="BQ110" s="36"/>
      <c r="BR110" s="31"/>
      <c r="BS110" s="35"/>
      <c r="BT110" s="27"/>
      <c r="BU110" s="36"/>
      <c r="BV110" s="31"/>
      <c r="BW110" s="35"/>
      <c r="BX110" s="27"/>
      <c r="BY110" s="36"/>
      <c r="BZ110" s="31"/>
      <c r="CA110" s="35"/>
      <c r="CB110" s="27"/>
      <c r="CC110" s="36"/>
      <c r="CD110" s="31"/>
      <c r="CE110" s="35"/>
      <c r="CF110" s="27"/>
      <c r="CG110" s="36"/>
      <c r="CH110" s="31"/>
      <c r="CI110" s="35"/>
      <c r="CJ110" s="27"/>
      <c r="CK110" s="36"/>
      <c r="CL110" s="31"/>
      <c r="CM110" s="35"/>
      <c r="CN110" s="27"/>
      <c r="CO110" s="36"/>
      <c r="CP110" s="31"/>
      <c r="CQ110" s="35"/>
      <c r="CR110" s="27"/>
      <c r="CS110" s="36"/>
      <c r="CT110" s="31"/>
      <c r="CU110" s="35"/>
      <c r="CV110" s="27"/>
      <c r="CW110" s="36"/>
      <c r="CX110" s="31"/>
      <c r="CY110" s="35"/>
      <c r="CZ110" s="27"/>
      <c r="DA110" s="36"/>
      <c r="DB110" s="31"/>
      <c r="DC110" s="35"/>
      <c r="DD110" s="27"/>
      <c r="DE110" s="36"/>
      <c r="DF110" s="31"/>
      <c r="DG110" s="35"/>
      <c r="DH110" s="27"/>
      <c r="DI110" s="36"/>
      <c r="DJ110" s="623">
        <f t="shared" si="3"/>
        <v>13825</v>
      </c>
      <c r="DK110" s="38">
        <f t="shared" si="4"/>
        <v>13825</v>
      </c>
    </row>
    <row r="111" spans="2:115" s="39" customFormat="1" ht="22.5">
      <c r="B111" s="97">
        <v>96</v>
      </c>
      <c r="C111" s="97" t="s">
        <v>39</v>
      </c>
      <c r="D111" s="532">
        <v>40009241</v>
      </c>
      <c r="E111" s="48" t="s">
        <v>2647</v>
      </c>
      <c r="F111" s="626" t="s">
        <v>146</v>
      </c>
      <c r="G111" s="26" t="s">
        <v>2535</v>
      </c>
      <c r="H111" s="26" t="s">
        <v>2539</v>
      </c>
      <c r="I111" s="626" t="s">
        <v>2540</v>
      </c>
      <c r="J111" s="34">
        <v>177637</v>
      </c>
      <c r="K111" s="34">
        <v>0</v>
      </c>
      <c r="L111" s="34">
        <v>69559</v>
      </c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>
        <f t="shared" si="0"/>
        <v>0</v>
      </c>
      <c r="Z111" s="31">
        <v>4</v>
      </c>
      <c r="AA111" s="32">
        <v>6</v>
      </c>
      <c r="AB111" s="33">
        <v>44230</v>
      </c>
      <c r="AC111" s="33">
        <v>44242</v>
      </c>
      <c r="AD111" s="31"/>
      <c r="AE111" s="35"/>
      <c r="AF111" s="27"/>
      <c r="AG111" s="36"/>
      <c r="AH111" s="31"/>
      <c r="AI111" s="35"/>
      <c r="AJ111" s="27"/>
      <c r="AK111" s="36"/>
      <c r="AL111" s="31"/>
      <c r="AM111" s="35"/>
      <c r="AN111" s="27"/>
      <c r="AO111" s="36"/>
      <c r="AP111" s="31"/>
      <c r="AQ111" s="35"/>
      <c r="AR111" s="27"/>
      <c r="AS111" s="36"/>
      <c r="AT111" s="31"/>
      <c r="AU111" s="35"/>
      <c r="AV111" s="27"/>
      <c r="AW111" s="36"/>
      <c r="AX111" s="31"/>
      <c r="AY111" s="35"/>
      <c r="AZ111" s="27"/>
      <c r="BA111" s="36"/>
      <c r="BB111" s="31"/>
      <c r="BC111" s="35"/>
      <c r="BD111" s="27"/>
      <c r="BE111" s="36"/>
      <c r="BF111" s="31"/>
      <c r="BG111" s="35"/>
      <c r="BH111" s="27"/>
      <c r="BI111" s="36"/>
      <c r="BJ111" s="31"/>
      <c r="BK111" s="35"/>
      <c r="BL111" s="27"/>
      <c r="BM111" s="36"/>
      <c r="BN111" s="35"/>
      <c r="BO111" s="35"/>
      <c r="BP111" s="27"/>
      <c r="BQ111" s="36"/>
      <c r="BR111" s="31"/>
      <c r="BS111" s="35"/>
      <c r="BT111" s="27"/>
      <c r="BU111" s="36"/>
      <c r="BV111" s="31"/>
      <c r="BW111" s="35"/>
      <c r="BX111" s="27"/>
      <c r="BY111" s="36"/>
      <c r="BZ111" s="31"/>
      <c r="CA111" s="35"/>
      <c r="CB111" s="27"/>
      <c r="CC111" s="36"/>
      <c r="CD111" s="31"/>
      <c r="CE111" s="35"/>
      <c r="CF111" s="27"/>
      <c r="CG111" s="36"/>
      <c r="CH111" s="31"/>
      <c r="CI111" s="35"/>
      <c r="CJ111" s="27"/>
      <c r="CK111" s="36"/>
      <c r="CL111" s="31"/>
      <c r="CM111" s="35"/>
      <c r="CN111" s="27"/>
      <c r="CO111" s="36"/>
      <c r="CP111" s="31"/>
      <c r="CQ111" s="35"/>
      <c r="CR111" s="27"/>
      <c r="CS111" s="36"/>
      <c r="CT111" s="31"/>
      <c r="CU111" s="35"/>
      <c r="CV111" s="27"/>
      <c r="CW111" s="36"/>
      <c r="CX111" s="31"/>
      <c r="CY111" s="35"/>
      <c r="CZ111" s="27"/>
      <c r="DA111" s="36"/>
      <c r="DB111" s="31"/>
      <c r="DC111" s="35"/>
      <c r="DD111" s="27"/>
      <c r="DE111" s="36"/>
      <c r="DF111" s="31"/>
      <c r="DG111" s="35"/>
      <c r="DH111" s="27"/>
      <c r="DI111" s="36"/>
      <c r="DJ111" s="623">
        <f t="shared" si="3"/>
        <v>4</v>
      </c>
      <c r="DK111" s="38">
        <f t="shared" si="4"/>
        <v>4</v>
      </c>
    </row>
    <row r="112" spans="2:115" s="39" customFormat="1" ht="22.5">
      <c r="B112" s="97">
        <v>97</v>
      </c>
      <c r="C112" s="97" t="s">
        <v>39</v>
      </c>
      <c r="D112" s="532">
        <v>40026408</v>
      </c>
      <c r="E112" s="48" t="s">
        <v>2648</v>
      </c>
      <c r="F112" s="626" t="s">
        <v>146</v>
      </c>
      <c r="G112" s="26" t="s">
        <v>2535</v>
      </c>
      <c r="H112" s="26" t="s">
        <v>2539</v>
      </c>
      <c r="I112" s="626" t="s">
        <v>2540</v>
      </c>
      <c r="J112" s="34">
        <v>138696</v>
      </c>
      <c r="K112" s="34">
        <v>0</v>
      </c>
      <c r="L112" s="34">
        <v>106544</v>
      </c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>
        <f t="shared" ref="Y112:Y145" si="5">SUM(M112:X112)</f>
        <v>0</v>
      </c>
      <c r="Z112" s="31">
        <v>3</v>
      </c>
      <c r="AA112" s="32">
        <v>6</v>
      </c>
      <c r="AB112" s="33">
        <v>44230</v>
      </c>
      <c r="AC112" s="33">
        <v>44242</v>
      </c>
      <c r="AD112" s="31"/>
      <c r="AE112" s="35"/>
      <c r="AF112" s="27"/>
      <c r="AG112" s="36"/>
      <c r="AH112" s="31"/>
      <c r="AI112" s="35"/>
      <c r="AJ112" s="27"/>
      <c r="AK112" s="36"/>
      <c r="AL112" s="31"/>
      <c r="AM112" s="35"/>
      <c r="AN112" s="27"/>
      <c r="AO112" s="36"/>
      <c r="AP112" s="31"/>
      <c r="AQ112" s="35"/>
      <c r="AR112" s="27"/>
      <c r="AS112" s="36"/>
      <c r="AT112" s="31"/>
      <c r="AU112" s="35"/>
      <c r="AV112" s="27"/>
      <c r="AW112" s="36"/>
      <c r="AX112" s="31"/>
      <c r="AY112" s="35"/>
      <c r="AZ112" s="27"/>
      <c r="BA112" s="36"/>
      <c r="BB112" s="31"/>
      <c r="BC112" s="35"/>
      <c r="BD112" s="27"/>
      <c r="BE112" s="36"/>
      <c r="BF112" s="31"/>
      <c r="BG112" s="35"/>
      <c r="BH112" s="27"/>
      <c r="BI112" s="36"/>
      <c r="BJ112" s="31"/>
      <c r="BK112" s="35"/>
      <c r="BL112" s="27"/>
      <c r="BM112" s="36"/>
      <c r="BN112" s="35"/>
      <c r="BO112" s="35"/>
      <c r="BP112" s="27"/>
      <c r="BQ112" s="36"/>
      <c r="BR112" s="31"/>
      <c r="BS112" s="35"/>
      <c r="BT112" s="27"/>
      <c r="BU112" s="36"/>
      <c r="BV112" s="31"/>
      <c r="BW112" s="35"/>
      <c r="BX112" s="27"/>
      <c r="BY112" s="36"/>
      <c r="BZ112" s="31"/>
      <c r="CA112" s="35"/>
      <c r="CB112" s="27"/>
      <c r="CC112" s="36"/>
      <c r="CD112" s="31"/>
      <c r="CE112" s="35"/>
      <c r="CF112" s="27"/>
      <c r="CG112" s="36"/>
      <c r="CH112" s="31"/>
      <c r="CI112" s="35"/>
      <c r="CJ112" s="27"/>
      <c r="CK112" s="36"/>
      <c r="CL112" s="31"/>
      <c r="CM112" s="35"/>
      <c r="CN112" s="27"/>
      <c r="CO112" s="36"/>
      <c r="CP112" s="31"/>
      <c r="CQ112" s="35"/>
      <c r="CR112" s="27"/>
      <c r="CS112" s="36"/>
      <c r="CT112" s="31"/>
      <c r="CU112" s="35"/>
      <c r="CV112" s="27"/>
      <c r="CW112" s="36"/>
      <c r="CX112" s="31"/>
      <c r="CY112" s="35"/>
      <c r="CZ112" s="27"/>
      <c r="DA112" s="36"/>
      <c r="DB112" s="31"/>
      <c r="DC112" s="35"/>
      <c r="DD112" s="27"/>
      <c r="DE112" s="36"/>
      <c r="DF112" s="31"/>
      <c r="DG112" s="35"/>
      <c r="DH112" s="27"/>
      <c r="DI112" s="36"/>
      <c r="DJ112" s="623">
        <f t="shared" si="3"/>
        <v>3</v>
      </c>
      <c r="DK112" s="38">
        <f t="shared" si="4"/>
        <v>3</v>
      </c>
    </row>
    <row r="113" spans="2:115" s="39" customFormat="1" ht="22.5">
      <c r="B113" s="97">
        <v>98</v>
      </c>
      <c r="C113" s="97" t="s">
        <v>39</v>
      </c>
      <c r="D113" s="532">
        <v>30220022</v>
      </c>
      <c r="E113" s="48" t="s">
        <v>2649</v>
      </c>
      <c r="F113" s="626" t="s">
        <v>146</v>
      </c>
      <c r="G113" s="26" t="s">
        <v>2535</v>
      </c>
      <c r="H113" s="26" t="s">
        <v>2539</v>
      </c>
      <c r="I113" s="626" t="s">
        <v>2537</v>
      </c>
      <c r="J113" s="34">
        <v>12648092</v>
      </c>
      <c r="K113" s="34">
        <v>0</v>
      </c>
      <c r="L113" s="34">
        <v>12553166</v>
      </c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>
        <f t="shared" si="5"/>
        <v>0</v>
      </c>
      <c r="Z113" s="31">
        <v>4</v>
      </c>
      <c r="AA113" s="32">
        <v>6</v>
      </c>
      <c r="AB113" s="33">
        <v>44230</v>
      </c>
      <c r="AC113" s="33">
        <v>44242</v>
      </c>
      <c r="AD113" s="31"/>
      <c r="AE113" s="35"/>
      <c r="AF113" s="27"/>
      <c r="AG113" s="36"/>
      <c r="AH113" s="31"/>
      <c r="AI113" s="35"/>
      <c r="AJ113" s="27"/>
      <c r="AK113" s="36"/>
      <c r="AL113" s="31"/>
      <c r="AM113" s="35"/>
      <c r="AN113" s="27"/>
      <c r="AO113" s="36"/>
      <c r="AP113" s="31"/>
      <c r="AQ113" s="35"/>
      <c r="AR113" s="27"/>
      <c r="AS113" s="36"/>
      <c r="AT113" s="31"/>
      <c r="AU113" s="35"/>
      <c r="AV113" s="27"/>
      <c r="AW113" s="36"/>
      <c r="AX113" s="31"/>
      <c r="AY113" s="35"/>
      <c r="AZ113" s="27"/>
      <c r="BA113" s="36"/>
      <c r="BB113" s="31"/>
      <c r="BC113" s="35"/>
      <c r="BD113" s="27"/>
      <c r="BE113" s="36"/>
      <c r="BF113" s="31"/>
      <c r="BG113" s="35"/>
      <c r="BH113" s="27"/>
      <c r="BI113" s="36"/>
      <c r="BJ113" s="31"/>
      <c r="BK113" s="35"/>
      <c r="BL113" s="27"/>
      <c r="BM113" s="36"/>
      <c r="BN113" s="35"/>
      <c r="BO113" s="35"/>
      <c r="BP113" s="27"/>
      <c r="BQ113" s="36"/>
      <c r="BR113" s="31"/>
      <c r="BS113" s="35"/>
      <c r="BT113" s="27"/>
      <c r="BU113" s="36"/>
      <c r="BV113" s="31"/>
      <c r="BW113" s="35"/>
      <c r="BX113" s="27"/>
      <c r="BY113" s="36"/>
      <c r="BZ113" s="31"/>
      <c r="CA113" s="35"/>
      <c r="CB113" s="27"/>
      <c r="CC113" s="36"/>
      <c r="CD113" s="31"/>
      <c r="CE113" s="35"/>
      <c r="CF113" s="27"/>
      <c r="CG113" s="36"/>
      <c r="CH113" s="31"/>
      <c r="CI113" s="35"/>
      <c r="CJ113" s="27"/>
      <c r="CK113" s="36"/>
      <c r="CL113" s="31"/>
      <c r="CM113" s="35"/>
      <c r="CN113" s="27"/>
      <c r="CO113" s="36"/>
      <c r="CP113" s="31"/>
      <c r="CQ113" s="35"/>
      <c r="CR113" s="27"/>
      <c r="CS113" s="36"/>
      <c r="CT113" s="31"/>
      <c r="CU113" s="35"/>
      <c r="CV113" s="27"/>
      <c r="CW113" s="36"/>
      <c r="CX113" s="31"/>
      <c r="CY113" s="35"/>
      <c r="CZ113" s="27"/>
      <c r="DA113" s="36"/>
      <c r="DB113" s="31"/>
      <c r="DC113" s="35"/>
      <c r="DD113" s="27"/>
      <c r="DE113" s="36"/>
      <c r="DF113" s="31"/>
      <c r="DG113" s="35"/>
      <c r="DH113" s="27"/>
      <c r="DI113" s="36"/>
      <c r="DJ113" s="623">
        <f t="shared" si="3"/>
        <v>4</v>
      </c>
      <c r="DK113" s="38">
        <f t="shared" si="4"/>
        <v>4</v>
      </c>
    </row>
    <row r="114" spans="2:115" s="39" customFormat="1" ht="22.5">
      <c r="B114" s="97">
        <v>99</v>
      </c>
      <c r="C114" s="97" t="s">
        <v>39</v>
      </c>
      <c r="D114" s="532">
        <v>30463994</v>
      </c>
      <c r="E114" s="48" t="s">
        <v>2650</v>
      </c>
      <c r="F114" s="626" t="s">
        <v>146</v>
      </c>
      <c r="G114" s="26" t="s">
        <v>2535</v>
      </c>
      <c r="H114" s="26" t="s">
        <v>2539</v>
      </c>
      <c r="I114" s="626" t="s">
        <v>2537</v>
      </c>
      <c r="J114" s="34">
        <v>541700</v>
      </c>
      <c r="K114" s="34">
        <v>1663</v>
      </c>
      <c r="L114" s="34">
        <v>0</v>
      </c>
      <c r="M114" s="34"/>
      <c r="N114" s="34"/>
      <c r="O114" s="34"/>
      <c r="P114" s="34"/>
      <c r="Q114" s="34">
        <v>148952</v>
      </c>
      <c r="R114" s="34">
        <v>104011</v>
      </c>
      <c r="S114" s="34">
        <v>67395</v>
      </c>
      <c r="T114" s="34">
        <v>34162</v>
      </c>
      <c r="U114" s="34">
        <v>27040</v>
      </c>
      <c r="V114" s="34" t="s">
        <v>2552</v>
      </c>
      <c r="W114" s="34"/>
      <c r="X114" s="34"/>
      <c r="Y114" s="34">
        <f t="shared" si="5"/>
        <v>381560</v>
      </c>
      <c r="Z114" s="31">
        <v>540037</v>
      </c>
      <c r="AA114" s="32">
        <v>6</v>
      </c>
      <c r="AB114" s="33">
        <v>44230</v>
      </c>
      <c r="AC114" s="33">
        <v>44242</v>
      </c>
      <c r="AD114" s="31"/>
      <c r="AE114" s="35"/>
      <c r="AF114" s="27"/>
      <c r="AG114" s="36"/>
      <c r="AH114" s="31"/>
      <c r="AI114" s="35"/>
      <c r="AJ114" s="27"/>
      <c r="AK114" s="36"/>
      <c r="AL114" s="31"/>
      <c r="AM114" s="35"/>
      <c r="AN114" s="27"/>
      <c r="AO114" s="36"/>
      <c r="AP114" s="31"/>
      <c r="AQ114" s="35"/>
      <c r="AR114" s="27"/>
      <c r="AS114" s="36"/>
      <c r="AT114" s="31"/>
      <c r="AU114" s="35"/>
      <c r="AV114" s="27"/>
      <c r="AW114" s="36"/>
      <c r="AX114" s="31"/>
      <c r="AY114" s="35"/>
      <c r="AZ114" s="27"/>
      <c r="BA114" s="36"/>
      <c r="BB114" s="31"/>
      <c r="BC114" s="35"/>
      <c r="BD114" s="27"/>
      <c r="BE114" s="36"/>
      <c r="BF114" s="31"/>
      <c r="BG114" s="35"/>
      <c r="BH114" s="27"/>
      <c r="BI114" s="36"/>
      <c r="BJ114" s="31"/>
      <c r="BK114" s="35"/>
      <c r="BL114" s="27"/>
      <c r="BM114" s="36"/>
      <c r="BN114" s="35"/>
      <c r="BO114" s="35"/>
      <c r="BP114" s="27"/>
      <c r="BQ114" s="36"/>
      <c r="BR114" s="31"/>
      <c r="BS114" s="35"/>
      <c r="BT114" s="27"/>
      <c r="BU114" s="36"/>
      <c r="BV114" s="31"/>
      <c r="BW114" s="35"/>
      <c r="BX114" s="27"/>
      <c r="BY114" s="36"/>
      <c r="BZ114" s="31"/>
      <c r="CA114" s="35"/>
      <c r="CB114" s="27"/>
      <c r="CC114" s="36"/>
      <c r="CD114" s="31"/>
      <c r="CE114" s="35"/>
      <c r="CF114" s="27"/>
      <c r="CG114" s="36"/>
      <c r="CH114" s="31"/>
      <c r="CI114" s="35"/>
      <c r="CJ114" s="27"/>
      <c r="CK114" s="36"/>
      <c r="CL114" s="31"/>
      <c r="CM114" s="35"/>
      <c r="CN114" s="27"/>
      <c r="CO114" s="36"/>
      <c r="CP114" s="31"/>
      <c r="CQ114" s="35"/>
      <c r="CR114" s="27"/>
      <c r="CS114" s="36"/>
      <c r="CT114" s="31">
        <v>-14490</v>
      </c>
      <c r="CU114" s="35">
        <v>39</v>
      </c>
      <c r="CV114" s="33">
        <v>44431</v>
      </c>
      <c r="CW114" s="36">
        <v>44435</v>
      </c>
      <c r="CX114" s="31"/>
      <c r="CY114" s="35"/>
      <c r="CZ114" s="27"/>
      <c r="DA114" s="36"/>
      <c r="DB114" s="31"/>
      <c r="DC114" s="35"/>
      <c r="DD114" s="27"/>
      <c r="DE114" s="36"/>
      <c r="DF114" s="31"/>
      <c r="DG114" s="35"/>
      <c r="DH114" s="27"/>
      <c r="DI114" s="36"/>
      <c r="DJ114" s="623">
        <f t="shared" si="3"/>
        <v>525547</v>
      </c>
      <c r="DK114" s="38">
        <f t="shared" si="4"/>
        <v>143987</v>
      </c>
    </row>
    <row r="115" spans="2:115" s="39" customFormat="1" ht="33.75">
      <c r="B115" s="97">
        <v>100</v>
      </c>
      <c r="C115" s="97" t="s">
        <v>39</v>
      </c>
      <c r="D115" s="532">
        <v>40024775</v>
      </c>
      <c r="E115" s="48" t="s">
        <v>2651</v>
      </c>
      <c r="F115" s="626" t="s">
        <v>158</v>
      </c>
      <c r="G115" s="26" t="s">
        <v>2535</v>
      </c>
      <c r="H115" s="26" t="s">
        <v>2539</v>
      </c>
      <c r="I115" s="626" t="s">
        <v>2537</v>
      </c>
      <c r="J115" s="34">
        <v>369969</v>
      </c>
      <c r="K115" s="34">
        <v>0</v>
      </c>
      <c r="L115" s="34">
        <v>189480</v>
      </c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>
        <f t="shared" si="5"/>
        <v>0</v>
      </c>
      <c r="Z115" s="31">
        <v>180489</v>
      </c>
      <c r="AA115" s="32">
        <v>9</v>
      </c>
      <c r="AB115" s="33">
        <v>44244</v>
      </c>
      <c r="AC115" s="33">
        <v>44249</v>
      </c>
      <c r="AD115" s="31"/>
      <c r="AE115" s="35"/>
      <c r="AF115" s="27"/>
      <c r="AG115" s="36"/>
      <c r="AH115" s="31"/>
      <c r="AI115" s="35"/>
      <c r="AJ115" s="27"/>
      <c r="AK115" s="36"/>
      <c r="AL115" s="31"/>
      <c r="AM115" s="35"/>
      <c r="AN115" s="27"/>
      <c r="AO115" s="36"/>
      <c r="AP115" s="31"/>
      <c r="AQ115" s="35"/>
      <c r="AR115" s="27"/>
      <c r="AS115" s="36"/>
      <c r="AT115" s="31"/>
      <c r="AU115" s="35"/>
      <c r="AV115" s="27"/>
      <c r="AW115" s="36"/>
      <c r="AX115" s="31"/>
      <c r="AY115" s="35"/>
      <c r="AZ115" s="27"/>
      <c r="BA115" s="36"/>
      <c r="BB115" s="31"/>
      <c r="BC115" s="35"/>
      <c r="BD115" s="27"/>
      <c r="BE115" s="36"/>
      <c r="BF115" s="31"/>
      <c r="BG115" s="35"/>
      <c r="BH115" s="27"/>
      <c r="BI115" s="36"/>
      <c r="BJ115" s="31"/>
      <c r="BK115" s="35"/>
      <c r="BL115" s="27"/>
      <c r="BM115" s="36"/>
      <c r="BN115" s="35"/>
      <c r="BO115" s="35"/>
      <c r="BP115" s="27"/>
      <c r="BQ115" s="36"/>
      <c r="BR115" s="31"/>
      <c r="BS115" s="35"/>
      <c r="BT115" s="27"/>
      <c r="BU115" s="36"/>
      <c r="BV115" s="31"/>
      <c r="BW115" s="35"/>
      <c r="BX115" s="27"/>
      <c r="BY115" s="36"/>
      <c r="BZ115" s="31"/>
      <c r="CA115" s="35"/>
      <c r="CB115" s="27"/>
      <c r="CC115" s="36"/>
      <c r="CD115" s="31"/>
      <c r="CE115" s="35"/>
      <c r="CF115" s="27"/>
      <c r="CG115" s="36"/>
      <c r="CH115" s="31"/>
      <c r="CI115" s="35"/>
      <c r="CJ115" s="27"/>
      <c r="CK115" s="36"/>
      <c r="CL115" s="31"/>
      <c r="CM115" s="35"/>
      <c r="CN115" s="27"/>
      <c r="CO115" s="36"/>
      <c r="CP115" s="31"/>
      <c r="CQ115" s="35"/>
      <c r="CR115" s="27"/>
      <c r="CS115" s="36"/>
      <c r="CT115" s="31"/>
      <c r="CU115" s="35"/>
      <c r="CV115" s="27"/>
      <c r="CW115" s="36"/>
      <c r="CX115" s="31"/>
      <c r="CY115" s="35"/>
      <c r="CZ115" s="27"/>
      <c r="DA115" s="36"/>
      <c r="DB115" s="31"/>
      <c r="DC115" s="35"/>
      <c r="DD115" s="27"/>
      <c r="DE115" s="36"/>
      <c r="DF115" s="31"/>
      <c r="DG115" s="35"/>
      <c r="DH115" s="27"/>
      <c r="DI115" s="36"/>
      <c r="DJ115" s="623">
        <f t="shared" si="3"/>
        <v>180489</v>
      </c>
      <c r="DK115" s="38">
        <f t="shared" si="4"/>
        <v>180489</v>
      </c>
    </row>
    <row r="116" spans="2:115" s="39" customFormat="1" ht="22.5">
      <c r="B116" s="97">
        <v>101</v>
      </c>
      <c r="C116" s="97" t="s">
        <v>39</v>
      </c>
      <c r="D116" s="532">
        <v>30472846</v>
      </c>
      <c r="E116" s="48" t="s">
        <v>2652</v>
      </c>
      <c r="F116" s="626" t="s">
        <v>146</v>
      </c>
      <c r="G116" s="26" t="s">
        <v>1373</v>
      </c>
      <c r="H116" s="26" t="s">
        <v>342</v>
      </c>
      <c r="I116" s="626" t="s">
        <v>2537</v>
      </c>
      <c r="J116" s="34">
        <v>3896596</v>
      </c>
      <c r="K116" s="34">
        <v>3710441</v>
      </c>
      <c r="L116" s="34">
        <v>0</v>
      </c>
      <c r="M116" s="34"/>
      <c r="N116" s="34"/>
      <c r="O116" s="34">
        <v>166358</v>
      </c>
      <c r="P116" s="34"/>
      <c r="Q116" s="34"/>
      <c r="R116" s="34"/>
      <c r="S116" s="34"/>
      <c r="T116" s="34"/>
      <c r="U116" s="34"/>
      <c r="V116" s="34"/>
      <c r="W116" s="34"/>
      <c r="X116" s="34"/>
      <c r="Y116" s="34">
        <f t="shared" si="5"/>
        <v>166358</v>
      </c>
      <c r="Z116" s="31">
        <v>167000</v>
      </c>
      <c r="AA116" s="32">
        <v>9</v>
      </c>
      <c r="AB116" s="33">
        <v>44244</v>
      </c>
      <c r="AC116" s="33">
        <v>44249</v>
      </c>
      <c r="AD116" s="31"/>
      <c r="AE116" s="35"/>
      <c r="AF116" s="27"/>
      <c r="AG116" s="36"/>
      <c r="AH116" s="31"/>
      <c r="AI116" s="35"/>
      <c r="AJ116" s="27"/>
      <c r="AK116" s="36"/>
      <c r="AL116" s="31"/>
      <c r="AM116" s="35"/>
      <c r="AN116" s="27"/>
      <c r="AO116" s="36"/>
      <c r="AP116" s="31"/>
      <c r="AQ116" s="35"/>
      <c r="AR116" s="27"/>
      <c r="AS116" s="36"/>
      <c r="AT116" s="31"/>
      <c r="AU116" s="35"/>
      <c r="AV116" s="27"/>
      <c r="AW116" s="36"/>
      <c r="AX116" s="31"/>
      <c r="AY116" s="35"/>
      <c r="AZ116" s="27"/>
      <c r="BA116" s="36"/>
      <c r="BB116" s="31"/>
      <c r="BC116" s="35"/>
      <c r="BD116" s="27"/>
      <c r="BE116" s="36"/>
      <c r="BF116" s="31"/>
      <c r="BG116" s="35"/>
      <c r="BH116" s="27"/>
      <c r="BI116" s="36"/>
      <c r="BJ116" s="31"/>
      <c r="BK116" s="35"/>
      <c r="BL116" s="27"/>
      <c r="BM116" s="36"/>
      <c r="BN116" s="35"/>
      <c r="BO116" s="35"/>
      <c r="BP116" s="27"/>
      <c r="BQ116" s="36"/>
      <c r="BR116" s="31"/>
      <c r="BS116" s="35"/>
      <c r="BT116" s="27"/>
      <c r="BU116" s="36"/>
      <c r="BV116" s="31"/>
      <c r="BW116" s="35"/>
      <c r="BX116" s="27"/>
      <c r="BY116" s="36"/>
      <c r="BZ116" s="31"/>
      <c r="CA116" s="35"/>
      <c r="CB116" s="27"/>
      <c r="CC116" s="36"/>
      <c r="CD116" s="31"/>
      <c r="CE116" s="35"/>
      <c r="CF116" s="27"/>
      <c r="CG116" s="36"/>
      <c r="CH116" s="31"/>
      <c r="CI116" s="35"/>
      <c r="CJ116" s="27"/>
      <c r="CK116" s="36"/>
      <c r="CL116" s="31"/>
      <c r="CM116" s="35"/>
      <c r="CN116" s="27"/>
      <c r="CO116" s="36"/>
      <c r="CP116" s="31"/>
      <c r="CQ116" s="35"/>
      <c r="CR116" s="27"/>
      <c r="CS116" s="36"/>
      <c r="CT116" s="31"/>
      <c r="CU116" s="35"/>
      <c r="CV116" s="27"/>
      <c r="CW116" s="36"/>
      <c r="CX116" s="31"/>
      <c r="CY116" s="35"/>
      <c r="CZ116" s="27"/>
      <c r="DA116" s="36"/>
      <c r="DB116" s="31"/>
      <c r="DC116" s="35"/>
      <c r="DD116" s="27"/>
      <c r="DE116" s="36"/>
      <c r="DF116" s="31"/>
      <c r="DG116" s="35"/>
      <c r="DH116" s="27"/>
      <c r="DI116" s="36"/>
      <c r="DJ116" s="623">
        <f t="shared" si="3"/>
        <v>167000</v>
      </c>
      <c r="DK116" s="38">
        <f t="shared" si="4"/>
        <v>642</v>
      </c>
    </row>
    <row r="117" spans="2:115" s="39" customFormat="1" ht="22.5">
      <c r="B117" s="97">
        <v>102</v>
      </c>
      <c r="C117" s="97" t="s">
        <v>39</v>
      </c>
      <c r="D117" s="532">
        <v>30415423</v>
      </c>
      <c r="E117" s="48" t="s">
        <v>2653</v>
      </c>
      <c r="F117" s="626" t="s">
        <v>146</v>
      </c>
      <c r="G117" s="26" t="s">
        <v>2535</v>
      </c>
      <c r="H117" s="26" t="s">
        <v>2578</v>
      </c>
      <c r="I117" s="626" t="s">
        <v>2537</v>
      </c>
      <c r="J117" s="34">
        <v>22880685</v>
      </c>
      <c r="K117" s="34">
        <v>191113</v>
      </c>
      <c r="L117" s="34">
        <v>2106863</v>
      </c>
      <c r="M117" s="34"/>
      <c r="N117" s="34"/>
      <c r="O117" s="34">
        <v>375072</v>
      </c>
      <c r="P117" s="34"/>
      <c r="Q117" s="34"/>
      <c r="R117" s="34"/>
      <c r="S117" s="34">
        <v>45258</v>
      </c>
      <c r="T117" s="34"/>
      <c r="U117" s="34"/>
      <c r="V117" s="34"/>
      <c r="W117" s="34"/>
      <c r="X117" s="34"/>
      <c r="Y117" s="34">
        <f t="shared" si="5"/>
        <v>420330</v>
      </c>
      <c r="Z117" s="31">
        <f>381000</f>
        <v>381000</v>
      </c>
      <c r="AA117" s="32">
        <v>9</v>
      </c>
      <c r="AB117" s="33"/>
      <c r="AC117" s="33"/>
      <c r="AD117" s="31"/>
      <c r="AE117" s="35"/>
      <c r="AF117" s="27"/>
      <c r="AG117" s="36"/>
      <c r="AH117" s="31"/>
      <c r="AI117" s="35"/>
      <c r="AJ117" s="27"/>
      <c r="AK117" s="36"/>
      <c r="AL117" s="31">
        <v>535000</v>
      </c>
      <c r="AM117" s="35">
        <v>13</v>
      </c>
      <c r="AN117" s="36">
        <v>44281</v>
      </c>
      <c r="AO117" s="36">
        <v>44281</v>
      </c>
      <c r="AP117" s="31"/>
      <c r="AQ117" s="35"/>
      <c r="AR117" s="27"/>
      <c r="AS117" s="36"/>
      <c r="AT117" s="31"/>
      <c r="AU117" s="35"/>
      <c r="AV117" s="27"/>
      <c r="AW117" s="36"/>
      <c r="AX117" s="31"/>
      <c r="AY117" s="35"/>
      <c r="AZ117" s="27"/>
      <c r="BA117" s="36"/>
      <c r="BB117" s="31"/>
      <c r="BC117" s="35"/>
      <c r="BD117" s="27"/>
      <c r="BE117" s="36"/>
      <c r="BF117" s="31"/>
      <c r="BG117" s="35"/>
      <c r="BH117" s="27"/>
      <c r="BI117" s="36"/>
      <c r="BJ117" s="31"/>
      <c r="BK117" s="35"/>
      <c r="BL117" s="27"/>
      <c r="BM117" s="36"/>
      <c r="BN117" s="35">
        <v>-227188</v>
      </c>
      <c r="BO117" s="35">
        <v>28</v>
      </c>
      <c r="BP117" s="33">
        <v>44363</v>
      </c>
      <c r="BQ117" s="36">
        <v>44371</v>
      </c>
      <c r="BR117" s="31"/>
      <c r="BS117" s="35"/>
      <c r="BT117" s="27"/>
      <c r="BU117" s="36"/>
      <c r="BV117" s="31"/>
      <c r="BW117" s="35"/>
      <c r="BX117" s="27"/>
      <c r="BY117" s="36"/>
      <c r="BZ117" s="31"/>
      <c r="CA117" s="35"/>
      <c r="CB117" s="27"/>
      <c r="CC117" s="36"/>
      <c r="CD117" s="31">
        <v>50000</v>
      </c>
      <c r="CE117" s="35">
        <v>32</v>
      </c>
      <c r="CF117" s="33">
        <v>44389</v>
      </c>
      <c r="CG117" s="36">
        <v>44397</v>
      </c>
      <c r="CH117" s="31"/>
      <c r="CI117" s="35"/>
      <c r="CJ117" s="27"/>
      <c r="CK117" s="36"/>
      <c r="CL117" s="31"/>
      <c r="CM117" s="35"/>
      <c r="CN117" s="27"/>
      <c r="CO117" s="36"/>
      <c r="CP117" s="31"/>
      <c r="CQ117" s="35"/>
      <c r="CR117" s="27"/>
      <c r="CS117" s="36"/>
      <c r="CT117" s="31">
        <v>-223738</v>
      </c>
      <c r="CU117" s="35">
        <v>39</v>
      </c>
      <c r="CV117" s="33">
        <v>44431</v>
      </c>
      <c r="CW117" s="36">
        <v>44435</v>
      </c>
      <c r="CX117" s="31"/>
      <c r="CY117" s="35"/>
      <c r="CZ117" s="27"/>
      <c r="DA117" s="36"/>
      <c r="DB117" s="31"/>
      <c r="DC117" s="35"/>
      <c r="DD117" s="27"/>
      <c r="DE117" s="36"/>
      <c r="DF117" s="31"/>
      <c r="DG117" s="35"/>
      <c r="DH117" s="27"/>
      <c r="DI117" s="36"/>
      <c r="DJ117" s="623">
        <f t="shared" si="3"/>
        <v>515074</v>
      </c>
      <c r="DK117" s="38">
        <f t="shared" si="4"/>
        <v>94744</v>
      </c>
    </row>
    <row r="118" spans="2:115" s="39" customFormat="1" ht="22.5">
      <c r="B118" s="97">
        <v>103</v>
      </c>
      <c r="C118" s="97" t="s">
        <v>39</v>
      </c>
      <c r="D118" s="532">
        <v>30469888</v>
      </c>
      <c r="E118" s="48" t="s">
        <v>2654</v>
      </c>
      <c r="F118" s="626" t="s">
        <v>158</v>
      </c>
      <c r="G118" s="26" t="s">
        <v>2545</v>
      </c>
      <c r="H118" s="26" t="s">
        <v>2546</v>
      </c>
      <c r="I118" s="626" t="s">
        <v>2540</v>
      </c>
      <c r="J118" s="34">
        <v>349978</v>
      </c>
      <c r="K118" s="34">
        <v>0</v>
      </c>
      <c r="L118" s="34">
        <v>276833</v>
      </c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>
        <f t="shared" si="5"/>
        <v>0</v>
      </c>
      <c r="Z118" s="31">
        <v>1</v>
      </c>
      <c r="AA118" s="32">
        <v>13</v>
      </c>
      <c r="AB118" s="33">
        <v>44277</v>
      </c>
      <c r="AC118" s="33">
        <v>44281</v>
      </c>
      <c r="AD118" s="31"/>
      <c r="AE118" s="35"/>
      <c r="AF118" s="27"/>
      <c r="AG118" s="36"/>
      <c r="AH118" s="31"/>
      <c r="AI118" s="35"/>
      <c r="AJ118" s="27"/>
      <c r="AK118" s="36"/>
      <c r="AL118" s="31"/>
      <c r="AM118" s="35"/>
      <c r="AN118" s="27"/>
      <c r="AO118" s="36"/>
      <c r="AP118" s="31"/>
      <c r="AQ118" s="35"/>
      <c r="AR118" s="27"/>
      <c r="AS118" s="36"/>
      <c r="AT118" s="31"/>
      <c r="AU118" s="35"/>
      <c r="AV118" s="27"/>
      <c r="AW118" s="36"/>
      <c r="AX118" s="31"/>
      <c r="AY118" s="35"/>
      <c r="AZ118" s="27"/>
      <c r="BA118" s="36"/>
      <c r="BB118" s="31"/>
      <c r="BC118" s="35"/>
      <c r="BD118" s="27"/>
      <c r="BE118" s="36"/>
      <c r="BF118" s="31"/>
      <c r="BG118" s="35"/>
      <c r="BH118" s="27"/>
      <c r="BI118" s="36"/>
      <c r="BJ118" s="31"/>
      <c r="BK118" s="35"/>
      <c r="BL118" s="27"/>
      <c r="BM118" s="36"/>
      <c r="BN118" s="35"/>
      <c r="BO118" s="35"/>
      <c r="BP118" s="27"/>
      <c r="BQ118" s="36"/>
      <c r="BR118" s="31"/>
      <c r="BS118" s="35"/>
      <c r="BT118" s="27"/>
      <c r="BU118" s="36"/>
      <c r="BV118" s="31"/>
      <c r="BW118" s="35"/>
      <c r="BX118" s="27"/>
      <c r="BY118" s="36"/>
      <c r="BZ118" s="31"/>
      <c r="CA118" s="35"/>
      <c r="CB118" s="27"/>
      <c r="CC118" s="36"/>
      <c r="CD118" s="31"/>
      <c r="CE118" s="35"/>
      <c r="CF118" s="27"/>
      <c r="CG118" s="36"/>
      <c r="CH118" s="31"/>
      <c r="CI118" s="35"/>
      <c r="CJ118" s="27"/>
      <c r="CK118" s="36"/>
      <c r="CL118" s="31"/>
      <c r="CM118" s="35"/>
      <c r="CN118" s="27"/>
      <c r="CO118" s="36"/>
      <c r="CP118" s="31"/>
      <c r="CQ118" s="35"/>
      <c r="CR118" s="27"/>
      <c r="CS118" s="36"/>
      <c r="CT118" s="31"/>
      <c r="CU118" s="35"/>
      <c r="CV118" s="27"/>
      <c r="CW118" s="36"/>
      <c r="CX118" s="31"/>
      <c r="CY118" s="35"/>
      <c r="CZ118" s="27"/>
      <c r="DA118" s="36"/>
      <c r="DB118" s="31"/>
      <c r="DC118" s="35"/>
      <c r="DD118" s="27"/>
      <c r="DE118" s="36"/>
      <c r="DF118" s="31"/>
      <c r="DG118" s="35"/>
      <c r="DH118" s="27"/>
      <c r="DI118" s="36"/>
      <c r="DJ118" s="623">
        <f t="shared" si="3"/>
        <v>1</v>
      </c>
      <c r="DK118" s="38">
        <f t="shared" si="4"/>
        <v>1</v>
      </c>
    </row>
    <row r="119" spans="2:115" s="39" customFormat="1" ht="22.5">
      <c r="B119" s="97">
        <v>104</v>
      </c>
      <c r="C119" s="97" t="s">
        <v>39</v>
      </c>
      <c r="D119" s="532">
        <v>40008005</v>
      </c>
      <c r="E119" s="48" t="s">
        <v>2655</v>
      </c>
      <c r="F119" s="626" t="s">
        <v>158</v>
      </c>
      <c r="G119" s="26" t="s">
        <v>2535</v>
      </c>
      <c r="H119" s="26" t="s">
        <v>2539</v>
      </c>
      <c r="I119" s="626" t="s">
        <v>2540</v>
      </c>
      <c r="J119" s="34">
        <v>56463</v>
      </c>
      <c r="K119" s="34">
        <v>0</v>
      </c>
      <c r="L119" s="34">
        <v>34479</v>
      </c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>
        <f t="shared" si="5"/>
        <v>0</v>
      </c>
      <c r="Z119" s="31">
        <v>2</v>
      </c>
      <c r="AA119" s="32">
        <v>13</v>
      </c>
      <c r="AB119" s="33">
        <v>44277</v>
      </c>
      <c r="AC119" s="33">
        <v>44281</v>
      </c>
      <c r="AD119" s="31"/>
      <c r="AE119" s="35"/>
      <c r="AF119" s="27"/>
      <c r="AG119" s="36"/>
      <c r="AH119" s="31"/>
      <c r="AI119" s="35"/>
      <c r="AJ119" s="27"/>
      <c r="AK119" s="36"/>
      <c r="AL119" s="31"/>
      <c r="AM119" s="35"/>
      <c r="AN119" s="27"/>
      <c r="AO119" s="36"/>
      <c r="AP119" s="31"/>
      <c r="AQ119" s="35"/>
      <c r="AR119" s="27"/>
      <c r="AS119" s="36"/>
      <c r="AT119" s="31"/>
      <c r="AU119" s="35"/>
      <c r="AV119" s="27"/>
      <c r="AW119" s="36"/>
      <c r="AX119" s="31"/>
      <c r="AY119" s="35"/>
      <c r="AZ119" s="27"/>
      <c r="BA119" s="36"/>
      <c r="BB119" s="31"/>
      <c r="BC119" s="35"/>
      <c r="BD119" s="27"/>
      <c r="BE119" s="36"/>
      <c r="BF119" s="31"/>
      <c r="BG119" s="35"/>
      <c r="BH119" s="27"/>
      <c r="BI119" s="36"/>
      <c r="BJ119" s="31"/>
      <c r="BK119" s="35"/>
      <c r="BL119" s="27"/>
      <c r="BM119" s="36"/>
      <c r="BN119" s="35"/>
      <c r="BO119" s="35"/>
      <c r="BP119" s="27"/>
      <c r="BQ119" s="36"/>
      <c r="BR119" s="31"/>
      <c r="BS119" s="35"/>
      <c r="BT119" s="27"/>
      <c r="BU119" s="36"/>
      <c r="BV119" s="31"/>
      <c r="BW119" s="35"/>
      <c r="BX119" s="27"/>
      <c r="BY119" s="36"/>
      <c r="BZ119" s="31"/>
      <c r="CA119" s="35"/>
      <c r="CB119" s="27"/>
      <c r="CC119" s="36"/>
      <c r="CD119" s="31"/>
      <c r="CE119" s="35"/>
      <c r="CF119" s="27"/>
      <c r="CG119" s="36"/>
      <c r="CH119" s="31"/>
      <c r="CI119" s="35"/>
      <c r="CJ119" s="27"/>
      <c r="CK119" s="36"/>
      <c r="CL119" s="31"/>
      <c r="CM119" s="35"/>
      <c r="CN119" s="27"/>
      <c r="CO119" s="36"/>
      <c r="CP119" s="31"/>
      <c r="CQ119" s="35"/>
      <c r="CR119" s="27"/>
      <c r="CS119" s="36"/>
      <c r="CT119" s="31"/>
      <c r="CU119" s="35"/>
      <c r="CV119" s="27"/>
      <c r="CW119" s="36"/>
      <c r="CX119" s="31"/>
      <c r="CY119" s="35"/>
      <c r="CZ119" s="27"/>
      <c r="DA119" s="36"/>
      <c r="DB119" s="31"/>
      <c r="DC119" s="35"/>
      <c r="DD119" s="27"/>
      <c r="DE119" s="36"/>
      <c r="DF119" s="31"/>
      <c r="DG119" s="35"/>
      <c r="DH119" s="27"/>
      <c r="DI119" s="36"/>
      <c r="DJ119" s="623">
        <f t="shared" si="3"/>
        <v>2</v>
      </c>
      <c r="DK119" s="38">
        <f t="shared" si="4"/>
        <v>2</v>
      </c>
    </row>
    <row r="120" spans="2:115" s="39" customFormat="1" ht="33.75">
      <c r="B120" s="97">
        <v>105</v>
      </c>
      <c r="C120" s="97" t="s">
        <v>39</v>
      </c>
      <c r="D120" s="532">
        <v>40019951</v>
      </c>
      <c r="E120" s="48" t="s">
        <v>2656</v>
      </c>
      <c r="F120" s="626" t="s">
        <v>158</v>
      </c>
      <c r="G120" s="26" t="s">
        <v>2542</v>
      </c>
      <c r="H120" s="26" t="s">
        <v>2543</v>
      </c>
      <c r="I120" s="626" t="s">
        <v>2540</v>
      </c>
      <c r="J120" s="34">
        <v>159464</v>
      </c>
      <c r="K120" s="34">
        <v>0</v>
      </c>
      <c r="L120" s="34">
        <v>88590</v>
      </c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>
        <f t="shared" si="5"/>
        <v>0</v>
      </c>
      <c r="Z120" s="31">
        <v>2</v>
      </c>
      <c r="AA120" s="32">
        <v>13</v>
      </c>
      <c r="AB120" s="33">
        <v>44277</v>
      </c>
      <c r="AC120" s="33">
        <v>44281</v>
      </c>
      <c r="AD120" s="31"/>
      <c r="AE120" s="35"/>
      <c r="AF120" s="27"/>
      <c r="AG120" s="36"/>
      <c r="AH120" s="31"/>
      <c r="AI120" s="35"/>
      <c r="AJ120" s="27"/>
      <c r="AK120" s="36"/>
      <c r="AL120" s="31"/>
      <c r="AM120" s="35"/>
      <c r="AN120" s="27"/>
      <c r="AO120" s="36"/>
      <c r="AP120" s="31"/>
      <c r="AQ120" s="35"/>
      <c r="AR120" s="27"/>
      <c r="AS120" s="36"/>
      <c r="AT120" s="31"/>
      <c r="AU120" s="35"/>
      <c r="AV120" s="27"/>
      <c r="AW120" s="36"/>
      <c r="AX120" s="31"/>
      <c r="AY120" s="35"/>
      <c r="AZ120" s="27"/>
      <c r="BA120" s="36"/>
      <c r="BB120" s="31"/>
      <c r="BC120" s="35"/>
      <c r="BD120" s="27"/>
      <c r="BE120" s="36"/>
      <c r="BF120" s="31"/>
      <c r="BG120" s="35"/>
      <c r="BH120" s="27"/>
      <c r="BI120" s="36"/>
      <c r="BJ120" s="31">
        <v>5560</v>
      </c>
      <c r="BK120" s="35">
        <v>26</v>
      </c>
      <c r="BL120" s="33">
        <v>44344</v>
      </c>
      <c r="BM120" s="36">
        <v>44354</v>
      </c>
      <c r="BN120" s="35"/>
      <c r="BO120" s="35"/>
      <c r="BP120" s="27"/>
      <c r="BQ120" s="36"/>
      <c r="BR120" s="31"/>
      <c r="BS120" s="35"/>
      <c r="BT120" s="27"/>
      <c r="BU120" s="36"/>
      <c r="BV120" s="31"/>
      <c r="BW120" s="35"/>
      <c r="BX120" s="27"/>
      <c r="BY120" s="36"/>
      <c r="BZ120" s="31"/>
      <c r="CA120" s="35"/>
      <c r="CB120" s="27"/>
      <c r="CC120" s="36"/>
      <c r="CD120" s="31"/>
      <c r="CE120" s="35"/>
      <c r="CF120" s="27"/>
      <c r="CG120" s="36"/>
      <c r="CH120" s="31"/>
      <c r="CI120" s="35"/>
      <c r="CJ120" s="27"/>
      <c r="CK120" s="36"/>
      <c r="CL120" s="31"/>
      <c r="CM120" s="35"/>
      <c r="CN120" s="27"/>
      <c r="CO120" s="36"/>
      <c r="CP120" s="31"/>
      <c r="CQ120" s="35"/>
      <c r="CR120" s="27"/>
      <c r="CS120" s="36"/>
      <c r="CT120" s="31"/>
      <c r="CU120" s="35"/>
      <c r="CV120" s="27"/>
      <c r="CW120" s="36"/>
      <c r="CX120" s="31"/>
      <c r="CY120" s="35"/>
      <c r="CZ120" s="27"/>
      <c r="DA120" s="36"/>
      <c r="DB120" s="31"/>
      <c r="DC120" s="35"/>
      <c r="DD120" s="27"/>
      <c r="DE120" s="36"/>
      <c r="DF120" s="31"/>
      <c r="DG120" s="35"/>
      <c r="DH120" s="27"/>
      <c r="DI120" s="36"/>
      <c r="DJ120" s="623">
        <f t="shared" si="3"/>
        <v>5562</v>
      </c>
      <c r="DK120" s="38">
        <f t="shared" si="4"/>
        <v>5562</v>
      </c>
    </row>
    <row r="121" spans="2:115" s="39" customFormat="1" ht="22.5">
      <c r="B121" s="97">
        <v>106</v>
      </c>
      <c r="C121" s="97" t="s">
        <v>39</v>
      </c>
      <c r="D121" s="532">
        <v>30344972</v>
      </c>
      <c r="E121" s="48" t="s">
        <v>2657</v>
      </c>
      <c r="F121" s="626" t="s">
        <v>158</v>
      </c>
      <c r="G121" s="26" t="s">
        <v>2535</v>
      </c>
      <c r="H121" s="26" t="s">
        <v>2539</v>
      </c>
      <c r="I121" s="626" t="s">
        <v>2537</v>
      </c>
      <c r="J121" s="34">
        <v>281514</v>
      </c>
      <c r="K121" s="34">
        <v>151129</v>
      </c>
      <c r="L121" s="34">
        <v>521</v>
      </c>
      <c r="M121" s="34"/>
      <c r="N121" s="34"/>
      <c r="O121" s="34"/>
      <c r="P121" s="34">
        <v>7300</v>
      </c>
      <c r="Q121" s="34"/>
      <c r="R121" s="34"/>
      <c r="S121" s="34"/>
      <c r="T121" s="34"/>
      <c r="U121" s="34"/>
      <c r="V121" s="34"/>
      <c r="W121" s="34"/>
      <c r="X121" s="34"/>
      <c r="Y121" s="34">
        <f t="shared" si="5"/>
        <v>7300</v>
      </c>
      <c r="Z121" s="31">
        <v>7300</v>
      </c>
      <c r="AA121" s="32">
        <v>13</v>
      </c>
      <c r="AB121" s="33">
        <v>44277</v>
      </c>
      <c r="AC121" s="33">
        <v>44281</v>
      </c>
      <c r="AD121" s="31"/>
      <c r="AE121" s="35"/>
      <c r="AF121" s="27"/>
      <c r="AG121" s="36"/>
      <c r="AH121" s="31"/>
      <c r="AI121" s="35"/>
      <c r="AJ121" s="27"/>
      <c r="AK121" s="36"/>
      <c r="AL121" s="31"/>
      <c r="AM121" s="35"/>
      <c r="AN121" s="27"/>
      <c r="AO121" s="36"/>
      <c r="AP121" s="31"/>
      <c r="AQ121" s="35"/>
      <c r="AR121" s="27"/>
      <c r="AS121" s="36"/>
      <c r="AT121" s="31"/>
      <c r="AU121" s="35"/>
      <c r="AV121" s="27"/>
      <c r="AW121" s="36"/>
      <c r="AX121" s="31"/>
      <c r="AY121" s="35"/>
      <c r="AZ121" s="27"/>
      <c r="BA121" s="36"/>
      <c r="BB121" s="31"/>
      <c r="BC121" s="35"/>
      <c r="BD121" s="27"/>
      <c r="BE121" s="36"/>
      <c r="BF121" s="31"/>
      <c r="BG121" s="35"/>
      <c r="BH121" s="27"/>
      <c r="BI121" s="36"/>
      <c r="BJ121" s="31"/>
      <c r="BK121" s="35"/>
      <c r="BL121" s="27"/>
      <c r="BM121" s="36"/>
      <c r="BN121" s="35"/>
      <c r="BO121" s="35"/>
      <c r="BP121" s="27"/>
      <c r="BQ121" s="36"/>
      <c r="BR121" s="31"/>
      <c r="BS121" s="35"/>
      <c r="BT121" s="27"/>
      <c r="BU121" s="36"/>
      <c r="BV121" s="31"/>
      <c r="BW121" s="35"/>
      <c r="BX121" s="27"/>
      <c r="BY121" s="36"/>
      <c r="BZ121" s="31"/>
      <c r="CA121" s="35"/>
      <c r="CB121" s="27"/>
      <c r="CC121" s="36"/>
      <c r="CD121" s="31"/>
      <c r="CE121" s="35"/>
      <c r="CF121" s="27"/>
      <c r="CG121" s="36"/>
      <c r="CH121" s="31"/>
      <c r="CI121" s="35"/>
      <c r="CJ121" s="27"/>
      <c r="CK121" s="36"/>
      <c r="CL121" s="31"/>
      <c r="CM121" s="35"/>
      <c r="CN121" s="27"/>
      <c r="CO121" s="36"/>
      <c r="CP121" s="31"/>
      <c r="CQ121" s="35"/>
      <c r="CR121" s="27"/>
      <c r="CS121" s="36"/>
      <c r="CT121" s="31"/>
      <c r="CU121" s="35"/>
      <c r="CV121" s="27"/>
      <c r="CW121" s="36"/>
      <c r="CX121" s="31"/>
      <c r="CY121" s="35"/>
      <c r="CZ121" s="27"/>
      <c r="DA121" s="36"/>
      <c r="DB121" s="31"/>
      <c r="DC121" s="35"/>
      <c r="DD121" s="27"/>
      <c r="DE121" s="36"/>
      <c r="DF121" s="31"/>
      <c r="DG121" s="35"/>
      <c r="DH121" s="27"/>
      <c r="DI121" s="36"/>
      <c r="DJ121" s="623">
        <f t="shared" si="3"/>
        <v>7300</v>
      </c>
      <c r="DK121" s="38">
        <f t="shared" si="4"/>
        <v>0</v>
      </c>
    </row>
    <row r="122" spans="2:115" s="39" customFormat="1" ht="22.5">
      <c r="B122" s="97">
        <v>107</v>
      </c>
      <c r="C122" s="97" t="s">
        <v>131</v>
      </c>
      <c r="D122" s="532">
        <v>40008099</v>
      </c>
      <c r="E122" s="48" t="s">
        <v>2658</v>
      </c>
      <c r="F122" s="626" t="s">
        <v>146</v>
      </c>
      <c r="G122" s="26" t="s">
        <v>2545</v>
      </c>
      <c r="H122" s="26" t="s">
        <v>2546</v>
      </c>
      <c r="I122" s="626" t="s">
        <v>2537</v>
      </c>
      <c r="J122" s="34">
        <v>123789</v>
      </c>
      <c r="K122" s="34">
        <v>23298</v>
      </c>
      <c r="L122" s="34">
        <v>37387</v>
      </c>
      <c r="M122" s="34"/>
      <c r="N122" s="34"/>
      <c r="O122" s="34">
        <v>2390</v>
      </c>
      <c r="P122" s="34">
        <v>16925</v>
      </c>
      <c r="Q122" s="34">
        <v>2390</v>
      </c>
      <c r="R122" s="34">
        <v>4780</v>
      </c>
      <c r="S122" s="34">
        <v>2390</v>
      </c>
      <c r="T122" s="34">
        <v>4933</v>
      </c>
      <c r="U122" s="34">
        <v>1150</v>
      </c>
      <c r="V122" s="34"/>
      <c r="W122" s="34"/>
      <c r="X122" s="34"/>
      <c r="Y122" s="34">
        <f t="shared" si="5"/>
        <v>34958</v>
      </c>
      <c r="Z122" s="31">
        <v>40000</v>
      </c>
      <c r="AA122" s="32">
        <v>13</v>
      </c>
      <c r="AB122" s="33">
        <v>44277</v>
      </c>
      <c r="AC122" s="33">
        <v>44281</v>
      </c>
      <c r="AD122" s="31"/>
      <c r="AE122" s="35"/>
      <c r="AF122" s="27"/>
      <c r="AG122" s="36"/>
      <c r="AH122" s="31"/>
      <c r="AI122" s="35"/>
      <c r="AJ122" s="27"/>
      <c r="AK122" s="36"/>
      <c r="AL122" s="31"/>
      <c r="AM122" s="35"/>
      <c r="AN122" s="27"/>
      <c r="AO122" s="36"/>
      <c r="AP122" s="31"/>
      <c r="AQ122" s="35"/>
      <c r="AR122" s="27"/>
      <c r="AS122" s="36"/>
      <c r="AT122" s="31"/>
      <c r="AU122" s="35"/>
      <c r="AV122" s="27"/>
      <c r="AW122" s="36"/>
      <c r="AX122" s="31"/>
      <c r="AY122" s="35"/>
      <c r="AZ122" s="27"/>
      <c r="BA122" s="36"/>
      <c r="BB122" s="31"/>
      <c r="BC122" s="35"/>
      <c r="BD122" s="27"/>
      <c r="BE122" s="36"/>
      <c r="BF122" s="31"/>
      <c r="BG122" s="35"/>
      <c r="BH122" s="27"/>
      <c r="BI122" s="36"/>
      <c r="BJ122" s="31"/>
      <c r="BK122" s="35"/>
      <c r="BL122" s="27"/>
      <c r="BM122" s="36"/>
      <c r="BN122" s="35"/>
      <c r="BO122" s="35"/>
      <c r="BP122" s="27"/>
      <c r="BQ122" s="36"/>
      <c r="BR122" s="31"/>
      <c r="BS122" s="35"/>
      <c r="BT122" s="27"/>
      <c r="BU122" s="36"/>
      <c r="BV122" s="31"/>
      <c r="BW122" s="35"/>
      <c r="BX122" s="27"/>
      <c r="BY122" s="36"/>
      <c r="BZ122" s="31">
        <v>10000</v>
      </c>
      <c r="CA122" s="35">
        <v>31</v>
      </c>
      <c r="CB122" s="36">
        <v>44384</v>
      </c>
      <c r="CC122" s="36">
        <v>44390</v>
      </c>
      <c r="CD122" s="31"/>
      <c r="CE122" s="35"/>
      <c r="CF122" s="27"/>
      <c r="CG122" s="36"/>
      <c r="CH122" s="31"/>
      <c r="CI122" s="35"/>
      <c r="CJ122" s="27"/>
      <c r="CK122" s="36"/>
      <c r="CL122" s="31"/>
      <c r="CM122" s="35"/>
      <c r="CN122" s="27"/>
      <c r="CO122" s="36"/>
      <c r="CP122" s="31"/>
      <c r="CQ122" s="35"/>
      <c r="CR122" s="27"/>
      <c r="CS122" s="36"/>
      <c r="CT122" s="31"/>
      <c r="CU122" s="35"/>
      <c r="CV122" s="27"/>
      <c r="CW122" s="36"/>
      <c r="CX122" s="31"/>
      <c r="CY122" s="35"/>
      <c r="CZ122" s="27"/>
      <c r="DA122" s="36"/>
      <c r="DB122" s="31"/>
      <c r="DC122" s="35"/>
      <c r="DD122" s="27"/>
      <c r="DE122" s="36"/>
      <c r="DF122" s="31"/>
      <c r="DG122" s="35"/>
      <c r="DH122" s="27"/>
      <c r="DI122" s="36"/>
      <c r="DJ122" s="623">
        <f t="shared" si="3"/>
        <v>50000</v>
      </c>
      <c r="DK122" s="38">
        <f t="shared" si="4"/>
        <v>15042</v>
      </c>
    </row>
    <row r="123" spans="2:115" s="39" customFormat="1" ht="22.5">
      <c r="B123" s="97">
        <v>108</v>
      </c>
      <c r="C123" s="97">
        <v>31.02</v>
      </c>
      <c r="D123" s="532">
        <v>30269672</v>
      </c>
      <c r="E123" s="48" t="s">
        <v>2659</v>
      </c>
      <c r="F123" s="626" t="s">
        <v>146</v>
      </c>
      <c r="G123" s="26" t="s">
        <v>2545</v>
      </c>
      <c r="H123" s="26" t="s">
        <v>2546</v>
      </c>
      <c r="I123" s="626" t="s">
        <v>2537</v>
      </c>
      <c r="J123" s="34">
        <v>1713624</v>
      </c>
      <c r="K123" s="34">
        <v>1185203</v>
      </c>
      <c r="L123" s="34">
        <v>0</v>
      </c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>
        <f t="shared" si="5"/>
        <v>0</v>
      </c>
      <c r="Z123" s="31">
        <v>3445</v>
      </c>
      <c r="AA123" s="32">
        <v>2</v>
      </c>
      <c r="AB123" s="33">
        <v>44210</v>
      </c>
      <c r="AC123" s="33">
        <v>44211</v>
      </c>
      <c r="AD123" s="31"/>
      <c r="AE123" s="35"/>
      <c r="AF123" s="27"/>
      <c r="AG123" s="36"/>
      <c r="AH123" s="31"/>
      <c r="AI123" s="35"/>
      <c r="AJ123" s="27"/>
      <c r="AK123" s="36"/>
      <c r="AL123" s="31"/>
      <c r="AM123" s="35"/>
      <c r="AN123" s="27"/>
      <c r="AO123" s="36"/>
      <c r="AP123" s="31"/>
      <c r="AQ123" s="35"/>
      <c r="AR123" s="27"/>
      <c r="AS123" s="36"/>
      <c r="AT123" s="31"/>
      <c r="AU123" s="35"/>
      <c r="AV123" s="27"/>
      <c r="AW123" s="36"/>
      <c r="AX123" s="31"/>
      <c r="AY123" s="35"/>
      <c r="AZ123" s="27"/>
      <c r="BA123" s="36"/>
      <c r="BB123" s="31"/>
      <c r="BC123" s="35"/>
      <c r="BD123" s="27"/>
      <c r="BE123" s="36"/>
      <c r="BF123" s="31"/>
      <c r="BG123" s="35"/>
      <c r="BH123" s="27"/>
      <c r="BI123" s="36"/>
      <c r="BJ123" s="31"/>
      <c r="BK123" s="35"/>
      <c r="BL123" s="27"/>
      <c r="BM123" s="36"/>
      <c r="BN123" s="35"/>
      <c r="BO123" s="35"/>
      <c r="BP123" s="27"/>
      <c r="BQ123" s="36"/>
      <c r="BR123" s="31"/>
      <c r="BS123" s="35"/>
      <c r="BT123" s="27"/>
      <c r="BU123" s="36"/>
      <c r="BV123" s="31"/>
      <c r="BW123" s="35"/>
      <c r="BX123" s="27"/>
      <c r="BY123" s="36"/>
      <c r="BZ123" s="31"/>
      <c r="CA123" s="35"/>
      <c r="CB123" s="27"/>
      <c r="CC123" s="36"/>
      <c r="CD123" s="31"/>
      <c r="CE123" s="35"/>
      <c r="CF123" s="27"/>
      <c r="CG123" s="36"/>
      <c r="CH123" s="31"/>
      <c r="CI123" s="35"/>
      <c r="CJ123" s="27"/>
      <c r="CK123" s="36"/>
      <c r="CL123" s="31"/>
      <c r="CM123" s="35"/>
      <c r="CN123" s="27"/>
      <c r="CO123" s="36"/>
      <c r="CP123" s="31"/>
      <c r="CQ123" s="35"/>
      <c r="CR123" s="27"/>
      <c r="CS123" s="36"/>
      <c r="CT123" s="31"/>
      <c r="CU123" s="35"/>
      <c r="CV123" s="27"/>
      <c r="CW123" s="36"/>
      <c r="CX123" s="31"/>
      <c r="CY123" s="35"/>
      <c r="CZ123" s="27"/>
      <c r="DA123" s="36"/>
      <c r="DB123" s="31"/>
      <c r="DC123" s="35"/>
      <c r="DD123" s="27"/>
      <c r="DE123" s="36"/>
      <c r="DF123" s="31"/>
      <c r="DG123" s="35"/>
      <c r="DH123" s="27"/>
      <c r="DI123" s="36"/>
      <c r="DJ123" s="623">
        <f t="shared" si="3"/>
        <v>3445</v>
      </c>
      <c r="DK123" s="38">
        <f t="shared" si="4"/>
        <v>3445</v>
      </c>
    </row>
    <row r="124" spans="2:115" s="39" customFormat="1" ht="22.5">
      <c r="B124" s="97">
        <v>109</v>
      </c>
      <c r="C124" s="97">
        <v>31.02</v>
      </c>
      <c r="D124" s="532">
        <v>30305772</v>
      </c>
      <c r="E124" s="48" t="s">
        <v>2660</v>
      </c>
      <c r="F124" s="626" t="s">
        <v>158</v>
      </c>
      <c r="G124" s="26" t="s">
        <v>2661</v>
      </c>
      <c r="H124" s="26" t="s">
        <v>2549</v>
      </c>
      <c r="I124" s="626" t="s">
        <v>2537</v>
      </c>
      <c r="J124" s="34">
        <v>163939</v>
      </c>
      <c r="K124" s="34">
        <v>153862</v>
      </c>
      <c r="L124" s="34">
        <v>77</v>
      </c>
      <c r="M124" s="34"/>
      <c r="N124" s="34"/>
      <c r="O124" s="34"/>
      <c r="P124" s="34"/>
      <c r="Q124" s="34"/>
      <c r="R124" s="34"/>
      <c r="S124" s="34">
        <v>2538</v>
      </c>
      <c r="T124" s="34"/>
      <c r="U124" s="34"/>
      <c r="V124" s="34"/>
      <c r="W124" s="34"/>
      <c r="X124" s="34"/>
      <c r="Y124" s="34">
        <f t="shared" si="5"/>
        <v>2538</v>
      </c>
      <c r="Z124" s="31">
        <v>4000</v>
      </c>
      <c r="AA124" s="32">
        <v>2</v>
      </c>
      <c r="AB124" s="33">
        <v>44210</v>
      </c>
      <c r="AC124" s="33">
        <v>44211</v>
      </c>
      <c r="AD124" s="31"/>
      <c r="AE124" s="35"/>
      <c r="AF124" s="27"/>
      <c r="AG124" s="36"/>
      <c r="AH124" s="31"/>
      <c r="AI124" s="35"/>
      <c r="AJ124" s="27"/>
      <c r="AK124" s="36"/>
      <c r="AL124" s="31"/>
      <c r="AM124" s="35"/>
      <c r="AN124" s="27"/>
      <c r="AO124" s="36"/>
      <c r="AP124" s="31"/>
      <c r="AQ124" s="35"/>
      <c r="AR124" s="27"/>
      <c r="AS124" s="36"/>
      <c r="AT124" s="31"/>
      <c r="AU124" s="35"/>
      <c r="AV124" s="27"/>
      <c r="AW124" s="36"/>
      <c r="AX124" s="31"/>
      <c r="AY124" s="35"/>
      <c r="AZ124" s="27"/>
      <c r="BA124" s="36"/>
      <c r="BB124" s="31"/>
      <c r="BC124" s="35"/>
      <c r="BD124" s="27"/>
      <c r="BE124" s="36"/>
      <c r="BF124" s="31"/>
      <c r="BG124" s="35"/>
      <c r="BH124" s="27"/>
      <c r="BI124" s="36"/>
      <c r="BJ124" s="31"/>
      <c r="BK124" s="35"/>
      <c r="BL124" s="27"/>
      <c r="BM124" s="36"/>
      <c r="BN124" s="35"/>
      <c r="BO124" s="35"/>
      <c r="BP124" s="27"/>
      <c r="BQ124" s="36"/>
      <c r="BR124" s="31"/>
      <c r="BS124" s="35"/>
      <c r="BT124" s="27"/>
      <c r="BU124" s="36"/>
      <c r="BV124" s="31"/>
      <c r="BW124" s="35"/>
      <c r="BX124" s="27"/>
      <c r="BY124" s="36"/>
      <c r="BZ124" s="31"/>
      <c r="CA124" s="35"/>
      <c r="CB124" s="27"/>
      <c r="CC124" s="36"/>
      <c r="CD124" s="31"/>
      <c r="CE124" s="35"/>
      <c r="CF124" s="27"/>
      <c r="CG124" s="36"/>
      <c r="CH124" s="31"/>
      <c r="CI124" s="35"/>
      <c r="CJ124" s="27"/>
      <c r="CK124" s="36"/>
      <c r="CL124" s="31"/>
      <c r="CM124" s="35"/>
      <c r="CN124" s="27"/>
      <c r="CO124" s="36"/>
      <c r="CP124" s="31"/>
      <c r="CQ124" s="35"/>
      <c r="CR124" s="27"/>
      <c r="CS124" s="36"/>
      <c r="CT124" s="31"/>
      <c r="CU124" s="35"/>
      <c r="CV124" s="27"/>
      <c r="CW124" s="36"/>
      <c r="CX124" s="31"/>
      <c r="CY124" s="35"/>
      <c r="CZ124" s="27"/>
      <c r="DA124" s="36"/>
      <c r="DB124" s="31"/>
      <c r="DC124" s="35"/>
      <c r="DD124" s="27"/>
      <c r="DE124" s="36"/>
      <c r="DF124" s="31"/>
      <c r="DG124" s="35"/>
      <c r="DH124" s="27"/>
      <c r="DI124" s="36"/>
      <c r="DJ124" s="623">
        <f t="shared" si="3"/>
        <v>4000</v>
      </c>
      <c r="DK124" s="38">
        <f t="shared" si="4"/>
        <v>1462</v>
      </c>
    </row>
    <row r="125" spans="2:115" s="39" customFormat="1" ht="22.5">
      <c r="B125" s="97">
        <v>110</v>
      </c>
      <c r="C125" s="97">
        <v>31.02</v>
      </c>
      <c r="D125" s="532">
        <v>30318822</v>
      </c>
      <c r="E125" s="48" t="s">
        <v>2662</v>
      </c>
      <c r="F125" s="626" t="s">
        <v>158</v>
      </c>
      <c r="G125" s="26" t="s">
        <v>2545</v>
      </c>
      <c r="H125" s="26" t="s">
        <v>2546</v>
      </c>
      <c r="I125" s="626" t="s">
        <v>2537</v>
      </c>
      <c r="J125" s="34">
        <v>39712</v>
      </c>
      <c r="K125" s="34">
        <v>28001</v>
      </c>
      <c r="L125" s="34">
        <v>0</v>
      </c>
      <c r="M125" s="34"/>
      <c r="N125" s="34"/>
      <c r="O125" s="34">
        <v>6582</v>
      </c>
      <c r="P125" s="34"/>
      <c r="Q125" s="34"/>
      <c r="R125" s="34"/>
      <c r="S125" s="34"/>
      <c r="T125" s="34"/>
      <c r="U125" s="34"/>
      <c r="V125" s="34"/>
      <c r="W125" s="34"/>
      <c r="X125" s="34"/>
      <c r="Y125" s="34">
        <f t="shared" si="5"/>
        <v>6582</v>
      </c>
      <c r="Z125" s="31">
        <v>11711</v>
      </c>
      <c r="AA125" s="32">
        <v>2</v>
      </c>
      <c r="AB125" s="33">
        <v>44210</v>
      </c>
      <c r="AC125" s="33">
        <v>44211</v>
      </c>
      <c r="AD125" s="31"/>
      <c r="AE125" s="35"/>
      <c r="AF125" s="27"/>
      <c r="AG125" s="36"/>
      <c r="AH125" s="31"/>
      <c r="AI125" s="35"/>
      <c r="AJ125" s="27"/>
      <c r="AK125" s="36"/>
      <c r="AL125" s="31"/>
      <c r="AM125" s="35"/>
      <c r="AN125" s="27"/>
      <c r="AO125" s="36"/>
      <c r="AP125" s="31"/>
      <c r="AQ125" s="35"/>
      <c r="AR125" s="27"/>
      <c r="AS125" s="36"/>
      <c r="AT125" s="31"/>
      <c r="AU125" s="35"/>
      <c r="AV125" s="27"/>
      <c r="AW125" s="36"/>
      <c r="AX125" s="31"/>
      <c r="AY125" s="35"/>
      <c r="AZ125" s="27"/>
      <c r="BA125" s="36"/>
      <c r="BB125" s="31"/>
      <c r="BC125" s="35"/>
      <c r="BD125" s="27"/>
      <c r="BE125" s="36"/>
      <c r="BF125" s="31"/>
      <c r="BG125" s="35"/>
      <c r="BH125" s="27"/>
      <c r="BI125" s="36"/>
      <c r="BJ125" s="31"/>
      <c r="BK125" s="35"/>
      <c r="BL125" s="27"/>
      <c r="BM125" s="36"/>
      <c r="BN125" s="35"/>
      <c r="BO125" s="35"/>
      <c r="BP125" s="27"/>
      <c r="BQ125" s="36"/>
      <c r="BR125" s="31"/>
      <c r="BS125" s="35"/>
      <c r="BT125" s="27"/>
      <c r="BU125" s="36"/>
      <c r="BV125" s="31"/>
      <c r="BW125" s="35"/>
      <c r="BX125" s="27"/>
      <c r="BY125" s="36"/>
      <c r="BZ125" s="31"/>
      <c r="CA125" s="35"/>
      <c r="CB125" s="27"/>
      <c r="CC125" s="36"/>
      <c r="CD125" s="31"/>
      <c r="CE125" s="35"/>
      <c r="CF125" s="27"/>
      <c r="CG125" s="36"/>
      <c r="CH125" s="31"/>
      <c r="CI125" s="35"/>
      <c r="CJ125" s="27"/>
      <c r="CK125" s="36"/>
      <c r="CL125" s="31"/>
      <c r="CM125" s="35"/>
      <c r="CN125" s="27"/>
      <c r="CO125" s="36"/>
      <c r="CP125" s="31"/>
      <c r="CQ125" s="35"/>
      <c r="CR125" s="27"/>
      <c r="CS125" s="36"/>
      <c r="CT125" s="31"/>
      <c r="CU125" s="35"/>
      <c r="CV125" s="27"/>
      <c r="CW125" s="36"/>
      <c r="CX125" s="31"/>
      <c r="CY125" s="35"/>
      <c r="CZ125" s="27"/>
      <c r="DA125" s="36"/>
      <c r="DB125" s="31"/>
      <c r="DC125" s="35"/>
      <c r="DD125" s="27"/>
      <c r="DE125" s="36"/>
      <c r="DF125" s="31"/>
      <c r="DG125" s="35"/>
      <c r="DH125" s="27"/>
      <c r="DI125" s="36"/>
      <c r="DJ125" s="623">
        <f t="shared" si="3"/>
        <v>11711</v>
      </c>
      <c r="DK125" s="38">
        <f t="shared" si="4"/>
        <v>5129</v>
      </c>
    </row>
    <row r="126" spans="2:115" s="39" customFormat="1" ht="22.5">
      <c r="B126" s="97">
        <v>111</v>
      </c>
      <c r="C126" s="97">
        <v>31.02</v>
      </c>
      <c r="D126" s="532">
        <v>40001514</v>
      </c>
      <c r="E126" s="48" t="s">
        <v>2663</v>
      </c>
      <c r="F126" s="626" t="s">
        <v>146</v>
      </c>
      <c r="G126" s="26" t="s">
        <v>2664</v>
      </c>
      <c r="H126" s="26" t="s">
        <v>2665</v>
      </c>
      <c r="I126" s="626" t="s">
        <v>2537</v>
      </c>
      <c r="J126" s="34">
        <v>1719827</v>
      </c>
      <c r="K126" s="34">
        <v>0</v>
      </c>
      <c r="L126" s="34">
        <v>2</v>
      </c>
      <c r="M126" s="34"/>
      <c r="N126" s="34"/>
      <c r="O126" s="34">
        <v>144893</v>
      </c>
      <c r="P126" s="34"/>
      <c r="Q126" s="34">
        <v>149269</v>
      </c>
      <c r="R126" s="34">
        <v>122717</v>
      </c>
      <c r="S126" s="34"/>
      <c r="T126" s="34"/>
      <c r="U126" s="34"/>
      <c r="V126" s="34"/>
      <c r="W126" s="34"/>
      <c r="X126" s="34"/>
      <c r="Y126" s="34">
        <f t="shared" si="5"/>
        <v>416879</v>
      </c>
      <c r="Z126" s="31">
        <v>167479</v>
      </c>
      <c r="AA126" s="32">
        <v>2</v>
      </c>
      <c r="AB126" s="33">
        <v>44210</v>
      </c>
      <c r="AC126" s="33">
        <v>44211</v>
      </c>
      <c r="AD126" s="31"/>
      <c r="AE126" s="35"/>
      <c r="AF126" s="27"/>
      <c r="AG126" s="36"/>
      <c r="AH126" s="31"/>
      <c r="AI126" s="35"/>
      <c r="AJ126" s="27"/>
      <c r="AK126" s="36"/>
      <c r="AL126" s="31"/>
      <c r="AM126" s="35"/>
      <c r="AN126" s="27"/>
      <c r="AO126" s="36"/>
      <c r="AP126" s="31"/>
      <c r="AQ126" s="35"/>
      <c r="AR126" s="27"/>
      <c r="AS126" s="36"/>
      <c r="AT126" s="31">
        <v>50000</v>
      </c>
      <c r="AU126" s="35">
        <v>14</v>
      </c>
      <c r="AV126" s="33">
        <v>44279</v>
      </c>
      <c r="AW126" s="36">
        <v>44286</v>
      </c>
      <c r="AX126" s="31"/>
      <c r="AY126" s="35"/>
      <c r="AZ126" s="27"/>
      <c r="BA126" s="36"/>
      <c r="BB126" s="31"/>
      <c r="BC126" s="35"/>
      <c r="BD126" s="27"/>
      <c r="BE126" s="36"/>
      <c r="BF126" s="31"/>
      <c r="BG126" s="35"/>
      <c r="BH126" s="27"/>
      <c r="BI126" s="36"/>
      <c r="BJ126" s="31"/>
      <c r="BK126" s="35"/>
      <c r="BL126" s="27"/>
      <c r="BM126" s="36"/>
      <c r="BN126" s="35"/>
      <c r="BO126" s="35"/>
      <c r="BP126" s="27"/>
      <c r="BQ126" s="36"/>
      <c r="BR126" s="31"/>
      <c r="BS126" s="35"/>
      <c r="BT126" s="27"/>
      <c r="BU126" s="36"/>
      <c r="BV126" s="31"/>
      <c r="BW126" s="35"/>
      <c r="BX126" s="27"/>
      <c r="BY126" s="36"/>
      <c r="BZ126" s="31"/>
      <c r="CA126" s="35"/>
      <c r="CB126" s="27"/>
      <c r="CC126" s="36"/>
      <c r="CD126" s="31"/>
      <c r="CE126" s="35"/>
      <c r="CF126" s="27"/>
      <c r="CG126" s="36"/>
      <c r="CH126" s="31"/>
      <c r="CI126" s="35"/>
      <c r="CJ126" s="27"/>
      <c r="CK126" s="36"/>
      <c r="CL126" s="31"/>
      <c r="CM126" s="35"/>
      <c r="CN126" s="27"/>
      <c r="CO126" s="36"/>
      <c r="CP126" s="31"/>
      <c r="CQ126" s="35"/>
      <c r="CR126" s="27"/>
      <c r="CS126" s="36"/>
      <c r="CT126" s="31"/>
      <c r="CU126" s="35"/>
      <c r="CV126" s="27"/>
      <c r="CW126" s="36"/>
      <c r="CX126" s="31"/>
      <c r="CY126" s="35"/>
      <c r="CZ126" s="27"/>
      <c r="DA126" s="36"/>
      <c r="DB126" s="31"/>
      <c r="DC126" s="35"/>
      <c r="DD126" s="27"/>
      <c r="DE126" s="36"/>
      <c r="DF126" s="31"/>
      <c r="DG126" s="35"/>
      <c r="DH126" s="27"/>
      <c r="DI126" s="36"/>
      <c r="DJ126" s="623">
        <f t="shared" si="3"/>
        <v>217479</v>
      </c>
      <c r="DK126" s="38">
        <f t="shared" si="4"/>
        <v>-199400</v>
      </c>
    </row>
    <row r="127" spans="2:115" s="39" customFormat="1" ht="33.75">
      <c r="B127" s="97">
        <v>112</v>
      </c>
      <c r="C127" s="97">
        <v>31.02</v>
      </c>
      <c r="D127" s="532">
        <v>40002923</v>
      </c>
      <c r="E127" s="48" t="s">
        <v>2666</v>
      </c>
      <c r="F127" s="626" t="s">
        <v>146</v>
      </c>
      <c r="G127" s="26" t="s">
        <v>2545</v>
      </c>
      <c r="H127" s="26" t="s">
        <v>2546</v>
      </c>
      <c r="I127" s="626" t="s">
        <v>2537</v>
      </c>
      <c r="J127" s="34">
        <v>2189092</v>
      </c>
      <c r="K127" s="34">
        <v>0</v>
      </c>
      <c r="L127" s="34">
        <v>658426</v>
      </c>
      <c r="M127" s="34"/>
      <c r="N127" s="34"/>
      <c r="O127" s="34"/>
      <c r="P127" s="34"/>
      <c r="Q127" s="34">
        <v>17455</v>
      </c>
      <c r="R127" s="34"/>
      <c r="S127" s="34"/>
      <c r="T127" s="34"/>
      <c r="U127" s="34"/>
      <c r="V127" s="34"/>
      <c r="W127" s="34"/>
      <c r="X127" s="34"/>
      <c r="Y127" s="34">
        <f t="shared" si="5"/>
        <v>17455</v>
      </c>
      <c r="Z127" s="31">
        <v>1530666</v>
      </c>
      <c r="AA127" s="32">
        <v>2</v>
      </c>
      <c r="AB127" s="33">
        <v>44210</v>
      </c>
      <c r="AC127" s="33">
        <v>44211</v>
      </c>
      <c r="AD127" s="31"/>
      <c r="AE127" s="35"/>
      <c r="AF127" s="27"/>
      <c r="AG127" s="36"/>
      <c r="AH127" s="31"/>
      <c r="AI127" s="35"/>
      <c r="AJ127" s="27"/>
      <c r="AK127" s="36"/>
      <c r="AL127" s="31"/>
      <c r="AM127" s="35"/>
      <c r="AN127" s="27"/>
      <c r="AO127" s="36"/>
      <c r="AP127" s="31">
        <v>-100000</v>
      </c>
      <c r="AQ127" s="35">
        <v>11</v>
      </c>
      <c r="AR127" s="33">
        <v>44270</v>
      </c>
      <c r="AS127" s="36">
        <v>44277</v>
      </c>
      <c r="AT127" s="31">
        <v>-50000</v>
      </c>
      <c r="AU127" s="35">
        <v>14</v>
      </c>
      <c r="AV127" s="33">
        <v>44279</v>
      </c>
      <c r="AW127" s="36">
        <v>44286</v>
      </c>
      <c r="AX127" s="31"/>
      <c r="AY127" s="35"/>
      <c r="AZ127" s="27"/>
      <c r="BA127" s="36"/>
      <c r="BB127" s="31"/>
      <c r="BC127" s="35"/>
      <c r="BD127" s="27"/>
      <c r="BE127" s="36"/>
      <c r="BF127" s="31"/>
      <c r="BG127" s="35"/>
      <c r="BH127" s="27"/>
      <c r="BI127" s="36"/>
      <c r="BJ127" s="31"/>
      <c r="BK127" s="35"/>
      <c r="BL127" s="27"/>
      <c r="BM127" s="36"/>
      <c r="BN127" s="35"/>
      <c r="BO127" s="35"/>
      <c r="BP127" s="27"/>
      <c r="BQ127" s="36"/>
      <c r="BR127" s="31">
        <v>-515814</v>
      </c>
      <c r="BS127" s="35">
        <v>17</v>
      </c>
      <c r="BT127" s="33">
        <v>44301</v>
      </c>
      <c r="BU127" s="36">
        <v>44312</v>
      </c>
      <c r="BV127" s="31">
        <v>-70000</v>
      </c>
      <c r="BW127" s="35">
        <v>27</v>
      </c>
      <c r="BX127" s="33">
        <v>44350</v>
      </c>
      <c r="BY127" s="36">
        <v>44355</v>
      </c>
      <c r="BZ127" s="31"/>
      <c r="CA127" s="35"/>
      <c r="CB127" s="33"/>
      <c r="CC127" s="36"/>
      <c r="CD127" s="31"/>
      <c r="CE127" s="35"/>
      <c r="CF127" s="33"/>
      <c r="CG127" s="36"/>
      <c r="CH127" s="31"/>
      <c r="CI127" s="35"/>
      <c r="CJ127" s="33"/>
      <c r="CK127" s="36"/>
      <c r="CL127" s="31"/>
      <c r="CM127" s="35"/>
      <c r="CN127" s="33"/>
      <c r="CO127" s="36"/>
      <c r="CP127" s="31"/>
      <c r="CQ127" s="35"/>
      <c r="CR127" s="33"/>
      <c r="CS127" s="36"/>
      <c r="CT127" s="31"/>
      <c r="CU127" s="35"/>
      <c r="CV127" s="33"/>
      <c r="CW127" s="36"/>
      <c r="CX127" s="31"/>
      <c r="CY127" s="35"/>
      <c r="CZ127" s="33"/>
      <c r="DA127" s="36"/>
      <c r="DB127" s="31">
        <v>-24917</v>
      </c>
      <c r="DC127" s="35">
        <v>38</v>
      </c>
      <c r="DD127" s="33">
        <v>44425</v>
      </c>
      <c r="DE127" s="36">
        <v>44428</v>
      </c>
      <c r="DF127" s="31"/>
      <c r="DG127" s="35"/>
      <c r="DH127" s="33"/>
      <c r="DI127" s="36"/>
      <c r="DJ127" s="623">
        <f t="shared" si="3"/>
        <v>769935</v>
      </c>
      <c r="DK127" s="38">
        <f t="shared" si="4"/>
        <v>752480</v>
      </c>
    </row>
    <row r="128" spans="2:115" s="39" customFormat="1" ht="22.5">
      <c r="B128" s="97">
        <v>113</v>
      </c>
      <c r="C128" s="97">
        <v>31.02</v>
      </c>
      <c r="D128" s="532">
        <v>40007650</v>
      </c>
      <c r="E128" s="48" t="s">
        <v>2667</v>
      </c>
      <c r="F128" s="626" t="s">
        <v>158</v>
      </c>
      <c r="G128" s="26" t="s">
        <v>2545</v>
      </c>
      <c r="H128" s="26" t="s">
        <v>2546</v>
      </c>
      <c r="I128" s="626" t="s">
        <v>2537</v>
      </c>
      <c r="J128" s="34">
        <v>132616</v>
      </c>
      <c r="K128" s="34">
        <v>0</v>
      </c>
      <c r="L128" s="34">
        <v>99998</v>
      </c>
      <c r="M128" s="34"/>
      <c r="N128" s="34"/>
      <c r="O128" s="34"/>
      <c r="P128" s="34"/>
      <c r="Q128" s="34">
        <v>31000</v>
      </c>
      <c r="R128" s="34">
        <v>31000</v>
      </c>
      <c r="S128" s="34"/>
      <c r="T128" s="34">
        <v>31000</v>
      </c>
      <c r="U128" s="34"/>
      <c r="V128" s="34"/>
      <c r="W128" s="34"/>
      <c r="X128" s="34"/>
      <c r="Y128" s="34">
        <f t="shared" si="5"/>
        <v>93000</v>
      </c>
      <c r="Z128" s="31">
        <v>32618</v>
      </c>
      <c r="AA128" s="32">
        <v>2</v>
      </c>
      <c r="AB128" s="33">
        <v>44210</v>
      </c>
      <c r="AC128" s="33">
        <v>44211</v>
      </c>
      <c r="AD128" s="31"/>
      <c r="AE128" s="35"/>
      <c r="AF128" s="27"/>
      <c r="AG128" s="36"/>
      <c r="AH128" s="31"/>
      <c r="AI128" s="35"/>
      <c r="AJ128" s="27"/>
      <c r="AK128" s="36"/>
      <c r="AL128" s="31"/>
      <c r="AM128" s="35"/>
      <c r="AN128" s="27"/>
      <c r="AO128" s="36"/>
      <c r="AP128" s="31"/>
      <c r="AQ128" s="35"/>
      <c r="AR128" s="27"/>
      <c r="AS128" s="36"/>
      <c r="AT128" s="31">
        <v>0</v>
      </c>
      <c r="AU128" s="35">
        <v>14</v>
      </c>
      <c r="AV128" s="33">
        <v>44279</v>
      </c>
      <c r="AW128" s="36">
        <v>44286</v>
      </c>
      <c r="AX128" s="31"/>
      <c r="AY128" s="35"/>
      <c r="AZ128" s="27"/>
      <c r="BA128" s="36"/>
      <c r="BB128" s="31"/>
      <c r="BC128" s="35"/>
      <c r="BD128" s="27"/>
      <c r="BE128" s="36"/>
      <c r="BF128" s="31"/>
      <c r="BG128" s="35"/>
      <c r="BH128" s="27"/>
      <c r="BI128" s="36"/>
      <c r="BJ128" s="31"/>
      <c r="BK128" s="35"/>
      <c r="BL128" s="27"/>
      <c r="BM128" s="36"/>
      <c r="BN128" s="35"/>
      <c r="BO128" s="35"/>
      <c r="BP128" s="27"/>
      <c r="BQ128" s="36"/>
      <c r="BR128" s="31"/>
      <c r="BS128" s="35"/>
      <c r="BT128" s="27"/>
      <c r="BU128" s="36"/>
      <c r="BV128" s="31">
        <v>70000</v>
      </c>
      <c r="BW128" s="35">
        <v>27</v>
      </c>
      <c r="BX128" s="33">
        <v>44350</v>
      </c>
      <c r="BY128" s="36">
        <v>44355</v>
      </c>
      <c r="BZ128" s="31"/>
      <c r="CA128" s="35"/>
      <c r="CB128" s="33"/>
      <c r="CC128" s="36"/>
      <c r="CD128" s="31"/>
      <c r="CE128" s="35"/>
      <c r="CF128" s="33"/>
      <c r="CG128" s="36"/>
      <c r="CH128" s="31"/>
      <c r="CI128" s="35"/>
      <c r="CJ128" s="33"/>
      <c r="CK128" s="36"/>
      <c r="CL128" s="31"/>
      <c r="CM128" s="35"/>
      <c r="CN128" s="33"/>
      <c r="CO128" s="36"/>
      <c r="CP128" s="31"/>
      <c r="CQ128" s="35"/>
      <c r="CR128" s="33"/>
      <c r="CS128" s="36"/>
      <c r="CT128" s="31"/>
      <c r="CU128" s="35"/>
      <c r="CV128" s="33"/>
      <c r="CW128" s="36"/>
      <c r="CX128" s="31"/>
      <c r="CY128" s="35"/>
      <c r="CZ128" s="33"/>
      <c r="DA128" s="36"/>
      <c r="DB128" s="31">
        <v>24917</v>
      </c>
      <c r="DC128" s="35">
        <v>38</v>
      </c>
      <c r="DD128" s="33">
        <v>44425</v>
      </c>
      <c r="DE128" s="36">
        <v>44428</v>
      </c>
      <c r="DF128" s="31"/>
      <c r="DG128" s="35"/>
      <c r="DH128" s="33"/>
      <c r="DI128" s="36"/>
      <c r="DJ128" s="623">
        <f t="shared" si="3"/>
        <v>127535</v>
      </c>
      <c r="DK128" s="38">
        <f t="shared" si="4"/>
        <v>34535</v>
      </c>
    </row>
    <row r="129" spans="2:115" s="39" customFormat="1" ht="22.5">
      <c r="B129" s="97">
        <v>114</v>
      </c>
      <c r="C129" s="97">
        <v>31.02</v>
      </c>
      <c r="D129" s="532">
        <v>30443029</v>
      </c>
      <c r="E129" s="48" t="s">
        <v>2668</v>
      </c>
      <c r="F129" s="626" t="s">
        <v>146</v>
      </c>
      <c r="G129" s="26" t="s">
        <v>2542</v>
      </c>
      <c r="H129" s="26" t="s">
        <v>2543</v>
      </c>
      <c r="I129" s="626" t="s">
        <v>2537</v>
      </c>
      <c r="J129" s="34">
        <v>484058</v>
      </c>
      <c r="K129" s="34">
        <v>0</v>
      </c>
      <c r="L129" s="34">
        <v>0</v>
      </c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>
        <f t="shared" si="5"/>
        <v>0</v>
      </c>
      <c r="Z129" s="31">
        <v>484058</v>
      </c>
      <c r="AA129" s="32">
        <v>2</v>
      </c>
      <c r="AB129" s="33">
        <v>44210</v>
      </c>
      <c r="AC129" s="33">
        <v>44211</v>
      </c>
      <c r="AD129" s="31"/>
      <c r="AE129" s="35"/>
      <c r="AF129" s="27"/>
      <c r="AG129" s="36"/>
      <c r="AH129" s="31"/>
      <c r="AI129" s="35"/>
      <c r="AJ129" s="27"/>
      <c r="AK129" s="36"/>
      <c r="AL129" s="31"/>
      <c r="AM129" s="35"/>
      <c r="AN129" s="27"/>
      <c r="AO129" s="36"/>
      <c r="AP129" s="31"/>
      <c r="AQ129" s="35"/>
      <c r="AR129" s="27"/>
      <c r="AS129" s="36"/>
      <c r="AT129" s="31"/>
      <c r="AU129" s="35"/>
      <c r="AV129" s="27"/>
      <c r="AW129" s="36"/>
      <c r="AX129" s="31"/>
      <c r="AY129" s="35"/>
      <c r="AZ129" s="27"/>
      <c r="BA129" s="36"/>
      <c r="BB129" s="31"/>
      <c r="BC129" s="35"/>
      <c r="BD129" s="27"/>
      <c r="BE129" s="36"/>
      <c r="BF129" s="31"/>
      <c r="BG129" s="35"/>
      <c r="BH129" s="27"/>
      <c r="BI129" s="36"/>
      <c r="BJ129" s="31"/>
      <c r="BK129" s="35"/>
      <c r="BL129" s="27"/>
      <c r="BM129" s="36"/>
      <c r="BN129" s="35"/>
      <c r="BO129" s="35"/>
      <c r="BP129" s="27"/>
      <c r="BQ129" s="36"/>
      <c r="BR129" s="31"/>
      <c r="BS129" s="35"/>
      <c r="BT129" s="27"/>
      <c r="BU129" s="36"/>
      <c r="BV129" s="31"/>
      <c r="BW129" s="35"/>
      <c r="BX129" s="27"/>
      <c r="BY129" s="36"/>
      <c r="BZ129" s="31"/>
      <c r="CA129" s="35"/>
      <c r="CB129" s="27"/>
      <c r="CC129" s="36"/>
      <c r="CD129" s="31"/>
      <c r="CE129" s="35"/>
      <c r="CF129" s="27"/>
      <c r="CG129" s="36"/>
      <c r="CH129" s="31"/>
      <c r="CI129" s="35"/>
      <c r="CJ129" s="27"/>
      <c r="CK129" s="36"/>
      <c r="CL129" s="31"/>
      <c r="CM129" s="35"/>
      <c r="CN129" s="27"/>
      <c r="CO129" s="36"/>
      <c r="CP129" s="31"/>
      <c r="CQ129" s="35"/>
      <c r="CR129" s="27"/>
      <c r="CS129" s="36"/>
      <c r="CT129" s="31"/>
      <c r="CU129" s="35"/>
      <c r="CV129" s="27"/>
      <c r="CW129" s="36"/>
      <c r="CX129" s="31"/>
      <c r="CY129" s="35"/>
      <c r="CZ129" s="27"/>
      <c r="DA129" s="36"/>
      <c r="DB129" s="31"/>
      <c r="DC129" s="35"/>
      <c r="DD129" s="27"/>
      <c r="DE129" s="36"/>
      <c r="DF129" s="31"/>
      <c r="DG129" s="35"/>
      <c r="DH129" s="27"/>
      <c r="DI129" s="36"/>
      <c r="DJ129" s="623">
        <f t="shared" si="3"/>
        <v>484058</v>
      </c>
      <c r="DK129" s="38">
        <f t="shared" si="4"/>
        <v>484058</v>
      </c>
    </row>
    <row r="130" spans="2:115" s="39" customFormat="1" ht="22.5">
      <c r="B130" s="97">
        <v>115</v>
      </c>
      <c r="C130" s="97">
        <v>31.02</v>
      </c>
      <c r="D130" s="532">
        <v>30429277</v>
      </c>
      <c r="E130" s="48" t="s">
        <v>2669</v>
      </c>
      <c r="F130" s="626" t="s">
        <v>158</v>
      </c>
      <c r="G130" s="26" t="s">
        <v>2545</v>
      </c>
      <c r="H130" s="26" t="s">
        <v>2546</v>
      </c>
      <c r="I130" s="626" t="s">
        <v>2537</v>
      </c>
      <c r="J130" s="34">
        <v>36933</v>
      </c>
      <c r="K130" s="34">
        <v>22698</v>
      </c>
      <c r="L130" s="34">
        <v>5717</v>
      </c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>
        <f t="shared" si="5"/>
        <v>0</v>
      </c>
      <c r="Z130" s="31">
        <v>8518</v>
      </c>
      <c r="AA130" s="32">
        <v>5</v>
      </c>
      <c r="AB130" s="33">
        <v>44224</v>
      </c>
      <c r="AC130" s="33">
        <v>44242</v>
      </c>
      <c r="AD130" s="31"/>
      <c r="AE130" s="35"/>
      <c r="AF130" s="27"/>
      <c r="AG130" s="36"/>
      <c r="AH130" s="31"/>
      <c r="AI130" s="35"/>
      <c r="AJ130" s="27"/>
      <c r="AK130" s="36"/>
      <c r="AL130" s="31"/>
      <c r="AM130" s="35"/>
      <c r="AN130" s="27"/>
      <c r="AO130" s="36"/>
      <c r="AP130" s="31"/>
      <c r="AQ130" s="35"/>
      <c r="AR130" s="27"/>
      <c r="AS130" s="36"/>
      <c r="AT130" s="31"/>
      <c r="AU130" s="35"/>
      <c r="AV130" s="27"/>
      <c r="AW130" s="36"/>
      <c r="AX130" s="31"/>
      <c r="AY130" s="35"/>
      <c r="AZ130" s="27"/>
      <c r="BA130" s="36"/>
      <c r="BB130" s="31"/>
      <c r="BC130" s="35"/>
      <c r="BD130" s="27"/>
      <c r="BE130" s="36"/>
      <c r="BF130" s="31"/>
      <c r="BG130" s="35"/>
      <c r="BH130" s="27"/>
      <c r="BI130" s="36"/>
      <c r="BJ130" s="31"/>
      <c r="BK130" s="35"/>
      <c r="BL130" s="27"/>
      <c r="BM130" s="36"/>
      <c r="BN130" s="35"/>
      <c r="BO130" s="35"/>
      <c r="BP130" s="27"/>
      <c r="BQ130" s="36"/>
      <c r="BR130" s="31"/>
      <c r="BS130" s="35"/>
      <c r="BT130" s="27"/>
      <c r="BU130" s="36"/>
      <c r="BV130" s="31"/>
      <c r="BW130" s="35"/>
      <c r="BX130" s="27"/>
      <c r="BY130" s="36"/>
      <c r="BZ130" s="31"/>
      <c r="CA130" s="35"/>
      <c r="CB130" s="27"/>
      <c r="CC130" s="36"/>
      <c r="CD130" s="31"/>
      <c r="CE130" s="35"/>
      <c r="CF130" s="27"/>
      <c r="CG130" s="36"/>
      <c r="CH130" s="31"/>
      <c r="CI130" s="35"/>
      <c r="CJ130" s="27"/>
      <c r="CK130" s="36"/>
      <c r="CL130" s="31"/>
      <c r="CM130" s="35"/>
      <c r="CN130" s="27"/>
      <c r="CO130" s="36"/>
      <c r="CP130" s="31"/>
      <c r="CQ130" s="35"/>
      <c r="CR130" s="27"/>
      <c r="CS130" s="36"/>
      <c r="CT130" s="31"/>
      <c r="CU130" s="35"/>
      <c r="CV130" s="27"/>
      <c r="CW130" s="36"/>
      <c r="CX130" s="31"/>
      <c r="CY130" s="35"/>
      <c r="CZ130" s="27"/>
      <c r="DA130" s="36"/>
      <c r="DB130" s="31"/>
      <c r="DC130" s="35"/>
      <c r="DD130" s="27"/>
      <c r="DE130" s="36"/>
      <c r="DF130" s="31"/>
      <c r="DG130" s="35"/>
      <c r="DH130" s="27"/>
      <c r="DI130" s="36"/>
      <c r="DJ130" s="623">
        <f t="shared" si="3"/>
        <v>8518</v>
      </c>
      <c r="DK130" s="38">
        <f t="shared" si="4"/>
        <v>8518</v>
      </c>
    </row>
    <row r="131" spans="2:115" s="39" customFormat="1" ht="22.5">
      <c r="B131" s="97">
        <v>116</v>
      </c>
      <c r="C131" s="97">
        <v>31.02</v>
      </c>
      <c r="D131" s="532">
        <v>30370976</v>
      </c>
      <c r="E131" s="48" t="s">
        <v>2670</v>
      </c>
      <c r="F131" s="626" t="s">
        <v>158</v>
      </c>
      <c r="G131" s="26" t="s">
        <v>2542</v>
      </c>
      <c r="H131" s="26" t="s">
        <v>2543</v>
      </c>
      <c r="I131" s="626" t="s">
        <v>2537</v>
      </c>
      <c r="J131" s="34">
        <v>51599</v>
      </c>
      <c r="K131" s="34">
        <v>0</v>
      </c>
      <c r="L131" s="34">
        <v>22171</v>
      </c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>
        <f t="shared" si="5"/>
        <v>0</v>
      </c>
      <c r="Z131" s="31">
        <v>29428</v>
      </c>
      <c r="AA131" s="32">
        <v>5</v>
      </c>
      <c r="AB131" s="33">
        <v>44224</v>
      </c>
      <c r="AC131" s="33">
        <v>44242</v>
      </c>
      <c r="AD131" s="31"/>
      <c r="AE131" s="35"/>
      <c r="AF131" s="27"/>
      <c r="AG131" s="36"/>
      <c r="AH131" s="31"/>
      <c r="AI131" s="35"/>
      <c r="AJ131" s="27"/>
      <c r="AK131" s="36"/>
      <c r="AL131" s="31"/>
      <c r="AM131" s="35"/>
      <c r="AN131" s="27"/>
      <c r="AO131" s="36"/>
      <c r="AP131" s="31"/>
      <c r="AQ131" s="35"/>
      <c r="AR131" s="27"/>
      <c r="AS131" s="36"/>
      <c r="AT131" s="31"/>
      <c r="AU131" s="35"/>
      <c r="AV131" s="27"/>
      <c r="AW131" s="36"/>
      <c r="AX131" s="31"/>
      <c r="AY131" s="35"/>
      <c r="AZ131" s="27"/>
      <c r="BA131" s="36"/>
      <c r="BB131" s="31"/>
      <c r="BC131" s="35"/>
      <c r="BD131" s="27"/>
      <c r="BE131" s="36"/>
      <c r="BF131" s="31"/>
      <c r="BG131" s="35"/>
      <c r="BH131" s="27"/>
      <c r="BI131" s="36"/>
      <c r="BJ131" s="31"/>
      <c r="BK131" s="35"/>
      <c r="BL131" s="27"/>
      <c r="BM131" s="36"/>
      <c r="BN131" s="35"/>
      <c r="BO131" s="35"/>
      <c r="BP131" s="27"/>
      <c r="BQ131" s="36"/>
      <c r="BR131" s="31"/>
      <c r="BS131" s="35"/>
      <c r="BT131" s="27"/>
      <c r="BU131" s="36"/>
      <c r="BV131" s="31"/>
      <c r="BW131" s="35"/>
      <c r="BX131" s="27"/>
      <c r="BY131" s="36"/>
      <c r="BZ131" s="31"/>
      <c r="CA131" s="35"/>
      <c r="CB131" s="27"/>
      <c r="CC131" s="36"/>
      <c r="CD131" s="31"/>
      <c r="CE131" s="35"/>
      <c r="CF131" s="27"/>
      <c r="CG131" s="36"/>
      <c r="CH131" s="31"/>
      <c r="CI131" s="35"/>
      <c r="CJ131" s="27"/>
      <c r="CK131" s="36"/>
      <c r="CL131" s="31"/>
      <c r="CM131" s="35"/>
      <c r="CN131" s="27"/>
      <c r="CO131" s="36"/>
      <c r="CP131" s="31"/>
      <c r="CQ131" s="35"/>
      <c r="CR131" s="27"/>
      <c r="CS131" s="36"/>
      <c r="CT131" s="31"/>
      <c r="CU131" s="35"/>
      <c r="CV131" s="27"/>
      <c r="CW131" s="36"/>
      <c r="CX131" s="31"/>
      <c r="CY131" s="35"/>
      <c r="CZ131" s="27"/>
      <c r="DA131" s="36"/>
      <c r="DB131" s="31"/>
      <c r="DC131" s="35"/>
      <c r="DD131" s="27"/>
      <c r="DE131" s="36"/>
      <c r="DF131" s="31"/>
      <c r="DG131" s="35"/>
      <c r="DH131" s="27"/>
      <c r="DI131" s="36"/>
      <c r="DJ131" s="623">
        <f t="shared" si="3"/>
        <v>29428</v>
      </c>
      <c r="DK131" s="38">
        <f t="shared" si="4"/>
        <v>29428</v>
      </c>
    </row>
    <row r="132" spans="2:115" s="39" customFormat="1" ht="22.5">
      <c r="B132" s="97">
        <v>117</v>
      </c>
      <c r="C132" s="97">
        <v>31.02</v>
      </c>
      <c r="D132" s="532">
        <v>40026646</v>
      </c>
      <c r="E132" s="48" t="s">
        <v>2671</v>
      </c>
      <c r="F132" s="626" t="s">
        <v>158</v>
      </c>
      <c r="G132" s="26" t="s">
        <v>2535</v>
      </c>
      <c r="H132" s="26" t="s">
        <v>2539</v>
      </c>
      <c r="I132" s="626" t="s">
        <v>2540</v>
      </c>
      <c r="J132" s="34">
        <v>25358</v>
      </c>
      <c r="K132" s="34">
        <v>0</v>
      </c>
      <c r="L132" s="34">
        <v>17587</v>
      </c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>
        <f t="shared" si="5"/>
        <v>0</v>
      </c>
      <c r="Z132" s="31">
        <v>2</v>
      </c>
      <c r="AA132" s="32">
        <v>18</v>
      </c>
      <c r="AB132" s="33">
        <v>44301</v>
      </c>
      <c r="AC132" s="33">
        <v>44312</v>
      </c>
      <c r="AD132" s="31"/>
      <c r="AE132" s="35"/>
      <c r="AF132" s="27"/>
      <c r="AG132" s="36"/>
      <c r="AH132" s="31"/>
      <c r="AI132" s="35"/>
      <c r="AJ132" s="27"/>
      <c r="AK132" s="36"/>
      <c r="AL132" s="31"/>
      <c r="AM132" s="35"/>
      <c r="AN132" s="27"/>
      <c r="AO132" s="36"/>
      <c r="AP132" s="31"/>
      <c r="AQ132" s="35"/>
      <c r="AR132" s="27"/>
      <c r="AS132" s="36"/>
      <c r="AT132" s="31"/>
      <c r="AU132" s="35"/>
      <c r="AV132" s="27"/>
      <c r="AW132" s="36"/>
      <c r="AX132" s="31"/>
      <c r="AY132" s="35"/>
      <c r="AZ132" s="27"/>
      <c r="BA132" s="36"/>
      <c r="BB132" s="31"/>
      <c r="BC132" s="35"/>
      <c r="BD132" s="27"/>
      <c r="BE132" s="36"/>
      <c r="BF132" s="31">
        <v>25366</v>
      </c>
      <c r="BG132" s="35">
        <v>25</v>
      </c>
      <c r="BH132" s="33">
        <v>44329</v>
      </c>
      <c r="BI132" s="36">
        <v>44335</v>
      </c>
      <c r="BJ132" s="31"/>
      <c r="BK132" s="35"/>
      <c r="BL132" s="27"/>
      <c r="BM132" s="36"/>
      <c r="BN132" s="35"/>
      <c r="BO132" s="35"/>
      <c r="BP132" s="27"/>
      <c r="BQ132" s="36"/>
      <c r="BR132" s="31"/>
      <c r="BS132" s="35"/>
      <c r="BT132" s="27"/>
      <c r="BU132" s="36"/>
      <c r="BV132" s="31"/>
      <c r="BW132" s="35"/>
      <c r="BX132" s="27"/>
      <c r="BY132" s="36"/>
      <c r="BZ132" s="31"/>
      <c r="CA132" s="35"/>
      <c r="CB132" s="27"/>
      <c r="CC132" s="36"/>
      <c r="CD132" s="31"/>
      <c r="CE132" s="35"/>
      <c r="CF132" s="27"/>
      <c r="CG132" s="36"/>
      <c r="CH132" s="31"/>
      <c r="CI132" s="35"/>
      <c r="CJ132" s="27"/>
      <c r="CK132" s="36"/>
      <c r="CL132" s="31"/>
      <c r="CM132" s="35"/>
      <c r="CN132" s="27"/>
      <c r="CO132" s="36"/>
      <c r="CP132" s="31"/>
      <c r="CQ132" s="35"/>
      <c r="CR132" s="27"/>
      <c r="CS132" s="36"/>
      <c r="CT132" s="31"/>
      <c r="CU132" s="35"/>
      <c r="CV132" s="27"/>
      <c r="CW132" s="36"/>
      <c r="CX132" s="31"/>
      <c r="CY132" s="35"/>
      <c r="CZ132" s="27"/>
      <c r="DA132" s="36"/>
      <c r="DB132" s="31"/>
      <c r="DC132" s="35"/>
      <c r="DD132" s="27"/>
      <c r="DE132" s="36"/>
      <c r="DF132" s="31"/>
      <c r="DG132" s="35"/>
      <c r="DH132" s="27"/>
      <c r="DI132" s="36"/>
      <c r="DJ132" s="623">
        <f t="shared" si="3"/>
        <v>25368</v>
      </c>
      <c r="DK132" s="38">
        <f t="shared" si="4"/>
        <v>25368</v>
      </c>
    </row>
    <row r="133" spans="2:115" s="39" customFormat="1" ht="22.5">
      <c r="B133" s="97">
        <v>118</v>
      </c>
      <c r="C133" s="97">
        <v>31.02</v>
      </c>
      <c r="D133" s="532">
        <v>30481891</v>
      </c>
      <c r="E133" s="48" t="s">
        <v>2672</v>
      </c>
      <c r="F133" s="626" t="s">
        <v>146</v>
      </c>
      <c r="G133" s="26" t="s">
        <v>2535</v>
      </c>
      <c r="H133" s="26" t="s">
        <v>2539</v>
      </c>
      <c r="I133" s="626" t="s">
        <v>2537</v>
      </c>
      <c r="J133" s="34">
        <v>3014510</v>
      </c>
      <c r="K133" s="34">
        <v>1463486</v>
      </c>
      <c r="L133" s="34">
        <v>0</v>
      </c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>
        <f t="shared" si="5"/>
        <v>0</v>
      </c>
      <c r="Z133" s="31">
        <v>5000</v>
      </c>
      <c r="AA133" s="32">
        <v>18</v>
      </c>
      <c r="AB133" s="33">
        <v>44301</v>
      </c>
      <c r="AC133" s="33">
        <v>44312</v>
      </c>
      <c r="AD133" s="31"/>
      <c r="AE133" s="35"/>
      <c r="AF133" s="27"/>
      <c r="AG133" s="36"/>
      <c r="AH133" s="31"/>
      <c r="AI133" s="35"/>
      <c r="AJ133" s="27"/>
      <c r="AK133" s="36"/>
      <c r="AL133" s="31"/>
      <c r="AM133" s="35"/>
      <c r="AN133" s="27"/>
      <c r="AO133" s="36"/>
      <c r="AP133" s="31"/>
      <c r="AQ133" s="35"/>
      <c r="AR133" s="27"/>
      <c r="AS133" s="36"/>
      <c r="AT133" s="31"/>
      <c r="AU133" s="35"/>
      <c r="AV133" s="27"/>
      <c r="AW133" s="36"/>
      <c r="AX133" s="31"/>
      <c r="AY133" s="35"/>
      <c r="AZ133" s="27"/>
      <c r="BA133" s="36"/>
      <c r="BB133" s="31"/>
      <c r="BC133" s="35"/>
      <c r="BD133" s="27"/>
      <c r="BE133" s="36"/>
      <c r="BF133" s="31"/>
      <c r="BG133" s="35"/>
      <c r="BH133" s="27"/>
      <c r="BI133" s="36"/>
      <c r="BJ133" s="31"/>
      <c r="BK133" s="35"/>
      <c r="BL133" s="27"/>
      <c r="BM133" s="36"/>
      <c r="BN133" s="35"/>
      <c r="BO133" s="35"/>
      <c r="BP133" s="27"/>
      <c r="BQ133" s="36"/>
      <c r="BR133" s="31"/>
      <c r="BS133" s="35"/>
      <c r="BT133" s="27"/>
      <c r="BU133" s="36"/>
      <c r="BV133" s="31"/>
      <c r="BW133" s="35"/>
      <c r="BX133" s="27"/>
      <c r="BY133" s="36"/>
      <c r="BZ133" s="31"/>
      <c r="CA133" s="35"/>
      <c r="CB133" s="27"/>
      <c r="CC133" s="36"/>
      <c r="CD133" s="31"/>
      <c r="CE133" s="35"/>
      <c r="CF133" s="27"/>
      <c r="CG133" s="36"/>
      <c r="CH133" s="31"/>
      <c r="CI133" s="35"/>
      <c r="CJ133" s="27"/>
      <c r="CK133" s="36"/>
      <c r="CL133" s="31"/>
      <c r="CM133" s="35"/>
      <c r="CN133" s="27"/>
      <c r="CO133" s="36"/>
      <c r="CP133" s="31"/>
      <c r="CQ133" s="35"/>
      <c r="CR133" s="27"/>
      <c r="CS133" s="36"/>
      <c r="CT133" s="31"/>
      <c r="CU133" s="35"/>
      <c r="CV133" s="27"/>
      <c r="CW133" s="36"/>
      <c r="CX133" s="31"/>
      <c r="CY133" s="35"/>
      <c r="CZ133" s="27"/>
      <c r="DA133" s="36"/>
      <c r="DB133" s="31"/>
      <c r="DC133" s="35"/>
      <c r="DD133" s="27"/>
      <c r="DE133" s="36"/>
      <c r="DF133" s="31"/>
      <c r="DG133" s="35"/>
      <c r="DH133" s="27"/>
      <c r="DI133" s="36"/>
      <c r="DJ133" s="623">
        <f t="shared" si="3"/>
        <v>5000</v>
      </c>
      <c r="DK133" s="38">
        <f t="shared" si="4"/>
        <v>5000</v>
      </c>
    </row>
    <row r="134" spans="2:115" s="39" customFormat="1" ht="33.75">
      <c r="B134" s="97">
        <v>119</v>
      </c>
      <c r="C134" s="97">
        <v>31.03</v>
      </c>
      <c r="D134" s="532">
        <v>30095294</v>
      </c>
      <c r="E134" s="48" t="s">
        <v>2673</v>
      </c>
      <c r="F134" s="626" t="s">
        <v>146</v>
      </c>
      <c r="G134" s="26" t="s">
        <v>2535</v>
      </c>
      <c r="H134" s="26" t="s">
        <v>2539</v>
      </c>
      <c r="I134" s="626" t="s">
        <v>2537</v>
      </c>
      <c r="J134" s="34">
        <v>305749</v>
      </c>
      <c r="K134" s="34">
        <v>220749</v>
      </c>
      <c r="L134" s="34">
        <v>0</v>
      </c>
      <c r="M134" s="34"/>
      <c r="N134" s="34"/>
      <c r="O134" s="34"/>
      <c r="P134" s="34"/>
      <c r="Q134" s="34"/>
      <c r="R134" s="34"/>
      <c r="S134" s="34"/>
      <c r="T134" s="34">
        <v>16708</v>
      </c>
      <c r="U134" s="34"/>
      <c r="V134" s="34"/>
      <c r="W134" s="34"/>
      <c r="X134" s="34"/>
      <c r="Y134" s="34">
        <f t="shared" si="5"/>
        <v>16708</v>
      </c>
      <c r="Z134" s="31">
        <v>55000</v>
      </c>
      <c r="AA134" s="32">
        <v>18</v>
      </c>
      <c r="AB134" s="33">
        <v>44301</v>
      </c>
      <c r="AC134" s="33">
        <v>44312</v>
      </c>
      <c r="AD134" s="31"/>
      <c r="AE134" s="35"/>
      <c r="AF134" s="27"/>
      <c r="AG134" s="36"/>
      <c r="AH134" s="31"/>
      <c r="AI134" s="35"/>
      <c r="AJ134" s="27"/>
      <c r="AK134" s="36"/>
      <c r="AL134" s="31"/>
      <c r="AM134" s="35"/>
      <c r="AN134" s="27"/>
      <c r="AO134" s="36"/>
      <c r="AP134" s="31"/>
      <c r="AQ134" s="35"/>
      <c r="AR134" s="27"/>
      <c r="AS134" s="36"/>
      <c r="AT134" s="31"/>
      <c r="AU134" s="35"/>
      <c r="AV134" s="27"/>
      <c r="AW134" s="36"/>
      <c r="AX134" s="31"/>
      <c r="AY134" s="35"/>
      <c r="AZ134" s="27"/>
      <c r="BA134" s="36"/>
      <c r="BB134" s="31"/>
      <c r="BC134" s="35"/>
      <c r="BD134" s="27"/>
      <c r="BE134" s="36"/>
      <c r="BF134" s="31"/>
      <c r="BG134" s="35"/>
      <c r="BH134" s="27"/>
      <c r="BI134" s="36"/>
      <c r="BJ134" s="31"/>
      <c r="BK134" s="35"/>
      <c r="BL134" s="27"/>
      <c r="BM134" s="36"/>
      <c r="BN134" s="35">
        <v>10000</v>
      </c>
      <c r="BO134" s="35">
        <v>28</v>
      </c>
      <c r="BP134" s="33">
        <v>44363</v>
      </c>
      <c r="BQ134" s="36">
        <v>44371</v>
      </c>
      <c r="BR134" s="31"/>
      <c r="BS134" s="35"/>
      <c r="BT134" s="27"/>
      <c r="BU134" s="36"/>
      <c r="BV134" s="31"/>
      <c r="BW134" s="35"/>
      <c r="BX134" s="27"/>
      <c r="BY134" s="36"/>
      <c r="BZ134" s="31">
        <v>-10000</v>
      </c>
      <c r="CA134" s="35">
        <v>31</v>
      </c>
      <c r="CB134" s="36">
        <v>44384</v>
      </c>
      <c r="CC134" s="36">
        <v>44390</v>
      </c>
      <c r="CD134" s="31"/>
      <c r="CE134" s="35"/>
      <c r="CF134" s="27"/>
      <c r="CG134" s="36"/>
      <c r="CH134" s="31"/>
      <c r="CI134" s="35"/>
      <c r="CJ134" s="27"/>
      <c r="CK134" s="36"/>
      <c r="CL134" s="31"/>
      <c r="CM134" s="35"/>
      <c r="CN134" s="27"/>
      <c r="CO134" s="36"/>
      <c r="CP134" s="31"/>
      <c r="CQ134" s="35"/>
      <c r="CR134" s="27"/>
      <c r="CS134" s="36"/>
      <c r="CT134" s="31"/>
      <c r="CU134" s="35"/>
      <c r="CV134" s="27"/>
      <c r="CW134" s="36"/>
      <c r="CX134" s="31"/>
      <c r="CY134" s="35"/>
      <c r="CZ134" s="27"/>
      <c r="DA134" s="36"/>
      <c r="DB134" s="31"/>
      <c r="DC134" s="35"/>
      <c r="DD134" s="27"/>
      <c r="DE134" s="36"/>
      <c r="DF134" s="31"/>
      <c r="DG134" s="35"/>
      <c r="DH134" s="27"/>
      <c r="DI134" s="36"/>
      <c r="DJ134" s="623">
        <f t="shared" si="3"/>
        <v>55000</v>
      </c>
      <c r="DK134" s="38">
        <f t="shared" si="4"/>
        <v>38292</v>
      </c>
    </row>
    <row r="135" spans="2:115" s="39" customFormat="1" ht="22.5">
      <c r="B135" s="97">
        <v>120</v>
      </c>
      <c r="C135" s="97">
        <v>31.02</v>
      </c>
      <c r="D135" s="532">
        <v>30310724</v>
      </c>
      <c r="E135" s="48" t="s">
        <v>2674</v>
      </c>
      <c r="F135" s="626" t="s">
        <v>146</v>
      </c>
      <c r="G135" s="26" t="s">
        <v>2535</v>
      </c>
      <c r="H135" s="26" t="s">
        <v>2539</v>
      </c>
      <c r="I135" s="626" t="s">
        <v>2537</v>
      </c>
      <c r="J135" s="34">
        <v>11705024</v>
      </c>
      <c r="K135" s="34">
        <v>9941585</v>
      </c>
      <c r="L135" s="34">
        <v>0</v>
      </c>
      <c r="M135" s="34"/>
      <c r="N135" s="34"/>
      <c r="O135" s="34"/>
      <c r="P135" s="34">
        <v>10964</v>
      </c>
      <c r="Q135" s="34"/>
      <c r="R135" s="34"/>
      <c r="S135" s="34"/>
      <c r="T135" s="34"/>
      <c r="U135" s="34"/>
      <c r="V135" s="34"/>
      <c r="W135" s="34"/>
      <c r="X135" s="34"/>
      <c r="Y135" s="34">
        <f t="shared" si="5"/>
        <v>10964</v>
      </c>
      <c r="Z135" s="31">
        <v>11000</v>
      </c>
      <c r="AA135" s="32">
        <v>20</v>
      </c>
      <c r="AB135" s="33">
        <v>44308</v>
      </c>
      <c r="AC135" s="33">
        <v>44314</v>
      </c>
      <c r="AD135" s="31"/>
      <c r="AE135" s="35"/>
      <c r="AF135" s="27"/>
      <c r="AG135" s="36"/>
      <c r="AH135" s="31"/>
      <c r="AI135" s="35"/>
      <c r="AJ135" s="27"/>
      <c r="AK135" s="36"/>
      <c r="AL135" s="31"/>
      <c r="AM135" s="35"/>
      <c r="AN135" s="27"/>
      <c r="AO135" s="36"/>
      <c r="AP135" s="31"/>
      <c r="AQ135" s="35"/>
      <c r="AR135" s="27"/>
      <c r="AS135" s="36"/>
      <c r="AT135" s="31"/>
      <c r="AU135" s="35"/>
      <c r="AV135" s="27"/>
      <c r="AW135" s="36"/>
      <c r="AX135" s="31"/>
      <c r="AY135" s="35"/>
      <c r="AZ135" s="27"/>
      <c r="BA135" s="36"/>
      <c r="BB135" s="31"/>
      <c r="BC135" s="35"/>
      <c r="BD135" s="27"/>
      <c r="BE135" s="36"/>
      <c r="BF135" s="31"/>
      <c r="BG135" s="35"/>
      <c r="BH135" s="27"/>
      <c r="BI135" s="36"/>
      <c r="BJ135" s="31"/>
      <c r="BK135" s="35"/>
      <c r="BL135" s="27"/>
      <c r="BM135" s="36"/>
      <c r="BN135" s="35"/>
      <c r="BO135" s="35"/>
      <c r="BP135" s="27"/>
      <c r="BQ135" s="36"/>
      <c r="BR135" s="31"/>
      <c r="BS135" s="35"/>
      <c r="BT135" s="27"/>
      <c r="BU135" s="36"/>
      <c r="BV135" s="31"/>
      <c r="BW135" s="35"/>
      <c r="BX135" s="27"/>
      <c r="BY135" s="36"/>
      <c r="BZ135" s="31"/>
      <c r="CA135" s="35"/>
      <c r="CB135" s="27"/>
      <c r="CC135" s="36"/>
      <c r="CD135" s="31"/>
      <c r="CE135" s="35"/>
      <c r="CF135" s="27"/>
      <c r="CG135" s="36"/>
      <c r="CH135" s="31"/>
      <c r="CI135" s="35"/>
      <c r="CJ135" s="27"/>
      <c r="CK135" s="36"/>
      <c r="CL135" s="31"/>
      <c r="CM135" s="35"/>
      <c r="CN135" s="27"/>
      <c r="CO135" s="36"/>
      <c r="CP135" s="31"/>
      <c r="CQ135" s="35"/>
      <c r="CR135" s="27"/>
      <c r="CS135" s="36"/>
      <c r="CT135" s="31"/>
      <c r="CU135" s="35"/>
      <c r="CV135" s="27"/>
      <c r="CW135" s="36"/>
      <c r="CX135" s="31"/>
      <c r="CY135" s="35"/>
      <c r="CZ135" s="27"/>
      <c r="DA135" s="36"/>
      <c r="DB135" s="31"/>
      <c r="DC135" s="35"/>
      <c r="DD135" s="27"/>
      <c r="DE135" s="36"/>
      <c r="DF135" s="31"/>
      <c r="DG135" s="35"/>
      <c r="DH135" s="27"/>
      <c r="DI135" s="36"/>
      <c r="DJ135" s="623">
        <f t="shared" si="3"/>
        <v>11000</v>
      </c>
      <c r="DK135" s="38">
        <f t="shared" si="4"/>
        <v>36</v>
      </c>
    </row>
    <row r="136" spans="2:115" s="39" customFormat="1" ht="33.75">
      <c r="B136" s="97">
        <v>121</v>
      </c>
      <c r="C136" s="97">
        <v>31.02</v>
      </c>
      <c r="D136" s="532">
        <v>40006303</v>
      </c>
      <c r="E136" s="48" t="s">
        <v>2675</v>
      </c>
      <c r="F136" s="626" t="s">
        <v>158</v>
      </c>
      <c r="G136" s="629" t="s">
        <v>2535</v>
      </c>
      <c r="H136" s="629" t="s">
        <v>2539</v>
      </c>
      <c r="I136" s="626" t="s">
        <v>2540</v>
      </c>
      <c r="J136" s="34">
        <v>98870</v>
      </c>
      <c r="K136" s="34">
        <v>0</v>
      </c>
      <c r="L136" s="34">
        <v>98766</v>
      </c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>
        <f t="shared" si="5"/>
        <v>0</v>
      </c>
      <c r="Z136" s="31">
        <v>2</v>
      </c>
      <c r="AA136" s="32">
        <v>23</v>
      </c>
      <c r="AB136" s="33">
        <v>44321</v>
      </c>
      <c r="AC136" s="33">
        <v>44326</v>
      </c>
      <c r="AD136" s="31"/>
      <c r="AE136" s="35"/>
      <c r="AF136" s="27"/>
      <c r="AG136" s="36"/>
      <c r="AH136" s="31"/>
      <c r="AI136" s="35"/>
      <c r="AJ136" s="27"/>
      <c r="AK136" s="36"/>
      <c r="AL136" s="31"/>
      <c r="AM136" s="35"/>
      <c r="AN136" s="27"/>
      <c r="AO136" s="36"/>
      <c r="AP136" s="31"/>
      <c r="AQ136" s="35"/>
      <c r="AR136" s="27"/>
      <c r="AS136" s="36"/>
      <c r="AT136" s="31"/>
      <c r="AU136" s="35"/>
      <c r="AV136" s="27"/>
      <c r="AW136" s="36"/>
      <c r="AX136" s="31"/>
      <c r="AY136" s="35"/>
      <c r="AZ136" s="27"/>
      <c r="BA136" s="36"/>
      <c r="BB136" s="31"/>
      <c r="BC136" s="35"/>
      <c r="BD136" s="27"/>
      <c r="BE136" s="36"/>
      <c r="BF136" s="31"/>
      <c r="BG136" s="35"/>
      <c r="BH136" s="27"/>
      <c r="BI136" s="36"/>
      <c r="BJ136" s="31"/>
      <c r="BK136" s="35"/>
      <c r="BL136" s="27"/>
      <c r="BM136" s="36"/>
      <c r="BN136" s="35"/>
      <c r="BO136" s="35"/>
      <c r="BP136" s="27"/>
      <c r="BQ136" s="36"/>
      <c r="BR136" s="31"/>
      <c r="BS136" s="35"/>
      <c r="BT136" s="27"/>
      <c r="BU136" s="36"/>
      <c r="BV136" s="31"/>
      <c r="BW136" s="35"/>
      <c r="BX136" s="27"/>
      <c r="BY136" s="36"/>
      <c r="BZ136" s="31"/>
      <c r="CA136" s="35"/>
      <c r="CB136" s="27"/>
      <c r="CC136" s="36"/>
      <c r="CD136" s="31"/>
      <c r="CE136" s="35"/>
      <c r="CF136" s="27"/>
      <c r="CG136" s="36"/>
      <c r="CH136" s="31"/>
      <c r="CI136" s="35"/>
      <c r="CJ136" s="27"/>
      <c r="CK136" s="36"/>
      <c r="CL136" s="31"/>
      <c r="CM136" s="35"/>
      <c r="CN136" s="27"/>
      <c r="CO136" s="36"/>
      <c r="CP136" s="31"/>
      <c r="CQ136" s="35"/>
      <c r="CR136" s="27"/>
      <c r="CS136" s="36"/>
      <c r="CT136" s="31"/>
      <c r="CU136" s="35"/>
      <c r="CV136" s="27"/>
      <c r="CW136" s="36"/>
      <c r="CX136" s="31"/>
      <c r="CY136" s="35"/>
      <c r="CZ136" s="27"/>
      <c r="DA136" s="36"/>
      <c r="DB136" s="31"/>
      <c r="DC136" s="35"/>
      <c r="DD136" s="27"/>
      <c r="DE136" s="36"/>
      <c r="DF136" s="31"/>
      <c r="DG136" s="35"/>
      <c r="DH136" s="27"/>
      <c r="DI136" s="36"/>
      <c r="DJ136" s="623">
        <f t="shared" si="3"/>
        <v>2</v>
      </c>
      <c r="DK136" s="38">
        <f t="shared" si="4"/>
        <v>2</v>
      </c>
    </row>
    <row r="137" spans="2:115" s="39" customFormat="1" ht="22.5">
      <c r="B137" s="97">
        <v>122</v>
      </c>
      <c r="C137" s="97">
        <v>31.02</v>
      </c>
      <c r="D137" s="532">
        <v>40010607</v>
      </c>
      <c r="E137" s="48" t="s">
        <v>2676</v>
      </c>
      <c r="F137" s="626" t="s">
        <v>158</v>
      </c>
      <c r="G137" s="629" t="s">
        <v>2535</v>
      </c>
      <c r="H137" s="629" t="s">
        <v>2539</v>
      </c>
      <c r="I137" s="626" t="s">
        <v>2540</v>
      </c>
      <c r="J137" s="34">
        <v>110641</v>
      </c>
      <c r="K137" s="34">
        <v>0</v>
      </c>
      <c r="L137" s="34">
        <v>0</v>
      </c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>
        <f t="shared" si="5"/>
        <v>0</v>
      </c>
      <c r="Z137" s="31">
        <v>2</v>
      </c>
      <c r="AA137" s="32">
        <v>23</v>
      </c>
      <c r="AB137" s="33">
        <v>44321</v>
      </c>
      <c r="AC137" s="33">
        <v>44326</v>
      </c>
      <c r="AD137" s="31"/>
      <c r="AE137" s="35"/>
      <c r="AF137" s="27"/>
      <c r="AG137" s="36"/>
      <c r="AH137" s="31"/>
      <c r="AI137" s="35"/>
      <c r="AJ137" s="27"/>
      <c r="AK137" s="36"/>
      <c r="AL137" s="31"/>
      <c r="AM137" s="35"/>
      <c r="AN137" s="27"/>
      <c r="AO137" s="36"/>
      <c r="AP137" s="31"/>
      <c r="AQ137" s="35"/>
      <c r="AR137" s="27"/>
      <c r="AS137" s="36"/>
      <c r="AT137" s="31"/>
      <c r="AU137" s="35"/>
      <c r="AV137" s="27"/>
      <c r="AW137" s="36"/>
      <c r="AX137" s="31"/>
      <c r="AY137" s="35"/>
      <c r="AZ137" s="27"/>
      <c r="BA137" s="36"/>
      <c r="BB137" s="31"/>
      <c r="BC137" s="35"/>
      <c r="BD137" s="27"/>
      <c r="BE137" s="36"/>
      <c r="BF137" s="31"/>
      <c r="BG137" s="35"/>
      <c r="BH137" s="27"/>
      <c r="BI137" s="36"/>
      <c r="BJ137" s="31"/>
      <c r="BK137" s="35"/>
      <c r="BL137" s="27"/>
      <c r="BM137" s="36"/>
      <c r="BN137" s="35"/>
      <c r="BO137" s="35"/>
      <c r="BP137" s="27"/>
      <c r="BQ137" s="36"/>
      <c r="BR137" s="31"/>
      <c r="BS137" s="35"/>
      <c r="BT137" s="27"/>
      <c r="BU137" s="36"/>
      <c r="BV137" s="31"/>
      <c r="BW137" s="35"/>
      <c r="BX137" s="27"/>
      <c r="BY137" s="36"/>
      <c r="BZ137" s="31"/>
      <c r="CA137" s="35"/>
      <c r="CB137" s="27"/>
      <c r="CC137" s="36"/>
      <c r="CD137" s="31"/>
      <c r="CE137" s="35"/>
      <c r="CF137" s="27"/>
      <c r="CG137" s="36"/>
      <c r="CH137" s="31"/>
      <c r="CI137" s="35"/>
      <c r="CJ137" s="27"/>
      <c r="CK137" s="36"/>
      <c r="CL137" s="31"/>
      <c r="CM137" s="35"/>
      <c r="CN137" s="27"/>
      <c r="CO137" s="36"/>
      <c r="CP137" s="31"/>
      <c r="CQ137" s="35"/>
      <c r="CR137" s="27"/>
      <c r="CS137" s="36"/>
      <c r="CT137" s="31"/>
      <c r="CU137" s="35"/>
      <c r="CV137" s="27"/>
      <c r="CW137" s="36"/>
      <c r="CX137" s="31"/>
      <c r="CY137" s="35"/>
      <c r="CZ137" s="27"/>
      <c r="DA137" s="36"/>
      <c r="DB137" s="31"/>
      <c r="DC137" s="35"/>
      <c r="DD137" s="27"/>
      <c r="DE137" s="36"/>
      <c r="DF137" s="31"/>
      <c r="DG137" s="35"/>
      <c r="DH137" s="27"/>
      <c r="DI137" s="36"/>
      <c r="DJ137" s="623">
        <f t="shared" si="3"/>
        <v>2</v>
      </c>
      <c r="DK137" s="38">
        <f t="shared" si="4"/>
        <v>2</v>
      </c>
    </row>
    <row r="138" spans="2:115" s="39" customFormat="1" ht="22.5">
      <c r="B138" s="97">
        <v>123</v>
      </c>
      <c r="C138" s="97">
        <v>31.02</v>
      </c>
      <c r="D138" s="532">
        <v>30113782</v>
      </c>
      <c r="E138" s="48" t="s">
        <v>2677</v>
      </c>
      <c r="F138" s="626" t="s">
        <v>146</v>
      </c>
      <c r="G138" s="630" t="s">
        <v>2535</v>
      </c>
      <c r="H138" s="631" t="s">
        <v>2539</v>
      </c>
      <c r="I138" s="626" t="s">
        <v>2537</v>
      </c>
      <c r="J138" s="34">
        <v>466157</v>
      </c>
      <c r="K138" s="34">
        <v>0</v>
      </c>
      <c r="L138" s="34">
        <v>233083</v>
      </c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>
        <f t="shared" si="5"/>
        <v>0</v>
      </c>
      <c r="Z138" s="31">
        <v>374440</v>
      </c>
      <c r="AA138" s="32">
        <v>23</v>
      </c>
      <c r="AB138" s="33">
        <v>44321</v>
      </c>
      <c r="AC138" s="33">
        <v>44326</v>
      </c>
      <c r="AD138" s="31"/>
      <c r="AE138" s="35"/>
      <c r="AF138" s="27"/>
      <c r="AG138" s="36"/>
      <c r="AH138" s="31"/>
      <c r="AI138" s="35"/>
      <c r="AJ138" s="27"/>
      <c r="AK138" s="36"/>
      <c r="AL138" s="31"/>
      <c r="AM138" s="35"/>
      <c r="AN138" s="27"/>
      <c r="AO138" s="36"/>
      <c r="AP138" s="31"/>
      <c r="AQ138" s="35"/>
      <c r="AR138" s="27"/>
      <c r="AS138" s="36"/>
      <c r="AT138" s="31"/>
      <c r="AU138" s="35"/>
      <c r="AV138" s="27"/>
      <c r="AW138" s="36"/>
      <c r="AX138" s="31"/>
      <c r="AY138" s="35"/>
      <c r="AZ138" s="27"/>
      <c r="BA138" s="36"/>
      <c r="BB138" s="31"/>
      <c r="BC138" s="35"/>
      <c r="BD138" s="27"/>
      <c r="BE138" s="36"/>
      <c r="BF138" s="31"/>
      <c r="BG138" s="35"/>
      <c r="BH138" s="27"/>
      <c r="BI138" s="36"/>
      <c r="BJ138" s="31"/>
      <c r="BK138" s="35"/>
      <c r="BL138" s="27"/>
      <c r="BM138" s="36"/>
      <c r="BN138" s="35"/>
      <c r="BO138" s="35"/>
      <c r="BP138" s="27"/>
      <c r="BQ138" s="36"/>
      <c r="BR138" s="31"/>
      <c r="BS138" s="35"/>
      <c r="BT138" s="27"/>
      <c r="BU138" s="36"/>
      <c r="BV138" s="31"/>
      <c r="BW138" s="35"/>
      <c r="BX138" s="27"/>
      <c r="BY138" s="36"/>
      <c r="BZ138" s="31"/>
      <c r="CA138" s="35"/>
      <c r="CB138" s="27"/>
      <c r="CC138" s="36"/>
      <c r="CD138" s="31"/>
      <c r="CE138" s="35"/>
      <c r="CF138" s="27"/>
      <c r="CG138" s="36"/>
      <c r="CH138" s="31"/>
      <c r="CI138" s="35"/>
      <c r="CJ138" s="27"/>
      <c r="CK138" s="36"/>
      <c r="CL138" s="31"/>
      <c r="CM138" s="35"/>
      <c r="CN138" s="27"/>
      <c r="CO138" s="36"/>
      <c r="CP138" s="31"/>
      <c r="CQ138" s="35"/>
      <c r="CR138" s="27"/>
      <c r="CS138" s="36"/>
      <c r="CT138" s="31"/>
      <c r="CU138" s="35"/>
      <c r="CV138" s="27"/>
      <c r="CW138" s="36"/>
      <c r="CX138" s="31"/>
      <c r="CY138" s="35"/>
      <c r="CZ138" s="27"/>
      <c r="DA138" s="36"/>
      <c r="DB138" s="31"/>
      <c r="DC138" s="35"/>
      <c r="DD138" s="27"/>
      <c r="DE138" s="36"/>
      <c r="DF138" s="31"/>
      <c r="DG138" s="35"/>
      <c r="DH138" s="27"/>
      <c r="DI138" s="36"/>
      <c r="DJ138" s="623">
        <f t="shared" si="3"/>
        <v>374440</v>
      </c>
      <c r="DK138" s="38">
        <f t="shared" si="4"/>
        <v>374440</v>
      </c>
    </row>
    <row r="139" spans="2:115" s="39" customFormat="1" ht="22.5">
      <c r="B139" s="97">
        <v>124</v>
      </c>
      <c r="C139" s="97">
        <v>31.01</v>
      </c>
      <c r="D139" s="532">
        <v>40027616</v>
      </c>
      <c r="E139" s="48" t="s">
        <v>2678</v>
      </c>
      <c r="F139" s="626" t="s">
        <v>146</v>
      </c>
      <c r="G139" s="630" t="s">
        <v>2542</v>
      </c>
      <c r="H139" s="631" t="s">
        <v>2594</v>
      </c>
      <c r="I139" s="626" t="s">
        <v>2540</v>
      </c>
      <c r="J139" s="34">
        <v>92500</v>
      </c>
      <c r="K139" s="34">
        <v>0</v>
      </c>
      <c r="L139" s="34">
        <v>0</v>
      </c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>
        <f t="shared" si="5"/>
        <v>0</v>
      </c>
      <c r="Z139" s="31">
        <v>2</v>
      </c>
      <c r="AA139" s="32">
        <v>26</v>
      </c>
      <c r="AB139" s="33">
        <v>44344</v>
      </c>
      <c r="AC139" s="33">
        <v>44354</v>
      </c>
      <c r="AD139" s="31"/>
      <c r="AE139" s="35"/>
      <c r="AF139" s="27"/>
      <c r="AG139" s="36"/>
      <c r="AH139" s="31"/>
      <c r="AI139" s="35"/>
      <c r="AJ139" s="27"/>
      <c r="AK139" s="36"/>
      <c r="AL139" s="31"/>
      <c r="AM139" s="35"/>
      <c r="AN139" s="27"/>
      <c r="AO139" s="36"/>
      <c r="AP139" s="31"/>
      <c r="AQ139" s="35"/>
      <c r="AR139" s="27"/>
      <c r="AS139" s="36"/>
      <c r="AT139" s="31"/>
      <c r="AU139" s="35"/>
      <c r="AV139" s="27"/>
      <c r="AW139" s="36"/>
      <c r="AX139" s="31"/>
      <c r="AY139" s="35"/>
      <c r="AZ139" s="27"/>
      <c r="BA139" s="36"/>
      <c r="BB139" s="31"/>
      <c r="BC139" s="35"/>
      <c r="BD139" s="27"/>
      <c r="BE139" s="36"/>
      <c r="BF139" s="31"/>
      <c r="BG139" s="35"/>
      <c r="BH139" s="27"/>
      <c r="BI139" s="36"/>
      <c r="BJ139" s="31"/>
      <c r="BK139" s="35"/>
      <c r="BL139" s="27"/>
      <c r="BM139" s="36"/>
      <c r="BN139" s="35"/>
      <c r="BO139" s="35"/>
      <c r="BP139" s="27"/>
      <c r="BQ139" s="36"/>
      <c r="BR139" s="31"/>
      <c r="BS139" s="35"/>
      <c r="BT139" s="27"/>
      <c r="BU139" s="36"/>
      <c r="BV139" s="31"/>
      <c r="BW139" s="35"/>
      <c r="BX139" s="27"/>
      <c r="BY139" s="36"/>
      <c r="BZ139" s="31"/>
      <c r="CA139" s="35"/>
      <c r="CB139" s="27"/>
      <c r="CC139" s="36"/>
      <c r="CD139" s="31">
        <v>800</v>
      </c>
      <c r="CE139" s="35">
        <v>32</v>
      </c>
      <c r="CF139" s="33">
        <v>44389</v>
      </c>
      <c r="CG139" s="36">
        <v>44397</v>
      </c>
      <c r="CH139" s="31"/>
      <c r="CI139" s="35"/>
      <c r="CJ139" s="27"/>
      <c r="CK139" s="36"/>
      <c r="CL139" s="31"/>
      <c r="CM139" s="35"/>
      <c r="CN139" s="27"/>
      <c r="CO139" s="36"/>
      <c r="CP139" s="31"/>
      <c r="CQ139" s="35"/>
      <c r="CR139" s="27"/>
      <c r="CS139" s="36"/>
      <c r="CT139" s="31"/>
      <c r="CU139" s="35"/>
      <c r="CV139" s="27"/>
      <c r="CW139" s="36"/>
      <c r="CX139" s="31"/>
      <c r="CY139" s="35"/>
      <c r="CZ139" s="27"/>
      <c r="DA139" s="36"/>
      <c r="DB139" s="31"/>
      <c r="DC139" s="35"/>
      <c r="DD139" s="27"/>
      <c r="DE139" s="36"/>
      <c r="DF139" s="31"/>
      <c r="DG139" s="35"/>
      <c r="DH139" s="27"/>
      <c r="DI139" s="36"/>
      <c r="DJ139" s="623">
        <f t="shared" si="3"/>
        <v>802</v>
      </c>
      <c r="DK139" s="38">
        <f t="shared" si="4"/>
        <v>802</v>
      </c>
    </row>
    <row r="140" spans="2:115" s="39" customFormat="1" ht="22.5">
      <c r="B140" s="97">
        <v>125</v>
      </c>
      <c r="C140" s="97">
        <v>31.01</v>
      </c>
      <c r="D140" s="532">
        <v>40027618</v>
      </c>
      <c r="E140" s="48" t="s">
        <v>2679</v>
      </c>
      <c r="F140" s="626" t="s">
        <v>146</v>
      </c>
      <c r="G140" s="630" t="s">
        <v>2545</v>
      </c>
      <c r="H140" s="631" t="s">
        <v>2600</v>
      </c>
      <c r="I140" s="626" t="s">
        <v>2540</v>
      </c>
      <c r="J140" s="34">
        <v>92850</v>
      </c>
      <c r="K140" s="34">
        <v>0</v>
      </c>
      <c r="L140" s="34">
        <v>0</v>
      </c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>
        <f t="shared" si="5"/>
        <v>0</v>
      </c>
      <c r="Z140" s="31">
        <v>2</v>
      </c>
      <c r="AA140" s="32">
        <v>26</v>
      </c>
      <c r="AB140" s="33">
        <v>44344</v>
      </c>
      <c r="AC140" s="33">
        <v>44354</v>
      </c>
      <c r="AD140" s="31"/>
      <c r="AE140" s="35"/>
      <c r="AF140" s="27"/>
      <c r="AG140" s="36"/>
      <c r="AH140" s="31"/>
      <c r="AI140" s="35"/>
      <c r="AJ140" s="27"/>
      <c r="AK140" s="36"/>
      <c r="AL140" s="31"/>
      <c r="AM140" s="35"/>
      <c r="AN140" s="27"/>
      <c r="AO140" s="36"/>
      <c r="AP140" s="31"/>
      <c r="AQ140" s="35"/>
      <c r="AR140" s="27"/>
      <c r="AS140" s="36"/>
      <c r="AT140" s="31"/>
      <c r="AU140" s="35"/>
      <c r="AV140" s="27"/>
      <c r="AW140" s="36"/>
      <c r="AX140" s="31"/>
      <c r="AY140" s="35"/>
      <c r="AZ140" s="27"/>
      <c r="BA140" s="36"/>
      <c r="BB140" s="31"/>
      <c r="BC140" s="35"/>
      <c r="BD140" s="27"/>
      <c r="BE140" s="36"/>
      <c r="BF140" s="31"/>
      <c r="BG140" s="35"/>
      <c r="BH140" s="27"/>
      <c r="BI140" s="36"/>
      <c r="BJ140" s="31"/>
      <c r="BK140" s="35"/>
      <c r="BL140" s="27"/>
      <c r="BM140" s="36"/>
      <c r="BN140" s="35"/>
      <c r="BO140" s="35"/>
      <c r="BP140" s="27"/>
      <c r="BQ140" s="36"/>
      <c r="BR140" s="31"/>
      <c r="BS140" s="35"/>
      <c r="BT140" s="27"/>
      <c r="BU140" s="36"/>
      <c r="BV140" s="31"/>
      <c r="BW140" s="35"/>
      <c r="BX140" s="27"/>
      <c r="BY140" s="36"/>
      <c r="BZ140" s="31"/>
      <c r="CA140" s="35"/>
      <c r="CB140" s="27"/>
      <c r="CC140" s="36"/>
      <c r="CD140" s="31">
        <v>850</v>
      </c>
      <c r="CE140" s="35">
        <v>32</v>
      </c>
      <c r="CF140" s="33">
        <v>44389</v>
      </c>
      <c r="CG140" s="36">
        <v>44397</v>
      </c>
      <c r="CH140" s="31"/>
      <c r="CI140" s="35"/>
      <c r="CJ140" s="27"/>
      <c r="CK140" s="36"/>
      <c r="CL140" s="31"/>
      <c r="CM140" s="35"/>
      <c r="CN140" s="27"/>
      <c r="CO140" s="36"/>
      <c r="CP140" s="31"/>
      <c r="CQ140" s="35"/>
      <c r="CR140" s="27"/>
      <c r="CS140" s="36"/>
      <c r="CT140" s="31"/>
      <c r="CU140" s="35"/>
      <c r="CV140" s="27"/>
      <c r="CW140" s="36"/>
      <c r="CX140" s="31"/>
      <c r="CY140" s="35"/>
      <c r="CZ140" s="27"/>
      <c r="DA140" s="36"/>
      <c r="DB140" s="31"/>
      <c r="DC140" s="35"/>
      <c r="DD140" s="27"/>
      <c r="DE140" s="36"/>
      <c r="DF140" s="31"/>
      <c r="DG140" s="35"/>
      <c r="DH140" s="27"/>
      <c r="DI140" s="36"/>
      <c r="DJ140" s="623">
        <f t="shared" si="3"/>
        <v>852</v>
      </c>
      <c r="DK140" s="38">
        <f t="shared" si="4"/>
        <v>852</v>
      </c>
    </row>
    <row r="141" spans="2:115" s="39" customFormat="1" ht="33.75">
      <c r="B141" s="97">
        <v>126</v>
      </c>
      <c r="C141" s="97">
        <v>31.02</v>
      </c>
      <c r="D141" s="532">
        <v>30485121</v>
      </c>
      <c r="E141" s="48" t="s">
        <v>2680</v>
      </c>
      <c r="F141" s="626" t="s">
        <v>146</v>
      </c>
      <c r="G141" s="630" t="s">
        <v>2535</v>
      </c>
      <c r="H141" s="631" t="s">
        <v>2539</v>
      </c>
      <c r="I141" s="626" t="s">
        <v>2537</v>
      </c>
      <c r="J141" s="34">
        <v>187647</v>
      </c>
      <c r="K141" s="34">
        <v>0</v>
      </c>
      <c r="L141" s="34">
        <v>771</v>
      </c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>
        <f t="shared" si="5"/>
        <v>0</v>
      </c>
      <c r="Z141" s="31">
        <v>160000</v>
      </c>
      <c r="AA141" s="32">
        <v>26</v>
      </c>
      <c r="AB141" s="33">
        <v>44344</v>
      </c>
      <c r="AC141" s="33">
        <v>44354</v>
      </c>
      <c r="AD141" s="31"/>
      <c r="AE141" s="35"/>
      <c r="AF141" s="27"/>
      <c r="AG141" s="36"/>
      <c r="AH141" s="31"/>
      <c r="AI141" s="35"/>
      <c r="AJ141" s="27"/>
      <c r="AK141" s="36"/>
      <c r="AL141" s="31"/>
      <c r="AM141" s="35"/>
      <c r="AN141" s="27"/>
      <c r="AO141" s="36"/>
      <c r="AP141" s="31"/>
      <c r="AQ141" s="35"/>
      <c r="AR141" s="27"/>
      <c r="AS141" s="36"/>
      <c r="AT141" s="31"/>
      <c r="AU141" s="35"/>
      <c r="AV141" s="27"/>
      <c r="AW141" s="36"/>
      <c r="AX141" s="31"/>
      <c r="AY141" s="35"/>
      <c r="AZ141" s="27"/>
      <c r="BA141" s="36"/>
      <c r="BB141" s="31"/>
      <c r="BC141" s="35"/>
      <c r="BD141" s="27"/>
      <c r="BE141" s="36"/>
      <c r="BF141" s="31"/>
      <c r="BG141" s="35"/>
      <c r="BH141" s="27"/>
      <c r="BI141" s="36"/>
      <c r="BJ141" s="31"/>
      <c r="BK141" s="35"/>
      <c r="BL141" s="27"/>
      <c r="BM141" s="36"/>
      <c r="BN141" s="35"/>
      <c r="BO141" s="35"/>
      <c r="BP141" s="27"/>
      <c r="BQ141" s="36"/>
      <c r="BR141" s="31"/>
      <c r="BS141" s="35"/>
      <c r="BT141" s="27"/>
      <c r="BU141" s="36"/>
      <c r="BV141" s="31"/>
      <c r="BW141" s="35"/>
      <c r="BX141" s="27"/>
      <c r="BY141" s="36"/>
      <c r="BZ141" s="31"/>
      <c r="CA141" s="35"/>
      <c r="CB141" s="27"/>
      <c r="CC141" s="36"/>
      <c r="CD141" s="31"/>
      <c r="CE141" s="35"/>
      <c r="CF141" s="27"/>
      <c r="CG141" s="36"/>
      <c r="CH141" s="31"/>
      <c r="CI141" s="35"/>
      <c r="CJ141" s="27"/>
      <c r="CK141" s="36"/>
      <c r="CL141" s="31"/>
      <c r="CM141" s="35"/>
      <c r="CN141" s="27"/>
      <c r="CO141" s="36"/>
      <c r="CP141" s="31"/>
      <c r="CQ141" s="35"/>
      <c r="CR141" s="27"/>
      <c r="CS141" s="36"/>
      <c r="CT141" s="31"/>
      <c r="CU141" s="35"/>
      <c r="CV141" s="27"/>
      <c r="CW141" s="36"/>
      <c r="CX141" s="31">
        <v>-158000</v>
      </c>
      <c r="CY141" s="35">
        <v>40</v>
      </c>
      <c r="CZ141" s="33">
        <v>44458</v>
      </c>
      <c r="DA141" s="36">
        <v>44460</v>
      </c>
      <c r="DB141" s="31"/>
      <c r="DC141" s="35"/>
      <c r="DD141" s="27"/>
      <c r="DE141" s="36"/>
      <c r="DF141" s="31"/>
      <c r="DG141" s="35"/>
      <c r="DH141" s="27"/>
      <c r="DI141" s="36"/>
      <c r="DJ141" s="623">
        <f t="shared" si="3"/>
        <v>2000</v>
      </c>
      <c r="DK141" s="38">
        <f t="shared" si="4"/>
        <v>2000</v>
      </c>
    </row>
    <row r="142" spans="2:115" s="39" customFormat="1" ht="33.75">
      <c r="B142" s="97">
        <v>127</v>
      </c>
      <c r="C142" s="97">
        <v>31.02</v>
      </c>
      <c r="D142" s="532">
        <v>40005241</v>
      </c>
      <c r="E142" s="48" t="s">
        <v>2681</v>
      </c>
      <c r="F142" s="626" t="s">
        <v>146</v>
      </c>
      <c r="G142" s="630" t="s">
        <v>2535</v>
      </c>
      <c r="H142" s="631" t="s">
        <v>2539</v>
      </c>
      <c r="I142" s="626" t="s">
        <v>2540</v>
      </c>
      <c r="J142" s="34">
        <v>135223</v>
      </c>
      <c r="K142" s="34">
        <v>0</v>
      </c>
      <c r="L142" s="34">
        <v>0</v>
      </c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>
        <f t="shared" si="5"/>
        <v>0</v>
      </c>
      <c r="Z142" s="31">
        <v>4</v>
      </c>
      <c r="AA142" s="32">
        <v>31</v>
      </c>
      <c r="AB142" s="33">
        <v>44384</v>
      </c>
      <c r="AC142" s="33">
        <v>44390</v>
      </c>
      <c r="AD142" s="31"/>
      <c r="AE142" s="35"/>
      <c r="AF142" s="27"/>
      <c r="AG142" s="36"/>
      <c r="AH142" s="31"/>
      <c r="AI142" s="35"/>
      <c r="AJ142" s="27"/>
      <c r="AK142" s="36"/>
      <c r="AL142" s="31"/>
      <c r="AM142" s="35"/>
      <c r="AN142" s="27"/>
      <c r="AO142" s="36"/>
      <c r="AP142" s="31"/>
      <c r="AQ142" s="35"/>
      <c r="AR142" s="27"/>
      <c r="AS142" s="36"/>
      <c r="AT142" s="31"/>
      <c r="AU142" s="35"/>
      <c r="AV142" s="27"/>
      <c r="AW142" s="36"/>
      <c r="AX142" s="31"/>
      <c r="AY142" s="35"/>
      <c r="AZ142" s="27"/>
      <c r="BA142" s="36"/>
      <c r="BB142" s="31"/>
      <c r="BC142" s="35"/>
      <c r="BD142" s="27"/>
      <c r="BE142" s="36"/>
      <c r="BF142" s="31"/>
      <c r="BG142" s="35"/>
      <c r="BH142" s="27"/>
      <c r="BI142" s="36"/>
      <c r="BJ142" s="31"/>
      <c r="BK142" s="35"/>
      <c r="BL142" s="27"/>
      <c r="BM142" s="36"/>
      <c r="BN142" s="35"/>
      <c r="BO142" s="35"/>
      <c r="BP142" s="27"/>
      <c r="BQ142" s="36"/>
      <c r="BR142" s="31"/>
      <c r="BS142" s="35"/>
      <c r="BT142" s="27"/>
      <c r="BU142" s="36"/>
      <c r="BV142" s="31"/>
      <c r="BW142" s="35"/>
      <c r="BX142" s="27"/>
      <c r="BY142" s="36"/>
      <c r="BZ142" s="31"/>
      <c r="CA142" s="35"/>
      <c r="CB142" s="27"/>
      <c r="CC142" s="36"/>
      <c r="CD142" s="31"/>
      <c r="CE142" s="35"/>
      <c r="CF142" s="27"/>
      <c r="CG142" s="36"/>
      <c r="CH142" s="31"/>
      <c r="CI142" s="35"/>
      <c r="CJ142" s="27"/>
      <c r="CK142" s="36"/>
      <c r="CL142" s="31"/>
      <c r="CM142" s="35"/>
      <c r="CN142" s="27"/>
      <c r="CO142" s="36"/>
      <c r="CP142" s="31"/>
      <c r="CQ142" s="35"/>
      <c r="CR142" s="27"/>
      <c r="CS142" s="36"/>
      <c r="CT142" s="31"/>
      <c r="CU142" s="35"/>
      <c r="CV142" s="27"/>
      <c r="CW142" s="36"/>
      <c r="CX142" s="31"/>
      <c r="CY142" s="35"/>
      <c r="CZ142" s="27"/>
      <c r="DA142" s="36"/>
      <c r="DB142" s="31"/>
      <c r="DC142" s="35"/>
      <c r="DD142" s="27"/>
      <c r="DE142" s="36"/>
      <c r="DF142" s="31"/>
      <c r="DG142" s="35"/>
      <c r="DH142" s="27"/>
      <c r="DI142" s="36"/>
      <c r="DJ142" s="623">
        <f t="shared" si="3"/>
        <v>4</v>
      </c>
      <c r="DK142" s="38">
        <f t="shared" si="4"/>
        <v>4</v>
      </c>
    </row>
    <row r="143" spans="2:115" s="39" customFormat="1" ht="33.75">
      <c r="B143" s="97">
        <v>128</v>
      </c>
      <c r="C143" s="97">
        <v>31.02</v>
      </c>
      <c r="D143" s="532">
        <v>40019536</v>
      </c>
      <c r="E143" s="48" t="s">
        <v>2682</v>
      </c>
      <c r="F143" s="626" t="s">
        <v>146</v>
      </c>
      <c r="G143" s="630" t="s">
        <v>2535</v>
      </c>
      <c r="H143" s="631" t="s">
        <v>2539</v>
      </c>
      <c r="I143" s="626" t="s">
        <v>2540</v>
      </c>
      <c r="J143" s="34">
        <v>531132</v>
      </c>
      <c r="K143" s="34">
        <v>0</v>
      </c>
      <c r="L143" s="34">
        <v>0</v>
      </c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>
        <f t="shared" si="5"/>
        <v>0</v>
      </c>
      <c r="Z143" s="31">
        <v>3</v>
      </c>
      <c r="AA143" s="32">
        <v>34</v>
      </c>
      <c r="AB143" s="33">
        <v>44398</v>
      </c>
      <c r="AC143" s="33">
        <v>44403</v>
      </c>
      <c r="AD143" s="31"/>
      <c r="AE143" s="35"/>
      <c r="AF143" s="27"/>
      <c r="AG143" s="36"/>
      <c r="AH143" s="31"/>
      <c r="AI143" s="35"/>
      <c r="AJ143" s="27"/>
      <c r="AK143" s="36"/>
      <c r="AL143" s="31"/>
      <c r="AM143" s="35"/>
      <c r="AN143" s="27"/>
      <c r="AO143" s="36"/>
      <c r="AP143" s="31"/>
      <c r="AQ143" s="35"/>
      <c r="AR143" s="27"/>
      <c r="AS143" s="36"/>
      <c r="AT143" s="31"/>
      <c r="AU143" s="35"/>
      <c r="AV143" s="27"/>
      <c r="AW143" s="36"/>
      <c r="AX143" s="31"/>
      <c r="AY143" s="35"/>
      <c r="AZ143" s="27"/>
      <c r="BA143" s="36"/>
      <c r="BB143" s="31"/>
      <c r="BC143" s="35"/>
      <c r="BD143" s="27"/>
      <c r="BE143" s="36"/>
      <c r="BF143" s="31"/>
      <c r="BG143" s="35"/>
      <c r="BH143" s="27"/>
      <c r="BI143" s="36"/>
      <c r="BJ143" s="31"/>
      <c r="BK143" s="35"/>
      <c r="BL143" s="27"/>
      <c r="BM143" s="36"/>
      <c r="BN143" s="35"/>
      <c r="BO143" s="35"/>
      <c r="BP143" s="27"/>
      <c r="BQ143" s="36"/>
      <c r="BR143" s="31"/>
      <c r="BS143" s="35"/>
      <c r="BT143" s="27"/>
      <c r="BU143" s="36"/>
      <c r="BV143" s="31"/>
      <c r="BW143" s="35"/>
      <c r="BX143" s="27"/>
      <c r="BY143" s="36"/>
      <c r="BZ143" s="31"/>
      <c r="CA143" s="35"/>
      <c r="CB143" s="27"/>
      <c r="CC143" s="36"/>
      <c r="CD143" s="31"/>
      <c r="CE143" s="35"/>
      <c r="CF143" s="27"/>
      <c r="CG143" s="36"/>
      <c r="CH143" s="31"/>
      <c r="CI143" s="35"/>
      <c r="CJ143" s="27"/>
      <c r="CK143" s="36"/>
      <c r="CL143" s="31"/>
      <c r="CM143" s="35"/>
      <c r="CN143" s="27"/>
      <c r="CO143" s="36"/>
      <c r="CP143" s="31"/>
      <c r="CQ143" s="35"/>
      <c r="CR143" s="27"/>
      <c r="CS143" s="36"/>
      <c r="CT143" s="31"/>
      <c r="CU143" s="35"/>
      <c r="CV143" s="27"/>
      <c r="CW143" s="36"/>
      <c r="CX143" s="31"/>
      <c r="CY143" s="35"/>
      <c r="CZ143" s="27"/>
      <c r="DA143" s="36"/>
      <c r="DB143" s="31"/>
      <c r="DC143" s="35"/>
      <c r="DD143" s="27"/>
      <c r="DE143" s="36"/>
      <c r="DF143" s="31"/>
      <c r="DG143" s="35"/>
      <c r="DH143" s="27"/>
      <c r="DI143" s="36"/>
      <c r="DJ143" s="623">
        <f t="shared" si="3"/>
        <v>3</v>
      </c>
      <c r="DK143" s="38">
        <f t="shared" si="4"/>
        <v>3</v>
      </c>
    </row>
    <row r="144" spans="2:115" s="39" customFormat="1" ht="22.5">
      <c r="B144" s="97">
        <v>129</v>
      </c>
      <c r="C144" s="97">
        <v>31.01</v>
      </c>
      <c r="D144" s="532">
        <v>30483858</v>
      </c>
      <c r="E144" s="48" t="s">
        <v>2683</v>
      </c>
      <c r="F144" s="626" t="s">
        <v>146</v>
      </c>
      <c r="G144" s="630" t="s">
        <v>2545</v>
      </c>
      <c r="H144" s="631" t="s">
        <v>2600</v>
      </c>
      <c r="I144" s="626" t="s">
        <v>2540</v>
      </c>
      <c r="J144" s="34">
        <v>75638</v>
      </c>
      <c r="K144" s="34">
        <v>0</v>
      </c>
      <c r="L144" s="34">
        <v>47544</v>
      </c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>
        <f t="shared" si="5"/>
        <v>0</v>
      </c>
      <c r="Z144" s="31">
        <v>2</v>
      </c>
      <c r="AA144" s="32">
        <v>39</v>
      </c>
      <c r="AB144" s="33">
        <v>44431</v>
      </c>
      <c r="AC144" s="33">
        <v>44431</v>
      </c>
      <c r="AD144" s="31"/>
      <c r="AE144" s="35"/>
      <c r="AF144" s="27"/>
      <c r="AG144" s="36"/>
      <c r="AH144" s="31"/>
      <c r="AI144" s="35"/>
      <c r="AJ144" s="27"/>
      <c r="AK144" s="36"/>
      <c r="AL144" s="31"/>
      <c r="AM144" s="35"/>
      <c r="AN144" s="27"/>
      <c r="AO144" s="36"/>
      <c r="AP144" s="31"/>
      <c r="AQ144" s="35"/>
      <c r="AR144" s="27"/>
      <c r="AS144" s="36"/>
      <c r="AT144" s="31"/>
      <c r="AU144" s="35"/>
      <c r="AV144" s="27"/>
      <c r="AW144" s="36"/>
      <c r="AX144" s="31"/>
      <c r="AY144" s="35"/>
      <c r="AZ144" s="27"/>
      <c r="BA144" s="36"/>
      <c r="BB144" s="31"/>
      <c r="BC144" s="35"/>
      <c r="BD144" s="27"/>
      <c r="BE144" s="36"/>
      <c r="BF144" s="31"/>
      <c r="BG144" s="35"/>
      <c r="BH144" s="27"/>
      <c r="BI144" s="36"/>
      <c r="BJ144" s="31"/>
      <c r="BK144" s="35"/>
      <c r="BL144" s="27"/>
      <c r="BM144" s="36"/>
      <c r="BN144" s="35"/>
      <c r="BO144" s="35"/>
      <c r="BP144" s="27"/>
      <c r="BQ144" s="36"/>
      <c r="BR144" s="31"/>
      <c r="BS144" s="35"/>
      <c r="BT144" s="27"/>
      <c r="BU144" s="36"/>
      <c r="BV144" s="31"/>
      <c r="BW144" s="35"/>
      <c r="BX144" s="27"/>
      <c r="BY144" s="36"/>
      <c r="BZ144" s="31"/>
      <c r="CA144" s="35"/>
      <c r="CB144" s="27"/>
      <c r="CC144" s="36"/>
      <c r="CD144" s="31"/>
      <c r="CE144" s="35"/>
      <c r="CF144" s="27"/>
      <c r="CG144" s="36"/>
      <c r="CH144" s="31"/>
      <c r="CI144" s="35"/>
      <c r="CJ144" s="27"/>
      <c r="CK144" s="36"/>
      <c r="CL144" s="31"/>
      <c r="CM144" s="35"/>
      <c r="CN144" s="27"/>
      <c r="CO144" s="36"/>
      <c r="CP144" s="31"/>
      <c r="CQ144" s="35"/>
      <c r="CR144" s="27"/>
      <c r="CS144" s="36"/>
      <c r="CT144" s="31"/>
      <c r="CU144" s="35"/>
      <c r="CV144" s="27"/>
      <c r="CW144" s="36"/>
      <c r="CX144" s="31"/>
      <c r="CY144" s="35"/>
      <c r="CZ144" s="27"/>
      <c r="DA144" s="36"/>
      <c r="DB144" s="31"/>
      <c r="DC144" s="35"/>
      <c r="DD144" s="27"/>
      <c r="DE144" s="36"/>
      <c r="DF144" s="31"/>
      <c r="DG144" s="35"/>
      <c r="DH144" s="27"/>
      <c r="DI144" s="36"/>
      <c r="DJ144" s="623">
        <f t="shared" si="3"/>
        <v>2</v>
      </c>
      <c r="DK144" s="38">
        <f t="shared" si="4"/>
        <v>2</v>
      </c>
    </row>
    <row r="145" spans="2:115" s="39" customFormat="1" ht="22.5">
      <c r="B145" s="97">
        <v>130</v>
      </c>
      <c r="C145" s="97">
        <v>31.02</v>
      </c>
      <c r="D145" s="532">
        <v>40011668</v>
      </c>
      <c r="E145" s="48" t="s">
        <v>2684</v>
      </c>
      <c r="F145" s="626" t="s">
        <v>146</v>
      </c>
      <c r="G145" s="632" t="s">
        <v>2542</v>
      </c>
      <c r="H145" s="631" t="s">
        <v>2543</v>
      </c>
      <c r="I145" s="626" t="s">
        <v>2540</v>
      </c>
      <c r="J145" s="34">
        <v>195790</v>
      </c>
      <c r="K145" s="34">
        <v>0</v>
      </c>
      <c r="L145" s="34">
        <v>0</v>
      </c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>
        <f t="shared" si="5"/>
        <v>0</v>
      </c>
      <c r="Z145" s="31">
        <v>4</v>
      </c>
      <c r="AA145" s="32">
        <v>39</v>
      </c>
      <c r="AB145" s="33">
        <v>44435</v>
      </c>
      <c r="AC145" s="33">
        <v>44435</v>
      </c>
      <c r="AD145" s="31"/>
      <c r="AE145" s="35"/>
      <c r="AF145" s="27"/>
      <c r="AG145" s="36"/>
      <c r="AH145" s="31"/>
      <c r="AI145" s="35"/>
      <c r="AJ145" s="27"/>
      <c r="AK145" s="36"/>
      <c r="AL145" s="31"/>
      <c r="AM145" s="35"/>
      <c r="AN145" s="27"/>
      <c r="AO145" s="36"/>
      <c r="AP145" s="31"/>
      <c r="AQ145" s="35"/>
      <c r="AR145" s="27"/>
      <c r="AS145" s="36"/>
      <c r="AT145" s="31"/>
      <c r="AU145" s="35"/>
      <c r="AV145" s="27"/>
      <c r="AW145" s="36"/>
      <c r="AX145" s="31"/>
      <c r="AY145" s="35"/>
      <c r="AZ145" s="27"/>
      <c r="BA145" s="36"/>
      <c r="BB145" s="31"/>
      <c r="BC145" s="35"/>
      <c r="BD145" s="27"/>
      <c r="BE145" s="36"/>
      <c r="BF145" s="31"/>
      <c r="BG145" s="35"/>
      <c r="BH145" s="27"/>
      <c r="BI145" s="36"/>
      <c r="BJ145" s="31"/>
      <c r="BK145" s="35"/>
      <c r="BL145" s="27"/>
      <c r="BM145" s="36"/>
      <c r="BN145" s="35"/>
      <c r="BO145" s="35"/>
      <c r="BP145" s="27"/>
      <c r="BQ145" s="36"/>
      <c r="BR145" s="31"/>
      <c r="BS145" s="35"/>
      <c r="BT145" s="27"/>
      <c r="BU145" s="36"/>
      <c r="BV145" s="31"/>
      <c r="BW145" s="35"/>
      <c r="BX145" s="27"/>
      <c r="BY145" s="36"/>
      <c r="BZ145" s="31"/>
      <c r="CA145" s="35"/>
      <c r="CB145" s="27"/>
      <c r="CC145" s="36"/>
      <c r="CD145" s="31"/>
      <c r="CE145" s="35"/>
      <c r="CF145" s="27"/>
      <c r="CG145" s="36"/>
      <c r="CH145" s="31"/>
      <c r="CI145" s="35"/>
      <c r="CJ145" s="27"/>
      <c r="CK145" s="36"/>
      <c r="CL145" s="31"/>
      <c r="CM145" s="35"/>
      <c r="CN145" s="27"/>
      <c r="CO145" s="36"/>
      <c r="CP145" s="31"/>
      <c r="CQ145" s="35"/>
      <c r="CR145" s="27"/>
      <c r="CS145" s="36"/>
      <c r="CT145" s="31"/>
      <c r="CU145" s="35"/>
      <c r="CV145" s="27"/>
      <c r="CW145" s="36"/>
      <c r="CX145" s="31"/>
      <c r="CY145" s="35"/>
      <c r="CZ145" s="27"/>
      <c r="DA145" s="36"/>
      <c r="DB145" s="31"/>
      <c r="DC145" s="35"/>
      <c r="DD145" s="27"/>
      <c r="DE145" s="36"/>
      <c r="DF145" s="31"/>
      <c r="DG145" s="35"/>
      <c r="DH145" s="27"/>
      <c r="DI145" s="36"/>
      <c r="DJ145" s="623">
        <f t="shared" ref="DJ145" si="6">+Z145+AD145+AH145+AL145+AP145+AT145+AX145+BB145+BF145+BJ145+BN145+BR145+BV145+BZ145+CD145+CH145+CL145+CP145++CT145+CX145+DB145+DF145</f>
        <v>4</v>
      </c>
      <c r="DK145" s="38">
        <f t="shared" ref="DK145" si="7">+DJ145-Y145</f>
        <v>4</v>
      </c>
    </row>
    <row r="146" spans="2:115" s="39" customFormat="1" ht="11.25">
      <c r="B146" s="97"/>
      <c r="C146" s="97"/>
      <c r="D146" s="292"/>
      <c r="E146" s="48"/>
      <c r="F146" s="626"/>
      <c r="G146" s="26"/>
      <c r="H146" s="26"/>
      <c r="I146" s="626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1"/>
      <c r="AA146" s="32"/>
      <c r="AB146" s="27"/>
      <c r="AC146" s="36"/>
      <c r="AD146" s="31"/>
      <c r="AE146" s="35"/>
      <c r="AF146" s="27"/>
      <c r="AG146" s="36"/>
      <c r="AH146" s="31"/>
      <c r="AI146" s="35"/>
      <c r="AJ146" s="27"/>
      <c r="AK146" s="36"/>
      <c r="AL146" s="31"/>
      <c r="AM146" s="35"/>
      <c r="AN146" s="27"/>
      <c r="AO146" s="36"/>
      <c r="AP146" s="31"/>
      <c r="AQ146" s="35"/>
      <c r="AR146" s="27"/>
      <c r="AS146" s="36"/>
      <c r="AT146" s="31"/>
      <c r="AU146" s="35"/>
      <c r="AV146" s="27"/>
      <c r="AW146" s="36"/>
      <c r="AX146" s="31"/>
      <c r="AY146" s="35"/>
      <c r="AZ146" s="27"/>
      <c r="BA146" s="36"/>
      <c r="BB146" s="31"/>
      <c r="BC146" s="35"/>
      <c r="BD146" s="27"/>
      <c r="BE146" s="36"/>
      <c r="BF146" s="31"/>
      <c r="BG146" s="35"/>
      <c r="BH146" s="27"/>
      <c r="BI146" s="36"/>
      <c r="BJ146" s="31"/>
      <c r="BK146" s="35"/>
      <c r="BL146" s="27"/>
      <c r="BM146" s="36"/>
      <c r="BN146" s="35"/>
      <c r="BO146" s="35"/>
      <c r="BP146" s="27"/>
      <c r="BQ146" s="36"/>
      <c r="BR146" s="31"/>
      <c r="BS146" s="35"/>
      <c r="BT146" s="27"/>
      <c r="BU146" s="36"/>
      <c r="BV146" s="31"/>
      <c r="BW146" s="35"/>
      <c r="BX146" s="27"/>
      <c r="BY146" s="36"/>
      <c r="BZ146" s="31"/>
      <c r="CA146" s="35"/>
      <c r="CB146" s="27"/>
      <c r="CC146" s="36"/>
      <c r="CD146" s="31"/>
      <c r="CE146" s="35"/>
      <c r="CF146" s="27"/>
      <c r="CG146" s="36"/>
      <c r="CH146" s="31"/>
      <c r="CI146" s="35"/>
      <c r="CJ146" s="27"/>
      <c r="CK146" s="36"/>
      <c r="CL146" s="31"/>
      <c r="CM146" s="35"/>
      <c r="CN146" s="27"/>
      <c r="CO146" s="36"/>
      <c r="CP146" s="31"/>
      <c r="CQ146" s="35"/>
      <c r="CR146" s="27"/>
      <c r="CS146" s="36"/>
      <c r="CT146" s="31"/>
      <c r="CU146" s="35"/>
      <c r="CV146" s="27"/>
      <c r="CW146" s="36"/>
      <c r="CX146" s="31"/>
      <c r="CY146" s="35"/>
      <c r="CZ146" s="27"/>
      <c r="DA146" s="36"/>
      <c r="DB146" s="31"/>
      <c r="DC146" s="35"/>
      <c r="DD146" s="27"/>
      <c r="DE146" s="36"/>
      <c r="DF146" s="31"/>
      <c r="DG146" s="35"/>
      <c r="DH146" s="27"/>
      <c r="DI146" s="36"/>
      <c r="DJ146" s="37"/>
      <c r="DK146" s="38"/>
    </row>
    <row r="147" spans="2:115" s="39" customFormat="1" ht="11.25">
      <c r="B147" s="97"/>
      <c r="C147" s="97"/>
      <c r="D147" s="23"/>
      <c r="E147" s="48"/>
      <c r="F147" s="48"/>
      <c r="G147" s="26"/>
      <c r="H147" s="26"/>
      <c r="I147" s="217"/>
      <c r="J147" s="217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>
        <f t="shared" ref="Y147" si="8">SUM(M147:X147)</f>
        <v>0</v>
      </c>
      <c r="Z147" s="31"/>
      <c r="AA147" s="32"/>
      <c r="AB147" s="27"/>
      <c r="AC147" s="36"/>
      <c r="AD147" s="31"/>
      <c r="AE147" s="35"/>
      <c r="AF147" s="27"/>
      <c r="AG147" s="36"/>
      <c r="AH147" s="31"/>
      <c r="AI147" s="35"/>
      <c r="AJ147" s="27"/>
      <c r="AK147" s="36"/>
      <c r="AL147" s="31"/>
      <c r="AM147" s="35"/>
      <c r="AN147" s="27"/>
      <c r="AO147" s="36"/>
      <c r="AP147" s="31"/>
      <c r="AQ147" s="35"/>
      <c r="AR147" s="27"/>
      <c r="AS147" s="36"/>
      <c r="AT147" s="31"/>
      <c r="AU147" s="35"/>
      <c r="AV147" s="27"/>
      <c r="AW147" s="36"/>
      <c r="AX147" s="31"/>
      <c r="AY147" s="35"/>
      <c r="AZ147" s="27"/>
      <c r="BA147" s="36"/>
      <c r="BB147" s="31"/>
      <c r="BC147" s="35"/>
      <c r="BD147" s="27"/>
      <c r="BE147" s="36"/>
      <c r="BF147" s="31"/>
      <c r="BG147" s="35"/>
      <c r="BH147" s="27"/>
      <c r="BI147" s="36"/>
      <c r="BJ147" s="31"/>
      <c r="BK147" s="35"/>
      <c r="BL147" s="27"/>
      <c r="BM147" s="36"/>
      <c r="BN147" s="31"/>
      <c r="BO147" s="35"/>
      <c r="BP147" s="27"/>
      <c r="BQ147" s="36"/>
      <c r="BR147" s="31"/>
      <c r="BS147" s="35"/>
      <c r="BT147" s="27"/>
      <c r="BU147" s="36"/>
      <c r="BV147" s="31"/>
      <c r="BW147" s="35"/>
      <c r="BX147" s="27"/>
      <c r="BY147" s="36"/>
      <c r="BZ147" s="31"/>
      <c r="CA147" s="35"/>
      <c r="CB147" s="27"/>
      <c r="CC147" s="36"/>
      <c r="CD147" s="31"/>
      <c r="CE147" s="35"/>
      <c r="CF147" s="27"/>
      <c r="CG147" s="36"/>
      <c r="CH147" s="31"/>
      <c r="CI147" s="35"/>
      <c r="CJ147" s="27"/>
      <c r="CK147" s="36"/>
      <c r="CL147" s="31"/>
      <c r="CM147" s="35"/>
      <c r="CN147" s="27"/>
      <c r="CO147" s="36"/>
      <c r="CP147" s="31"/>
      <c r="CQ147" s="35"/>
      <c r="CR147" s="27"/>
      <c r="CS147" s="36"/>
      <c r="CT147" s="31"/>
      <c r="CU147" s="35"/>
      <c r="CV147" s="27"/>
      <c r="CW147" s="36"/>
      <c r="CX147" s="31"/>
      <c r="CY147" s="35"/>
      <c r="CZ147" s="27"/>
      <c r="DA147" s="36"/>
      <c r="DB147" s="31"/>
      <c r="DC147" s="35"/>
      <c r="DD147" s="27"/>
      <c r="DE147" s="36"/>
      <c r="DF147" s="31"/>
      <c r="DG147" s="35"/>
      <c r="DH147" s="27"/>
      <c r="DI147" s="36"/>
      <c r="DJ147" s="37">
        <f>+Z147+AD147+AH147+AL147+BV147</f>
        <v>0</v>
      </c>
      <c r="DK147" s="38">
        <f>+DJ147-Y147</f>
        <v>0</v>
      </c>
    </row>
    <row r="148" spans="2:115" ht="15" customHeight="1">
      <c r="B148" s="732" t="s">
        <v>134</v>
      </c>
      <c r="C148" s="732"/>
      <c r="D148" s="732"/>
      <c r="E148" s="732"/>
      <c r="F148" s="732"/>
      <c r="G148" s="732"/>
      <c r="H148" s="732"/>
      <c r="I148" s="732"/>
      <c r="J148" s="59">
        <f>SUBTOTAL(9,J16:J145)</f>
        <v>453343237</v>
      </c>
      <c r="K148" s="59">
        <f t="shared" ref="K148:Z148" si="9">SUBTOTAL(9,K16:K145)</f>
        <v>145070909</v>
      </c>
      <c r="L148" s="59">
        <f t="shared" si="9"/>
        <v>91711750</v>
      </c>
      <c r="M148" s="59">
        <f t="shared" si="9"/>
        <v>2419292</v>
      </c>
      <c r="N148" s="59">
        <f t="shared" si="9"/>
        <v>2840995</v>
      </c>
      <c r="O148" s="59">
        <f t="shared" si="9"/>
        <v>4311367</v>
      </c>
      <c r="P148" s="59">
        <f t="shared" si="9"/>
        <v>3037686</v>
      </c>
      <c r="Q148" s="59">
        <f t="shared" si="9"/>
        <v>2638384</v>
      </c>
      <c r="R148" s="59">
        <f t="shared" si="9"/>
        <v>2530208</v>
      </c>
      <c r="S148" s="59">
        <f t="shared" si="9"/>
        <v>3521676</v>
      </c>
      <c r="T148" s="59">
        <f t="shared" si="9"/>
        <v>1878736</v>
      </c>
      <c r="U148" s="59">
        <f t="shared" si="9"/>
        <v>3271746</v>
      </c>
      <c r="V148" s="59">
        <f t="shared" si="9"/>
        <v>0</v>
      </c>
      <c r="W148" s="59">
        <f t="shared" si="9"/>
        <v>0</v>
      </c>
      <c r="X148" s="59">
        <f t="shared" si="9"/>
        <v>0</v>
      </c>
      <c r="Y148" s="59">
        <f t="shared" si="9"/>
        <v>26450090</v>
      </c>
      <c r="Z148" s="59">
        <f t="shared" si="9"/>
        <v>33082019</v>
      </c>
      <c r="AA148" s="59"/>
      <c r="AB148" s="59"/>
      <c r="AC148" s="59"/>
      <c r="AD148" s="59">
        <f t="shared" ref="AD148" si="10">SUBTOTAL(9,AD16:AD145)</f>
        <v>91960</v>
      </c>
      <c r="AE148" s="59"/>
      <c r="AF148" s="59"/>
      <c r="AG148" s="59"/>
      <c r="AH148" s="59">
        <f t="shared" ref="AH148" si="11">SUBTOTAL(9,AH16:AH145)</f>
        <v>717533</v>
      </c>
      <c r="AI148" s="59"/>
      <c r="AJ148" s="59"/>
      <c r="AK148" s="59"/>
      <c r="AL148" s="59">
        <f t="shared" ref="AL148" si="12">SUBTOTAL(9,AL16:AL145)</f>
        <v>2468435</v>
      </c>
      <c r="AM148" s="59"/>
      <c r="AN148" s="59"/>
      <c r="AO148" s="59"/>
      <c r="AP148" s="59">
        <f t="shared" ref="AP148" si="13">SUBTOTAL(9,AP16:AP145)</f>
        <v>-100000</v>
      </c>
      <c r="AQ148" s="59"/>
      <c r="AR148" s="59"/>
      <c r="AS148" s="59"/>
      <c r="AT148" s="59">
        <f t="shared" ref="AT148" si="14">SUBTOTAL(9,AT16:AT145)</f>
        <v>0</v>
      </c>
      <c r="AU148" s="59"/>
      <c r="AV148" s="59"/>
      <c r="AW148" s="59"/>
      <c r="AX148" s="59">
        <f t="shared" ref="AX148" si="15">SUBTOTAL(9,AX16:AX145)</f>
        <v>3785916</v>
      </c>
      <c r="AY148" s="59"/>
      <c r="AZ148" s="59"/>
      <c r="BA148" s="59"/>
      <c r="BB148" s="59">
        <f t="shared" ref="BB148" si="16">SUBTOTAL(9,BB16:BB145)</f>
        <v>689000</v>
      </c>
      <c r="BC148" s="59"/>
      <c r="BD148" s="59"/>
      <c r="BE148" s="59"/>
      <c r="BF148" s="59">
        <f t="shared" ref="BF148" si="17">SUBTOTAL(9,BF16:BF145)</f>
        <v>1449044</v>
      </c>
      <c r="BG148" s="59"/>
      <c r="BH148" s="59"/>
      <c r="BI148" s="59"/>
      <c r="BJ148" s="59">
        <f t="shared" ref="BJ148" si="18">SUBTOTAL(9,BJ16:BJ145)</f>
        <v>5560</v>
      </c>
      <c r="BK148" s="59"/>
      <c r="BL148" s="59"/>
      <c r="BM148" s="59"/>
      <c r="BN148" s="59">
        <f t="shared" ref="BN148" si="19">SUBTOTAL(9,BN16:BN145)</f>
        <v>0</v>
      </c>
      <c r="BO148" s="59"/>
      <c r="BP148" s="59"/>
      <c r="BQ148" s="59"/>
      <c r="BR148" s="59">
        <f t="shared" ref="BR148" si="20">SUBTOTAL(9,BR16:BR145)</f>
        <v>0</v>
      </c>
      <c r="BS148" s="59"/>
      <c r="BT148" s="59"/>
      <c r="BU148" s="59"/>
      <c r="BV148" s="59">
        <f t="shared" ref="BV148" si="21">SUBTOTAL(9,BV16:BV145)</f>
        <v>0</v>
      </c>
      <c r="BW148" s="59"/>
      <c r="BX148" s="59"/>
      <c r="BY148" s="59"/>
      <c r="BZ148" s="59">
        <f t="shared" ref="BZ148" si="22">SUBTOTAL(9,BZ16:BZ145)</f>
        <v>-1064869</v>
      </c>
      <c r="CA148" s="59"/>
      <c r="CB148" s="59"/>
      <c r="CC148" s="59"/>
      <c r="CD148" s="59">
        <f t="shared" ref="CD148" si="23">SUBTOTAL(9,CD16:CD145)</f>
        <v>1579236</v>
      </c>
      <c r="CE148" s="59"/>
      <c r="CF148" s="59"/>
      <c r="CG148" s="59"/>
      <c r="CH148" s="59">
        <f t="shared" ref="CH148" si="24">SUBTOTAL(9,CH16:CH145)</f>
        <v>35000</v>
      </c>
      <c r="CI148" s="59"/>
      <c r="CJ148" s="59"/>
      <c r="CK148" s="59"/>
      <c r="CL148" s="59">
        <f t="shared" ref="CL148" si="25">SUBTOTAL(9,CL16:CL145)</f>
        <v>48050</v>
      </c>
      <c r="CM148" s="59"/>
      <c r="CN148" s="59"/>
      <c r="CO148" s="59"/>
      <c r="CP148" s="59">
        <f t="shared" ref="CP148" si="26">SUBTOTAL(9,CP16:CP145)</f>
        <v>2964685</v>
      </c>
      <c r="CQ148" s="59"/>
      <c r="CR148" s="59"/>
      <c r="CS148" s="59"/>
      <c r="CT148" s="59">
        <f t="shared" ref="CT148" si="27">SUBTOTAL(9,CT16:CT145)</f>
        <v>-3186465</v>
      </c>
      <c r="CU148" s="59"/>
      <c r="CV148" s="59"/>
      <c r="CW148" s="59"/>
      <c r="CX148" s="59">
        <f t="shared" ref="CX148" si="28">SUBTOTAL(9,CX16:CX145)</f>
        <v>1103062</v>
      </c>
      <c r="CY148" s="59"/>
      <c r="CZ148" s="59"/>
      <c r="DA148" s="59"/>
      <c r="DB148" s="59">
        <f t="shared" ref="DB148" si="29">SUBTOTAL(9,DB16:DB145)</f>
        <v>0</v>
      </c>
      <c r="DC148" s="59"/>
      <c r="DD148" s="59"/>
      <c r="DE148" s="59"/>
      <c r="DF148" s="59">
        <f t="shared" ref="DF148" si="30">SUBTOTAL(9,DF16:DF145)</f>
        <v>0</v>
      </c>
      <c r="DG148" s="59"/>
      <c r="DH148" s="59"/>
      <c r="DI148" s="59"/>
      <c r="DJ148" s="59">
        <f>SUBTOTAL(9,DJ16:DJ145)</f>
        <v>43668166</v>
      </c>
      <c r="DK148" s="59">
        <f>SUBTOTAL(9,DK16:DK145)</f>
        <v>17218076</v>
      </c>
    </row>
    <row r="149" spans="2:115" s="123" customFormat="1" ht="20.25" customHeight="1">
      <c r="B149" s="780"/>
      <c r="C149" s="780"/>
      <c r="D149" s="780"/>
      <c r="E149" s="780"/>
      <c r="F149" s="140"/>
      <c r="G149" s="125"/>
      <c r="H149" s="125"/>
      <c r="I149" s="282"/>
      <c r="J149" s="633"/>
      <c r="K149" s="633"/>
      <c r="L149" s="633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AA149" s="74"/>
      <c r="AE149" s="124"/>
      <c r="AI149" s="74"/>
      <c r="AM149" s="74"/>
      <c r="AY149" s="74"/>
      <c r="BC149" s="74"/>
      <c r="BG149" s="74"/>
      <c r="BK149" s="74"/>
      <c r="BO149" s="74"/>
      <c r="BS149" s="74"/>
      <c r="BW149" s="74"/>
      <c r="DJ149" s="634"/>
    </row>
    <row r="150" spans="2:115" s="123" customFormat="1" ht="24.75" customHeight="1">
      <c r="B150" s="748"/>
      <c r="C150" s="748"/>
      <c r="D150" s="748"/>
      <c r="E150" s="748"/>
      <c r="F150" s="748"/>
      <c r="G150" s="748"/>
      <c r="H150" s="635"/>
      <c r="AA150" s="74"/>
      <c r="AE150" s="124"/>
      <c r="AI150" s="74"/>
      <c r="AM150" s="74"/>
      <c r="AY150" s="74"/>
      <c r="BC150" s="74"/>
      <c r="BG150" s="74"/>
      <c r="BK150" s="74"/>
      <c r="BO150" s="74"/>
      <c r="BS150" s="74"/>
      <c r="BW150" s="74"/>
      <c r="CH150" s="210"/>
      <c r="CI150" s="210"/>
      <c r="CJ150" s="210"/>
      <c r="CK150" s="210"/>
      <c r="CL150" s="210"/>
      <c r="CM150" s="210"/>
      <c r="CN150" s="210"/>
      <c r="CO150" s="210"/>
      <c r="CP150" s="210"/>
      <c r="CQ150" s="210"/>
      <c r="CR150" s="210"/>
      <c r="CS150" s="210"/>
      <c r="CT150" s="210"/>
      <c r="CU150" s="210"/>
      <c r="CV150" s="210"/>
      <c r="CW150" s="210"/>
      <c r="CX150" s="210"/>
      <c r="CY150" s="210"/>
      <c r="CZ150" s="210"/>
      <c r="DA150" s="210"/>
      <c r="DB150" s="210"/>
      <c r="DC150" s="210"/>
      <c r="DD150" s="210"/>
      <c r="DE150" s="210"/>
      <c r="DJ150" s="142"/>
    </row>
    <row r="151" spans="2:115" s="123" customFormat="1">
      <c r="B151" s="125"/>
      <c r="D151" s="125"/>
      <c r="Y151" s="59">
        <f>26450090814/1000</f>
        <v>26450090.813999999</v>
      </c>
      <c r="AA151" s="74"/>
      <c r="AE151" s="124"/>
      <c r="AI151" s="74"/>
      <c r="AM151" s="74"/>
      <c r="AY151" s="74"/>
      <c r="BC151" s="74"/>
      <c r="BG151" s="74"/>
      <c r="BK151" s="74"/>
      <c r="BO151" s="74"/>
      <c r="BS151" s="74"/>
      <c r="BW151" s="74"/>
      <c r="DJ151" s="124"/>
    </row>
    <row r="152" spans="2:115" s="123" customFormat="1" ht="11.25">
      <c r="B152" s="125"/>
      <c r="D152" s="125"/>
      <c r="AA152" s="74"/>
      <c r="AE152" s="124"/>
      <c r="AI152" s="74"/>
      <c r="AM152" s="74"/>
      <c r="AY152" s="74"/>
      <c r="BC152" s="74"/>
      <c r="BG152" s="74"/>
      <c r="BK152" s="74"/>
      <c r="BO152" s="74"/>
      <c r="BS152" s="74"/>
      <c r="BW152" s="74"/>
    </row>
    <row r="153" spans="2:115" s="123" customFormat="1" ht="11.25">
      <c r="B153" s="125"/>
      <c r="D153" s="125"/>
      <c r="AA153" s="74"/>
      <c r="AE153" s="124"/>
      <c r="AI153" s="74"/>
      <c r="AM153" s="74"/>
      <c r="AY153" s="74"/>
      <c r="BC153" s="74"/>
      <c r="BG153" s="74"/>
      <c r="BK153" s="74"/>
      <c r="BO153" s="74"/>
      <c r="BS153" s="74"/>
      <c r="BW153" s="74"/>
    </row>
    <row r="154" spans="2:115" s="123" customFormat="1" ht="11.25">
      <c r="B154" s="125"/>
      <c r="D154" s="125"/>
      <c r="AA154" s="74"/>
      <c r="AE154" s="124"/>
      <c r="AI154" s="74"/>
      <c r="AM154" s="74"/>
      <c r="AY154" s="74"/>
      <c r="BC154" s="74"/>
      <c r="BG154" s="74"/>
      <c r="BK154" s="74"/>
      <c r="BO154" s="74"/>
      <c r="BS154" s="74"/>
      <c r="BW154" s="74"/>
    </row>
    <row r="155" spans="2:115" s="123" customFormat="1" ht="11.25">
      <c r="B155" s="125"/>
      <c r="D155" s="125"/>
      <c r="AA155" s="74"/>
      <c r="AE155" s="124"/>
      <c r="AI155" s="74"/>
      <c r="AM155" s="74"/>
      <c r="AY155" s="74"/>
      <c r="BC155" s="74"/>
      <c r="BG155" s="74"/>
      <c r="BK155" s="74"/>
      <c r="BO155" s="74"/>
      <c r="BS155" s="74"/>
      <c r="BW155" s="74"/>
    </row>
    <row r="156" spans="2:115" s="123" customFormat="1" ht="11.25">
      <c r="B156" s="125"/>
      <c r="D156" s="125"/>
      <c r="AA156" s="74"/>
      <c r="AE156" s="124"/>
      <c r="AI156" s="74"/>
      <c r="AM156" s="74"/>
      <c r="AY156" s="74"/>
      <c r="BC156" s="74"/>
      <c r="BG156" s="74"/>
      <c r="BK156" s="74"/>
      <c r="BO156" s="74"/>
      <c r="BS156" s="74"/>
      <c r="BW156" s="74"/>
    </row>
    <row r="157" spans="2:115" s="123" customFormat="1" ht="11.25">
      <c r="B157" s="125"/>
      <c r="D157" s="125"/>
      <c r="AA157" s="74"/>
      <c r="AE157" s="124"/>
      <c r="AI157" s="74"/>
      <c r="AM157" s="74"/>
      <c r="AY157" s="74"/>
      <c r="BC157" s="74"/>
      <c r="BG157" s="74"/>
      <c r="BK157" s="74"/>
      <c r="BO157" s="74"/>
      <c r="BS157" s="74"/>
      <c r="BW157" s="74"/>
    </row>
    <row r="158" spans="2:115" s="123" customFormat="1" ht="11.25">
      <c r="B158" s="125"/>
      <c r="D158" s="125"/>
      <c r="AA158" s="74"/>
      <c r="AE158" s="124"/>
      <c r="AI158" s="74"/>
      <c r="AM158" s="74"/>
      <c r="AY158" s="74"/>
      <c r="BC158" s="74"/>
      <c r="BG158" s="74"/>
      <c r="BK158" s="74"/>
      <c r="BO158" s="74"/>
      <c r="BS158" s="74"/>
      <c r="BW158" s="74"/>
    </row>
    <row r="159" spans="2:115" s="123" customFormat="1" ht="11.25">
      <c r="B159" s="125"/>
      <c r="D159" s="125"/>
      <c r="AA159" s="74"/>
      <c r="AE159" s="124"/>
      <c r="AI159" s="74"/>
      <c r="AM159" s="74"/>
      <c r="AY159" s="74"/>
      <c r="BC159" s="74"/>
      <c r="BG159" s="74"/>
      <c r="BK159" s="74"/>
      <c r="BO159" s="74"/>
      <c r="BS159" s="74"/>
      <c r="BW159" s="74"/>
    </row>
    <row r="160" spans="2:115" s="123" customFormat="1" ht="11.25">
      <c r="B160" s="125"/>
      <c r="D160" s="125"/>
      <c r="AA160" s="74"/>
      <c r="AE160" s="124"/>
      <c r="AI160" s="74"/>
      <c r="AM160" s="74"/>
      <c r="AY160" s="74"/>
      <c r="BC160" s="74"/>
      <c r="BG160" s="74"/>
      <c r="BK160" s="74"/>
      <c r="BO160" s="74"/>
      <c r="BS160" s="74"/>
      <c r="BW160" s="74"/>
    </row>
    <row r="161" spans="2:113" s="123" customFormat="1" ht="11.25">
      <c r="B161" s="125"/>
      <c r="D161" s="125"/>
      <c r="AA161" s="74"/>
      <c r="AE161" s="124"/>
      <c r="AI161" s="74"/>
      <c r="AM161" s="74"/>
      <c r="AY161" s="74"/>
      <c r="BC161" s="74"/>
      <c r="BG161" s="74"/>
      <c r="BK161" s="74"/>
      <c r="BO161" s="74"/>
      <c r="BS161" s="74"/>
      <c r="BW161" s="74"/>
    </row>
    <row r="162" spans="2:113" s="123" customFormat="1" ht="11.25">
      <c r="B162" s="125"/>
      <c r="D162" s="125"/>
      <c r="AA162" s="74"/>
      <c r="AE162" s="124"/>
      <c r="AI162" s="74"/>
      <c r="AM162" s="74"/>
      <c r="AY162" s="74"/>
      <c r="BC162" s="74"/>
      <c r="BG162" s="74"/>
      <c r="BK162" s="74"/>
      <c r="BO162" s="74"/>
      <c r="BS162" s="74"/>
      <c r="BW162" s="74"/>
    </row>
    <row r="163" spans="2:113" s="123" customFormat="1" ht="11.25">
      <c r="B163" s="125"/>
      <c r="D163" s="125"/>
      <c r="AA163" s="74"/>
      <c r="AE163" s="124"/>
      <c r="AI163" s="74"/>
      <c r="AM163" s="74"/>
      <c r="AY163" s="74"/>
      <c r="BC163" s="74"/>
      <c r="BG163" s="74"/>
      <c r="BK163" s="74"/>
      <c r="BO163" s="74"/>
      <c r="BS163" s="74"/>
      <c r="BW163" s="74"/>
    </row>
    <row r="164" spans="2:113" s="123" customFormat="1" ht="11.25">
      <c r="B164" s="125"/>
      <c r="D164" s="125"/>
      <c r="AA164" s="74"/>
      <c r="AE164" s="124"/>
      <c r="AI164" s="74"/>
      <c r="AM164" s="74"/>
      <c r="AY164" s="74"/>
      <c r="BC164" s="74"/>
      <c r="BG164" s="74"/>
      <c r="BK164" s="74"/>
      <c r="BO164" s="74"/>
      <c r="BS164" s="74"/>
      <c r="BW164" s="74"/>
    </row>
    <row r="165" spans="2:113" s="123" customFormat="1" ht="11.25">
      <c r="B165" s="125"/>
      <c r="D165" s="125"/>
      <c r="AA165" s="74"/>
      <c r="AE165" s="124"/>
      <c r="AI165" s="74"/>
      <c r="AM165" s="74"/>
      <c r="AY165" s="74"/>
      <c r="BC165" s="74"/>
      <c r="BG165" s="74"/>
      <c r="BK165" s="74"/>
      <c r="BO165" s="74"/>
      <c r="BS165" s="74"/>
      <c r="BW165" s="74"/>
    </row>
    <row r="166" spans="2:113" s="123" customFormat="1" ht="11.25">
      <c r="B166" s="125"/>
      <c r="D166" s="125"/>
      <c r="AA166" s="74"/>
      <c r="AE166" s="124"/>
      <c r="AI166" s="74"/>
      <c r="AM166" s="74"/>
      <c r="AY166" s="74"/>
      <c r="BC166" s="74"/>
      <c r="BG166" s="74"/>
      <c r="BK166" s="74"/>
      <c r="BO166" s="74"/>
      <c r="BS166" s="74"/>
      <c r="BW166" s="74"/>
    </row>
    <row r="167" spans="2:113" s="123" customFormat="1" ht="11.25">
      <c r="B167" s="125"/>
      <c r="D167" s="125"/>
      <c r="AA167" s="74"/>
      <c r="AE167" s="124"/>
      <c r="AI167" s="74"/>
      <c r="AM167" s="74"/>
      <c r="AY167" s="74"/>
      <c r="BC167" s="74"/>
      <c r="BG167" s="74"/>
      <c r="BK167" s="74"/>
      <c r="BO167" s="74"/>
      <c r="BS167" s="74"/>
      <c r="BW167" s="74"/>
    </row>
    <row r="168" spans="2:113" s="123" customFormat="1" ht="11.25">
      <c r="B168" s="125"/>
      <c r="D168" s="125"/>
      <c r="AA168" s="74"/>
      <c r="AE168" s="124"/>
      <c r="AI168" s="74"/>
      <c r="AM168" s="74"/>
      <c r="AY168" s="74"/>
      <c r="BC168" s="74"/>
      <c r="BG168" s="74"/>
      <c r="BK168" s="74"/>
      <c r="BO168" s="74"/>
      <c r="BW168" s="74"/>
    </row>
    <row r="169" spans="2:113" s="123" customFormat="1" ht="11.25">
      <c r="B169" s="125"/>
      <c r="D169" s="125"/>
      <c r="AA169" s="74"/>
      <c r="AE169" s="124"/>
      <c r="AI169" s="74"/>
      <c r="AM169" s="74"/>
      <c r="AY169" s="74"/>
      <c r="BC169" s="74"/>
      <c r="BG169" s="74"/>
      <c r="BK169" s="74"/>
      <c r="BO169" s="74"/>
      <c r="BW169" s="74"/>
    </row>
    <row r="170" spans="2:113" s="123" customFormat="1" ht="11.25">
      <c r="B170" s="125"/>
      <c r="D170" s="125"/>
      <c r="AA170" s="74"/>
      <c r="AE170" s="124"/>
      <c r="AI170" s="74"/>
      <c r="AM170" s="74"/>
      <c r="AY170" s="74"/>
      <c r="BC170" s="74"/>
      <c r="BG170" s="74"/>
      <c r="BK170" s="74"/>
      <c r="BO170" s="74"/>
      <c r="BW170" s="74"/>
    </row>
    <row r="171" spans="2:113" s="123" customFormat="1" ht="11.25">
      <c r="B171" s="125"/>
      <c r="D171" s="125"/>
      <c r="AA171" s="74"/>
      <c r="AE171" s="124"/>
      <c r="AI171" s="74"/>
      <c r="AM171" s="74"/>
      <c r="AY171" s="74"/>
      <c r="BC171" s="74"/>
      <c r="BG171" s="74"/>
      <c r="BK171" s="74"/>
      <c r="BO171" s="74"/>
      <c r="BW171" s="74"/>
    </row>
    <row r="172" spans="2:113" s="123" customFormat="1" ht="11.25">
      <c r="B172" s="125"/>
      <c r="D172" s="125"/>
      <c r="AA172" s="74"/>
      <c r="AE172" s="124"/>
      <c r="AI172" s="74"/>
      <c r="AM172" s="74"/>
      <c r="AY172" s="74"/>
      <c r="BC172" s="74"/>
      <c r="BG172" s="74"/>
      <c r="BK172" s="74"/>
      <c r="BO172" s="74"/>
      <c r="BW172" s="74"/>
    </row>
    <row r="173" spans="2:113" s="123" customFormat="1" ht="11.25">
      <c r="B173" s="125"/>
      <c r="D173" s="125"/>
      <c r="AA173" s="74"/>
      <c r="AE173" s="124"/>
      <c r="AI173" s="74"/>
      <c r="AM173" s="74"/>
      <c r="AY173" s="74"/>
      <c r="BC173" s="74"/>
      <c r="BG173" s="74"/>
      <c r="BK173" s="74"/>
      <c r="BO173" s="74"/>
      <c r="BW173" s="74"/>
    </row>
    <row r="174" spans="2:113" s="123" customFormat="1" ht="11.25">
      <c r="B174" s="125"/>
      <c r="D174" s="125"/>
      <c r="AA174" s="74"/>
      <c r="AE174" s="124"/>
      <c r="AI174" s="74"/>
      <c r="AM174" s="74"/>
      <c r="AY174" s="74"/>
      <c r="BC174" s="74"/>
      <c r="BG174" s="74"/>
      <c r="BK174" s="74"/>
      <c r="BO174" s="74"/>
      <c r="BW174" s="74"/>
    </row>
    <row r="175" spans="2:113" s="123" customFormat="1">
      <c r="B175" s="125"/>
      <c r="D175" s="125"/>
      <c r="AA175" s="74"/>
      <c r="AE175" s="124"/>
      <c r="AI175" s="74"/>
      <c r="AM175" s="74"/>
      <c r="AY175" s="74"/>
      <c r="BC175" s="74"/>
      <c r="BG175" s="74"/>
      <c r="BK175" s="74"/>
      <c r="BO175" s="74"/>
      <c r="BW175" s="74"/>
      <c r="DF175" s="21"/>
      <c r="DG175" s="21"/>
      <c r="DH175" s="21"/>
      <c r="DI175" s="21"/>
    </row>
    <row r="176" spans="2:113" s="123" customFormat="1">
      <c r="B176" s="125"/>
      <c r="D176" s="125"/>
      <c r="AA176" s="74"/>
      <c r="AE176" s="124"/>
      <c r="AI176" s="74"/>
      <c r="AM176" s="74"/>
      <c r="AY176" s="74"/>
      <c r="BC176" s="74"/>
      <c r="BG176" s="74"/>
      <c r="BK176" s="74"/>
      <c r="BO176" s="74"/>
      <c r="BW176" s="74"/>
      <c r="DF176" s="21"/>
      <c r="DG176" s="21"/>
      <c r="DH176" s="21"/>
      <c r="DI176" s="21"/>
    </row>
    <row r="177" spans="2:113" s="123" customFormat="1">
      <c r="B177" s="125"/>
      <c r="D177" s="125"/>
      <c r="AA177" s="74"/>
      <c r="AE177" s="124"/>
      <c r="AI177" s="74"/>
      <c r="AM177" s="74"/>
      <c r="AY177" s="74"/>
      <c r="BC177" s="74"/>
      <c r="BG177" s="74"/>
      <c r="BK177" s="74"/>
      <c r="BO177" s="74"/>
      <c r="BW177" s="74"/>
      <c r="DF177" s="21"/>
      <c r="DG177" s="21"/>
      <c r="DH177" s="21"/>
      <c r="DI177" s="21"/>
    </row>
    <row r="178" spans="2:113" s="123" customFormat="1">
      <c r="B178" s="125"/>
      <c r="D178" s="125"/>
      <c r="AA178" s="74"/>
      <c r="AE178" s="124"/>
      <c r="AI178" s="74"/>
      <c r="AM178" s="74"/>
      <c r="AY178" s="74"/>
      <c r="BC178" s="74"/>
      <c r="BG178" s="74"/>
      <c r="BK178" s="74"/>
      <c r="BO178" s="74"/>
      <c r="BW178" s="74"/>
      <c r="DF178" s="21"/>
      <c r="DG178" s="21"/>
      <c r="DH178" s="21"/>
      <c r="DI178" s="21"/>
    </row>
    <row r="179" spans="2:113" s="123" customFormat="1">
      <c r="B179" s="125"/>
      <c r="D179" s="125"/>
      <c r="AA179" s="74"/>
      <c r="AE179" s="124"/>
      <c r="AI179" s="74"/>
      <c r="AM179" s="74"/>
      <c r="AY179" s="74"/>
      <c r="BC179" s="74"/>
      <c r="BG179" s="74"/>
      <c r="BK179" s="74"/>
      <c r="BO179" s="74"/>
      <c r="BW179" s="74"/>
      <c r="DF179" s="21"/>
      <c r="DG179" s="21"/>
      <c r="DH179" s="21"/>
      <c r="DI179" s="21"/>
    </row>
    <row r="180" spans="2:113" s="123" customFormat="1">
      <c r="B180" s="125"/>
      <c r="D180" s="125"/>
      <c r="AA180" s="74"/>
      <c r="AE180" s="124"/>
      <c r="AI180" s="74"/>
      <c r="AM180" s="74"/>
      <c r="AY180" s="74"/>
      <c r="BC180" s="74"/>
      <c r="BG180" s="74"/>
      <c r="BK180" s="74"/>
      <c r="BO180" s="74"/>
      <c r="BW180" s="74"/>
      <c r="DF180" s="21"/>
      <c r="DG180" s="21"/>
      <c r="DH180" s="21"/>
      <c r="DI180" s="21"/>
    </row>
    <row r="181" spans="2:113" s="123" customFormat="1">
      <c r="B181" s="125"/>
      <c r="D181" s="125"/>
      <c r="AA181" s="74"/>
      <c r="AE181" s="124"/>
      <c r="AI181" s="74"/>
      <c r="AM181" s="74"/>
      <c r="AY181" s="74"/>
      <c r="BC181" s="74"/>
      <c r="BG181" s="74"/>
      <c r="BK181" s="74"/>
      <c r="BO181" s="74"/>
      <c r="BW181" s="74"/>
      <c r="DF181" s="21"/>
      <c r="DG181" s="21"/>
      <c r="DH181" s="21"/>
      <c r="DI181" s="21"/>
    </row>
    <row r="182" spans="2:113" s="123" customFormat="1">
      <c r="B182" s="125"/>
      <c r="D182" s="125"/>
      <c r="AA182" s="74"/>
      <c r="AE182" s="124"/>
      <c r="AI182" s="74"/>
      <c r="AM182" s="74"/>
      <c r="AY182" s="74"/>
      <c r="BC182" s="74"/>
      <c r="BG182" s="74"/>
      <c r="BK182" s="74"/>
      <c r="BO182" s="74"/>
      <c r="BW182" s="74"/>
      <c r="DF182" s="21"/>
      <c r="DG182" s="21"/>
      <c r="DH182" s="21"/>
      <c r="DI182" s="21"/>
    </row>
    <row r="183" spans="2:113" s="123" customFormat="1">
      <c r="B183" s="125"/>
      <c r="D183" s="125"/>
      <c r="AA183" s="74"/>
      <c r="AE183" s="124"/>
      <c r="AI183" s="74"/>
      <c r="AM183" s="74"/>
      <c r="AY183" s="74"/>
      <c r="BC183" s="74"/>
      <c r="BG183" s="74"/>
      <c r="BK183" s="74"/>
      <c r="BO183" s="74"/>
      <c r="BW183" s="74"/>
      <c r="DF183" s="21"/>
      <c r="DG183" s="21"/>
      <c r="DH183" s="21"/>
      <c r="DI183" s="21"/>
    </row>
    <row r="184" spans="2:113" s="123" customFormat="1">
      <c r="B184" s="125"/>
      <c r="D184" s="125"/>
      <c r="AA184" s="74"/>
      <c r="AE184" s="124"/>
      <c r="AI184" s="74"/>
      <c r="AM184" s="74"/>
      <c r="AY184" s="74"/>
      <c r="BC184" s="74"/>
      <c r="BG184" s="74"/>
      <c r="BK184" s="74"/>
      <c r="BO184" s="74"/>
      <c r="BW184" s="74"/>
      <c r="DF184" s="21"/>
      <c r="DG184" s="21"/>
      <c r="DH184" s="21"/>
      <c r="DI184" s="21"/>
    </row>
    <row r="185" spans="2:113" s="123" customFormat="1">
      <c r="B185" s="125"/>
      <c r="D185" s="125"/>
      <c r="AA185" s="74"/>
      <c r="AE185" s="124"/>
      <c r="AI185" s="74"/>
      <c r="AM185" s="74"/>
      <c r="AY185" s="74"/>
      <c r="BC185" s="74"/>
      <c r="BG185" s="74"/>
      <c r="BK185" s="74"/>
      <c r="BO185" s="74"/>
      <c r="BW185" s="74"/>
      <c r="DF185" s="21"/>
      <c r="DG185" s="21"/>
      <c r="DH185" s="21"/>
      <c r="DI185" s="21"/>
    </row>
    <row r="186" spans="2:113" s="123" customFormat="1">
      <c r="B186" s="125"/>
      <c r="D186" s="125"/>
      <c r="AA186" s="74"/>
      <c r="AE186" s="124"/>
      <c r="AI186" s="74"/>
      <c r="AM186" s="74"/>
      <c r="AY186" s="74"/>
      <c r="BC186" s="74"/>
      <c r="BG186" s="74"/>
      <c r="BK186" s="74"/>
      <c r="BO186" s="74"/>
      <c r="BW186" s="74"/>
      <c r="DF186" s="21"/>
      <c r="DG186" s="21"/>
      <c r="DH186" s="21"/>
      <c r="DI186" s="21"/>
    </row>
    <row r="187" spans="2:113" s="123" customFormat="1">
      <c r="B187" s="125"/>
      <c r="D187" s="125"/>
      <c r="AA187" s="74"/>
      <c r="AE187" s="124"/>
      <c r="AI187" s="74"/>
      <c r="AM187" s="74"/>
      <c r="AY187" s="74"/>
      <c r="BC187" s="74"/>
      <c r="BG187" s="74"/>
      <c r="BK187" s="74"/>
      <c r="BO187" s="74"/>
      <c r="BW187" s="74"/>
      <c r="DF187" s="21"/>
      <c r="DG187" s="21"/>
      <c r="DH187" s="21"/>
      <c r="DI187" s="21"/>
    </row>
    <row r="188" spans="2:113" s="123" customFormat="1">
      <c r="B188" s="125"/>
      <c r="D188" s="125"/>
      <c r="AA188" s="74"/>
      <c r="AE188" s="124"/>
      <c r="AI188" s="74"/>
      <c r="AM188" s="74"/>
      <c r="AY188" s="74"/>
      <c r="BC188" s="74"/>
      <c r="BG188" s="74"/>
      <c r="BK188" s="74"/>
      <c r="BO188" s="74"/>
      <c r="BW188" s="74"/>
      <c r="DF188" s="21"/>
      <c r="DG188" s="21"/>
      <c r="DH188" s="21"/>
      <c r="DI188" s="21"/>
    </row>
    <row r="189" spans="2:113" s="123" customFormat="1">
      <c r="B189" s="125"/>
      <c r="D189" s="125"/>
      <c r="AA189" s="74"/>
      <c r="AE189" s="124"/>
      <c r="AI189" s="74"/>
      <c r="AM189" s="74"/>
      <c r="AY189" s="74"/>
      <c r="BC189" s="74"/>
      <c r="BG189" s="74"/>
      <c r="BK189" s="74"/>
      <c r="BO189" s="74"/>
      <c r="BW189" s="74"/>
      <c r="DF189" s="21"/>
      <c r="DG189" s="21"/>
      <c r="DH189" s="21"/>
      <c r="DI189" s="21"/>
    </row>
    <row r="190" spans="2:113" s="123" customFormat="1">
      <c r="B190" s="125"/>
      <c r="D190" s="125"/>
      <c r="AA190" s="74"/>
      <c r="AE190" s="124"/>
      <c r="AI190" s="74"/>
      <c r="AM190" s="74"/>
      <c r="AY190" s="74"/>
      <c r="BC190" s="74"/>
      <c r="BG190" s="74"/>
      <c r="BK190" s="74"/>
      <c r="BO190" s="74"/>
      <c r="BW190" s="74"/>
      <c r="DF190" s="21"/>
      <c r="DG190" s="21"/>
      <c r="DH190" s="21"/>
      <c r="DI190" s="21"/>
    </row>
    <row r="191" spans="2:113" s="123" customFormat="1">
      <c r="B191" s="125"/>
      <c r="D191" s="125"/>
      <c r="AA191" s="74"/>
      <c r="AE191" s="124"/>
      <c r="AI191" s="74"/>
      <c r="AM191" s="74"/>
      <c r="AY191" s="74"/>
      <c r="BC191" s="74"/>
      <c r="BG191" s="74"/>
      <c r="BK191" s="74"/>
      <c r="BO191" s="74"/>
      <c r="BW191" s="74"/>
      <c r="DF191" s="21"/>
      <c r="DG191" s="21"/>
      <c r="DH191" s="21"/>
      <c r="DI191" s="21"/>
    </row>
    <row r="192" spans="2:113" s="123" customFormat="1">
      <c r="B192" s="125"/>
      <c r="D192" s="125"/>
      <c r="AA192" s="74"/>
      <c r="AE192" s="124"/>
      <c r="AI192" s="74"/>
      <c r="AM192" s="74"/>
      <c r="AY192" s="74"/>
      <c r="BC192" s="74"/>
      <c r="BG192" s="74"/>
      <c r="BK192" s="74"/>
      <c r="BO192" s="74"/>
      <c r="BW192" s="74"/>
      <c r="DF192" s="21"/>
      <c r="DG192" s="21"/>
      <c r="DH192" s="21"/>
      <c r="DI192" s="21"/>
    </row>
    <row r="193" spans="2:113" s="123" customFormat="1">
      <c r="B193" s="125"/>
      <c r="D193" s="125"/>
      <c r="AA193" s="74"/>
      <c r="AE193" s="124"/>
      <c r="AI193" s="74"/>
      <c r="AM193" s="74"/>
      <c r="AY193" s="74"/>
      <c r="BC193" s="74"/>
      <c r="BG193" s="74"/>
      <c r="BK193" s="74"/>
      <c r="BO193" s="74"/>
      <c r="BW193" s="74"/>
      <c r="DF193" s="21"/>
      <c r="DG193" s="21"/>
      <c r="DH193" s="21"/>
      <c r="DI193" s="21"/>
    </row>
    <row r="194" spans="2:113" s="123" customFormat="1">
      <c r="B194" s="125"/>
      <c r="D194" s="125"/>
      <c r="AA194" s="74"/>
      <c r="AE194" s="124"/>
      <c r="AI194" s="74"/>
      <c r="AM194" s="74"/>
      <c r="AY194" s="74"/>
      <c r="BC194" s="74"/>
      <c r="BG194" s="74"/>
      <c r="BK194" s="74"/>
      <c r="BO194" s="74"/>
      <c r="BW194" s="74"/>
      <c r="DF194" s="21"/>
      <c r="DG194" s="21"/>
      <c r="DH194" s="21"/>
      <c r="DI194" s="21"/>
    </row>
    <row r="195" spans="2:113" s="123" customFormat="1">
      <c r="B195" s="125"/>
      <c r="D195" s="125"/>
      <c r="AA195" s="74"/>
      <c r="AE195" s="124"/>
      <c r="AI195" s="74"/>
      <c r="AM195" s="74"/>
      <c r="AY195" s="74"/>
      <c r="BC195" s="74"/>
      <c r="BG195" s="74"/>
      <c r="BK195" s="74"/>
      <c r="BO195" s="74"/>
      <c r="BW195" s="74"/>
      <c r="DF195" s="21"/>
      <c r="DG195" s="21"/>
      <c r="DH195" s="21"/>
      <c r="DI195" s="21"/>
    </row>
    <row r="196" spans="2:113" s="123" customFormat="1">
      <c r="B196" s="125"/>
      <c r="D196" s="125"/>
      <c r="AA196" s="74"/>
      <c r="AE196" s="124"/>
      <c r="AI196" s="74"/>
      <c r="AM196" s="74"/>
      <c r="AY196" s="74"/>
      <c r="BC196" s="74"/>
      <c r="BG196" s="74"/>
      <c r="BK196" s="74"/>
      <c r="BO196" s="74"/>
      <c r="BW196" s="74"/>
      <c r="DF196" s="21"/>
      <c r="DG196" s="21"/>
      <c r="DH196" s="21"/>
      <c r="DI196" s="21"/>
    </row>
    <row r="197" spans="2:113" s="123" customFormat="1">
      <c r="B197" s="125"/>
      <c r="D197" s="125"/>
      <c r="AA197" s="74"/>
      <c r="AE197" s="124"/>
      <c r="AI197" s="74"/>
      <c r="AM197" s="74"/>
      <c r="AY197" s="74"/>
      <c r="BC197" s="74"/>
      <c r="BG197" s="74"/>
      <c r="BK197" s="74"/>
      <c r="BO197" s="74"/>
      <c r="BW197" s="74"/>
      <c r="DF197" s="21"/>
      <c r="DG197" s="21"/>
      <c r="DH197" s="21"/>
      <c r="DI197" s="21"/>
    </row>
    <row r="198" spans="2:113" s="123" customFormat="1">
      <c r="B198" s="125"/>
      <c r="D198" s="125"/>
      <c r="AA198" s="74"/>
      <c r="AE198" s="124"/>
      <c r="AI198" s="74"/>
      <c r="AM198" s="74"/>
      <c r="AY198" s="74"/>
      <c r="BC198" s="74"/>
      <c r="BG198" s="74"/>
      <c r="BK198" s="74"/>
      <c r="BO198" s="74"/>
      <c r="BW198" s="74"/>
      <c r="DF198" s="21"/>
      <c r="DG198" s="21"/>
      <c r="DH198" s="21"/>
      <c r="DI198" s="21"/>
    </row>
    <row r="199" spans="2:113" s="123" customFormat="1">
      <c r="B199" s="125"/>
      <c r="D199" s="125"/>
      <c r="AA199" s="74"/>
      <c r="AE199" s="124"/>
      <c r="AI199" s="74"/>
      <c r="AM199" s="74"/>
      <c r="AY199" s="74"/>
      <c r="BC199" s="74"/>
      <c r="BG199" s="74"/>
      <c r="BK199" s="74"/>
      <c r="BO199" s="74"/>
      <c r="BW199" s="74"/>
      <c r="DF199" s="21"/>
      <c r="DG199" s="21"/>
      <c r="DH199" s="21"/>
      <c r="DI199" s="21"/>
    </row>
    <row r="200" spans="2:113" s="123" customFormat="1">
      <c r="B200" s="125"/>
      <c r="D200" s="125"/>
      <c r="AA200" s="74"/>
      <c r="AE200" s="124"/>
      <c r="AI200" s="74"/>
      <c r="AM200" s="74"/>
      <c r="AY200" s="74"/>
      <c r="BC200" s="74"/>
      <c r="BG200" s="74"/>
      <c r="BK200" s="74"/>
      <c r="BO200" s="74"/>
      <c r="BW200" s="74"/>
      <c r="DF200" s="21"/>
      <c r="DG200" s="21"/>
      <c r="DH200" s="21"/>
      <c r="DI200" s="21"/>
    </row>
    <row r="201" spans="2:113" s="123" customFormat="1">
      <c r="B201" s="125"/>
      <c r="D201" s="125"/>
      <c r="AA201" s="74"/>
      <c r="AE201" s="124"/>
      <c r="AI201" s="74"/>
      <c r="AM201" s="74"/>
      <c r="AY201" s="74"/>
      <c r="BC201" s="74"/>
      <c r="BG201" s="74"/>
      <c r="BK201" s="74"/>
      <c r="BO201" s="74"/>
      <c r="BW201" s="74"/>
      <c r="DF201" s="21"/>
      <c r="DG201" s="21"/>
      <c r="DH201" s="21"/>
      <c r="DI201" s="21"/>
    </row>
    <row r="202" spans="2:113" s="123" customFormat="1">
      <c r="B202" s="125"/>
      <c r="D202" s="125"/>
      <c r="AA202" s="74"/>
      <c r="AE202" s="124"/>
      <c r="AI202" s="74"/>
      <c r="AM202" s="74"/>
      <c r="AY202" s="74"/>
      <c r="BC202" s="74"/>
      <c r="BG202" s="74"/>
      <c r="BK202" s="74"/>
      <c r="BO202" s="74"/>
      <c r="BW202" s="74"/>
      <c r="DF202" s="21"/>
      <c r="DG202" s="21"/>
      <c r="DH202" s="21"/>
      <c r="DI202" s="21"/>
    </row>
    <row r="203" spans="2:113" s="123" customFormat="1">
      <c r="B203" s="125"/>
      <c r="D203" s="125"/>
      <c r="AA203" s="74"/>
      <c r="AE203" s="124"/>
      <c r="AI203" s="74"/>
      <c r="AM203" s="74"/>
      <c r="AY203" s="74"/>
      <c r="BC203" s="74"/>
      <c r="BG203" s="74"/>
      <c r="BK203" s="74"/>
      <c r="BO203" s="74"/>
      <c r="BW203" s="74"/>
      <c r="DF203" s="21"/>
      <c r="DG203" s="21"/>
      <c r="DH203" s="21"/>
      <c r="DI203" s="21"/>
    </row>
    <row r="204" spans="2:113" s="123" customFormat="1">
      <c r="B204" s="125"/>
      <c r="D204" s="125"/>
      <c r="AA204" s="74"/>
      <c r="AE204" s="124"/>
      <c r="AI204" s="74"/>
      <c r="AM204" s="74"/>
      <c r="AY204" s="74"/>
      <c r="BC204" s="74"/>
      <c r="BG204" s="74"/>
      <c r="BK204" s="74"/>
      <c r="BO204" s="74"/>
      <c r="BW204" s="74"/>
      <c r="DF204" s="21"/>
      <c r="DG204" s="21"/>
      <c r="DH204" s="21"/>
      <c r="DI204" s="21"/>
    </row>
    <row r="205" spans="2:113" s="123" customFormat="1">
      <c r="B205" s="125"/>
      <c r="D205" s="125"/>
      <c r="AA205" s="74"/>
      <c r="AE205" s="124"/>
      <c r="AI205" s="74"/>
      <c r="AM205" s="74"/>
      <c r="AY205" s="74"/>
      <c r="BC205" s="74"/>
      <c r="BG205" s="74"/>
      <c r="BK205" s="74"/>
      <c r="BO205" s="74"/>
      <c r="BW205" s="74"/>
      <c r="DF205" s="21"/>
      <c r="DG205" s="21"/>
      <c r="DH205" s="21"/>
      <c r="DI205" s="21"/>
    </row>
    <row r="206" spans="2:113" s="123" customFormat="1">
      <c r="B206" s="125"/>
      <c r="D206" s="125"/>
      <c r="AA206" s="74"/>
      <c r="AE206" s="124"/>
      <c r="AI206" s="74"/>
      <c r="AM206" s="74"/>
      <c r="AY206" s="74"/>
      <c r="BC206" s="74"/>
      <c r="BG206" s="74"/>
      <c r="BK206" s="74"/>
      <c r="BO206" s="74"/>
      <c r="BW206" s="74"/>
      <c r="DF206" s="21"/>
      <c r="DG206" s="21"/>
      <c r="DH206" s="21"/>
      <c r="DI206" s="21"/>
    </row>
    <row r="207" spans="2:113" s="123" customFormat="1">
      <c r="B207" s="125"/>
      <c r="D207" s="125"/>
      <c r="AA207" s="74"/>
      <c r="AE207" s="124"/>
      <c r="AI207" s="74"/>
      <c r="AM207" s="74"/>
      <c r="AY207" s="74"/>
      <c r="BC207" s="74"/>
      <c r="BG207" s="74"/>
      <c r="BK207" s="74"/>
      <c r="BO207" s="74"/>
      <c r="BW207" s="74"/>
      <c r="DF207" s="21"/>
      <c r="DG207" s="21"/>
      <c r="DH207" s="21"/>
      <c r="DI207" s="21"/>
    </row>
    <row r="208" spans="2:113" s="123" customFormat="1">
      <c r="B208" s="125"/>
      <c r="D208" s="125"/>
      <c r="AA208" s="74"/>
      <c r="AE208" s="124"/>
      <c r="AI208" s="74"/>
      <c r="AM208" s="74"/>
      <c r="AY208" s="74"/>
      <c r="BC208" s="74"/>
      <c r="BG208" s="74"/>
      <c r="BK208" s="74"/>
      <c r="BO208" s="74"/>
      <c r="BW208" s="74"/>
      <c r="DF208" s="21"/>
      <c r="DG208" s="21"/>
      <c r="DH208" s="21"/>
      <c r="DI208" s="21"/>
    </row>
    <row r="209" spans="2:113" s="123" customFormat="1">
      <c r="B209" s="125"/>
      <c r="D209" s="125"/>
      <c r="AA209" s="74"/>
      <c r="AE209" s="124"/>
      <c r="AI209" s="74"/>
      <c r="AM209" s="74"/>
      <c r="AY209" s="74"/>
      <c r="BC209" s="74"/>
      <c r="BG209" s="74"/>
      <c r="BK209" s="74"/>
      <c r="BO209" s="74"/>
      <c r="BW209" s="74"/>
      <c r="DF209" s="21"/>
      <c r="DG209" s="21"/>
      <c r="DH209" s="21"/>
      <c r="DI209" s="21"/>
    </row>
    <row r="210" spans="2:113" s="123" customFormat="1">
      <c r="B210" s="125"/>
      <c r="D210" s="125"/>
      <c r="AA210" s="74"/>
      <c r="AE210" s="124"/>
      <c r="AI210" s="74"/>
      <c r="AM210" s="74"/>
      <c r="AY210" s="74"/>
      <c r="BC210" s="74"/>
      <c r="BG210" s="74"/>
      <c r="BK210" s="74"/>
      <c r="BO210" s="74"/>
      <c r="BW210" s="74"/>
      <c r="DF210" s="21"/>
      <c r="DG210" s="21"/>
      <c r="DH210" s="21"/>
      <c r="DI210" s="21"/>
    </row>
    <row r="211" spans="2:113" s="123" customFormat="1">
      <c r="B211" s="125"/>
      <c r="D211" s="125"/>
      <c r="AA211" s="74"/>
      <c r="AE211" s="124"/>
      <c r="AI211" s="74"/>
      <c r="AM211" s="74"/>
      <c r="AY211" s="74"/>
      <c r="BC211" s="74"/>
      <c r="BG211" s="74"/>
      <c r="BK211" s="74"/>
      <c r="BO211" s="74"/>
      <c r="BW211" s="74"/>
      <c r="DF211" s="21"/>
      <c r="DG211" s="21"/>
      <c r="DH211" s="21"/>
      <c r="DI211" s="21"/>
    </row>
    <row r="212" spans="2:113" s="123" customFormat="1">
      <c r="B212" s="125"/>
      <c r="D212" s="125"/>
      <c r="AA212" s="74"/>
      <c r="AE212" s="124"/>
      <c r="AI212" s="74"/>
      <c r="AM212" s="74"/>
      <c r="AY212" s="74"/>
      <c r="BC212" s="74"/>
      <c r="BG212" s="74"/>
      <c r="BK212" s="74"/>
      <c r="BO212" s="74"/>
      <c r="BW212" s="74"/>
      <c r="DF212" s="21"/>
      <c r="DG212" s="21"/>
      <c r="DH212" s="21"/>
      <c r="DI212" s="21"/>
    </row>
    <row r="213" spans="2:113" s="123" customFormat="1">
      <c r="B213" s="125"/>
      <c r="D213" s="125"/>
      <c r="AA213" s="74"/>
      <c r="AE213" s="124"/>
      <c r="AI213" s="74"/>
      <c r="AM213" s="74"/>
      <c r="AY213" s="74"/>
      <c r="BC213" s="74"/>
      <c r="BG213" s="74"/>
      <c r="BK213" s="74"/>
      <c r="BO213" s="74"/>
      <c r="BW213" s="74"/>
      <c r="DF213" s="21"/>
      <c r="DG213" s="21"/>
      <c r="DH213" s="21"/>
      <c r="DI213" s="21"/>
    </row>
    <row r="214" spans="2:113" s="123" customFormat="1">
      <c r="B214" s="125"/>
      <c r="D214" s="125"/>
      <c r="AA214" s="74"/>
      <c r="AE214" s="124"/>
      <c r="AI214" s="74"/>
      <c r="AM214" s="74"/>
      <c r="AY214" s="74"/>
      <c r="BC214" s="74"/>
      <c r="BG214" s="74"/>
      <c r="BK214" s="74"/>
      <c r="BO214" s="74"/>
      <c r="BW214" s="74"/>
      <c r="DF214" s="21"/>
      <c r="DG214" s="21"/>
      <c r="DH214" s="21"/>
      <c r="DI214" s="21"/>
    </row>
    <row r="215" spans="2:113" s="123" customFormat="1">
      <c r="B215" s="125"/>
      <c r="D215" s="125"/>
      <c r="AA215" s="74"/>
      <c r="AE215" s="124"/>
      <c r="AI215" s="74"/>
      <c r="AM215" s="74"/>
      <c r="AY215" s="74"/>
      <c r="BC215" s="74"/>
      <c r="BG215" s="74"/>
      <c r="BK215" s="74"/>
      <c r="BO215" s="74"/>
      <c r="BW215" s="74"/>
      <c r="DF215" s="21"/>
      <c r="DG215" s="21"/>
      <c r="DH215" s="21"/>
      <c r="DI215" s="21"/>
    </row>
    <row r="216" spans="2:113" s="123" customFormat="1">
      <c r="B216" s="125"/>
      <c r="D216" s="125"/>
      <c r="AA216" s="74"/>
      <c r="AE216" s="124"/>
      <c r="AI216" s="74"/>
      <c r="AM216" s="74"/>
      <c r="AY216" s="74"/>
      <c r="BC216" s="74"/>
      <c r="BG216" s="74"/>
      <c r="BK216" s="74"/>
      <c r="BO216" s="74"/>
      <c r="BW216" s="74"/>
      <c r="DF216" s="21"/>
      <c r="DG216" s="21"/>
      <c r="DH216" s="21"/>
      <c r="DI216" s="21"/>
    </row>
    <row r="217" spans="2:113" s="123" customFormat="1">
      <c r="B217" s="125"/>
      <c r="D217" s="125"/>
      <c r="AA217" s="74"/>
      <c r="AE217" s="124"/>
      <c r="AI217" s="74"/>
      <c r="AM217" s="74"/>
      <c r="AY217" s="74"/>
      <c r="BC217" s="74"/>
      <c r="BG217" s="74"/>
      <c r="BK217" s="74"/>
      <c r="BO217" s="74"/>
      <c r="BW217" s="74"/>
      <c r="DF217" s="21"/>
      <c r="DG217" s="21"/>
      <c r="DH217" s="21"/>
      <c r="DI217" s="21"/>
    </row>
    <row r="218" spans="2:113" s="123" customFormat="1">
      <c r="B218" s="125"/>
      <c r="D218" s="125"/>
      <c r="AA218" s="74"/>
      <c r="AE218" s="124"/>
      <c r="AI218" s="74"/>
      <c r="AM218" s="74"/>
      <c r="AY218" s="74"/>
      <c r="BC218" s="74"/>
      <c r="BG218" s="74"/>
      <c r="BK218" s="74"/>
      <c r="BO218" s="74"/>
      <c r="BW218" s="74"/>
      <c r="DF218" s="21"/>
      <c r="DG218" s="21"/>
      <c r="DH218" s="21"/>
      <c r="DI218" s="21"/>
    </row>
    <row r="219" spans="2:113" s="123" customFormat="1">
      <c r="B219" s="125"/>
      <c r="D219" s="125"/>
      <c r="AA219" s="74"/>
      <c r="AE219" s="124"/>
      <c r="AI219" s="74"/>
      <c r="AM219" s="74"/>
      <c r="AY219" s="74"/>
      <c r="BC219" s="74"/>
      <c r="BG219" s="74"/>
      <c r="BK219" s="74"/>
      <c r="BO219" s="74"/>
      <c r="BW219" s="74"/>
      <c r="DF219" s="21"/>
      <c r="DG219" s="21"/>
      <c r="DH219" s="21"/>
      <c r="DI219" s="21"/>
    </row>
    <row r="220" spans="2:113" s="123" customFormat="1">
      <c r="B220" s="125"/>
      <c r="D220" s="125"/>
      <c r="AA220" s="74"/>
      <c r="AE220" s="124"/>
      <c r="AI220" s="74"/>
      <c r="AM220" s="74"/>
      <c r="AY220" s="74"/>
      <c r="BC220" s="74"/>
      <c r="BG220" s="74"/>
      <c r="BK220" s="74"/>
      <c r="BO220" s="74"/>
      <c r="BW220" s="74"/>
      <c r="DF220" s="21"/>
      <c r="DG220" s="21"/>
      <c r="DH220" s="21"/>
      <c r="DI220" s="21"/>
    </row>
    <row r="221" spans="2:113" s="123" customFormat="1">
      <c r="B221" s="125"/>
      <c r="D221" s="125"/>
      <c r="AA221" s="74"/>
      <c r="AE221" s="124"/>
      <c r="AI221" s="74"/>
      <c r="AM221" s="74"/>
      <c r="AY221" s="74"/>
      <c r="BC221" s="74"/>
      <c r="BG221" s="74"/>
      <c r="BK221" s="74"/>
      <c r="BO221" s="74"/>
      <c r="BW221" s="74"/>
      <c r="DF221" s="21"/>
      <c r="DG221" s="21"/>
      <c r="DH221" s="21"/>
      <c r="DI221" s="21"/>
    </row>
    <row r="222" spans="2:113" s="123" customFormat="1">
      <c r="B222" s="125"/>
      <c r="D222" s="125"/>
      <c r="AA222" s="74"/>
      <c r="AE222" s="124"/>
      <c r="AI222" s="74"/>
      <c r="AM222" s="74"/>
      <c r="AY222" s="74"/>
      <c r="BC222" s="74"/>
      <c r="BG222" s="74"/>
      <c r="BK222" s="74"/>
      <c r="BO222" s="74"/>
      <c r="BW222" s="74"/>
      <c r="DF222" s="21"/>
      <c r="DG222" s="21"/>
      <c r="DH222" s="21"/>
      <c r="DI222" s="21"/>
    </row>
    <row r="223" spans="2:113" s="123" customFormat="1">
      <c r="B223" s="125"/>
      <c r="D223" s="125"/>
      <c r="AA223" s="74"/>
      <c r="AE223" s="124"/>
      <c r="AI223" s="74"/>
      <c r="AM223" s="74"/>
      <c r="AY223" s="74"/>
      <c r="BC223" s="74"/>
      <c r="BG223" s="74"/>
      <c r="BK223" s="74"/>
      <c r="BO223" s="74"/>
      <c r="BW223" s="74"/>
      <c r="DF223" s="21"/>
      <c r="DG223" s="21"/>
      <c r="DH223" s="21"/>
      <c r="DI223" s="21"/>
    </row>
    <row r="224" spans="2:113" s="123" customFormat="1">
      <c r="B224" s="125"/>
      <c r="D224" s="125"/>
      <c r="AA224" s="74"/>
      <c r="AE224" s="124"/>
      <c r="AI224" s="74"/>
      <c r="AM224" s="74"/>
      <c r="AY224" s="74"/>
      <c r="BC224" s="74"/>
      <c r="BG224" s="74"/>
      <c r="BK224" s="74"/>
      <c r="BO224" s="74"/>
      <c r="BW224" s="74"/>
      <c r="DF224" s="21"/>
      <c r="DG224" s="21"/>
      <c r="DH224" s="21"/>
      <c r="DI224" s="21"/>
    </row>
    <row r="225" spans="2:113" s="123" customFormat="1">
      <c r="B225" s="125"/>
      <c r="D225" s="125"/>
      <c r="AA225" s="74"/>
      <c r="AE225" s="124"/>
      <c r="AI225" s="74"/>
      <c r="AM225" s="74"/>
      <c r="AY225" s="74"/>
      <c r="BC225" s="74"/>
      <c r="BG225" s="74"/>
      <c r="BK225" s="74"/>
      <c r="BO225" s="74"/>
      <c r="BW225" s="74"/>
      <c r="DF225" s="21"/>
      <c r="DG225" s="21"/>
      <c r="DH225" s="21"/>
      <c r="DI225" s="21"/>
    </row>
    <row r="226" spans="2:113" s="123" customFormat="1">
      <c r="B226" s="125"/>
      <c r="D226" s="125"/>
      <c r="AA226" s="74"/>
      <c r="AE226" s="124"/>
      <c r="AI226" s="74"/>
      <c r="AM226" s="74"/>
      <c r="AY226" s="74"/>
      <c r="BC226" s="74"/>
      <c r="BG226" s="74"/>
      <c r="BK226" s="74"/>
      <c r="BO226" s="74"/>
      <c r="BW226" s="74"/>
      <c r="DF226" s="21"/>
      <c r="DG226" s="21"/>
      <c r="DH226" s="21"/>
      <c r="DI226" s="21"/>
    </row>
    <row r="227" spans="2:113" s="123" customFormat="1">
      <c r="B227" s="125"/>
      <c r="D227" s="125"/>
      <c r="AA227" s="74"/>
      <c r="AE227" s="124"/>
      <c r="AI227" s="74"/>
      <c r="AM227" s="74"/>
      <c r="AY227" s="74"/>
      <c r="BC227" s="74"/>
      <c r="BG227" s="74"/>
      <c r="BK227" s="74"/>
      <c r="BO227" s="74"/>
      <c r="BW227" s="74"/>
      <c r="DF227" s="21"/>
      <c r="DG227" s="21"/>
      <c r="DH227" s="21"/>
      <c r="DI227" s="21"/>
    </row>
    <row r="228" spans="2:113" s="123" customFormat="1">
      <c r="B228" s="125"/>
      <c r="D228" s="125"/>
      <c r="AA228" s="74"/>
      <c r="AE228" s="124"/>
      <c r="AI228" s="74"/>
      <c r="AM228" s="74"/>
      <c r="AY228" s="74"/>
      <c r="BC228" s="74"/>
      <c r="BG228" s="74"/>
      <c r="BK228" s="74"/>
      <c r="BO228" s="74"/>
      <c r="BW228" s="74"/>
      <c r="DF228" s="21"/>
      <c r="DG228" s="21"/>
      <c r="DH228" s="21"/>
      <c r="DI228" s="21"/>
    </row>
    <row r="229" spans="2:113" s="123" customFormat="1">
      <c r="B229" s="125"/>
      <c r="D229" s="125"/>
      <c r="AA229" s="74"/>
      <c r="AE229" s="124"/>
      <c r="AI229" s="74"/>
      <c r="AM229" s="74"/>
      <c r="AY229" s="74"/>
      <c r="BC229" s="74"/>
      <c r="BG229" s="74"/>
      <c r="BK229" s="74"/>
      <c r="BO229" s="74"/>
      <c r="BW229" s="74"/>
      <c r="DF229" s="21"/>
      <c r="DG229" s="21"/>
      <c r="DH229" s="21"/>
      <c r="DI229" s="21"/>
    </row>
    <row r="230" spans="2:113" s="123" customFormat="1">
      <c r="B230" s="125"/>
      <c r="D230" s="125"/>
      <c r="AA230" s="74"/>
      <c r="AE230" s="124"/>
      <c r="AI230" s="74"/>
      <c r="AM230" s="74"/>
      <c r="AY230" s="74"/>
      <c r="BC230" s="74"/>
      <c r="BG230" s="74"/>
      <c r="BK230" s="74"/>
      <c r="BO230" s="74"/>
      <c r="BW230" s="74"/>
      <c r="DF230" s="21"/>
      <c r="DG230" s="21"/>
      <c r="DH230" s="21"/>
      <c r="DI230" s="21"/>
    </row>
    <row r="231" spans="2:113" s="123" customFormat="1">
      <c r="B231" s="125"/>
      <c r="D231" s="125"/>
      <c r="AA231" s="74"/>
      <c r="AE231" s="124"/>
      <c r="AI231" s="74"/>
      <c r="AM231" s="74"/>
      <c r="AY231" s="74"/>
      <c r="BC231" s="74"/>
      <c r="BG231" s="74"/>
      <c r="BK231" s="74"/>
      <c r="BO231" s="74"/>
      <c r="BW231" s="74"/>
      <c r="DF231" s="21"/>
      <c r="DG231" s="21"/>
      <c r="DH231" s="21"/>
      <c r="DI231" s="21"/>
    </row>
    <row r="232" spans="2:113" s="123" customFormat="1">
      <c r="B232" s="125"/>
      <c r="D232" s="125"/>
      <c r="AA232" s="74"/>
      <c r="AE232" s="124"/>
      <c r="AI232" s="74"/>
      <c r="AM232" s="74"/>
      <c r="AY232" s="74"/>
      <c r="BC232" s="74"/>
      <c r="BG232" s="74"/>
      <c r="BK232" s="74"/>
      <c r="BO232" s="74"/>
      <c r="BW232" s="74"/>
      <c r="DF232" s="21"/>
      <c r="DG232" s="21"/>
      <c r="DH232" s="21"/>
      <c r="DI232" s="21"/>
    </row>
    <row r="233" spans="2:113" s="123" customFormat="1">
      <c r="B233" s="125"/>
      <c r="D233" s="125"/>
      <c r="AA233" s="74"/>
      <c r="AE233" s="124"/>
      <c r="AI233" s="74"/>
      <c r="AM233" s="74"/>
      <c r="AY233" s="74"/>
      <c r="BC233" s="74"/>
      <c r="BG233" s="74"/>
      <c r="BK233" s="74"/>
      <c r="BO233" s="74"/>
      <c r="BW233" s="74"/>
      <c r="DF233" s="21"/>
      <c r="DG233" s="21"/>
      <c r="DH233" s="21"/>
      <c r="DI233" s="21"/>
    </row>
    <row r="234" spans="2:113" s="123" customFormat="1">
      <c r="B234" s="125"/>
      <c r="D234" s="125"/>
      <c r="AA234" s="74"/>
      <c r="AE234" s="124"/>
      <c r="AI234" s="74"/>
      <c r="AM234" s="74"/>
      <c r="AY234" s="74"/>
      <c r="BC234" s="74"/>
      <c r="BG234" s="74"/>
      <c r="BK234" s="74"/>
      <c r="BO234" s="74"/>
      <c r="BW234" s="74"/>
      <c r="DF234" s="21"/>
      <c r="DG234" s="21"/>
      <c r="DH234" s="21"/>
      <c r="DI234" s="21"/>
    </row>
    <row r="235" spans="2:113" s="123" customFormat="1">
      <c r="B235" s="125"/>
      <c r="D235" s="125"/>
      <c r="AA235" s="74"/>
      <c r="AE235" s="124"/>
      <c r="AI235" s="74"/>
      <c r="AM235" s="74"/>
      <c r="AY235" s="74"/>
      <c r="BC235" s="74"/>
      <c r="BG235" s="74"/>
      <c r="BK235" s="74"/>
      <c r="BO235" s="74"/>
      <c r="BW235" s="74"/>
      <c r="DF235" s="21"/>
      <c r="DG235" s="21"/>
      <c r="DH235" s="21"/>
      <c r="DI235" s="21"/>
    </row>
    <row r="236" spans="2:113" s="123" customFormat="1">
      <c r="B236" s="125"/>
      <c r="D236" s="125"/>
      <c r="AA236" s="74"/>
      <c r="AE236" s="124"/>
      <c r="AI236" s="74"/>
      <c r="AM236" s="74"/>
      <c r="AY236" s="74"/>
      <c r="BC236" s="74"/>
      <c r="BG236" s="74"/>
      <c r="BK236" s="74"/>
      <c r="BO236" s="74"/>
      <c r="BW236" s="74"/>
      <c r="DF236" s="21"/>
      <c r="DG236" s="21"/>
      <c r="DH236" s="21"/>
      <c r="DI236" s="21"/>
    </row>
    <row r="237" spans="2:113" s="123" customFormat="1">
      <c r="B237" s="125"/>
      <c r="D237" s="125"/>
      <c r="AA237" s="74"/>
      <c r="AE237" s="124"/>
      <c r="AI237" s="74"/>
      <c r="AM237" s="74"/>
      <c r="AY237" s="74"/>
      <c r="BC237" s="74"/>
      <c r="BG237" s="74"/>
      <c r="BK237" s="74"/>
      <c r="BO237" s="74"/>
      <c r="BW237" s="74"/>
      <c r="DF237" s="21"/>
      <c r="DG237" s="21"/>
      <c r="DH237" s="21"/>
      <c r="DI237" s="21"/>
    </row>
    <row r="238" spans="2:113" s="123" customFormat="1">
      <c r="B238" s="125"/>
      <c r="D238" s="125"/>
      <c r="AA238" s="74"/>
      <c r="AE238" s="124"/>
      <c r="AI238" s="74"/>
      <c r="AM238" s="74"/>
      <c r="AY238" s="74"/>
      <c r="BC238" s="74"/>
      <c r="BG238" s="74"/>
      <c r="BK238" s="74"/>
      <c r="BO238" s="74"/>
      <c r="BW238" s="74"/>
      <c r="DF238" s="21"/>
      <c r="DG238" s="21"/>
      <c r="DH238" s="21"/>
      <c r="DI238" s="21"/>
    </row>
    <row r="239" spans="2:113" s="123" customFormat="1">
      <c r="B239" s="125"/>
      <c r="D239" s="125"/>
      <c r="AA239" s="74"/>
      <c r="AE239" s="124"/>
      <c r="AI239" s="74"/>
      <c r="AM239" s="74"/>
      <c r="AY239" s="74"/>
      <c r="BC239" s="74"/>
      <c r="BG239" s="74"/>
      <c r="BK239" s="74"/>
      <c r="BO239" s="74"/>
      <c r="BW239" s="74"/>
      <c r="DF239" s="21"/>
      <c r="DG239" s="21"/>
      <c r="DH239" s="21"/>
      <c r="DI239" s="21"/>
    </row>
    <row r="240" spans="2:113" s="123" customFormat="1">
      <c r="B240" s="125"/>
      <c r="D240" s="125"/>
      <c r="AA240" s="74"/>
      <c r="AE240" s="124"/>
      <c r="AI240" s="74"/>
      <c r="AM240" s="74"/>
      <c r="AY240" s="74"/>
      <c r="BC240" s="74"/>
      <c r="BG240" s="74"/>
      <c r="BK240" s="74"/>
      <c r="BO240" s="74"/>
      <c r="BW240" s="74"/>
      <c r="DF240" s="21"/>
      <c r="DG240" s="21"/>
      <c r="DH240" s="21"/>
      <c r="DI240" s="21"/>
    </row>
    <row r="241" spans="2:113" s="123" customFormat="1">
      <c r="B241" s="125"/>
      <c r="D241" s="125"/>
      <c r="AA241" s="74"/>
      <c r="AE241" s="124"/>
      <c r="AI241" s="74"/>
      <c r="AM241" s="74"/>
      <c r="AY241" s="74"/>
      <c r="BC241" s="74"/>
      <c r="BG241" s="74"/>
      <c r="BK241" s="74"/>
      <c r="BO241" s="74"/>
      <c r="BW241" s="74"/>
      <c r="DF241" s="21"/>
      <c r="DG241" s="21"/>
      <c r="DH241" s="21"/>
      <c r="DI241" s="21"/>
    </row>
    <row r="242" spans="2:113" s="123" customFormat="1">
      <c r="B242" s="125"/>
      <c r="D242" s="125"/>
      <c r="AA242" s="74"/>
      <c r="AE242" s="124"/>
      <c r="AI242" s="74"/>
      <c r="AM242" s="74"/>
      <c r="AY242" s="74"/>
      <c r="BC242" s="74"/>
      <c r="BG242" s="74"/>
      <c r="BK242" s="74"/>
      <c r="BO242" s="74"/>
      <c r="BW242" s="74"/>
      <c r="DF242" s="21"/>
      <c r="DG242" s="21"/>
      <c r="DH242" s="21"/>
      <c r="DI242" s="21"/>
    </row>
    <row r="243" spans="2:113" s="123" customFormat="1">
      <c r="B243" s="125"/>
      <c r="D243" s="125"/>
      <c r="AA243" s="74"/>
      <c r="AE243" s="124"/>
      <c r="AI243" s="74"/>
      <c r="AM243" s="74"/>
      <c r="AY243" s="74"/>
      <c r="BC243" s="74"/>
      <c r="BG243" s="74"/>
      <c r="BK243" s="74"/>
      <c r="BO243" s="74"/>
      <c r="BW243" s="74"/>
      <c r="DF243" s="21"/>
      <c r="DG243" s="21"/>
      <c r="DH243" s="21"/>
      <c r="DI243" s="21"/>
    </row>
    <row r="244" spans="2:113" s="123" customFormat="1">
      <c r="B244" s="125"/>
      <c r="D244" s="125"/>
      <c r="AA244" s="74"/>
      <c r="AE244" s="124"/>
      <c r="AI244" s="74"/>
      <c r="AM244" s="74"/>
      <c r="AY244" s="74"/>
      <c r="BC244" s="74"/>
      <c r="BG244" s="74"/>
      <c r="BK244" s="74"/>
      <c r="BO244" s="74"/>
      <c r="BW244" s="74"/>
      <c r="DF244" s="21"/>
      <c r="DG244" s="21"/>
      <c r="DH244" s="21"/>
      <c r="DI244" s="21"/>
    </row>
    <row r="245" spans="2:113" s="123" customFormat="1">
      <c r="B245" s="125"/>
      <c r="D245" s="125"/>
      <c r="AA245" s="74"/>
      <c r="AE245" s="124"/>
      <c r="AI245" s="74"/>
      <c r="AM245" s="74"/>
      <c r="AY245" s="74"/>
      <c r="BC245" s="74"/>
      <c r="BG245" s="74"/>
      <c r="BK245" s="74"/>
      <c r="BO245" s="74"/>
      <c r="BW245" s="74"/>
      <c r="DF245" s="21"/>
      <c r="DG245" s="21"/>
      <c r="DH245" s="21"/>
      <c r="DI245" s="21"/>
    </row>
    <row r="246" spans="2:113" s="123" customFormat="1">
      <c r="B246" s="125"/>
      <c r="D246" s="125"/>
      <c r="AA246" s="74"/>
      <c r="AE246" s="124"/>
      <c r="AI246" s="74"/>
      <c r="AM246" s="74"/>
      <c r="AY246" s="74"/>
      <c r="BC246" s="74"/>
      <c r="BG246" s="74"/>
      <c r="BK246" s="74"/>
      <c r="BO246" s="74"/>
      <c r="BW246" s="74"/>
      <c r="DF246" s="21"/>
      <c r="DG246" s="21"/>
      <c r="DH246" s="21"/>
      <c r="DI246" s="21"/>
    </row>
    <row r="247" spans="2:113" s="123" customFormat="1">
      <c r="B247" s="125"/>
      <c r="D247" s="125"/>
      <c r="AA247" s="74"/>
      <c r="AE247" s="124"/>
      <c r="AI247" s="74"/>
      <c r="AM247" s="74"/>
      <c r="AY247" s="74"/>
      <c r="BC247" s="74"/>
      <c r="BG247" s="74"/>
      <c r="BK247" s="74"/>
      <c r="BO247" s="74"/>
      <c r="BW247" s="74"/>
      <c r="DF247" s="21"/>
      <c r="DG247" s="21"/>
      <c r="DH247" s="21"/>
      <c r="DI247" s="21"/>
    </row>
    <row r="248" spans="2:113" s="123" customFormat="1">
      <c r="B248" s="125"/>
      <c r="D248" s="125"/>
      <c r="AA248" s="74"/>
      <c r="AE248" s="124"/>
      <c r="AI248" s="74"/>
      <c r="AM248" s="74"/>
      <c r="AY248" s="74"/>
      <c r="BC248" s="74"/>
      <c r="BG248" s="74"/>
      <c r="BK248" s="74"/>
      <c r="BO248" s="74"/>
      <c r="BW248" s="74"/>
      <c r="DF248" s="21"/>
      <c r="DG248" s="21"/>
      <c r="DH248" s="21"/>
      <c r="DI248" s="21"/>
    </row>
    <row r="249" spans="2:113" s="123" customFormat="1">
      <c r="B249" s="125"/>
      <c r="D249" s="125"/>
      <c r="AA249" s="74"/>
      <c r="AE249" s="124"/>
      <c r="AI249" s="74"/>
      <c r="AM249" s="74"/>
      <c r="AY249" s="74"/>
      <c r="BC249" s="74"/>
      <c r="BG249" s="74"/>
      <c r="BK249" s="74"/>
      <c r="BO249" s="74"/>
      <c r="BW249" s="74"/>
      <c r="DF249" s="21"/>
      <c r="DG249" s="21"/>
      <c r="DH249" s="21"/>
      <c r="DI249" s="21"/>
    </row>
    <row r="250" spans="2:113" s="123" customFormat="1">
      <c r="B250" s="125"/>
      <c r="D250" s="125"/>
      <c r="AA250" s="74"/>
      <c r="AE250" s="124"/>
      <c r="AI250" s="74"/>
      <c r="AM250" s="74"/>
      <c r="AY250" s="74"/>
      <c r="BC250" s="74"/>
      <c r="BG250" s="74"/>
      <c r="BK250" s="74"/>
      <c r="BO250" s="74"/>
      <c r="BW250" s="74"/>
      <c r="DF250" s="21"/>
      <c r="DG250" s="21"/>
      <c r="DH250" s="21"/>
      <c r="DI250" s="21"/>
    </row>
    <row r="251" spans="2:113" s="123" customFormat="1">
      <c r="B251" s="125"/>
      <c r="D251" s="125"/>
      <c r="AA251" s="74"/>
      <c r="AE251" s="124"/>
      <c r="AI251" s="74"/>
      <c r="AM251" s="74"/>
      <c r="AY251" s="74"/>
      <c r="BC251" s="74"/>
      <c r="BG251" s="74"/>
      <c r="BK251" s="74"/>
      <c r="BO251" s="74"/>
      <c r="BW251" s="74"/>
      <c r="DF251" s="21"/>
      <c r="DG251" s="21"/>
      <c r="DH251" s="21"/>
      <c r="DI251" s="21"/>
    </row>
    <row r="252" spans="2:113" s="123" customFormat="1">
      <c r="B252" s="125"/>
      <c r="D252" s="125"/>
      <c r="AA252" s="74"/>
      <c r="AE252" s="124"/>
      <c r="AI252" s="74"/>
      <c r="AM252" s="74"/>
      <c r="AY252" s="74"/>
      <c r="BC252" s="74"/>
      <c r="BG252" s="74"/>
      <c r="BK252" s="74"/>
      <c r="BO252" s="74"/>
      <c r="BW252" s="74"/>
      <c r="DF252" s="21"/>
      <c r="DG252" s="21"/>
      <c r="DH252" s="21"/>
      <c r="DI252" s="21"/>
    </row>
    <row r="253" spans="2:113" s="123" customFormat="1">
      <c r="B253" s="125"/>
      <c r="D253" s="125"/>
      <c r="AA253" s="74"/>
      <c r="AE253" s="124"/>
      <c r="AI253" s="74"/>
      <c r="AM253" s="74"/>
      <c r="AY253" s="74"/>
      <c r="BC253" s="74"/>
      <c r="BG253" s="74"/>
      <c r="BK253" s="74"/>
      <c r="BO253" s="74"/>
      <c r="BW253" s="74"/>
      <c r="DF253" s="21"/>
      <c r="DG253" s="21"/>
      <c r="DH253" s="21"/>
      <c r="DI253" s="21"/>
    </row>
    <row r="254" spans="2:113" s="123" customFormat="1">
      <c r="B254" s="125"/>
      <c r="D254" s="125"/>
      <c r="AA254" s="74"/>
      <c r="AE254" s="124"/>
      <c r="AI254" s="74"/>
      <c r="AM254" s="74"/>
      <c r="AY254" s="74"/>
      <c r="BC254" s="74"/>
      <c r="BG254" s="74"/>
      <c r="BK254" s="74"/>
      <c r="BO254" s="74"/>
      <c r="BW254" s="74"/>
      <c r="DF254" s="21"/>
      <c r="DG254" s="21"/>
      <c r="DH254" s="21"/>
      <c r="DI254" s="21"/>
    </row>
    <row r="255" spans="2:113" s="123" customFormat="1">
      <c r="B255" s="125"/>
      <c r="D255" s="125"/>
      <c r="AA255" s="74"/>
      <c r="AE255" s="124"/>
      <c r="AI255" s="74"/>
      <c r="AM255" s="74"/>
      <c r="AY255" s="74"/>
      <c r="BC255" s="74"/>
      <c r="BG255" s="74"/>
      <c r="BK255" s="74"/>
      <c r="BO255" s="74"/>
      <c r="BW255" s="74"/>
      <c r="DF255" s="21"/>
      <c r="DG255" s="21"/>
      <c r="DH255" s="21"/>
      <c r="DI255" s="21"/>
    </row>
    <row r="256" spans="2:113" s="123" customFormat="1">
      <c r="B256" s="125"/>
      <c r="D256" s="125"/>
      <c r="AA256" s="74"/>
      <c r="AE256" s="124"/>
      <c r="AI256" s="74"/>
      <c r="AM256" s="74"/>
      <c r="AY256" s="74"/>
      <c r="BC256" s="74"/>
      <c r="BG256" s="74"/>
      <c r="BK256" s="74"/>
      <c r="BO256" s="74"/>
      <c r="BW256" s="74"/>
      <c r="DF256" s="21"/>
      <c r="DG256" s="21"/>
      <c r="DH256" s="21"/>
      <c r="DI256" s="21"/>
    </row>
    <row r="257" spans="2:113" s="123" customFormat="1">
      <c r="B257" s="125"/>
      <c r="D257" s="125"/>
      <c r="AA257" s="74"/>
      <c r="AE257" s="124"/>
      <c r="AI257" s="74"/>
      <c r="AM257" s="74"/>
      <c r="AY257" s="74"/>
      <c r="BC257" s="74"/>
      <c r="BG257" s="74"/>
      <c r="BK257" s="74"/>
      <c r="BO257" s="74"/>
      <c r="BW257" s="74"/>
      <c r="DF257" s="21"/>
      <c r="DG257" s="21"/>
      <c r="DH257" s="21"/>
      <c r="DI257" s="21"/>
    </row>
    <row r="258" spans="2:113" s="123" customFormat="1">
      <c r="B258" s="125"/>
      <c r="D258" s="125"/>
      <c r="AA258" s="74"/>
      <c r="AE258" s="124"/>
      <c r="AI258" s="74"/>
      <c r="AM258" s="74"/>
      <c r="AY258" s="74"/>
      <c r="BC258" s="74"/>
      <c r="BG258" s="74"/>
      <c r="BK258" s="74"/>
      <c r="BO258" s="74"/>
      <c r="BW258" s="74"/>
      <c r="DF258" s="21"/>
      <c r="DG258" s="21"/>
      <c r="DH258" s="21"/>
      <c r="DI258" s="21"/>
    </row>
    <row r="259" spans="2:113" s="123" customFormat="1">
      <c r="B259" s="125"/>
      <c r="D259" s="125"/>
      <c r="AA259" s="74"/>
      <c r="AE259" s="124"/>
      <c r="AI259" s="74"/>
      <c r="AM259" s="74"/>
      <c r="AY259" s="74"/>
      <c r="BC259" s="74"/>
      <c r="BG259" s="74"/>
      <c r="BK259" s="74"/>
      <c r="BO259" s="74"/>
      <c r="BW259" s="74"/>
      <c r="DF259" s="21"/>
      <c r="DG259" s="21"/>
      <c r="DH259" s="21"/>
      <c r="DI259" s="21"/>
    </row>
    <row r="260" spans="2:113" s="123" customFormat="1">
      <c r="B260" s="125"/>
      <c r="D260" s="125"/>
      <c r="AA260" s="74"/>
      <c r="AE260" s="124"/>
      <c r="AI260" s="74"/>
      <c r="AM260" s="74"/>
      <c r="AY260" s="74"/>
      <c r="BC260" s="74"/>
      <c r="BG260" s="74"/>
      <c r="BK260" s="74"/>
      <c r="BO260" s="74"/>
      <c r="BW260" s="74"/>
      <c r="DF260" s="21"/>
      <c r="DG260" s="21"/>
      <c r="DH260" s="21"/>
      <c r="DI260" s="21"/>
    </row>
    <row r="261" spans="2:113" s="123" customFormat="1">
      <c r="B261" s="125"/>
      <c r="D261" s="125"/>
      <c r="AA261" s="74"/>
      <c r="AE261" s="124"/>
      <c r="AI261" s="74"/>
      <c r="AM261" s="74"/>
      <c r="AY261" s="74"/>
      <c r="BC261" s="74"/>
      <c r="BG261" s="74"/>
      <c r="BK261" s="74"/>
      <c r="BO261" s="74"/>
      <c r="BW261" s="74"/>
      <c r="DF261" s="21"/>
      <c r="DG261" s="21"/>
      <c r="DH261" s="21"/>
      <c r="DI261" s="21"/>
    </row>
    <row r="262" spans="2:113" s="123" customFormat="1">
      <c r="B262" s="125"/>
      <c r="D262" s="125"/>
      <c r="AA262" s="74"/>
      <c r="AE262" s="124"/>
      <c r="AI262" s="74"/>
      <c r="AM262" s="74"/>
      <c r="AY262" s="74"/>
      <c r="BC262" s="74"/>
      <c r="BG262" s="74"/>
      <c r="BK262" s="74"/>
      <c r="BO262" s="74"/>
      <c r="BW262" s="74"/>
      <c r="DF262" s="21"/>
      <c r="DG262" s="21"/>
      <c r="DH262" s="21"/>
      <c r="DI262" s="21"/>
    </row>
    <row r="263" spans="2:113" s="123" customFormat="1">
      <c r="B263" s="125"/>
      <c r="D263" s="125"/>
      <c r="AA263" s="74"/>
      <c r="AE263" s="124"/>
      <c r="AI263" s="74"/>
      <c r="AM263" s="74"/>
      <c r="AY263" s="74"/>
      <c r="BC263" s="74"/>
      <c r="BG263" s="74"/>
      <c r="BK263" s="74"/>
      <c r="BO263" s="74"/>
      <c r="BW263" s="74"/>
      <c r="DF263" s="21"/>
      <c r="DG263" s="21"/>
      <c r="DH263" s="21"/>
      <c r="DI263" s="21"/>
    </row>
    <row r="264" spans="2:113" s="123" customFormat="1">
      <c r="B264" s="125"/>
      <c r="D264" s="125"/>
      <c r="AA264" s="74"/>
      <c r="AE264" s="124"/>
      <c r="AI264" s="74"/>
      <c r="AM264" s="74"/>
      <c r="AY264" s="74"/>
      <c r="BC264" s="74"/>
      <c r="BG264" s="74"/>
      <c r="BK264" s="74"/>
      <c r="BO264" s="74"/>
      <c r="BW264" s="74"/>
      <c r="DF264" s="21"/>
      <c r="DG264" s="21"/>
      <c r="DH264" s="21"/>
      <c r="DI264" s="21"/>
    </row>
    <row r="265" spans="2:113" s="123" customFormat="1">
      <c r="B265" s="125"/>
      <c r="D265" s="125"/>
      <c r="AA265" s="74"/>
      <c r="AE265" s="124"/>
      <c r="AI265" s="74"/>
      <c r="AM265" s="74"/>
      <c r="AY265" s="74"/>
      <c r="BC265" s="74"/>
      <c r="BG265" s="74"/>
      <c r="BK265" s="74"/>
      <c r="BO265" s="74"/>
      <c r="BW265" s="74"/>
      <c r="DF265" s="21"/>
      <c r="DG265" s="21"/>
      <c r="DH265" s="21"/>
      <c r="DI265" s="21"/>
    </row>
    <row r="266" spans="2:113" s="123" customFormat="1">
      <c r="B266" s="125"/>
      <c r="D266" s="125"/>
      <c r="AA266" s="74"/>
      <c r="AE266" s="124"/>
      <c r="AI266" s="74"/>
      <c r="AM266" s="74"/>
      <c r="AY266" s="74"/>
      <c r="BC266" s="74"/>
      <c r="BG266" s="74"/>
      <c r="BK266" s="74"/>
      <c r="BO266" s="74"/>
      <c r="BW266" s="74"/>
      <c r="DF266" s="21"/>
      <c r="DG266" s="21"/>
      <c r="DH266" s="21"/>
      <c r="DI266" s="21"/>
    </row>
    <row r="267" spans="2:113" s="123" customFormat="1">
      <c r="B267" s="125"/>
      <c r="D267" s="125"/>
      <c r="AA267" s="74"/>
      <c r="AE267" s="124"/>
      <c r="AI267" s="74"/>
      <c r="AM267" s="74"/>
      <c r="AY267" s="74"/>
      <c r="BC267" s="74"/>
      <c r="BG267" s="74"/>
      <c r="BK267" s="74"/>
      <c r="BO267" s="74"/>
      <c r="BW267" s="74"/>
      <c r="DF267" s="21"/>
      <c r="DG267" s="21"/>
      <c r="DH267" s="21"/>
      <c r="DI267" s="21"/>
    </row>
    <row r="268" spans="2:113" s="123" customFormat="1">
      <c r="B268" s="125"/>
      <c r="D268" s="125"/>
      <c r="AA268" s="74"/>
      <c r="AE268" s="124"/>
      <c r="AI268" s="74"/>
      <c r="AM268" s="74"/>
      <c r="AY268" s="74"/>
      <c r="BC268" s="74"/>
      <c r="BG268" s="74"/>
      <c r="BK268" s="74"/>
      <c r="BO268" s="74"/>
      <c r="BW268" s="74"/>
      <c r="DF268" s="21"/>
      <c r="DG268" s="21"/>
      <c r="DH268" s="21"/>
      <c r="DI268" s="21"/>
    </row>
    <row r="269" spans="2:113" s="123" customFormat="1">
      <c r="B269" s="125"/>
      <c r="D269" s="125"/>
      <c r="AA269" s="74"/>
      <c r="AE269" s="124"/>
      <c r="AI269" s="74"/>
      <c r="AM269" s="74"/>
      <c r="AY269" s="74"/>
      <c r="BC269" s="74"/>
      <c r="BG269" s="74"/>
      <c r="BK269" s="74"/>
      <c r="BO269" s="74"/>
      <c r="BW269" s="74"/>
      <c r="DF269" s="21"/>
      <c r="DG269" s="21"/>
      <c r="DH269" s="21"/>
      <c r="DI269" s="21"/>
    </row>
    <row r="270" spans="2:113" s="123" customFormat="1">
      <c r="B270" s="125"/>
      <c r="D270" s="125"/>
      <c r="AA270" s="74"/>
      <c r="AE270" s="124"/>
      <c r="AI270" s="74"/>
      <c r="AM270" s="74"/>
      <c r="AY270" s="74"/>
      <c r="BC270" s="74"/>
      <c r="BG270" s="74"/>
      <c r="BK270" s="74"/>
      <c r="BO270" s="74"/>
      <c r="BW270" s="74"/>
      <c r="DF270" s="21"/>
      <c r="DG270" s="21"/>
      <c r="DH270" s="21"/>
      <c r="DI270" s="21"/>
    </row>
    <row r="271" spans="2:113" s="123" customFormat="1">
      <c r="B271" s="125"/>
      <c r="D271" s="125"/>
      <c r="AA271" s="74"/>
      <c r="AE271" s="124"/>
      <c r="AI271" s="74"/>
      <c r="AM271" s="74"/>
      <c r="AY271" s="74"/>
      <c r="BC271" s="74"/>
      <c r="BG271" s="74"/>
      <c r="BK271" s="74"/>
      <c r="BO271" s="74"/>
      <c r="BW271" s="74"/>
      <c r="DF271" s="21"/>
      <c r="DG271" s="21"/>
      <c r="DH271" s="21"/>
      <c r="DI271" s="21"/>
    </row>
    <row r="272" spans="2:113" s="123" customFormat="1">
      <c r="B272" s="125"/>
      <c r="D272" s="125"/>
      <c r="AA272" s="74"/>
      <c r="AE272" s="124"/>
      <c r="AI272" s="74"/>
      <c r="AM272" s="74"/>
      <c r="AY272" s="74"/>
      <c r="BC272" s="74"/>
      <c r="BG272" s="74"/>
      <c r="BK272" s="74"/>
      <c r="BO272" s="74"/>
      <c r="BW272" s="74"/>
      <c r="DF272" s="21"/>
      <c r="DG272" s="21"/>
      <c r="DH272" s="21"/>
      <c r="DI272" s="21"/>
    </row>
    <row r="273" spans="2:113" s="123" customFormat="1">
      <c r="B273" s="125"/>
      <c r="D273" s="125"/>
      <c r="AA273" s="74"/>
      <c r="AE273" s="124"/>
      <c r="AI273" s="74"/>
      <c r="AM273" s="74"/>
      <c r="AY273" s="74"/>
      <c r="BC273" s="74"/>
      <c r="BG273" s="74"/>
      <c r="BK273" s="74"/>
      <c r="BO273" s="74"/>
      <c r="BW273" s="74"/>
      <c r="DF273" s="21"/>
      <c r="DG273" s="21"/>
      <c r="DH273" s="21"/>
      <c r="DI273" s="21"/>
    </row>
    <row r="274" spans="2:113" s="123" customFormat="1">
      <c r="B274" s="125"/>
      <c r="D274" s="125"/>
      <c r="AA274" s="74"/>
      <c r="AE274" s="124"/>
      <c r="AI274" s="74"/>
      <c r="AM274" s="74"/>
      <c r="AY274" s="74"/>
      <c r="BC274" s="74"/>
      <c r="BG274" s="74"/>
      <c r="BK274" s="74"/>
      <c r="BO274" s="74"/>
      <c r="BW274" s="74"/>
      <c r="DF274" s="21"/>
      <c r="DG274" s="21"/>
      <c r="DH274" s="21"/>
      <c r="DI274" s="21"/>
    </row>
    <row r="275" spans="2:113" s="123" customFormat="1">
      <c r="B275" s="125"/>
      <c r="D275" s="125"/>
      <c r="AA275" s="74"/>
      <c r="AE275" s="124"/>
      <c r="AI275" s="74"/>
      <c r="AM275" s="74"/>
      <c r="AY275" s="74"/>
      <c r="BC275" s="74"/>
      <c r="BG275" s="74"/>
      <c r="BK275" s="74"/>
      <c r="BO275" s="74"/>
      <c r="BW275" s="74"/>
      <c r="DF275" s="21"/>
      <c r="DG275" s="21"/>
      <c r="DH275" s="21"/>
      <c r="DI275" s="21"/>
    </row>
    <row r="276" spans="2:113" s="123" customFormat="1">
      <c r="B276" s="125"/>
      <c r="D276" s="125"/>
      <c r="AA276" s="74"/>
      <c r="AE276" s="124"/>
      <c r="AI276" s="74"/>
      <c r="AM276" s="74"/>
      <c r="AY276" s="74"/>
      <c r="BC276" s="74"/>
      <c r="BG276" s="74"/>
      <c r="BK276" s="74"/>
      <c r="BO276" s="74"/>
      <c r="BW276" s="74"/>
      <c r="DF276" s="21"/>
      <c r="DG276" s="21"/>
      <c r="DH276" s="21"/>
      <c r="DI276" s="21"/>
    </row>
    <row r="277" spans="2:113" s="123" customFormat="1">
      <c r="B277" s="125"/>
      <c r="D277" s="125"/>
      <c r="AA277" s="74"/>
      <c r="AE277" s="124"/>
      <c r="AI277" s="74"/>
      <c r="AM277" s="74"/>
      <c r="AY277" s="74"/>
      <c r="BC277" s="74"/>
      <c r="BG277" s="74"/>
      <c r="BK277" s="74"/>
      <c r="BO277" s="74"/>
      <c r="BW277" s="74"/>
      <c r="DF277" s="21"/>
      <c r="DG277" s="21"/>
      <c r="DH277" s="21"/>
      <c r="DI277" s="21"/>
    </row>
    <row r="278" spans="2:113" s="123" customFormat="1">
      <c r="B278" s="125"/>
      <c r="D278" s="125"/>
      <c r="AA278" s="74"/>
      <c r="AE278" s="124"/>
      <c r="AI278" s="74"/>
      <c r="AM278" s="74"/>
      <c r="AY278" s="74"/>
      <c r="BC278" s="74"/>
      <c r="BG278" s="74"/>
      <c r="BK278" s="74"/>
      <c r="BO278" s="74"/>
      <c r="BW278" s="74"/>
      <c r="DF278" s="21"/>
      <c r="DG278" s="21"/>
      <c r="DH278" s="21"/>
      <c r="DI278" s="21"/>
    </row>
    <row r="279" spans="2:113" s="123" customFormat="1">
      <c r="B279" s="125"/>
      <c r="D279" s="125"/>
      <c r="AA279" s="74"/>
      <c r="AE279" s="124"/>
      <c r="AI279" s="74"/>
      <c r="AM279" s="74"/>
      <c r="AY279" s="74"/>
      <c r="BC279" s="74"/>
      <c r="BG279" s="74"/>
      <c r="BK279" s="74"/>
      <c r="BO279" s="74"/>
      <c r="BW279" s="74"/>
      <c r="DF279" s="21"/>
      <c r="DG279" s="21"/>
      <c r="DH279" s="21"/>
      <c r="DI279" s="21"/>
    </row>
    <row r="280" spans="2:113" s="123" customFormat="1">
      <c r="B280" s="125"/>
      <c r="D280" s="125"/>
      <c r="AA280" s="74"/>
      <c r="AE280" s="124"/>
      <c r="AI280" s="74"/>
      <c r="AM280" s="74"/>
      <c r="AY280" s="74"/>
      <c r="BC280" s="74"/>
      <c r="BG280" s="74"/>
      <c r="BK280" s="74"/>
      <c r="BO280" s="74"/>
      <c r="BW280" s="74"/>
      <c r="DF280" s="21"/>
      <c r="DG280" s="21"/>
      <c r="DH280" s="21"/>
      <c r="DI280" s="21"/>
    </row>
    <row r="281" spans="2:113" s="123" customFormat="1">
      <c r="B281" s="125"/>
      <c r="D281" s="125"/>
      <c r="AA281" s="74"/>
      <c r="AE281" s="124"/>
      <c r="AI281" s="74"/>
      <c r="AM281" s="74"/>
      <c r="AY281" s="74"/>
      <c r="BC281" s="74"/>
      <c r="BG281" s="74"/>
      <c r="BK281" s="74"/>
      <c r="BO281" s="74"/>
      <c r="BW281" s="74"/>
      <c r="DF281" s="21"/>
      <c r="DG281" s="21"/>
      <c r="DH281" s="21"/>
      <c r="DI281" s="21"/>
    </row>
    <row r="282" spans="2:113" s="123" customFormat="1">
      <c r="B282" s="125"/>
      <c r="D282" s="125"/>
      <c r="AA282" s="74"/>
      <c r="AE282" s="124"/>
      <c r="AI282" s="74"/>
      <c r="AM282" s="74"/>
      <c r="AY282" s="74"/>
      <c r="BC282" s="74"/>
      <c r="BG282" s="74"/>
      <c r="BK282" s="74"/>
      <c r="BO282" s="74"/>
      <c r="BW282" s="74"/>
      <c r="DF282" s="21"/>
      <c r="DG282" s="21"/>
      <c r="DH282" s="21"/>
      <c r="DI282" s="21"/>
    </row>
    <row r="283" spans="2:113" s="123" customFormat="1">
      <c r="B283" s="125"/>
      <c r="D283" s="125"/>
      <c r="AA283" s="74"/>
      <c r="AE283" s="124"/>
      <c r="AI283" s="74"/>
      <c r="AM283" s="74"/>
      <c r="AY283" s="74"/>
      <c r="BC283" s="74"/>
      <c r="BG283" s="74"/>
      <c r="BK283" s="74"/>
      <c r="BO283" s="74"/>
      <c r="BW283" s="74"/>
      <c r="DF283" s="21"/>
      <c r="DG283" s="21"/>
      <c r="DH283" s="21"/>
      <c r="DI283" s="21"/>
    </row>
    <row r="284" spans="2:113" s="123" customFormat="1">
      <c r="B284" s="125"/>
      <c r="D284" s="125"/>
      <c r="AA284" s="74"/>
      <c r="AE284" s="124"/>
      <c r="AI284" s="74"/>
      <c r="AM284" s="74"/>
      <c r="AY284" s="74"/>
      <c r="BC284" s="74"/>
      <c r="BG284" s="74"/>
      <c r="BK284" s="74"/>
      <c r="BO284" s="74"/>
      <c r="BW284" s="74"/>
      <c r="DF284" s="21"/>
      <c r="DG284" s="21"/>
      <c r="DH284" s="21"/>
      <c r="DI284" s="21"/>
    </row>
    <row r="285" spans="2:113" s="123" customFormat="1">
      <c r="B285" s="125"/>
      <c r="D285" s="125"/>
      <c r="AA285" s="74"/>
      <c r="AE285" s="124"/>
      <c r="AI285" s="74"/>
      <c r="AM285" s="74"/>
      <c r="AY285" s="74"/>
      <c r="BC285" s="74"/>
      <c r="BG285" s="74"/>
      <c r="BK285" s="74"/>
      <c r="BO285" s="74"/>
      <c r="BW285" s="74"/>
      <c r="DF285" s="21"/>
      <c r="DG285" s="21"/>
      <c r="DH285" s="21"/>
      <c r="DI285" s="21"/>
    </row>
    <row r="286" spans="2:113" s="123" customFormat="1">
      <c r="B286" s="125"/>
      <c r="D286" s="125"/>
      <c r="AA286" s="74"/>
      <c r="AE286" s="124"/>
      <c r="AI286" s="74"/>
      <c r="AM286" s="74"/>
      <c r="AY286" s="74"/>
      <c r="BC286" s="74"/>
      <c r="BG286" s="74"/>
      <c r="BK286" s="74"/>
      <c r="BO286" s="74"/>
      <c r="BW286" s="74"/>
      <c r="DF286" s="21"/>
      <c r="DG286" s="21"/>
      <c r="DH286" s="21"/>
      <c r="DI286" s="21"/>
    </row>
    <row r="287" spans="2:113" s="123" customFormat="1">
      <c r="B287" s="125"/>
      <c r="D287" s="125"/>
      <c r="AA287" s="74"/>
      <c r="AE287" s="124"/>
      <c r="AI287" s="74"/>
      <c r="AM287" s="74"/>
      <c r="AY287" s="74"/>
      <c r="BC287" s="74"/>
      <c r="BG287" s="74"/>
      <c r="BK287" s="74"/>
      <c r="BO287" s="74"/>
      <c r="BW287" s="74"/>
      <c r="DF287" s="21"/>
      <c r="DG287" s="21"/>
      <c r="DH287" s="21"/>
      <c r="DI287" s="21"/>
    </row>
    <row r="288" spans="2:113" s="123" customFormat="1">
      <c r="B288" s="125"/>
      <c r="D288" s="125"/>
      <c r="AA288" s="74"/>
      <c r="AE288" s="124"/>
      <c r="AI288" s="74"/>
      <c r="AM288" s="74"/>
      <c r="AY288" s="74"/>
      <c r="BC288" s="74"/>
      <c r="BG288" s="74"/>
      <c r="BK288" s="74"/>
      <c r="BO288" s="74"/>
      <c r="BW288" s="74"/>
      <c r="DF288" s="21"/>
      <c r="DG288" s="21"/>
      <c r="DH288" s="21"/>
      <c r="DI288" s="21"/>
    </row>
    <row r="289" spans="2:113" s="123" customFormat="1">
      <c r="B289" s="125"/>
      <c r="D289" s="125"/>
      <c r="AA289" s="74"/>
      <c r="AE289" s="124"/>
      <c r="AI289" s="74"/>
      <c r="AM289" s="74"/>
      <c r="AY289" s="74"/>
      <c r="BC289" s="74"/>
      <c r="BG289" s="74"/>
      <c r="BK289" s="74"/>
      <c r="BO289" s="74"/>
      <c r="BW289" s="74"/>
      <c r="DF289" s="21"/>
      <c r="DG289" s="21"/>
      <c r="DH289" s="21"/>
      <c r="DI289" s="21"/>
    </row>
    <row r="290" spans="2:113" s="123" customFormat="1">
      <c r="B290" s="125"/>
      <c r="D290" s="125"/>
      <c r="AA290" s="74"/>
      <c r="AE290" s="124"/>
      <c r="AI290" s="74"/>
      <c r="AM290" s="74"/>
      <c r="AY290" s="74"/>
      <c r="BC290" s="74"/>
      <c r="BG290" s="74"/>
      <c r="BK290" s="74"/>
      <c r="BO290" s="74"/>
      <c r="BW290" s="74"/>
      <c r="DF290" s="21"/>
      <c r="DG290" s="21"/>
      <c r="DH290" s="21"/>
      <c r="DI290" s="21"/>
    </row>
    <row r="291" spans="2:113" s="123" customFormat="1">
      <c r="B291" s="125"/>
      <c r="D291" s="125"/>
      <c r="AA291" s="74"/>
      <c r="AE291" s="124"/>
      <c r="AI291" s="74"/>
      <c r="AM291" s="74"/>
      <c r="AY291" s="74"/>
      <c r="BC291" s="74"/>
      <c r="BG291" s="74"/>
      <c r="BK291" s="74"/>
      <c r="BO291" s="74"/>
      <c r="BW291" s="74"/>
      <c r="DF291" s="21"/>
      <c r="DG291" s="21"/>
      <c r="DH291" s="21"/>
      <c r="DI291" s="21"/>
    </row>
    <row r="292" spans="2:113" s="123" customFormat="1">
      <c r="B292" s="125"/>
      <c r="D292" s="125"/>
      <c r="AA292" s="74"/>
      <c r="AE292" s="124"/>
      <c r="AI292" s="74"/>
      <c r="AM292" s="74"/>
      <c r="AY292" s="74"/>
      <c r="BC292" s="74"/>
      <c r="BG292" s="74"/>
      <c r="BK292" s="74"/>
      <c r="BO292" s="74"/>
      <c r="BW292" s="74"/>
      <c r="DF292" s="21"/>
      <c r="DG292" s="21"/>
      <c r="DH292" s="21"/>
      <c r="DI292" s="21"/>
    </row>
    <row r="293" spans="2:113" s="123" customFormat="1">
      <c r="B293" s="125"/>
      <c r="D293" s="125"/>
      <c r="AA293" s="74"/>
      <c r="AE293" s="124"/>
      <c r="AI293" s="74"/>
      <c r="AM293" s="74"/>
      <c r="AY293" s="74"/>
      <c r="BC293" s="74"/>
      <c r="BG293" s="74"/>
      <c r="BK293" s="74"/>
      <c r="BO293" s="74"/>
      <c r="BW293" s="74"/>
      <c r="DF293" s="21"/>
      <c r="DG293" s="21"/>
      <c r="DH293" s="21"/>
      <c r="DI293" s="21"/>
    </row>
    <row r="294" spans="2:113" s="123" customFormat="1">
      <c r="B294" s="125"/>
      <c r="D294" s="125"/>
      <c r="AA294" s="74"/>
      <c r="AE294" s="124"/>
      <c r="AI294" s="74"/>
      <c r="AM294" s="74"/>
      <c r="AY294" s="74"/>
      <c r="BC294" s="74"/>
      <c r="BG294" s="74"/>
      <c r="BK294" s="74"/>
      <c r="BO294" s="74"/>
      <c r="BW294" s="74"/>
      <c r="DF294" s="21"/>
      <c r="DG294" s="21"/>
      <c r="DH294" s="21"/>
      <c r="DI294" s="21"/>
    </row>
    <row r="295" spans="2:113" s="123" customFormat="1">
      <c r="B295" s="125"/>
      <c r="D295" s="125"/>
      <c r="AA295" s="74"/>
      <c r="AE295" s="124"/>
      <c r="AI295" s="74"/>
      <c r="AM295" s="74"/>
      <c r="AY295" s="74"/>
      <c r="BC295" s="74"/>
      <c r="BG295" s="74"/>
      <c r="BK295" s="74"/>
      <c r="BO295" s="74"/>
      <c r="BW295" s="74"/>
      <c r="DF295" s="21"/>
      <c r="DG295" s="21"/>
      <c r="DH295" s="21"/>
      <c r="DI295" s="21"/>
    </row>
    <row r="296" spans="2:113" s="123" customFormat="1">
      <c r="B296" s="125"/>
      <c r="D296" s="125"/>
      <c r="AA296" s="74"/>
      <c r="AE296" s="124"/>
      <c r="AI296" s="74"/>
      <c r="AM296" s="74"/>
      <c r="AY296" s="74"/>
      <c r="BC296" s="74"/>
      <c r="BG296" s="74"/>
      <c r="BK296" s="74"/>
      <c r="BO296" s="74"/>
      <c r="BW296" s="74"/>
      <c r="DF296" s="21"/>
      <c r="DG296" s="21"/>
      <c r="DH296" s="21"/>
      <c r="DI296" s="21"/>
    </row>
    <row r="297" spans="2:113" s="123" customFormat="1">
      <c r="B297" s="125"/>
      <c r="D297" s="125"/>
      <c r="AA297" s="74"/>
      <c r="AE297" s="124"/>
      <c r="AI297" s="74"/>
      <c r="AM297" s="74"/>
      <c r="AY297" s="74"/>
      <c r="BC297" s="74"/>
      <c r="BG297" s="74"/>
      <c r="BK297" s="74"/>
      <c r="BO297" s="74"/>
      <c r="BW297" s="74"/>
      <c r="DF297" s="21"/>
      <c r="DG297" s="21"/>
      <c r="DH297" s="21"/>
      <c r="DI297" s="21"/>
    </row>
    <row r="298" spans="2:113" s="123" customFormat="1">
      <c r="B298" s="125"/>
      <c r="D298" s="125"/>
      <c r="AA298" s="74"/>
      <c r="AE298" s="124"/>
      <c r="AI298" s="74"/>
      <c r="AM298" s="74"/>
      <c r="AY298" s="74"/>
      <c r="BC298" s="74"/>
      <c r="BG298" s="74"/>
      <c r="BK298" s="74"/>
      <c r="BO298" s="74"/>
      <c r="BW298" s="74"/>
      <c r="DF298" s="21"/>
      <c r="DG298" s="21"/>
      <c r="DH298" s="21"/>
      <c r="DI298" s="21"/>
    </row>
    <row r="299" spans="2:113" s="123" customFormat="1">
      <c r="B299" s="125"/>
      <c r="D299" s="125"/>
      <c r="AA299" s="74"/>
      <c r="AE299" s="124"/>
      <c r="AI299" s="74"/>
      <c r="AM299" s="74"/>
      <c r="AY299" s="74"/>
      <c r="BC299" s="74"/>
      <c r="BG299" s="74"/>
      <c r="BK299" s="74"/>
      <c r="BO299" s="74"/>
      <c r="BW299" s="74"/>
      <c r="DF299" s="21"/>
      <c r="DG299" s="21"/>
      <c r="DH299" s="21"/>
      <c r="DI299" s="21"/>
    </row>
    <row r="300" spans="2:113" s="123" customFormat="1">
      <c r="B300" s="125"/>
      <c r="D300" s="125"/>
      <c r="AA300" s="74"/>
      <c r="AE300" s="124"/>
      <c r="AI300" s="74"/>
      <c r="AM300" s="74"/>
      <c r="AY300" s="74"/>
      <c r="BC300" s="74"/>
      <c r="BG300" s="74"/>
      <c r="BK300" s="74"/>
      <c r="BO300" s="74"/>
      <c r="BW300" s="74"/>
      <c r="DF300" s="21"/>
      <c r="DG300" s="21"/>
      <c r="DH300" s="21"/>
      <c r="DI300" s="21"/>
    </row>
    <row r="301" spans="2:113" s="123" customFormat="1">
      <c r="B301" s="125"/>
      <c r="D301" s="125"/>
      <c r="AA301" s="74"/>
      <c r="AE301" s="124"/>
      <c r="AI301" s="74"/>
      <c r="AM301" s="74"/>
      <c r="AY301" s="74"/>
      <c r="BC301" s="74"/>
      <c r="BG301" s="74"/>
      <c r="BK301" s="74"/>
      <c r="BO301" s="74"/>
      <c r="BW301" s="74"/>
      <c r="DF301" s="21"/>
      <c r="DG301" s="21"/>
      <c r="DH301" s="21"/>
      <c r="DI301" s="21"/>
    </row>
    <row r="302" spans="2:113" s="123" customFormat="1">
      <c r="B302" s="125"/>
      <c r="D302" s="125"/>
      <c r="AA302" s="74"/>
      <c r="AE302" s="124"/>
      <c r="AI302" s="74"/>
      <c r="AM302" s="74"/>
      <c r="AY302" s="74"/>
      <c r="BC302" s="74"/>
      <c r="BG302" s="74"/>
      <c r="BK302" s="74"/>
      <c r="BO302" s="74"/>
      <c r="BW302" s="74"/>
      <c r="DF302" s="21"/>
      <c r="DG302" s="21"/>
      <c r="DH302" s="21"/>
      <c r="DI302" s="21"/>
    </row>
    <row r="303" spans="2:113" s="123" customFormat="1">
      <c r="B303" s="125"/>
      <c r="D303" s="125"/>
      <c r="AA303" s="74"/>
      <c r="AE303" s="124"/>
      <c r="AI303" s="74"/>
      <c r="AM303" s="74"/>
      <c r="AY303" s="74"/>
      <c r="BC303" s="74"/>
      <c r="BG303" s="74"/>
      <c r="BK303" s="74"/>
      <c r="BO303" s="74"/>
      <c r="BW303" s="74"/>
      <c r="DF303" s="21"/>
      <c r="DG303" s="21"/>
      <c r="DH303" s="21"/>
      <c r="DI303" s="21"/>
    </row>
    <row r="304" spans="2:113" s="123" customFormat="1">
      <c r="B304" s="125"/>
      <c r="D304" s="125"/>
      <c r="AA304" s="74"/>
      <c r="AE304" s="124"/>
      <c r="AI304" s="74"/>
      <c r="AM304" s="74"/>
      <c r="AY304" s="74"/>
      <c r="BC304" s="74"/>
      <c r="BG304" s="74"/>
      <c r="BK304" s="74"/>
      <c r="BO304" s="74"/>
      <c r="BW304" s="74"/>
      <c r="DF304" s="21"/>
      <c r="DG304" s="21"/>
      <c r="DH304" s="21"/>
      <c r="DI304" s="21"/>
    </row>
    <row r="305" spans="2:113" s="123" customFormat="1">
      <c r="B305" s="125"/>
      <c r="D305" s="125"/>
      <c r="AA305" s="74"/>
      <c r="AE305" s="124"/>
      <c r="AI305" s="74"/>
      <c r="AM305" s="74"/>
      <c r="AY305" s="74"/>
      <c r="BC305" s="74"/>
      <c r="BG305" s="74"/>
      <c r="BK305" s="74"/>
      <c r="BO305" s="74"/>
      <c r="BW305" s="74"/>
      <c r="DF305" s="21"/>
      <c r="DG305" s="21"/>
      <c r="DH305" s="21"/>
      <c r="DI305" s="21"/>
    </row>
    <row r="306" spans="2:113" s="123" customFormat="1">
      <c r="B306" s="125"/>
      <c r="D306" s="125"/>
      <c r="AA306" s="74"/>
      <c r="AE306" s="124"/>
      <c r="AI306" s="74"/>
      <c r="AM306" s="74"/>
      <c r="AY306" s="74"/>
      <c r="BC306" s="74"/>
      <c r="BG306" s="74"/>
      <c r="BK306" s="74"/>
      <c r="BO306" s="74"/>
      <c r="BW306" s="74"/>
      <c r="DF306" s="21"/>
      <c r="DG306" s="21"/>
      <c r="DH306" s="21"/>
      <c r="DI306" s="21"/>
    </row>
    <row r="307" spans="2:113" s="123" customFormat="1">
      <c r="B307" s="125"/>
      <c r="D307" s="125"/>
      <c r="AA307" s="74"/>
      <c r="AE307" s="124"/>
      <c r="AI307" s="74"/>
      <c r="AM307" s="74"/>
      <c r="AY307" s="74"/>
      <c r="BC307" s="74"/>
      <c r="BG307" s="74"/>
      <c r="BK307" s="74"/>
      <c r="BO307" s="74"/>
      <c r="BW307" s="74"/>
      <c r="DF307" s="21"/>
      <c r="DG307" s="21"/>
      <c r="DH307" s="21"/>
      <c r="DI307" s="21"/>
    </row>
    <row r="308" spans="2:113" s="123" customFormat="1">
      <c r="B308" s="125"/>
      <c r="D308" s="125"/>
      <c r="AA308" s="74"/>
      <c r="AE308" s="124"/>
      <c r="AI308" s="74"/>
      <c r="AM308" s="74"/>
      <c r="AY308" s="74"/>
      <c r="BC308" s="74"/>
      <c r="BG308" s="74"/>
      <c r="BK308" s="74"/>
      <c r="BO308" s="74"/>
      <c r="BW308" s="74"/>
      <c r="DF308" s="21"/>
      <c r="DG308" s="21"/>
      <c r="DH308" s="21"/>
      <c r="DI308" s="21"/>
    </row>
    <row r="309" spans="2:113" s="123" customFormat="1">
      <c r="B309" s="125"/>
      <c r="D309" s="125"/>
      <c r="AA309" s="74"/>
      <c r="AE309" s="124"/>
      <c r="AI309" s="74"/>
      <c r="AM309" s="74"/>
      <c r="AY309" s="74"/>
      <c r="BC309" s="74"/>
      <c r="BG309" s="74"/>
      <c r="BK309" s="74"/>
      <c r="BO309" s="74"/>
      <c r="BW309" s="74"/>
      <c r="DF309" s="21"/>
      <c r="DG309" s="21"/>
      <c r="DH309" s="21"/>
      <c r="DI309" s="21"/>
    </row>
    <row r="310" spans="2:113" s="123" customFormat="1">
      <c r="B310" s="125"/>
      <c r="D310" s="125"/>
      <c r="AA310" s="74"/>
      <c r="AE310" s="124"/>
      <c r="AI310" s="74"/>
      <c r="AM310" s="74"/>
      <c r="AY310" s="74"/>
      <c r="BC310" s="74"/>
      <c r="BG310" s="74"/>
      <c r="BK310" s="74"/>
      <c r="BO310" s="74"/>
      <c r="BW310" s="74"/>
      <c r="DF310" s="21"/>
      <c r="DG310" s="21"/>
      <c r="DH310" s="21"/>
      <c r="DI310" s="21"/>
    </row>
    <row r="311" spans="2:113" s="123" customFormat="1">
      <c r="B311" s="125"/>
      <c r="D311" s="125"/>
      <c r="AA311" s="74"/>
      <c r="AE311" s="124"/>
      <c r="AI311" s="74"/>
      <c r="AM311" s="74"/>
      <c r="AY311" s="74"/>
      <c r="BC311" s="74"/>
      <c r="BG311" s="74"/>
      <c r="BK311" s="74"/>
      <c r="BO311" s="74"/>
      <c r="BW311" s="74"/>
      <c r="DF311" s="21"/>
      <c r="DG311" s="21"/>
      <c r="DH311" s="21"/>
      <c r="DI311" s="21"/>
    </row>
    <row r="312" spans="2:113" s="123" customFormat="1">
      <c r="B312" s="125"/>
      <c r="D312" s="125"/>
      <c r="AA312" s="74"/>
      <c r="AE312" s="124"/>
      <c r="AI312" s="74"/>
      <c r="AM312" s="74"/>
      <c r="AY312" s="74"/>
      <c r="BC312" s="74"/>
      <c r="BG312" s="74"/>
      <c r="BK312" s="74"/>
      <c r="BO312" s="74"/>
      <c r="BW312" s="74"/>
      <c r="DF312" s="21"/>
      <c r="DG312" s="21"/>
      <c r="DH312" s="21"/>
      <c r="DI312" s="21"/>
    </row>
    <row r="313" spans="2:113" s="123" customFormat="1">
      <c r="B313" s="125"/>
      <c r="D313" s="125"/>
      <c r="AA313" s="74"/>
      <c r="AE313" s="124"/>
      <c r="AI313" s="74"/>
      <c r="AM313" s="74"/>
      <c r="AY313" s="74"/>
      <c r="BC313" s="74"/>
      <c r="BG313" s="74"/>
      <c r="BK313" s="74"/>
      <c r="BO313" s="74"/>
      <c r="BW313" s="74"/>
      <c r="DF313" s="21"/>
      <c r="DG313" s="21"/>
      <c r="DH313" s="21"/>
      <c r="DI313" s="21"/>
    </row>
    <row r="314" spans="2:113" s="123" customFormat="1">
      <c r="B314" s="125"/>
      <c r="D314" s="125"/>
      <c r="AA314" s="74"/>
      <c r="AE314" s="124"/>
      <c r="AI314" s="74"/>
      <c r="AM314" s="74"/>
      <c r="AY314" s="74"/>
      <c r="BC314" s="74"/>
      <c r="BG314" s="74"/>
      <c r="BK314" s="74"/>
      <c r="BO314" s="74"/>
      <c r="BW314" s="74"/>
      <c r="DF314" s="21"/>
      <c r="DG314" s="21"/>
      <c r="DH314" s="21"/>
      <c r="DI314" s="21"/>
    </row>
    <row r="315" spans="2:113" s="123" customFormat="1">
      <c r="B315" s="125"/>
      <c r="D315" s="125"/>
      <c r="AA315" s="74"/>
      <c r="AE315" s="124"/>
      <c r="AI315" s="74"/>
      <c r="AM315" s="74"/>
      <c r="AY315" s="74"/>
      <c r="BC315" s="74"/>
      <c r="BG315" s="74"/>
      <c r="BK315" s="74"/>
      <c r="BO315" s="74"/>
      <c r="BW315" s="74"/>
      <c r="DF315" s="21"/>
      <c r="DG315" s="21"/>
      <c r="DH315" s="21"/>
      <c r="DI315" s="21"/>
    </row>
    <row r="316" spans="2:113" s="123" customFormat="1">
      <c r="B316" s="125"/>
      <c r="D316" s="125"/>
      <c r="AA316" s="74"/>
      <c r="AE316" s="124"/>
      <c r="AI316" s="74"/>
      <c r="AM316" s="74"/>
      <c r="AY316" s="74"/>
      <c r="BC316" s="74"/>
      <c r="BG316" s="74"/>
      <c r="BK316" s="74"/>
      <c r="BO316" s="74"/>
      <c r="BW316" s="74"/>
      <c r="DF316" s="21"/>
      <c r="DG316" s="21"/>
      <c r="DH316" s="21"/>
      <c r="DI316" s="21"/>
    </row>
    <row r="317" spans="2:113" s="123" customFormat="1">
      <c r="B317" s="125"/>
      <c r="D317" s="125"/>
      <c r="AA317" s="74"/>
      <c r="AE317" s="124"/>
      <c r="AI317" s="74"/>
      <c r="AM317" s="74"/>
      <c r="AY317" s="74"/>
      <c r="BC317" s="74"/>
      <c r="BG317" s="74"/>
      <c r="BK317" s="74"/>
      <c r="BO317" s="74"/>
      <c r="BW317" s="74"/>
      <c r="DF317" s="21"/>
      <c r="DG317" s="21"/>
      <c r="DH317" s="21"/>
      <c r="DI317" s="21"/>
    </row>
    <row r="318" spans="2:113" s="123" customFormat="1">
      <c r="B318" s="125"/>
      <c r="D318" s="125"/>
      <c r="AA318" s="74"/>
      <c r="AE318" s="124"/>
      <c r="AI318" s="74"/>
      <c r="AM318" s="74"/>
      <c r="AY318" s="74"/>
      <c r="BC318" s="74"/>
      <c r="BG318" s="74"/>
      <c r="BK318" s="74"/>
      <c r="BO318" s="74"/>
      <c r="BW318" s="74"/>
      <c r="DF318" s="21"/>
      <c r="DG318" s="21"/>
      <c r="DH318" s="21"/>
      <c r="DI318" s="21"/>
    </row>
    <row r="319" spans="2:113" s="123" customFormat="1">
      <c r="B319" s="125"/>
      <c r="D319" s="125"/>
      <c r="AA319" s="74"/>
      <c r="AE319" s="124"/>
      <c r="AI319" s="74"/>
      <c r="AM319" s="74"/>
      <c r="AY319" s="74"/>
      <c r="BC319" s="74"/>
      <c r="BG319" s="74"/>
      <c r="BK319" s="74"/>
      <c r="BO319" s="74"/>
      <c r="BW319" s="74"/>
      <c r="DF319" s="21"/>
      <c r="DG319" s="21"/>
      <c r="DH319" s="21"/>
      <c r="DI319" s="21"/>
    </row>
    <row r="320" spans="2:113" s="123" customFormat="1">
      <c r="B320" s="125"/>
      <c r="D320" s="125"/>
      <c r="AA320" s="74"/>
      <c r="AE320" s="124"/>
      <c r="AI320" s="74"/>
      <c r="AM320" s="74"/>
      <c r="AY320" s="74"/>
      <c r="BC320" s="74"/>
      <c r="BG320" s="74"/>
      <c r="BK320" s="74"/>
      <c r="BO320" s="74"/>
      <c r="BW320" s="74"/>
      <c r="DF320" s="21"/>
      <c r="DG320" s="21"/>
      <c r="DH320" s="21"/>
      <c r="DI320" s="21"/>
    </row>
    <row r="321" spans="2:113" s="123" customFormat="1">
      <c r="B321" s="125"/>
      <c r="D321" s="125"/>
      <c r="AA321" s="74"/>
      <c r="AE321" s="124"/>
      <c r="AI321" s="74"/>
      <c r="AM321" s="74"/>
      <c r="AY321" s="74"/>
      <c r="BC321" s="74"/>
      <c r="BG321" s="74"/>
      <c r="BK321" s="74"/>
      <c r="BO321" s="74"/>
      <c r="BW321" s="74"/>
      <c r="DF321" s="21"/>
      <c r="DG321" s="21"/>
      <c r="DH321" s="21"/>
      <c r="DI321" s="21"/>
    </row>
    <row r="322" spans="2:113" s="123" customFormat="1">
      <c r="B322" s="125"/>
      <c r="D322" s="125"/>
      <c r="AA322" s="74"/>
      <c r="AE322" s="124"/>
      <c r="AI322" s="74"/>
      <c r="AM322" s="74"/>
      <c r="AY322" s="74"/>
      <c r="BC322" s="74"/>
      <c r="BG322" s="74"/>
      <c r="BK322" s="74"/>
      <c r="BO322" s="74"/>
      <c r="BW322" s="74"/>
      <c r="DF322" s="21"/>
      <c r="DG322" s="21"/>
      <c r="DH322" s="21"/>
      <c r="DI322" s="21"/>
    </row>
    <row r="323" spans="2:113" s="123" customFormat="1">
      <c r="B323" s="125"/>
      <c r="D323" s="125"/>
      <c r="AA323" s="74"/>
      <c r="AE323" s="124"/>
      <c r="AI323" s="74"/>
      <c r="AM323" s="74"/>
      <c r="AY323" s="74"/>
      <c r="BC323" s="74"/>
      <c r="BG323" s="74"/>
      <c r="BK323" s="74"/>
      <c r="BO323" s="74"/>
      <c r="BW323" s="74"/>
      <c r="DF323" s="21"/>
      <c r="DG323" s="21"/>
      <c r="DH323" s="21"/>
      <c r="DI323" s="21"/>
    </row>
    <row r="324" spans="2:113" s="123" customFormat="1">
      <c r="B324" s="125"/>
      <c r="D324" s="125"/>
      <c r="AA324" s="74"/>
      <c r="AE324" s="124"/>
      <c r="AI324" s="74"/>
      <c r="AM324" s="74"/>
      <c r="AY324" s="74"/>
      <c r="BC324" s="74"/>
      <c r="BG324" s="74"/>
      <c r="BK324" s="74"/>
      <c r="BO324" s="74"/>
      <c r="BW324" s="74"/>
      <c r="DF324" s="21"/>
      <c r="DG324" s="21"/>
      <c r="DH324" s="21"/>
      <c r="DI324" s="21"/>
    </row>
    <row r="325" spans="2:113" s="123" customFormat="1">
      <c r="B325" s="125"/>
      <c r="D325" s="125"/>
      <c r="AA325" s="74"/>
      <c r="AE325" s="124"/>
      <c r="AI325" s="74"/>
      <c r="AM325" s="74"/>
      <c r="AY325" s="74"/>
      <c r="BC325" s="74"/>
      <c r="BG325" s="74"/>
      <c r="BK325" s="74"/>
      <c r="BO325" s="74"/>
      <c r="BW325" s="74"/>
      <c r="DF325" s="21"/>
      <c r="DG325" s="21"/>
      <c r="DH325" s="21"/>
      <c r="DI325" s="21"/>
    </row>
    <row r="326" spans="2:113" s="123" customFormat="1">
      <c r="B326" s="125"/>
      <c r="D326" s="125"/>
      <c r="AA326" s="74"/>
      <c r="AE326" s="124"/>
      <c r="AI326" s="74"/>
      <c r="AM326" s="74"/>
      <c r="AY326" s="74"/>
      <c r="BC326" s="74"/>
      <c r="BG326" s="74"/>
      <c r="BK326" s="74"/>
      <c r="BO326" s="74"/>
      <c r="BW326" s="74"/>
      <c r="DF326" s="21"/>
      <c r="DG326" s="21"/>
      <c r="DH326" s="21"/>
      <c r="DI326" s="21"/>
    </row>
    <row r="327" spans="2:113" s="123" customFormat="1">
      <c r="B327" s="125"/>
      <c r="D327" s="125"/>
      <c r="AA327" s="74"/>
      <c r="AE327" s="124"/>
      <c r="AI327" s="74"/>
      <c r="AM327" s="74"/>
      <c r="AY327" s="74"/>
      <c r="BC327" s="74"/>
      <c r="BG327" s="74"/>
      <c r="BK327" s="74"/>
      <c r="BO327" s="74"/>
      <c r="BW327" s="74"/>
      <c r="DF327" s="21"/>
      <c r="DG327" s="21"/>
      <c r="DH327" s="21"/>
      <c r="DI327" s="21"/>
    </row>
    <row r="328" spans="2:113" s="123" customFormat="1">
      <c r="B328" s="125"/>
      <c r="D328" s="125"/>
      <c r="AA328" s="74"/>
      <c r="AE328" s="124"/>
      <c r="AI328" s="74"/>
      <c r="AM328" s="74"/>
      <c r="AY328" s="74"/>
      <c r="BC328" s="74"/>
      <c r="BG328" s="74"/>
      <c r="BK328" s="74"/>
      <c r="BO328" s="74"/>
      <c r="BW328" s="74"/>
      <c r="DF328" s="21"/>
      <c r="DG328" s="21"/>
      <c r="DH328" s="21"/>
      <c r="DI328" s="21"/>
    </row>
    <row r="329" spans="2:113" s="123" customFormat="1">
      <c r="B329" s="125"/>
      <c r="D329" s="125"/>
      <c r="AA329" s="74"/>
      <c r="AE329" s="124"/>
      <c r="AI329" s="74"/>
      <c r="AM329" s="74"/>
      <c r="AY329" s="74"/>
      <c r="BC329" s="74"/>
      <c r="BG329" s="74"/>
      <c r="BK329" s="74"/>
      <c r="BO329" s="74"/>
      <c r="BW329" s="74"/>
      <c r="DF329" s="21"/>
      <c r="DG329" s="21"/>
      <c r="DH329" s="21"/>
      <c r="DI329" s="21"/>
    </row>
    <row r="330" spans="2:113" s="123" customFormat="1">
      <c r="B330" s="125"/>
      <c r="D330" s="125"/>
      <c r="AA330" s="74"/>
      <c r="AE330" s="124"/>
      <c r="AI330" s="74"/>
      <c r="AM330" s="74"/>
      <c r="AY330" s="74"/>
      <c r="BC330" s="74"/>
      <c r="BG330" s="74"/>
      <c r="BK330" s="74"/>
      <c r="BO330" s="74"/>
      <c r="BW330" s="74"/>
      <c r="DF330" s="21"/>
      <c r="DG330" s="21"/>
      <c r="DH330" s="21"/>
      <c r="DI330" s="21"/>
    </row>
    <row r="331" spans="2:113" s="123" customFormat="1">
      <c r="B331" s="125"/>
      <c r="D331" s="125"/>
      <c r="AA331" s="74"/>
      <c r="AE331" s="124"/>
      <c r="AI331" s="74"/>
      <c r="AM331" s="74"/>
      <c r="AY331" s="74"/>
      <c r="BC331" s="74"/>
      <c r="BG331" s="74"/>
      <c r="BK331" s="74"/>
      <c r="BO331" s="74"/>
      <c r="BW331" s="74"/>
      <c r="DF331" s="21"/>
      <c r="DG331" s="21"/>
      <c r="DH331" s="21"/>
      <c r="DI331" s="21"/>
    </row>
    <row r="332" spans="2:113" s="123" customFormat="1">
      <c r="B332" s="125"/>
      <c r="D332" s="125"/>
      <c r="AA332" s="74"/>
      <c r="AE332" s="124"/>
      <c r="AI332" s="74"/>
      <c r="AM332" s="74"/>
      <c r="AY332" s="74"/>
      <c r="BC332" s="74"/>
      <c r="BG332" s="74"/>
      <c r="BK332" s="74"/>
      <c r="BO332" s="74"/>
      <c r="BW332" s="74"/>
      <c r="DF332" s="21"/>
      <c r="DG332" s="21"/>
      <c r="DH332" s="21"/>
      <c r="DI332" s="21"/>
    </row>
    <row r="333" spans="2:113" s="123" customFormat="1">
      <c r="B333" s="125"/>
      <c r="D333" s="125"/>
      <c r="AA333" s="74"/>
      <c r="AE333" s="124"/>
      <c r="AI333" s="74"/>
      <c r="AM333" s="74"/>
      <c r="AY333" s="74"/>
      <c r="BC333" s="74"/>
      <c r="BG333" s="74"/>
      <c r="BK333" s="74"/>
      <c r="BO333" s="74"/>
      <c r="BW333" s="74"/>
      <c r="DF333" s="21"/>
      <c r="DG333" s="21"/>
      <c r="DH333" s="21"/>
      <c r="DI333" s="21"/>
    </row>
    <row r="334" spans="2:113" s="123" customFormat="1">
      <c r="B334" s="125"/>
      <c r="D334" s="125"/>
      <c r="AA334" s="74"/>
      <c r="AE334" s="124"/>
      <c r="AI334" s="74"/>
      <c r="AM334" s="74"/>
      <c r="AY334" s="74"/>
      <c r="BC334" s="74"/>
      <c r="BG334" s="74"/>
      <c r="BK334" s="74"/>
      <c r="BO334" s="74"/>
      <c r="BW334" s="74"/>
      <c r="DF334" s="21"/>
      <c r="DG334" s="21"/>
      <c r="DH334" s="21"/>
      <c r="DI334" s="21"/>
    </row>
    <row r="335" spans="2:113" s="123" customFormat="1">
      <c r="B335" s="125"/>
      <c r="D335" s="125"/>
      <c r="AA335" s="74"/>
      <c r="AE335" s="124"/>
      <c r="AI335" s="74"/>
      <c r="AM335" s="74"/>
      <c r="AY335" s="74"/>
      <c r="BC335" s="74"/>
      <c r="BG335" s="74"/>
      <c r="BK335" s="74"/>
      <c r="BO335" s="74"/>
      <c r="BW335" s="74"/>
      <c r="DF335" s="21"/>
      <c r="DG335" s="21"/>
      <c r="DH335" s="21"/>
      <c r="DI335" s="21"/>
    </row>
    <row r="336" spans="2:113" s="123" customFormat="1">
      <c r="B336" s="125"/>
      <c r="D336" s="125"/>
      <c r="AA336" s="74"/>
      <c r="AE336" s="124"/>
      <c r="AI336" s="74"/>
      <c r="AM336" s="74"/>
      <c r="AY336" s="74"/>
      <c r="BC336" s="74"/>
      <c r="BG336" s="74"/>
      <c r="BK336" s="74"/>
      <c r="BO336" s="74"/>
      <c r="BW336" s="74"/>
      <c r="DF336" s="21"/>
      <c r="DG336" s="21"/>
      <c r="DH336" s="21"/>
      <c r="DI336" s="21"/>
    </row>
    <row r="337" spans="2:113" s="123" customFormat="1">
      <c r="B337" s="125"/>
      <c r="D337" s="125"/>
      <c r="AA337" s="74"/>
      <c r="AE337" s="124"/>
      <c r="AI337" s="74"/>
      <c r="AM337" s="74"/>
      <c r="AY337" s="74"/>
      <c r="BC337" s="74"/>
      <c r="BG337" s="74"/>
      <c r="BK337" s="74"/>
      <c r="BO337" s="74"/>
      <c r="BW337" s="74"/>
      <c r="DF337" s="21"/>
      <c r="DG337" s="21"/>
      <c r="DH337" s="21"/>
      <c r="DI337" s="21"/>
    </row>
    <row r="338" spans="2:113" s="123" customFormat="1">
      <c r="B338" s="125"/>
      <c r="D338" s="125"/>
      <c r="AA338" s="74"/>
      <c r="AE338" s="124"/>
      <c r="AI338" s="74"/>
      <c r="AM338" s="74"/>
      <c r="AY338" s="74"/>
      <c r="BC338" s="74"/>
      <c r="BG338" s="74"/>
      <c r="BK338" s="74"/>
      <c r="BO338" s="74"/>
      <c r="BW338" s="74"/>
      <c r="DF338" s="21"/>
      <c r="DG338" s="21"/>
      <c r="DH338" s="21"/>
      <c r="DI338" s="21"/>
    </row>
    <row r="339" spans="2:113" s="123" customFormat="1">
      <c r="B339" s="125"/>
      <c r="D339" s="125"/>
      <c r="AA339" s="74"/>
      <c r="AE339" s="124"/>
      <c r="AI339" s="74"/>
      <c r="AM339" s="74"/>
      <c r="AY339" s="74"/>
      <c r="BC339" s="74"/>
      <c r="BG339" s="74"/>
      <c r="BK339" s="74"/>
      <c r="BO339" s="74"/>
      <c r="BW339" s="74"/>
      <c r="DF339" s="21"/>
      <c r="DG339" s="21"/>
      <c r="DH339" s="21"/>
      <c r="DI339" s="21"/>
    </row>
    <row r="340" spans="2:113" s="123" customFormat="1">
      <c r="B340" s="125"/>
      <c r="D340" s="125"/>
      <c r="AA340" s="74"/>
      <c r="AE340" s="124"/>
      <c r="AI340" s="74"/>
      <c r="AM340" s="74"/>
      <c r="AY340" s="74"/>
      <c r="BC340" s="74"/>
      <c r="BG340" s="74"/>
      <c r="BK340" s="74"/>
      <c r="BO340" s="74"/>
      <c r="BW340" s="74"/>
      <c r="DF340" s="21"/>
      <c r="DG340" s="21"/>
      <c r="DH340" s="21"/>
      <c r="DI340" s="21"/>
    </row>
    <row r="341" spans="2:113" s="123" customFormat="1">
      <c r="B341" s="125"/>
      <c r="D341" s="125"/>
      <c r="AA341" s="74"/>
      <c r="AE341" s="124"/>
      <c r="AI341" s="74"/>
      <c r="AM341" s="74"/>
      <c r="AY341" s="74"/>
      <c r="BC341" s="74"/>
      <c r="BG341" s="74"/>
      <c r="BK341" s="74"/>
      <c r="BO341" s="74"/>
      <c r="BW341" s="74"/>
      <c r="DF341" s="21"/>
      <c r="DG341" s="21"/>
      <c r="DH341" s="21"/>
      <c r="DI341" s="21"/>
    </row>
    <row r="342" spans="2:113" s="123" customFormat="1">
      <c r="B342" s="125"/>
      <c r="D342" s="125"/>
      <c r="AA342" s="74"/>
      <c r="AE342" s="124"/>
      <c r="AI342" s="74"/>
      <c r="AM342" s="74"/>
      <c r="AY342" s="74"/>
      <c r="BC342" s="74"/>
      <c r="BG342" s="74"/>
      <c r="BK342" s="74"/>
      <c r="BO342" s="74"/>
      <c r="BW342" s="74"/>
      <c r="DF342" s="21"/>
      <c r="DG342" s="21"/>
      <c r="DH342" s="21"/>
      <c r="DI342" s="21"/>
    </row>
    <row r="343" spans="2:113" s="123" customFormat="1">
      <c r="B343" s="125"/>
      <c r="D343" s="125"/>
      <c r="AA343" s="74"/>
      <c r="AE343" s="124"/>
      <c r="AI343" s="74"/>
      <c r="AM343" s="74"/>
      <c r="AY343" s="74"/>
      <c r="BC343" s="74"/>
      <c r="BG343" s="74"/>
      <c r="BK343" s="74"/>
      <c r="BO343" s="74"/>
      <c r="BW343" s="74"/>
      <c r="DF343" s="21"/>
      <c r="DG343" s="21"/>
      <c r="DH343" s="21"/>
      <c r="DI343" s="21"/>
    </row>
    <row r="344" spans="2:113" s="123" customFormat="1">
      <c r="B344" s="125"/>
      <c r="D344" s="125"/>
      <c r="AA344" s="74"/>
      <c r="AE344" s="124"/>
      <c r="AI344" s="74"/>
      <c r="AM344" s="74"/>
      <c r="AY344" s="74"/>
      <c r="BC344" s="74"/>
      <c r="BG344" s="74"/>
      <c r="BK344" s="74"/>
      <c r="BO344" s="74"/>
      <c r="BW344" s="74"/>
      <c r="DF344" s="21"/>
      <c r="DG344" s="21"/>
      <c r="DH344" s="21"/>
      <c r="DI344" s="21"/>
    </row>
    <row r="345" spans="2:113" s="123" customFormat="1">
      <c r="B345" s="125"/>
      <c r="D345" s="125"/>
      <c r="AA345" s="74"/>
      <c r="AE345" s="124"/>
      <c r="AI345" s="74"/>
      <c r="AM345" s="74"/>
      <c r="AY345" s="74"/>
      <c r="BC345" s="74"/>
      <c r="BG345" s="74"/>
      <c r="BK345" s="74"/>
      <c r="BO345" s="74"/>
      <c r="BW345" s="74"/>
      <c r="DF345" s="21"/>
      <c r="DG345" s="21"/>
      <c r="DH345" s="21"/>
      <c r="DI345" s="21"/>
    </row>
    <row r="346" spans="2:113" s="123" customFormat="1">
      <c r="B346" s="125"/>
      <c r="D346" s="125"/>
      <c r="AA346" s="74"/>
      <c r="AE346" s="124"/>
      <c r="AI346" s="74"/>
      <c r="AM346" s="74"/>
      <c r="AY346" s="74"/>
      <c r="BC346" s="74"/>
      <c r="BG346" s="74"/>
      <c r="BK346" s="74"/>
      <c r="BO346" s="74"/>
      <c r="BW346" s="74"/>
      <c r="DF346" s="21"/>
      <c r="DG346" s="21"/>
      <c r="DH346" s="21"/>
      <c r="DI346" s="21"/>
    </row>
    <row r="347" spans="2:113" s="123" customFormat="1">
      <c r="B347" s="125"/>
      <c r="D347" s="125"/>
      <c r="AA347" s="74"/>
      <c r="AE347" s="124"/>
      <c r="AI347" s="74"/>
      <c r="AM347" s="74"/>
      <c r="AY347" s="74"/>
      <c r="BC347" s="74"/>
      <c r="BG347" s="74"/>
      <c r="BK347" s="74"/>
      <c r="BO347" s="74"/>
      <c r="BW347" s="74"/>
      <c r="DF347" s="21"/>
      <c r="DG347" s="21"/>
      <c r="DH347" s="21"/>
      <c r="DI347" s="21"/>
    </row>
    <row r="348" spans="2:113" s="123" customFormat="1">
      <c r="B348" s="125"/>
      <c r="D348" s="125"/>
      <c r="AA348" s="74"/>
      <c r="AE348" s="124"/>
      <c r="AI348" s="74"/>
      <c r="AM348" s="74"/>
      <c r="AY348" s="74"/>
      <c r="BC348" s="74"/>
      <c r="BG348" s="74"/>
      <c r="BK348" s="74"/>
      <c r="BO348" s="74"/>
      <c r="BW348" s="74"/>
      <c r="DF348" s="21"/>
      <c r="DG348" s="21"/>
      <c r="DH348" s="21"/>
      <c r="DI348" s="21"/>
    </row>
    <row r="349" spans="2:113" s="123" customFormat="1">
      <c r="B349" s="125"/>
      <c r="D349" s="125"/>
      <c r="AA349" s="74"/>
      <c r="AE349" s="124"/>
      <c r="AI349" s="74"/>
      <c r="AM349" s="74"/>
      <c r="AY349" s="74"/>
      <c r="BC349" s="74"/>
      <c r="BG349" s="74"/>
      <c r="BK349" s="74"/>
      <c r="BO349" s="74"/>
      <c r="BW349" s="74"/>
      <c r="DF349" s="21"/>
      <c r="DG349" s="21"/>
      <c r="DH349" s="21"/>
      <c r="DI349" s="21"/>
    </row>
    <row r="350" spans="2:113" s="123" customFormat="1">
      <c r="B350" s="125"/>
      <c r="D350" s="125"/>
      <c r="AA350" s="74"/>
      <c r="AE350" s="124"/>
      <c r="AI350" s="74"/>
      <c r="AM350" s="74"/>
      <c r="AY350" s="74"/>
      <c r="BC350" s="74"/>
      <c r="BG350" s="74"/>
      <c r="BK350" s="74"/>
      <c r="BO350" s="74"/>
      <c r="BW350" s="74"/>
      <c r="DF350" s="21"/>
      <c r="DG350" s="21"/>
      <c r="DH350" s="21"/>
      <c r="DI350" s="21"/>
    </row>
    <row r="351" spans="2:113" s="123" customFormat="1">
      <c r="B351" s="125"/>
      <c r="D351" s="125"/>
      <c r="AA351" s="74"/>
      <c r="AE351" s="124"/>
      <c r="AI351" s="74"/>
      <c r="AM351" s="74"/>
      <c r="AY351" s="74"/>
      <c r="BC351" s="74"/>
      <c r="BG351" s="74"/>
      <c r="BK351" s="74"/>
      <c r="BO351" s="74"/>
      <c r="BW351" s="74"/>
      <c r="DF351" s="21"/>
      <c r="DG351" s="21"/>
      <c r="DH351" s="21"/>
      <c r="DI351" s="21"/>
    </row>
    <row r="352" spans="2:113" s="123" customFormat="1">
      <c r="B352" s="125"/>
      <c r="D352" s="125"/>
      <c r="AA352" s="74"/>
      <c r="AE352" s="124"/>
      <c r="AI352" s="74"/>
      <c r="AM352" s="74"/>
      <c r="AY352" s="74"/>
      <c r="BC352" s="74"/>
      <c r="BG352" s="74"/>
      <c r="BK352" s="74"/>
      <c r="BO352" s="74"/>
      <c r="BW352" s="74"/>
      <c r="DF352" s="21"/>
      <c r="DG352" s="21"/>
      <c r="DH352" s="21"/>
      <c r="DI352" s="21"/>
    </row>
    <row r="353" spans="2:113" s="123" customFormat="1">
      <c r="B353" s="125"/>
      <c r="D353" s="125"/>
      <c r="AA353" s="74"/>
      <c r="AE353" s="124"/>
      <c r="AI353" s="74"/>
      <c r="AM353" s="74"/>
      <c r="AY353" s="74"/>
      <c r="BC353" s="74"/>
      <c r="BG353" s="74"/>
      <c r="BK353" s="74"/>
      <c r="BO353" s="74"/>
      <c r="BW353" s="74"/>
      <c r="DF353" s="21"/>
      <c r="DG353" s="21"/>
      <c r="DH353" s="21"/>
      <c r="DI353" s="21"/>
    </row>
    <row r="354" spans="2:113" s="123" customFormat="1">
      <c r="B354" s="125"/>
      <c r="D354" s="125"/>
      <c r="AA354" s="74"/>
      <c r="AE354" s="124"/>
      <c r="AI354" s="74"/>
      <c r="AM354" s="74"/>
      <c r="AY354" s="74"/>
      <c r="BC354" s="74"/>
      <c r="BG354" s="74"/>
      <c r="BK354" s="74"/>
      <c r="BO354" s="74"/>
      <c r="BW354" s="74"/>
      <c r="DF354" s="21"/>
      <c r="DG354" s="21"/>
      <c r="DH354" s="21"/>
      <c r="DI354" s="21"/>
    </row>
    <row r="355" spans="2:113" s="123" customFormat="1">
      <c r="B355" s="125"/>
      <c r="D355" s="125"/>
      <c r="AA355" s="74"/>
      <c r="AE355" s="124"/>
      <c r="AI355" s="74"/>
      <c r="AM355" s="74"/>
      <c r="AY355" s="74"/>
      <c r="BC355" s="74"/>
      <c r="BG355" s="74"/>
      <c r="BK355" s="74"/>
      <c r="BO355" s="74"/>
      <c r="BW355" s="74"/>
      <c r="DF355" s="21"/>
      <c r="DG355" s="21"/>
      <c r="DH355" s="21"/>
      <c r="DI355" s="21"/>
    </row>
    <row r="356" spans="2:113" s="123" customFormat="1">
      <c r="B356" s="125"/>
      <c r="D356" s="125"/>
      <c r="AA356" s="74"/>
      <c r="AE356" s="124"/>
      <c r="AI356" s="74"/>
      <c r="AM356" s="74"/>
      <c r="AY356" s="74"/>
      <c r="BC356" s="74"/>
      <c r="BG356" s="74"/>
      <c r="BK356" s="74"/>
      <c r="BO356" s="74"/>
      <c r="BW356" s="74"/>
      <c r="DF356" s="21"/>
      <c r="DG356" s="21"/>
      <c r="DH356" s="21"/>
      <c r="DI356" s="21"/>
    </row>
    <row r="357" spans="2:113" s="123" customFormat="1">
      <c r="B357" s="125"/>
      <c r="D357" s="125"/>
      <c r="AA357" s="74"/>
      <c r="AE357" s="124"/>
      <c r="AI357" s="74"/>
      <c r="AM357" s="74"/>
      <c r="AY357" s="74"/>
      <c r="BC357" s="74"/>
      <c r="BG357" s="74"/>
      <c r="BK357" s="74"/>
      <c r="BO357" s="74"/>
      <c r="BW357" s="74"/>
      <c r="DF357" s="21"/>
      <c r="DG357" s="21"/>
      <c r="DH357" s="21"/>
      <c r="DI357" s="21"/>
    </row>
    <row r="358" spans="2:113" s="123" customFormat="1">
      <c r="B358" s="125"/>
      <c r="D358" s="125"/>
      <c r="AA358" s="74"/>
      <c r="AE358" s="124"/>
      <c r="AI358" s="74"/>
      <c r="AM358" s="74"/>
      <c r="AY358" s="74"/>
      <c r="BC358" s="74"/>
      <c r="BG358" s="74"/>
      <c r="BK358" s="74"/>
      <c r="BO358" s="74"/>
      <c r="BW358" s="74"/>
      <c r="DF358" s="21"/>
      <c r="DG358" s="21"/>
      <c r="DH358" s="21"/>
      <c r="DI358" s="21"/>
    </row>
    <row r="359" spans="2:113" s="123" customFormat="1">
      <c r="B359" s="125"/>
      <c r="D359" s="125"/>
      <c r="AA359" s="74"/>
      <c r="AE359" s="124"/>
      <c r="AI359" s="74"/>
      <c r="AM359" s="74"/>
      <c r="AY359" s="74"/>
      <c r="BC359" s="74"/>
      <c r="BG359" s="74"/>
      <c r="BK359" s="74"/>
      <c r="BO359" s="74"/>
      <c r="BW359" s="74"/>
      <c r="DF359" s="21"/>
      <c r="DG359" s="21"/>
      <c r="DH359" s="21"/>
      <c r="DI359" s="21"/>
    </row>
    <row r="360" spans="2:113" s="123" customFormat="1">
      <c r="B360" s="125"/>
      <c r="D360" s="125"/>
      <c r="AA360" s="74"/>
      <c r="AE360" s="124"/>
      <c r="AI360" s="74"/>
      <c r="AM360" s="74"/>
      <c r="AY360" s="74"/>
      <c r="BC360" s="74"/>
      <c r="BG360" s="74"/>
      <c r="BK360" s="74"/>
      <c r="BO360" s="74"/>
      <c r="BW360" s="74"/>
      <c r="DF360" s="21"/>
      <c r="DG360" s="21"/>
      <c r="DH360" s="21"/>
      <c r="DI360" s="21"/>
    </row>
    <row r="361" spans="2:113" s="123" customFormat="1">
      <c r="B361" s="125"/>
      <c r="D361" s="125"/>
      <c r="AA361" s="74"/>
      <c r="AE361" s="124"/>
      <c r="AI361" s="74"/>
      <c r="AM361" s="74"/>
      <c r="AY361" s="74"/>
      <c r="BC361" s="74"/>
      <c r="BG361" s="74"/>
      <c r="BK361" s="74"/>
      <c r="BO361" s="74"/>
      <c r="BW361" s="74"/>
      <c r="DF361" s="21"/>
      <c r="DG361" s="21"/>
      <c r="DH361" s="21"/>
      <c r="DI361" s="21"/>
    </row>
    <row r="362" spans="2:113" s="123" customFormat="1">
      <c r="B362" s="125"/>
      <c r="D362" s="125"/>
      <c r="AA362" s="74"/>
      <c r="AE362" s="124"/>
      <c r="AI362" s="74"/>
      <c r="AM362" s="74"/>
      <c r="AY362" s="74"/>
      <c r="BC362" s="74"/>
      <c r="BG362" s="74"/>
      <c r="BK362" s="74"/>
      <c r="BO362" s="74"/>
      <c r="BW362" s="74"/>
      <c r="DF362" s="21"/>
      <c r="DG362" s="21"/>
      <c r="DH362" s="21"/>
      <c r="DI362" s="21"/>
    </row>
    <row r="363" spans="2:113" s="123" customFormat="1">
      <c r="B363" s="125"/>
      <c r="D363" s="125"/>
      <c r="AA363" s="74"/>
      <c r="AE363" s="124"/>
      <c r="AI363" s="74"/>
      <c r="AM363" s="74"/>
      <c r="AY363" s="74"/>
      <c r="BC363" s="74"/>
      <c r="BG363" s="74"/>
      <c r="BK363" s="74"/>
      <c r="BO363" s="74"/>
      <c r="BW363" s="74"/>
      <c r="DF363" s="21"/>
      <c r="DG363" s="21"/>
      <c r="DH363" s="21"/>
      <c r="DI363" s="21"/>
    </row>
    <row r="364" spans="2:113" s="123" customFormat="1">
      <c r="B364" s="125"/>
      <c r="D364" s="125"/>
      <c r="AA364" s="74"/>
      <c r="AE364" s="124"/>
      <c r="AI364" s="74"/>
      <c r="AM364" s="74"/>
      <c r="AY364" s="74"/>
      <c r="BC364" s="74"/>
      <c r="BG364" s="74"/>
      <c r="BK364" s="74"/>
      <c r="BO364" s="74"/>
      <c r="BW364" s="74"/>
      <c r="DF364" s="21"/>
      <c r="DG364" s="21"/>
      <c r="DH364" s="21"/>
      <c r="DI364" s="21"/>
    </row>
    <row r="365" spans="2:113" s="123" customFormat="1">
      <c r="B365" s="125"/>
      <c r="D365" s="125"/>
      <c r="AA365" s="74"/>
      <c r="AE365" s="124"/>
      <c r="AI365" s="74"/>
      <c r="AM365" s="74"/>
      <c r="AY365" s="74"/>
      <c r="BC365" s="74"/>
      <c r="BG365" s="74"/>
      <c r="BK365" s="74"/>
      <c r="BO365" s="74"/>
      <c r="BW365" s="74"/>
      <c r="DF365" s="21"/>
      <c r="DG365" s="21"/>
      <c r="DH365" s="21"/>
      <c r="DI365" s="21"/>
    </row>
    <row r="366" spans="2:113" s="123" customFormat="1">
      <c r="B366" s="125"/>
      <c r="D366" s="125"/>
      <c r="AA366" s="74"/>
      <c r="AE366" s="124"/>
      <c r="AI366" s="74"/>
      <c r="AM366" s="74"/>
      <c r="AY366" s="74"/>
      <c r="BC366" s="74"/>
      <c r="BG366" s="74"/>
      <c r="BK366" s="74"/>
      <c r="BO366" s="74"/>
      <c r="BW366" s="74"/>
      <c r="DF366" s="21"/>
      <c r="DG366" s="21"/>
      <c r="DH366" s="21"/>
      <c r="DI366" s="21"/>
    </row>
    <row r="367" spans="2:113" s="123" customFormat="1">
      <c r="B367" s="125"/>
      <c r="D367" s="125"/>
      <c r="AA367" s="74"/>
      <c r="AE367" s="124"/>
      <c r="AI367" s="74"/>
      <c r="AM367" s="74"/>
      <c r="AY367" s="74"/>
      <c r="BC367" s="74"/>
      <c r="BG367" s="74"/>
      <c r="BK367" s="74"/>
      <c r="BO367" s="74"/>
      <c r="BW367" s="74"/>
      <c r="DF367" s="21"/>
      <c r="DG367" s="21"/>
      <c r="DH367" s="21"/>
      <c r="DI367" s="21"/>
    </row>
    <row r="368" spans="2:113" s="123" customFormat="1">
      <c r="B368" s="125"/>
      <c r="D368" s="125"/>
      <c r="AA368" s="74"/>
      <c r="AE368" s="124"/>
      <c r="AI368" s="74"/>
      <c r="AM368" s="74"/>
      <c r="AY368" s="74"/>
      <c r="BC368" s="74"/>
      <c r="BG368" s="74"/>
      <c r="BK368" s="74"/>
      <c r="BO368" s="74"/>
      <c r="BW368" s="74"/>
      <c r="DF368" s="21"/>
      <c r="DG368" s="21"/>
      <c r="DH368" s="21"/>
      <c r="DI368" s="21"/>
    </row>
    <row r="369" spans="2:113" s="123" customFormat="1">
      <c r="B369" s="125"/>
      <c r="D369" s="125"/>
      <c r="AA369" s="74"/>
      <c r="AE369" s="124"/>
      <c r="AI369" s="74"/>
      <c r="AM369" s="74"/>
      <c r="AY369" s="74"/>
      <c r="BC369" s="74"/>
      <c r="BG369" s="74"/>
      <c r="BK369" s="74"/>
      <c r="BO369" s="74"/>
      <c r="BW369" s="74"/>
      <c r="DF369" s="21"/>
      <c r="DG369" s="21"/>
      <c r="DH369" s="21"/>
      <c r="DI369" s="21"/>
    </row>
    <row r="370" spans="2:113" s="123" customFormat="1">
      <c r="B370" s="125"/>
      <c r="D370" s="125"/>
      <c r="AA370" s="74"/>
      <c r="AE370" s="124"/>
      <c r="AI370" s="74"/>
      <c r="AM370" s="74"/>
      <c r="AY370" s="74"/>
      <c r="BC370" s="74"/>
      <c r="BG370" s="74"/>
      <c r="BK370" s="74"/>
      <c r="BO370" s="74"/>
      <c r="BW370" s="74"/>
      <c r="DF370" s="21"/>
      <c r="DG370" s="21"/>
      <c r="DH370" s="21"/>
      <c r="DI370" s="21"/>
    </row>
    <row r="371" spans="2:113" s="123" customFormat="1">
      <c r="B371" s="125"/>
      <c r="D371" s="125"/>
      <c r="AA371" s="74"/>
      <c r="AE371" s="124"/>
      <c r="AI371" s="74"/>
      <c r="AM371" s="74"/>
      <c r="AY371" s="74"/>
      <c r="BC371" s="74"/>
      <c r="BG371" s="74"/>
      <c r="BK371" s="74"/>
      <c r="BO371" s="74"/>
      <c r="BW371" s="74"/>
      <c r="DF371" s="21"/>
      <c r="DG371" s="21"/>
      <c r="DH371" s="21"/>
      <c r="DI371" s="21"/>
    </row>
    <row r="372" spans="2:113" s="123" customFormat="1">
      <c r="B372" s="125"/>
      <c r="D372" s="125"/>
      <c r="AA372" s="74"/>
      <c r="AE372" s="124"/>
      <c r="AI372" s="74"/>
      <c r="AM372" s="74"/>
      <c r="AY372" s="74"/>
      <c r="BC372" s="74"/>
      <c r="BG372" s="74"/>
      <c r="BK372" s="74"/>
      <c r="BO372" s="74"/>
      <c r="BW372" s="74"/>
      <c r="DF372" s="21"/>
      <c r="DG372" s="21"/>
      <c r="DH372" s="21"/>
      <c r="DI372" s="21"/>
    </row>
    <row r="373" spans="2:113" s="123" customFormat="1">
      <c r="B373" s="125"/>
      <c r="D373" s="125"/>
      <c r="AA373" s="74"/>
      <c r="AE373" s="124"/>
      <c r="AI373" s="74"/>
      <c r="AM373" s="74"/>
      <c r="AY373" s="74"/>
      <c r="BC373" s="74"/>
      <c r="BG373" s="74"/>
      <c r="BK373" s="74"/>
      <c r="BO373" s="74"/>
      <c r="BW373" s="74"/>
      <c r="DF373" s="21"/>
      <c r="DG373" s="21"/>
      <c r="DH373" s="21"/>
      <c r="DI373" s="21"/>
    </row>
    <row r="374" spans="2:113" s="123" customFormat="1">
      <c r="B374" s="125"/>
      <c r="D374" s="125"/>
      <c r="AA374" s="74"/>
      <c r="AE374" s="124"/>
      <c r="AI374" s="74"/>
      <c r="AM374" s="74"/>
      <c r="AY374" s="74"/>
      <c r="BC374" s="74"/>
      <c r="BG374" s="74"/>
      <c r="BK374" s="74"/>
      <c r="BO374" s="74"/>
      <c r="BW374" s="74"/>
      <c r="DF374" s="21"/>
      <c r="DG374" s="21"/>
      <c r="DH374" s="21"/>
      <c r="DI374" s="21"/>
    </row>
    <row r="375" spans="2:113" s="123" customFormat="1">
      <c r="B375" s="125"/>
      <c r="D375" s="125"/>
      <c r="AA375" s="74"/>
      <c r="AE375" s="124"/>
      <c r="AI375" s="74"/>
      <c r="AM375" s="74"/>
      <c r="AY375" s="74"/>
      <c r="BC375" s="74"/>
      <c r="BG375" s="74"/>
      <c r="BK375" s="74"/>
      <c r="BO375" s="74"/>
      <c r="BW375" s="74"/>
      <c r="DF375" s="21"/>
      <c r="DG375" s="21"/>
      <c r="DH375" s="21"/>
      <c r="DI375" s="21"/>
    </row>
    <row r="376" spans="2:113" s="123" customFormat="1">
      <c r="B376" s="125"/>
      <c r="D376" s="125"/>
      <c r="AA376" s="74"/>
      <c r="AE376" s="124"/>
      <c r="AI376" s="74"/>
      <c r="AM376" s="74"/>
      <c r="AY376" s="74"/>
      <c r="BC376" s="74"/>
      <c r="BG376" s="74"/>
      <c r="BK376" s="74"/>
      <c r="BO376" s="74"/>
      <c r="BW376" s="74"/>
      <c r="DF376" s="21"/>
      <c r="DG376" s="21"/>
      <c r="DH376" s="21"/>
      <c r="DI376" s="21"/>
    </row>
    <row r="377" spans="2:113" s="123" customFormat="1">
      <c r="B377" s="125"/>
      <c r="D377" s="125"/>
      <c r="AA377" s="74"/>
      <c r="AE377" s="124"/>
      <c r="AI377" s="74"/>
      <c r="AM377" s="74"/>
      <c r="AY377" s="74"/>
      <c r="BC377" s="74"/>
      <c r="BG377" s="74"/>
      <c r="BK377" s="74"/>
      <c r="BO377" s="74"/>
      <c r="BW377" s="74"/>
      <c r="DF377" s="21"/>
      <c r="DG377" s="21"/>
      <c r="DH377" s="21"/>
      <c r="DI377" s="21"/>
    </row>
    <row r="378" spans="2:113" s="123" customFormat="1">
      <c r="B378" s="125"/>
      <c r="D378" s="125"/>
      <c r="AA378" s="74"/>
      <c r="AE378" s="124"/>
      <c r="AI378" s="74"/>
      <c r="AM378" s="74"/>
      <c r="AY378" s="74"/>
      <c r="BC378" s="74"/>
      <c r="BG378" s="74"/>
      <c r="BK378" s="74"/>
      <c r="BO378" s="74"/>
      <c r="BW378" s="74"/>
      <c r="DF378" s="21"/>
      <c r="DG378" s="21"/>
      <c r="DH378" s="21"/>
      <c r="DI378" s="21"/>
    </row>
    <row r="379" spans="2:113" s="123" customFormat="1">
      <c r="B379" s="125"/>
      <c r="D379" s="125"/>
      <c r="AA379" s="74"/>
      <c r="AE379" s="124"/>
      <c r="AI379" s="74"/>
      <c r="AM379" s="74"/>
      <c r="AY379" s="74"/>
      <c r="BC379" s="74"/>
      <c r="BG379" s="74"/>
      <c r="BK379" s="74"/>
      <c r="BO379" s="74"/>
      <c r="BW379" s="74"/>
      <c r="DF379" s="21"/>
      <c r="DG379" s="21"/>
      <c r="DH379" s="21"/>
      <c r="DI379" s="21"/>
    </row>
    <row r="380" spans="2:113" s="123" customFormat="1">
      <c r="B380" s="125"/>
      <c r="D380" s="125"/>
      <c r="AA380" s="74"/>
      <c r="AE380" s="124"/>
      <c r="AI380" s="74"/>
      <c r="AM380" s="74"/>
      <c r="AY380" s="74"/>
      <c r="BC380" s="74"/>
      <c r="BG380" s="74"/>
      <c r="BK380" s="74"/>
      <c r="BO380" s="74"/>
      <c r="BW380" s="74"/>
      <c r="DF380" s="21"/>
      <c r="DG380" s="21"/>
      <c r="DH380" s="21"/>
      <c r="DI380" s="21"/>
    </row>
    <row r="381" spans="2:113" s="123" customFormat="1">
      <c r="B381" s="125"/>
      <c r="D381" s="125"/>
      <c r="AA381" s="74"/>
      <c r="AE381" s="124"/>
      <c r="AI381" s="74"/>
      <c r="AM381" s="74"/>
      <c r="AY381" s="74"/>
      <c r="BC381" s="74"/>
      <c r="BG381" s="74"/>
      <c r="BK381" s="74"/>
      <c r="BO381" s="74"/>
      <c r="BW381" s="74"/>
      <c r="DF381" s="21"/>
      <c r="DG381" s="21"/>
      <c r="DH381" s="21"/>
      <c r="DI381" s="21"/>
    </row>
    <row r="382" spans="2:113" s="123" customFormat="1">
      <c r="B382" s="125"/>
      <c r="D382" s="125"/>
      <c r="AA382" s="74"/>
      <c r="AE382" s="124"/>
      <c r="AI382" s="74"/>
      <c r="AM382" s="74"/>
      <c r="AY382" s="74"/>
      <c r="BC382" s="74"/>
      <c r="BG382" s="74"/>
      <c r="BK382" s="74"/>
      <c r="BO382" s="74"/>
      <c r="BW382" s="74"/>
      <c r="DF382" s="21"/>
      <c r="DG382" s="21"/>
      <c r="DH382" s="21"/>
      <c r="DI382" s="21"/>
    </row>
    <row r="383" spans="2:113" s="123" customFormat="1">
      <c r="B383" s="125"/>
      <c r="D383" s="125"/>
      <c r="AA383" s="74"/>
      <c r="AE383" s="124"/>
      <c r="AI383" s="74"/>
      <c r="AM383" s="74"/>
      <c r="AY383" s="74"/>
      <c r="BC383" s="74"/>
      <c r="BG383" s="74"/>
      <c r="BK383" s="74"/>
      <c r="BO383" s="74"/>
      <c r="BW383" s="74"/>
      <c r="DF383" s="21"/>
      <c r="DG383" s="21"/>
      <c r="DH383" s="21"/>
      <c r="DI383" s="21"/>
    </row>
    <row r="384" spans="2:113" s="123" customFormat="1">
      <c r="B384" s="125"/>
      <c r="D384" s="125"/>
      <c r="AA384" s="74"/>
      <c r="AE384" s="124"/>
      <c r="AI384" s="74"/>
      <c r="AM384" s="74"/>
      <c r="AY384" s="74"/>
      <c r="BC384" s="74"/>
      <c r="BG384" s="74"/>
      <c r="BK384" s="74"/>
      <c r="BO384" s="74"/>
      <c r="BW384" s="74"/>
      <c r="DF384" s="21"/>
      <c r="DG384" s="21"/>
      <c r="DH384" s="21"/>
      <c r="DI384" s="21"/>
    </row>
    <row r="385" spans="2:113" s="123" customFormat="1">
      <c r="B385" s="125"/>
      <c r="D385" s="125"/>
      <c r="AA385" s="74"/>
      <c r="AE385" s="124"/>
      <c r="AI385" s="74"/>
      <c r="AM385" s="74"/>
      <c r="AY385" s="74"/>
      <c r="BC385" s="74"/>
      <c r="BG385" s="74"/>
      <c r="BK385" s="74"/>
      <c r="BO385" s="74"/>
      <c r="BW385" s="74"/>
      <c r="DF385" s="21"/>
      <c r="DG385" s="21"/>
      <c r="DH385" s="21"/>
      <c r="DI385" s="21"/>
    </row>
    <row r="386" spans="2:113" s="123" customFormat="1">
      <c r="B386" s="125"/>
      <c r="D386" s="125"/>
      <c r="AA386" s="74"/>
      <c r="AE386" s="124"/>
      <c r="AI386" s="74"/>
      <c r="AM386" s="74"/>
      <c r="AY386" s="74"/>
      <c r="BC386" s="74"/>
      <c r="BG386" s="74"/>
      <c r="BK386" s="74"/>
      <c r="BO386" s="74"/>
      <c r="BW386" s="74"/>
      <c r="DF386" s="21"/>
      <c r="DG386" s="21"/>
      <c r="DH386" s="21"/>
      <c r="DI386" s="21"/>
    </row>
    <row r="387" spans="2:113" s="123" customFormat="1">
      <c r="B387" s="125"/>
      <c r="D387" s="125"/>
      <c r="AA387" s="74"/>
      <c r="AE387" s="124"/>
      <c r="AI387" s="74"/>
      <c r="AM387" s="74"/>
      <c r="AY387" s="74"/>
      <c r="BC387" s="74"/>
      <c r="BG387" s="74"/>
      <c r="BK387" s="74"/>
      <c r="BO387" s="74"/>
      <c r="BW387" s="74"/>
      <c r="DF387" s="21"/>
      <c r="DG387" s="21"/>
      <c r="DH387" s="21"/>
      <c r="DI387" s="21"/>
    </row>
    <row r="388" spans="2:113" s="123" customFormat="1">
      <c r="B388" s="125"/>
      <c r="D388" s="125"/>
      <c r="AA388" s="74"/>
      <c r="AE388" s="124"/>
      <c r="AI388" s="74"/>
      <c r="AM388" s="74"/>
      <c r="AY388" s="74"/>
      <c r="BC388" s="74"/>
      <c r="BG388" s="74"/>
      <c r="BK388" s="74"/>
      <c r="BO388" s="74"/>
      <c r="BW388" s="74"/>
      <c r="DF388" s="21"/>
      <c r="DG388" s="21"/>
      <c r="DH388" s="21"/>
      <c r="DI388" s="21"/>
    </row>
    <row r="389" spans="2:113" s="123" customFormat="1">
      <c r="B389" s="125"/>
      <c r="D389" s="125"/>
      <c r="AA389" s="74"/>
      <c r="AE389" s="124"/>
      <c r="AI389" s="74"/>
      <c r="AM389" s="74"/>
      <c r="AY389" s="74"/>
      <c r="BC389" s="74"/>
      <c r="BG389" s="74"/>
      <c r="BK389" s="74"/>
      <c r="BO389" s="74"/>
      <c r="BW389" s="74"/>
      <c r="DF389" s="21"/>
      <c r="DG389" s="21"/>
      <c r="DH389" s="21"/>
      <c r="DI389" s="21"/>
    </row>
    <row r="390" spans="2:113" s="123" customFormat="1">
      <c r="B390" s="125"/>
      <c r="D390" s="125"/>
      <c r="AA390" s="74"/>
      <c r="AE390" s="124"/>
      <c r="AI390" s="74"/>
      <c r="AM390" s="74"/>
      <c r="AY390" s="74"/>
      <c r="BC390" s="74"/>
      <c r="BG390" s="74"/>
      <c r="BK390" s="74"/>
      <c r="BO390" s="74"/>
      <c r="BW390" s="74"/>
      <c r="DF390" s="21"/>
      <c r="DG390" s="21"/>
      <c r="DH390" s="21"/>
      <c r="DI390" s="21"/>
    </row>
    <row r="391" spans="2:113" s="123" customFormat="1">
      <c r="B391" s="125"/>
      <c r="D391" s="125"/>
      <c r="AA391" s="74"/>
      <c r="AE391" s="124"/>
      <c r="AI391" s="74"/>
      <c r="AM391" s="74"/>
      <c r="AY391" s="74"/>
      <c r="BC391" s="74"/>
      <c r="BG391" s="74"/>
      <c r="BK391" s="74"/>
      <c r="BO391" s="74"/>
      <c r="BW391" s="74"/>
      <c r="DF391" s="21"/>
      <c r="DG391" s="21"/>
      <c r="DH391" s="21"/>
      <c r="DI391" s="21"/>
    </row>
    <row r="392" spans="2:113" s="123" customFormat="1">
      <c r="B392" s="125"/>
      <c r="D392" s="125"/>
      <c r="AA392" s="74"/>
      <c r="AE392" s="124"/>
      <c r="AI392" s="74"/>
      <c r="AM392" s="74"/>
      <c r="AY392" s="74"/>
      <c r="BC392" s="74"/>
      <c r="BG392" s="74"/>
      <c r="BK392" s="74"/>
      <c r="BO392" s="74"/>
      <c r="BW392" s="74"/>
      <c r="DF392" s="21"/>
      <c r="DG392" s="21"/>
      <c r="DH392" s="21"/>
      <c r="DI392" s="21"/>
    </row>
    <row r="393" spans="2:113" s="123" customFormat="1">
      <c r="B393" s="125"/>
      <c r="D393" s="125"/>
      <c r="AA393" s="74"/>
      <c r="AE393" s="124"/>
      <c r="AI393" s="74"/>
      <c r="AM393" s="74"/>
      <c r="AY393" s="74"/>
      <c r="BC393" s="74"/>
      <c r="BG393" s="74"/>
      <c r="BK393" s="74"/>
      <c r="BO393" s="74"/>
      <c r="BW393" s="74"/>
      <c r="DF393" s="21"/>
      <c r="DG393" s="21"/>
      <c r="DH393" s="21"/>
      <c r="DI393" s="21"/>
    </row>
    <row r="394" spans="2:113" s="123" customFormat="1">
      <c r="B394" s="125"/>
      <c r="D394" s="125"/>
      <c r="AA394" s="74"/>
      <c r="AE394" s="124"/>
      <c r="AI394" s="74"/>
      <c r="AM394" s="74"/>
      <c r="AY394" s="74"/>
      <c r="BC394" s="74"/>
      <c r="BG394" s="74"/>
      <c r="BK394" s="74"/>
      <c r="BO394" s="74"/>
      <c r="BW394" s="74"/>
      <c r="DF394" s="21"/>
      <c r="DG394" s="21"/>
      <c r="DH394" s="21"/>
      <c r="DI394" s="21"/>
    </row>
    <row r="395" spans="2:113" s="123" customFormat="1">
      <c r="B395" s="125"/>
      <c r="D395" s="125"/>
      <c r="AA395" s="74"/>
      <c r="AE395" s="124"/>
      <c r="AI395" s="74"/>
      <c r="AM395" s="74"/>
      <c r="AY395" s="74"/>
      <c r="BC395" s="74"/>
      <c r="BG395" s="74"/>
      <c r="BK395" s="74"/>
      <c r="BO395" s="74"/>
      <c r="BW395" s="74"/>
      <c r="DF395" s="21"/>
      <c r="DG395" s="21"/>
      <c r="DH395" s="21"/>
      <c r="DI395" s="21"/>
    </row>
    <row r="396" spans="2:113" s="123" customFormat="1">
      <c r="B396" s="125"/>
      <c r="D396" s="125"/>
      <c r="AA396" s="74"/>
      <c r="AE396" s="124"/>
      <c r="AI396" s="74"/>
      <c r="AM396" s="74"/>
      <c r="AY396" s="74"/>
      <c r="BC396" s="74"/>
      <c r="BG396" s="74"/>
      <c r="BK396" s="74"/>
      <c r="BO396" s="74"/>
      <c r="BW396" s="74"/>
      <c r="DF396" s="21"/>
      <c r="DG396" s="21"/>
      <c r="DH396" s="21"/>
      <c r="DI396" s="21"/>
    </row>
    <row r="397" spans="2:113" s="123" customFormat="1">
      <c r="B397" s="125"/>
      <c r="D397" s="125"/>
      <c r="AA397" s="74"/>
      <c r="AE397" s="124"/>
      <c r="AI397" s="74"/>
      <c r="AM397" s="74"/>
      <c r="AY397" s="74"/>
      <c r="BC397" s="74"/>
      <c r="BG397" s="74"/>
      <c r="BK397" s="74"/>
      <c r="BO397" s="74"/>
      <c r="BW397" s="74"/>
      <c r="DF397" s="21"/>
      <c r="DG397" s="21"/>
      <c r="DH397" s="21"/>
      <c r="DI397" s="21"/>
    </row>
    <row r="398" spans="2:113" s="123" customFormat="1">
      <c r="B398" s="125"/>
      <c r="D398" s="125"/>
      <c r="AA398" s="74"/>
      <c r="AE398" s="124"/>
      <c r="AI398" s="74"/>
      <c r="AM398" s="74"/>
      <c r="AY398" s="74"/>
      <c r="BC398" s="74"/>
      <c r="BG398" s="74"/>
      <c r="BK398" s="74"/>
      <c r="BO398" s="74"/>
      <c r="BW398" s="74"/>
      <c r="DF398" s="21"/>
      <c r="DG398" s="21"/>
      <c r="DH398" s="21"/>
      <c r="DI398" s="21"/>
    </row>
    <row r="399" spans="2:113" s="123" customFormat="1">
      <c r="B399" s="125"/>
      <c r="D399" s="125"/>
      <c r="AA399" s="74"/>
      <c r="AE399" s="124"/>
      <c r="AI399" s="74"/>
      <c r="AM399" s="74"/>
      <c r="AY399" s="74"/>
      <c r="BC399" s="74"/>
      <c r="BG399" s="74"/>
      <c r="BK399" s="74"/>
      <c r="BO399" s="74"/>
      <c r="BW399" s="74"/>
      <c r="DF399" s="21"/>
      <c r="DG399" s="21"/>
      <c r="DH399" s="21"/>
      <c r="DI399" s="21"/>
    </row>
    <row r="400" spans="2:113" s="123" customFormat="1">
      <c r="B400" s="125"/>
      <c r="D400" s="125"/>
      <c r="AA400" s="74"/>
      <c r="AE400" s="124"/>
      <c r="AI400" s="74"/>
      <c r="AM400" s="74"/>
      <c r="AY400" s="74"/>
      <c r="BC400" s="74"/>
      <c r="BG400" s="74"/>
      <c r="BK400" s="74"/>
      <c r="BO400" s="74"/>
      <c r="BW400" s="74"/>
      <c r="DF400" s="21"/>
      <c r="DG400" s="21"/>
      <c r="DH400" s="21"/>
      <c r="DI400" s="21"/>
    </row>
    <row r="401" spans="2:113" s="123" customFormat="1">
      <c r="B401" s="125"/>
      <c r="D401" s="125"/>
      <c r="AA401" s="74"/>
      <c r="AE401" s="124"/>
      <c r="AI401" s="74"/>
      <c r="AM401" s="74"/>
      <c r="AY401" s="74"/>
      <c r="BC401" s="74"/>
      <c r="BG401" s="74"/>
      <c r="BK401" s="74"/>
      <c r="BO401" s="74"/>
      <c r="BW401" s="74"/>
      <c r="DF401" s="21"/>
      <c r="DG401" s="21"/>
      <c r="DH401" s="21"/>
      <c r="DI401" s="21"/>
    </row>
    <row r="402" spans="2:113" s="123" customFormat="1">
      <c r="B402" s="125"/>
      <c r="D402" s="125"/>
      <c r="AA402" s="74"/>
      <c r="AE402" s="124"/>
      <c r="AI402" s="74"/>
      <c r="AM402" s="74"/>
      <c r="AY402" s="74"/>
      <c r="BC402" s="74"/>
      <c r="BG402" s="74"/>
      <c r="BK402" s="74"/>
      <c r="BO402" s="74"/>
      <c r="BW402" s="74"/>
      <c r="DF402" s="21"/>
      <c r="DG402" s="21"/>
      <c r="DH402" s="21"/>
      <c r="DI402" s="21"/>
    </row>
    <row r="403" spans="2:113" s="123" customFormat="1">
      <c r="B403" s="125"/>
      <c r="D403" s="125"/>
      <c r="AA403" s="74"/>
      <c r="AE403" s="124"/>
      <c r="AI403" s="74"/>
      <c r="AM403" s="74"/>
      <c r="AY403" s="74"/>
      <c r="BC403" s="74"/>
      <c r="BG403" s="74"/>
      <c r="BK403" s="74"/>
      <c r="BO403" s="74"/>
      <c r="BW403" s="74"/>
      <c r="DF403" s="21"/>
      <c r="DG403" s="21"/>
      <c r="DH403" s="21"/>
      <c r="DI403" s="21"/>
    </row>
    <row r="404" spans="2:113" s="123" customFormat="1">
      <c r="B404" s="125"/>
      <c r="D404" s="125"/>
      <c r="AA404" s="74"/>
      <c r="AE404" s="124"/>
      <c r="AI404" s="74"/>
      <c r="AM404" s="74"/>
      <c r="AY404" s="74"/>
      <c r="BC404" s="74"/>
      <c r="BG404" s="74"/>
      <c r="BK404" s="74"/>
      <c r="BO404" s="74"/>
      <c r="BW404" s="74"/>
      <c r="DF404" s="21"/>
      <c r="DG404" s="21"/>
      <c r="DH404" s="21"/>
      <c r="DI404" s="21"/>
    </row>
    <row r="405" spans="2:113" s="123" customFormat="1">
      <c r="B405" s="125"/>
      <c r="D405" s="125"/>
      <c r="AA405" s="74"/>
      <c r="AE405" s="124"/>
      <c r="AI405" s="74"/>
      <c r="AM405" s="74"/>
      <c r="AY405" s="74"/>
      <c r="BC405" s="74"/>
      <c r="BG405" s="74"/>
      <c r="BK405" s="74"/>
      <c r="BO405" s="74"/>
      <c r="BW405" s="74"/>
      <c r="DF405" s="21"/>
      <c r="DG405" s="21"/>
      <c r="DH405" s="21"/>
      <c r="DI405" s="21"/>
    </row>
    <row r="406" spans="2:113" s="123" customFormat="1">
      <c r="B406" s="125"/>
      <c r="D406" s="125"/>
      <c r="AA406" s="74"/>
      <c r="AE406" s="124"/>
      <c r="AI406" s="74"/>
      <c r="AM406" s="74"/>
      <c r="AY406" s="74"/>
      <c r="BC406" s="74"/>
      <c r="BG406" s="74"/>
      <c r="BK406" s="74"/>
      <c r="BO406" s="74"/>
      <c r="BW406" s="74"/>
      <c r="DF406" s="21"/>
      <c r="DG406" s="21"/>
      <c r="DH406" s="21"/>
      <c r="DI406" s="21"/>
    </row>
    <row r="407" spans="2:113" s="123" customFormat="1">
      <c r="B407" s="125"/>
      <c r="D407" s="125"/>
      <c r="AA407" s="74"/>
      <c r="AE407" s="124"/>
      <c r="AI407" s="74"/>
      <c r="AM407" s="74"/>
      <c r="AY407" s="74"/>
      <c r="BC407" s="74"/>
      <c r="BG407" s="74"/>
      <c r="BK407" s="74"/>
      <c r="BO407" s="74"/>
      <c r="BW407" s="74"/>
      <c r="DF407" s="21"/>
      <c r="DG407" s="21"/>
      <c r="DH407" s="21"/>
      <c r="DI407" s="21"/>
    </row>
    <row r="408" spans="2:113" s="123" customFormat="1">
      <c r="B408" s="125"/>
      <c r="D408" s="125"/>
      <c r="AA408" s="74"/>
      <c r="AE408" s="124"/>
      <c r="AI408" s="74"/>
      <c r="AM408" s="74"/>
      <c r="AY408" s="74"/>
      <c r="BC408" s="74"/>
      <c r="BG408" s="74"/>
      <c r="BK408" s="74"/>
      <c r="BO408" s="74"/>
      <c r="BW408" s="74"/>
      <c r="DF408" s="21"/>
      <c r="DG408" s="21"/>
      <c r="DH408" s="21"/>
      <c r="DI408" s="21"/>
    </row>
    <row r="409" spans="2:113" s="123" customFormat="1">
      <c r="B409" s="125"/>
      <c r="D409" s="125"/>
      <c r="AA409" s="74"/>
      <c r="AE409" s="124"/>
      <c r="AI409" s="74"/>
      <c r="AM409" s="74"/>
      <c r="AY409" s="74"/>
      <c r="BC409" s="74"/>
      <c r="BG409" s="74"/>
      <c r="BK409" s="74"/>
      <c r="BO409" s="74"/>
      <c r="BW409" s="74"/>
      <c r="DF409" s="21"/>
      <c r="DG409" s="21"/>
      <c r="DH409" s="21"/>
      <c r="DI409" s="21"/>
    </row>
    <row r="410" spans="2:113" s="123" customFormat="1">
      <c r="B410" s="125"/>
      <c r="D410" s="125"/>
      <c r="AA410" s="74"/>
      <c r="AE410" s="124"/>
      <c r="AI410" s="74"/>
      <c r="AM410" s="74"/>
      <c r="AY410" s="74"/>
      <c r="BC410" s="74"/>
      <c r="BG410" s="74"/>
      <c r="BK410" s="74"/>
      <c r="BO410" s="74"/>
      <c r="BW410" s="74"/>
      <c r="DF410" s="21"/>
      <c r="DG410" s="21"/>
      <c r="DH410" s="21"/>
      <c r="DI410" s="21"/>
    </row>
    <row r="411" spans="2:113" s="123" customFormat="1">
      <c r="B411" s="125"/>
      <c r="D411" s="125"/>
      <c r="AA411" s="74"/>
      <c r="AE411" s="124"/>
      <c r="AI411" s="74"/>
      <c r="AM411" s="74"/>
      <c r="AY411" s="74"/>
      <c r="BC411" s="74"/>
      <c r="BG411" s="74"/>
      <c r="BK411" s="74"/>
      <c r="BO411" s="74"/>
      <c r="BW411" s="74"/>
      <c r="DF411" s="21"/>
      <c r="DG411" s="21"/>
      <c r="DH411" s="21"/>
      <c r="DI411" s="21"/>
    </row>
    <row r="412" spans="2:113" s="123" customFormat="1">
      <c r="B412" s="125"/>
      <c r="D412" s="125"/>
      <c r="AA412" s="74"/>
      <c r="AE412" s="124"/>
      <c r="AI412" s="74"/>
      <c r="AM412" s="74"/>
      <c r="AY412" s="74"/>
      <c r="BC412" s="74"/>
      <c r="BG412" s="74"/>
      <c r="BK412" s="74"/>
      <c r="BO412" s="74"/>
      <c r="BW412" s="74"/>
      <c r="DF412" s="21"/>
      <c r="DG412" s="21"/>
      <c r="DH412" s="21"/>
      <c r="DI412" s="21"/>
    </row>
    <row r="413" spans="2:113" s="123" customFormat="1">
      <c r="B413" s="125"/>
      <c r="D413" s="125"/>
      <c r="AA413" s="74"/>
      <c r="AE413" s="124"/>
      <c r="AI413" s="74"/>
      <c r="AM413" s="74"/>
      <c r="AY413" s="74"/>
      <c r="BC413" s="74"/>
      <c r="BG413" s="74"/>
      <c r="BK413" s="74"/>
      <c r="BO413" s="74"/>
      <c r="BW413" s="74"/>
      <c r="DF413" s="21"/>
      <c r="DG413" s="21"/>
      <c r="DH413" s="21"/>
      <c r="DI413" s="21"/>
    </row>
    <row r="414" spans="2:113" s="123" customFormat="1">
      <c r="B414" s="125"/>
      <c r="D414" s="125"/>
      <c r="AA414" s="74"/>
      <c r="AE414" s="124"/>
      <c r="AI414" s="74"/>
      <c r="AM414" s="74"/>
      <c r="AY414" s="74"/>
      <c r="BC414" s="74"/>
      <c r="BG414" s="74"/>
      <c r="BK414" s="74"/>
      <c r="BO414" s="74"/>
      <c r="BW414" s="74"/>
      <c r="DF414" s="21"/>
      <c r="DG414" s="21"/>
      <c r="DH414" s="21"/>
      <c r="DI414" s="21"/>
    </row>
    <row r="415" spans="2:113" s="123" customFormat="1">
      <c r="B415" s="125"/>
      <c r="D415" s="125"/>
      <c r="AA415" s="74"/>
      <c r="AE415" s="124"/>
      <c r="AI415" s="74"/>
      <c r="AM415" s="74"/>
      <c r="AY415" s="74"/>
      <c r="BC415" s="74"/>
      <c r="BG415" s="74"/>
      <c r="BK415" s="74"/>
      <c r="BO415" s="74"/>
      <c r="BW415" s="74"/>
      <c r="DF415" s="21"/>
      <c r="DG415" s="21"/>
      <c r="DH415" s="21"/>
      <c r="DI415" s="21"/>
    </row>
    <row r="416" spans="2:113" s="123" customFormat="1">
      <c r="B416" s="125"/>
      <c r="D416" s="125"/>
      <c r="AA416" s="74"/>
      <c r="AE416" s="124"/>
      <c r="AI416" s="74"/>
      <c r="AM416" s="74"/>
      <c r="AY416" s="74"/>
      <c r="BC416" s="74"/>
      <c r="BG416" s="74"/>
      <c r="BK416" s="74"/>
      <c r="BO416" s="74"/>
      <c r="BW416" s="74"/>
      <c r="DF416" s="21"/>
      <c r="DG416" s="21"/>
      <c r="DH416" s="21"/>
      <c r="DI416" s="21"/>
    </row>
    <row r="417" spans="2:113" s="123" customFormat="1">
      <c r="B417" s="125"/>
      <c r="D417" s="125"/>
      <c r="AA417" s="74"/>
      <c r="AE417" s="124"/>
      <c r="AI417" s="74"/>
      <c r="AM417" s="74"/>
      <c r="AY417" s="74"/>
      <c r="BC417" s="74"/>
      <c r="BG417" s="74"/>
      <c r="BK417" s="74"/>
      <c r="BO417" s="74"/>
      <c r="BW417" s="74"/>
      <c r="DF417" s="21"/>
      <c r="DG417" s="21"/>
      <c r="DH417" s="21"/>
      <c r="DI417" s="21"/>
    </row>
    <row r="418" spans="2:113" s="123" customFormat="1">
      <c r="B418" s="125"/>
      <c r="D418" s="125"/>
      <c r="AA418" s="74"/>
      <c r="AE418" s="124"/>
      <c r="AI418" s="74"/>
      <c r="AM418" s="74"/>
      <c r="AY418" s="74"/>
      <c r="BC418" s="74"/>
      <c r="BG418" s="74"/>
      <c r="BK418" s="74"/>
      <c r="BO418" s="74"/>
      <c r="BW418" s="74"/>
      <c r="DF418" s="21"/>
      <c r="DG418" s="21"/>
      <c r="DH418" s="21"/>
      <c r="DI418" s="21"/>
    </row>
    <row r="419" spans="2:113" s="123" customFormat="1">
      <c r="B419" s="125"/>
      <c r="D419" s="125"/>
      <c r="AA419" s="74"/>
      <c r="AE419" s="124"/>
      <c r="AI419" s="74"/>
      <c r="AM419" s="74"/>
      <c r="AY419" s="74"/>
      <c r="BC419" s="74"/>
      <c r="BG419" s="74"/>
      <c r="BK419" s="74"/>
      <c r="BO419" s="74"/>
      <c r="BW419" s="74"/>
      <c r="DF419" s="21"/>
      <c r="DG419" s="21"/>
      <c r="DH419" s="21"/>
      <c r="DI419" s="21"/>
    </row>
    <row r="420" spans="2:113" s="123" customFormat="1">
      <c r="B420" s="125"/>
      <c r="D420" s="125"/>
      <c r="AA420" s="74"/>
      <c r="AE420" s="124"/>
      <c r="AI420" s="74"/>
      <c r="AM420" s="74"/>
      <c r="AY420" s="74"/>
      <c r="BC420" s="74"/>
      <c r="BG420" s="74"/>
      <c r="BK420" s="74"/>
      <c r="BO420" s="74"/>
      <c r="BW420" s="74"/>
      <c r="DF420" s="21"/>
      <c r="DG420" s="21"/>
      <c r="DH420" s="21"/>
      <c r="DI420" s="21"/>
    </row>
    <row r="421" spans="2:113" s="123" customFormat="1">
      <c r="B421" s="125"/>
      <c r="D421" s="125"/>
      <c r="AA421" s="74"/>
      <c r="AE421" s="124"/>
      <c r="AI421" s="74"/>
      <c r="AM421" s="74"/>
      <c r="AY421" s="74"/>
      <c r="BC421" s="74"/>
      <c r="BG421" s="74"/>
      <c r="BK421" s="74"/>
      <c r="BO421" s="74"/>
      <c r="BW421" s="74"/>
      <c r="DF421" s="21"/>
      <c r="DG421" s="21"/>
      <c r="DH421" s="21"/>
      <c r="DI421" s="21"/>
    </row>
    <row r="422" spans="2:113" s="123" customFormat="1">
      <c r="B422" s="125"/>
      <c r="D422" s="125"/>
      <c r="AA422" s="74"/>
      <c r="AE422" s="124"/>
      <c r="AI422" s="74"/>
      <c r="AM422" s="74"/>
      <c r="AY422" s="74"/>
      <c r="BC422" s="74"/>
      <c r="BG422" s="74"/>
      <c r="BK422" s="74"/>
      <c r="BO422" s="74"/>
      <c r="BW422" s="74"/>
      <c r="DF422" s="21"/>
      <c r="DG422" s="21"/>
      <c r="DH422" s="21"/>
      <c r="DI422" s="21"/>
    </row>
    <row r="423" spans="2:113" s="123" customFormat="1">
      <c r="B423" s="125"/>
      <c r="D423" s="125"/>
      <c r="AA423" s="74"/>
      <c r="AE423" s="124"/>
      <c r="AI423" s="74"/>
      <c r="AM423" s="74"/>
      <c r="AY423" s="74"/>
      <c r="BC423" s="74"/>
      <c r="BG423" s="74"/>
      <c r="BK423" s="74"/>
      <c r="BO423" s="74"/>
      <c r="BW423" s="74"/>
      <c r="DF423" s="21"/>
      <c r="DG423" s="21"/>
      <c r="DH423" s="21"/>
      <c r="DI423" s="21"/>
    </row>
    <row r="424" spans="2:113" s="123" customFormat="1">
      <c r="B424" s="125"/>
      <c r="D424" s="125"/>
      <c r="AA424" s="74"/>
      <c r="AE424" s="124"/>
      <c r="AI424" s="74"/>
      <c r="AM424" s="74"/>
      <c r="AY424" s="74"/>
      <c r="BC424" s="74"/>
      <c r="BG424" s="74"/>
      <c r="BK424" s="74"/>
      <c r="BO424" s="74"/>
      <c r="BW424" s="74"/>
      <c r="DF424" s="21"/>
      <c r="DG424" s="21"/>
      <c r="DH424" s="21"/>
      <c r="DI424" s="21"/>
    </row>
    <row r="425" spans="2:113" s="123" customFormat="1">
      <c r="B425" s="125"/>
      <c r="D425" s="125"/>
      <c r="AA425" s="74"/>
      <c r="AE425" s="124"/>
      <c r="AI425" s="74"/>
      <c r="AM425" s="74"/>
      <c r="AY425" s="74"/>
      <c r="BC425" s="74"/>
      <c r="BG425" s="74"/>
      <c r="BK425" s="74"/>
      <c r="BO425" s="74"/>
      <c r="BW425" s="74"/>
      <c r="DF425" s="21"/>
      <c r="DG425" s="21"/>
      <c r="DH425" s="21"/>
      <c r="DI425" s="21"/>
    </row>
    <row r="426" spans="2:113" s="123" customFormat="1">
      <c r="B426" s="125"/>
      <c r="D426" s="125"/>
      <c r="AA426" s="74"/>
      <c r="AE426" s="124"/>
      <c r="AI426" s="74"/>
      <c r="AM426" s="74"/>
      <c r="AY426" s="74"/>
      <c r="BC426" s="74"/>
      <c r="BG426" s="74"/>
      <c r="BK426" s="74"/>
      <c r="BO426" s="74"/>
      <c r="BW426" s="74"/>
      <c r="DF426" s="21"/>
      <c r="DG426" s="21"/>
      <c r="DH426" s="21"/>
      <c r="DI426" s="21"/>
    </row>
    <row r="427" spans="2:113" s="123" customFormat="1">
      <c r="B427" s="125"/>
      <c r="D427" s="125"/>
      <c r="AA427" s="74"/>
      <c r="AE427" s="124"/>
      <c r="AI427" s="74"/>
      <c r="AM427" s="74"/>
      <c r="AY427" s="74"/>
      <c r="BC427" s="74"/>
      <c r="BG427" s="74"/>
      <c r="BK427" s="74"/>
      <c r="BO427" s="74"/>
      <c r="BW427" s="74"/>
      <c r="DF427" s="21"/>
      <c r="DG427" s="21"/>
      <c r="DH427" s="21"/>
      <c r="DI427" s="21"/>
    </row>
    <row r="428" spans="2:113" s="123" customFormat="1">
      <c r="B428" s="125"/>
      <c r="D428" s="125"/>
      <c r="AA428" s="74"/>
      <c r="AE428" s="124"/>
      <c r="AI428" s="74"/>
      <c r="AM428" s="74"/>
      <c r="AY428" s="74"/>
      <c r="BC428" s="74"/>
      <c r="BG428" s="74"/>
      <c r="BK428" s="74"/>
      <c r="BO428" s="74"/>
      <c r="BW428" s="74"/>
      <c r="DF428" s="21"/>
      <c r="DG428" s="21"/>
      <c r="DH428" s="21"/>
      <c r="DI428" s="21"/>
    </row>
    <row r="429" spans="2:113" s="123" customFormat="1">
      <c r="B429" s="125"/>
      <c r="D429" s="125"/>
      <c r="AA429" s="74"/>
      <c r="AE429" s="124"/>
      <c r="AI429" s="74"/>
      <c r="AM429" s="74"/>
      <c r="AY429" s="74"/>
      <c r="BC429" s="74"/>
      <c r="BG429" s="74"/>
      <c r="BK429" s="74"/>
      <c r="BO429" s="74"/>
      <c r="BW429" s="74"/>
      <c r="DF429" s="21"/>
      <c r="DG429" s="21"/>
      <c r="DH429" s="21"/>
      <c r="DI429" s="21"/>
    </row>
    <row r="430" spans="2:113" s="123" customFormat="1">
      <c r="B430" s="125"/>
      <c r="D430" s="125"/>
      <c r="AA430" s="74"/>
      <c r="AE430" s="124"/>
      <c r="AI430" s="74"/>
      <c r="AM430" s="74"/>
      <c r="AY430" s="74"/>
      <c r="BC430" s="74"/>
      <c r="BG430" s="74"/>
      <c r="BK430" s="74"/>
      <c r="BO430" s="74"/>
      <c r="BW430" s="74"/>
      <c r="DF430" s="21"/>
      <c r="DG430" s="21"/>
      <c r="DH430" s="21"/>
      <c r="DI430" s="21"/>
    </row>
    <row r="431" spans="2:113" s="123" customFormat="1">
      <c r="B431" s="125"/>
      <c r="D431" s="125"/>
      <c r="AA431" s="74"/>
      <c r="AE431" s="124"/>
      <c r="AI431" s="74"/>
      <c r="AM431" s="74"/>
      <c r="AY431" s="74"/>
      <c r="BC431" s="74"/>
      <c r="BG431" s="74"/>
      <c r="BK431" s="74"/>
      <c r="BO431" s="74"/>
      <c r="BW431" s="74"/>
      <c r="DF431" s="21"/>
      <c r="DG431" s="21"/>
      <c r="DH431" s="21"/>
      <c r="DI431" s="21"/>
    </row>
    <row r="432" spans="2:113" s="123" customFormat="1">
      <c r="B432" s="125"/>
      <c r="D432" s="125"/>
      <c r="AA432" s="74"/>
      <c r="AE432" s="124"/>
      <c r="AI432" s="74"/>
      <c r="AM432" s="74"/>
      <c r="AY432" s="74"/>
      <c r="BC432" s="74"/>
      <c r="BG432" s="74"/>
      <c r="BK432" s="74"/>
      <c r="BO432" s="74"/>
      <c r="BW432" s="74"/>
      <c r="DF432" s="21"/>
      <c r="DG432" s="21"/>
      <c r="DH432" s="21"/>
      <c r="DI432" s="21"/>
    </row>
    <row r="433" spans="2:113" s="123" customFormat="1">
      <c r="B433" s="125"/>
      <c r="D433" s="125"/>
      <c r="AA433" s="74"/>
      <c r="AE433" s="124"/>
      <c r="AI433" s="74"/>
      <c r="AM433" s="74"/>
      <c r="AY433" s="74"/>
      <c r="BC433" s="74"/>
      <c r="BG433" s="74"/>
      <c r="BK433" s="74"/>
      <c r="BO433" s="74"/>
      <c r="BW433" s="74"/>
      <c r="DF433" s="21"/>
      <c r="DG433" s="21"/>
      <c r="DH433" s="21"/>
      <c r="DI433" s="21"/>
    </row>
    <row r="434" spans="2:113" s="123" customFormat="1">
      <c r="B434" s="125"/>
      <c r="D434" s="125"/>
      <c r="AA434" s="74"/>
      <c r="AE434" s="124"/>
      <c r="AI434" s="74"/>
      <c r="AM434" s="74"/>
      <c r="AY434" s="74"/>
      <c r="BC434" s="74"/>
      <c r="BG434" s="74"/>
      <c r="BK434" s="74"/>
      <c r="BO434" s="74"/>
      <c r="BW434" s="74"/>
      <c r="DF434" s="21"/>
      <c r="DG434" s="21"/>
      <c r="DH434" s="21"/>
      <c r="DI434" s="21"/>
    </row>
    <row r="435" spans="2:113" s="123" customFormat="1">
      <c r="B435" s="125"/>
      <c r="D435" s="125"/>
      <c r="AA435" s="74"/>
      <c r="AE435" s="124"/>
      <c r="AI435" s="74"/>
      <c r="AM435" s="74"/>
      <c r="AY435" s="74"/>
      <c r="BC435" s="74"/>
      <c r="BG435" s="74"/>
      <c r="BK435" s="74"/>
      <c r="BO435" s="74"/>
      <c r="BW435" s="74"/>
      <c r="DF435" s="21"/>
      <c r="DG435" s="21"/>
      <c r="DH435" s="21"/>
      <c r="DI435" s="21"/>
    </row>
    <row r="436" spans="2:113" s="123" customFormat="1">
      <c r="B436" s="125"/>
      <c r="D436" s="125"/>
      <c r="AA436" s="74"/>
      <c r="AE436" s="124"/>
      <c r="AI436" s="74"/>
      <c r="AM436" s="74"/>
      <c r="AY436" s="74"/>
      <c r="BC436" s="74"/>
      <c r="BG436" s="74"/>
      <c r="BK436" s="74"/>
      <c r="BO436" s="74"/>
      <c r="BW436" s="74"/>
      <c r="DF436" s="21"/>
      <c r="DG436" s="21"/>
      <c r="DH436" s="21"/>
      <c r="DI436" s="21"/>
    </row>
    <row r="437" spans="2:113" s="123" customFormat="1">
      <c r="B437" s="125"/>
      <c r="D437" s="125"/>
      <c r="AA437" s="74"/>
      <c r="AE437" s="124"/>
      <c r="AI437" s="74"/>
      <c r="AM437" s="74"/>
      <c r="AY437" s="74"/>
      <c r="BC437" s="74"/>
      <c r="BG437" s="74"/>
      <c r="BK437" s="74"/>
      <c r="BO437" s="74"/>
      <c r="BW437" s="74"/>
      <c r="DF437" s="21"/>
      <c r="DG437" s="21"/>
      <c r="DH437" s="21"/>
      <c r="DI437" s="21"/>
    </row>
    <row r="438" spans="2:113" s="123" customFormat="1">
      <c r="B438" s="125"/>
      <c r="D438" s="125"/>
      <c r="AA438" s="74"/>
      <c r="AE438" s="124"/>
      <c r="AI438" s="74"/>
      <c r="AM438" s="74"/>
      <c r="AY438" s="74"/>
      <c r="BC438" s="74"/>
      <c r="BG438" s="74"/>
      <c r="BK438" s="74"/>
      <c r="BO438" s="74"/>
      <c r="BW438" s="74"/>
      <c r="DF438" s="21"/>
      <c r="DG438" s="21"/>
      <c r="DH438" s="21"/>
      <c r="DI438" s="21"/>
    </row>
    <row r="439" spans="2:113" s="123" customFormat="1">
      <c r="B439" s="125"/>
      <c r="D439" s="125"/>
      <c r="AA439" s="74"/>
      <c r="AE439" s="124"/>
      <c r="AI439" s="74"/>
      <c r="AM439" s="74"/>
      <c r="AY439" s="74"/>
      <c r="BC439" s="74"/>
      <c r="BG439" s="74"/>
      <c r="BK439" s="74"/>
      <c r="BO439" s="74"/>
      <c r="BW439" s="74"/>
      <c r="DF439" s="21"/>
      <c r="DG439" s="21"/>
      <c r="DH439" s="21"/>
      <c r="DI439" s="21"/>
    </row>
    <row r="440" spans="2:113" s="123" customFormat="1">
      <c r="B440" s="125"/>
      <c r="D440" s="125"/>
      <c r="AA440" s="74"/>
      <c r="AE440" s="124"/>
      <c r="AI440" s="74"/>
      <c r="AM440" s="74"/>
      <c r="AY440" s="74"/>
      <c r="BC440" s="74"/>
      <c r="BG440" s="74"/>
      <c r="BK440" s="74"/>
      <c r="BO440" s="74"/>
      <c r="BW440" s="74"/>
      <c r="DF440" s="21"/>
      <c r="DG440" s="21"/>
      <c r="DH440" s="21"/>
      <c r="DI440" s="21"/>
    </row>
    <row r="441" spans="2:113" s="123" customFormat="1">
      <c r="B441" s="125"/>
      <c r="D441" s="125"/>
      <c r="AA441" s="74"/>
      <c r="AE441" s="124"/>
      <c r="AI441" s="74"/>
      <c r="AM441" s="74"/>
      <c r="AY441" s="74"/>
      <c r="BC441" s="74"/>
      <c r="BG441" s="74"/>
      <c r="BK441" s="74"/>
      <c r="BO441" s="74"/>
      <c r="BW441" s="74"/>
      <c r="DF441" s="21"/>
      <c r="DG441" s="21"/>
      <c r="DH441" s="21"/>
      <c r="DI441" s="21"/>
    </row>
    <row r="442" spans="2:113" s="123" customFormat="1">
      <c r="B442" s="125"/>
      <c r="D442" s="125"/>
      <c r="AA442" s="74"/>
      <c r="AE442" s="124"/>
      <c r="AI442" s="74"/>
      <c r="AM442" s="74"/>
      <c r="AY442" s="74"/>
      <c r="BC442" s="74"/>
      <c r="BG442" s="74"/>
      <c r="BK442" s="74"/>
      <c r="BO442" s="74"/>
      <c r="BW442" s="74"/>
      <c r="DF442" s="21"/>
      <c r="DG442" s="21"/>
      <c r="DH442" s="21"/>
      <c r="DI442" s="21"/>
    </row>
    <row r="443" spans="2:113" s="123" customFormat="1">
      <c r="B443" s="125"/>
      <c r="D443" s="125"/>
      <c r="AA443" s="74"/>
      <c r="AE443" s="124"/>
      <c r="AI443" s="74"/>
      <c r="AM443" s="74"/>
      <c r="AY443" s="74"/>
      <c r="BC443" s="74"/>
      <c r="BG443" s="74"/>
      <c r="BK443" s="74"/>
      <c r="BO443" s="74"/>
      <c r="BW443" s="74"/>
      <c r="DF443" s="21"/>
      <c r="DG443" s="21"/>
      <c r="DH443" s="21"/>
      <c r="DI443" s="21"/>
    </row>
    <row r="444" spans="2:113" s="123" customFormat="1">
      <c r="B444" s="125"/>
      <c r="D444" s="125"/>
      <c r="AA444" s="74"/>
      <c r="AE444" s="124"/>
      <c r="AI444" s="74"/>
      <c r="AM444" s="74"/>
      <c r="AY444" s="74"/>
      <c r="BC444" s="74"/>
      <c r="BG444" s="74"/>
      <c r="BK444" s="74"/>
      <c r="BO444" s="74"/>
      <c r="BW444" s="74"/>
      <c r="DF444" s="21"/>
      <c r="DG444" s="21"/>
      <c r="DH444" s="21"/>
      <c r="DI444" s="21"/>
    </row>
    <row r="445" spans="2:113" s="123" customFormat="1">
      <c r="B445" s="125"/>
      <c r="D445" s="125"/>
      <c r="AA445" s="74"/>
      <c r="AE445" s="124"/>
      <c r="AI445" s="74"/>
      <c r="AM445" s="74"/>
      <c r="AY445" s="74"/>
      <c r="BC445" s="74"/>
      <c r="BG445" s="74"/>
      <c r="BK445" s="74"/>
      <c r="BO445" s="74"/>
      <c r="BW445" s="74"/>
      <c r="DF445" s="21"/>
      <c r="DG445" s="21"/>
      <c r="DH445" s="21"/>
      <c r="DI445" s="21"/>
    </row>
    <row r="446" spans="2:113" s="123" customFormat="1">
      <c r="B446" s="125"/>
      <c r="D446" s="125"/>
      <c r="AA446" s="74"/>
      <c r="AE446" s="124"/>
      <c r="AI446" s="74"/>
      <c r="AM446" s="74"/>
      <c r="AY446" s="74"/>
      <c r="BC446" s="74"/>
      <c r="BG446" s="74"/>
      <c r="BK446" s="74"/>
      <c r="BO446" s="74"/>
      <c r="BW446" s="74"/>
      <c r="DF446" s="21"/>
      <c r="DG446" s="21"/>
      <c r="DH446" s="21"/>
      <c r="DI446" s="21"/>
    </row>
    <row r="447" spans="2:113" s="123" customFormat="1">
      <c r="B447" s="125"/>
      <c r="D447" s="125"/>
      <c r="AA447" s="74"/>
      <c r="AE447" s="124"/>
      <c r="AI447" s="74"/>
      <c r="AM447" s="74"/>
      <c r="AY447" s="74"/>
      <c r="BC447" s="74"/>
      <c r="BG447" s="74"/>
      <c r="BK447" s="74"/>
      <c r="BO447" s="74"/>
      <c r="BW447" s="74"/>
      <c r="DF447" s="21"/>
      <c r="DG447" s="21"/>
      <c r="DH447" s="21"/>
      <c r="DI447" s="21"/>
    </row>
    <row r="448" spans="2:113" s="123" customFormat="1">
      <c r="B448" s="125"/>
      <c r="D448" s="125"/>
      <c r="AA448" s="74"/>
      <c r="AE448" s="124"/>
      <c r="AI448" s="74"/>
      <c r="AM448" s="74"/>
      <c r="AY448" s="74"/>
      <c r="BC448" s="74"/>
      <c r="BG448" s="74"/>
      <c r="BK448" s="74"/>
      <c r="BO448" s="74"/>
      <c r="BW448" s="74"/>
      <c r="DF448" s="21"/>
      <c r="DG448" s="21"/>
      <c r="DH448" s="21"/>
      <c r="DI448" s="21"/>
    </row>
    <row r="449" spans="2:113" s="123" customFormat="1">
      <c r="B449" s="125"/>
      <c r="D449" s="125"/>
      <c r="AA449" s="74"/>
      <c r="AE449" s="124"/>
      <c r="AI449" s="74"/>
      <c r="AM449" s="74"/>
      <c r="AY449" s="74"/>
      <c r="BC449" s="74"/>
      <c r="BG449" s="74"/>
      <c r="BK449" s="74"/>
      <c r="BO449" s="74"/>
      <c r="BW449" s="74"/>
      <c r="DF449" s="21"/>
      <c r="DG449" s="21"/>
      <c r="DH449" s="21"/>
      <c r="DI449" s="21"/>
    </row>
    <row r="450" spans="2:113" s="123" customFormat="1">
      <c r="B450" s="125"/>
      <c r="D450" s="125"/>
      <c r="AA450" s="74"/>
      <c r="AE450" s="124"/>
      <c r="AI450" s="74"/>
      <c r="AM450" s="74"/>
      <c r="AY450" s="74"/>
      <c r="BC450" s="74"/>
      <c r="BG450" s="74"/>
      <c r="BK450" s="74"/>
      <c r="BO450" s="74"/>
      <c r="BW450" s="74"/>
      <c r="DF450" s="21"/>
      <c r="DG450" s="21"/>
      <c r="DH450" s="21"/>
      <c r="DI450" s="21"/>
    </row>
    <row r="451" spans="2:113" s="123" customFormat="1">
      <c r="B451" s="125"/>
      <c r="D451" s="125"/>
      <c r="AA451" s="74"/>
      <c r="AE451" s="124"/>
      <c r="AI451" s="74"/>
      <c r="AM451" s="74"/>
      <c r="AY451" s="74"/>
      <c r="BC451" s="74"/>
      <c r="BG451" s="74"/>
      <c r="BK451" s="74"/>
      <c r="BO451" s="74"/>
      <c r="BW451" s="74"/>
      <c r="DF451" s="21"/>
      <c r="DG451" s="21"/>
      <c r="DH451" s="21"/>
      <c r="DI451" s="21"/>
    </row>
    <row r="452" spans="2:113" s="123" customFormat="1">
      <c r="B452" s="125"/>
      <c r="D452" s="125"/>
      <c r="AA452" s="74"/>
      <c r="AE452" s="124"/>
      <c r="AI452" s="74"/>
      <c r="AM452" s="74"/>
      <c r="AY452" s="74"/>
      <c r="BC452" s="74"/>
      <c r="BG452" s="74"/>
      <c r="BK452" s="74"/>
      <c r="BO452" s="74"/>
      <c r="BW452" s="74"/>
      <c r="DF452" s="21"/>
      <c r="DG452" s="21"/>
      <c r="DH452" s="21"/>
      <c r="DI452" s="21"/>
    </row>
    <row r="453" spans="2:113" s="123" customFormat="1">
      <c r="B453" s="125"/>
      <c r="D453" s="125"/>
      <c r="AA453" s="74"/>
      <c r="AE453" s="124"/>
      <c r="AI453" s="74"/>
      <c r="AM453" s="74"/>
      <c r="AY453" s="74"/>
      <c r="BC453" s="74"/>
      <c r="BG453" s="74"/>
      <c r="BK453" s="74"/>
      <c r="BO453" s="74"/>
      <c r="BW453" s="74"/>
      <c r="DF453" s="21"/>
      <c r="DG453" s="21"/>
      <c r="DH453" s="21"/>
      <c r="DI453" s="21"/>
    </row>
    <row r="454" spans="2:113" s="123" customFormat="1">
      <c r="B454" s="125"/>
      <c r="D454" s="125"/>
      <c r="AA454" s="74"/>
      <c r="AE454" s="124"/>
      <c r="AI454" s="74"/>
      <c r="AM454" s="74"/>
      <c r="AY454" s="74"/>
      <c r="BC454" s="74"/>
      <c r="BG454" s="74"/>
      <c r="BK454" s="74"/>
      <c r="BO454" s="74"/>
      <c r="BW454" s="74"/>
      <c r="DF454" s="21"/>
      <c r="DG454" s="21"/>
      <c r="DH454" s="21"/>
      <c r="DI454" s="21"/>
    </row>
    <row r="455" spans="2:113" s="123" customFormat="1">
      <c r="B455" s="125"/>
      <c r="D455" s="125"/>
      <c r="AA455" s="74"/>
      <c r="AE455" s="124"/>
      <c r="AI455" s="74"/>
      <c r="AM455" s="74"/>
      <c r="AY455" s="74"/>
      <c r="BC455" s="74"/>
      <c r="BG455" s="74"/>
      <c r="BK455" s="74"/>
      <c r="BO455" s="74"/>
      <c r="BW455" s="74"/>
      <c r="DF455" s="21"/>
      <c r="DG455" s="21"/>
      <c r="DH455" s="21"/>
      <c r="DI455" s="21"/>
    </row>
    <row r="456" spans="2:113" s="123" customFormat="1">
      <c r="B456" s="125"/>
      <c r="D456" s="125"/>
      <c r="AA456" s="74"/>
      <c r="AE456" s="124"/>
      <c r="AI456" s="74"/>
      <c r="AM456" s="74"/>
      <c r="AY456" s="74"/>
      <c r="BC456" s="74"/>
      <c r="BG456" s="74"/>
      <c r="BK456" s="74"/>
      <c r="BO456" s="74"/>
      <c r="BW456" s="74"/>
      <c r="DF456" s="21"/>
      <c r="DG456" s="21"/>
      <c r="DH456" s="21"/>
      <c r="DI456" s="21"/>
    </row>
    <row r="457" spans="2:113" s="123" customFormat="1">
      <c r="B457" s="125"/>
      <c r="D457" s="125"/>
      <c r="AA457" s="74"/>
      <c r="AE457" s="124"/>
      <c r="AI457" s="74"/>
      <c r="AM457" s="74"/>
      <c r="AY457" s="74"/>
      <c r="BC457" s="74"/>
      <c r="BG457" s="74"/>
      <c r="BK457" s="74"/>
      <c r="BO457" s="74"/>
      <c r="BW457" s="74"/>
      <c r="DF457" s="21"/>
      <c r="DG457" s="21"/>
      <c r="DH457" s="21"/>
      <c r="DI457" s="21"/>
    </row>
    <row r="458" spans="2:113" s="123" customFormat="1">
      <c r="B458" s="125"/>
      <c r="D458" s="125"/>
      <c r="AA458" s="74"/>
      <c r="AE458" s="124"/>
      <c r="AI458" s="74"/>
      <c r="AM458" s="74"/>
      <c r="AY458" s="74"/>
      <c r="BC458" s="74"/>
      <c r="BG458" s="74"/>
      <c r="BK458" s="74"/>
      <c r="BO458" s="74"/>
      <c r="BW458" s="74"/>
      <c r="DF458" s="21"/>
      <c r="DG458" s="21"/>
      <c r="DH458" s="21"/>
      <c r="DI458" s="21"/>
    </row>
    <row r="459" spans="2:113" s="123" customFormat="1">
      <c r="B459" s="125"/>
      <c r="D459" s="125"/>
      <c r="AA459" s="74"/>
      <c r="AE459" s="124"/>
      <c r="AI459" s="74"/>
      <c r="AM459" s="74"/>
      <c r="AY459" s="74"/>
      <c r="BC459" s="74"/>
      <c r="BG459" s="74"/>
      <c r="BK459" s="74"/>
      <c r="BO459" s="74"/>
      <c r="BW459" s="74"/>
      <c r="DF459" s="21"/>
      <c r="DG459" s="21"/>
      <c r="DH459" s="21"/>
      <c r="DI459" s="21"/>
    </row>
    <row r="460" spans="2:113" s="123" customFormat="1">
      <c r="B460" s="125"/>
      <c r="D460" s="125"/>
      <c r="AA460" s="74"/>
      <c r="AE460" s="124"/>
      <c r="AI460" s="74"/>
      <c r="AM460" s="74"/>
      <c r="AY460" s="74"/>
      <c r="BC460" s="74"/>
      <c r="BG460" s="74"/>
      <c r="BK460" s="74"/>
      <c r="BO460" s="74"/>
      <c r="BW460" s="74"/>
      <c r="DF460" s="21"/>
      <c r="DG460" s="21"/>
      <c r="DH460" s="21"/>
      <c r="DI460" s="21"/>
    </row>
    <row r="461" spans="2:113" s="123" customFormat="1">
      <c r="B461" s="125"/>
      <c r="D461" s="125"/>
      <c r="AA461" s="74"/>
      <c r="AE461" s="124"/>
      <c r="AI461" s="74"/>
      <c r="AM461" s="74"/>
      <c r="AY461" s="74"/>
      <c r="BC461" s="74"/>
      <c r="BG461" s="74"/>
      <c r="BK461" s="74"/>
      <c r="BO461" s="74"/>
      <c r="BW461" s="74"/>
      <c r="DF461" s="21"/>
      <c r="DG461" s="21"/>
      <c r="DH461" s="21"/>
      <c r="DI461" s="21"/>
    </row>
    <row r="462" spans="2:113" s="123" customFormat="1">
      <c r="B462" s="125"/>
      <c r="D462" s="125"/>
      <c r="AA462" s="74"/>
      <c r="AE462" s="124"/>
      <c r="AI462" s="74"/>
      <c r="AM462" s="74"/>
      <c r="AY462" s="74"/>
      <c r="BC462" s="74"/>
      <c r="BG462" s="74"/>
      <c r="BK462" s="74"/>
      <c r="BO462" s="74"/>
      <c r="BW462" s="74"/>
      <c r="DF462" s="21"/>
      <c r="DG462" s="21"/>
      <c r="DH462" s="21"/>
      <c r="DI462" s="21"/>
    </row>
    <row r="463" spans="2:113" s="123" customFormat="1">
      <c r="B463" s="125"/>
      <c r="D463" s="125"/>
      <c r="AA463" s="74"/>
      <c r="AE463" s="124"/>
      <c r="AI463" s="74"/>
      <c r="AM463" s="74"/>
      <c r="AY463" s="74"/>
      <c r="BC463" s="74"/>
      <c r="BG463" s="74"/>
      <c r="BK463" s="74"/>
      <c r="BO463" s="74"/>
      <c r="BW463" s="74"/>
      <c r="DF463" s="21"/>
      <c r="DG463" s="21"/>
      <c r="DH463" s="21"/>
      <c r="DI463" s="21"/>
    </row>
    <row r="464" spans="2:113" s="123" customFormat="1">
      <c r="B464" s="125"/>
      <c r="D464" s="125"/>
      <c r="AA464" s="74"/>
      <c r="AE464" s="124"/>
      <c r="AI464" s="74"/>
      <c r="AM464" s="74"/>
      <c r="AY464" s="74"/>
      <c r="BC464" s="74"/>
      <c r="BG464" s="74"/>
      <c r="BK464" s="74"/>
      <c r="BO464" s="74"/>
      <c r="BW464" s="74"/>
      <c r="DF464" s="21"/>
      <c r="DG464" s="21"/>
      <c r="DH464" s="21"/>
      <c r="DI464" s="21"/>
    </row>
    <row r="465" spans="2:113" s="123" customFormat="1">
      <c r="B465" s="125"/>
      <c r="D465" s="125"/>
      <c r="AA465" s="74"/>
      <c r="AE465" s="124"/>
      <c r="AI465" s="74"/>
      <c r="AM465" s="74"/>
      <c r="AY465" s="74"/>
      <c r="BC465" s="74"/>
      <c r="BG465" s="74"/>
      <c r="BK465" s="74"/>
      <c r="BO465" s="74"/>
      <c r="BW465" s="74"/>
      <c r="DF465" s="21"/>
      <c r="DG465" s="21"/>
      <c r="DH465" s="21"/>
      <c r="DI465" s="21"/>
    </row>
    <row r="466" spans="2:113" s="123" customFormat="1">
      <c r="B466" s="125"/>
      <c r="D466" s="125"/>
      <c r="AA466" s="74"/>
      <c r="AE466" s="124"/>
      <c r="AI466" s="74"/>
      <c r="AM466" s="74"/>
      <c r="AY466" s="74"/>
      <c r="BC466" s="74"/>
      <c r="BG466" s="74"/>
      <c r="BK466" s="74"/>
      <c r="BO466" s="74"/>
      <c r="BW466" s="74"/>
      <c r="DF466" s="21"/>
      <c r="DG466" s="21"/>
      <c r="DH466" s="21"/>
      <c r="DI466" s="21"/>
    </row>
    <row r="467" spans="2:113" s="123" customFormat="1">
      <c r="B467" s="125"/>
      <c r="D467" s="125"/>
      <c r="AA467" s="74"/>
      <c r="AE467" s="124"/>
      <c r="AI467" s="74"/>
      <c r="AM467" s="74"/>
      <c r="AY467" s="74"/>
      <c r="BC467" s="74"/>
      <c r="BG467" s="74"/>
      <c r="BK467" s="74"/>
      <c r="BO467" s="74"/>
      <c r="BW467" s="74"/>
      <c r="DF467" s="21"/>
      <c r="DG467" s="21"/>
      <c r="DH467" s="21"/>
      <c r="DI467" s="21"/>
    </row>
    <row r="468" spans="2:113" s="123" customFormat="1">
      <c r="B468" s="125"/>
      <c r="D468" s="125"/>
      <c r="AA468" s="74"/>
      <c r="AE468" s="124"/>
      <c r="AI468" s="74"/>
      <c r="AM468" s="74"/>
      <c r="AY468" s="74"/>
      <c r="BC468" s="74"/>
      <c r="BG468" s="74"/>
      <c r="BK468" s="74"/>
      <c r="BO468" s="74"/>
      <c r="BW468" s="74"/>
      <c r="DF468" s="21"/>
      <c r="DG468" s="21"/>
      <c r="DH468" s="21"/>
      <c r="DI468" s="21"/>
    </row>
    <row r="469" spans="2:113" s="123" customFormat="1">
      <c r="B469" s="125"/>
      <c r="D469" s="125"/>
      <c r="AA469" s="74"/>
      <c r="AE469" s="124"/>
      <c r="AI469" s="74"/>
      <c r="AM469" s="74"/>
      <c r="AY469" s="74"/>
      <c r="BC469" s="74"/>
      <c r="BG469" s="74"/>
      <c r="BK469" s="74"/>
      <c r="BO469" s="74"/>
      <c r="BW469" s="74"/>
      <c r="DF469" s="21"/>
      <c r="DG469" s="21"/>
      <c r="DH469" s="21"/>
      <c r="DI469" s="21"/>
    </row>
    <row r="470" spans="2:113" s="123" customFormat="1">
      <c r="B470" s="125"/>
      <c r="D470" s="125"/>
      <c r="AA470" s="74"/>
      <c r="AE470" s="124"/>
      <c r="AI470" s="74"/>
      <c r="AM470" s="74"/>
      <c r="AY470" s="74"/>
      <c r="BC470" s="74"/>
      <c r="BG470" s="74"/>
      <c r="BK470" s="74"/>
      <c r="BO470" s="74"/>
      <c r="BW470" s="74"/>
      <c r="DF470" s="21"/>
      <c r="DG470" s="21"/>
      <c r="DH470" s="21"/>
      <c r="DI470" s="21"/>
    </row>
    <row r="471" spans="2:113" s="123" customFormat="1">
      <c r="B471" s="125"/>
      <c r="D471" s="125"/>
      <c r="AA471" s="74"/>
      <c r="AE471" s="124"/>
      <c r="AI471" s="74"/>
      <c r="AM471" s="74"/>
      <c r="AY471" s="74"/>
      <c r="BC471" s="74"/>
      <c r="BG471" s="74"/>
      <c r="BK471" s="74"/>
      <c r="BO471" s="74"/>
      <c r="BW471" s="74"/>
      <c r="DF471" s="21"/>
      <c r="DG471" s="21"/>
      <c r="DH471" s="21"/>
      <c r="DI471" s="21"/>
    </row>
    <row r="472" spans="2:113" s="123" customFormat="1">
      <c r="B472" s="125"/>
      <c r="D472" s="125"/>
      <c r="AA472" s="74"/>
      <c r="AE472" s="124"/>
      <c r="AI472" s="74"/>
      <c r="AM472" s="74"/>
      <c r="AY472" s="74"/>
      <c r="BC472" s="74"/>
      <c r="BG472" s="74"/>
      <c r="BK472" s="74"/>
      <c r="BO472" s="74"/>
      <c r="BW472" s="74"/>
      <c r="DF472" s="21"/>
      <c r="DG472" s="21"/>
      <c r="DH472" s="21"/>
      <c r="DI472" s="21"/>
    </row>
    <row r="473" spans="2:113" s="123" customFormat="1">
      <c r="B473" s="125"/>
      <c r="D473" s="125"/>
      <c r="AA473" s="74"/>
      <c r="AE473" s="124"/>
      <c r="AI473" s="74"/>
      <c r="AM473" s="74"/>
      <c r="AY473" s="74"/>
      <c r="BC473" s="74"/>
      <c r="BG473" s="74"/>
      <c r="BK473" s="74"/>
      <c r="BO473" s="74"/>
      <c r="BW473" s="74"/>
      <c r="DF473" s="21"/>
      <c r="DG473" s="21"/>
      <c r="DH473" s="21"/>
      <c r="DI473" s="21"/>
    </row>
    <row r="474" spans="2:113" s="123" customFormat="1">
      <c r="B474" s="125"/>
      <c r="D474" s="125"/>
      <c r="AA474" s="74"/>
      <c r="AE474" s="124"/>
      <c r="AI474" s="74"/>
      <c r="AM474" s="74"/>
      <c r="AY474" s="74"/>
      <c r="BC474" s="74"/>
      <c r="BG474" s="74"/>
      <c r="BK474" s="74"/>
      <c r="BO474" s="74"/>
      <c r="BW474" s="74"/>
      <c r="DF474" s="21"/>
      <c r="DG474" s="21"/>
      <c r="DH474" s="21"/>
      <c r="DI474" s="21"/>
    </row>
    <row r="475" spans="2:113" s="123" customFormat="1">
      <c r="B475" s="125"/>
      <c r="D475" s="125"/>
      <c r="AA475" s="74"/>
      <c r="AE475" s="124"/>
      <c r="AI475" s="74"/>
      <c r="AM475" s="74"/>
      <c r="AY475" s="74"/>
      <c r="BC475" s="74"/>
      <c r="BG475" s="74"/>
      <c r="BK475" s="74"/>
      <c r="BO475" s="74"/>
      <c r="BW475" s="74"/>
      <c r="DF475" s="21"/>
      <c r="DG475" s="21"/>
      <c r="DH475" s="21"/>
      <c r="DI475" s="21"/>
    </row>
    <row r="476" spans="2:113" s="123" customFormat="1">
      <c r="B476" s="125"/>
      <c r="D476" s="125"/>
      <c r="AA476" s="74"/>
      <c r="AE476" s="124"/>
      <c r="AI476" s="74"/>
      <c r="AM476" s="74"/>
      <c r="AY476" s="74"/>
      <c r="BC476" s="74"/>
      <c r="BG476" s="74"/>
      <c r="BK476" s="74"/>
      <c r="BO476" s="74"/>
      <c r="BW476" s="74"/>
      <c r="DF476" s="21"/>
      <c r="DG476" s="21"/>
      <c r="DH476" s="21"/>
      <c r="DI476" s="21"/>
    </row>
    <row r="477" spans="2:113" s="123" customFormat="1">
      <c r="B477" s="125"/>
      <c r="D477" s="125"/>
      <c r="AA477" s="74"/>
      <c r="AE477" s="124"/>
      <c r="AI477" s="74"/>
      <c r="AM477" s="74"/>
      <c r="AY477" s="74"/>
      <c r="BC477" s="74"/>
      <c r="BG477" s="74"/>
      <c r="BK477" s="74"/>
      <c r="BO477" s="74"/>
      <c r="BW477" s="74"/>
      <c r="DF477" s="21"/>
      <c r="DG477" s="21"/>
      <c r="DH477" s="21"/>
      <c r="DI477" s="21"/>
    </row>
    <row r="478" spans="2:113" s="123" customFormat="1">
      <c r="B478" s="125"/>
      <c r="D478" s="125"/>
      <c r="AA478" s="74"/>
      <c r="AE478" s="124"/>
      <c r="AI478" s="74"/>
      <c r="AM478" s="74"/>
      <c r="AY478" s="74"/>
      <c r="BC478" s="74"/>
      <c r="BG478" s="74"/>
      <c r="BK478" s="74"/>
      <c r="BO478" s="74"/>
      <c r="BW478" s="74"/>
      <c r="DF478" s="21"/>
      <c r="DG478" s="21"/>
      <c r="DH478" s="21"/>
      <c r="DI478" s="21"/>
    </row>
    <row r="479" spans="2:113" s="123" customFormat="1">
      <c r="B479" s="125"/>
      <c r="D479" s="125"/>
      <c r="AA479" s="74"/>
      <c r="AE479" s="124"/>
      <c r="AI479" s="74"/>
      <c r="AM479" s="74"/>
      <c r="AY479" s="74"/>
      <c r="BC479" s="74"/>
      <c r="BG479" s="74"/>
      <c r="BK479" s="74"/>
      <c r="BO479" s="74"/>
      <c r="BW479" s="74"/>
      <c r="DF479" s="21"/>
      <c r="DG479" s="21"/>
      <c r="DH479" s="21"/>
      <c r="DI479" s="21"/>
    </row>
    <row r="480" spans="2:113" s="123" customFormat="1">
      <c r="B480" s="125"/>
      <c r="D480" s="125"/>
      <c r="AA480" s="74"/>
      <c r="AE480" s="124"/>
      <c r="AI480" s="74"/>
      <c r="AM480" s="74"/>
      <c r="AY480" s="74"/>
      <c r="BC480" s="74"/>
      <c r="BG480" s="74"/>
      <c r="BK480" s="74"/>
      <c r="BO480" s="74"/>
      <c r="BW480" s="74"/>
      <c r="DF480" s="21"/>
      <c r="DG480" s="21"/>
      <c r="DH480" s="21"/>
      <c r="DI480" s="21"/>
    </row>
    <row r="481" spans="2:113" s="123" customFormat="1">
      <c r="B481" s="125"/>
      <c r="D481" s="125"/>
      <c r="AA481" s="74"/>
      <c r="AE481" s="124"/>
      <c r="AI481" s="74"/>
      <c r="AM481" s="74"/>
      <c r="AY481" s="74"/>
      <c r="BC481" s="74"/>
      <c r="BG481" s="74"/>
      <c r="BK481" s="74"/>
      <c r="BO481" s="74"/>
      <c r="BW481" s="74"/>
      <c r="DF481" s="21"/>
      <c r="DG481" s="21"/>
      <c r="DH481" s="21"/>
      <c r="DI481" s="21"/>
    </row>
    <row r="482" spans="2:113" s="123" customFormat="1">
      <c r="B482" s="125"/>
      <c r="D482" s="125"/>
      <c r="AA482" s="74"/>
      <c r="AE482" s="124"/>
      <c r="AI482" s="74"/>
      <c r="AM482" s="74"/>
      <c r="AY482" s="74"/>
      <c r="BC482" s="74"/>
      <c r="BG482" s="74"/>
      <c r="BK482" s="74"/>
      <c r="BO482" s="74"/>
      <c r="BW482" s="74"/>
      <c r="DF482" s="21"/>
      <c r="DG482" s="21"/>
      <c r="DH482" s="21"/>
      <c r="DI482" s="21"/>
    </row>
    <row r="483" spans="2:113" s="123" customFormat="1">
      <c r="B483" s="125"/>
      <c r="D483" s="125"/>
      <c r="AA483" s="74"/>
      <c r="AE483" s="124"/>
      <c r="AI483" s="74"/>
      <c r="AM483" s="74"/>
      <c r="AY483" s="74"/>
      <c r="BC483" s="74"/>
      <c r="BG483" s="74"/>
      <c r="BK483" s="74"/>
      <c r="BO483" s="74"/>
      <c r="BW483" s="74"/>
      <c r="DF483" s="21"/>
      <c r="DG483" s="21"/>
      <c r="DH483" s="21"/>
      <c r="DI483" s="21"/>
    </row>
    <row r="484" spans="2:113" s="123" customFormat="1">
      <c r="B484" s="125"/>
      <c r="D484" s="125"/>
      <c r="AA484" s="74"/>
      <c r="AE484" s="124"/>
      <c r="AI484" s="74"/>
      <c r="AM484" s="74"/>
      <c r="AY484" s="74"/>
      <c r="BC484" s="74"/>
      <c r="BG484" s="74"/>
      <c r="BK484" s="74"/>
      <c r="BO484" s="74"/>
      <c r="BW484" s="74"/>
      <c r="DF484" s="21"/>
      <c r="DG484" s="21"/>
      <c r="DH484" s="21"/>
      <c r="DI484" s="21"/>
    </row>
    <row r="485" spans="2:113" s="123" customFormat="1">
      <c r="B485" s="125"/>
      <c r="D485" s="125"/>
      <c r="AA485" s="74"/>
      <c r="AE485" s="124"/>
      <c r="AI485" s="74"/>
      <c r="AM485" s="74"/>
      <c r="AY485" s="74"/>
      <c r="BC485" s="74"/>
      <c r="BG485" s="74"/>
      <c r="BK485" s="74"/>
      <c r="BO485" s="74"/>
      <c r="BW485" s="74"/>
      <c r="DF485" s="21"/>
      <c r="DG485" s="21"/>
      <c r="DH485" s="21"/>
      <c r="DI485" s="21"/>
    </row>
    <row r="486" spans="2:113" s="123" customFormat="1">
      <c r="B486" s="125"/>
      <c r="D486" s="125"/>
      <c r="AA486" s="74"/>
      <c r="AE486" s="124"/>
      <c r="AI486" s="74"/>
      <c r="AM486" s="74"/>
      <c r="AY486" s="74"/>
      <c r="BC486" s="74"/>
      <c r="BG486" s="74"/>
      <c r="BK486" s="74"/>
      <c r="BO486" s="74"/>
      <c r="BW486" s="74"/>
      <c r="DF486" s="21"/>
      <c r="DG486" s="21"/>
      <c r="DH486" s="21"/>
      <c r="DI486" s="21"/>
    </row>
    <row r="487" spans="2:113" s="123" customFormat="1">
      <c r="B487" s="125"/>
      <c r="D487" s="125"/>
      <c r="AA487" s="74"/>
      <c r="AE487" s="124"/>
      <c r="AI487" s="74"/>
      <c r="AM487" s="74"/>
      <c r="AY487" s="74"/>
      <c r="BC487" s="74"/>
      <c r="BG487" s="74"/>
      <c r="BK487" s="74"/>
      <c r="BO487" s="74"/>
      <c r="BW487" s="74"/>
      <c r="DF487" s="21"/>
      <c r="DG487" s="21"/>
      <c r="DH487" s="21"/>
      <c r="DI487" s="21"/>
    </row>
    <row r="488" spans="2:113" s="123" customFormat="1">
      <c r="B488" s="125"/>
      <c r="D488" s="125"/>
      <c r="AA488" s="74"/>
      <c r="AE488" s="124"/>
      <c r="AI488" s="74"/>
      <c r="AM488" s="74"/>
      <c r="AY488" s="74"/>
      <c r="BC488" s="74"/>
      <c r="BG488" s="74"/>
      <c r="BK488" s="74"/>
      <c r="BO488" s="74"/>
      <c r="BW488" s="74"/>
      <c r="DF488" s="21"/>
      <c r="DG488" s="21"/>
      <c r="DH488" s="21"/>
      <c r="DI488" s="21"/>
    </row>
    <row r="489" spans="2:113" s="123" customFormat="1">
      <c r="B489" s="125"/>
      <c r="D489" s="125"/>
      <c r="AA489" s="74"/>
      <c r="AE489" s="124"/>
      <c r="AI489" s="74"/>
      <c r="AM489" s="74"/>
      <c r="AY489" s="74"/>
      <c r="BC489" s="74"/>
      <c r="BG489" s="74"/>
      <c r="BK489" s="74"/>
      <c r="BO489" s="74"/>
      <c r="BW489" s="74"/>
      <c r="DF489" s="21"/>
      <c r="DG489" s="21"/>
      <c r="DH489" s="21"/>
      <c r="DI489" s="21"/>
    </row>
    <row r="490" spans="2:113" s="123" customFormat="1">
      <c r="B490" s="125"/>
      <c r="D490" s="125"/>
      <c r="AA490" s="74"/>
      <c r="AE490" s="124"/>
      <c r="AI490" s="74"/>
      <c r="AM490" s="74"/>
      <c r="AY490" s="74"/>
      <c r="BC490" s="74"/>
      <c r="BG490" s="74"/>
      <c r="BK490" s="74"/>
      <c r="BO490" s="74"/>
      <c r="BW490" s="74"/>
      <c r="DF490" s="21"/>
      <c r="DG490" s="21"/>
      <c r="DH490" s="21"/>
      <c r="DI490" s="21"/>
    </row>
    <row r="491" spans="2:113" s="123" customFormat="1">
      <c r="B491" s="125"/>
      <c r="D491" s="125"/>
      <c r="AA491" s="74"/>
      <c r="AE491" s="124"/>
      <c r="AI491" s="74"/>
      <c r="AM491" s="74"/>
      <c r="AY491" s="74"/>
      <c r="BC491" s="74"/>
      <c r="BG491" s="74"/>
      <c r="BK491" s="74"/>
      <c r="BO491" s="74"/>
      <c r="BW491" s="74"/>
      <c r="DF491" s="21"/>
      <c r="DG491" s="21"/>
      <c r="DH491" s="21"/>
      <c r="DI491" s="21"/>
    </row>
    <row r="492" spans="2:113" s="123" customFormat="1">
      <c r="B492" s="125"/>
      <c r="D492" s="125"/>
      <c r="AA492" s="74"/>
      <c r="AE492" s="124"/>
      <c r="AI492" s="74"/>
      <c r="AM492" s="74"/>
      <c r="AY492" s="74"/>
      <c r="BC492" s="74"/>
      <c r="BG492" s="74"/>
      <c r="BK492" s="74"/>
      <c r="BO492" s="74"/>
      <c r="BW492" s="74"/>
      <c r="DF492" s="21"/>
      <c r="DG492" s="21"/>
      <c r="DH492" s="21"/>
      <c r="DI492" s="21"/>
    </row>
    <row r="493" spans="2:113" s="123" customFormat="1">
      <c r="B493" s="125"/>
      <c r="D493" s="125"/>
      <c r="AA493" s="74"/>
      <c r="AE493" s="124"/>
      <c r="AI493" s="74"/>
      <c r="AM493" s="74"/>
      <c r="AY493" s="74"/>
      <c r="BC493" s="74"/>
      <c r="BG493" s="74"/>
      <c r="BK493" s="74"/>
      <c r="BO493" s="74"/>
      <c r="BW493" s="74"/>
      <c r="DF493" s="21"/>
      <c r="DG493" s="21"/>
      <c r="DH493" s="21"/>
      <c r="DI493" s="21"/>
    </row>
    <row r="494" spans="2:113" s="123" customFormat="1">
      <c r="B494" s="125"/>
      <c r="D494" s="125"/>
      <c r="AA494" s="74"/>
      <c r="AE494" s="124"/>
      <c r="AI494" s="74"/>
      <c r="AM494" s="74"/>
      <c r="AY494" s="74"/>
      <c r="BC494" s="74"/>
      <c r="BG494" s="74"/>
      <c r="BK494" s="74"/>
      <c r="BO494" s="74"/>
      <c r="BW494" s="74"/>
      <c r="DF494" s="21"/>
      <c r="DG494" s="21"/>
      <c r="DH494" s="21"/>
      <c r="DI494" s="21"/>
    </row>
    <row r="495" spans="2:113" s="123" customFormat="1">
      <c r="B495" s="125"/>
      <c r="D495" s="125"/>
      <c r="AA495" s="74"/>
      <c r="AE495" s="124"/>
      <c r="AI495" s="74"/>
      <c r="AM495" s="74"/>
      <c r="AY495" s="74"/>
      <c r="BC495" s="74"/>
      <c r="BG495" s="74"/>
      <c r="BK495" s="74"/>
      <c r="BO495" s="74"/>
      <c r="BW495" s="74"/>
      <c r="DF495" s="21"/>
      <c r="DG495" s="21"/>
      <c r="DH495" s="21"/>
      <c r="DI495" s="21"/>
    </row>
    <row r="496" spans="2:113" s="123" customFormat="1">
      <c r="B496" s="125"/>
      <c r="D496" s="125"/>
      <c r="AA496" s="74"/>
      <c r="AE496" s="124"/>
      <c r="AI496" s="74"/>
      <c r="AM496" s="74"/>
      <c r="AY496" s="74"/>
      <c r="BC496" s="74"/>
      <c r="BG496" s="74"/>
      <c r="BK496" s="74"/>
      <c r="BO496" s="74"/>
      <c r="BW496" s="74"/>
      <c r="DF496" s="21"/>
      <c r="DG496" s="21"/>
      <c r="DH496" s="21"/>
      <c r="DI496" s="21"/>
    </row>
    <row r="497" spans="2:113" s="123" customFormat="1">
      <c r="B497" s="125"/>
      <c r="D497" s="125"/>
      <c r="AA497" s="74"/>
      <c r="AE497" s="124"/>
      <c r="AI497" s="74"/>
      <c r="AM497" s="74"/>
      <c r="AY497" s="74"/>
      <c r="BC497" s="74"/>
      <c r="BG497" s="74"/>
      <c r="BK497" s="74"/>
      <c r="BO497" s="74"/>
      <c r="BW497" s="74"/>
      <c r="DF497" s="21"/>
      <c r="DG497" s="21"/>
      <c r="DH497" s="21"/>
      <c r="DI497" s="21"/>
    </row>
    <row r="498" spans="2:113" s="123" customFormat="1">
      <c r="B498" s="125"/>
      <c r="D498" s="125"/>
      <c r="AA498" s="74"/>
      <c r="AE498" s="124"/>
      <c r="AI498" s="74"/>
      <c r="AM498" s="74"/>
      <c r="AY498" s="74"/>
      <c r="BC498" s="74"/>
      <c r="BG498" s="74"/>
      <c r="BK498" s="74"/>
      <c r="BO498" s="74"/>
      <c r="BW498" s="74"/>
      <c r="DF498" s="21"/>
      <c r="DG498" s="21"/>
      <c r="DH498" s="21"/>
      <c r="DI498" s="21"/>
    </row>
    <row r="499" spans="2:113" s="123" customFormat="1">
      <c r="B499" s="125"/>
      <c r="D499" s="125"/>
      <c r="AA499" s="74"/>
      <c r="AE499" s="124"/>
      <c r="AI499" s="74"/>
      <c r="AM499" s="74"/>
      <c r="AY499" s="74"/>
      <c r="BC499" s="74"/>
      <c r="BG499" s="74"/>
      <c r="BK499" s="74"/>
      <c r="BO499" s="74"/>
      <c r="BW499" s="74"/>
      <c r="DF499" s="21"/>
      <c r="DG499" s="21"/>
      <c r="DH499" s="21"/>
      <c r="DI499" s="21"/>
    </row>
    <row r="500" spans="2:113" s="123" customFormat="1">
      <c r="B500" s="125"/>
      <c r="D500" s="125"/>
      <c r="AA500" s="74"/>
      <c r="AE500" s="124"/>
      <c r="AI500" s="74"/>
      <c r="AM500" s="74"/>
      <c r="AY500" s="74"/>
      <c r="BC500" s="74"/>
      <c r="BG500" s="74"/>
      <c r="BK500" s="74"/>
      <c r="BO500" s="74"/>
      <c r="BW500" s="74"/>
      <c r="DF500" s="21"/>
      <c r="DG500" s="21"/>
      <c r="DH500" s="21"/>
      <c r="DI500" s="21"/>
    </row>
    <row r="501" spans="2:113" s="123" customFormat="1">
      <c r="B501" s="125"/>
      <c r="D501" s="125"/>
      <c r="AA501" s="74"/>
      <c r="AE501" s="124"/>
      <c r="AI501" s="74"/>
      <c r="AM501" s="74"/>
      <c r="AY501" s="74"/>
      <c r="BC501" s="74"/>
      <c r="BG501" s="74"/>
      <c r="BK501" s="74"/>
      <c r="BO501" s="74"/>
      <c r="BW501" s="74"/>
      <c r="DF501" s="21"/>
      <c r="DG501" s="21"/>
      <c r="DH501" s="21"/>
      <c r="DI501" s="21"/>
    </row>
    <row r="502" spans="2:113" s="123" customFormat="1">
      <c r="B502" s="125"/>
      <c r="D502" s="125"/>
      <c r="AA502" s="74"/>
      <c r="AE502" s="124"/>
      <c r="AI502" s="74"/>
      <c r="AM502" s="74"/>
      <c r="AY502" s="74"/>
      <c r="BC502" s="74"/>
      <c r="BG502" s="74"/>
      <c r="BK502" s="74"/>
      <c r="BO502" s="74"/>
      <c r="BW502" s="74"/>
      <c r="DF502" s="21"/>
      <c r="DG502" s="21"/>
      <c r="DH502" s="21"/>
      <c r="DI502" s="21"/>
    </row>
    <row r="503" spans="2:113" s="123" customFormat="1">
      <c r="B503" s="125"/>
      <c r="D503" s="125"/>
      <c r="AA503" s="74"/>
      <c r="AE503" s="124"/>
      <c r="AI503" s="74"/>
      <c r="AM503" s="74"/>
      <c r="AY503" s="74"/>
      <c r="BC503" s="74"/>
      <c r="BG503" s="74"/>
      <c r="BK503" s="74"/>
      <c r="BO503" s="74"/>
      <c r="BW503" s="74"/>
      <c r="DF503" s="21"/>
      <c r="DG503" s="21"/>
      <c r="DH503" s="21"/>
      <c r="DI503" s="21"/>
    </row>
    <row r="504" spans="2:113" s="123" customFormat="1">
      <c r="B504" s="125"/>
      <c r="D504" s="125"/>
      <c r="AA504" s="74"/>
      <c r="AE504" s="124"/>
      <c r="AI504" s="74"/>
      <c r="AM504" s="74"/>
      <c r="AY504" s="74"/>
      <c r="BC504" s="74"/>
      <c r="BG504" s="74"/>
      <c r="BK504" s="74"/>
      <c r="BO504" s="74"/>
      <c r="BW504" s="74"/>
      <c r="DF504" s="21"/>
      <c r="DG504" s="21"/>
      <c r="DH504" s="21"/>
      <c r="DI504" s="21"/>
    </row>
    <row r="505" spans="2:113" s="123" customFormat="1">
      <c r="B505" s="125"/>
      <c r="D505" s="125"/>
      <c r="AA505" s="74"/>
      <c r="AE505" s="124"/>
      <c r="AI505" s="74"/>
      <c r="AM505" s="74"/>
      <c r="AY505" s="74"/>
      <c r="BC505" s="74"/>
      <c r="BG505" s="74"/>
      <c r="BK505" s="74"/>
      <c r="BO505" s="74"/>
      <c r="BW505" s="74"/>
      <c r="DF505" s="21"/>
      <c r="DG505" s="21"/>
      <c r="DH505" s="21"/>
      <c r="DI505" s="21"/>
    </row>
    <row r="506" spans="2:113" s="123" customFormat="1">
      <c r="B506" s="125"/>
      <c r="D506" s="125"/>
      <c r="AA506" s="74"/>
      <c r="AE506" s="124"/>
      <c r="AI506" s="74"/>
      <c r="AM506" s="74"/>
      <c r="AY506" s="74"/>
      <c r="BC506" s="74"/>
      <c r="BG506" s="74"/>
      <c r="BK506" s="74"/>
      <c r="BO506" s="74"/>
      <c r="BW506" s="74"/>
      <c r="DF506" s="21"/>
      <c r="DG506" s="21"/>
      <c r="DH506" s="21"/>
      <c r="DI506" s="21"/>
    </row>
    <row r="507" spans="2:113" s="123" customFormat="1">
      <c r="B507" s="125"/>
      <c r="D507" s="125"/>
      <c r="AA507" s="74"/>
      <c r="AE507" s="124"/>
      <c r="AI507" s="74"/>
      <c r="AM507" s="74"/>
      <c r="AY507" s="74"/>
      <c r="BC507" s="74"/>
      <c r="BG507" s="74"/>
      <c r="BK507" s="74"/>
      <c r="BO507" s="74"/>
      <c r="BW507" s="74"/>
      <c r="DF507" s="21"/>
      <c r="DG507" s="21"/>
      <c r="DH507" s="21"/>
      <c r="DI507" s="21"/>
    </row>
    <row r="508" spans="2:113" s="123" customFormat="1">
      <c r="B508" s="125"/>
      <c r="D508" s="125"/>
      <c r="AA508" s="74"/>
      <c r="AE508" s="124"/>
      <c r="AI508" s="74"/>
      <c r="AM508" s="74"/>
      <c r="AY508" s="74"/>
      <c r="BC508" s="74"/>
      <c r="BG508" s="74"/>
      <c r="BK508" s="74"/>
      <c r="BO508" s="74"/>
      <c r="BW508" s="74"/>
      <c r="DF508" s="21"/>
      <c r="DG508" s="21"/>
      <c r="DH508" s="21"/>
      <c r="DI508" s="21"/>
    </row>
    <row r="509" spans="2:113" s="123" customFormat="1">
      <c r="B509" s="125"/>
      <c r="D509" s="125"/>
      <c r="AA509" s="74"/>
      <c r="AE509" s="124"/>
      <c r="AI509" s="74"/>
      <c r="AM509" s="74"/>
      <c r="AY509" s="74"/>
      <c r="BC509" s="74"/>
      <c r="BG509" s="74"/>
      <c r="BK509" s="74"/>
      <c r="BO509" s="74"/>
      <c r="BW509" s="74"/>
      <c r="DF509" s="21"/>
      <c r="DG509" s="21"/>
      <c r="DH509" s="21"/>
      <c r="DI509" s="21"/>
    </row>
    <row r="510" spans="2:113" s="123" customFormat="1">
      <c r="B510" s="125"/>
      <c r="D510" s="125"/>
      <c r="AA510" s="74"/>
      <c r="AE510" s="124"/>
      <c r="AI510" s="74"/>
      <c r="AM510" s="74"/>
      <c r="AY510" s="74"/>
      <c r="BC510" s="74"/>
      <c r="BG510" s="74"/>
      <c r="BK510" s="74"/>
      <c r="BO510" s="74"/>
      <c r="BW510" s="74"/>
      <c r="DF510" s="21"/>
      <c r="DG510" s="21"/>
      <c r="DH510" s="21"/>
      <c r="DI510" s="21"/>
    </row>
    <row r="511" spans="2:113" s="123" customFormat="1">
      <c r="B511" s="125"/>
      <c r="D511" s="125"/>
      <c r="AA511" s="74"/>
      <c r="AE511" s="124"/>
      <c r="AI511" s="74"/>
      <c r="AM511" s="74"/>
      <c r="AY511" s="74"/>
      <c r="BC511" s="74"/>
      <c r="BG511" s="74"/>
      <c r="BK511" s="74"/>
      <c r="BO511" s="74"/>
      <c r="BW511" s="74"/>
      <c r="DF511" s="21"/>
      <c r="DG511" s="21"/>
      <c r="DH511" s="21"/>
      <c r="DI511" s="21"/>
    </row>
    <row r="512" spans="2:113" s="123" customFormat="1">
      <c r="B512" s="125"/>
      <c r="D512" s="125"/>
      <c r="AA512" s="74"/>
      <c r="AE512" s="124"/>
      <c r="AI512" s="74"/>
      <c r="AM512" s="74"/>
      <c r="AY512" s="74"/>
      <c r="BC512" s="74"/>
      <c r="BG512" s="74"/>
      <c r="BK512" s="74"/>
      <c r="BO512" s="74"/>
      <c r="BW512" s="74"/>
      <c r="DF512" s="21"/>
      <c r="DG512" s="21"/>
      <c r="DH512" s="21"/>
      <c r="DI512" s="21"/>
    </row>
    <row r="513" spans="2:113" s="123" customFormat="1">
      <c r="B513" s="125"/>
      <c r="D513" s="125"/>
      <c r="AA513" s="74"/>
      <c r="AE513" s="124"/>
      <c r="AI513" s="74"/>
      <c r="AM513" s="74"/>
      <c r="AY513" s="74"/>
      <c r="BC513" s="74"/>
      <c r="BG513" s="74"/>
      <c r="BK513" s="74"/>
      <c r="BO513" s="74"/>
      <c r="BW513" s="74"/>
      <c r="DF513" s="21"/>
      <c r="DG513" s="21"/>
      <c r="DH513" s="21"/>
      <c r="DI513" s="21"/>
    </row>
    <row r="514" spans="2:113" s="123" customFormat="1">
      <c r="B514" s="125"/>
      <c r="D514" s="125"/>
      <c r="AA514" s="74"/>
      <c r="AE514" s="124"/>
      <c r="AI514" s="74"/>
      <c r="AM514" s="74"/>
      <c r="AY514" s="74"/>
      <c r="BC514" s="74"/>
      <c r="BG514" s="74"/>
      <c r="BK514" s="74"/>
      <c r="BO514" s="74"/>
      <c r="BW514" s="74"/>
      <c r="DF514" s="21"/>
      <c r="DG514" s="21"/>
      <c r="DH514" s="21"/>
      <c r="DI514" s="21"/>
    </row>
    <row r="515" spans="2:113" s="123" customFormat="1">
      <c r="B515" s="125"/>
      <c r="D515" s="125"/>
      <c r="AA515" s="74"/>
      <c r="AE515" s="124"/>
      <c r="AI515" s="74"/>
      <c r="AM515" s="74"/>
      <c r="AY515" s="74"/>
      <c r="BC515" s="74"/>
      <c r="BG515" s="74"/>
      <c r="BK515" s="74"/>
      <c r="BO515" s="74"/>
      <c r="BW515" s="74"/>
      <c r="DF515" s="21"/>
      <c r="DG515" s="21"/>
      <c r="DH515" s="21"/>
      <c r="DI515" s="21"/>
    </row>
    <row r="516" spans="2:113" s="123" customFormat="1">
      <c r="B516" s="125"/>
      <c r="D516" s="125"/>
      <c r="AA516" s="74"/>
      <c r="AE516" s="124"/>
      <c r="AI516" s="74"/>
      <c r="AM516" s="74"/>
      <c r="AY516" s="74"/>
      <c r="BC516" s="74"/>
      <c r="BG516" s="74"/>
      <c r="BK516" s="74"/>
      <c r="BO516" s="74"/>
      <c r="BW516" s="74"/>
      <c r="DF516" s="21"/>
      <c r="DG516" s="21"/>
      <c r="DH516" s="21"/>
      <c r="DI516" s="21"/>
    </row>
    <row r="517" spans="2:113" s="123" customFormat="1">
      <c r="B517" s="125"/>
      <c r="D517" s="125"/>
      <c r="AA517" s="74"/>
      <c r="AE517" s="124"/>
      <c r="AI517" s="74"/>
      <c r="AM517" s="74"/>
      <c r="AY517" s="74"/>
      <c r="BC517" s="74"/>
      <c r="BG517" s="74"/>
      <c r="BK517" s="74"/>
      <c r="BO517" s="74"/>
      <c r="BW517" s="74"/>
      <c r="DF517" s="21"/>
      <c r="DG517" s="21"/>
      <c r="DH517" s="21"/>
      <c r="DI517" s="21"/>
    </row>
    <row r="518" spans="2:113" s="123" customFormat="1">
      <c r="B518" s="125"/>
      <c r="D518" s="125"/>
      <c r="AA518" s="74"/>
      <c r="AE518" s="124"/>
      <c r="AI518" s="74"/>
      <c r="AM518" s="74"/>
      <c r="AY518" s="74"/>
      <c r="BC518" s="74"/>
      <c r="BG518" s="74"/>
      <c r="BK518" s="74"/>
      <c r="BO518" s="74"/>
      <c r="BW518" s="74"/>
      <c r="DF518" s="21"/>
      <c r="DG518" s="21"/>
      <c r="DH518" s="21"/>
      <c r="DI518" s="21"/>
    </row>
    <row r="519" spans="2:113" s="123" customFormat="1">
      <c r="B519" s="125"/>
      <c r="D519" s="125"/>
      <c r="AA519" s="74"/>
      <c r="AE519" s="124"/>
      <c r="AI519" s="74"/>
      <c r="AM519" s="74"/>
      <c r="AY519" s="74"/>
      <c r="BC519" s="74"/>
      <c r="BG519" s="74"/>
      <c r="BK519" s="74"/>
      <c r="BO519" s="74"/>
      <c r="BW519" s="74"/>
      <c r="DF519" s="21"/>
      <c r="DG519" s="21"/>
      <c r="DH519" s="21"/>
      <c r="DI519" s="21"/>
    </row>
    <row r="520" spans="2:113" s="123" customFormat="1">
      <c r="B520" s="125"/>
      <c r="D520" s="125"/>
      <c r="AA520" s="74"/>
      <c r="AE520" s="124"/>
      <c r="AI520" s="74"/>
      <c r="AM520" s="74"/>
      <c r="AY520" s="74"/>
      <c r="BC520" s="74"/>
      <c r="BG520" s="74"/>
      <c r="BK520" s="74"/>
      <c r="BO520" s="74"/>
      <c r="BW520" s="74"/>
      <c r="DF520" s="21"/>
      <c r="DG520" s="21"/>
      <c r="DH520" s="21"/>
      <c r="DI520" s="21"/>
    </row>
    <row r="521" spans="2:113" s="123" customFormat="1">
      <c r="B521" s="125"/>
      <c r="D521" s="125"/>
      <c r="AA521" s="74"/>
      <c r="AE521" s="124"/>
      <c r="AI521" s="74"/>
      <c r="AM521" s="74"/>
      <c r="AY521" s="74"/>
      <c r="BC521" s="74"/>
      <c r="BG521" s="74"/>
      <c r="BK521" s="74"/>
      <c r="BO521" s="74"/>
      <c r="BW521" s="74"/>
      <c r="DF521" s="21"/>
      <c r="DG521" s="21"/>
      <c r="DH521" s="21"/>
      <c r="DI521" s="21"/>
    </row>
    <row r="522" spans="2:113" s="123" customFormat="1">
      <c r="B522" s="125"/>
      <c r="D522" s="125"/>
      <c r="AA522" s="74"/>
      <c r="AE522" s="124"/>
      <c r="AI522" s="74"/>
      <c r="AM522" s="74"/>
      <c r="AY522" s="74"/>
      <c r="BC522" s="74"/>
      <c r="BG522" s="74"/>
      <c r="BK522" s="74"/>
      <c r="BO522" s="74"/>
      <c r="BW522" s="74"/>
      <c r="DF522" s="21"/>
      <c r="DG522" s="21"/>
      <c r="DH522" s="21"/>
      <c r="DI522" s="21"/>
    </row>
    <row r="523" spans="2:113" s="123" customFormat="1">
      <c r="B523" s="125"/>
      <c r="D523" s="125"/>
      <c r="AA523" s="74"/>
      <c r="AE523" s="124"/>
      <c r="AI523" s="74"/>
      <c r="AM523" s="74"/>
      <c r="AY523" s="74"/>
      <c r="BC523" s="74"/>
      <c r="BG523" s="74"/>
      <c r="BK523" s="74"/>
      <c r="BO523" s="74"/>
      <c r="BW523" s="74"/>
      <c r="DF523" s="21"/>
      <c r="DG523" s="21"/>
      <c r="DH523" s="21"/>
      <c r="DI523" s="21"/>
    </row>
    <row r="524" spans="2:113" s="123" customFormat="1">
      <c r="B524" s="125"/>
      <c r="D524" s="125"/>
      <c r="AA524" s="74"/>
      <c r="AE524" s="124"/>
      <c r="AI524" s="74"/>
      <c r="AM524" s="74"/>
      <c r="AY524" s="74"/>
      <c r="BC524" s="74"/>
      <c r="BG524" s="74"/>
      <c r="BK524" s="74"/>
      <c r="BO524" s="74"/>
      <c r="BW524" s="74"/>
      <c r="DF524" s="21"/>
      <c r="DG524" s="21"/>
      <c r="DH524" s="21"/>
      <c r="DI524" s="21"/>
    </row>
    <row r="525" spans="2:113" s="123" customFormat="1">
      <c r="B525" s="125"/>
      <c r="D525" s="125"/>
      <c r="AA525" s="74"/>
      <c r="AE525" s="124"/>
      <c r="AI525" s="74"/>
      <c r="AM525" s="74"/>
      <c r="AY525" s="74"/>
      <c r="BC525" s="74"/>
      <c r="BG525" s="74"/>
      <c r="BK525" s="74"/>
      <c r="BO525" s="74"/>
      <c r="BW525" s="74"/>
      <c r="DF525" s="21"/>
      <c r="DG525" s="21"/>
      <c r="DH525" s="21"/>
      <c r="DI525" s="21"/>
    </row>
    <row r="526" spans="2:113" s="123" customFormat="1">
      <c r="B526" s="125"/>
      <c r="D526" s="125"/>
      <c r="AA526" s="74"/>
      <c r="AE526" s="124"/>
      <c r="AI526" s="74"/>
      <c r="AM526" s="74"/>
      <c r="AY526" s="74"/>
      <c r="BC526" s="74"/>
      <c r="BG526" s="74"/>
      <c r="BK526" s="74"/>
      <c r="BO526" s="74"/>
      <c r="BW526" s="74"/>
      <c r="DF526" s="21"/>
      <c r="DG526" s="21"/>
      <c r="DH526" s="21"/>
      <c r="DI526" s="21"/>
    </row>
    <row r="527" spans="2:113" s="123" customFormat="1">
      <c r="B527" s="125"/>
      <c r="D527" s="125"/>
      <c r="AA527" s="74"/>
      <c r="AE527" s="124"/>
      <c r="AI527" s="74"/>
      <c r="AM527" s="74"/>
      <c r="AY527" s="74"/>
      <c r="BC527" s="74"/>
      <c r="BG527" s="74"/>
      <c r="BK527" s="74"/>
      <c r="BO527" s="74"/>
      <c r="BW527" s="74"/>
      <c r="DF527" s="21"/>
      <c r="DG527" s="21"/>
      <c r="DH527" s="21"/>
      <c r="DI527" s="21"/>
    </row>
    <row r="528" spans="2:113" s="123" customFormat="1">
      <c r="B528" s="125"/>
      <c r="D528" s="125"/>
      <c r="AA528" s="74"/>
      <c r="AE528" s="124"/>
      <c r="AI528" s="74"/>
      <c r="AM528" s="74"/>
      <c r="AY528" s="74"/>
      <c r="BC528" s="74"/>
      <c r="BG528" s="74"/>
      <c r="BK528" s="74"/>
      <c r="BO528" s="74"/>
      <c r="BW528" s="74"/>
      <c r="DF528" s="21"/>
      <c r="DG528" s="21"/>
      <c r="DH528" s="21"/>
      <c r="DI528" s="21"/>
    </row>
    <row r="529" spans="2:113" s="123" customFormat="1">
      <c r="B529" s="125"/>
      <c r="D529" s="125"/>
      <c r="AA529" s="74"/>
      <c r="AE529" s="124"/>
      <c r="AI529" s="74"/>
      <c r="AM529" s="74"/>
      <c r="AY529" s="74"/>
      <c r="BC529" s="74"/>
      <c r="BG529" s="74"/>
      <c r="BK529" s="74"/>
      <c r="BO529" s="74"/>
      <c r="BW529" s="74"/>
      <c r="DF529" s="21"/>
      <c r="DG529" s="21"/>
      <c r="DH529" s="21"/>
      <c r="DI529" s="21"/>
    </row>
    <row r="530" spans="2:113" s="123" customFormat="1">
      <c r="B530" s="125"/>
      <c r="D530" s="125"/>
      <c r="AA530" s="74"/>
      <c r="AE530" s="124"/>
      <c r="AI530" s="74"/>
      <c r="AM530" s="74"/>
      <c r="AY530" s="74"/>
      <c r="BC530" s="74"/>
      <c r="BG530" s="74"/>
      <c r="BK530" s="74"/>
      <c r="BO530" s="74"/>
      <c r="BW530" s="74"/>
      <c r="DF530" s="21"/>
      <c r="DG530" s="21"/>
      <c r="DH530" s="21"/>
      <c r="DI530" s="21"/>
    </row>
    <row r="531" spans="2:113" s="123" customFormat="1">
      <c r="B531" s="125"/>
      <c r="D531" s="125"/>
      <c r="AA531" s="74"/>
      <c r="AE531" s="124"/>
      <c r="AI531" s="74"/>
      <c r="AM531" s="74"/>
      <c r="AY531" s="74"/>
      <c r="BC531" s="74"/>
      <c r="BG531" s="74"/>
      <c r="BK531" s="74"/>
      <c r="BO531" s="74"/>
      <c r="BW531" s="74"/>
      <c r="DF531" s="21"/>
      <c r="DG531" s="21"/>
      <c r="DH531" s="21"/>
      <c r="DI531" s="21"/>
    </row>
    <row r="532" spans="2:113" s="123" customFormat="1">
      <c r="B532" s="125"/>
      <c r="D532" s="125"/>
      <c r="AA532" s="74"/>
      <c r="AE532" s="124"/>
      <c r="AI532" s="74"/>
      <c r="AM532" s="74"/>
      <c r="AY532" s="74"/>
      <c r="BC532" s="74"/>
      <c r="BG532" s="74"/>
      <c r="BK532" s="74"/>
      <c r="BO532" s="74"/>
      <c r="BW532" s="74"/>
      <c r="DF532" s="21"/>
      <c r="DG532" s="21"/>
      <c r="DH532" s="21"/>
      <c r="DI532" s="21"/>
    </row>
    <row r="533" spans="2:113" s="123" customFormat="1">
      <c r="B533" s="125"/>
      <c r="D533" s="125"/>
      <c r="AA533" s="74"/>
      <c r="AE533" s="124"/>
      <c r="AI533" s="74"/>
      <c r="AM533" s="74"/>
      <c r="AY533" s="74"/>
      <c r="BC533" s="74"/>
      <c r="BG533" s="74"/>
      <c r="BK533" s="74"/>
      <c r="BO533" s="74"/>
      <c r="BW533" s="74"/>
      <c r="DF533" s="21"/>
      <c r="DG533" s="21"/>
      <c r="DH533" s="21"/>
      <c r="DI533" s="21"/>
    </row>
    <row r="534" spans="2:113" s="123" customFormat="1">
      <c r="B534" s="125"/>
      <c r="D534" s="125"/>
      <c r="AA534" s="74"/>
      <c r="AE534" s="124"/>
      <c r="AI534" s="74"/>
      <c r="AM534" s="74"/>
      <c r="AY534" s="74"/>
      <c r="BC534" s="74"/>
      <c r="BG534" s="74"/>
      <c r="BK534" s="74"/>
      <c r="BO534" s="74"/>
      <c r="BW534" s="74"/>
      <c r="DF534" s="21"/>
      <c r="DG534" s="21"/>
      <c r="DH534" s="21"/>
      <c r="DI534" s="21"/>
    </row>
    <row r="535" spans="2:113" s="123" customFormat="1">
      <c r="B535" s="125"/>
      <c r="D535" s="125"/>
      <c r="AA535" s="74"/>
      <c r="AE535" s="124"/>
      <c r="AI535" s="74"/>
      <c r="AM535" s="74"/>
      <c r="AY535" s="74"/>
      <c r="BC535" s="74"/>
      <c r="BG535" s="74"/>
      <c r="BK535" s="74"/>
      <c r="BO535" s="74"/>
      <c r="BW535" s="74"/>
      <c r="DF535" s="21"/>
      <c r="DG535" s="21"/>
      <c r="DH535" s="21"/>
      <c r="DI535" s="21"/>
    </row>
    <row r="536" spans="2:113" s="123" customFormat="1">
      <c r="B536" s="125"/>
      <c r="D536" s="125"/>
      <c r="AA536" s="74"/>
      <c r="AE536" s="124"/>
      <c r="AI536" s="74"/>
      <c r="AM536" s="74"/>
      <c r="AY536" s="74"/>
      <c r="BC536" s="74"/>
      <c r="BG536" s="74"/>
      <c r="BK536" s="74"/>
      <c r="BO536" s="74"/>
      <c r="BW536" s="74"/>
      <c r="DF536" s="21"/>
      <c r="DG536" s="21"/>
      <c r="DH536" s="21"/>
      <c r="DI536" s="21"/>
    </row>
    <row r="537" spans="2:113" s="123" customFormat="1">
      <c r="B537" s="125"/>
      <c r="D537" s="125"/>
      <c r="AA537" s="74"/>
      <c r="AE537" s="124"/>
      <c r="AI537" s="74"/>
      <c r="AM537" s="74"/>
      <c r="AY537" s="74"/>
      <c r="BC537" s="74"/>
      <c r="BG537" s="74"/>
      <c r="BK537" s="74"/>
      <c r="BO537" s="74"/>
      <c r="BW537" s="74"/>
      <c r="DF537" s="21"/>
      <c r="DG537" s="21"/>
      <c r="DH537" s="21"/>
      <c r="DI537" s="21"/>
    </row>
    <row r="538" spans="2:113" s="123" customFormat="1">
      <c r="B538" s="125"/>
      <c r="D538" s="125"/>
      <c r="AA538" s="74"/>
      <c r="AE538" s="124"/>
      <c r="AI538" s="74"/>
      <c r="AM538" s="74"/>
      <c r="AY538" s="74"/>
      <c r="BC538" s="74"/>
      <c r="BG538" s="74"/>
      <c r="BK538" s="74"/>
      <c r="BO538" s="74"/>
      <c r="BW538" s="74"/>
      <c r="DF538" s="21"/>
      <c r="DG538" s="21"/>
      <c r="DH538" s="21"/>
      <c r="DI538" s="21"/>
    </row>
    <row r="539" spans="2:113" s="123" customFormat="1">
      <c r="B539" s="125"/>
      <c r="D539" s="125"/>
      <c r="AA539" s="74"/>
      <c r="AE539" s="124"/>
      <c r="AI539" s="74"/>
      <c r="AM539" s="74"/>
      <c r="AY539" s="74"/>
      <c r="BC539" s="74"/>
      <c r="BG539" s="74"/>
      <c r="BK539" s="74"/>
      <c r="BO539" s="74"/>
      <c r="BW539" s="74"/>
      <c r="DF539" s="21"/>
      <c r="DG539" s="21"/>
      <c r="DH539" s="21"/>
      <c r="DI539" s="21"/>
    </row>
    <row r="540" spans="2:113" s="123" customFormat="1">
      <c r="B540" s="125"/>
      <c r="D540" s="125"/>
      <c r="AA540" s="74"/>
      <c r="AE540" s="124"/>
      <c r="AI540" s="74"/>
      <c r="AM540" s="74"/>
      <c r="AY540" s="74"/>
      <c r="BC540" s="74"/>
      <c r="BG540" s="74"/>
      <c r="BK540" s="74"/>
      <c r="BO540" s="74"/>
      <c r="BW540" s="74"/>
      <c r="DF540" s="21"/>
      <c r="DG540" s="21"/>
      <c r="DH540" s="21"/>
      <c r="DI540" s="21"/>
    </row>
    <row r="541" spans="2:113" s="123" customFormat="1">
      <c r="B541" s="125"/>
      <c r="D541" s="125"/>
      <c r="AA541" s="74"/>
      <c r="AE541" s="124"/>
      <c r="AI541" s="74"/>
      <c r="AM541" s="74"/>
      <c r="AY541" s="74"/>
      <c r="BC541" s="74"/>
      <c r="BG541" s="74"/>
      <c r="BK541" s="74"/>
      <c r="BO541" s="74"/>
      <c r="BW541" s="74"/>
      <c r="DF541" s="21"/>
      <c r="DG541" s="21"/>
      <c r="DH541" s="21"/>
      <c r="DI541" s="21"/>
    </row>
    <row r="542" spans="2:113" s="123" customFormat="1">
      <c r="B542" s="125"/>
      <c r="D542" s="125"/>
      <c r="AA542" s="74"/>
      <c r="AE542" s="124"/>
      <c r="AI542" s="74"/>
      <c r="AM542" s="74"/>
      <c r="AY542" s="74"/>
      <c r="BC542" s="74"/>
      <c r="BG542" s="74"/>
      <c r="BK542" s="74"/>
      <c r="BO542" s="74"/>
      <c r="BW542" s="74"/>
      <c r="DF542" s="21"/>
      <c r="DG542" s="21"/>
      <c r="DH542" s="21"/>
      <c r="DI542" s="21"/>
    </row>
    <row r="543" spans="2:113" s="123" customFormat="1">
      <c r="B543" s="125"/>
      <c r="D543" s="125"/>
      <c r="AA543" s="74"/>
      <c r="AE543" s="124"/>
      <c r="AI543" s="74"/>
      <c r="AM543" s="74"/>
      <c r="AY543" s="74"/>
      <c r="BC543" s="74"/>
      <c r="BG543" s="74"/>
      <c r="BK543" s="74"/>
      <c r="BO543" s="74"/>
      <c r="BW543" s="74"/>
      <c r="DF543" s="21"/>
      <c r="DG543" s="21"/>
      <c r="DH543" s="21"/>
      <c r="DI543" s="21"/>
    </row>
    <row r="544" spans="2:113" s="123" customFormat="1">
      <c r="B544" s="125"/>
      <c r="D544" s="125"/>
      <c r="AA544" s="74"/>
      <c r="AE544" s="124"/>
      <c r="AI544" s="74"/>
      <c r="AM544" s="74"/>
      <c r="AY544" s="74"/>
      <c r="BC544" s="74"/>
      <c r="BG544" s="74"/>
      <c r="BK544" s="74"/>
      <c r="BO544" s="74"/>
      <c r="BW544" s="74"/>
      <c r="DF544" s="21"/>
      <c r="DG544" s="21"/>
      <c r="DH544" s="21"/>
      <c r="DI544" s="21"/>
    </row>
    <row r="545" spans="2:113" s="123" customFormat="1">
      <c r="B545" s="125"/>
      <c r="D545" s="125"/>
      <c r="AA545" s="74"/>
      <c r="AE545" s="124"/>
      <c r="AI545" s="74"/>
      <c r="AM545" s="74"/>
      <c r="AY545" s="74"/>
      <c r="BC545" s="74"/>
      <c r="BG545" s="74"/>
      <c r="BK545" s="74"/>
      <c r="BO545" s="74"/>
      <c r="BW545" s="74"/>
      <c r="DF545" s="21"/>
      <c r="DG545" s="21"/>
      <c r="DH545" s="21"/>
      <c r="DI545" s="21"/>
    </row>
    <row r="546" spans="2:113" s="123" customFormat="1">
      <c r="B546" s="125"/>
      <c r="D546" s="125"/>
      <c r="AA546" s="74"/>
      <c r="AE546" s="124"/>
      <c r="AI546" s="74"/>
      <c r="AM546" s="74"/>
      <c r="AY546" s="74"/>
      <c r="BC546" s="74"/>
      <c r="BG546" s="74"/>
      <c r="BK546" s="74"/>
      <c r="BO546" s="74"/>
      <c r="BW546" s="74"/>
      <c r="DF546" s="21"/>
      <c r="DG546" s="21"/>
      <c r="DH546" s="21"/>
      <c r="DI546" s="21"/>
    </row>
    <row r="547" spans="2:113" s="123" customFormat="1">
      <c r="B547" s="125"/>
      <c r="D547" s="125"/>
      <c r="AA547" s="74"/>
      <c r="AE547" s="124"/>
      <c r="AI547" s="74"/>
      <c r="AM547" s="74"/>
      <c r="AY547" s="74"/>
      <c r="BC547" s="74"/>
      <c r="BG547" s="74"/>
      <c r="BK547" s="74"/>
      <c r="BO547" s="74"/>
      <c r="BW547" s="74"/>
      <c r="DF547" s="21"/>
      <c r="DG547" s="21"/>
      <c r="DH547" s="21"/>
      <c r="DI547" s="21"/>
    </row>
    <row r="548" spans="2:113" s="123" customFormat="1">
      <c r="B548" s="125"/>
      <c r="D548" s="125"/>
      <c r="AA548" s="74"/>
      <c r="AE548" s="124"/>
      <c r="AI548" s="74"/>
      <c r="AM548" s="74"/>
      <c r="AY548" s="74"/>
      <c r="BC548" s="74"/>
      <c r="BG548" s="74"/>
      <c r="BK548" s="74"/>
      <c r="BO548" s="74"/>
      <c r="BW548" s="74"/>
      <c r="DF548" s="21"/>
      <c r="DG548" s="21"/>
      <c r="DH548" s="21"/>
      <c r="DI548" s="21"/>
    </row>
    <row r="549" spans="2:113" s="123" customFormat="1">
      <c r="B549" s="125"/>
      <c r="D549" s="125"/>
      <c r="AA549" s="74"/>
      <c r="AE549" s="124"/>
      <c r="AI549" s="74"/>
      <c r="AM549" s="74"/>
      <c r="AY549" s="74"/>
      <c r="BC549" s="74"/>
      <c r="BG549" s="74"/>
      <c r="BK549" s="74"/>
      <c r="BO549" s="74"/>
      <c r="BW549" s="74"/>
      <c r="DF549" s="21"/>
      <c r="DG549" s="21"/>
      <c r="DH549" s="21"/>
      <c r="DI549" s="21"/>
    </row>
    <row r="550" spans="2:113" s="123" customFormat="1">
      <c r="B550" s="125"/>
      <c r="D550" s="125"/>
      <c r="AA550" s="74"/>
      <c r="AE550" s="124"/>
      <c r="AI550" s="74"/>
      <c r="AM550" s="74"/>
      <c r="AY550" s="74"/>
      <c r="BC550" s="74"/>
      <c r="BG550" s="74"/>
      <c r="BK550" s="74"/>
      <c r="BO550" s="74"/>
      <c r="BW550" s="74"/>
      <c r="DF550" s="21"/>
      <c r="DG550" s="21"/>
      <c r="DH550" s="21"/>
      <c r="DI550" s="21"/>
    </row>
    <row r="551" spans="2:113" s="123" customFormat="1">
      <c r="B551" s="125"/>
      <c r="D551" s="125"/>
      <c r="AA551" s="74"/>
      <c r="AE551" s="124"/>
      <c r="AI551" s="74"/>
      <c r="AM551" s="74"/>
      <c r="AY551" s="74"/>
      <c r="BC551" s="74"/>
      <c r="BG551" s="74"/>
      <c r="BK551" s="74"/>
      <c r="BO551" s="74"/>
      <c r="BW551" s="74"/>
      <c r="DF551" s="21"/>
      <c r="DG551" s="21"/>
      <c r="DH551" s="21"/>
      <c r="DI551" s="21"/>
    </row>
    <row r="552" spans="2:113" s="123" customFormat="1">
      <c r="B552" s="125"/>
      <c r="D552" s="125"/>
      <c r="AA552" s="74"/>
      <c r="AE552" s="124"/>
      <c r="AI552" s="74"/>
      <c r="AM552" s="74"/>
      <c r="AY552" s="74"/>
      <c r="BC552" s="74"/>
      <c r="BG552" s="74"/>
      <c r="BK552" s="74"/>
      <c r="BO552" s="74"/>
      <c r="BW552" s="74"/>
      <c r="DF552" s="21"/>
      <c r="DG552" s="21"/>
      <c r="DH552" s="21"/>
      <c r="DI552" s="21"/>
    </row>
    <row r="553" spans="2:113" s="123" customFormat="1">
      <c r="B553" s="125"/>
      <c r="D553" s="125"/>
      <c r="AA553" s="74"/>
      <c r="AE553" s="124"/>
      <c r="AI553" s="74"/>
      <c r="AM553" s="74"/>
      <c r="AY553" s="74"/>
      <c r="BC553" s="74"/>
      <c r="BG553" s="74"/>
      <c r="BK553" s="74"/>
      <c r="BO553" s="74"/>
      <c r="BW553" s="74"/>
      <c r="DF553" s="21"/>
      <c r="DG553" s="21"/>
      <c r="DH553" s="21"/>
      <c r="DI553" s="21"/>
    </row>
    <row r="554" spans="2:113" s="123" customFormat="1">
      <c r="B554" s="125"/>
      <c r="D554" s="125"/>
      <c r="AA554" s="74"/>
      <c r="AE554" s="124"/>
      <c r="AI554" s="74"/>
      <c r="AM554" s="74"/>
      <c r="AY554" s="74"/>
      <c r="BC554" s="74"/>
      <c r="BG554" s="74"/>
      <c r="BK554" s="74"/>
      <c r="BO554" s="74"/>
      <c r="BW554" s="74"/>
      <c r="DF554" s="21"/>
      <c r="DG554" s="21"/>
      <c r="DH554" s="21"/>
      <c r="DI554" s="21"/>
    </row>
    <row r="555" spans="2:113" s="123" customFormat="1">
      <c r="B555" s="125"/>
      <c r="D555" s="125"/>
      <c r="AA555" s="74"/>
      <c r="AE555" s="124"/>
      <c r="AI555" s="74"/>
      <c r="AM555" s="74"/>
      <c r="AY555" s="74"/>
      <c r="BC555" s="74"/>
      <c r="BG555" s="74"/>
      <c r="BK555" s="74"/>
      <c r="BO555" s="74"/>
      <c r="BW555" s="74"/>
      <c r="DF555" s="21"/>
      <c r="DG555" s="21"/>
      <c r="DH555" s="21"/>
      <c r="DI555" s="21"/>
    </row>
    <row r="556" spans="2:113" s="123" customFormat="1">
      <c r="B556" s="125"/>
      <c r="D556" s="125"/>
      <c r="AA556" s="74"/>
      <c r="AE556" s="124"/>
      <c r="AI556" s="74"/>
      <c r="AM556" s="74"/>
      <c r="AY556" s="74"/>
      <c r="BC556" s="74"/>
      <c r="BG556" s="74"/>
      <c r="BK556" s="74"/>
      <c r="BO556" s="74"/>
      <c r="BW556" s="74"/>
      <c r="DF556" s="21"/>
      <c r="DG556" s="21"/>
      <c r="DH556" s="21"/>
      <c r="DI556" s="21"/>
    </row>
    <row r="557" spans="2:113" s="123" customFormat="1">
      <c r="B557" s="125"/>
      <c r="D557" s="125"/>
      <c r="AA557" s="74"/>
      <c r="AE557" s="124"/>
      <c r="AI557" s="74"/>
      <c r="AM557" s="74"/>
      <c r="AY557" s="74"/>
      <c r="BC557" s="74"/>
      <c r="BG557" s="74"/>
      <c r="BK557" s="74"/>
      <c r="BO557" s="74"/>
      <c r="BW557" s="74"/>
      <c r="DF557" s="21"/>
      <c r="DG557" s="21"/>
      <c r="DH557" s="21"/>
      <c r="DI557" s="21"/>
    </row>
    <row r="558" spans="2:113" s="123" customFormat="1">
      <c r="B558" s="125"/>
      <c r="D558" s="125"/>
      <c r="AA558" s="74"/>
      <c r="AE558" s="124"/>
      <c r="AI558" s="74"/>
      <c r="AM558" s="74"/>
      <c r="AY558" s="74"/>
      <c r="BC558" s="74"/>
      <c r="BG558" s="74"/>
      <c r="BK558" s="74"/>
      <c r="BO558" s="74"/>
      <c r="BW558" s="74"/>
      <c r="DF558" s="21"/>
      <c r="DG558" s="21"/>
      <c r="DH558" s="21"/>
      <c r="DI558" s="21"/>
    </row>
    <row r="559" spans="2:113" s="123" customFormat="1">
      <c r="B559" s="125"/>
      <c r="D559" s="125"/>
      <c r="AA559" s="74"/>
      <c r="AE559" s="124"/>
      <c r="AI559" s="74"/>
      <c r="AM559" s="74"/>
      <c r="AY559" s="74"/>
      <c r="BC559" s="74"/>
      <c r="BG559" s="74"/>
      <c r="BK559" s="74"/>
      <c r="BO559" s="74"/>
      <c r="BW559" s="74"/>
      <c r="DF559" s="21"/>
      <c r="DG559" s="21"/>
      <c r="DH559" s="21"/>
      <c r="DI559" s="21"/>
    </row>
    <row r="560" spans="2:113" s="123" customFormat="1">
      <c r="B560" s="125"/>
      <c r="D560" s="125"/>
      <c r="AA560" s="74"/>
      <c r="AE560" s="124"/>
      <c r="AI560" s="74"/>
      <c r="AM560" s="74"/>
      <c r="AY560" s="74"/>
      <c r="BC560" s="74"/>
      <c r="BG560" s="74"/>
      <c r="BK560" s="74"/>
      <c r="BO560" s="74"/>
      <c r="BW560" s="74"/>
      <c r="DF560" s="21"/>
      <c r="DG560" s="21"/>
      <c r="DH560" s="21"/>
      <c r="DI560" s="21"/>
    </row>
    <row r="561" spans="2:113" s="123" customFormat="1">
      <c r="B561" s="125"/>
      <c r="D561" s="125"/>
      <c r="AA561" s="74"/>
      <c r="AE561" s="124"/>
      <c r="AI561" s="74"/>
      <c r="AM561" s="74"/>
      <c r="AY561" s="74"/>
      <c r="BC561" s="74"/>
      <c r="BG561" s="74"/>
      <c r="BK561" s="74"/>
      <c r="BO561" s="74"/>
      <c r="BW561" s="74"/>
      <c r="DF561" s="21"/>
      <c r="DG561" s="21"/>
      <c r="DH561" s="21"/>
      <c r="DI561" s="21"/>
    </row>
    <row r="562" spans="2:113" s="123" customFormat="1">
      <c r="B562" s="125"/>
      <c r="D562" s="125"/>
      <c r="AA562" s="74"/>
      <c r="AE562" s="124"/>
      <c r="AI562" s="74"/>
      <c r="AM562" s="74"/>
      <c r="AY562" s="74"/>
      <c r="BC562" s="74"/>
      <c r="BG562" s="74"/>
      <c r="BK562" s="74"/>
      <c r="BO562" s="74"/>
      <c r="BW562" s="74"/>
      <c r="DF562" s="21"/>
      <c r="DG562" s="21"/>
      <c r="DH562" s="21"/>
      <c r="DI562" s="21"/>
    </row>
    <row r="563" spans="2:113" s="123" customFormat="1">
      <c r="B563" s="125"/>
      <c r="D563" s="125"/>
      <c r="AA563" s="74"/>
      <c r="AE563" s="124"/>
      <c r="AI563" s="74"/>
      <c r="AM563" s="74"/>
      <c r="AY563" s="74"/>
      <c r="BC563" s="74"/>
      <c r="BG563" s="74"/>
      <c r="BK563" s="74"/>
      <c r="BO563" s="74"/>
      <c r="BW563" s="74"/>
      <c r="DF563" s="21"/>
      <c r="DG563" s="21"/>
      <c r="DH563" s="21"/>
      <c r="DI563" s="21"/>
    </row>
    <row r="564" spans="2:113" s="123" customFormat="1">
      <c r="B564" s="125"/>
      <c r="D564" s="125"/>
      <c r="AA564" s="74"/>
      <c r="AE564" s="124"/>
      <c r="AI564" s="74"/>
      <c r="AM564" s="74"/>
      <c r="AY564" s="74"/>
      <c r="BC564" s="74"/>
      <c r="BG564" s="74"/>
      <c r="BK564" s="74"/>
      <c r="BO564" s="74"/>
      <c r="BW564" s="74"/>
      <c r="DF564" s="21"/>
      <c r="DG564" s="21"/>
      <c r="DH564" s="21"/>
      <c r="DI564" s="21"/>
    </row>
    <row r="565" spans="2:113" s="123" customFormat="1">
      <c r="B565" s="125"/>
      <c r="D565" s="125"/>
      <c r="AA565" s="74"/>
      <c r="AE565" s="124"/>
      <c r="AI565" s="74"/>
      <c r="AM565" s="74"/>
      <c r="AY565" s="74"/>
      <c r="BC565" s="74"/>
      <c r="BG565" s="74"/>
      <c r="BK565" s="74"/>
      <c r="BO565" s="74"/>
      <c r="BW565" s="74"/>
      <c r="DF565" s="21"/>
      <c r="DG565" s="21"/>
      <c r="DH565" s="21"/>
      <c r="DI565" s="21"/>
    </row>
    <row r="566" spans="2:113" s="123" customFormat="1">
      <c r="B566" s="125"/>
      <c r="D566" s="125"/>
      <c r="AA566" s="74"/>
      <c r="AE566" s="124"/>
      <c r="AI566" s="74"/>
      <c r="AM566" s="74"/>
      <c r="AY566" s="74"/>
      <c r="BC566" s="74"/>
      <c r="BG566" s="74"/>
      <c r="BK566" s="74"/>
      <c r="BO566" s="74"/>
      <c r="BW566" s="74"/>
      <c r="DF566" s="21"/>
      <c r="DG566" s="21"/>
      <c r="DH566" s="21"/>
      <c r="DI566" s="21"/>
    </row>
    <row r="567" spans="2:113" s="123" customFormat="1">
      <c r="B567" s="125"/>
      <c r="D567" s="125"/>
      <c r="AA567" s="74"/>
      <c r="AE567" s="124"/>
      <c r="AI567" s="74"/>
      <c r="AM567" s="74"/>
      <c r="AY567" s="74"/>
      <c r="BC567" s="74"/>
      <c r="BG567" s="74"/>
      <c r="BK567" s="74"/>
      <c r="BO567" s="74"/>
      <c r="BW567" s="74"/>
      <c r="DF567" s="21"/>
      <c r="DG567" s="21"/>
      <c r="DH567" s="21"/>
      <c r="DI567" s="21"/>
    </row>
    <row r="568" spans="2:113" s="123" customFormat="1">
      <c r="B568" s="125"/>
      <c r="D568" s="125"/>
      <c r="AA568" s="74"/>
      <c r="AE568" s="124"/>
      <c r="AI568" s="74"/>
      <c r="AM568" s="74"/>
      <c r="AY568" s="74"/>
      <c r="BC568" s="74"/>
      <c r="BG568" s="74"/>
      <c r="BK568" s="74"/>
      <c r="BO568" s="74"/>
      <c r="BW568" s="74"/>
      <c r="DF568" s="21"/>
      <c r="DG568" s="21"/>
      <c r="DH568" s="21"/>
      <c r="DI568" s="21"/>
    </row>
    <row r="569" spans="2:113" s="123" customFormat="1">
      <c r="B569" s="125"/>
      <c r="D569" s="125"/>
      <c r="AA569" s="74"/>
      <c r="AE569" s="124"/>
      <c r="AI569" s="74"/>
      <c r="AM569" s="74"/>
      <c r="AY569" s="74"/>
      <c r="BC569" s="74"/>
      <c r="BG569" s="74"/>
      <c r="BK569" s="74"/>
      <c r="BO569" s="74"/>
      <c r="BW569" s="74"/>
      <c r="DF569" s="21"/>
      <c r="DG569" s="21"/>
      <c r="DH569" s="21"/>
      <c r="DI569" s="21"/>
    </row>
    <row r="570" spans="2:113" s="123" customFormat="1">
      <c r="B570" s="125"/>
      <c r="D570" s="125"/>
      <c r="AA570" s="74"/>
      <c r="AE570" s="124"/>
      <c r="AI570" s="74"/>
      <c r="AM570" s="74"/>
      <c r="AY570" s="74"/>
      <c r="BC570" s="74"/>
      <c r="BG570" s="74"/>
      <c r="BK570" s="74"/>
      <c r="BO570" s="74"/>
      <c r="BW570" s="74"/>
      <c r="DF570" s="21"/>
      <c r="DG570" s="21"/>
      <c r="DH570" s="21"/>
      <c r="DI570" s="21"/>
    </row>
    <row r="571" spans="2:113" s="123" customFormat="1">
      <c r="B571" s="125"/>
      <c r="D571" s="125"/>
      <c r="AA571" s="74"/>
      <c r="AE571" s="124"/>
      <c r="AI571" s="74"/>
      <c r="AM571" s="74"/>
      <c r="AY571" s="74"/>
      <c r="BC571" s="74"/>
      <c r="BG571" s="74"/>
      <c r="BK571" s="74"/>
      <c r="BO571" s="74"/>
      <c r="BW571" s="74"/>
      <c r="DF571" s="21"/>
      <c r="DG571" s="21"/>
      <c r="DH571" s="21"/>
      <c r="DI571" s="21"/>
    </row>
    <row r="572" spans="2:113" s="123" customFormat="1">
      <c r="B572" s="125"/>
      <c r="D572" s="125"/>
      <c r="AA572" s="74"/>
      <c r="AE572" s="124"/>
      <c r="AI572" s="74"/>
      <c r="AM572" s="74"/>
      <c r="AY572" s="74"/>
      <c r="BC572" s="74"/>
      <c r="BG572" s="74"/>
      <c r="BK572" s="74"/>
      <c r="BO572" s="74"/>
      <c r="BW572" s="74"/>
      <c r="DF572" s="21"/>
      <c r="DG572" s="21"/>
      <c r="DH572" s="21"/>
      <c r="DI572" s="21"/>
    </row>
    <row r="573" spans="2:113" s="123" customFormat="1">
      <c r="B573" s="125"/>
      <c r="D573" s="125"/>
      <c r="AA573" s="74"/>
      <c r="AE573" s="124"/>
      <c r="AI573" s="74"/>
      <c r="AM573" s="74"/>
      <c r="AY573" s="74"/>
      <c r="BC573" s="74"/>
      <c r="BG573" s="74"/>
      <c r="BK573" s="74"/>
      <c r="BO573" s="74"/>
      <c r="BW573" s="74"/>
      <c r="DF573" s="21"/>
      <c r="DG573" s="21"/>
      <c r="DH573" s="21"/>
      <c r="DI573" s="21"/>
    </row>
    <row r="574" spans="2:113" s="123" customFormat="1">
      <c r="B574" s="125"/>
      <c r="D574" s="125"/>
      <c r="AA574" s="74"/>
      <c r="AE574" s="124"/>
      <c r="AI574" s="74"/>
      <c r="AM574" s="74"/>
      <c r="AY574" s="74"/>
      <c r="BC574" s="74"/>
      <c r="BG574" s="74"/>
      <c r="BK574" s="74"/>
      <c r="BO574" s="74"/>
      <c r="BW574" s="74"/>
      <c r="DF574" s="21"/>
      <c r="DG574" s="21"/>
      <c r="DH574" s="21"/>
      <c r="DI574" s="21"/>
    </row>
    <row r="575" spans="2:113" s="123" customFormat="1">
      <c r="B575" s="125"/>
      <c r="D575" s="125"/>
      <c r="AA575" s="74"/>
      <c r="AE575" s="124"/>
      <c r="AI575" s="74"/>
      <c r="AM575" s="74"/>
      <c r="AY575" s="74"/>
      <c r="BC575" s="74"/>
      <c r="BG575" s="74"/>
      <c r="BK575" s="74"/>
      <c r="BO575" s="74"/>
      <c r="BW575" s="74"/>
      <c r="DF575" s="21"/>
      <c r="DG575" s="21"/>
      <c r="DH575" s="21"/>
      <c r="DI575" s="21"/>
    </row>
    <row r="576" spans="2:113" s="123" customFormat="1">
      <c r="B576" s="125"/>
      <c r="D576" s="125"/>
      <c r="AA576" s="74"/>
      <c r="AE576" s="124"/>
      <c r="AI576" s="74"/>
      <c r="AM576" s="74"/>
      <c r="AY576" s="74"/>
      <c r="BC576" s="74"/>
      <c r="BG576" s="74"/>
      <c r="BK576" s="74"/>
      <c r="BO576" s="74"/>
      <c r="BW576" s="74"/>
      <c r="DF576" s="21"/>
      <c r="DG576" s="21"/>
      <c r="DH576" s="21"/>
      <c r="DI576" s="21"/>
    </row>
    <row r="577" spans="2:113" s="123" customFormat="1">
      <c r="B577" s="125"/>
      <c r="D577" s="125"/>
      <c r="AA577" s="74"/>
      <c r="AE577" s="124"/>
      <c r="AI577" s="74"/>
      <c r="AM577" s="74"/>
      <c r="AY577" s="74"/>
      <c r="BC577" s="74"/>
      <c r="BG577" s="74"/>
      <c r="BK577" s="74"/>
      <c r="BO577" s="74"/>
      <c r="BW577" s="74"/>
      <c r="DF577" s="21"/>
      <c r="DG577" s="21"/>
      <c r="DH577" s="21"/>
      <c r="DI577" s="21"/>
    </row>
    <row r="578" spans="2:113" s="123" customFormat="1">
      <c r="B578" s="125"/>
      <c r="D578" s="125"/>
      <c r="AA578" s="74"/>
      <c r="AE578" s="124"/>
      <c r="AI578" s="74"/>
      <c r="AM578" s="74"/>
      <c r="AY578" s="74"/>
      <c r="BC578" s="74"/>
      <c r="BG578" s="74"/>
      <c r="BK578" s="74"/>
      <c r="BO578" s="74"/>
      <c r="BW578" s="74"/>
      <c r="DF578" s="21"/>
      <c r="DG578" s="21"/>
      <c r="DH578" s="21"/>
      <c r="DI578" s="21"/>
    </row>
    <row r="579" spans="2:113" s="123" customFormat="1">
      <c r="B579" s="125"/>
      <c r="D579" s="125"/>
      <c r="AA579" s="74"/>
      <c r="AE579" s="124"/>
      <c r="AI579" s="74"/>
      <c r="AM579" s="74"/>
      <c r="AY579" s="74"/>
      <c r="BC579" s="74"/>
      <c r="BG579" s="74"/>
      <c r="BK579" s="74"/>
      <c r="BO579" s="74"/>
      <c r="BW579" s="74"/>
      <c r="DF579" s="21"/>
      <c r="DG579" s="21"/>
      <c r="DH579" s="21"/>
      <c r="DI579" s="21"/>
    </row>
    <row r="580" spans="2:113" s="123" customFormat="1">
      <c r="B580" s="125"/>
      <c r="D580" s="125"/>
      <c r="AA580" s="74"/>
      <c r="AE580" s="124"/>
      <c r="AI580" s="74"/>
      <c r="AM580" s="74"/>
      <c r="AY580" s="74"/>
      <c r="BC580" s="74"/>
      <c r="BG580" s="74"/>
      <c r="BK580" s="74"/>
      <c r="BO580" s="74"/>
      <c r="BW580" s="74"/>
      <c r="DF580" s="21"/>
      <c r="DG580" s="21"/>
      <c r="DH580" s="21"/>
      <c r="DI580" s="21"/>
    </row>
    <row r="581" spans="2:113" s="123" customFormat="1">
      <c r="B581" s="125"/>
      <c r="D581" s="125"/>
      <c r="AA581" s="74"/>
      <c r="AE581" s="124"/>
      <c r="AI581" s="74"/>
      <c r="AM581" s="74"/>
      <c r="AY581" s="74"/>
      <c r="BC581" s="74"/>
      <c r="BG581" s="74"/>
      <c r="BK581" s="74"/>
      <c r="BO581" s="74"/>
      <c r="BW581" s="74"/>
      <c r="DF581" s="21"/>
      <c r="DG581" s="21"/>
      <c r="DH581" s="21"/>
      <c r="DI581" s="21"/>
    </row>
    <row r="582" spans="2:113" s="123" customFormat="1">
      <c r="B582" s="125"/>
      <c r="D582" s="125"/>
      <c r="AA582" s="74"/>
      <c r="AE582" s="124"/>
      <c r="AI582" s="74"/>
      <c r="AM582" s="74"/>
      <c r="AY582" s="74"/>
      <c r="BC582" s="74"/>
      <c r="BG582" s="74"/>
      <c r="BK582" s="74"/>
      <c r="BO582" s="74"/>
      <c r="BW582" s="74"/>
      <c r="DF582" s="21"/>
      <c r="DG582" s="21"/>
      <c r="DH582" s="21"/>
      <c r="DI582" s="21"/>
    </row>
    <row r="583" spans="2:113" s="123" customFormat="1">
      <c r="B583" s="125"/>
      <c r="D583" s="125"/>
      <c r="AA583" s="74"/>
      <c r="AE583" s="124"/>
      <c r="AI583" s="74"/>
      <c r="AM583" s="74"/>
      <c r="AY583" s="74"/>
      <c r="BC583" s="74"/>
      <c r="BG583" s="74"/>
      <c r="BK583" s="74"/>
      <c r="BO583" s="74"/>
      <c r="BW583" s="74"/>
      <c r="DF583" s="21"/>
      <c r="DG583" s="21"/>
      <c r="DH583" s="21"/>
      <c r="DI583" s="21"/>
    </row>
    <row r="584" spans="2:113" s="123" customFormat="1">
      <c r="B584" s="125"/>
      <c r="D584" s="125"/>
      <c r="AA584" s="74"/>
      <c r="AE584" s="124"/>
      <c r="AI584" s="74"/>
      <c r="AM584" s="74"/>
      <c r="AY584" s="74"/>
      <c r="BC584" s="74"/>
      <c r="BG584" s="74"/>
      <c r="BK584" s="74"/>
      <c r="BO584" s="74"/>
      <c r="BW584" s="74"/>
      <c r="DF584" s="21"/>
      <c r="DG584" s="21"/>
      <c r="DH584" s="21"/>
      <c r="DI584" s="21"/>
    </row>
    <row r="585" spans="2:113" s="123" customFormat="1">
      <c r="B585" s="125"/>
      <c r="D585" s="125"/>
      <c r="AA585" s="74"/>
      <c r="AE585" s="124"/>
      <c r="AI585" s="74"/>
      <c r="AM585" s="74"/>
      <c r="AY585" s="74"/>
      <c r="BC585" s="74"/>
      <c r="BG585" s="74"/>
      <c r="BK585" s="74"/>
      <c r="BO585" s="74"/>
      <c r="BW585" s="74"/>
      <c r="DF585" s="21"/>
      <c r="DG585" s="21"/>
      <c r="DH585" s="21"/>
      <c r="DI585" s="21"/>
    </row>
    <row r="586" spans="2:113" s="123" customFormat="1">
      <c r="B586" s="125"/>
      <c r="D586" s="125"/>
      <c r="AA586" s="74"/>
      <c r="AE586" s="124"/>
      <c r="AI586" s="74"/>
      <c r="AM586" s="74"/>
      <c r="AY586" s="74"/>
      <c r="BC586" s="74"/>
      <c r="BG586" s="74"/>
      <c r="BK586" s="74"/>
      <c r="BO586" s="74"/>
      <c r="BW586" s="74"/>
      <c r="DF586" s="21"/>
      <c r="DG586" s="21"/>
      <c r="DH586" s="21"/>
      <c r="DI586" s="21"/>
    </row>
    <row r="587" spans="2:113" s="123" customFormat="1">
      <c r="B587" s="125"/>
      <c r="D587" s="125"/>
      <c r="AA587" s="74"/>
      <c r="AE587" s="124"/>
      <c r="AI587" s="74"/>
      <c r="AM587" s="74"/>
      <c r="AY587" s="74"/>
      <c r="BC587" s="74"/>
      <c r="BG587" s="74"/>
      <c r="BK587" s="74"/>
      <c r="BO587" s="74"/>
      <c r="BW587" s="74"/>
      <c r="DF587" s="21"/>
      <c r="DG587" s="21"/>
      <c r="DH587" s="21"/>
      <c r="DI587" s="21"/>
    </row>
    <row r="588" spans="2:113" s="123" customFormat="1">
      <c r="B588" s="125"/>
      <c r="D588" s="125"/>
      <c r="AA588" s="74"/>
      <c r="AE588" s="124"/>
      <c r="AI588" s="74"/>
      <c r="AM588" s="74"/>
      <c r="AY588" s="74"/>
      <c r="BC588" s="74"/>
      <c r="BG588" s="74"/>
      <c r="BK588" s="74"/>
      <c r="BO588" s="74"/>
      <c r="BW588" s="74"/>
      <c r="DF588" s="21"/>
      <c r="DG588" s="21"/>
      <c r="DH588" s="21"/>
      <c r="DI588" s="21"/>
    </row>
    <row r="589" spans="2:113" s="123" customFormat="1">
      <c r="B589" s="125"/>
      <c r="D589" s="125"/>
      <c r="AA589" s="74"/>
      <c r="AE589" s="124"/>
      <c r="AI589" s="74"/>
      <c r="AM589" s="74"/>
      <c r="AY589" s="74"/>
      <c r="BC589" s="74"/>
      <c r="BG589" s="74"/>
      <c r="BK589" s="74"/>
      <c r="BO589" s="74"/>
      <c r="BW589" s="74"/>
      <c r="DF589" s="21"/>
      <c r="DG589" s="21"/>
      <c r="DH589" s="21"/>
      <c r="DI589" s="21"/>
    </row>
    <row r="590" spans="2:113" s="123" customFormat="1">
      <c r="B590" s="125"/>
      <c r="D590" s="125"/>
      <c r="AA590" s="74"/>
      <c r="AE590" s="124"/>
      <c r="AI590" s="74"/>
      <c r="AM590" s="74"/>
      <c r="AY590" s="74"/>
      <c r="BC590" s="74"/>
      <c r="BG590" s="74"/>
      <c r="BK590" s="74"/>
      <c r="BO590" s="74"/>
      <c r="BW590" s="74"/>
      <c r="DF590" s="21"/>
      <c r="DG590" s="21"/>
      <c r="DH590" s="21"/>
      <c r="DI590" s="21"/>
    </row>
    <row r="591" spans="2:113" s="123" customFormat="1">
      <c r="B591" s="125"/>
      <c r="D591" s="125"/>
      <c r="AA591" s="74"/>
      <c r="AE591" s="124"/>
      <c r="AI591" s="74"/>
      <c r="AM591" s="74"/>
      <c r="AY591" s="74"/>
      <c r="BC591" s="74"/>
      <c r="BG591" s="74"/>
      <c r="BK591" s="74"/>
      <c r="BO591" s="74"/>
      <c r="BW591" s="74"/>
      <c r="DF591" s="21"/>
      <c r="DG591" s="21"/>
      <c r="DH591" s="21"/>
      <c r="DI591" s="21"/>
    </row>
    <row r="592" spans="2:113" s="123" customFormat="1">
      <c r="B592" s="125"/>
      <c r="D592" s="125"/>
      <c r="AA592" s="74"/>
      <c r="AE592" s="124"/>
      <c r="AI592" s="74"/>
      <c r="AM592" s="74"/>
      <c r="AY592" s="74"/>
      <c r="BC592" s="74"/>
      <c r="BG592" s="74"/>
      <c r="BK592" s="74"/>
      <c r="BO592" s="74"/>
      <c r="BW592" s="74"/>
      <c r="DF592" s="21"/>
      <c r="DG592" s="21"/>
      <c r="DH592" s="21"/>
      <c r="DI592" s="21"/>
    </row>
    <row r="593" spans="2:113" s="123" customFormat="1">
      <c r="B593" s="125"/>
      <c r="D593" s="125"/>
      <c r="AA593" s="74"/>
      <c r="AE593" s="124"/>
      <c r="AI593" s="74"/>
      <c r="AM593" s="74"/>
      <c r="AY593" s="74"/>
      <c r="BC593" s="74"/>
      <c r="BG593" s="74"/>
      <c r="BK593" s="74"/>
      <c r="BO593" s="74"/>
      <c r="BW593" s="74"/>
      <c r="DF593" s="21"/>
      <c r="DG593" s="21"/>
      <c r="DH593" s="21"/>
      <c r="DI593" s="21"/>
    </row>
    <row r="594" spans="2:113" s="123" customFormat="1">
      <c r="B594" s="125"/>
      <c r="D594" s="125"/>
      <c r="AA594" s="74"/>
      <c r="AE594" s="124"/>
      <c r="AI594" s="74"/>
      <c r="AM594" s="74"/>
      <c r="AY594" s="74"/>
      <c r="BC594" s="74"/>
      <c r="BG594" s="74"/>
      <c r="BK594" s="74"/>
      <c r="BO594" s="74"/>
      <c r="BW594" s="74"/>
      <c r="DF594" s="21"/>
      <c r="DG594" s="21"/>
      <c r="DH594" s="21"/>
      <c r="DI594" s="21"/>
    </row>
    <row r="595" spans="2:113" s="123" customFormat="1">
      <c r="B595" s="125"/>
      <c r="D595" s="125"/>
      <c r="AA595" s="74"/>
      <c r="AE595" s="124"/>
      <c r="AI595" s="74"/>
      <c r="AM595" s="74"/>
      <c r="AY595" s="74"/>
      <c r="BC595" s="74"/>
      <c r="BG595" s="74"/>
      <c r="BK595" s="74"/>
      <c r="BO595" s="74"/>
      <c r="BW595" s="74"/>
      <c r="DF595" s="21"/>
      <c r="DG595" s="21"/>
      <c r="DH595" s="21"/>
      <c r="DI595" s="21"/>
    </row>
    <row r="596" spans="2:113" s="123" customFormat="1">
      <c r="B596" s="125"/>
      <c r="D596" s="125"/>
      <c r="AA596" s="74"/>
      <c r="AE596" s="124"/>
      <c r="AI596" s="74"/>
      <c r="AM596" s="74"/>
      <c r="AY596" s="74"/>
      <c r="BC596" s="74"/>
      <c r="BG596" s="74"/>
      <c r="BK596" s="74"/>
      <c r="BO596" s="74"/>
      <c r="BW596" s="74"/>
      <c r="DF596" s="21"/>
      <c r="DG596" s="21"/>
      <c r="DH596" s="21"/>
      <c r="DI596" s="21"/>
    </row>
    <row r="597" spans="2:113" s="123" customFormat="1">
      <c r="B597" s="125"/>
      <c r="D597" s="125"/>
      <c r="AA597" s="74"/>
      <c r="AE597" s="124"/>
      <c r="AI597" s="74"/>
      <c r="AM597" s="74"/>
      <c r="AY597" s="74"/>
      <c r="BC597" s="74"/>
      <c r="BG597" s="74"/>
      <c r="BK597" s="74"/>
      <c r="BO597" s="74"/>
      <c r="BW597" s="74"/>
      <c r="DF597" s="21"/>
      <c r="DG597" s="21"/>
      <c r="DH597" s="21"/>
      <c r="DI597" s="21"/>
    </row>
    <row r="598" spans="2:113" s="123" customFormat="1">
      <c r="B598" s="125"/>
      <c r="D598" s="125"/>
      <c r="AA598" s="74"/>
      <c r="AE598" s="124"/>
      <c r="AI598" s="74"/>
      <c r="AM598" s="74"/>
      <c r="AY598" s="74"/>
      <c r="BC598" s="74"/>
      <c r="BG598" s="74"/>
      <c r="BK598" s="74"/>
      <c r="BO598" s="74"/>
      <c r="BW598" s="74"/>
      <c r="DF598" s="21"/>
      <c r="DG598" s="21"/>
      <c r="DH598" s="21"/>
      <c r="DI598" s="21"/>
    </row>
    <row r="599" spans="2:113" s="123" customFormat="1">
      <c r="B599" s="125"/>
      <c r="D599" s="125"/>
      <c r="AA599" s="74"/>
      <c r="AE599" s="124"/>
      <c r="AI599" s="74"/>
      <c r="AM599" s="74"/>
      <c r="AY599" s="74"/>
      <c r="BC599" s="74"/>
      <c r="BG599" s="74"/>
      <c r="BK599" s="74"/>
      <c r="BO599" s="74"/>
      <c r="BW599" s="74"/>
      <c r="DF599" s="21"/>
      <c r="DG599" s="21"/>
      <c r="DH599" s="21"/>
      <c r="DI599" s="21"/>
    </row>
    <row r="600" spans="2:113" s="123" customFormat="1">
      <c r="B600" s="125"/>
      <c r="D600" s="125"/>
      <c r="AA600" s="74"/>
      <c r="AE600" s="124"/>
      <c r="AI600" s="74"/>
      <c r="AM600" s="74"/>
      <c r="AY600" s="74"/>
      <c r="BC600" s="74"/>
      <c r="BG600" s="74"/>
      <c r="BK600" s="74"/>
      <c r="BO600" s="74"/>
      <c r="BW600" s="74"/>
      <c r="DF600" s="21"/>
      <c r="DG600" s="21"/>
      <c r="DH600" s="21"/>
      <c r="DI600" s="21"/>
    </row>
    <row r="601" spans="2:113" s="123" customFormat="1">
      <c r="B601" s="125"/>
      <c r="D601" s="125"/>
      <c r="AA601" s="74"/>
      <c r="AE601" s="124"/>
      <c r="AI601" s="74"/>
      <c r="AM601" s="74"/>
      <c r="AY601" s="74"/>
      <c r="BC601" s="74"/>
      <c r="BG601" s="74"/>
      <c r="BK601" s="74"/>
      <c r="BO601" s="74"/>
      <c r="BW601" s="74"/>
      <c r="DF601" s="21"/>
      <c r="DG601" s="21"/>
      <c r="DH601" s="21"/>
      <c r="DI601" s="21"/>
    </row>
    <row r="602" spans="2:113" s="123" customFormat="1">
      <c r="B602" s="125"/>
      <c r="D602" s="125"/>
      <c r="AA602" s="74"/>
      <c r="AE602" s="124"/>
      <c r="AI602" s="74"/>
      <c r="AM602" s="74"/>
      <c r="AY602" s="74"/>
      <c r="BC602" s="74"/>
      <c r="BG602" s="74"/>
      <c r="BK602" s="74"/>
      <c r="BO602" s="74"/>
      <c r="BW602" s="74"/>
      <c r="DF602" s="21"/>
      <c r="DG602" s="21"/>
      <c r="DH602" s="21"/>
      <c r="DI602" s="21"/>
    </row>
    <row r="603" spans="2:113" s="123" customFormat="1">
      <c r="B603" s="125"/>
      <c r="D603" s="125"/>
      <c r="AA603" s="74"/>
      <c r="AE603" s="124"/>
      <c r="AI603" s="74"/>
      <c r="AM603" s="74"/>
      <c r="AY603" s="74"/>
      <c r="BC603" s="74"/>
      <c r="BG603" s="74"/>
      <c r="BK603" s="74"/>
      <c r="BO603" s="74"/>
      <c r="BW603" s="74"/>
      <c r="DF603" s="21"/>
      <c r="DG603" s="21"/>
      <c r="DH603" s="21"/>
      <c r="DI603" s="21"/>
    </row>
    <row r="604" spans="2:113" s="123" customFormat="1">
      <c r="B604" s="125"/>
      <c r="D604" s="125"/>
      <c r="AA604" s="74"/>
      <c r="AE604" s="124"/>
      <c r="AI604" s="74"/>
      <c r="AM604" s="74"/>
      <c r="AY604" s="74"/>
      <c r="BC604" s="74"/>
      <c r="BG604" s="74"/>
      <c r="BK604" s="74"/>
      <c r="BO604" s="74"/>
      <c r="BW604" s="74"/>
      <c r="DF604" s="21"/>
      <c r="DG604" s="21"/>
      <c r="DH604" s="21"/>
      <c r="DI604" s="21"/>
    </row>
    <row r="605" spans="2:113" s="123" customFormat="1">
      <c r="B605" s="125"/>
      <c r="D605" s="125"/>
      <c r="AA605" s="74"/>
      <c r="AE605" s="124"/>
      <c r="AI605" s="74"/>
      <c r="AM605" s="74"/>
      <c r="AY605" s="74"/>
      <c r="BC605" s="74"/>
      <c r="BG605" s="74"/>
      <c r="BK605" s="74"/>
      <c r="BO605" s="74"/>
      <c r="BW605" s="74"/>
      <c r="DF605" s="21"/>
      <c r="DG605" s="21"/>
      <c r="DH605" s="21"/>
      <c r="DI605" s="21"/>
    </row>
    <row r="606" spans="2:113" s="123" customFormat="1">
      <c r="B606" s="125"/>
      <c r="D606" s="125"/>
      <c r="AA606" s="74"/>
      <c r="AE606" s="124"/>
      <c r="AI606" s="74"/>
      <c r="AM606" s="74"/>
      <c r="AY606" s="74"/>
      <c r="BC606" s="74"/>
      <c r="BG606" s="74"/>
      <c r="BK606" s="74"/>
      <c r="BO606" s="74"/>
      <c r="BW606" s="74"/>
      <c r="DF606" s="21"/>
      <c r="DG606" s="21"/>
      <c r="DH606" s="21"/>
      <c r="DI606" s="21"/>
    </row>
    <row r="607" spans="2:113" s="123" customFormat="1">
      <c r="B607" s="125"/>
      <c r="D607" s="125"/>
      <c r="AA607" s="74"/>
      <c r="AE607" s="124"/>
      <c r="AI607" s="74"/>
      <c r="AM607" s="74"/>
      <c r="AY607" s="74"/>
      <c r="BC607" s="74"/>
      <c r="BG607" s="74"/>
      <c r="BK607" s="74"/>
      <c r="BO607" s="74"/>
      <c r="BW607" s="74"/>
      <c r="DF607" s="21"/>
      <c r="DG607" s="21"/>
      <c r="DH607" s="21"/>
      <c r="DI607" s="21"/>
    </row>
    <row r="608" spans="2:113" s="123" customFormat="1">
      <c r="B608" s="125"/>
      <c r="D608" s="125"/>
      <c r="AA608" s="74"/>
      <c r="AE608" s="124"/>
      <c r="AI608" s="74"/>
      <c r="AM608" s="74"/>
      <c r="AY608" s="74"/>
      <c r="BC608" s="74"/>
      <c r="BG608" s="74"/>
      <c r="BK608" s="74"/>
      <c r="BO608" s="74"/>
      <c r="BW608" s="74"/>
      <c r="DF608" s="21"/>
      <c r="DG608" s="21"/>
      <c r="DH608" s="21"/>
      <c r="DI608" s="21"/>
    </row>
    <row r="609" spans="2:113" s="123" customFormat="1">
      <c r="B609" s="125"/>
      <c r="D609" s="125"/>
      <c r="AA609" s="74"/>
      <c r="AE609" s="124"/>
      <c r="AI609" s="74"/>
      <c r="AM609" s="74"/>
      <c r="AY609" s="74"/>
      <c r="BC609" s="74"/>
      <c r="BG609" s="74"/>
      <c r="BK609" s="74"/>
      <c r="BO609" s="74"/>
      <c r="BW609" s="74"/>
      <c r="DF609" s="21"/>
      <c r="DG609" s="21"/>
      <c r="DH609" s="21"/>
      <c r="DI609" s="21"/>
    </row>
    <row r="610" spans="2:113" s="123" customFormat="1">
      <c r="B610" s="125"/>
      <c r="D610" s="125"/>
      <c r="AA610" s="74"/>
      <c r="AE610" s="124"/>
      <c r="AI610" s="74"/>
      <c r="AM610" s="74"/>
      <c r="AY610" s="74"/>
      <c r="BC610" s="74"/>
      <c r="BG610" s="74"/>
      <c r="BK610" s="74"/>
      <c r="BO610" s="74"/>
      <c r="BW610" s="74"/>
      <c r="DF610" s="21"/>
      <c r="DG610" s="21"/>
      <c r="DH610" s="21"/>
      <c r="DI610" s="21"/>
    </row>
    <row r="611" spans="2:113" s="123" customFormat="1">
      <c r="B611" s="125"/>
      <c r="D611" s="125"/>
      <c r="AA611" s="74"/>
      <c r="AE611" s="124"/>
      <c r="AI611" s="74"/>
      <c r="AM611" s="74"/>
      <c r="AY611" s="74"/>
      <c r="BC611" s="74"/>
      <c r="BG611" s="74"/>
      <c r="BK611" s="74"/>
      <c r="BO611" s="74"/>
      <c r="BW611" s="74"/>
      <c r="DF611" s="21"/>
      <c r="DG611" s="21"/>
      <c r="DH611" s="21"/>
      <c r="DI611" s="21"/>
    </row>
    <row r="612" spans="2:113" s="123" customFormat="1">
      <c r="B612" s="125"/>
      <c r="D612" s="125"/>
      <c r="AA612" s="74"/>
      <c r="AE612" s="124"/>
      <c r="AI612" s="74"/>
      <c r="AM612" s="74"/>
      <c r="AY612" s="74"/>
      <c r="BC612" s="74"/>
      <c r="BG612" s="74"/>
      <c r="BK612" s="74"/>
      <c r="BO612" s="74"/>
      <c r="BW612" s="74"/>
      <c r="DF612" s="21"/>
      <c r="DG612" s="21"/>
      <c r="DH612" s="21"/>
      <c r="DI612" s="21"/>
    </row>
    <row r="613" spans="2:113" s="123" customFormat="1">
      <c r="B613" s="125"/>
      <c r="D613" s="125"/>
      <c r="AA613" s="74"/>
      <c r="AE613" s="124"/>
      <c r="AI613" s="74"/>
      <c r="AM613" s="74"/>
      <c r="AY613" s="74"/>
      <c r="BC613" s="74"/>
      <c r="BG613" s="74"/>
      <c r="BK613" s="74"/>
      <c r="BO613" s="74"/>
      <c r="BW613" s="74"/>
      <c r="DF613" s="21"/>
      <c r="DG613" s="21"/>
      <c r="DH613" s="21"/>
      <c r="DI613" s="21"/>
    </row>
    <row r="614" spans="2:113" s="123" customFormat="1">
      <c r="B614" s="125"/>
      <c r="D614" s="125"/>
      <c r="AA614" s="74"/>
      <c r="AE614" s="124"/>
      <c r="AI614" s="74"/>
      <c r="AM614" s="74"/>
      <c r="AY614" s="74"/>
      <c r="BC614" s="74"/>
      <c r="BG614" s="74"/>
      <c r="BK614" s="74"/>
      <c r="BO614" s="74"/>
      <c r="BW614" s="74"/>
      <c r="DF614" s="21"/>
      <c r="DG614" s="21"/>
      <c r="DH614" s="21"/>
      <c r="DI614" s="21"/>
    </row>
    <row r="615" spans="2:113" s="123" customFormat="1">
      <c r="B615" s="125"/>
      <c r="D615" s="125"/>
      <c r="AA615" s="74"/>
      <c r="AE615" s="124"/>
      <c r="AI615" s="74"/>
      <c r="AM615" s="74"/>
      <c r="AY615" s="74"/>
      <c r="BC615" s="74"/>
      <c r="BG615" s="74"/>
      <c r="BK615" s="74"/>
      <c r="BO615" s="74"/>
      <c r="BW615" s="74"/>
      <c r="DF615" s="21"/>
      <c r="DG615" s="21"/>
      <c r="DH615" s="21"/>
      <c r="DI615" s="21"/>
    </row>
    <row r="616" spans="2:113" s="123" customFormat="1">
      <c r="B616" s="125"/>
      <c r="D616" s="125"/>
      <c r="AA616" s="74"/>
      <c r="AE616" s="124"/>
      <c r="AI616" s="74"/>
      <c r="AM616" s="74"/>
      <c r="AY616" s="74"/>
      <c r="BC616" s="74"/>
      <c r="BG616" s="74"/>
      <c r="BK616" s="74"/>
      <c r="BO616" s="74"/>
      <c r="BW616" s="74"/>
      <c r="DF616" s="21"/>
      <c r="DG616" s="21"/>
      <c r="DH616" s="21"/>
      <c r="DI616" s="21"/>
    </row>
    <row r="617" spans="2:113" s="123" customFormat="1">
      <c r="B617" s="125"/>
      <c r="D617" s="125"/>
      <c r="AA617" s="74"/>
      <c r="AE617" s="124"/>
      <c r="AI617" s="74"/>
      <c r="AM617" s="74"/>
      <c r="AY617" s="74"/>
      <c r="BC617" s="74"/>
      <c r="BG617" s="74"/>
      <c r="BK617" s="74"/>
      <c r="BO617" s="74"/>
      <c r="BW617" s="74"/>
      <c r="DF617" s="21"/>
      <c r="DG617" s="21"/>
      <c r="DH617" s="21"/>
      <c r="DI617" s="21"/>
    </row>
    <row r="618" spans="2:113" s="123" customFormat="1">
      <c r="B618" s="125"/>
      <c r="D618" s="125"/>
      <c r="AA618" s="74"/>
      <c r="AE618" s="124"/>
      <c r="AI618" s="74"/>
      <c r="AM618" s="74"/>
      <c r="AY618" s="74"/>
      <c r="BC618" s="74"/>
      <c r="BG618" s="74"/>
      <c r="BK618" s="74"/>
      <c r="BO618" s="74"/>
      <c r="BW618" s="74"/>
      <c r="DF618" s="21"/>
      <c r="DG618" s="21"/>
      <c r="DH618" s="21"/>
      <c r="DI618" s="21"/>
    </row>
    <row r="619" spans="2:113" s="123" customFormat="1">
      <c r="B619" s="125"/>
      <c r="D619" s="125"/>
      <c r="AA619" s="74"/>
      <c r="AE619" s="124"/>
      <c r="AI619" s="74"/>
      <c r="AM619" s="74"/>
      <c r="AY619" s="74"/>
      <c r="BC619" s="74"/>
      <c r="BG619" s="74"/>
      <c r="BK619" s="74"/>
      <c r="BO619" s="74"/>
      <c r="BW619" s="74"/>
      <c r="DF619" s="21"/>
      <c r="DG619" s="21"/>
      <c r="DH619" s="21"/>
      <c r="DI619" s="21"/>
    </row>
    <row r="620" spans="2:113" s="123" customFormat="1">
      <c r="B620" s="125"/>
      <c r="D620" s="125"/>
      <c r="AA620" s="74"/>
      <c r="AE620" s="124"/>
      <c r="AI620" s="74"/>
      <c r="AM620" s="74"/>
      <c r="AY620" s="74"/>
      <c r="BC620" s="74"/>
      <c r="BG620" s="74"/>
      <c r="BK620" s="74"/>
      <c r="BO620" s="74"/>
      <c r="BW620" s="74"/>
      <c r="DF620" s="21"/>
      <c r="DG620" s="21"/>
      <c r="DH620" s="21"/>
      <c r="DI620" s="21"/>
    </row>
    <row r="621" spans="2:113" s="123" customFormat="1">
      <c r="B621" s="125"/>
      <c r="D621" s="125"/>
      <c r="AA621" s="74"/>
      <c r="AE621" s="124"/>
      <c r="AI621" s="74"/>
      <c r="AM621" s="74"/>
      <c r="AY621" s="74"/>
      <c r="BC621" s="74"/>
      <c r="BG621" s="74"/>
      <c r="BK621" s="74"/>
      <c r="BO621" s="74"/>
      <c r="BW621" s="74"/>
      <c r="DF621" s="21"/>
      <c r="DG621" s="21"/>
      <c r="DH621" s="21"/>
      <c r="DI621" s="21"/>
    </row>
    <row r="622" spans="2:113" s="123" customFormat="1">
      <c r="B622" s="125"/>
      <c r="D622" s="125"/>
      <c r="AA622" s="74"/>
      <c r="AE622" s="124"/>
      <c r="AI622" s="74"/>
      <c r="AM622" s="74"/>
      <c r="AY622" s="74"/>
      <c r="BC622" s="74"/>
      <c r="BG622" s="74"/>
      <c r="BK622" s="74"/>
      <c r="BO622" s="74"/>
      <c r="BW622" s="74"/>
      <c r="DF622" s="21"/>
      <c r="DG622" s="21"/>
      <c r="DH622" s="21"/>
      <c r="DI622" s="21"/>
    </row>
    <row r="623" spans="2:113" s="123" customFormat="1">
      <c r="B623" s="125"/>
      <c r="D623" s="125"/>
      <c r="AA623" s="74"/>
      <c r="AE623" s="124"/>
      <c r="AI623" s="74"/>
      <c r="AM623" s="74"/>
      <c r="AY623" s="74"/>
      <c r="BC623" s="74"/>
      <c r="BG623" s="74"/>
      <c r="BK623" s="74"/>
      <c r="BO623" s="74"/>
      <c r="BW623" s="74"/>
      <c r="DF623" s="21"/>
      <c r="DG623" s="21"/>
      <c r="DH623" s="21"/>
      <c r="DI623" s="21"/>
    </row>
    <row r="624" spans="2:113" s="123" customFormat="1">
      <c r="B624" s="125"/>
      <c r="D624" s="125"/>
      <c r="AA624" s="74"/>
      <c r="AE624" s="124"/>
      <c r="AI624" s="74"/>
      <c r="AM624" s="74"/>
      <c r="AY624" s="74"/>
      <c r="BC624" s="74"/>
      <c r="BG624" s="74"/>
      <c r="BK624" s="74"/>
      <c r="BO624" s="74"/>
      <c r="BW624" s="74"/>
      <c r="DF624" s="21"/>
      <c r="DG624" s="21"/>
      <c r="DH624" s="21"/>
      <c r="DI624" s="21"/>
    </row>
    <row r="625" spans="2:113" s="123" customFormat="1">
      <c r="B625" s="125"/>
      <c r="D625" s="125"/>
      <c r="AA625" s="74"/>
      <c r="AE625" s="124"/>
      <c r="AI625" s="74"/>
      <c r="AM625" s="74"/>
      <c r="AY625" s="74"/>
      <c r="BC625" s="74"/>
      <c r="BG625" s="74"/>
      <c r="BK625" s="74"/>
      <c r="BO625" s="74"/>
      <c r="BW625" s="74"/>
      <c r="DF625" s="21"/>
      <c r="DG625" s="21"/>
      <c r="DH625" s="21"/>
      <c r="DI625" s="21"/>
    </row>
    <row r="626" spans="2:113" s="123" customFormat="1">
      <c r="B626" s="125"/>
      <c r="D626" s="125"/>
      <c r="AA626" s="74"/>
      <c r="AE626" s="124"/>
      <c r="AI626" s="74"/>
      <c r="AM626" s="74"/>
      <c r="AY626" s="74"/>
      <c r="BC626" s="74"/>
      <c r="BG626" s="74"/>
      <c r="BK626" s="74"/>
      <c r="BO626" s="74"/>
      <c r="BW626" s="74"/>
      <c r="DF626" s="21"/>
      <c r="DG626" s="21"/>
      <c r="DH626" s="21"/>
      <c r="DI626" s="21"/>
    </row>
    <row r="627" spans="2:113" s="123" customFormat="1">
      <c r="B627" s="125"/>
      <c r="D627" s="125"/>
      <c r="AA627" s="74"/>
      <c r="AE627" s="124"/>
      <c r="AI627" s="74"/>
      <c r="AM627" s="74"/>
      <c r="AY627" s="74"/>
      <c r="BC627" s="74"/>
      <c r="BG627" s="74"/>
      <c r="BK627" s="74"/>
      <c r="BO627" s="74"/>
      <c r="BW627" s="74"/>
      <c r="DF627" s="21"/>
      <c r="DG627" s="21"/>
      <c r="DH627" s="21"/>
      <c r="DI627" s="21"/>
    </row>
    <row r="628" spans="2:113" s="123" customFormat="1">
      <c r="B628" s="125"/>
      <c r="D628" s="125"/>
      <c r="AA628" s="74"/>
      <c r="AE628" s="124"/>
      <c r="AI628" s="74"/>
      <c r="AM628" s="74"/>
      <c r="AY628" s="74"/>
      <c r="BC628" s="74"/>
      <c r="BG628" s="74"/>
      <c r="BK628" s="74"/>
      <c r="BO628" s="74"/>
      <c r="BW628" s="74"/>
      <c r="DF628" s="21"/>
      <c r="DG628" s="21"/>
      <c r="DH628" s="21"/>
      <c r="DI628" s="21"/>
    </row>
    <row r="629" spans="2:113" s="123" customFormat="1">
      <c r="B629" s="125"/>
      <c r="D629" s="125"/>
      <c r="AA629" s="74"/>
      <c r="AE629" s="124"/>
      <c r="AI629" s="74"/>
      <c r="AM629" s="74"/>
      <c r="AY629" s="74"/>
      <c r="BC629" s="74"/>
      <c r="BG629" s="74"/>
      <c r="BK629" s="74"/>
      <c r="BO629" s="74"/>
      <c r="BW629" s="74"/>
      <c r="DF629" s="21"/>
      <c r="DG629" s="21"/>
      <c r="DH629" s="21"/>
      <c r="DI629" s="21"/>
    </row>
    <row r="630" spans="2:113" s="123" customFormat="1">
      <c r="B630" s="125"/>
      <c r="D630" s="125"/>
      <c r="AA630" s="74"/>
      <c r="AE630" s="124"/>
      <c r="AI630" s="74"/>
      <c r="AM630" s="74"/>
      <c r="AY630" s="74"/>
      <c r="BC630" s="74"/>
      <c r="BG630" s="74"/>
      <c r="BK630" s="74"/>
      <c r="BO630" s="74"/>
      <c r="BW630" s="74"/>
      <c r="DF630" s="21"/>
      <c r="DG630" s="21"/>
      <c r="DH630" s="21"/>
      <c r="DI630" s="21"/>
    </row>
    <row r="631" spans="2:113" s="123" customFormat="1">
      <c r="B631" s="125"/>
      <c r="D631" s="125"/>
      <c r="AA631" s="74"/>
      <c r="AE631" s="124"/>
      <c r="AI631" s="74"/>
      <c r="AM631" s="74"/>
      <c r="AY631" s="74"/>
      <c r="BC631" s="74"/>
      <c r="BG631" s="74"/>
      <c r="BK631" s="74"/>
      <c r="BO631" s="74"/>
      <c r="BW631" s="74"/>
      <c r="DF631" s="21"/>
      <c r="DG631" s="21"/>
      <c r="DH631" s="21"/>
      <c r="DI631" s="21"/>
    </row>
    <row r="632" spans="2:113" s="123" customFormat="1">
      <c r="B632" s="125"/>
      <c r="D632" s="125"/>
      <c r="AA632" s="74"/>
      <c r="AE632" s="124"/>
      <c r="AI632" s="74"/>
      <c r="AM632" s="74"/>
      <c r="AY632" s="74"/>
      <c r="BC632" s="74"/>
      <c r="BG632" s="74"/>
      <c r="BK632" s="74"/>
      <c r="BO632" s="74"/>
      <c r="BW632" s="74"/>
      <c r="DF632" s="21"/>
      <c r="DG632" s="21"/>
      <c r="DH632" s="21"/>
      <c r="DI632" s="21"/>
    </row>
    <row r="633" spans="2:113" s="123" customFormat="1">
      <c r="B633" s="125"/>
      <c r="D633" s="125"/>
      <c r="AA633" s="74"/>
      <c r="AE633" s="124"/>
      <c r="AI633" s="74"/>
      <c r="AM633" s="74"/>
      <c r="AY633" s="74"/>
      <c r="BC633" s="74"/>
      <c r="BG633" s="74"/>
      <c r="BK633" s="74"/>
      <c r="BO633" s="74"/>
      <c r="BW633" s="74"/>
      <c r="DF633" s="21"/>
      <c r="DG633" s="21"/>
      <c r="DH633" s="21"/>
      <c r="DI633" s="21"/>
    </row>
    <row r="634" spans="2:113" s="123" customFormat="1">
      <c r="B634" s="125"/>
      <c r="D634" s="125"/>
      <c r="AA634" s="74"/>
      <c r="AE634" s="124"/>
      <c r="AI634" s="74"/>
      <c r="AM634" s="74"/>
      <c r="AY634" s="74"/>
      <c r="BC634" s="74"/>
      <c r="BG634" s="74"/>
      <c r="BK634" s="74"/>
      <c r="BO634" s="74"/>
      <c r="BW634" s="74"/>
      <c r="DF634" s="21"/>
      <c r="DG634" s="21"/>
      <c r="DH634" s="21"/>
      <c r="DI634" s="21"/>
    </row>
    <row r="635" spans="2:113" s="123" customFormat="1">
      <c r="B635" s="125"/>
      <c r="D635" s="125"/>
      <c r="AA635" s="74"/>
      <c r="AE635" s="124"/>
      <c r="AI635" s="74"/>
      <c r="AM635" s="74"/>
      <c r="AY635" s="74"/>
      <c r="BC635" s="74"/>
      <c r="BG635" s="74"/>
      <c r="BK635" s="74"/>
      <c r="BO635" s="74"/>
      <c r="BW635" s="74"/>
      <c r="DF635" s="21"/>
      <c r="DG635" s="21"/>
      <c r="DH635" s="21"/>
      <c r="DI635" s="21"/>
    </row>
    <row r="636" spans="2:113" s="123" customFormat="1">
      <c r="B636" s="125"/>
      <c r="D636" s="125"/>
      <c r="AA636" s="74"/>
      <c r="AE636" s="124"/>
      <c r="AI636" s="74"/>
      <c r="AM636" s="74"/>
      <c r="AY636" s="74"/>
      <c r="BC636" s="74"/>
      <c r="BG636" s="74"/>
      <c r="BK636" s="74"/>
      <c r="BO636" s="74"/>
      <c r="BW636" s="74"/>
      <c r="DF636" s="21"/>
      <c r="DG636" s="21"/>
      <c r="DH636" s="21"/>
      <c r="DI636" s="21"/>
    </row>
    <row r="637" spans="2:113" s="123" customFormat="1">
      <c r="B637" s="125"/>
      <c r="D637" s="125"/>
      <c r="AA637" s="74"/>
      <c r="AE637" s="124"/>
      <c r="AI637" s="74"/>
      <c r="AM637" s="74"/>
      <c r="AY637" s="74"/>
      <c r="BC637" s="74"/>
      <c r="BG637" s="74"/>
      <c r="BK637" s="74"/>
      <c r="BO637" s="74"/>
      <c r="BW637" s="74"/>
      <c r="DF637" s="21"/>
      <c r="DG637" s="21"/>
      <c r="DH637" s="21"/>
      <c r="DI637" s="21"/>
    </row>
    <row r="638" spans="2:113" s="123" customFormat="1">
      <c r="B638" s="125"/>
      <c r="D638" s="125"/>
      <c r="AA638" s="74"/>
      <c r="AE638" s="124"/>
      <c r="AI638" s="74"/>
      <c r="AM638" s="74"/>
      <c r="AY638" s="74"/>
      <c r="BC638" s="74"/>
      <c r="BG638" s="74"/>
      <c r="BK638" s="74"/>
      <c r="BO638" s="74"/>
      <c r="BW638" s="74"/>
      <c r="DF638" s="21"/>
      <c r="DG638" s="21"/>
      <c r="DH638" s="21"/>
      <c r="DI638" s="21"/>
    </row>
    <row r="639" spans="2:113" s="123" customFormat="1">
      <c r="B639" s="125"/>
      <c r="D639" s="125"/>
      <c r="AA639" s="74"/>
      <c r="AE639" s="124"/>
      <c r="AI639" s="74"/>
      <c r="AM639" s="74"/>
      <c r="AY639" s="74"/>
      <c r="BC639" s="74"/>
      <c r="BG639" s="74"/>
      <c r="BK639" s="74"/>
      <c r="BO639" s="74"/>
      <c r="BW639" s="74"/>
      <c r="DF639" s="21"/>
      <c r="DG639" s="21"/>
      <c r="DH639" s="21"/>
      <c r="DI639" s="21"/>
    </row>
    <row r="640" spans="2:113" s="123" customFormat="1">
      <c r="B640" s="125"/>
      <c r="D640" s="125"/>
      <c r="AA640" s="74"/>
      <c r="AE640" s="124"/>
      <c r="AI640" s="74"/>
      <c r="AM640" s="74"/>
      <c r="AY640" s="74"/>
      <c r="BC640" s="74"/>
      <c r="BG640" s="74"/>
      <c r="BK640" s="74"/>
      <c r="BO640" s="74"/>
      <c r="BW640" s="74"/>
      <c r="DF640" s="21"/>
      <c r="DG640" s="21"/>
      <c r="DH640" s="21"/>
      <c r="DI640" s="21"/>
    </row>
    <row r="641" spans="2:113" s="123" customFormat="1">
      <c r="B641" s="125"/>
      <c r="D641" s="125"/>
      <c r="AA641" s="74"/>
      <c r="AE641" s="124"/>
      <c r="AI641" s="74"/>
      <c r="AM641" s="74"/>
      <c r="AY641" s="74"/>
      <c r="BC641" s="74"/>
      <c r="BG641" s="74"/>
      <c r="BK641" s="74"/>
      <c r="BO641" s="74"/>
      <c r="BW641" s="74"/>
      <c r="DF641" s="21"/>
      <c r="DG641" s="21"/>
      <c r="DH641" s="21"/>
      <c r="DI641" s="21"/>
    </row>
    <row r="642" spans="2:113" s="123" customFormat="1">
      <c r="B642" s="125"/>
      <c r="D642" s="125"/>
      <c r="AA642" s="74"/>
      <c r="AE642" s="124"/>
      <c r="AI642" s="74"/>
      <c r="AM642" s="74"/>
      <c r="AY642" s="74"/>
      <c r="BC642" s="74"/>
      <c r="BG642" s="74"/>
      <c r="BK642" s="74"/>
      <c r="BO642" s="74"/>
      <c r="BW642" s="74"/>
      <c r="DF642" s="21"/>
      <c r="DG642" s="21"/>
      <c r="DH642" s="21"/>
      <c r="DI642" s="21"/>
    </row>
    <row r="643" spans="2:113" s="123" customFormat="1">
      <c r="B643" s="125"/>
      <c r="D643" s="125"/>
      <c r="AA643" s="74"/>
      <c r="AE643" s="124"/>
      <c r="AI643" s="74"/>
      <c r="AM643" s="74"/>
      <c r="AY643" s="74"/>
      <c r="BC643" s="74"/>
      <c r="BG643" s="74"/>
      <c r="BK643" s="74"/>
      <c r="BO643" s="74"/>
      <c r="BW643" s="74"/>
      <c r="DF643" s="21"/>
      <c r="DG643" s="21"/>
      <c r="DH643" s="21"/>
      <c r="DI643" s="21"/>
    </row>
    <row r="644" spans="2:113" s="123" customFormat="1">
      <c r="B644" s="125"/>
      <c r="D644" s="125"/>
      <c r="AA644" s="74"/>
      <c r="AE644" s="124"/>
      <c r="AI644" s="74"/>
      <c r="AM644" s="74"/>
      <c r="AY644" s="74"/>
      <c r="BC644" s="74"/>
      <c r="BG644" s="74"/>
      <c r="BK644" s="74"/>
      <c r="BO644" s="74"/>
      <c r="BW644" s="74"/>
      <c r="DF644" s="21"/>
      <c r="DG644" s="21"/>
      <c r="DH644" s="21"/>
      <c r="DI644" s="21"/>
    </row>
    <row r="645" spans="2:113" s="123" customFormat="1">
      <c r="B645" s="125"/>
      <c r="D645" s="125"/>
      <c r="AA645" s="74"/>
      <c r="AE645" s="124"/>
      <c r="AI645" s="74"/>
      <c r="AM645" s="74"/>
      <c r="AY645" s="74"/>
      <c r="BC645" s="74"/>
      <c r="BG645" s="74"/>
      <c r="BK645" s="74"/>
      <c r="BO645" s="74"/>
      <c r="BW645" s="74"/>
      <c r="DF645" s="21"/>
      <c r="DG645" s="21"/>
      <c r="DH645" s="21"/>
      <c r="DI645" s="21"/>
    </row>
    <row r="646" spans="2:113" s="123" customFormat="1">
      <c r="B646" s="125"/>
      <c r="D646" s="125"/>
      <c r="AA646" s="74"/>
      <c r="AE646" s="124"/>
      <c r="AI646" s="74"/>
      <c r="AM646" s="74"/>
      <c r="AY646" s="74"/>
      <c r="BC646" s="74"/>
      <c r="BG646" s="74"/>
      <c r="BK646" s="74"/>
      <c r="BO646" s="74"/>
      <c r="BW646" s="74"/>
      <c r="DF646" s="21"/>
      <c r="DG646" s="21"/>
      <c r="DH646" s="21"/>
      <c r="DI646" s="21"/>
    </row>
    <row r="647" spans="2:113" s="123" customFormat="1">
      <c r="B647" s="125"/>
      <c r="D647" s="125"/>
      <c r="AA647" s="74"/>
      <c r="AE647" s="124"/>
      <c r="AI647" s="74"/>
      <c r="AM647" s="74"/>
      <c r="AY647" s="74"/>
      <c r="BC647" s="74"/>
      <c r="BG647" s="74"/>
      <c r="BK647" s="74"/>
      <c r="BO647" s="74"/>
      <c r="BW647" s="74"/>
      <c r="DF647" s="21"/>
      <c r="DG647" s="21"/>
      <c r="DH647" s="21"/>
      <c r="DI647" s="21"/>
    </row>
    <row r="648" spans="2:113" s="123" customFormat="1">
      <c r="B648" s="125"/>
      <c r="D648" s="125"/>
      <c r="AA648" s="74"/>
      <c r="AE648" s="124"/>
      <c r="AI648" s="74"/>
      <c r="AM648" s="74"/>
      <c r="AY648" s="74"/>
      <c r="BC648" s="74"/>
      <c r="BG648" s="74"/>
      <c r="BK648" s="74"/>
      <c r="BO648" s="74"/>
      <c r="BW648" s="74"/>
      <c r="DF648" s="21"/>
      <c r="DG648" s="21"/>
      <c r="DH648" s="21"/>
      <c r="DI648" s="21"/>
    </row>
    <row r="649" spans="2:113" s="123" customFormat="1">
      <c r="B649" s="125"/>
      <c r="D649" s="125"/>
      <c r="AA649" s="74"/>
      <c r="AE649" s="124"/>
      <c r="AI649" s="74"/>
      <c r="AM649" s="74"/>
      <c r="AY649" s="74"/>
      <c r="BC649" s="74"/>
      <c r="BG649" s="74"/>
      <c r="BK649" s="74"/>
      <c r="BO649" s="74"/>
      <c r="BW649" s="74"/>
      <c r="DF649" s="21"/>
      <c r="DG649" s="21"/>
      <c r="DH649" s="21"/>
      <c r="DI649" s="21"/>
    </row>
    <row r="650" spans="2:113" s="123" customFormat="1">
      <c r="B650" s="125"/>
      <c r="D650" s="125"/>
      <c r="AA650" s="74"/>
      <c r="AE650" s="124"/>
      <c r="AI650" s="74"/>
      <c r="AM650" s="74"/>
      <c r="AY650" s="74"/>
      <c r="BC650" s="74"/>
      <c r="BG650" s="74"/>
      <c r="BK650" s="74"/>
      <c r="BO650" s="74"/>
      <c r="BW650" s="74"/>
      <c r="DF650" s="21"/>
      <c r="DG650" s="21"/>
      <c r="DH650" s="21"/>
      <c r="DI650" s="21"/>
    </row>
    <row r="651" spans="2:113" s="123" customFormat="1">
      <c r="B651" s="125"/>
      <c r="D651" s="125"/>
      <c r="AA651" s="74"/>
      <c r="AE651" s="124"/>
      <c r="AI651" s="74"/>
      <c r="AM651" s="74"/>
      <c r="AY651" s="74"/>
      <c r="BC651" s="74"/>
      <c r="BG651" s="74"/>
      <c r="BK651" s="74"/>
      <c r="BO651" s="74"/>
      <c r="BW651" s="74"/>
      <c r="DF651" s="21"/>
      <c r="DG651" s="21"/>
      <c r="DH651" s="21"/>
      <c r="DI651" s="21"/>
    </row>
    <row r="652" spans="2:113" s="123" customFormat="1">
      <c r="B652" s="125"/>
      <c r="D652" s="125"/>
      <c r="AA652" s="74"/>
      <c r="AE652" s="124"/>
      <c r="AI652" s="74"/>
      <c r="AM652" s="74"/>
      <c r="AY652" s="74"/>
      <c r="BC652" s="74"/>
      <c r="BG652" s="74"/>
      <c r="BK652" s="74"/>
      <c r="BO652" s="74"/>
      <c r="BW652" s="74"/>
      <c r="DF652" s="21"/>
      <c r="DG652" s="21"/>
      <c r="DH652" s="21"/>
      <c r="DI652" s="21"/>
    </row>
    <row r="653" spans="2:113" s="123" customFormat="1">
      <c r="B653" s="125"/>
      <c r="D653" s="125"/>
      <c r="AA653" s="74"/>
      <c r="AE653" s="124"/>
      <c r="AI653" s="74"/>
      <c r="AM653" s="74"/>
      <c r="AY653" s="74"/>
      <c r="BC653" s="74"/>
      <c r="BG653" s="74"/>
      <c r="BK653" s="74"/>
      <c r="BO653" s="74"/>
      <c r="BW653" s="74"/>
      <c r="DF653" s="21"/>
      <c r="DG653" s="21"/>
      <c r="DH653" s="21"/>
      <c r="DI653" s="21"/>
    </row>
    <row r="654" spans="2:113" s="123" customFormat="1">
      <c r="B654" s="125"/>
      <c r="D654" s="125"/>
      <c r="AA654" s="74"/>
      <c r="AE654" s="124"/>
      <c r="AI654" s="74"/>
      <c r="AM654" s="74"/>
      <c r="AY654" s="74"/>
      <c r="BC654" s="74"/>
      <c r="BG654" s="74"/>
      <c r="BK654" s="74"/>
      <c r="BO654" s="74"/>
      <c r="BW654" s="74"/>
      <c r="DF654" s="21"/>
      <c r="DG654" s="21"/>
      <c r="DH654" s="21"/>
      <c r="DI654" s="21"/>
    </row>
    <row r="655" spans="2:113" s="123" customFormat="1">
      <c r="B655" s="125"/>
      <c r="D655" s="125"/>
      <c r="AA655" s="74"/>
      <c r="AE655" s="124"/>
      <c r="AI655" s="74"/>
      <c r="AM655" s="74"/>
      <c r="AY655" s="74"/>
      <c r="BC655" s="74"/>
      <c r="BG655" s="74"/>
      <c r="BK655" s="74"/>
      <c r="BO655" s="74"/>
      <c r="BW655" s="74"/>
      <c r="DF655" s="21"/>
      <c r="DG655" s="21"/>
      <c r="DH655" s="21"/>
      <c r="DI655" s="21"/>
    </row>
    <row r="656" spans="2:113" s="123" customFormat="1">
      <c r="B656" s="125"/>
      <c r="D656" s="125"/>
      <c r="AA656" s="74"/>
      <c r="AE656" s="124"/>
      <c r="AI656" s="74"/>
      <c r="AM656" s="74"/>
      <c r="AY656" s="74"/>
      <c r="BC656" s="74"/>
      <c r="BG656" s="74"/>
      <c r="BK656" s="74"/>
      <c r="BO656" s="74"/>
      <c r="BW656" s="74"/>
      <c r="DF656" s="21"/>
      <c r="DG656" s="21"/>
      <c r="DH656" s="21"/>
      <c r="DI656" s="21"/>
    </row>
    <row r="657" spans="2:113" s="123" customFormat="1">
      <c r="B657" s="125"/>
      <c r="D657" s="125"/>
      <c r="AA657" s="74"/>
      <c r="AE657" s="124"/>
      <c r="AI657" s="74"/>
      <c r="AM657" s="74"/>
      <c r="AY657" s="74"/>
      <c r="BC657" s="74"/>
      <c r="BG657" s="74"/>
      <c r="BK657" s="74"/>
      <c r="BO657" s="74"/>
      <c r="BW657" s="74"/>
      <c r="DF657" s="21"/>
      <c r="DG657" s="21"/>
      <c r="DH657" s="21"/>
      <c r="DI657" s="21"/>
    </row>
    <row r="658" spans="2:113" s="123" customFormat="1">
      <c r="B658" s="125"/>
      <c r="D658" s="125"/>
      <c r="AA658" s="74"/>
      <c r="AE658" s="124"/>
      <c r="AI658" s="74"/>
      <c r="AM658" s="74"/>
      <c r="AY658" s="74"/>
      <c r="BC658" s="74"/>
      <c r="BG658" s="74"/>
      <c r="BK658" s="74"/>
      <c r="BO658" s="74"/>
      <c r="BW658" s="74"/>
      <c r="DF658" s="21"/>
      <c r="DG658" s="21"/>
      <c r="DH658" s="21"/>
      <c r="DI658" s="21"/>
    </row>
    <row r="659" spans="2:113" s="123" customFormat="1">
      <c r="B659" s="125"/>
      <c r="D659" s="125"/>
      <c r="AA659" s="74"/>
      <c r="AE659" s="124"/>
      <c r="AI659" s="74"/>
      <c r="AM659" s="74"/>
      <c r="AY659" s="74"/>
      <c r="BC659" s="74"/>
      <c r="BG659" s="74"/>
      <c r="BK659" s="74"/>
      <c r="BO659" s="74"/>
      <c r="BW659" s="74"/>
      <c r="DF659" s="21"/>
      <c r="DG659" s="21"/>
      <c r="DH659" s="21"/>
      <c r="DI659" s="21"/>
    </row>
    <row r="660" spans="2:113" s="123" customFormat="1">
      <c r="B660" s="125"/>
      <c r="D660" s="125"/>
      <c r="AA660" s="74"/>
      <c r="AE660" s="124"/>
      <c r="AI660" s="74"/>
      <c r="AM660" s="74"/>
      <c r="AY660" s="74"/>
      <c r="BC660" s="74"/>
      <c r="BG660" s="74"/>
      <c r="BK660" s="74"/>
      <c r="BO660" s="74"/>
      <c r="BW660" s="74"/>
      <c r="DF660" s="21"/>
      <c r="DG660" s="21"/>
      <c r="DH660" s="21"/>
      <c r="DI660" s="21"/>
    </row>
    <row r="661" spans="2:113" s="123" customFormat="1">
      <c r="B661" s="125"/>
      <c r="D661" s="125"/>
      <c r="AA661" s="74"/>
      <c r="AE661" s="124"/>
      <c r="AI661" s="74"/>
      <c r="AM661" s="74"/>
      <c r="AY661" s="74"/>
      <c r="BC661" s="74"/>
      <c r="BG661" s="74"/>
      <c r="BK661" s="74"/>
      <c r="BO661" s="74"/>
      <c r="BW661" s="74"/>
      <c r="DF661" s="21"/>
      <c r="DG661" s="21"/>
      <c r="DH661" s="21"/>
      <c r="DI661" s="21"/>
    </row>
    <row r="662" spans="2:113" s="123" customFormat="1">
      <c r="B662" s="125"/>
      <c r="D662" s="125"/>
      <c r="AA662" s="74"/>
      <c r="AE662" s="124"/>
      <c r="AI662" s="74"/>
      <c r="AM662" s="74"/>
      <c r="AY662" s="74"/>
      <c r="BC662" s="74"/>
      <c r="BG662" s="74"/>
      <c r="BK662" s="74"/>
      <c r="BO662" s="74"/>
      <c r="BW662" s="74"/>
      <c r="DF662" s="21"/>
      <c r="DG662" s="21"/>
      <c r="DH662" s="21"/>
      <c r="DI662" s="21"/>
    </row>
    <row r="663" spans="2:113" s="123" customFormat="1">
      <c r="B663" s="125"/>
      <c r="D663" s="125"/>
      <c r="AA663" s="74"/>
      <c r="AE663" s="124"/>
      <c r="AI663" s="74"/>
      <c r="AM663" s="74"/>
      <c r="AY663" s="74"/>
      <c r="BC663" s="74"/>
      <c r="BG663" s="74"/>
      <c r="BK663" s="74"/>
      <c r="BO663" s="74"/>
      <c r="BW663" s="74"/>
      <c r="DF663" s="21"/>
      <c r="DG663" s="21"/>
      <c r="DH663" s="21"/>
      <c r="DI663" s="21"/>
    </row>
    <row r="664" spans="2:113" s="123" customFormat="1">
      <c r="B664" s="125"/>
      <c r="D664" s="125"/>
      <c r="AA664" s="74"/>
      <c r="AE664" s="124"/>
      <c r="AI664" s="74"/>
      <c r="AM664" s="74"/>
      <c r="AY664" s="74"/>
      <c r="BC664" s="74"/>
      <c r="BG664" s="74"/>
      <c r="BK664" s="74"/>
      <c r="BO664" s="74"/>
      <c r="BW664" s="74"/>
      <c r="DF664" s="21"/>
      <c r="DG664" s="21"/>
      <c r="DH664" s="21"/>
      <c r="DI664" s="21"/>
    </row>
    <row r="665" spans="2:113" s="123" customFormat="1">
      <c r="B665" s="125"/>
      <c r="D665" s="125"/>
      <c r="AA665" s="74"/>
      <c r="AE665" s="124"/>
      <c r="AI665" s="74"/>
      <c r="AM665" s="74"/>
      <c r="AY665" s="74"/>
      <c r="BC665" s="74"/>
      <c r="BG665" s="74"/>
      <c r="BK665" s="74"/>
      <c r="BO665" s="74"/>
      <c r="BW665" s="74"/>
      <c r="DF665" s="21"/>
      <c r="DG665" s="21"/>
      <c r="DH665" s="21"/>
      <c r="DI665" s="21"/>
    </row>
    <row r="666" spans="2:113" s="123" customFormat="1">
      <c r="B666" s="125"/>
      <c r="D666" s="125"/>
      <c r="AA666" s="74"/>
      <c r="AE666" s="124"/>
      <c r="AI666" s="74"/>
      <c r="AM666" s="74"/>
      <c r="AY666" s="74"/>
      <c r="BC666" s="74"/>
      <c r="BG666" s="74"/>
      <c r="BK666" s="74"/>
      <c r="BO666" s="74"/>
      <c r="BW666" s="74"/>
      <c r="DF666" s="21"/>
      <c r="DG666" s="21"/>
      <c r="DH666" s="21"/>
      <c r="DI666" s="21"/>
    </row>
    <row r="667" spans="2:113" s="123" customFormat="1">
      <c r="B667" s="125"/>
      <c r="D667" s="125"/>
      <c r="AA667" s="74"/>
      <c r="AE667" s="124"/>
      <c r="AI667" s="74"/>
      <c r="AM667" s="74"/>
      <c r="AY667" s="74"/>
      <c r="BC667" s="74"/>
      <c r="BG667" s="74"/>
      <c r="BK667" s="74"/>
      <c r="BO667" s="74"/>
      <c r="BW667" s="74"/>
      <c r="DF667" s="21"/>
      <c r="DG667" s="21"/>
      <c r="DH667" s="21"/>
      <c r="DI667" s="21"/>
    </row>
    <row r="668" spans="2:113" s="123" customFormat="1">
      <c r="B668" s="125"/>
      <c r="D668" s="125"/>
      <c r="AA668" s="74"/>
      <c r="AE668" s="124"/>
      <c r="AI668" s="74"/>
      <c r="AM668" s="74"/>
      <c r="AY668" s="74"/>
      <c r="BC668" s="74"/>
      <c r="BG668" s="74"/>
      <c r="BK668" s="74"/>
      <c r="BO668" s="74"/>
      <c r="BW668" s="74"/>
      <c r="DF668" s="21"/>
      <c r="DG668" s="21"/>
      <c r="DH668" s="21"/>
      <c r="DI668" s="21"/>
    </row>
    <row r="669" spans="2:113" s="123" customFormat="1">
      <c r="B669" s="125"/>
      <c r="D669" s="125"/>
      <c r="AA669" s="74"/>
      <c r="AE669" s="124"/>
      <c r="AI669" s="74"/>
      <c r="AM669" s="74"/>
      <c r="AY669" s="74"/>
      <c r="BC669" s="74"/>
      <c r="BG669" s="74"/>
      <c r="BK669" s="74"/>
      <c r="BO669" s="74"/>
      <c r="BW669" s="74"/>
      <c r="DF669" s="21"/>
      <c r="DG669" s="21"/>
      <c r="DH669" s="21"/>
      <c r="DI669" s="21"/>
    </row>
    <row r="670" spans="2:113" s="123" customFormat="1">
      <c r="B670" s="125"/>
      <c r="D670" s="125"/>
      <c r="AA670" s="74"/>
      <c r="AE670" s="124"/>
      <c r="AI670" s="74"/>
      <c r="AM670" s="74"/>
      <c r="AY670" s="74"/>
      <c r="BC670" s="74"/>
      <c r="BG670" s="74"/>
      <c r="BK670" s="74"/>
      <c r="BO670" s="74"/>
      <c r="BW670" s="74"/>
      <c r="DF670" s="21"/>
      <c r="DG670" s="21"/>
      <c r="DH670" s="21"/>
      <c r="DI670" s="21"/>
    </row>
    <row r="671" spans="2:113" s="123" customFormat="1">
      <c r="B671" s="125"/>
      <c r="D671" s="125"/>
      <c r="AA671" s="74"/>
      <c r="AE671" s="124"/>
      <c r="AI671" s="74"/>
      <c r="AM671" s="74"/>
      <c r="AY671" s="74"/>
      <c r="BC671" s="74"/>
      <c r="BG671" s="74"/>
      <c r="BK671" s="74"/>
      <c r="BO671" s="74"/>
      <c r="BW671" s="74"/>
      <c r="DF671" s="21"/>
      <c r="DG671" s="21"/>
      <c r="DH671" s="21"/>
      <c r="DI671" s="21"/>
    </row>
    <row r="672" spans="2:113" s="123" customFormat="1">
      <c r="B672" s="125"/>
      <c r="D672" s="125"/>
      <c r="AA672" s="74"/>
      <c r="AE672" s="124"/>
      <c r="AI672" s="74"/>
      <c r="AM672" s="74"/>
      <c r="AY672" s="74"/>
      <c r="BC672" s="74"/>
      <c r="BG672" s="74"/>
      <c r="BK672" s="74"/>
      <c r="BO672" s="74"/>
      <c r="BW672" s="74"/>
      <c r="DF672" s="21"/>
      <c r="DG672" s="21"/>
      <c r="DH672" s="21"/>
      <c r="DI672" s="21"/>
    </row>
    <row r="673" spans="2:113" s="123" customFormat="1">
      <c r="B673" s="125"/>
      <c r="D673" s="125"/>
      <c r="AA673" s="74"/>
      <c r="AE673" s="124"/>
      <c r="AI673" s="74"/>
      <c r="AM673" s="74"/>
      <c r="AY673" s="74"/>
      <c r="BC673" s="74"/>
      <c r="BG673" s="74"/>
      <c r="BK673" s="74"/>
      <c r="BO673" s="74"/>
      <c r="BW673" s="74"/>
      <c r="DF673" s="21"/>
      <c r="DG673" s="21"/>
      <c r="DH673" s="21"/>
      <c r="DI673" s="21"/>
    </row>
    <row r="674" spans="2:113" s="123" customFormat="1">
      <c r="B674" s="125"/>
      <c r="D674" s="125"/>
      <c r="AA674" s="74"/>
      <c r="AE674" s="124"/>
      <c r="AI674" s="74"/>
      <c r="AM674" s="74"/>
      <c r="AY674" s="74"/>
      <c r="BC674" s="74"/>
      <c r="BG674" s="74"/>
      <c r="BK674" s="74"/>
      <c r="BO674" s="74"/>
      <c r="BW674" s="74"/>
      <c r="DF674" s="21"/>
      <c r="DG674" s="21"/>
      <c r="DH674" s="21"/>
      <c r="DI674" s="21"/>
    </row>
    <row r="675" spans="2:113" s="123" customFormat="1">
      <c r="B675" s="125"/>
      <c r="D675" s="125"/>
      <c r="AA675" s="74"/>
      <c r="AE675" s="124"/>
      <c r="AI675" s="74"/>
      <c r="AM675" s="74"/>
      <c r="AY675" s="74"/>
      <c r="BC675" s="74"/>
      <c r="BG675" s="74"/>
      <c r="BK675" s="74"/>
      <c r="BO675" s="74"/>
      <c r="BW675" s="74"/>
      <c r="DF675" s="21"/>
      <c r="DG675" s="21"/>
      <c r="DH675" s="21"/>
      <c r="DI675" s="21"/>
    </row>
    <row r="676" spans="2:113" s="123" customFormat="1">
      <c r="B676" s="125"/>
      <c r="D676" s="125"/>
      <c r="AA676" s="74"/>
      <c r="AE676" s="124"/>
      <c r="AI676" s="74"/>
      <c r="AM676" s="74"/>
      <c r="AY676" s="74"/>
      <c r="BC676" s="74"/>
      <c r="BG676" s="74"/>
      <c r="BK676" s="74"/>
      <c r="BO676" s="74"/>
      <c r="BW676" s="74"/>
      <c r="DF676" s="21"/>
      <c r="DG676" s="21"/>
      <c r="DH676" s="21"/>
      <c r="DI676" s="21"/>
    </row>
    <row r="677" spans="2:113" s="123" customFormat="1">
      <c r="B677" s="125"/>
      <c r="D677" s="125"/>
      <c r="AA677" s="74"/>
      <c r="AE677" s="124"/>
      <c r="AI677" s="74"/>
      <c r="AM677" s="74"/>
      <c r="AY677" s="74"/>
      <c r="BC677" s="74"/>
      <c r="BG677" s="74"/>
      <c r="BK677" s="74"/>
      <c r="BO677" s="74"/>
      <c r="BW677" s="74"/>
      <c r="DF677" s="21"/>
      <c r="DG677" s="21"/>
      <c r="DH677" s="21"/>
      <c r="DI677" s="21"/>
    </row>
    <row r="678" spans="2:113" s="123" customFormat="1">
      <c r="B678" s="125"/>
      <c r="D678" s="125"/>
      <c r="AA678" s="74"/>
      <c r="AE678" s="124"/>
      <c r="AI678" s="74"/>
      <c r="AM678" s="74"/>
      <c r="AY678" s="74"/>
      <c r="BC678" s="74"/>
      <c r="BG678" s="74"/>
      <c r="BK678" s="74"/>
      <c r="BO678" s="74"/>
      <c r="BW678" s="74"/>
      <c r="DF678" s="21"/>
      <c r="DG678" s="21"/>
      <c r="DH678" s="21"/>
      <c r="DI678" s="21"/>
    </row>
    <row r="679" spans="2:113" s="123" customFormat="1">
      <c r="B679" s="125"/>
      <c r="D679" s="125"/>
      <c r="AA679" s="74"/>
      <c r="AE679" s="124"/>
      <c r="AI679" s="74"/>
      <c r="AM679" s="74"/>
      <c r="AY679" s="74"/>
      <c r="BC679" s="74"/>
      <c r="BG679" s="74"/>
      <c r="BK679" s="74"/>
      <c r="BO679" s="74"/>
      <c r="BW679" s="74"/>
      <c r="DF679" s="21"/>
      <c r="DG679" s="21"/>
      <c r="DH679" s="21"/>
      <c r="DI679" s="21"/>
    </row>
    <row r="680" spans="2:113" s="123" customFormat="1">
      <c r="B680" s="125"/>
      <c r="D680" s="125"/>
      <c r="AA680" s="74"/>
      <c r="AE680" s="124"/>
      <c r="AI680" s="74"/>
      <c r="AM680" s="74"/>
      <c r="AY680" s="74"/>
      <c r="BC680" s="74"/>
      <c r="BG680" s="74"/>
      <c r="BK680" s="74"/>
      <c r="BO680" s="74"/>
      <c r="BW680" s="74"/>
      <c r="DF680" s="21"/>
      <c r="DG680" s="21"/>
      <c r="DH680" s="21"/>
      <c r="DI680" s="21"/>
    </row>
    <row r="681" spans="2:113" s="123" customFormat="1">
      <c r="B681" s="125"/>
      <c r="D681" s="125"/>
      <c r="AA681" s="74"/>
      <c r="AE681" s="124"/>
      <c r="AI681" s="74"/>
      <c r="AM681" s="74"/>
      <c r="AY681" s="74"/>
      <c r="BC681" s="74"/>
      <c r="BG681" s="74"/>
      <c r="BK681" s="74"/>
      <c r="BO681" s="74"/>
      <c r="BW681" s="74"/>
      <c r="DF681" s="21"/>
      <c r="DG681" s="21"/>
      <c r="DH681" s="21"/>
      <c r="DI681" s="21"/>
    </row>
    <row r="682" spans="2:113" s="123" customFormat="1">
      <c r="B682" s="125"/>
      <c r="D682" s="125"/>
      <c r="AA682" s="74"/>
      <c r="AE682" s="124"/>
      <c r="AI682" s="74"/>
      <c r="AM682" s="74"/>
      <c r="AY682" s="74"/>
      <c r="BC682" s="74"/>
      <c r="BG682" s="74"/>
      <c r="BK682" s="74"/>
      <c r="BO682" s="74"/>
      <c r="BW682" s="74"/>
      <c r="DF682" s="21"/>
      <c r="DG682" s="21"/>
      <c r="DH682" s="21"/>
      <c r="DI682" s="21"/>
    </row>
    <row r="683" spans="2:113" s="123" customFormat="1">
      <c r="B683" s="125"/>
      <c r="D683" s="125"/>
      <c r="AA683" s="74"/>
      <c r="AE683" s="124"/>
      <c r="AI683" s="74"/>
      <c r="AM683" s="74"/>
      <c r="AY683" s="74"/>
      <c r="BC683" s="74"/>
      <c r="BG683" s="74"/>
      <c r="BK683" s="74"/>
      <c r="BO683" s="74"/>
      <c r="BW683" s="74"/>
      <c r="DF683" s="21"/>
      <c r="DG683" s="21"/>
      <c r="DH683" s="21"/>
      <c r="DI683" s="21"/>
    </row>
    <row r="684" spans="2:113" s="123" customFormat="1">
      <c r="B684" s="125"/>
      <c r="D684" s="125"/>
      <c r="AA684" s="74"/>
      <c r="AE684" s="124"/>
      <c r="AI684" s="74"/>
      <c r="AM684" s="74"/>
      <c r="AY684" s="74"/>
      <c r="BC684" s="74"/>
      <c r="BG684" s="74"/>
      <c r="BK684" s="74"/>
      <c r="BO684" s="74"/>
      <c r="BW684" s="74"/>
      <c r="DF684" s="21"/>
      <c r="DG684" s="21"/>
      <c r="DH684" s="21"/>
      <c r="DI684" s="21"/>
    </row>
    <row r="685" spans="2:113" s="123" customFormat="1">
      <c r="B685" s="125"/>
      <c r="D685" s="125"/>
      <c r="AA685" s="74"/>
      <c r="AE685" s="124"/>
      <c r="AI685" s="74"/>
      <c r="AM685" s="74"/>
      <c r="AY685" s="74"/>
      <c r="BC685" s="74"/>
      <c r="BG685" s="74"/>
      <c r="BK685" s="74"/>
      <c r="BO685" s="74"/>
      <c r="BW685" s="74"/>
      <c r="DF685" s="21"/>
      <c r="DG685" s="21"/>
      <c r="DH685" s="21"/>
      <c r="DI685" s="21"/>
    </row>
    <row r="686" spans="2:113" s="123" customFormat="1">
      <c r="B686" s="125"/>
      <c r="D686" s="125"/>
      <c r="AA686" s="74"/>
      <c r="AE686" s="124"/>
      <c r="AI686" s="74"/>
      <c r="AM686" s="74"/>
      <c r="AY686" s="74"/>
      <c r="BC686" s="74"/>
      <c r="BG686" s="74"/>
      <c r="BK686" s="74"/>
      <c r="BO686" s="74"/>
      <c r="BW686" s="74"/>
      <c r="DF686" s="21"/>
      <c r="DG686" s="21"/>
      <c r="DH686" s="21"/>
      <c r="DI686" s="21"/>
    </row>
    <row r="687" spans="2:113" s="123" customFormat="1">
      <c r="B687" s="125"/>
      <c r="D687" s="125"/>
      <c r="AA687" s="74"/>
      <c r="AE687" s="124"/>
      <c r="AI687" s="74"/>
      <c r="AM687" s="74"/>
      <c r="AY687" s="74"/>
      <c r="BC687" s="74"/>
      <c r="BG687" s="74"/>
      <c r="BK687" s="74"/>
      <c r="BO687" s="74"/>
      <c r="BW687" s="74"/>
      <c r="DF687" s="21"/>
      <c r="DG687" s="21"/>
      <c r="DH687" s="21"/>
      <c r="DI687" s="21"/>
    </row>
    <row r="688" spans="2:113" s="123" customFormat="1">
      <c r="B688" s="125"/>
      <c r="D688" s="125"/>
      <c r="AA688" s="74"/>
      <c r="AE688" s="124"/>
      <c r="AI688" s="74"/>
      <c r="AM688" s="74"/>
      <c r="AY688" s="74"/>
      <c r="BC688" s="74"/>
      <c r="BG688" s="74"/>
      <c r="BK688" s="74"/>
      <c r="BO688" s="74"/>
      <c r="BW688" s="74"/>
      <c r="DF688" s="21"/>
      <c r="DG688" s="21"/>
      <c r="DH688" s="21"/>
      <c r="DI688" s="21"/>
    </row>
    <row r="689" spans="2:113" s="123" customFormat="1">
      <c r="B689" s="125"/>
      <c r="D689" s="125"/>
      <c r="AA689" s="74"/>
      <c r="AE689" s="124"/>
      <c r="AI689" s="74"/>
      <c r="AM689" s="74"/>
      <c r="AY689" s="74"/>
      <c r="BC689" s="74"/>
      <c r="BG689" s="74"/>
      <c r="BK689" s="74"/>
      <c r="BO689" s="74"/>
      <c r="BW689" s="74"/>
      <c r="DF689" s="21"/>
      <c r="DG689" s="21"/>
      <c r="DH689" s="21"/>
      <c r="DI689" s="21"/>
    </row>
    <row r="690" spans="2:113" s="123" customFormat="1">
      <c r="B690" s="125"/>
      <c r="D690" s="125"/>
      <c r="AA690" s="74"/>
      <c r="AE690" s="124"/>
      <c r="AI690" s="74"/>
      <c r="AM690" s="74"/>
      <c r="AY690" s="74"/>
      <c r="BC690" s="74"/>
      <c r="BG690" s="74"/>
      <c r="BK690" s="74"/>
      <c r="BO690" s="74"/>
      <c r="BW690" s="74"/>
      <c r="DF690" s="21"/>
      <c r="DG690" s="21"/>
      <c r="DH690" s="21"/>
      <c r="DI690" s="21"/>
    </row>
    <row r="691" spans="2:113" s="123" customFormat="1">
      <c r="B691" s="125"/>
      <c r="D691" s="125"/>
      <c r="AA691" s="74"/>
      <c r="AE691" s="124"/>
      <c r="AI691" s="74"/>
      <c r="AM691" s="74"/>
      <c r="AY691" s="74"/>
      <c r="BC691" s="74"/>
      <c r="BG691" s="74"/>
      <c r="BK691" s="74"/>
      <c r="BO691" s="74"/>
      <c r="BW691" s="74"/>
      <c r="DF691" s="21"/>
      <c r="DG691" s="21"/>
      <c r="DH691" s="21"/>
      <c r="DI691" s="21"/>
    </row>
    <row r="692" spans="2:113" s="123" customFormat="1">
      <c r="B692" s="125"/>
      <c r="D692" s="125"/>
      <c r="AA692" s="74"/>
      <c r="AE692" s="124"/>
      <c r="AI692" s="74"/>
      <c r="AM692" s="74"/>
      <c r="AY692" s="74"/>
      <c r="BC692" s="74"/>
      <c r="BG692" s="74"/>
      <c r="BK692" s="74"/>
      <c r="BO692" s="74"/>
      <c r="BW692" s="74"/>
      <c r="DF692" s="21"/>
      <c r="DG692" s="21"/>
      <c r="DH692" s="21"/>
      <c r="DI692" s="21"/>
    </row>
    <row r="693" spans="2:113" s="123" customFormat="1">
      <c r="B693" s="125"/>
      <c r="D693" s="125"/>
      <c r="AA693" s="74"/>
      <c r="AE693" s="124"/>
      <c r="AI693" s="74"/>
      <c r="AM693" s="74"/>
      <c r="AY693" s="74"/>
      <c r="BC693" s="74"/>
      <c r="BG693" s="74"/>
      <c r="BK693" s="74"/>
      <c r="BO693" s="74"/>
      <c r="BW693" s="74"/>
      <c r="DF693" s="21"/>
      <c r="DG693" s="21"/>
      <c r="DH693" s="21"/>
      <c r="DI693" s="21"/>
    </row>
    <row r="694" spans="2:113" s="123" customFormat="1">
      <c r="B694" s="125"/>
      <c r="D694" s="125"/>
      <c r="AA694" s="74"/>
      <c r="AE694" s="124"/>
      <c r="AI694" s="74"/>
      <c r="AM694" s="74"/>
      <c r="AY694" s="74"/>
      <c r="BC694" s="74"/>
      <c r="BG694" s="74"/>
      <c r="BK694" s="74"/>
      <c r="BO694" s="74"/>
      <c r="BW694" s="74"/>
      <c r="DF694" s="21"/>
      <c r="DG694" s="21"/>
      <c r="DH694" s="21"/>
      <c r="DI694" s="21"/>
    </row>
    <row r="695" spans="2:113" s="123" customFormat="1">
      <c r="B695" s="125"/>
      <c r="D695" s="125"/>
      <c r="AA695" s="74"/>
      <c r="AE695" s="124"/>
      <c r="AI695" s="74"/>
      <c r="AM695" s="74"/>
      <c r="AY695" s="74"/>
      <c r="BC695" s="74"/>
      <c r="BG695" s="74"/>
      <c r="BK695" s="74"/>
      <c r="BO695" s="74"/>
      <c r="BW695" s="74"/>
      <c r="DF695" s="21"/>
      <c r="DG695" s="21"/>
      <c r="DH695" s="21"/>
      <c r="DI695" s="21"/>
    </row>
    <row r="696" spans="2:113" s="123" customFormat="1">
      <c r="B696" s="125"/>
      <c r="D696" s="125"/>
      <c r="AA696" s="74"/>
      <c r="AE696" s="124"/>
      <c r="AI696" s="74"/>
      <c r="AM696" s="74"/>
      <c r="AY696" s="74"/>
      <c r="BC696" s="74"/>
      <c r="BG696" s="74"/>
      <c r="BK696" s="74"/>
      <c r="BO696" s="74"/>
      <c r="BW696" s="74"/>
      <c r="DF696" s="21"/>
      <c r="DG696" s="21"/>
      <c r="DH696" s="21"/>
      <c r="DI696" s="21"/>
    </row>
    <row r="697" spans="2:113" s="123" customFormat="1">
      <c r="B697" s="125"/>
      <c r="D697" s="125"/>
      <c r="AA697" s="74"/>
      <c r="AE697" s="124"/>
      <c r="AI697" s="74"/>
      <c r="AM697" s="74"/>
      <c r="AY697" s="74"/>
      <c r="BC697" s="74"/>
      <c r="BG697" s="74"/>
      <c r="BK697" s="74"/>
      <c r="BO697" s="74"/>
      <c r="BW697" s="74"/>
      <c r="DF697" s="21"/>
      <c r="DG697" s="21"/>
      <c r="DH697" s="21"/>
      <c r="DI697" s="21"/>
    </row>
    <row r="698" spans="2:113" s="123" customFormat="1">
      <c r="B698" s="125"/>
      <c r="D698" s="125"/>
      <c r="AA698" s="74"/>
      <c r="AE698" s="124"/>
      <c r="AI698" s="74"/>
      <c r="AM698" s="74"/>
      <c r="AY698" s="74"/>
      <c r="BC698" s="74"/>
      <c r="BG698" s="74"/>
      <c r="BK698" s="74"/>
      <c r="BO698" s="74"/>
      <c r="BW698" s="74"/>
      <c r="DF698" s="21"/>
      <c r="DG698" s="21"/>
      <c r="DH698" s="21"/>
      <c r="DI698" s="21"/>
    </row>
    <row r="699" spans="2:113" s="123" customFormat="1">
      <c r="B699" s="125"/>
      <c r="D699" s="125"/>
      <c r="AA699" s="74"/>
      <c r="AE699" s="124"/>
      <c r="AI699" s="74"/>
      <c r="AM699" s="74"/>
      <c r="AY699" s="74"/>
      <c r="BC699" s="74"/>
      <c r="BG699" s="74"/>
      <c r="BK699" s="74"/>
      <c r="BO699" s="74"/>
      <c r="BW699" s="74"/>
      <c r="DF699" s="21"/>
      <c r="DG699" s="21"/>
      <c r="DH699" s="21"/>
      <c r="DI699" s="21"/>
    </row>
    <row r="700" spans="2:113" s="123" customFormat="1">
      <c r="B700" s="125"/>
      <c r="D700" s="125"/>
      <c r="AA700" s="74"/>
      <c r="AE700" s="124"/>
      <c r="AI700" s="74"/>
      <c r="AM700" s="74"/>
      <c r="AY700" s="74"/>
      <c r="BC700" s="74"/>
      <c r="BG700" s="74"/>
      <c r="BK700" s="74"/>
      <c r="BO700" s="74"/>
      <c r="BW700" s="74"/>
      <c r="DF700" s="21"/>
      <c r="DG700" s="21"/>
      <c r="DH700" s="21"/>
      <c r="DI700" s="21"/>
    </row>
    <row r="701" spans="2:113" s="123" customFormat="1">
      <c r="B701" s="125"/>
      <c r="D701" s="125"/>
      <c r="AA701" s="74"/>
      <c r="AE701" s="124"/>
      <c r="AI701" s="74"/>
      <c r="AM701" s="74"/>
      <c r="AY701" s="74"/>
      <c r="BC701" s="74"/>
      <c r="BG701" s="74"/>
      <c r="BK701" s="74"/>
      <c r="BO701" s="74"/>
      <c r="BW701" s="74"/>
      <c r="DF701" s="21"/>
      <c r="DG701" s="21"/>
      <c r="DH701" s="21"/>
      <c r="DI701" s="21"/>
    </row>
    <row r="702" spans="2:113" s="123" customFormat="1">
      <c r="B702" s="125"/>
      <c r="D702" s="125"/>
      <c r="AA702" s="74"/>
      <c r="AE702" s="124"/>
      <c r="AI702" s="74"/>
      <c r="AM702" s="74"/>
      <c r="AY702" s="74"/>
      <c r="BC702" s="74"/>
      <c r="BG702" s="74"/>
      <c r="BK702" s="74"/>
      <c r="BO702" s="74"/>
      <c r="BW702" s="74"/>
      <c r="DF702" s="21"/>
      <c r="DG702" s="21"/>
      <c r="DH702" s="21"/>
      <c r="DI702" s="21"/>
    </row>
    <row r="703" spans="2:113" s="123" customFormat="1">
      <c r="B703" s="125"/>
      <c r="D703" s="125"/>
      <c r="AA703" s="74"/>
      <c r="AE703" s="124"/>
      <c r="AI703" s="74"/>
      <c r="AM703" s="74"/>
      <c r="AY703" s="74"/>
      <c r="BC703" s="74"/>
      <c r="BG703" s="74"/>
      <c r="BK703" s="74"/>
      <c r="BO703" s="74"/>
      <c r="BW703" s="74"/>
      <c r="DF703" s="21"/>
      <c r="DG703" s="21"/>
      <c r="DH703" s="21"/>
      <c r="DI703" s="21"/>
    </row>
    <row r="704" spans="2:113" s="123" customFormat="1">
      <c r="B704" s="125"/>
      <c r="D704" s="125"/>
      <c r="AA704" s="74"/>
      <c r="AE704" s="124"/>
      <c r="AI704" s="74"/>
      <c r="AM704" s="74"/>
      <c r="AY704" s="74"/>
      <c r="BC704" s="74"/>
      <c r="BG704" s="74"/>
      <c r="BK704" s="74"/>
      <c r="BO704" s="74"/>
      <c r="BW704" s="74"/>
      <c r="DF704" s="21"/>
      <c r="DG704" s="21"/>
      <c r="DH704" s="21"/>
      <c r="DI704" s="21"/>
    </row>
    <row r="705" spans="2:113" s="123" customFormat="1">
      <c r="B705" s="125"/>
      <c r="D705" s="125"/>
      <c r="AA705" s="74"/>
      <c r="AE705" s="124"/>
      <c r="AI705" s="74"/>
      <c r="AM705" s="74"/>
      <c r="AY705" s="74"/>
      <c r="BC705" s="74"/>
      <c r="BG705" s="74"/>
      <c r="BK705" s="74"/>
      <c r="BO705" s="74"/>
      <c r="BW705" s="74"/>
      <c r="DF705" s="21"/>
      <c r="DG705" s="21"/>
      <c r="DH705" s="21"/>
      <c r="DI705" s="21"/>
    </row>
    <row r="706" spans="2:113" s="123" customFormat="1">
      <c r="B706" s="125"/>
      <c r="D706" s="125"/>
      <c r="AA706" s="74"/>
      <c r="AE706" s="124"/>
      <c r="AI706" s="74"/>
      <c r="AM706" s="74"/>
      <c r="AY706" s="74"/>
      <c r="BC706" s="74"/>
      <c r="BG706" s="74"/>
      <c r="BK706" s="74"/>
      <c r="BO706" s="74"/>
      <c r="BW706" s="74"/>
      <c r="DF706" s="21"/>
      <c r="DG706" s="21"/>
      <c r="DH706" s="21"/>
      <c r="DI706" s="21"/>
    </row>
    <row r="707" spans="2:113" s="123" customFormat="1">
      <c r="B707" s="125"/>
      <c r="D707" s="125"/>
      <c r="AA707" s="74"/>
      <c r="AE707" s="124"/>
      <c r="AI707" s="74"/>
      <c r="AM707" s="74"/>
      <c r="AY707" s="74"/>
      <c r="BC707" s="74"/>
      <c r="BG707" s="74"/>
      <c r="BK707" s="74"/>
      <c r="BO707" s="74"/>
      <c r="BW707" s="74"/>
      <c r="DF707" s="21"/>
      <c r="DG707" s="21"/>
      <c r="DH707" s="21"/>
      <c r="DI707" s="21"/>
    </row>
    <row r="708" spans="2:113" s="123" customFormat="1">
      <c r="B708" s="125"/>
      <c r="D708" s="125"/>
      <c r="AA708" s="74"/>
      <c r="AE708" s="124"/>
      <c r="AI708" s="74"/>
      <c r="AM708" s="74"/>
      <c r="AY708" s="74"/>
      <c r="BC708" s="74"/>
      <c r="BG708" s="74"/>
      <c r="BK708" s="74"/>
      <c r="BO708" s="74"/>
      <c r="BW708" s="74"/>
      <c r="DF708" s="21"/>
      <c r="DG708" s="21"/>
      <c r="DH708" s="21"/>
      <c r="DI708" s="21"/>
    </row>
    <row r="709" spans="2:113" s="123" customFormat="1">
      <c r="B709" s="125"/>
      <c r="D709" s="125"/>
      <c r="AA709" s="74"/>
      <c r="AE709" s="124"/>
      <c r="AI709" s="74"/>
      <c r="AM709" s="74"/>
      <c r="AY709" s="74"/>
      <c r="BC709" s="74"/>
      <c r="BG709" s="74"/>
      <c r="BK709" s="74"/>
      <c r="BO709" s="74"/>
      <c r="BW709" s="74"/>
      <c r="DF709" s="21"/>
      <c r="DG709" s="21"/>
      <c r="DH709" s="21"/>
      <c r="DI709" s="21"/>
    </row>
    <row r="710" spans="2:113" s="123" customFormat="1">
      <c r="B710" s="125"/>
      <c r="D710" s="125"/>
      <c r="AA710" s="74"/>
      <c r="AE710" s="124"/>
      <c r="AI710" s="74"/>
      <c r="AM710" s="74"/>
      <c r="AY710" s="74"/>
      <c r="BC710" s="74"/>
      <c r="BG710" s="74"/>
      <c r="BK710" s="74"/>
      <c r="BO710" s="74"/>
      <c r="BW710" s="74"/>
      <c r="DF710" s="21"/>
      <c r="DG710" s="21"/>
      <c r="DH710" s="21"/>
      <c r="DI710" s="21"/>
    </row>
    <row r="711" spans="2:113" s="123" customFormat="1">
      <c r="B711" s="125"/>
      <c r="D711" s="125"/>
      <c r="AA711" s="74"/>
      <c r="AE711" s="124"/>
      <c r="AI711" s="74"/>
      <c r="AM711" s="74"/>
      <c r="AY711" s="74"/>
      <c r="BC711" s="74"/>
      <c r="BG711" s="74"/>
      <c r="BK711" s="74"/>
      <c r="BO711" s="74"/>
      <c r="BW711" s="74"/>
      <c r="DF711" s="21"/>
      <c r="DG711" s="21"/>
      <c r="DH711" s="21"/>
      <c r="DI711" s="21"/>
    </row>
    <row r="712" spans="2:113" s="123" customFormat="1">
      <c r="B712" s="125"/>
      <c r="D712" s="125"/>
      <c r="AA712" s="74"/>
      <c r="AE712" s="124"/>
      <c r="AI712" s="74"/>
      <c r="AM712" s="74"/>
      <c r="AY712" s="74"/>
      <c r="BC712" s="74"/>
      <c r="BG712" s="74"/>
      <c r="BK712" s="74"/>
      <c r="BO712" s="74"/>
      <c r="BW712" s="74"/>
      <c r="DF712" s="21"/>
      <c r="DG712" s="21"/>
      <c r="DH712" s="21"/>
      <c r="DI712" s="21"/>
    </row>
    <row r="713" spans="2:113" s="123" customFormat="1">
      <c r="B713" s="125"/>
      <c r="D713" s="125"/>
      <c r="AA713" s="74"/>
      <c r="AE713" s="124"/>
      <c r="AI713" s="74"/>
      <c r="AM713" s="74"/>
      <c r="AY713" s="74"/>
      <c r="BC713" s="74"/>
      <c r="BG713" s="74"/>
      <c r="BK713" s="74"/>
      <c r="BO713" s="74"/>
      <c r="BW713" s="74"/>
      <c r="DF713" s="21"/>
      <c r="DG713" s="21"/>
      <c r="DH713" s="21"/>
      <c r="DI713" s="21"/>
    </row>
    <row r="714" spans="2:113" s="123" customFormat="1">
      <c r="B714" s="125"/>
      <c r="D714" s="125"/>
      <c r="AA714" s="74"/>
      <c r="AE714" s="124"/>
      <c r="AI714" s="74"/>
      <c r="AM714" s="74"/>
      <c r="AY714" s="74"/>
      <c r="BC714" s="74"/>
      <c r="BG714" s="74"/>
      <c r="BK714" s="74"/>
      <c r="BO714" s="74"/>
      <c r="BW714" s="74"/>
      <c r="DF714" s="21"/>
      <c r="DG714" s="21"/>
      <c r="DH714" s="21"/>
      <c r="DI714" s="21"/>
    </row>
    <row r="715" spans="2:113" s="123" customFormat="1">
      <c r="B715" s="125"/>
      <c r="D715" s="125"/>
      <c r="AA715" s="74"/>
      <c r="AE715" s="124"/>
      <c r="AI715" s="74"/>
      <c r="AM715" s="74"/>
      <c r="AY715" s="74"/>
      <c r="BC715" s="74"/>
      <c r="BG715" s="74"/>
      <c r="BK715" s="74"/>
      <c r="BO715" s="74"/>
      <c r="BW715" s="74"/>
      <c r="DF715" s="21"/>
      <c r="DG715" s="21"/>
      <c r="DH715" s="21"/>
      <c r="DI715" s="21"/>
    </row>
    <row r="716" spans="2:113" s="123" customFormat="1">
      <c r="B716" s="125"/>
      <c r="D716" s="125"/>
      <c r="AA716" s="74"/>
      <c r="AE716" s="124"/>
      <c r="AI716" s="74"/>
      <c r="AM716" s="74"/>
      <c r="AY716" s="74"/>
      <c r="BC716" s="74"/>
      <c r="BG716" s="74"/>
      <c r="BK716" s="74"/>
      <c r="BO716" s="74"/>
      <c r="BW716" s="74"/>
      <c r="DF716" s="21"/>
      <c r="DG716" s="21"/>
      <c r="DH716" s="21"/>
      <c r="DI716" s="21"/>
    </row>
    <row r="717" spans="2:113" s="123" customFormat="1">
      <c r="B717" s="125"/>
      <c r="D717" s="125"/>
      <c r="AA717" s="74"/>
      <c r="AE717" s="124"/>
      <c r="AI717" s="74"/>
      <c r="AM717" s="74"/>
      <c r="AY717" s="74"/>
      <c r="BC717" s="74"/>
      <c r="BG717" s="74"/>
      <c r="BK717" s="74"/>
      <c r="BO717" s="74"/>
      <c r="BW717" s="74"/>
      <c r="DF717" s="21"/>
      <c r="DG717" s="21"/>
      <c r="DH717" s="21"/>
      <c r="DI717" s="21"/>
    </row>
    <row r="718" spans="2:113" s="123" customFormat="1">
      <c r="B718" s="125"/>
      <c r="D718" s="125"/>
      <c r="AA718" s="74"/>
      <c r="AE718" s="124"/>
      <c r="AI718" s="74"/>
      <c r="AM718" s="74"/>
      <c r="AY718" s="74"/>
      <c r="BC718" s="74"/>
      <c r="BG718" s="74"/>
      <c r="BK718" s="74"/>
      <c r="BO718" s="74"/>
      <c r="BW718" s="74"/>
      <c r="DF718" s="21"/>
      <c r="DG718" s="21"/>
      <c r="DH718" s="21"/>
      <c r="DI718" s="21"/>
    </row>
    <row r="719" spans="2:113" s="123" customFormat="1">
      <c r="B719" s="125"/>
      <c r="D719" s="125"/>
      <c r="AA719" s="74"/>
      <c r="AE719" s="124"/>
      <c r="AI719" s="74"/>
      <c r="AM719" s="74"/>
      <c r="AY719" s="74"/>
      <c r="BC719" s="74"/>
      <c r="BG719" s="74"/>
      <c r="BK719" s="74"/>
      <c r="BO719" s="74"/>
      <c r="BW719" s="74"/>
      <c r="DF719" s="21"/>
      <c r="DG719" s="21"/>
      <c r="DH719" s="21"/>
      <c r="DI719" s="21"/>
    </row>
    <row r="720" spans="2:113" s="123" customFormat="1">
      <c r="B720" s="125"/>
      <c r="D720" s="125"/>
      <c r="AA720" s="74"/>
      <c r="AE720" s="124"/>
      <c r="AI720" s="74"/>
      <c r="AM720" s="74"/>
      <c r="AY720" s="74"/>
      <c r="BC720" s="74"/>
      <c r="BG720" s="74"/>
      <c r="BK720" s="74"/>
      <c r="BO720" s="74"/>
      <c r="BW720" s="74"/>
      <c r="DF720" s="21"/>
      <c r="DG720" s="21"/>
      <c r="DH720" s="21"/>
      <c r="DI720" s="21"/>
    </row>
    <row r="721" spans="2:113" s="123" customFormat="1">
      <c r="B721" s="125"/>
      <c r="D721" s="125"/>
      <c r="AA721" s="74"/>
      <c r="AE721" s="124"/>
      <c r="AI721" s="74"/>
      <c r="AM721" s="74"/>
      <c r="AY721" s="74"/>
      <c r="BC721" s="74"/>
      <c r="BG721" s="74"/>
      <c r="BK721" s="74"/>
      <c r="BO721" s="74"/>
      <c r="BW721" s="74"/>
      <c r="DF721" s="21"/>
      <c r="DG721" s="21"/>
      <c r="DH721" s="21"/>
      <c r="DI721" s="21"/>
    </row>
    <row r="722" spans="2:113" s="123" customFormat="1">
      <c r="B722" s="125"/>
      <c r="D722" s="125"/>
      <c r="AA722" s="74"/>
      <c r="AE722" s="124"/>
      <c r="AI722" s="74"/>
      <c r="AM722" s="74"/>
      <c r="AY722" s="74"/>
      <c r="BC722" s="74"/>
      <c r="BG722" s="74"/>
      <c r="BK722" s="74"/>
      <c r="BO722" s="74"/>
      <c r="BW722" s="74"/>
      <c r="DF722" s="21"/>
      <c r="DG722" s="21"/>
      <c r="DH722" s="21"/>
      <c r="DI722" s="21"/>
    </row>
    <row r="723" spans="2:113" s="123" customFormat="1">
      <c r="B723" s="125"/>
      <c r="D723" s="125"/>
      <c r="AA723" s="74"/>
      <c r="AE723" s="124"/>
      <c r="AI723" s="74"/>
      <c r="AM723" s="74"/>
      <c r="AY723" s="74"/>
      <c r="BC723" s="74"/>
      <c r="BG723" s="74"/>
      <c r="BK723" s="74"/>
      <c r="BO723" s="74"/>
      <c r="BW723" s="74"/>
      <c r="DF723" s="21"/>
      <c r="DG723" s="21"/>
      <c r="DH723" s="21"/>
      <c r="DI723" s="21"/>
    </row>
    <row r="724" spans="2:113" s="123" customFormat="1">
      <c r="B724" s="125"/>
      <c r="D724" s="125"/>
      <c r="AA724" s="74"/>
      <c r="AE724" s="124"/>
      <c r="AI724" s="74"/>
      <c r="AM724" s="74"/>
      <c r="AY724" s="74"/>
      <c r="BC724" s="74"/>
      <c r="BG724" s="74"/>
      <c r="BK724" s="74"/>
      <c r="BO724" s="74"/>
      <c r="BW724" s="74"/>
      <c r="DF724" s="21"/>
      <c r="DG724" s="21"/>
      <c r="DH724" s="21"/>
      <c r="DI724" s="21"/>
    </row>
    <row r="725" spans="2:113" s="123" customFormat="1">
      <c r="B725" s="125"/>
      <c r="D725" s="125"/>
      <c r="AA725" s="74"/>
      <c r="AE725" s="124"/>
      <c r="AI725" s="74"/>
      <c r="AM725" s="74"/>
      <c r="AY725" s="74"/>
      <c r="BC725" s="74"/>
      <c r="BG725" s="74"/>
      <c r="BK725" s="74"/>
      <c r="BO725" s="74"/>
      <c r="BW725" s="74"/>
      <c r="DF725" s="21"/>
      <c r="DG725" s="21"/>
      <c r="DH725" s="21"/>
      <c r="DI725" s="21"/>
    </row>
    <row r="726" spans="2:113" s="123" customFormat="1">
      <c r="B726" s="125"/>
      <c r="D726" s="125"/>
      <c r="AA726" s="74"/>
      <c r="AE726" s="124"/>
      <c r="AI726" s="74"/>
      <c r="AM726" s="74"/>
      <c r="AY726" s="74"/>
      <c r="BC726" s="74"/>
      <c r="BG726" s="74"/>
      <c r="BK726" s="74"/>
      <c r="BO726" s="74"/>
      <c r="BW726" s="74"/>
      <c r="DF726" s="21"/>
      <c r="DG726" s="21"/>
      <c r="DH726" s="21"/>
      <c r="DI726" s="21"/>
    </row>
    <row r="727" spans="2:113" s="123" customFormat="1">
      <c r="B727" s="125"/>
      <c r="D727" s="125"/>
      <c r="AA727" s="74"/>
      <c r="AE727" s="124"/>
      <c r="AI727" s="74"/>
      <c r="AM727" s="74"/>
      <c r="AY727" s="74"/>
      <c r="BC727" s="74"/>
      <c r="BG727" s="74"/>
      <c r="BK727" s="74"/>
      <c r="BO727" s="74"/>
      <c r="BW727" s="74"/>
      <c r="DF727" s="21"/>
      <c r="DG727" s="21"/>
      <c r="DH727" s="21"/>
      <c r="DI727" s="21"/>
    </row>
    <row r="728" spans="2:113" s="123" customFormat="1">
      <c r="B728" s="125"/>
      <c r="D728" s="125"/>
      <c r="AA728" s="74"/>
      <c r="AE728" s="124"/>
      <c r="AI728" s="74"/>
      <c r="AM728" s="74"/>
      <c r="AY728" s="74"/>
      <c r="BC728" s="74"/>
      <c r="BG728" s="74"/>
      <c r="BK728" s="74"/>
      <c r="BO728" s="74"/>
      <c r="BW728" s="74"/>
      <c r="DF728" s="21"/>
      <c r="DG728" s="21"/>
      <c r="DH728" s="21"/>
      <c r="DI728" s="21"/>
    </row>
    <row r="729" spans="2:113" s="123" customFormat="1">
      <c r="B729" s="125"/>
      <c r="D729" s="125"/>
      <c r="AA729" s="74"/>
      <c r="AE729" s="124"/>
      <c r="AI729" s="74"/>
      <c r="AM729" s="74"/>
      <c r="AY729" s="74"/>
      <c r="BC729" s="74"/>
      <c r="BG729" s="74"/>
      <c r="BK729" s="74"/>
      <c r="BO729" s="74"/>
      <c r="BW729" s="74"/>
      <c r="DF729" s="21"/>
      <c r="DG729" s="21"/>
      <c r="DH729" s="21"/>
      <c r="DI729" s="21"/>
    </row>
    <row r="730" spans="2:113" s="123" customFormat="1">
      <c r="B730" s="125"/>
      <c r="D730" s="125"/>
      <c r="AA730" s="74"/>
      <c r="AE730" s="124"/>
      <c r="AI730" s="74"/>
      <c r="AM730" s="74"/>
      <c r="AY730" s="74"/>
      <c r="BC730" s="74"/>
      <c r="BG730" s="74"/>
      <c r="BK730" s="74"/>
      <c r="BO730" s="74"/>
      <c r="BW730" s="74"/>
      <c r="DF730" s="21"/>
      <c r="DG730" s="21"/>
      <c r="DH730" s="21"/>
      <c r="DI730" s="21"/>
    </row>
    <row r="731" spans="2:113" s="123" customFormat="1">
      <c r="B731" s="125"/>
      <c r="D731" s="125"/>
      <c r="AA731" s="74"/>
      <c r="AE731" s="124"/>
      <c r="AI731" s="74"/>
      <c r="AM731" s="74"/>
      <c r="AY731" s="74"/>
      <c r="BC731" s="74"/>
      <c r="BG731" s="74"/>
      <c r="BK731" s="74"/>
      <c r="BO731" s="74"/>
      <c r="BW731" s="74"/>
      <c r="DF731" s="21"/>
      <c r="DG731" s="21"/>
      <c r="DH731" s="21"/>
      <c r="DI731" s="21"/>
    </row>
    <row r="732" spans="2:113" s="123" customFormat="1">
      <c r="B732" s="125"/>
      <c r="D732" s="125"/>
      <c r="AA732" s="74"/>
      <c r="AE732" s="124"/>
      <c r="AI732" s="74"/>
      <c r="AM732" s="74"/>
      <c r="AY732" s="74"/>
      <c r="BC732" s="74"/>
      <c r="BG732" s="74"/>
      <c r="BK732" s="74"/>
      <c r="BO732" s="74"/>
      <c r="BW732" s="74"/>
      <c r="DF732" s="21"/>
      <c r="DG732" s="21"/>
      <c r="DH732" s="21"/>
      <c r="DI732" s="21"/>
    </row>
    <row r="733" spans="2:113" s="123" customFormat="1">
      <c r="B733" s="125"/>
      <c r="D733" s="125"/>
      <c r="AA733" s="74"/>
      <c r="AE733" s="124"/>
      <c r="AI733" s="74"/>
      <c r="AM733" s="74"/>
      <c r="AY733" s="74"/>
      <c r="BC733" s="74"/>
      <c r="BG733" s="74"/>
      <c r="BK733" s="74"/>
      <c r="BO733" s="74"/>
      <c r="BW733" s="74"/>
      <c r="DF733" s="21"/>
      <c r="DG733" s="21"/>
      <c r="DH733" s="21"/>
      <c r="DI733" s="21"/>
    </row>
    <row r="734" spans="2:113" s="123" customFormat="1">
      <c r="B734" s="125"/>
      <c r="D734" s="125"/>
      <c r="AA734" s="74"/>
      <c r="AE734" s="124"/>
      <c r="AI734" s="74"/>
      <c r="AM734" s="74"/>
      <c r="AY734" s="74"/>
      <c r="BC734" s="74"/>
      <c r="BG734" s="74"/>
      <c r="BK734" s="74"/>
      <c r="BO734" s="74"/>
      <c r="BW734" s="74"/>
      <c r="DF734" s="21"/>
      <c r="DG734" s="21"/>
      <c r="DH734" s="21"/>
      <c r="DI734" s="21"/>
    </row>
    <row r="735" spans="2:113" s="123" customFormat="1">
      <c r="B735" s="125"/>
      <c r="D735" s="125"/>
      <c r="AA735" s="74"/>
      <c r="AE735" s="124"/>
      <c r="AI735" s="74"/>
      <c r="AM735" s="74"/>
      <c r="AY735" s="74"/>
      <c r="BC735" s="74"/>
      <c r="BG735" s="74"/>
      <c r="BK735" s="74"/>
      <c r="BO735" s="74"/>
      <c r="BW735" s="74"/>
      <c r="DF735" s="21"/>
      <c r="DG735" s="21"/>
      <c r="DH735" s="21"/>
      <c r="DI735" s="21"/>
    </row>
    <row r="736" spans="2:113" s="123" customFormat="1">
      <c r="B736" s="125"/>
      <c r="D736" s="125"/>
      <c r="AA736" s="74"/>
      <c r="AE736" s="124"/>
      <c r="AI736" s="74"/>
      <c r="AM736" s="74"/>
      <c r="AY736" s="74"/>
      <c r="BC736" s="74"/>
      <c r="BG736" s="74"/>
      <c r="BK736" s="74"/>
      <c r="BO736" s="74"/>
      <c r="BW736" s="74"/>
      <c r="DF736" s="21"/>
      <c r="DG736" s="21"/>
      <c r="DH736" s="21"/>
      <c r="DI736" s="21"/>
    </row>
    <row r="737" spans="2:113" s="123" customFormat="1">
      <c r="B737" s="125"/>
      <c r="D737" s="125"/>
      <c r="AA737" s="74"/>
      <c r="AE737" s="124"/>
      <c r="AI737" s="74"/>
      <c r="AM737" s="74"/>
      <c r="AY737" s="74"/>
      <c r="BC737" s="74"/>
      <c r="BG737" s="74"/>
      <c r="BK737" s="74"/>
      <c r="BO737" s="74"/>
      <c r="BW737" s="74"/>
      <c r="DF737" s="21"/>
      <c r="DG737" s="21"/>
      <c r="DH737" s="21"/>
      <c r="DI737" s="21"/>
    </row>
    <row r="738" spans="2:113" s="123" customFormat="1">
      <c r="B738" s="125"/>
      <c r="D738" s="125"/>
      <c r="AA738" s="74"/>
      <c r="AE738" s="124"/>
      <c r="AI738" s="74"/>
      <c r="AM738" s="74"/>
      <c r="AY738" s="74"/>
      <c r="BC738" s="74"/>
      <c r="BG738" s="74"/>
      <c r="BK738" s="74"/>
      <c r="BO738" s="74"/>
      <c r="BW738" s="74"/>
      <c r="DF738" s="21"/>
      <c r="DG738" s="21"/>
      <c r="DH738" s="21"/>
      <c r="DI738" s="21"/>
    </row>
    <row r="739" spans="2:113" s="123" customFormat="1">
      <c r="B739" s="125"/>
      <c r="D739" s="125"/>
      <c r="AA739" s="74"/>
      <c r="AE739" s="124"/>
      <c r="AI739" s="74"/>
      <c r="AM739" s="74"/>
      <c r="AY739" s="74"/>
      <c r="BC739" s="74"/>
      <c r="BG739" s="74"/>
      <c r="BK739" s="74"/>
      <c r="BO739" s="74"/>
      <c r="BW739" s="74"/>
      <c r="DF739" s="21"/>
      <c r="DG739" s="21"/>
      <c r="DH739" s="21"/>
      <c r="DI739" s="21"/>
    </row>
    <row r="740" spans="2:113" s="123" customFormat="1">
      <c r="B740" s="125"/>
      <c r="D740" s="125"/>
      <c r="AA740" s="74"/>
      <c r="AE740" s="124"/>
      <c r="AI740" s="74"/>
      <c r="AM740" s="74"/>
      <c r="AY740" s="74"/>
      <c r="BC740" s="74"/>
      <c r="BG740" s="74"/>
      <c r="BK740" s="74"/>
      <c r="BO740" s="74"/>
      <c r="BW740" s="74"/>
      <c r="DF740" s="21"/>
      <c r="DG740" s="21"/>
      <c r="DH740" s="21"/>
      <c r="DI740" s="21"/>
    </row>
    <row r="741" spans="2:113" s="123" customFormat="1">
      <c r="B741" s="125"/>
      <c r="D741" s="125"/>
      <c r="AA741" s="74"/>
      <c r="AE741" s="124"/>
      <c r="AI741" s="74"/>
      <c r="AM741" s="74"/>
      <c r="AY741" s="74"/>
      <c r="BC741" s="74"/>
      <c r="BG741" s="74"/>
      <c r="BK741" s="74"/>
      <c r="BO741" s="74"/>
      <c r="BW741" s="74"/>
      <c r="DF741" s="21"/>
      <c r="DG741" s="21"/>
      <c r="DH741" s="21"/>
      <c r="DI741" s="21"/>
    </row>
    <row r="742" spans="2:113" s="123" customFormat="1">
      <c r="B742" s="125"/>
      <c r="D742" s="125"/>
      <c r="AA742" s="74"/>
      <c r="AE742" s="124"/>
      <c r="AI742" s="74"/>
      <c r="AM742" s="74"/>
      <c r="AY742" s="74"/>
      <c r="BC742" s="74"/>
      <c r="BG742" s="74"/>
      <c r="BK742" s="74"/>
      <c r="BO742" s="74"/>
      <c r="BW742" s="74"/>
      <c r="DF742" s="21"/>
      <c r="DG742" s="21"/>
      <c r="DH742" s="21"/>
      <c r="DI742" s="21"/>
    </row>
    <row r="743" spans="2:113" s="123" customFormat="1">
      <c r="B743" s="125"/>
      <c r="D743" s="125"/>
      <c r="AA743" s="74"/>
      <c r="AE743" s="124"/>
      <c r="AI743" s="74"/>
      <c r="AM743" s="74"/>
      <c r="AY743" s="74"/>
      <c r="BC743" s="74"/>
      <c r="BG743" s="74"/>
      <c r="BK743" s="74"/>
      <c r="BO743" s="74"/>
      <c r="BW743" s="74"/>
      <c r="DF743" s="21"/>
      <c r="DG743" s="21"/>
      <c r="DH743" s="21"/>
      <c r="DI743" s="21"/>
    </row>
    <row r="744" spans="2:113" s="123" customFormat="1">
      <c r="B744" s="125"/>
      <c r="D744" s="125"/>
      <c r="AA744" s="74"/>
      <c r="AE744" s="124"/>
      <c r="AI744" s="74"/>
      <c r="AM744" s="74"/>
      <c r="AY744" s="74"/>
      <c r="BC744" s="74"/>
      <c r="BG744" s="74"/>
      <c r="BK744" s="74"/>
      <c r="BO744" s="74"/>
      <c r="BW744" s="74"/>
      <c r="DF744" s="21"/>
      <c r="DG744" s="21"/>
      <c r="DH744" s="21"/>
      <c r="DI744" s="21"/>
    </row>
    <row r="745" spans="2:113" s="123" customFormat="1">
      <c r="B745" s="125"/>
      <c r="D745" s="125"/>
      <c r="AA745" s="74"/>
      <c r="AE745" s="124"/>
      <c r="AI745" s="74"/>
      <c r="AM745" s="74"/>
      <c r="AY745" s="74"/>
      <c r="BC745" s="74"/>
      <c r="BG745" s="74"/>
      <c r="BK745" s="74"/>
      <c r="BO745" s="74"/>
      <c r="BW745" s="74"/>
      <c r="DF745" s="21"/>
      <c r="DG745" s="21"/>
      <c r="DH745" s="21"/>
      <c r="DI745" s="21"/>
    </row>
    <row r="746" spans="2:113" s="123" customFormat="1">
      <c r="B746" s="125"/>
      <c r="D746" s="125"/>
      <c r="AA746" s="74"/>
      <c r="AE746" s="124"/>
      <c r="AI746" s="74"/>
      <c r="AM746" s="74"/>
      <c r="AY746" s="74"/>
      <c r="BC746" s="74"/>
      <c r="BG746" s="74"/>
      <c r="BK746" s="74"/>
      <c r="BO746" s="74"/>
      <c r="BW746" s="74"/>
      <c r="DF746" s="21"/>
      <c r="DG746" s="21"/>
      <c r="DH746" s="21"/>
      <c r="DI746" s="21"/>
    </row>
    <row r="747" spans="2:113" s="123" customFormat="1">
      <c r="B747" s="125"/>
      <c r="D747" s="125"/>
      <c r="AA747" s="74"/>
      <c r="AE747" s="124"/>
      <c r="AI747" s="74"/>
      <c r="AM747" s="74"/>
      <c r="AY747" s="74"/>
      <c r="BC747" s="74"/>
      <c r="BG747" s="74"/>
      <c r="BK747" s="74"/>
      <c r="BO747" s="74"/>
      <c r="BW747" s="74"/>
      <c r="DF747" s="21"/>
      <c r="DG747" s="21"/>
      <c r="DH747" s="21"/>
      <c r="DI747" s="21"/>
    </row>
    <row r="748" spans="2:113" s="123" customFormat="1">
      <c r="B748" s="125"/>
      <c r="D748" s="125"/>
      <c r="AA748" s="74"/>
      <c r="AE748" s="124"/>
      <c r="AI748" s="74"/>
      <c r="AM748" s="74"/>
      <c r="AY748" s="74"/>
      <c r="BC748" s="74"/>
      <c r="BG748" s="74"/>
      <c r="BK748" s="74"/>
      <c r="BO748" s="74"/>
      <c r="BW748" s="74"/>
      <c r="DF748" s="21"/>
      <c r="DG748" s="21"/>
      <c r="DH748" s="21"/>
      <c r="DI748" s="21"/>
    </row>
    <row r="749" spans="2:113" s="123" customFormat="1">
      <c r="B749" s="125"/>
      <c r="D749" s="125"/>
      <c r="AA749" s="74"/>
      <c r="AE749" s="124"/>
      <c r="AI749" s="74"/>
      <c r="AM749" s="74"/>
      <c r="AY749" s="74"/>
      <c r="BC749" s="74"/>
      <c r="BG749" s="74"/>
      <c r="BK749" s="74"/>
      <c r="BO749" s="74"/>
      <c r="BW749" s="74"/>
      <c r="DF749" s="21"/>
      <c r="DG749" s="21"/>
      <c r="DH749" s="21"/>
      <c r="DI749" s="21"/>
    </row>
    <row r="750" spans="2:113" s="123" customFormat="1">
      <c r="B750" s="125"/>
      <c r="D750" s="125"/>
      <c r="AA750" s="74"/>
      <c r="AE750" s="124"/>
      <c r="AI750" s="74"/>
      <c r="AM750" s="74"/>
      <c r="AY750" s="74"/>
      <c r="BC750" s="74"/>
      <c r="BG750" s="74"/>
      <c r="BK750" s="74"/>
      <c r="BO750" s="74"/>
      <c r="BW750" s="74"/>
      <c r="DF750" s="21"/>
      <c r="DG750" s="21"/>
      <c r="DH750" s="21"/>
      <c r="DI750" s="21"/>
    </row>
    <row r="751" spans="2:113" s="123" customFormat="1">
      <c r="B751" s="125"/>
      <c r="D751" s="125"/>
      <c r="AA751" s="74"/>
      <c r="AE751" s="124"/>
      <c r="AI751" s="74"/>
      <c r="AM751" s="74"/>
      <c r="AY751" s="74"/>
      <c r="BC751" s="74"/>
      <c r="BG751" s="74"/>
      <c r="BK751" s="74"/>
      <c r="BO751" s="74"/>
      <c r="BW751" s="74"/>
      <c r="DF751" s="21"/>
      <c r="DG751" s="21"/>
      <c r="DH751" s="21"/>
      <c r="DI751" s="21"/>
    </row>
    <row r="752" spans="2:113" s="123" customFormat="1">
      <c r="B752" s="125"/>
      <c r="D752" s="125"/>
      <c r="AA752" s="74"/>
      <c r="AE752" s="124"/>
      <c r="AI752" s="74"/>
      <c r="AM752" s="74"/>
      <c r="AY752" s="74"/>
      <c r="BC752" s="74"/>
      <c r="BG752" s="74"/>
      <c r="BK752" s="74"/>
      <c r="BO752" s="74"/>
      <c r="BW752" s="74"/>
      <c r="DF752" s="21"/>
      <c r="DG752" s="21"/>
      <c r="DH752" s="21"/>
      <c r="DI752" s="21"/>
    </row>
    <row r="753" spans="2:113" s="123" customFormat="1">
      <c r="B753" s="125"/>
      <c r="D753" s="125"/>
      <c r="AA753" s="74"/>
      <c r="AE753" s="124"/>
      <c r="AI753" s="74"/>
      <c r="AM753" s="74"/>
      <c r="AY753" s="74"/>
      <c r="BC753" s="74"/>
      <c r="BG753" s="74"/>
      <c r="BK753" s="74"/>
      <c r="BO753" s="74"/>
      <c r="BW753" s="74"/>
      <c r="DF753" s="21"/>
      <c r="DG753" s="21"/>
      <c r="DH753" s="21"/>
      <c r="DI753" s="21"/>
    </row>
    <row r="754" spans="2:113" s="123" customFormat="1">
      <c r="B754" s="125"/>
      <c r="D754" s="125"/>
      <c r="AA754" s="74"/>
      <c r="AE754" s="124"/>
      <c r="AI754" s="74"/>
      <c r="AM754" s="74"/>
      <c r="AY754" s="74"/>
      <c r="BC754" s="74"/>
      <c r="BG754" s="74"/>
      <c r="BK754" s="74"/>
      <c r="BO754" s="74"/>
      <c r="BW754" s="74"/>
      <c r="DF754" s="21"/>
      <c r="DG754" s="21"/>
      <c r="DH754" s="21"/>
      <c r="DI754" s="21"/>
    </row>
    <row r="755" spans="2:113" s="123" customFormat="1">
      <c r="B755" s="125"/>
      <c r="D755" s="125"/>
      <c r="AA755" s="74"/>
      <c r="AE755" s="124"/>
      <c r="AI755" s="74"/>
      <c r="AM755" s="74"/>
      <c r="AY755" s="74"/>
      <c r="BC755" s="74"/>
      <c r="BG755" s="74"/>
      <c r="BK755" s="74"/>
      <c r="BO755" s="74"/>
      <c r="BW755" s="74"/>
      <c r="DF755" s="21"/>
      <c r="DG755" s="21"/>
      <c r="DH755" s="21"/>
      <c r="DI755" s="21"/>
    </row>
    <row r="756" spans="2:113" s="123" customFormat="1">
      <c r="B756" s="125"/>
      <c r="D756" s="125"/>
      <c r="AA756" s="74"/>
      <c r="AE756" s="124"/>
      <c r="AI756" s="74"/>
      <c r="AM756" s="74"/>
      <c r="AY756" s="74"/>
      <c r="BC756" s="74"/>
      <c r="BG756" s="74"/>
      <c r="BK756" s="74"/>
      <c r="BO756" s="74"/>
      <c r="BW756" s="74"/>
      <c r="DF756" s="21"/>
      <c r="DG756" s="21"/>
      <c r="DH756" s="21"/>
      <c r="DI756" s="21"/>
    </row>
    <row r="757" spans="2:113" s="123" customFormat="1">
      <c r="B757" s="125"/>
      <c r="D757" s="125"/>
      <c r="AA757" s="74"/>
      <c r="AE757" s="124"/>
      <c r="AI757" s="74"/>
      <c r="AM757" s="74"/>
      <c r="AY757" s="74"/>
      <c r="BC757" s="74"/>
      <c r="BG757" s="74"/>
      <c r="BK757" s="74"/>
      <c r="BO757" s="74"/>
      <c r="BW757" s="74"/>
      <c r="DF757" s="21"/>
      <c r="DG757" s="21"/>
      <c r="DH757" s="21"/>
      <c r="DI757" s="21"/>
    </row>
    <row r="758" spans="2:113" s="123" customFormat="1">
      <c r="B758" s="125"/>
      <c r="D758" s="125"/>
      <c r="AA758" s="74"/>
      <c r="AE758" s="124"/>
      <c r="AI758" s="74"/>
      <c r="AM758" s="74"/>
      <c r="AY758" s="74"/>
      <c r="BC758" s="74"/>
      <c r="BG758" s="74"/>
      <c r="BK758" s="74"/>
      <c r="BO758" s="74"/>
      <c r="BW758" s="74"/>
      <c r="DF758" s="21"/>
      <c r="DG758" s="21"/>
      <c r="DH758" s="21"/>
      <c r="DI758" s="21"/>
    </row>
    <row r="759" spans="2:113" s="123" customFormat="1">
      <c r="B759" s="125"/>
      <c r="D759" s="125"/>
      <c r="AA759" s="74"/>
      <c r="AE759" s="124"/>
      <c r="AI759" s="74"/>
      <c r="AM759" s="74"/>
      <c r="AY759" s="74"/>
      <c r="BC759" s="74"/>
      <c r="BG759" s="74"/>
      <c r="BK759" s="74"/>
      <c r="BO759" s="74"/>
      <c r="BW759" s="74"/>
      <c r="DF759" s="21"/>
      <c r="DG759" s="21"/>
      <c r="DH759" s="21"/>
      <c r="DI759" s="21"/>
    </row>
    <row r="760" spans="2:113" s="123" customFormat="1">
      <c r="B760" s="125"/>
      <c r="D760" s="125"/>
      <c r="AA760" s="74"/>
      <c r="AE760" s="124"/>
      <c r="AI760" s="74"/>
      <c r="AM760" s="74"/>
      <c r="AY760" s="74"/>
      <c r="BC760" s="74"/>
      <c r="BG760" s="74"/>
      <c r="BK760" s="74"/>
      <c r="BO760" s="74"/>
      <c r="BW760" s="74"/>
      <c r="DF760" s="21"/>
      <c r="DG760" s="21"/>
      <c r="DH760" s="21"/>
      <c r="DI760" s="21"/>
    </row>
    <row r="761" spans="2:113" s="123" customFormat="1">
      <c r="B761" s="125"/>
      <c r="D761" s="125"/>
      <c r="AA761" s="74"/>
      <c r="AE761" s="124"/>
      <c r="AI761" s="74"/>
      <c r="AM761" s="74"/>
      <c r="AY761" s="74"/>
      <c r="BC761" s="74"/>
      <c r="BG761" s="74"/>
      <c r="BK761" s="74"/>
      <c r="BO761" s="74"/>
      <c r="BW761" s="74"/>
      <c r="DF761" s="21"/>
      <c r="DG761" s="21"/>
      <c r="DH761" s="21"/>
      <c r="DI761" s="21"/>
    </row>
    <row r="762" spans="2:113" s="123" customFormat="1">
      <c r="B762" s="125"/>
      <c r="D762" s="125"/>
      <c r="AA762" s="74"/>
      <c r="AE762" s="124"/>
      <c r="AI762" s="74"/>
      <c r="AM762" s="74"/>
      <c r="AY762" s="74"/>
      <c r="BC762" s="74"/>
      <c r="BG762" s="74"/>
      <c r="BK762" s="74"/>
      <c r="BO762" s="74"/>
      <c r="BW762" s="74"/>
      <c r="DF762" s="21"/>
      <c r="DG762" s="21"/>
      <c r="DH762" s="21"/>
      <c r="DI762" s="21"/>
    </row>
    <row r="763" spans="2:113" s="123" customFormat="1">
      <c r="B763" s="125"/>
      <c r="D763" s="125"/>
      <c r="AA763" s="74"/>
      <c r="AE763" s="124"/>
      <c r="AI763" s="74"/>
      <c r="AM763" s="74"/>
      <c r="AY763" s="74"/>
      <c r="BC763" s="74"/>
      <c r="BG763" s="74"/>
      <c r="BK763" s="74"/>
      <c r="BO763" s="74"/>
      <c r="BW763" s="74"/>
      <c r="DF763" s="21"/>
      <c r="DG763" s="21"/>
      <c r="DH763" s="21"/>
      <c r="DI763" s="21"/>
    </row>
    <row r="764" spans="2:113" s="123" customFormat="1">
      <c r="B764" s="125"/>
      <c r="D764" s="125"/>
      <c r="AA764" s="74"/>
      <c r="AE764" s="124"/>
      <c r="AI764" s="74"/>
      <c r="AM764" s="74"/>
      <c r="AY764" s="74"/>
      <c r="BC764" s="74"/>
      <c r="BG764" s="74"/>
      <c r="BK764" s="74"/>
      <c r="BO764" s="74"/>
      <c r="BW764" s="74"/>
      <c r="DF764" s="21"/>
      <c r="DG764" s="21"/>
      <c r="DH764" s="21"/>
      <c r="DI764" s="21"/>
    </row>
    <row r="765" spans="2:113" s="123" customFormat="1">
      <c r="B765" s="125"/>
      <c r="D765" s="125"/>
      <c r="AA765" s="74"/>
      <c r="AE765" s="124"/>
      <c r="AI765" s="74"/>
      <c r="AM765" s="74"/>
      <c r="AY765" s="74"/>
      <c r="BC765" s="74"/>
      <c r="BG765" s="74"/>
      <c r="BK765" s="74"/>
      <c r="BO765" s="74"/>
      <c r="BW765" s="74"/>
      <c r="DF765" s="21"/>
      <c r="DG765" s="21"/>
      <c r="DH765" s="21"/>
      <c r="DI765" s="21"/>
    </row>
    <row r="766" spans="2:113" s="123" customFormat="1">
      <c r="B766" s="125"/>
      <c r="D766" s="125"/>
      <c r="AA766" s="74"/>
      <c r="AE766" s="124"/>
      <c r="AI766" s="74"/>
      <c r="AM766" s="74"/>
      <c r="AY766" s="74"/>
      <c r="BC766" s="74"/>
      <c r="BG766" s="74"/>
      <c r="BK766" s="74"/>
      <c r="BO766" s="74"/>
      <c r="BW766" s="74"/>
      <c r="DF766" s="21"/>
      <c r="DG766" s="21"/>
      <c r="DH766" s="21"/>
      <c r="DI766" s="21"/>
    </row>
    <row r="767" spans="2:113" s="123" customFormat="1">
      <c r="B767" s="125"/>
      <c r="D767" s="125"/>
      <c r="AA767" s="74"/>
      <c r="AE767" s="124"/>
      <c r="AI767" s="74"/>
      <c r="AM767" s="74"/>
      <c r="AY767" s="74"/>
      <c r="BC767" s="74"/>
      <c r="BG767" s="74"/>
      <c r="BK767" s="74"/>
      <c r="BO767" s="74"/>
      <c r="BW767" s="74"/>
      <c r="DF767" s="21"/>
      <c r="DG767" s="21"/>
      <c r="DH767" s="21"/>
      <c r="DI767" s="21"/>
    </row>
    <row r="768" spans="2:113" s="123" customFormat="1">
      <c r="B768" s="125"/>
      <c r="D768" s="125"/>
      <c r="AA768" s="74"/>
      <c r="AE768" s="124"/>
      <c r="AI768" s="74"/>
      <c r="AM768" s="74"/>
      <c r="AY768" s="74"/>
      <c r="BC768" s="74"/>
      <c r="BG768" s="74"/>
      <c r="BK768" s="74"/>
      <c r="BO768" s="74"/>
      <c r="BW768" s="74"/>
      <c r="DF768" s="21"/>
      <c r="DG768" s="21"/>
      <c r="DH768" s="21"/>
      <c r="DI768" s="21"/>
    </row>
    <row r="769" spans="2:113" s="123" customFormat="1">
      <c r="B769" s="125"/>
      <c r="D769" s="125"/>
      <c r="AA769" s="74"/>
      <c r="AE769" s="124"/>
      <c r="AI769" s="74"/>
      <c r="AM769" s="74"/>
      <c r="AY769" s="74"/>
      <c r="BC769" s="74"/>
      <c r="BG769" s="74"/>
      <c r="BK769" s="74"/>
      <c r="BO769" s="74"/>
      <c r="BW769" s="74"/>
      <c r="DF769" s="21"/>
      <c r="DG769" s="21"/>
      <c r="DH769" s="21"/>
      <c r="DI769" s="21"/>
    </row>
    <row r="770" spans="2:113" s="123" customFormat="1">
      <c r="B770" s="125"/>
      <c r="D770" s="125"/>
      <c r="AA770" s="74"/>
      <c r="AE770" s="124"/>
      <c r="AI770" s="74"/>
      <c r="AM770" s="74"/>
      <c r="AY770" s="74"/>
      <c r="BC770" s="74"/>
      <c r="BG770" s="74"/>
      <c r="BK770" s="74"/>
      <c r="BO770" s="74"/>
      <c r="BW770" s="74"/>
      <c r="DF770" s="21"/>
      <c r="DG770" s="21"/>
      <c r="DH770" s="21"/>
      <c r="DI770" s="21"/>
    </row>
    <row r="771" spans="2:113" s="123" customFormat="1">
      <c r="B771" s="125"/>
      <c r="D771" s="125"/>
      <c r="AA771" s="74"/>
      <c r="AE771" s="124"/>
      <c r="AI771" s="74"/>
      <c r="AM771" s="74"/>
      <c r="AY771" s="74"/>
      <c r="BC771" s="74"/>
      <c r="BG771" s="74"/>
      <c r="BK771" s="74"/>
      <c r="BO771" s="74"/>
      <c r="BW771" s="74"/>
      <c r="DF771" s="21"/>
      <c r="DG771" s="21"/>
      <c r="DH771" s="21"/>
      <c r="DI771" s="21"/>
    </row>
    <row r="772" spans="2:113" s="123" customFormat="1">
      <c r="B772" s="125"/>
      <c r="D772" s="125"/>
      <c r="AA772" s="74"/>
      <c r="AE772" s="124"/>
      <c r="AI772" s="74"/>
      <c r="AM772" s="74"/>
      <c r="AY772" s="74"/>
      <c r="BC772" s="74"/>
      <c r="BG772" s="74"/>
      <c r="BK772" s="74"/>
      <c r="BO772" s="74"/>
      <c r="BW772" s="74"/>
      <c r="DF772" s="21"/>
      <c r="DG772" s="21"/>
      <c r="DH772" s="21"/>
      <c r="DI772" s="21"/>
    </row>
    <row r="773" spans="2:113" s="123" customFormat="1">
      <c r="B773" s="125"/>
      <c r="D773" s="125"/>
      <c r="AA773" s="74"/>
      <c r="AE773" s="124"/>
      <c r="AI773" s="74"/>
      <c r="AM773" s="74"/>
      <c r="AY773" s="74"/>
      <c r="BC773" s="74"/>
      <c r="BG773" s="74"/>
      <c r="BK773" s="74"/>
      <c r="BO773" s="74"/>
      <c r="BW773" s="74"/>
      <c r="DF773" s="21"/>
      <c r="DG773" s="21"/>
      <c r="DH773" s="21"/>
      <c r="DI773" s="21"/>
    </row>
    <row r="774" spans="2:113" s="123" customFormat="1">
      <c r="B774" s="125"/>
      <c r="D774" s="125"/>
      <c r="AA774" s="74"/>
      <c r="AE774" s="124"/>
      <c r="AI774" s="74"/>
      <c r="AM774" s="74"/>
      <c r="AY774" s="74"/>
      <c r="BC774" s="74"/>
      <c r="BG774" s="74"/>
      <c r="BK774" s="74"/>
      <c r="BO774" s="74"/>
      <c r="BW774" s="74"/>
      <c r="DF774" s="21"/>
      <c r="DG774" s="21"/>
      <c r="DH774" s="21"/>
      <c r="DI774" s="21"/>
    </row>
    <row r="775" spans="2:113" s="123" customFormat="1">
      <c r="B775" s="125"/>
      <c r="D775" s="125"/>
      <c r="AA775" s="74"/>
      <c r="AE775" s="124"/>
      <c r="AI775" s="74"/>
      <c r="AM775" s="74"/>
      <c r="AY775" s="74"/>
      <c r="BC775" s="74"/>
      <c r="BG775" s="74"/>
      <c r="BK775" s="74"/>
      <c r="BO775" s="74"/>
      <c r="BW775" s="74"/>
      <c r="DF775" s="21"/>
      <c r="DG775" s="21"/>
      <c r="DH775" s="21"/>
      <c r="DI775" s="21"/>
    </row>
    <row r="776" spans="2:113" s="123" customFormat="1">
      <c r="B776" s="125"/>
      <c r="D776" s="125"/>
      <c r="AA776" s="74"/>
      <c r="AE776" s="124"/>
      <c r="AI776" s="74"/>
      <c r="AM776" s="74"/>
      <c r="AY776" s="74"/>
      <c r="BC776" s="74"/>
      <c r="BG776" s="74"/>
      <c r="BK776" s="74"/>
      <c r="BO776" s="74"/>
      <c r="BW776" s="74"/>
      <c r="DF776" s="21"/>
      <c r="DG776" s="21"/>
      <c r="DH776" s="21"/>
      <c r="DI776" s="21"/>
    </row>
    <row r="777" spans="2:113" s="123" customFormat="1">
      <c r="B777" s="125"/>
      <c r="D777" s="125"/>
      <c r="AA777" s="74"/>
      <c r="AE777" s="124"/>
      <c r="AI777" s="74"/>
      <c r="AM777" s="74"/>
      <c r="AY777" s="74"/>
      <c r="BC777" s="74"/>
      <c r="BG777" s="74"/>
      <c r="BK777" s="74"/>
      <c r="BO777" s="74"/>
      <c r="BW777" s="74"/>
      <c r="DF777" s="21"/>
      <c r="DG777" s="21"/>
      <c r="DH777" s="21"/>
      <c r="DI777" s="21"/>
    </row>
    <row r="778" spans="2:113" s="123" customFormat="1">
      <c r="B778" s="125"/>
      <c r="D778" s="125"/>
      <c r="AA778" s="74"/>
      <c r="AE778" s="124"/>
      <c r="AI778" s="74"/>
      <c r="AM778" s="74"/>
      <c r="AY778" s="74"/>
      <c r="BC778" s="74"/>
      <c r="BG778" s="74"/>
      <c r="BK778" s="74"/>
      <c r="BO778" s="74"/>
      <c r="BW778" s="74"/>
      <c r="DF778" s="21"/>
      <c r="DG778" s="21"/>
      <c r="DH778" s="21"/>
      <c r="DI778" s="21"/>
    </row>
    <row r="779" spans="2:113" s="123" customFormat="1">
      <c r="B779" s="125"/>
      <c r="D779" s="125"/>
      <c r="AA779" s="74"/>
      <c r="AE779" s="124"/>
      <c r="AI779" s="74"/>
      <c r="AM779" s="74"/>
      <c r="AY779" s="74"/>
      <c r="BC779" s="74"/>
      <c r="BG779" s="74"/>
      <c r="BK779" s="74"/>
      <c r="BO779" s="74"/>
      <c r="BW779" s="74"/>
      <c r="DF779" s="21"/>
      <c r="DG779" s="21"/>
      <c r="DH779" s="21"/>
      <c r="DI779" s="21"/>
    </row>
    <row r="780" spans="2:113" s="123" customFormat="1">
      <c r="B780" s="125"/>
      <c r="D780" s="125"/>
      <c r="AA780" s="74"/>
      <c r="AE780" s="124"/>
      <c r="AI780" s="74"/>
      <c r="AM780" s="74"/>
      <c r="AY780" s="74"/>
      <c r="BC780" s="74"/>
      <c r="BG780" s="74"/>
      <c r="BK780" s="74"/>
      <c r="BO780" s="74"/>
      <c r="BW780" s="74"/>
      <c r="DF780" s="21"/>
      <c r="DG780" s="21"/>
      <c r="DH780" s="21"/>
      <c r="DI780" s="21"/>
    </row>
    <row r="781" spans="2:113" s="123" customFormat="1">
      <c r="B781" s="125"/>
      <c r="D781" s="125"/>
      <c r="AA781" s="74"/>
      <c r="AE781" s="124"/>
      <c r="AI781" s="74"/>
      <c r="AM781" s="74"/>
      <c r="AY781" s="74"/>
      <c r="BC781" s="74"/>
      <c r="BG781" s="74"/>
      <c r="BK781" s="74"/>
      <c r="BO781" s="74"/>
      <c r="BW781" s="74"/>
      <c r="DF781" s="21"/>
      <c r="DG781" s="21"/>
      <c r="DH781" s="21"/>
      <c r="DI781" s="21"/>
    </row>
    <row r="782" spans="2:113" s="123" customFormat="1">
      <c r="B782" s="125"/>
      <c r="D782" s="125"/>
      <c r="AA782" s="74"/>
      <c r="AE782" s="124"/>
      <c r="AI782" s="74"/>
      <c r="AM782" s="74"/>
      <c r="AY782" s="74"/>
      <c r="BC782" s="74"/>
      <c r="BG782" s="74"/>
      <c r="BK782" s="74"/>
      <c r="BO782" s="74"/>
      <c r="BW782" s="74"/>
      <c r="DF782" s="21"/>
      <c r="DG782" s="21"/>
      <c r="DH782" s="21"/>
      <c r="DI782" s="21"/>
    </row>
    <row r="783" spans="2:113" s="123" customFormat="1">
      <c r="B783" s="125"/>
      <c r="D783" s="125"/>
      <c r="AA783" s="74"/>
      <c r="AE783" s="124"/>
      <c r="AI783" s="74"/>
      <c r="AM783" s="74"/>
      <c r="AY783" s="74"/>
      <c r="BC783" s="74"/>
      <c r="BG783" s="74"/>
      <c r="BK783" s="74"/>
      <c r="BO783" s="74"/>
      <c r="BW783" s="74"/>
      <c r="DF783" s="21"/>
      <c r="DG783" s="21"/>
      <c r="DH783" s="21"/>
      <c r="DI783" s="21"/>
    </row>
    <row r="784" spans="2:113" s="123" customFormat="1">
      <c r="B784" s="125"/>
      <c r="D784" s="125"/>
      <c r="AA784" s="74"/>
      <c r="AE784" s="124"/>
      <c r="AI784" s="74"/>
      <c r="AM784" s="74"/>
      <c r="AY784" s="74"/>
      <c r="BC784" s="74"/>
      <c r="BG784" s="74"/>
      <c r="BK784" s="74"/>
      <c r="BO784" s="74"/>
      <c r="BW784" s="74"/>
      <c r="DF784" s="21"/>
      <c r="DG784" s="21"/>
      <c r="DH784" s="21"/>
      <c r="DI784" s="21"/>
    </row>
    <row r="785" spans="2:113" s="123" customFormat="1">
      <c r="B785" s="125"/>
      <c r="D785" s="125"/>
      <c r="AA785" s="74"/>
      <c r="AE785" s="124"/>
      <c r="AI785" s="74"/>
      <c r="AM785" s="74"/>
      <c r="AY785" s="74"/>
      <c r="BC785" s="74"/>
      <c r="BG785" s="74"/>
      <c r="BK785" s="74"/>
      <c r="BO785" s="74"/>
      <c r="BW785" s="74"/>
      <c r="DF785" s="21"/>
      <c r="DG785" s="21"/>
      <c r="DH785" s="21"/>
      <c r="DI785" s="21"/>
    </row>
    <row r="786" spans="2:113" s="123" customFormat="1">
      <c r="B786" s="125"/>
      <c r="D786" s="125"/>
      <c r="AA786" s="74"/>
      <c r="AE786" s="124"/>
      <c r="AI786" s="74"/>
      <c r="AM786" s="74"/>
      <c r="AY786" s="74"/>
      <c r="BC786" s="74"/>
      <c r="BG786" s="74"/>
      <c r="BK786" s="74"/>
      <c r="BO786" s="74"/>
      <c r="BW786" s="74"/>
      <c r="DF786" s="21"/>
      <c r="DG786" s="21"/>
      <c r="DH786" s="21"/>
      <c r="DI786" s="21"/>
    </row>
    <row r="787" spans="2:113" s="123" customFormat="1">
      <c r="B787" s="125"/>
      <c r="D787" s="125"/>
      <c r="AA787" s="74"/>
      <c r="AE787" s="124"/>
      <c r="AI787" s="74"/>
      <c r="AM787" s="74"/>
      <c r="AY787" s="74"/>
      <c r="BC787" s="74"/>
      <c r="BG787" s="74"/>
      <c r="BK787" s="74"/>
      <c r="BO787" s="74"/>
      <c r="BW787" s="74"/>
      <c r="DF787" s="21"/>
      <c r="DG787" s="21"/>
      <c r="DH787" s="21"/>
      <c r="DI787" s="21"/>
    </row>
    <row r="788" spans="2:113" s="123" customFormat="1">
      <c r="B788" s="125"/>
      <c r="D788" s="125"/>
      <c r="AA788" s="74"/>
      <c r="AE788" s="124"/>
      <c r="AI788" s="74"/>
      <c r="AM788" s="74"/>
      <c r="AY788" s="74"/>
      <c r="BC788" s="74"/>
      <c r="BG788" s="74"/>
      <c r="BK788" s="74"/>
      <c r="BO788" s="74"/>
      <c r="BW788" s="74"/>
      <c r="DF788" s="21"/>
      <c r="DG788" s="21"/>
      <c r="DH788" s="21"/>
      <c r="DI788" s="21"/>
    </row>
    <row r="789" spans="2:113" s="123" customFormat="1">
      <c r="B789" s="125"/>
      <c r="D789" s="125"/>
      <c r="AA789" s="74"/>
      <c r="AE789" s="124"/>
      <c r="AI789" s="74"/>
      <c r="AM789" s="74"/>
      <c r="AY789" s="74"/>
      <c r="BC789" s="74"/>
      <c r="BG789" s="74"/>
      <c r="BK789" s="74"/>
      <c r="BO789" s="74"/>
      <c r="BW789" s="74"/>
      <c r="DF789" s="21"/>
      <c r="DG789" s="21"/>
      <c r="DH789" s="21"/>
      <c r="DI789" s="21"/>
    </row>
    <row r="790" spans="2:113" s="123" customFormat="1">
      <c r="B790" s="125"/>
      <c r="D790" s="125"/>
      <c r="AA790" s="74"/>
      <c r="AE790" s="124"/>
      <c r="AI790" s="74"/>
      <c r="AM790" s="74"/>
      <c r="AY790" s="74"/>
      <c r="BC790" s="74"/>
      <c r="BG790" s="74"/>
      <c r="BK790" s="74"/>
      <c r="BO790" s="74"/>
      <c r="BW790" s="74"/>
      <c r="DF790" s="21"/>
      <c r="DG790" s="21"/>
      <c r="DH790" s="21"/>
      <c r="DI790" s="21"/>
    </row>
    <row r="791" spans="2:113" s="123" customFormat="1">
      <c r="B791" s="125"/>
      <c r="D791" s="125"/>
      <c r="AA791" s="74"/>
      <c r="AE791" s="124"/>
      <c r="AI791" s="74"/>
      <c r="AM791" s="74"/>
      <c r="AY791" s="74"/>
      <c r="BC791" s="74"/>
      <c r="BG791" s="74"/>
      <c r="BK791" s="74"/>
      <c r="BO791" s="74"/>
      <c r="BW791" s="74"/>
      <c r="DF791" s="21"/>
      <c r="DG791" s="21"/>
      <c r="DH791" s="21"/>
      <c r="DI791" s="21"/>
    </row>
    <row r="792" spans="2:113" s="123" customFormat="1">
      <c r="B792" s="125"/>
      <c r="D792" s="125"/>
      <c r="AA792" s="74"/>
      <c r="AE792" s="124"/>
      <c r="AI792" s="74"/>
      <c r="AM792" s="74"/>
      <c r="AY792" s="74"/>
      <c r="BC792" s="74"/>
      <c r="BG792" s="74"/>
      <c r="BK792" s="74"/>
      <c r="BO792" s="74"/>
      <c r="BW792" s="74"/>
      <c r="DF792" s="21"/>
      <c r="DG792" s="21"/>
      <c r="DH792" s="21"/>
      <c r="DI792" s="21"/>
    </row>
    <row r="793" spans="2:113" s="123" customFormat="1">
      <c r="B793" s="125"/>
      <c r="D793" s="125"/>
      <c r="AA793" s="74"/>
      <c r="AE793" s="124"/>
      <c r="AI793" s="74"/>
      <c r="AM793" s="74"/>
      <c r="AY793" s="74"/>
      <c r="BC793" s="74"/>
      <c r="BG793" s="74"/>
      <c r="BK793" s="74"/>
      <c r="BO793" s="74"/>
      <c r="BW793" s="74"/>
      <c r="DF793" s="21"/>
      <c r="DG793" s="21"/>
      <c r="DH793" s="21"/>
      <c r="DI793" s="21"/>
    </row>
    <row r="794" spans="2:113" s="123" customFormat="1">
      <c r="B794" s="125"/>
      <c r="D794" s="125"/>
      <c r="AA794" s="74"/>
      <c r="AE794" s="124"/>
      <c r="AI794" s="74"/>
      <c r="AM794" s="74"/>
      <c r="AY794" s="74"/>
      <c r="BC794" s="74"/>
      <c r="BG794" s="74"/>
      <c r="BK794" s="74"/>
      <c r="BO794" s="74"/>
      <c r="BW794" s="74"/>
      <c r="DF794" s="21"/>
      <c r="DG794" s="21"/>
      <c r="DH794" s="21"/>
      <c r="DI794" s="21"/>
    </row>
    <row r="795" spans="2:113" s="123" customFormat="1">
      <c r="B795" s="125"/>
      <c r="D795" s="125"/>
      <c r="AA795" s="74"/>
      <c r="AE795" s="124"/>
      <c r="AI795" s="74"/>
      <c r="AM795" s="74"/>
      <c r="AY795" s="74"/>
      <c r="BC795" s="74"/>
      <c r="BG795" s="74"/>
      <c r="BK795" s="74"/>
      <c r="BO795" s="74"/>
      <c r="BW795" s="74"/>
      <c r="DF795" s="21"/>
      <c r="DG795" s="21"/>
      <c r="DH795" s="21"/>
      <c r="DI795" s="21"/>
    </row>
    <row r="796" spans="2:113" s="123" customFormat="1">
      <c r="B796" s="125"/>
      <c r="D796" s="125"/>
      <c r="AA796" s="74"/>
      <c r="AE796" s="124"/>
      <c r="AI796" s="74"/>
      <c r="AM796" s="74"/>
      <c r="AY796" s="74"/>
      <c r="BC796" s="74"/>
      <c r="BG796" s="74"/>
      <c r="BK796" s="74"/>
      <c r="BO796" s="74"/>
      <c r="BW796" s="74"/>
      <c r="DF796" s="21"/>
      <c r="DG796" s="21"/>
      <c r="DH796" s="21"/>
      <c r="DI796" s="21"/>
    </row>
    <row r="797" spans="2:113" s="123" customFormat="1">
      <c r="B797" s="125"/>
      <c r="D797" s="125"/>
      <c r="AA797" s="74"/>
      <c r="AE797" s="124"/>
      <c r="AI797" s="74"/>
      <c r="AM797" s="74"/>
      <c r="AY797" s="74"/>
      <c r="BC797" s="74"/>
      <c r="BG797" s="74"/>
      <c r="BK797" s="74"/>
      <c r="BO797" s="74"/>
      <c r="BW797" s="74"/>
      <c r="DF797" s="21"/>
      <c r="DG797" s="21"/>
      <c r="DH797" s="21"/>
      <c r="DI797" s="21"/>
    </row>
    <row r="798" spans="2:113" s="123" customFormat="1">
      <c r="B798" s="125"/>
      <c r="D798" s="125"/>
      <c r="AA798" s="74"/>
      <c r="AE798" s="124"/>
      <c r="AI798" s="74"/>
      <c r="AM798" s="74"/>
      <c r="AY798" s="74"/>
      <c r="BC798" s="74"/>
      <c r="BG798" s="74"/>
      <c r="BK798" s="74"/>
      <c r="BO798" s="74"/>
      <c r="BW798" s="74"/>
      <c r="DF798" s="21"/>
      <c r="DG798" s="21"/>
      <c r="DH798" s="21"/>
      <c r="DI798" s="21"/>
    </row>
    <row r="799" spans="2:113" s="123" customFormat="1">
      <c r="B799" s="125"/>
      <c r="D799" s="125"/>
      <c r="AA799" s="74"/>
      <c r="AE799" s="124"/>
      <c r="AI799" s="74"/>
      <c r="AM799" s="74"/>
      <c r="AY799" s="74"/>
      <c r="BC799" s="74"/>
      <c r="BG799" s="74"/>
      <c r="BK799" s="74"/>
      <c r="BO799" s="74"/>
      <c r="BW799" s="74"/>
      <c r="DF799" s="21"/>
      <c r="DG799" s="21"/>
      <c r="DH799" s="21"/>
      <c r="DI799" s="21"/>
    </row>
    <row r="800" spans="2:113" s="123" customFormat="1">
      <c r="B800" s="125"/>
      <c r="D800" s="125"/>
      <c r="AA800" s="74"/>
      <c r="AE800" s="124"/>
      <c r="AI800" s="74"/>
      <c r="AM800" s="74"/>
      <c r="AY800" s="74"/>
      <c r="BC800" s="74"/>
      <c r="BG800" s="74"/>
      <c r="BK800" s="74"/>
      <c r="BO800" s="74"/>
      <c r="BW800" s="74"/>
      <c r="DF800" s="21"/>
      <c r="DG800" s="21"/>
      <c r="DH800" s="21"/>
      <c r="DI800" s="21"/>
    </row>
    <row r="801" spans="2:113" s="123" customFormat="1">
      <c r="B801" s="125"/>
      <c r="D801" s="125"/>
      <c r="AA801" s="74"/>
      <c r="AE801" s="124"/>
      <c r="AI801" s="74"/>
      <c r="AM801" s="74"/>
      <c r="AY801" s="74"/>
      <c r="BC801" s="74"/>
      <c r="BG801" s="74"/>
      <c r="BK801" s="74"/>
      <c r="BO801" s="74"/>
      <c r="BW801" s="74"/>
      <c r="DF801" s="21"/>
      <c r="DG801" s="21"/>
      <c r="DH801" s="21"/>
      <c r="DI801" s="21"/>
    </row>
    <row r="802" spans="2:113" s="123" customFormat="1">
      <c r="B802" s="125"/>
      <c r="D802" s="125"/>
      <c r="AA802" s="74"/>
      <c r="AE802" s="124"/>
      <c r="AI802" s="74"/>
      <c r="AM802" s="74"/>
      <c r="AY802" s="74"/>
      <c r="BC802" s="74"/>
      <c r="BG802" s="74"/>
      <c r="BK802" s="74"/>
      <c r="BO802" s="74"/>
      <c r="BW802" s="74"/>
      <c r="DF802" s="21"/>
      <c r="DG802" s="21"/>
      <c r="DH802" s="21"/>
      <c r="DI802" s="21"/>
    </row>
    <row r="803" spans="2:113" s="123" customFormat="1">
      <c r="B803" s="125"/>
      <c r="D803" s="125"/>
      <c r="AA803" s="74"/>
      <c r="AE803" s="124"/>
      <c r="AI803" s="74"/>
      <c r="AM803" s="74"/>
      <c r="AY803" s="74"/>
      <c r="BC803" s="74"/>
      <c r="BG803" s="74"/>
      <c r="BK803" s="74"/>
      <c r="BO803" s="74"/>
      <c r="BW803" s="74"/>
      <c r="DF803" s="21"/>
      <c r="DG803" s="21"/>
      <c r="DH803" s="21"/>
      <c r="DI803" s="21"/>
    </row>
    <row r="804" spans="2:113" s="123" customFormat="1">
      <c r="B804" s="125"/>
      <c r="D804" s="125"/>
      <c r="AA804" s="74"/>
      <c r="AE804" s="124"/>
      <c r="AI804" s="74"/>
      <c r="AM804" s="74"/>
      <c r="AY804" s="74"/>
      <c r="BC804" s="74"/>
      <c r="BG804" s="74"/>
      <c r="BK804" s="74"/>
      <c r="BO804" s="74"/>
      <c r="BW804" s="74"/>
      <c r="DF804" s="21"/>
      <c r="DG804" s="21"/>
      <c r="DH804" s="21"/>
      <c r="DI804" s="21"/>
    </row>
    <row r="805" spans="2:113" s="123" customFormat="1">
      <c r="B805" s="125"/>
      <c r="D805" s="125"/>
      <c r="AA805" s="74"/>
      <c r="AE805" s="124"/>
      <c r="AI805" s="74"/>
      <c r="AM805" s="74"/>
      <c r="AY805" s="74"/>
      <c r="BC805" s="74"/>
      <c r="BG805" s="74"/>
      <c r="BK805" s="74"/>
      <c r="BO805" s="74"/>
      <c r="BW805" s="74"/>
      <c r="DF805" s="21"/>
      <c r="DG805" s="21"/>
      <c r="DH805" s="21"/>
      <c r="DI805" s="21"/>
    </row>
    <row r="806" spans="2:113" s="123" customFormat="1">
      <c r="B806" s="125"/>
      <c r="D806" s="125"/>
      <c r="AA806" s="74"/>
      <c r="AE806" s="124"/>
      <c r="AI806" s="74"/>
      <c r="AM806" s="74"/>
      <c r="AY806" s="74"/>
      <c r="BC806" s="74"/>
      <c r="BG806" s="74"/>
      <c r="BK806" s="74"/>
      <c r="BO806" s="74"/>
      <c r="BW806" s="74"/>
      <c r="DF806" s="21"/>
      <c r="DG806" s="21"/>
      <c r="DH806" s="21"/>
      <c r="DI806" s="21"/>
    </row>
    <row r="807" spans="2:113" s="123" customFormat="1">
      <c r="B807" s="125"/>
      <c r="D807" s="125"/>
      <c r="AA807" s="74"/>
      <c r="AE807" s="124"/>
      <c r="AI807" s="74"/>
      <c r="AM807" s="74"/>
      <c r="AY807" s="74"/>
      <c r="BC807" s="74"/>
      <c r="BG807" s="74"/>
      <c r="BK807" s="74"/>
      <c r="BO807" s="74"/>
      <c r="BW807" s="74"/>
      <c r="DF807" s="21"/>
      <c r="DG807" s="21"/>
      <c r="DH807" s="21"/>
      <c r="DI807" s="21"/>
    </row>
    <row r="808" spans="2:113" s="123" customFormat="1">
      <c r="B808" s="125"/>
      <c r="D808" s="125"/>
      <c r="AA808" s="74"/>
      <c r="AE808" s="124"/>
      <c r="AI808" s="74"/>
      <c r="AM808" s="74"/>
      <c r="AY808" s="74"/>
      <c r="BC808" s="74"/>
      <c r="BG808" s="74"/>
      <c r="BK808" s="74"/>
      <c r="BO808" s="74"/>
      <c r="BW808" s="74"/>
      <c r="DF808" s="21"/>
      <c r="DG808" s="21"/>
      <c r="DH808" s="21"/>
      <c r="DI808" s="21"/>
    </row>
    <row r="809" spans="2:113" s="123" customFormat="1">
      <c r="B809" s="125"/>
      <c r="D809" s="125"/>
      <c r="AA809" s="74"/>
      <c r="AE809" s="124"/>
      <c r="AI809" s="74"/>
      <c r="AM809" s="74"/>
      <c r="AY809" s="74"/>
      <c r="BC809" s="74"/>
      <c r="BG809" s="74"/>
      <c r="BK809" s="74"/>
      <c r="BO809" s="74"/>
      <c r="BW809" s="74"/>
      <c r="DF809" s="21"/>
      <c r="DG809" s="21"/>
      <c r="DH809" s="21"/>
      <c r="DI809" s="21"/>
    </row>
    <row r="810" spans="2:113" s="123" customFormat="1">
      <c r="B810" s="125"/>
      <c r="D810" s="125"/>
      <c r="AA810" s="74"/>
      <c r="AE810" s="124"/>
      <c r="AI810" s="74"/>
      <c r="AM810" s="74"/>
      <c r="AY810" s="74"/>
      <c r="BC810" s="74"/>
      <c r="BG810" s="74"/>
      <c r="BK810" s="74"/>
      <c r="BO810" s="74"/>
      <c r="BW810" s="74"/>
      <c r="DF810" s="21"/>
      <c r="DG810" s="21"/>
      <c r="DH810" s="21"/>
      <c r="DI810" s="21"/>
    </row>
    <row r="811" spans="2:113" s="123" customFormat="1">
      <c r="B811" s="125"/>
      <c r="D811" s="125"/>
      <c r="AA811" s="74"/>
      <c r="AE811" s="124"/>
      <c r="AI811" s="74"/>
      <c r="AM811" s="74"/>
      <c r="AY811" s="74"/>
      <c r="BC811" s="74"/>
      <c r="BG811" s="74"/>
      <c r="BK811" s="74"/>
      <c r="BO811" s="74"/>
      <c r="BW811" s="74"/>
      <c r="DF811" s="21"/>
      <c r="DG811" s="21"/>
      <c r="DH811" s="21"/>
      <c r="DI811" s="21"/>
    </row>
    <row r="812" spans="2:113" s="123" customFormat="1">
      <c r="B812" s="125"/>
      <c r="D812" s="125"/>
      <c r="AA812" s="74"/>
      <c r="AE812" s="124"/>
      <c r="AI812" s="74"/>
      <c r="AM812" s="74"/>
      <c r="AY812" s="74"/>
      <c r="BC812" s="74"/>
      <c r="BG812" s="74"/>
      <c r="BK812" s="74"/>
      <c r="BO812" s="74"/>
      <c r="BW812" s="74"/>
      <c r="DF812" s="21"/>
      <c r="DG812" s="21"/>
      <c r="DH812" s="21"/>
      <c r="DI812" s="21"/>
    </row>
    <row r="813" spans="2:113" s="123" customFormat="1">
      <c r="B813" s="125"/>
      <c r="D813" s="125"/>
      <c r="AA813" s="74"/>
      <c r="AE813" s="124"/>
      <c r="AI813" s="74"/>
      <c r="AM813" s="74"/>
      <c r="AY813" s="74"/>
      <c r="BC813" s="74"/>
      <c r="BG813" s="74"/>
      <c r="BK813" s="74"/>
      <c r="BO813" s="74"/>
      <c r="BW813" s="74"/>
      <c r="DF813" s="21"/>
      <c r="DG813" s="21"/>
      <c r="DH813" s="21"/>
      <c r="DI813" s="21"/>
    </row>
    <row r="814" spans="2:113" s="123" customFormat="1">
      <c r="B814" s="125"/>
      <c r="D814" s="125"/>
      <c r="AA814" s="74"/>
      <c r="AE814" s="124"/>
      <c r="AI814" s="74"/>
      <c r="AM814" s="74"/>
      <c r="AY814" s="74"/>
      <c r="BC814" s="74"/>
      <c r="BG814" s="74"/>
      <c r="BK814" s="74"/>
      <c r="BO814" s="74"/>
      <c r="BW814" s="74"/>
      <c r="DF814" s="21"/>
      <c r="DG814" s="21"/>
      <c r="DH814" s="21"/>
      <c r="DI814" s="21"/>
    </row>
    <row r="815" spans="2:113" s="123" customFormat="1">
      <c r="B815" s="125"/>
      <c r="D815" s="125"/>
      <c r="AA815" s="74"/>
      <c r="AE815" s="124"/>
      <c r="AI815" s="74"/>
      <c r="AM815" s="74"/>
      <c r="AY815" s="74"/>
      <c r="BC815" s="74"/>
      <c r="BG815" s="74"/>
      <c r="BK815" s="74"/>
      <c r="BO815" s="74"/>
      <c r="BW815" s="74"/>
      <c r="DF815" s="21"/>
      <c r="DG815" s="21"/>
      <c r="DH815" s="21"/>
      <c r="DI815" s="21"/>
    </row>
    <row r="816" spans="2:113" s="123" customFormat="1">
      <c r="B816" s="125"/>
      <c r="D816" s="125"/>
      <c r="AA816" s="74"/>
      <c r="AE816" s="124"/>
      <c r="AI816" s="74"/>
      <c r="AM816" s="74"/>
      <c r="AY816" s="74"/>
      <c r="BC816" s="74"/>
      <c r="BG816" s="74"/>
      <c r="BK816" s="74"/>
      <c r="BO816" s="74"/>
      <c r="BW816" s="74"/>
      <c r="DF816" s="21"/>
      <c r="DG816" s="21"/>
      <c r="DH816" s="21"/>
      <c r="DI816" s="21"/>
    </row>
    <row r="817" spans="2:113" s="123" customFormat="1">
      <c r="B817" s="125"/>
      <c r="D817" s="125"/>
      <c r="AA817" s="74"/>
      <c r="AE817" s="124"/>
      <c r="AI817" s="74"/>
      <c r="AM817" s="74"/>
      <c r="AY817" s="74"/>
      <c r="BC817" s="74"/>
      <c r="BG817" s="74"/>
      <c r="BK817" s="74"/>
      <c r="BO817" s="74"/>
      <c r="BW817" s="74"/>
      <c r="DF817" s="21"/>
      <c r="DG817" s="21"/>
      <c r="DH817" s="21"/>
      <c r="DI817" s="21"/>
    </row>
    <row r="818" spans="2:113" s="123" customFormat="1">
      <c r="B818" s="125"/>
      <c r="D818" s="125"/>
      <c r="AA818" s="74"/>
      <c r="AE818" s="124"/>
      <c r="AI818" s="74"/>
      <c r="AM818" s="74"/>
      <c r="AY818" s="74"/>
      <c r="BC818" s="74"/>
      <c r="BG818" s="74"/>
      <c r="BK818" s="74"/>
      <c r="BO818" s="74"/>
      <c r="BW818" s="74"/>
      <c r="DF818" s="21"/>
      <c r="DG818" s="21"/>
      <c r="DH818" s="21"/>
      <c r="DI818" s="21"/>
    </row>
    <row r="819" spans="2:113" s="123" customFormat="1">
      <c r="B819" s="125"/>
      <c r="D819" s="125"/>
      <c r="AA819" s="74"/>
      <c r="AE819" s="124"/>
      <c r="AI819" s="74"/>
      <c r="AM819" s="74"/>
      <c r="AY819" s="74"/>
      <c r="BC819" s="74"/>
      <c r="BG819" s="74"/>
      <c r="BK819" s="74"/>
      <c r="BO819" s="74"/>
      <c r="BW819" s="74"/>
      <c r="DF819" s="21"/>
      <c r="DG819" s="21"/>
      <c r="DH819" s="21"/>
      <c r="DI819" s="21"/>
    </row>
    <row r="820" spans="2:113" s="123" customFormat="1">
      <c r="B820" s="125"/>
      <c r="D820" s="125"/>
      <c r="AA820" s="74"/>
      <c r="AE820" s="124"/>
      <c r="AI820" s="74"/>
      <c r="AM820" s="74"/>
      <c r="AY820" s="74"/>
      <c r="BC820" s="74"/>
      <c r="BG820" s="74"/>
      <c r="BK820" s="74"/>
      <c r="BO820" s="74"/>
      <c r="BW820" s="74"/>
      <c r="DF820" s="21"/>
      <c r="DG820" s="21"/>
      <c r="DH820" s="21"/>
      <c r="DI820" s="21"/>
    </row>
    <row r="821" spans="2:113" s="123" customFormat="1">
      <c r="B821" s="125"/>
      <c r="D821" s="125"/>
      <c r="AA821" s="74"/>
      <c r="AE821" s="124"/>
      <c r="AI821" s="74"/>
      <c r="AM821" s="74"/>
      <c r="AY821" s="74"/>
      <c r="BC821" s="74"/>
      <c r="BG821" s="74"/>
      <c r="BK821" s="74"/>
      <c r="BO821" s="74"/>
      <c r="BW821" s="74"/>
      <c r="DF821" s="21"/>
      <c r="DG821" s="21"/>
      <c r="DH821" s="21"/>
      <c r="DI821" s="21"/>
    </row>
    <row r="822" spans="2:113" s="123" customFormat="1">
      <c r="B822" s="125"/>
      <c r="D822" s="125"/>
      <c r="AA822" s="74"/>
      <c r="AE822" s="124"/>
      <c r="AI822" s="74"/>
      <c r="AM822" s="74"/>
      <c r="AY822" s="74"/>
      <c r="BC822" s="74"/>
      <c r="BG822" s="74"/>
      <c r="BK822" s="74"/>
      <c r="BO822" s="74"/>
      <c r="BW822" s="74"/>
      <c r="DF822" s="21"/>
      <c r="DG822" s="21"/>
      <c r="DH822" s="21"/>
      <c r="DI822" s="21"/>
    </row>
    <row r="823" spans="2:113" s="123" customFormat="1">
      <c r="B823" s="125"/>
      <c r="D823" s="125"/>
      <c r="AA823" s="74"/>
      <c r="AE823" s="124"/>
      <c r="AI823" s="74"/>
      <c r="AM823" s="74"/>
      <c r="AY823" s="74"/>
      <c r="BC823" s="74"/>
      <c r="BG823" s="74"/>
      <c r="BK823" s="74"/>
      <c r="BO823" s="74"/>
      <c r="BW823" s="74"/>
      <c r="DF823" s="21"/>
      <c r="DG823" s="21"/>
      <c r="DH823" s="21"/>
      <c r="DI823" s="21"/>
    </row>
    <row r="824" spans="2:113" s="123" customFormat="1">
      <c r="B824" s="125"/>
      <c r="D824" s="125"/>
      <c r="AA824" s="74"/>
      <c r="AE824" s="124"/>
      <c r="AI824" s="74"/>
      <c r="AM824" s="74"/>
      <c r="AY824" s="74"/>
      <c r="BC824" s="74"/>
      <c r="BG824" s="74"/>
      <c r="BK824" s="74"/>
      <c r="BO824" s="74"/>
      <c r="BW824" s="74"/>
      <c r="DF824" s="21"/>
      <c r="DG824" s="21"/>
      <c r="DH824" s="21"/>
      <c r="DI824" s="21"/>
    </row>
    <row r="825" spans="2:113" s="123" customFormat="1">
      <c r="B825" s="125"/>
      <c r="D825" s="125"/>
      <c r="AA825" s="74"/>
      <c r="AE825" s="124"/>
      <c r="AI825" s="74"/>
      <c r="AM825" s="74"/>
      <c r="AY825" s="74"/>
      <c r="BC825" s="74"/>
      <c r="BG825" s="74"/>
      <c r="BK825" s="74"/>
      <c r="BO825" s="74"/>
      <c r="BW825" s="74"/>
      <c r="DF825" s="21"/>
      <c r="DG825" s="21"/>
      <c r="DH825" s="21"/>
      <c r="DI825" s="21"/>
    </row>
    <row r="826" spans="2:113" s="123" customFormat="1">
      <c r="B826" s="125"/>
      <c r="D826" s="125"/>
      <c r="AA826" s="74"/>
      <c r="AE826" s="124"/>
      <c r="AI826" s="74"/>
      <c r="AM826" s="74"/>
      <c r="AY826" s="74"/>
      <c r="BC826" s="74"/>
      <c r="BG826" s="74"/>
      <c r="BK826" s="74"/>
      <c r="BO826" s="74"/>
      <c r="BW826" s="74"/>
      <c r="DF826" s="21"/>
      <c r="DG826" s="21"/>
      <c r="DH826" s="21"/>
      <c r="DI826" s="21"/>
    </row>
    <row r="827" spans="2:113" s="123" customFormat="1">
      <c r="B827" s="125"/>
      <c r="D827" s="125"/>
      <c r="AA827" s="74"/>
      <c r="AE827" s="124"/>
      <c r="AI827" s="74"/>
      <c r="AM827" s="74"/>
      <c r="AY827" s="74"/>
      <c r="BC827" s="74"/>
      <c r="BG827" s="74"/>
      <c r="BK827" s="74"/>
      <c r="BO827" s="74"/>
      <c r="BW827" s="74"/>
      <c r="DF827" s="21"/>
      <c r="DG827" s="21"/>
      <c r="DH827" s="21"/>
      <c r="DI827" s="21"/>
    </row>
    <row r="828" spans="2:113" s="123" customFormat="1">
      <c r="B828" s="125"/>
      <c r="D828" s="125"/>
      <c r="AA828" s="74"/>
      <c r="AE828" s="124"/>
      <c r="AI828" s="74"/>
      <c r="AM828" s="74"/>
      <c r="AY828" s="74"/>
      <c r="BC828" s="74"/>
      <c r="BG828" s="74"/>
      <c r="BK828" s="74"/>
      <c r="BO828" s="74"/>
      <c r="BW828" s="74"/>
      <c r="DF828" s="21"/>
      <c r="DG828" s="21"/>
      <c r="DH828" s="21"/>
      <c r="DI828" s="21"/>
    </row>
    <row r="829" spans="2:113" s="123" customFormat="1">
      <c r="B829" s="125"/>
      <c r="D829" s="125"/>
      <c r="AA829" s="74"/>
      <c r="AE829" s="124"/>
      <c r="AI829" s="74"/>
      <c r="AM829" s="74"/>
      <c r="AY829" s="74"/>
      <c r="BC829" s="74"/>
      <c r="BG829" s="74"/>
      <c r="BK829" s="74"/>
      <c r="BO829" s="74"/>
      <c r="BW829" s="74"/>
      <c r="DF829" s="21"/>
      <c r="DG829" s="21"/>
      <c r="DH829" s="21"/>
      <c r="DI829" s="21"/>
    </row>
    <row r="830" spans="2:113" s="123" customFormat="1">
      <c r="B830" s="125"/>
      <c r="D830" s="125"/>
      <c r="AA830" s="74"/>
      <c r="AE830" s="124"/>
      <c r="AI830" s="74"/>
      <c r="AM830" s="74"/>
      <c r="AY830" s="74"/>
      <c r="BC830" s="74"/>
      <c r="BG830" s="74"/>
      <c r="BK830" s="74"/>
      <c r="BO830" s="74"/>
      <c r="BW830" s="74"/>
      <c r="DF830" s="21"/>
      <c r="DG830" s="21"/>
      <c r="DH830" s="21"/>
      <c r="DI830" s="21"/>
    </row>
    <row r="831" spans="2:113" s="123" customFormat="1">
      <c r="B831" s="125"/>
      <c r="D831" s="125"/>
      <c r="AA831" s="74"/>
      <c r="AE831" s="124"/>
      <c r="AI831" s="74"/>
      <c r="AM831" s="74"/>
      <c r="AY831" s="74"/>
      <c r="BC831" s="74"/>
      <c r="BG831" s="74"/>
      <c r="BK831" s="74"/>
      <c r="BO831" s="74"/>
      <c r="BW831" s="74"/>
      <c r="DF831" s="21"/>
      <c r="DG831" s="21"/>
      <c r="DH831" s="21"/>
      <c r="DI831" s="21"/>
    </row>
    <row r="832" spans="2:113" s="123" customFormat="1">
      <c r="B832" s="125"/>
      <c r="D832" s="125"/>
      <c r="AA832" s="74"/>
      <c r="AE832" s="124"/>
      <c r="AI832" s="74"/>
      <c r="AM832" s="74"/>
      <c r="AY832" s="74"/>
      <c r="BC832" s="74"/>
      <c r="BG832" s="74"/>
      <c r="BK832" s="74"/>
      <c r="BO832" s="74"/>
      <c r="BW832" s="74"/>
      <c r="DF832" s="21"/>
      <c r="DG832" s="21"/>
      <c r="DH832" s="21"/>
      <c r="DI832" s="21"/>
    </row>
    <row r="833" spans="2:113" s="123" customFormat="1">
      <c r="B833" s="125"/>
      <c r="D833" s="125"/>
      <c r="AA833" s="74"/>
      <c r="AE833" s="124"/>
      <c r="AI833" s="74"/>
      <c r="AM833" s="74"/>
      <c r="AY833" s="74"/>
      <c r="BC833" s="74"/>
      <c r="BG833" s="74"/>
      <c r="BK833" s="74"/>
      <c r="BO833" s="74"/>
      <c r="BW833" s="74"/>
      <c r="DF833" s="21"/>
      <c r="DG833" s="21"/>
      <c r="DH833" s="21"/>
      <c r="DI833" s="21"/>
    </row>
    <row r="834" spans="2:113" s="123" customFormat="1">
      <c r="B834" s="125"/>
      <c r="D834" s="125"/>
      <c r="AA834" s="74"/>
      <c r="AE834" s="124"/>
      <c r="AI834" s="74"/>
      <c r="AM834" s="74"/>
      <c r="AY834" s="74"/>
      <c r="BC834" s="74"/>
      <c r="BG834" s="74"/>
      <c r="BK834" s="74"/>
      <c r="BO834" s="74"/>
      <c r="BW834" s="74"/>
      <c r="DF834" s="21"/>
      <c r="DG834" s="21"/>
      <c r="DH834" s="21"/>
      <c r="DI834" s="21"/>
    </row>
    <row r="835" spans="2:113" s="123" customFormat="1">
      <c r="B835" s="125"/>
      <c r="D835" s="125"/>
      <c r="AA835" s="74"/>
      <c r="AE835" s="124"/>
      <c r="AI835" s="74"/>
      <c r="AM835" s="74"/>
      <c r="AY835" s="74"/>
      <c r="BC835" s="74"/>
      <c r="BG835" s="74"/>
      <c r="BK835" s="74"/>
      <c r="BO835" s="74"/>
      <c r="BW835" s="74"/>
      <c r="DF835" s="21"/>
      <c r="DG835" s="21"/>
      <c r="DH835" s="21"/>
      <c r="DI835" s="21"/>
    </row>
    <row r="836" spans="2:113" s="123" customFormat="1">
      <c r="B836" s="125"/>
      <c r="D836" s="125"/>
      <c r="AA836" s="74"/>
      <c r="AE836" s="124"/>
      <c r="AI836" s="74"/>
      <c r="AM836" s="74"/>
      <c r="AY836" s="74"/>
      <c r="BC836" s="74"/>
      <c r="BG836" s="74"/>
      <c r="BK836" s="74"/>
      <c r="BO836" s="74"/>
      <c r="BW836" s="74"/>
      <c r="DF836" s="21"/>
      <c r="DG836" s="21"/>
      <c r="DH836" s="21"/>
      <c r="DI836" s="21"/>
    </row>
    <row r="837" spans="2:113" s="123" customFormat="1">
      <c r="B837" s="125"/>
      <c r="D837" s="125"/>
      <c r="AA837" s="74"/>
      <c r="AE837" s="124"/>
      <c r="AI837" s="74"/>
      <c r="AM837" s="74"/>
      <c r="AY837" s="74"/>
      <c r="BC837" s="74"/>
      <c r="BG837" s="74"/>
      <c r="BK837" s="74"/>
      <c r="BO837" s="74"/>
      <c r="BW837" s="74"/>
      <c r="DF837" s="21"/>
      <c r="DG837" s="21"/>
      <c r="DH837" s="21"/>
      <c r="DI837" s="21"/>
    </row>
    <row r="838" spans="2:113" s="123" customFormat="1">
      <c r="B838" s="125"/>
      <c r="D838" s="125"/>
      <c r="AA838" s="74"/>
      <c r="AE838" s="124"/>
      <c r="AI838" s="74"/>
      <c r="AM838" s="74"/>
      <c r="AY838" s="74"/>
      <c r="BC838" s="74"/>
      <c r="BG838" s="74"/>
      <c r="BK838" s="74"/>
      <c r="BO838" s="74"/>
      <c r="BW838" s="74"/>
      <c r="DF838" s="21"/>
      <c r="DG838" s="21"/>
      <c r="DH838" s="21"/>
      <c r="DI838" s="21"/>
    </row>
    <row r="839" spans="2:113" s="123" customFormat="1">
      <c r="B839" s="125"/>
      <c r="D839" s="125"/>
      <c r="AA839" s="74"/>
      <c r="AE839" s="124"/>
      <c r="AI839" s="74"/>
      <c r="AM839" s="74"/>
      <c r="AY839" s="74"/>
      <c r="BC839" s="74"/>
      <c r="BG839" s="74"/>
      <c r="BK839" s="74"/>
      <c r="BO839" s="74"/>
      <c r="BW839" s="74"/>
      <c r="DF839" s="21"/>
      <c r="DG839" s="21"/>
      <c r="DH839" s="21"/>
      <c r="DI839" s="21"/>
    </row>
    <row r="840" spans="2:113" s="123" customFormat="1">
      <c r="B840" s="125"/>
      <c r="D840" s="125"/>
      <c r="AA840" s="74"/>
      <c r="AE840" s="124"/>
      <c r="AI840" s="74"/>
      <c r="AM840" s="74"/>
      <c r="AY840" s="74"/>
      <c r="BC840" s="74"/>
      <c r="BG840" s="74"/>
      <c r="BK840" s="74"/>
      <c r="BO840" s="74"/>
      <c r="BW840" s="74"/>
      <c r="DF840" s="21"/>
      <c r="DG840" s="21"/>
      <c r="DH840" s="21"/>
      <c r="DI840" s="21"/>
    </row>
    <row r="841" spans="2:113" s="123" customFormat="1">
      <c r="B841" s="125"/>
      <c r="D841" s="125"/>
      <c r="AA841" s="74"/>
      <c r="AE841" s="124"/>
      <c r="AI841" s="74"/>
      <c r="AM841" s="74"/>
      <c r="AY841" s="74"/>
      <c r="BC841" s="74"/>
      <c r="BG841" s="74"/>
      <c r="BK841" s="74"/>
      <c r="BO841" s="74"/>
      <c r="BW841" s="74"/>
      <c r="DF841" s="21"/>
      <c r="DG841" s="21"/>
      <c r="DH841" s="21"/>
      <c r="DI841" s="21"/>
    </row>
    <row r="842" spans="2:113" s="123" customFormat="1">
      <c r="B842" s="125"/>
      <c r="D842" s="125"/>
      <c r="AA842" s="74"/>
      <c r="AE842" s="124"/>
      <c r="AI842" s="74"/>
      <c r="AM842" s="74"/>
      <c r="AY842" s="74"/>
      <c r="BC842" s="74"/>
      <c r="BG842" s="74"/>
      <c r="BK842" s="74"/>
      <c r="BO842" s="74"/>
      <c r="BW842" s="74"/>
      <c r="DF842" s="21"/>
      <c r="DG842" s="21"/>
      <c r="DH842" s="21"/>
      <c r="DI842" s="21"/>
    </row>
    <row r="843" spans="2:113" s="123" customFormat="1">
      <c r="B843" s="125"/>
      <c r="D843" s="125"/>
      <c r="AA843" s="74"/>
      <c r="AE843" s="124"/>
      <c r="AI843" s="74"/>
      <c r="AM843" s="74"/>
      <c r="AY843" s="74"/>
      <c r="BC843" s="74"/>
      <c r="BG843" s="74"/>
      <c r="BK843" s="74"/>
      <c r="BO843" s="74"/>
      <c r="BW843" s="74"/>
      <c r="DF843" s="21"/>
      <c r="DG843" s="21"/>
      <c r="DH843" s="21"/>
      <c r="DI843" s="21"/>
    </row>
    <row r="844" spans="2:113" s="123" customFormat="1">
      <c r="B844" s="125"/>
      <c r="D844" s="125"/>
      <c r="AA844" s="74"/>
      <c r="AE844" s="124"/>
      <c r="AI844" s="74"/>
      <c r="AM844" s="74"/>
      <c r="AY844" s="74"/>
      <c r="BC844" s="74"/>
      <c r="BG844" s="74"/>
      <c r="BK844" s="74"/>
      <c r="BO844" s="74"/>
      <c r="BW844" s="74"/>
      <c r="DF844" s="21"/>
      <c r="DG844" s="21"/>
      <c r="DH844" s="21"/>
      <c r="DI844" s="21"/>
    </row>
    <row r="845" spans="2:113" s="123" customFormat="1">
      <c r="B845" s="125"/>
      <c r="D845" s="125"/>
      <c r="AA845" s="74"/>
      <c r="AE845" s="124"/>
      <c r="AI845" s="74"/>
      <c r="AM845" s="74"/>
      <c r="AY845" s="74"/>
      <c r="BC845" s="74"/>
      <c r="BG845" s="74"/>
      <c r="BK845" s="74"/>
      <c r="BO845" s="74"/>
      <c r="BW845" s="74"/>
      <c r="DF845" s="21"/>
      <c r="DG845" s="21"/>
      <c r="DH845" s="21"/>
      <c r="DI845" s="21"/>
    </row>
    <row r="846" spans="2:113" s="123" customFormat="1">
      <c r="B846" s="125"/>
      <c r="D846" s="125"/>
      <c r="AA846" s="74"/>
      <c r="AE846" s="124"/>
      <c r="AI846" s="74"/>
      <c r="AM846" s="74"/>
      <c r="AY846" s="74"/>
      <c r="BC846" s="74"/>
      <c r="BG846" s="74"/>
      <c r="BK846" s="74"/>
      <c r="BO846" s="74"/>
      <c r="BW846" s="74"/>
      <c r="DF846" s="21"/>
      <c r="DG846" s="21"/>
      <c r="DH846" s="21"/>
      <c r="DI846" s="21"/>
    </row>
    <row r="847" spans="2:113" s="123" customFormat="1">
      <c r="B847" s="125"/>
      <c r="D847" s="125"/>
      <c r="AA847" s="74"/>
      <c r="AE847" s="124"/>
      <c r="AI847" s="74"/>
      <c r="AM847" s="74"/>
      <c r="AY847" s="74"/>
      <c r="BC847" s="74"/>
      <c r="BG847" s="74"/>
      <c r="BK847" s="74"/>
      <c r="BO847" s="74"/>
      <c r="BW847" s="74"/>
      <c r="DF847" s="21"/>
      <c r="DG847" s="21"/>
      <c r="DH847" s="21"/>
      <c r="DI847" s="21"/>
    </row>
    <row r="848" spans="2:113" s="123" customFormat="1">
      <c r="B848" s="125"/>
      <c r="D848" s="125"/>
      <c r="AA848" s="74"/>
      <c r="AE848" s="124"/>
      <c r="AI848" s="74"/>
      <c r="AM848" s="74"/>
      <c r="AY848" s="74"/>
      <c r="BC848" s="74"/>
      <c r="BG848" s="74"/>
      <c r="BK848" s="74"/>
      <c r="BO848" s="74"/>
      <c r="BW848" s="74"/>
      <c r="DF848" s="21"/>
      <c r="DG848" s="21"/>
      <c r="DH848" s="21"/>
      <c r="DI848" s="21"/>
    </row>
    <row r="849" spans="2:113" s="123" customFormat="1">
      <c r="B849" s="125"/>
      <c r="D849" s="125"/>
      <c r="AA849" s="74"/>
      <c r="AE849" s="124"/>
      <c r="AI849" s="74"/>
      <c r="AM849" s="74"/>
      <c r="AY849" s="74"/>
      <c r="BC849" s="74"/>
      <c r="BG849" s="74"/>
      <c r="BK849" s="74"/>
      <c r="BO849" s="74"/>
      <c r="BW849" s="74"/>
      <c r="DF849" s="21"/>
      <c r="DG849" s="21"/>
      <c r="DH849" s="21"/>
      <c r="DI849" s="21"/>
    </row>
    <row r="850" spans="2:113" s="123" customFormat="1">
      <c r="B850" s="125"/>
      <c r="D850" s="125"/>
      <c r="AA850" s="74"/>
      <c r="AE850" s="124"/>
      <c r="AI850" s="74"/>
      <c r="AM850" s="74"/>
      <c r="AY850" s="74"/>
      <c r="BC850" s="74"/>
      <c r="BG850" s="74"/>
      <c r="BK850" s="74"/>
      <c r="BO850" s="74"/>
      <c r="BW850" s="74"/>
      <c r="DF850" s="21"/>
      <c r="DG850" s="21"/>
      <c r="DH850" s="21"/>
      <c r="DI850" s="21"/>
    </row>
    <row r="851" spans="2:113" s="123" customFormat="1">
      <c r="B851" s="125"/>
      <c r="D851" s="125"/>
      <c r="AA851" s="74"/>
      <c r="AE851" s="124"/>
      <c r="AI851" s="74"/>
      <c r="AM851" s="74"/>
      <c r="AY851" s="74"/>
      <c r="BC851" s="74"/>
      <c r="BG851" s="74"/>
      <c r="BK851" s="74"/>
      <c r="BO851" s="74"/>
      <c r="BW851" s="74"/>
      <c r="DF851" s="21"/>
      <c r="DG851" s="21"/>
      <c r="DH851" s="21"/>
      <c r="DI851" s="21"/>
    </row>
    <row r="852" spans="2:113" s="123" customFormat="1">
      <c r="B852" s="125"/>
      <c r="D852" s="125"/>
      <c r="AA852" s="74"/>
      <c r="AE852" s="124"/>
      <c r="AI852" s="74"/>
      <c r="AM852" s="74"/>
      <c r="AY852" s="74"/>
      <c r="BC852" s="74"/>
      <c r="BG852" s="74"/>
      <c r="BK852" s="74"/>
      <c r="BO852" s="74"/>
      <c r="BW852" s="74"/>
      <c r="DF852" s="21"/>
      <c r="DG852" s="21"/>
      <c r="DH852" s="21"/>
      <c r="DI852" s="21"/>
    </row>
    <row r="853" spans="2:113" s="123" customFormat="1">
      <c r="B853" s="125"/>
      <c r="D853" s="125"/>
      <c r="AA853" s="74"/>
      <c r="AE853" s="124"/>
      <c r="AI853" s="74"/>
      <c r="AM853" s="74"/>
      <c r="AY853" s="74"/>
      <c r="BC853" s="74"/>
      <c r="BG853" s="74"/>
      <c r="BK853" s="74"/>
      <c r="BO853" s="74"/>
      <c r="BW853" s="74"/>
      <c r="DF853" s="21"/>
      <c r="DG853" s="21"/>
      <c r="DH853" s="21"/>
      <c r="DI853" s="21"/>
    </row>
    <row r="854" spans="2:113" s="123" customFormat="1">
      <c r="B854" s="125"/>
      <c r="D854" s="125"/>
      <c r="AA854" s="74"/>
      <c r="AE854" s="124"/>
      <c r="AI854" s="74"/>
      <c r="AM854" s="74"/>
      <c r="AY854" s="74"/>
      <c r="BC854" s="74"/>
      <c r="BG854" s="74"/>
      <c r="BK854" s="74"/>
      <c r="BO854" s="74"/>
      <c r="BW854" s="74"/>
      <c r="DF854" s="21"/>
      <c r="DG854" s="21"/>
      <c r="DH854" s="21"/>
      <c r="DI854" s="21"/>
    </row>
    <row r="855" spans="2:113" s="123" customFormat="1">
      <c r="B855" s="125"/>
      <c r="D855" s="125"/>
      <c r="AA855" s="74"/>
      <c r="AE855" s="124"/>
      <c r="AI855" s="74"/>
      <c r="AM855" s="74"/>
      <c r="AY855" s="74"/>
      <c r="BC855" s="74"/>
      <c r="BG855" s="74"/>
      <c r="BK855" s="74"/>
      <c r="BO855" s="74"/>
      <c r="BW855" s="74"/>
      <c r="DF855" s="21"/>
      <c r="DG855" s="21"/>
      <c r="DH855" s="21"/>
      <c r="DI855" s="21"/>
    </row>
    <row r="856" spans="2:113" s="123" customFormat="1">
      <c r="B856" s="125"/>
      <c r="D856" s="125"/>
      <c r="AA856" s="74"/>
      <c r="AE856" s="124"/>
      <c r="AI856" s="74"/>
      <c r="AM856" s="74"/>
      <c r="AY856" s="74"/>
      <c r="BC856" s="74"/>
      <c r="BG856" s="74"/>
      <c r="BK856" s="74"/>
      <c r="BO856" s="74"/>
      <c r="BW856" s="74"/>
      <c r="DF856" s="21"/>
      <c r="DG856" s="21"/>
      <c r="DH856" s="21"/>
      <c r="DI856" s="21"/>
    </row>
    <row r="857" spans="2:113" s="123" customFormat="1">
      <c r="B857" s="125"/>
      <c r="D857" s="125"/>
      <c r="AA857" s="74"/>
      <c r="AE857" s="124"/>
      <c r="AI857" s="74"/>
      <c r="AM857" s="74"/>
      <c r="AY857" s="74"/>
      <c r="BC857" s="74"/>
      <c r="BG857" s="74"/>
      <c r="BK857" s="74"/>
      <c r="BO857" s="74"/>
      <c r="BW857" s="74"/>
      <c r="DF857" s="21"/>
      <c r="DG857" s="21"/>
      <c r="DH857" s="21"/>
      <c r="DI857" s="21"/>
    </row>
    <row r="858" spans="2:113" s="123" customFormat="1">
      <c r="B858" s="125"/>
      <c r="D858" s="125"/>
      <c r="AA858" s="74"/>
      <c r="AE858" s="124"/>
      <c r="AI858" s="74"/>
      <c r="AM858" s="74"/>
      <c r="AY858" s="74"/>
      <c r="BC858" s="74"/>
      <c r="BG858" s="74"/>
      <c r="BK858" s="74"/>
      <c r="BO858" s="74"/>
      <c r="BW858" s="74"/>
      <c r="DF858" s="21"/>
      <c r="DG858" s="21"/>
      <c r="DH858" s="21"/>
      <c r="DI858" s="21"/>
    </row>
    <row r="859" spans="2:113" s="123" customFormat="1">
      <c r="B859" s="125"/>
      <c r="D859" s="125"/>
      <c r="AA859" s="74"/>
      <c r="AE859" s="124"/>
      <c r="AI859" s="74"/>
      <c r="AM859" s="74"/>
      <c r="AY859" s="74"/>
      <c r="BC859" s="74"/>
      <c r="BG859" s="74"/>
      <c r="BK859" s="74"/>
      <c r="BO859" s="74"/>
      <c r="BW859" s="74"/>
      <c r="DF859" s="21"/>
      <c r="DG859" s="21"/>
      <c r="DH859" s="21"/>
      <c r="DI859" s="21"/>
    </row>
    <row r="860" spans="2:113" s="123" customFormat="1">
      <c r="B860" s="125"/>
      <c r="D860" s="125"/>
      <c r="AA860" s="74"/>
      <c r="AE860" s="124"/>
      <c r="AI860" s="74"/>
      <c r="AM860" s="74"/>
      <c r="AY860" s="74"/>
      <c r="BC860" s="74"/>
      <c r="BG860" s="74"/>
      <c r="BK860" s="74"/>
      <c r="BO860" s="74"/>
      <c r="BW860" s="74"/>
      <c r="DF860" s="21"/>
      <c r="DG860" s="21"/>
      <c r="DH860" s="21"/>
      <c r="DI860" s="21"/>
    </row>
    <row r="861" spans="2:113" s="123" customFormat="1">
      <c r="B861" s="125"/>
      <c r="D861" s="125"/>
      <c r="AA861" s="74"/>
      <c r="AE861" s="124"/>
      <c r="AI861" s="74"/>
      <c r="AM861" s="74"/>
      <c r="AY861" s="74"/>
      <c r="BC861" s="74"/>
      <c r="BG861" s="74"/>
      <c r="BK861" s="74"/>
      <c r="BO861" s="74"/>
      <c r="BW861" s="74"/>
      <c r="DF861" s="21"/>
      <c r="DG861" s="21"/>
      <c r="DH861" s="21"/>
      <c r="DI861" s="21"/>
    </row>
    <row r="862" spans="2:113" s="123" customFormat="1">
      <c r="B862" s="125"/>
      <c r="D862" s="125"/>
      <c r="AA862" s="74"/>
      <c r="AE862" s="124"/>
      <c r="AI862" s="74"/>
      <c r="AM862" s="74"/>
      <c r="AY862" s="74"/>
      <c r="BC862" s="74"/>
      <c r="BG862" s="74"/>
      <c r="BK862" s="74"/>
      <c r="BO862" s="74"/>
      <c r="BW862" s="74"/>
      <c r="DF862" s="21"/>
      <c r="DG862" s="21"/>
      <c r="DH862" s="21"/>
      <c r="DI862" s="21"/>
    </row>
    <row r="863" spans="2:113" s="123" customFormat="1">
      <c r="B863" s="125"/>
      <c r="D863" s="125"/>
      <c r="AA863" s="74"/>
      <c r="AE863" s="124"/>
      <c r="AI863" s="74"/>
      <c r="AM863" s="74"/>
      <c r="AY863" s="74"/>
      <c r="BC863" s="74"/>
      <c r="BG863" s="74"/>
      <c r="BK863" s="74"/>
      <c r="BO863" s="74"/>
      <c r="BW863" s="74"/>
      <c r="DF863" s="21"/>
      <c r="DG863" s="21"/>
      <c r="DH863" s="21"/>
      <c r="DI863" s="21"/>
    </row>
    <row r="864" spans="2:113" s="123" customFormat="1">
      <c r="B864" s="125"/>
      <c r="D864" s="125"/>
      <c r="AA864" s="74"/>
      <c r="AE864" s="124"/>
      <c r="AI864" s="74"/>
      <c r="AM864" s="74"/>
      <c r="AY864" s="74"/>
      <c r="BC864" s="74"/>
      <c r="BG864" s="74"/>
      <c r="BK864" s="74"/>
      <c r="BO864" s="74"/>
      <c r="BW864" s="74"/>
      <c r="DF864" s="21"/>
      <c r="DG864" s="21"/>
      <c r="DH864" s="21"/>
      <c r="DI864" s="21"/>
    </row>
    <row r="865" spans="2:113" s="123" customFormat="1">
      <c r="B865" s="125"/>
      <c r="D865" s="125"/>
      <c r="AA865" s="74"/>
      <c r="AE865" s="124"/>
      <c r="AI865" s="74"/>
      <c r="AM865" s="74"/>
      <c r="AY865" s="74"/>
      <c r="BC865" s="74"/>
      <c r="BG865" s="74"/>
      <c r="BK865" s="74"/>
      <c r="BO865" s="74"/>
      <c r="BW865" s="74"/>
      <c r="DF865" s="21"/>
      <c r="DG865" s="21"/>
      <c r="DH865" s="21"/>
      <c r="DI865" s="21"/>
    </row>
    <row r="866" spans="2:113" s="123" customFormat="1">
      <c r="B866" s="125"/>
      <c r="D866" s="125"/>
      <c r="AA866" s="74"/>
      <c r="AE866" s="124"/>
      <c r="AI866" s="74"/>
      <c r="AM866" s="74"/>
      <c r="AY866" s="74"/>
      <c r="BC866" s="74"/>
      <c r="BG866" s="74"/>
      <c r="BK866" s="74"/>
      <c r="BO866" s="74"/>
      <c r="BW866" s="74"/>
      <c r="DF866" s="21"/>
      <c r="DG866" s="21"/>
      <c r="DH866" s="21"/>
      <c r="DI866" s="21"/>
    </row>
    <row r="867" spans="2:113" s="123" customFormat="1">
      <c r="B867" s="125"/>
      <c r="D867" s="125"/>
      <c r="AA867" s="74"/>
      <c r="AE867" s="124"/>
      <c r="AI867" s="74"/>
      <c r="AM867" s="74"/>
      <c r="AY867" s="74"/>
      <c r="BC867" s="74"/>
      <c r="BG867" s="74"/>
      <c r="BK867" s="74"/>
      <c r="BO867" s="74"/>
      <c r="BW867" s="74"/>
      <c r="DF867" s="21"/>
      <c r="DG867" s="21"/>
      <c r="DH867" s="21"/>
      <c r="DI867" s="21"/>
    </row>
    <row r="868" spans="2:113" s="123" customFormat="1">
      <c r="B868" s="125"/>
      <c r="D868" s="125"/>
      <c r="AA868" s="74"/>
      <c r="AE868" s="124"/>
      <c r="AI868" s="74"/>
      <c r="AM868" s="74"/>
      <c r="AY868" s="74"/>
      <c r="BC868" s="74"/>
      <c r="BG868" s="74"/>
      <c r="BK868" s="74"/>
      <c r="BO868" s="74"/>
      <c r="BW868" s="74"/>
      <c r="DF868" s="21"/>
      <c r="DG868" s="21"/>
      <c r="DH868" s="21"/>
      <c r="DI868" s="21"/>
    </row>
    <row r="869" spans="2:113" s="123" customFormat="1">
      <c r="B869" s="125"/>
      <c r="D869" s="125"/>
      <c r="AA869" s="74"/>
      <c r="AE869" s="124"/>
      <c r="AI869" s="74"/>
      <c r="AM869" s="74"/>
      <c r="AY869" s="74"/>
      <c r="BC869" s="74"/>
      <c r="BG869" s="74"/>
      <c r="BK869" s="74"/>
      <c r="BO869" s="74"/>
      <c r="BW869" s="74"/>
      <c r="DF869" s="21"/>
      <c r="DG869" s="21"/>
      <c r="DH869" s="21"/>
      <c r="DI869" s="21"/>
    </row>
    <row r="870" spans="2:113" s="123" customFormat="1">
      <c r="B870" s="125"/>
      <c r="D870" s="125"/>
      <c r="AA870" s="74"/>
      <c r="AE870" s="124"/>
      <c r="AI870" s="74"/>
      <c r="AM870" s="74"/>
      <c r="AY870" s="74"/>
      <c r="BC870" s="74"/>
      <c r="BG870" s="74"/>
      <c r="BK870" s="74"/>
      <c r="BO870" s="74"/>
      <c r="BW870" s="74"/>
      <c r="DF870" s="21"/>
      <c r="DG870" s="21"/>
      <c r="DH870" s="21"/>
      <c r="DI870" s="21"/>
    </row>
    <row r="871" spans="2:113" s="123" customFormat="1">
      <c r="B871" s="125"/>
      <c r="D871" s="125"/>
      <c r="AA871" s="74"/>
      <c r="AE871" s="124"/>
      <c r="AI871" s="74"/>
      <c r="AM871" s="74"/>
      <c r="AY871" s="74"/>
      <c r="BC871" s="74"/>
      <c r="BG871" s="74"/>
      <c r="BK871" s="74"/>
      <c r="BO871" s="74"/>
      <c r="BW871" s="74"/>
      <c r="DF871" s="21"/>
      <c r="DG871" s="21"/>
      <c r="DH871" s="21"/>
      <c r="DI871" s="21"/>
    </row>
    <row r="872" spans="2:113" s="123" customFormat="1">
      <c r="B872" s="125"/>
      <c r="D872" s="125"/>
      <c r="AA872" s="74"/>
      <c r="AE872" s="124"/>
      <c r="AI872" s="74"/>
      <c r="AM872" s="74"/>
      <c r="AY872" s="74"/>
      <c r="BC872" s="74"/>
      <c r="BG872" s="74"/>
      <c r="BK872" s="74"/>
      <c r="BO872" s="74"/>
      <c r="BW872" s="74"/>
      <c r="DF872" s="21"/>
      <c r="DG872" s="21"/>
      <c r="DH872" s="21"/>
      <c r="DI872" s="21"/>
    </row>
    <row r="873" spans="2:113" s="123" customFormat="1">
      <c r="B873" s="125"/>
      <c r="D873" s="125"/>
      <c r="AA873" s="74"/>
      <c r="AE873" s="124"/>
      <c r="AI873" s="74"/>
      <c r="AM873" s="74"/>
      <c r="AY873" s="74"/>
      <c r="BC873" s="74"/>
      <c r="BG873" s="74"/>
      <c r="BK873" s="74"/>
      <c r="BO873" s="74"/>
      <c r="BW873" s="74"/>
      <c r="DF873" s="21"/>
      <c r="DG873" s="21"/>
      <c r="DH873" s="21"/>
      <c r="DI873" s="21"/>
    </row>
    <row r="874" spans="2:113" s="123" customFormat="1">
      <c r="B874" s="125"/>
      <c r="D874" s="125"/>
      <c r="AA874" s="74"/>
      <c r="AE874" s="124"/>
      <c r="AI874" s="74"/>
      <c r="AM874" s="74"/>
      <c r="AY874" s="74"/>
      <c r="BC874" s="74"/>
      <c r="BG874" s="74"/>
      <c r="BK874" s="74"/>
      <c r="BO874" s="74"/>
      <c r="BW874" s="74"/>
      <c r="DF874" s="21"/>
      <c r="DG874" s="21"/>
      <c r="DH874" s="21"/>
      <c r="DI874" s="21"/>
    </row>
    <row r="875" spans="2:113" s="123" customFormat="1">
      <c r="B875" s="125"/>
      <c r="D875" s="125"/>
      <c r="AA875" s="74"/>
      <c r="AE875" s="124"/>
      <c r="AI875" s="74"/>
      <c r="AM875" s="74"/>
      <c r="AY875" s="74"/>
      <c r="BC875" s="74"/>
      <c r="BG875" s="74"/>
      <c r="BK875" s="74"/>
      <c r="BO875" s="74"/>
      <c r="BW875" s="74"/>
      <c r="DF875" s="21"/>
      <c r="DG875" s="21"/>
      <c r="DH875" s="21"/>
      <c r="DI875" s="21"/>
    </row>
    <row r="876" spans="2:113" s="123" customFormat="1">
      <c r="B876" s="125"/>
      <c r="D876" s="125"/>
      <c r="AA876" s="74"/>
      <c r="AE876" s="124"/>
      <c r="AI876" s="74"/>
      <c r="AM876" s="74"/>
      <c r="AY876" s="74"/>
      <c r="BC876" s="74"/>
      <c r="BG876" s="74"/>
      <c r="BK876" s="74"/>
      <c r="BO876" s="74"/>
      <c r="BW876" s="74"/>
      <c r="DF876" s="21"/>
      <c r="DG876" s="21"/>
      <c r="DH876" s="21"/>
      <c r="DI876" s="21"/>
    </row>
    <row r="877" spans="2:113" s="123" customFormat="1">
      <c r="B877" s="125"/>
      <c r="D877" s="125"/>
      <c r="AA877" s="74"/>
      <c r="AE877" s="124"/>
      <c r="AI877" s="74"/>
      <c r="AM877" s="74"/>
      <c r="AY877" s="74"/>
      <c r="BC877" s="74"/>
      <c r="BG877" s="74"/>
      <c r="BK877" s="74"/>
      <c r="BO877" s="74"/>
      <c r="BW877" s="74"/>
      <c r="DF877" s="21"/>
      <c r="DG877" s="21"/>
      <c r="DH877" s="21"/>
      <c r="DI877" s="21"/>
    </row>
    <row r="878" spans="2:113" s="123" customFormat="1">
      <c r="B878" s="125"/>
      <c r="D878" s="125"/>
      <c r="AA878" s="74"/>
      <c r="AE878" s="124"/>
      <c r="AI878" s="74"/>
      <c r="AM878" s="74"/>
      <c r="AY878" s="74"/>
      <c r="BC878" s="74"/>
      <c r="BG878" s="74"/>
      <c r="BK878" s="74"/>
      <c r="BO878" s="74"/>
      <c r="BW878" s="74"/>
      <c r="DF878" s="21"/>
      <c r="DG878" s="21"/>
      <c r="DH878" s="21"/>
      <c r="DI878" s="21"/>
    </row>
    <row r="879" spans="2:113" s="123" customFormat="1">
      <c r="B879" s="125"/>
      <c r="D879" s="125"/>
      <c r="AA879" s="74"/>
      <c r="AE879" s="124"/>
      <c r="AI879" s="74"/>
      <c r="AM879" s="74"/>
      <c r="AY879" s="74"/>
      <c r="BC879" s="74"/>
      <c r="BG879" s="74"/>
      <c r="BK879" s="74"/>
      <c r="BO879" s="74"/>
      <c r="BW879" s="74"/>
      <c r="DF879" s="21"/>
      <c r="DG879" s="21"/>
      <c r="DH879" s="21"/>
      <c r="DI879" s="21"/>
    </row>
    <row r="880" spans="2:113" s="123" customFormat="1">
      <c r="B880" s="125"/>
      <c r="D880" s="125"/>
      <c r="AA880" s="74"/>
      <c r="AE880" s="124"/>
      <c r="AI880" s="74"/>
      <c r="AM880" s="74"/>
      <c r="AY880" s="74"/>
      <c r="BC880" s="74"/>
      <c r="BG880" s="74"/>
      <c r="BK880" s="74"/>
      <c r="BO880" s="74"/>
      <c r="BW880" s="74"/>
      <c r="DF880" s="21"/>
      <c r="DG880" s="21"/>
      <c r="DH880" s="21"/>
      <c r="DI880" s="21"/>
    </row>
    <row r="881" spans="2:113" s="123" customFormat="1">
      <c r="B881" s="125"/>
      <c r="D881" s="125"/>
      <c r="AA881" s="74"/>
      <c r="AE881" s="124"/>
      <c r="AI881" s="74"/>
      <c r="AM881" s="74"/>
      <c r="AY881" s="74"/>
      <c r="BC881" s="74"/>
      <c r="BG881" s="74"/>
      <c r="BK881" s="74"/>
      <c r="BO881" s="74"/>
      <c r="BW881" s="74"/>
      <c r="DF881" s="21"/>
      <c r="DG881" s="21"/>
      <c r="DH881" s="21"/>
      <c r="DI881" s="21"/>
    </row>
    <row r="882" spans="2:113" s="123" customFormat="1">
      <c r="B882" s="125"/>
      <c r="D882" s="125"/>
      <c r="AA882" s="74"/>
      <c r="AE882" s="124"/>
      <c r="AI882" s="74"/>
      <c r="AM882" s="74"/>
      <c r="AY882" s="74"/>
      <c r="BC882" s="74"/>
      <c r="BG882" s="74"/>
      <c r="BK882" s="74"/>
      <c r="BO882" s="74"/>
      <c r="BW882" s="74"/>
      <c r="DF882" s="21"/>
      <c r="DG882" s="21"/>
      <c r="DH882" s="21"/>
      <c r="DI882" s="21"/>
    </row>
    <row r="883" spans="2:113" s="123" customFormat="1">
      <c r="B883" s="125"/>
      <c r="D883" s="125"/>
      <c r="AA883" s="74"/>
      <c r="AE883" s="124"/>
      <c r="AI883" s="74"/>
      <c r="AM883" s="74"/>
      <c r="AY883" s="74"/>
      <c r="BC883" s="74"/>
      <c r="BG883" s="74"/>
      <c r="BK883" s="74"/>
      <c r="BO883" s="74"/>
      <c r="BW883" s="74"/>
      <c r="DF883" s="21"/>
      <c r="DG883" s="21"/>
      <c r="DH883" s="21"/>
      <c r="DI883" s="21"/>
    </row>
    <row r="884" spans="2:113" s="123" customFormat="1">
      <c r="B884" s="125"/>
      <c r="D884" s="125"/>
      <c r="AA884" s="74"/>
      <c r="AE884" s="124"/>
      <c r="AI884" s="74"/>
      <c r="AM884" s="74"/>
      <c r="AY884" s="74"/>
      <c r="BC884" s="74"/>
      <c r="BG884" s="74"/>
      <c r="BK884" s="74"/>
      <c r="BO884" s="74"/>
      <c r="BW884" s="74"/>
      <c r="DF884" s="21"/>
      <c r="DG884" s="21"/>
      <c r="DH884" s="21"/>
      <c r="DI884" s="21"/>
    </row>
    <row r="885" spans="2:113" s="123" customFormat="1">
      <c r="B885" s="125"/>
      <c r="D885" s="125"/>
      <c r="AA885" s="74"/>
      <c r="AE885" s="124"/>
      <c r="AI885" s="74"/>
      <c r="AM885" s="74"/>
      <c r="AY885" s="74"/>
      <c r="BC885" s="74"/>
      <c r="BG885" s="74"/>
      <c r="BK885" s="74"/>
      <c r="BO885" s="74"/>
      <c r="BW885" s="74"/>
      <c r="DF885" s="21"/>
      <c r="DG885" s="21"/>
      <c r="DH885" s="21"/>
      <c r="DI885" s="21"/>
    </row>
    <row r="886" spans="2:113" s="123" customFormat="1">
      <c r="B886" s="125"/>
      <c r="D886" s="125"/>
      <c r="AA886" s="74"/>
      <c r="AE886" s="124"/>
      <c r="AI886" s="74"/>
      <c r="AM886" s="74"/>
      <c r="AY886" s="74"/>
      <c r="BC886" s="74"/>
      <c r="BG886" s="74"/>
      <c r="BK886" s="74"/>
      <c r="BO886" s="74"/>
      <c r="BW886" s="74"/>
      <c r="DF886" s="21"/>
      <c r="DG886" s="21"/>
      <c r="DH886" s="21"/>
      <c r="DI886" s="21"/>
    </row>
    <row r="887" spans="2:113" s="123" customFormat="1">
      <c r="B887" s="125"/>
      <c r="D887" s="125"/>
      <c r="AA887" s="74"/>
      <c r="AE887" s="124"/>
      <c r="AI887" s="74"/>
      <c r="AM887" s="74"/>
      <c r="AY887" s="74"/>
      <c r="BC887" s="74"/>
      <c r="BG887" s="74"/>
      <c r="BK887" s="74"/>
      <c r="BO887" s="74"/>
      <c r="BW887" s="74"/>
      <c r="DF887" s="21"/>
      <c r="DG887" s="21"/>
      <c r="DH887" s="21"/>
      <c r="DI887" s="21"/>
    </row>
    <row r="888" spans="2:113" s="123" customFormat="1">
      <c r="B888" s="125"/>
      <c r="D888" s="125"/>
      <c r="AA888" s="74"/>
      <c r="AE888" s="124"/>
      <c r="AI888" s="74"/>
      <c r="AM888" s="74"/>
      <c r="AY888" s="74"/>
      <c r="BC888" s="74"/>
      <c r="BG888" s="74"/>
      <c r="BK888" s="74"/>
      <c r="BO888" s="74"/>
      <c r="BW888" s="74"/>
      <c r="DF888" s="21"/>
      <c r="DG888" s="21"/>
      <c r="DH888" s="21"/>
      <c r="DI888" s="21"/>
    </row>
    <row r="889" spans="2:113" s="123" customFormat="1">
      <c r="B889" s="125"/>
      <c r="D889" s="125"/>
      <c r="AA889" s="74"/>
      <c r="AE889" s="124"/>
      <c r="AI889" s="74"/>
      <c r="AM889" s="74"/>
      <c r="AY889" s="74"/>
      <c r="BC889" s="74"/>
      <c r="BG889" s="74"/>
      <c r="BK889" s="74"/>
      <c r="BO889" s="74"/>
      <c r="BW889" s="74"/>
      <c r="DF889" s="21"/>
      <c r="DG889" s="21"/>
      <c r="DH889" s="21"/>
      <c r="DI889" s="21"/>
    </row>
    <row r="890" spans="2:113" s="123" customFormat="1">
      <c r="B890" s="125"/>
      <c r="D890" s="125"/>
      <c r="AA890" s="74"/>
      <c r="AE890" s="124"/>
      <c r="AI890" s="74"/>
      <c r="AM890" s="74"/>
      <c r="AY890" s="74"/>
      <c r="BC890" s="74"/>
      <c r="BG890" s="74"/>
      <c r="BK890" s="74"/>
      <c r="BO890" s="74"/>
      <c r="BW890" s="74"/>
      <c r="DF890" s="21"/>
      <c r="DG890" s="21"/>
      <c r="DH890" s="21"/>
      <c r="DI890" s="21"/>
    </row>
    <row r="891" spans="2:113" s="123" customFormat="1">
      <c r="B891" s="125"/>
      <c r="D891" s="125"/>
      <c r="AA891" s="74"/>
      <c r="AE891" s="124"/>
      <c r="AI891" s="74"/>
      <c r="AM891" s="74"/>
      <c r="AY891" s="74"/>
      <c r="BC891" s="74"/>
      <c r="BG891" s="74"/>
      <c r="BK891" s="74"/>
      <c r="BO891" s="74"/>
      <c r="BW891" s="74"/>
      <c r="DF891" s="21"/>
      <c r="DG891" s="21"/>
      <c r="DH891" s="21"/>
      <c r="DI891" s="21"/>
    </row>
    <row r="892" spans="2:113" s="123" customFormat="1">
      <c r="B892" s="125"/>
      <c r="D892" s="125"/>
      <c r="AA892" s="74"/>
      <c r="AE892" s="124"/>
      <c r="AI892" s="74"/>
      <c r="AM892" s="74"/>
      <c r="AY892" s="74"/>
      <c r="BC892" s="74"/>
      <c r="BG892" s="74"/>
      <c r="BK892" s="74"/>
      <c r="BO892" s="74"/>
      <c r="BW892" s="74"/>
      <c r="DF892" s="21"/>
      <c r="DG892" s="21"/>
      <c r="DH892" s="21"/>
      <c r="DI892" s="21"/>
    </row>
    <row r="893" spans="2:113" s="123" customFormat="1">
      <c r="B893" s="125"/>
      <c r="D893" s="125"/>
      <c r="AA893" s="74"/>
      <c r="AE893" s="124"/>
      <c r="AI893" s="74"/>
      <c r="AM893" s="74"/>
      <c r="AY893" s="74"/>
      <c r="BC893" s="74"/>
      <c r="BG893" s="74"/>
      <c r="BK893" s="74"/>
      <c r="BO893" s="74"/>
      <c r="BW893" s="74"/>
      <c r="DF893" s="21"/>
      <c r="DG893" s="21"/>
      <c r="DH893" s="21"/>
      <c r="DI893" s="21"/>
    </row>
    <row r="894" spans="2:113" s="123" customFormat="1">
      <c r="B894" s="125"/>
      <c r="D894" s="125"/>
      <c r="AA894" s="74"/>
      <c r="AE894" s="124"/>
      <c r="AI894" s="74"/>
      <c r="AM894" s="74"/>
      <c r="AY894" s="74"/>
      <c r="BC894" s="74"/>
      <c r="BG894" s="74"/>
      <c r="BK894" s="74"/>
      <c r="BO894" s="74"/>
      <c r="BW894" s="74"/>
      <c r="DF894" s="21"/>
      <c r="DG894" s="21"/>
      <c r="DH894" s="21"/>
      <c r="DI894" s="21"/>
    </row>
    <row r="895" spans="2:113" s="123" customFormat="1">
      <c r="B895" s="125"/>
      <c r="D895" s="125"/>
      <c r="AA895" s="74"/>
      <c r="AE895" s="124"/>
      <c r="AI895" s="74"/>
      <c r="AM895" s="74"/>
      <c r="AY895" s="74"/>
      <c r="BC895" s="74"/>
      <c r="BG895" s="74"/>
      <c r="BK895" s="74"/>
      <c r="BO895" s="74"/>
      <c r="BW895" s="74"/>
      <c r="DF895" s="21"/>
      <c r="DG895" s="21"/>
      <c r="DH895" s="21"/>
      <c r="DI895" s="21"/>
    </row>
    <row r="896" spans="2:113" s="123" customFormat="1">
      <c r="B896" s="125"/>
      <c r="D896" s="125"/>
      <c r="AA896" s="74"/>
      <c r="AE896" s="124"/>
      <c r="AI896" s="74"/>
      <c r="AM896" s="74"/>
      <c r="AY896" s="74"/>
      <c r="BC896" s="74"/>
      <c r="BG896" s="74"/>
      <c r="BK896" s="74"/>
      <c r="BO896" s="74"/>
      <c r="BW896" s="74"/>
      <c r="DF896" s="21"/>
      <c r="DG896" s="21"/>
      <c r="DH896" s="21"/>
      <c r="DI896" s="21"/>
    </row>
    <row r="897" spans="2:113" s="123" customFormat="1">
      <c r="B897" s="125"/>
      <c r="D897" s="125"/>
      <c r="AA897" s="74"/>
      <c r="AE897" s="124"/>
      <c r="AI897" s="74"/>
      <c r="AM897" s="74"/>
      <c r="AY897" s="74"/>
      <c r="BC897" s="74"/>
      <c r="BG897" s="74"/>
      <c r="BK897" s="74"/>
      <c r="BO897" s="74"/>
      <c r="BW897" s="74"/>
      <c r="DF897" s="21"/>
      <c r="DG897" s="21"/>
      <c r="DH897" s="21"/>
      <c r="DI897" s="21"/>
    </row>
    <row r="898" spans="2:113" s="123" customFormat="1">
      <c r="B898" s="125"/>
      <c r="D898" s="125"/>
      <c r="AA898" s="74"/>
      <c r="AE898" s="124"/>
      <c r="AI898" s="74"/>
      <c r="AM898" s="74"/>
      <c r="AY898" s="74"/>
      <c r="BC898" s="74"/>
      <c r="BG898" s="74"/>
      <c r="BK898" s="74"/>
      <c r="BO898" s="74"/>
      <c r="BW898" s="74"/>
      <c r="DF898" s="21"/>
      <c r="DG898" s="21"/>
      <c r="DH898" s="21"/>
      <c r="DI898" s="21"/>
    </row>
    <row r="899" spans="2:113" s="123" customFormat="1">
      <c r="B899" s="125"/>
      <c r="D899" s="125"/>
      <c r="AA899" s="74"/>
      <c r="AE899" s="124"/>
      <c r="AI899" s="74"/>
      <c r="AM899" s="74"/>
      <c r="AY899" s="74"/>
      <c r="BC899" s="74"/>
      <c r="BG899" s="74"/>
      <c r="BK899" s="74"/>
      <c r="BO899" s="74"/>
      <c r="BW899" s="74"/>
      <c r="DF899" s="21"/>
      <c r="DG899" s="21"/>
      <c r="DH899" s="21"/>
      <c r="DI899" s="21"/>
    </row>
    <row r="900" spans="2:113" s="123" customFormat="1">
      <c r="B900" s="125"/>
      <c r="D900" s="125"/>
      <c r="AA900" s="74"/>
      <c r="AE900" s="124"/>
      <c r="AI900" s="74"/>
      <c r="AM900" s="74"/>
      <c r="AY900" s="74"/>
      <c r="BC900" s="74"/>
      <c r="BG900" s="74"/>
      <c r="BK900" s="74"/>
      <c r="BO900" s="74"/>
      <c r="BW900" s="74"/>
      <c r="DF900" s="21"/>
      <c r="DG900" s="21"/>
      <c r="DH900" s="21"/>
      <c r="DI900" s="21"/>
    </row>
    <row r="901" spans="2:113" s="123" customFormat="1">
      <c r="B901" s="125"/>
      <c r="D901" s="125"/>
      <c r="AA901" s="74"/>
      <c r="AE901" s="124"/>
      <c r="AI901" s="74"/>
      <c r="AM901" s="74"/>
      <c r="AY901" s="74"/>
      <c r="BC901" s="74"/>
      <c r="BG901" s="74"/>
      <c r="BK901" s="74"/>
      <c r="BO901" s="74"/>
      <c r="BW901" s="74"/>
      <c r="DF901" s="21"/>
      <c r="DG901" s="21"/>
      <c r="DH901" s="21"/>
      <c r="DI901" s="21"/>
    </row>
    <row r="902" spans="2:113" s="123" customFormat="1">
      <c r="B902" s="125"/>
      <c r="D902" s="125"/>
      <c r="AA902" s="74"/>
      <c r="AE902" s="124"/>
      <c r="AI902" s="74"/>
      <c r="AM902" s="74"/>
      <c r="AY902" s="74"/>
      <c r="BC902" s="74"/>
      <c r="BG902" s="74"/>
      <c r="BK902" s="74"/>
      <c r="BO902" s="74"/>
      <c r="BW902" s="74"/>
      <c r="DF902" s="21"/>
      <c r="DG902" s="21"/>
      <c r="DH902" s="21"/>
      <c r="DI902" s="21"/>
    </row>
    <row r="903" spans="2:113" s="123" customFormat="1">
      <c r="B903" s="125"/>
      <c r="D903" s="125"/>
      <c r="AA903" s="74"/>
      <c r="AE903" s="124"/>
      <c r="AI903" s="74"/>
      <c r="AM903" s="74"/>
      <c r="AY903" s="74"/>
      <c r="BC903" s="74"/>
      <c r="BG903" s="74"/>
      <c r="BK903" s="74"/>
      <c r="BO903" s="74"/>
      <c r="BW903" s="74"/>
      <c r="DF903" s="21"/>
      <c r="DG903" s="21"/>
      <c r="DH903" s="21"/>
      <c r="DI903" s="21"/>
    </row>
    <row r="904" spans="2:113" s="123" customFormat="1">
      <c r="B904" s="125"/>
      <c r="D904" s="125"/>
      <c r="AA904" s="74"/>
      <c r="AE904" s="124"/>
      <c r="AI904" s="74"/>
      <c r="AM904" s="74"/>
      <c r="AY904" s="74"/>
      <c r="BC904" s="74"/>
      <c r="BG904" s="74"/>
      <c r="BK904" s="74"/>
      <c r="BO904" s="74"/>
      <c r="BW904" s="74"/>
      <c r="DF904" s="21"/>
      <c r="DG904" s="21"/>
      <c r="DH904" s="21"/>
      <c r="DI904" s="21"/>
    </row>
    <row r="905" spans="2:113" s="123" customFormat="1">
      <c r="B905" s="125"/>
      <c r="D905" s="125"/>
      <c r="AA905" s="74"/>
      <c r="AE905" s="124"/>
      <c r="AI905" s="74"/>
      <c r="AM905" s="74"/>
      <c r="AY905" s="74"/>
      <c r="BC905" s="74"/>
      <c r="BG905" s="74"/>
      <c r="BK905" s="74"/>
      <c r="BO905" s="74"/>
      <c r="BW905" s="74"/>
      <c r="DF905" s="21"/>
      <c r="DG905" s="21"/>
      <c r="DH905" s="21"/>
      <c r="DI905" s="21"/>
    </row>
    <row r="906" spans="2:113" s="123" customFormat="1">
      <c r="B906" s="125"/>
      <c r="D906" s="125"/>
      <c r="AA906" s="74"/>
      <c r="AE906" s="124"/>
      <c r="AI906" s="74"/>
      <c r="AM906" s="74"/>
      <c r="AY906" s="74"/>
      <c r="BC906" s="74"/>
      <c r="BG906" s="74"/>
      <c r="BK906" s="74"/>
      <c r="BO906" s="74"/>
      <c r="BW906" s="74"/>
      <c r="DF906" s="21"/>
      <c r="DG906" s="21"/>
      <c r="DH906" s="21"/>
      <c r="DI906" s="21"/>
    </row>
    <row r="907" spans="2:113" s="123" customFormat="1">
      <c r="B907" s="125"/>
      <c r="D907" s="125"/>
      <c r="AA907" s="74"/>
      <c r="AE907" s="124"/>
      <c r="AI907" s="74"/>
      <c r="AM907" s="74"/>
      <c r="AY907" s="74"/>
      <c r="BC907" s="74"/>
      <c r="BG907" s="74"/>
      <c r="BK907" s="74"/>
      <c r="BO907" s="74"/>
      <c r="BW907" s="74"/>
      <c r="DF907" s="21"/>
      <c r="DG907" s="21"/>
      <c r="DH907" s="21"/>
      <c r="DI907" s="21"/>
    </row>
    <row r="908" spans="2:113" s="123" customFormat="1">
      <c r="B908" s="125"/>
      <c r="D908" s="125"/>
      <c r="AA908" s="74"/>
      <c r="AE908" s="124"/>
      <c r="AI908" s="74"/>
      <c r="AM908" s="74"/>
      <c r="AY908" s="74"/>
      <c r="BC908" s="74"/>
      <c r="BG908" s="74"/>
      <c r="BK908" s="74"/>
      <c r="BO908" s="74"/>
      <c r="BW908" s="74"/>
      <c r="DF908" s="21"/>
      <c r="DG908" s="21"/>
      <c r="DH908" s="21"/>
      <c r="DI908" s="21"/>
    </row>
    <row r="909" spans="2:113" s="123" customFormat="1">
      <c r="B909" s="125"/>
      <c r="D909" s="125"/>
      <c r="AA909" s="74"/>
      <c r="AE909" s="124"/>
      <c r="AI909" s="74"/>
      <c r="AM909" s="74"/>
      <c r="AY909" s="74"/>
      <c r="BC909" s="74"/>
      <c r="BG909" s="74"/>
      <c r="BK909" s="74"/>
      <c r="BO909" s="74"/>
      <c r="BW909" s="74"/>
      <c r="DF909" s="21"/>
      <c r="DG909" s="21"/>
      <c r="DH909" s="21"/>
      <c r="DI909" s="21"/>
    </row>
    <row r="910" spans="2:113" s="123" customFormat="1">
      <c r="B910" s="125"/>
      <c r="D910" s="125"/>
      <c r="AA910" s="74"/>
      <c r="AE910" s="124"/>
      <c r="AI910" s="74"/>
      <c r="AM910" s="74"/>
      <c r="AY910" s="74"/>
      <c r="BC910" s="74"/>
      <c r="BG910" s="74"/>
      <c r="BK910" s="74"/>
      <c r="BO910" s="74"/>
      <c r="BW910" s="74"/>
      <c r="DF910" s="21"/>
      <c r="DG910" s="21"/>
      <c r="DH910" s="21"/>
      <c r="DI910" s="21"/>
    </row>
    <row r="911" spans="2:113" s="123" customFormat="1">
      <c r="B911" s="125"/>
      <c r="D911" s="125"/>
      <c r="AA911" s="74"/>
      <c r="AE911" s="124"/>
      <c r="AI911" s="74"/>
      <c r="AM911" s="74"/>
      <c r="AY911" s="74"/>
      <c r="BC911" s="74"/>
      <c r="BG911" s="74"/>
      <c r="BK911" s="74"/>
      <c r="BO911" s="74"/>
      <c r="BW911" s="74"/>
      <c r="DF911" s="21"/>
      <c r="DG911" s="21"/>
      <c r="DH911" s="21"/>
      <c r="DI911" s="21"/>
    </row>
    <row r="912" spans="2:113" s="123" customFormat="1">
      <c r="B912" s="125"/>
      <c r="D912" s="125"/>
      <c r="AA912" s="74"/>
      <c r="AE912" s="124"/>
      <c r="AI912" s="74"/>
      <c r="AM912" s="74"/>
      <c r="AY912" s="74"/>
      <c r="BC912" s="74"/>
      <c r="BG912" s="74"/>
      <c r="BK912" s="74"/>
      <c r="BO912" s="74"/>
      <c r="BW912" s="74"/>
      <c r="DF912" s="21"/>
      <c r="DG912" s="21"/>
      <c r="DH912" s="21"/>
      <c r="DI912" s="21"/>
    </row>
    <row r="913" spans="2:113" s="123" customFormat="1">
      <c r="B913" s="125"/>
      <c r="D913" s="125"/>
      <c r="AA913" s="74"/>
      <c r="AE913" s="124"/>
      <c r="AI913" s="74"/>
      <c r="AM913" s="74"/>
      <c r="AY913" s="74"/>
      <c r="BC913" s="74"/>
      <c r="BG913" s="74"/>
      <c r="BK913" s="74"/>
      <c r="BO913" s="74"/>
      <c r="BW913" s="74"/>
      <c r="DF913" s="21"/>
      <c r="DG913" s="21"/>
      <c r="DH913" s="21"/>
      <c r="DI913" s="21"/>
    </row>
    <row r="914" spans="2:113" s="123" customFormat="1">
      <c r="B914" s="125"/>
      <c r="D914" s="125"/>
      <c r="AA914" s="74"/>
      <c r="AE914" s="124"/>
      <c r="AI914" s="74"/>
      <c r="AM914" s="74"/>
      <c r="AY914" s="74"/>
      <c r="BC914" s="74"/>
      <c r="BG914" s="74"/>
      <c r="BK914" s="74"/>
      <c r="BO914" s="74"/>
      <c r="BW914" s="74"/>
      <c r="DF914" s="21"/>
      <c r="DG914" s="21"/>
      <c r="DH914" s="21"/>
      <c r="DI914" s="21"/>
    </row>
    <row r="915" spans="2:113" s="123" customFormat="1">
      <c r="B915" s="125"/>
      <c r="D915" s="125"/>
      <c r="AA915" s="74"/>
      <c r="AE915" s="124"/>
      <c r="AI915" s="74"/>
      <c r="AM915" s="74"/>
      <c r="AY915" s="74"/>
      <c r="BC915" s="74"/>
      <c r="BG915" s="74"/>
      <c r="BK915" s="74"/>
      <c r="BO915" s="74"/>
      <c r="BW915" s="74"/>
      <c r="DF915" s="21"/>
      <c r="DG915" s="21"/>
      <c r="DH915" s="21"/>
      <c r="DI915" s="21"/>
    </row>
    <row r="916" spans="2:113" s="123" customFormat="1">
      <c r="B916" s="125"/>
      <c r="D916" s="125"/>
      <c r="AA916" s="74"/>
      <c r="AE916" s="124"/>
      <c r="AI916" s="74"/>
      <c r="AM916" s="74"/>
      <c r="AY916" s="74"/>
      <c r="BC916" s="74"/>
      <c r="BG916" s="74"/>
      <c r="BK916" s="74"/>
      <c r="BO916" s="74"/>
      <c r="BW916" s="74"/>
      <c r="DF916" s="21"/>
      <c r="DG916" s="21"/>
      <c r="DH916" s="21"/>
      <c r="DI916" s="21"/>
    </row>
    <row r="917" spans="2:113" s="123" customFormat="1">
      <c r="B917" s="125"/>
      <c r="D917" s="125"/>
      <c r="AA917" s="74"/>
      <c r="AE917" s="124"/>
      <c r="AI917" s="74"/>
      <c r="AM917" s="74"/>
      <c r="AY917" s="74"/>
      <c r="BC917" s="74"/>
      <c r="BG917" s="74"/>
      <c r="BK917" s="74"/>
      <c r="BO917" s="74"/>
      <c r="BW917" s="74"/>
      <c r="DF917" s="21"/>
      <c r="DG917" s="21"/>
      <c r="DH917" s="21"/>
      <c r="DI917" s="21"/>
    </row>
    <row r="918" spans="2:113" s="123" customFormat="1">
      <c r="B918" s="125"/>
      <c r="D918" s="125"/>
      <c r="AA918" s="74"/>
      <c r="AE918" s="124"/>
      <c r="AI918" s="74"/>
      <c r="AM918" s="74"/>
      <c r="AY918" s="74"/>
      <c r="BC918" s="74"/>
      <c r="BG918" s="74"/>
      <c r="BK918" s="74"/>
      <c r="BO918" s="74"/>
      <c r="BW918" s="74"/>
      <c r="DF918" s="21"/>
      <c r="DG918" s="21"/>
      <c r="DH918" s="21"/>
      <c r="DI918" s="21"/>
    </row>
    <row r="919" spans="2:113" s="123" customFormat="1">
      <c r="B919" s="125"/>
      <c r="D919" s="125"/>
      <c r="AA919" s="74"/>
      <c r="AE919" s="124"/>
      <c r="AI919" s="74"/>
      <c r="AM919" s="74"/>
      <c r="AY919" s="74"/>
      <c r="BC919" s="74"/>
      <c r="BG919" s="74"/>
      <c r="BK919" s="74"/>
      <c r="BO919" s="74"/>
      <c r="BW919" s="74"/>
      <c r="DF919" s="21"/>
      <c r="DG919" s="21"/>
      <c r="DH919" s="21"/>
      <c r="DI919" s="21"/>
    </row>
    <row r="920" spans="2:113" s="123" customFormat="1">
      <c r="B920" s="125"/>
      <c r="D920" s="125"/>
      <c r="AA920" s="74"/>
      <c r="AE920" s="124"/>
      <c r="AI920" s="74"/>
      <c r="AM920" s="74"/>
      <c r="AY920" s="74"/>
      <c r="BC920" s="74"/>
      <c r="BG920" s="74"/>
      <c r="BK920" s="74"/>
      <c r="BO920" s="74"/>
      <c r="BW920" s="74"/>
      <c r="DF920" s="21"/>
      <c r="DG920" s="21"/>
      <c r="DH920" s="21"/>
      <c r="DI920" s="21"/>
    </row>
    <row r="921" spans="2:113" s="123" customFormat="1">
      <c r="B921" s="125"/>
      <c r="D921" s="125"/>
      <c r="AA921" s="74"/>
      <c r="AE921" s="124"/>
      <c r="AI921" s="74"/>
      <c r="AM921" s="74"/>
      <c r="AY921" s="74"/>
      <c r="BC921" s="74"/>
      <c r="BG921" s="74"/>
      <c r="BK921" s="74"/>
      <c r="BO921" s="74"/>
      <c r="BW921" s="74"/>
      <c r="DF921" s="21"/>
      <c r="DG921" s="21"/>
      <c r="DH921" s="21"/>
      <c r="DI921" s="21"/>
    </row>
    <row r="922" spans="2:113" s="123" customFormat="1">
      <c r="B922" s="125"/>
      <c r="D922" s="125"/>
      <c r="AA922" s="74"/>
      <c r="AE922" s="124"/>
      <c r="AI922" s="74"/>
      <c r="AM922" s="74"/>
      <c r="AY922" s="74"/>
      <c r="BC922" s="74"/>
      <c r="BG922" s="74"/>
      <c r="BK922" s="74"/>
      <c r="BO922" s="74"/>
      <c r="BW922" s="74"/>
      <c r="DF922" s="21"/>
      <c r="DG922" s="21"/>
      <c r="DH922" s="21"/>
      <c r="DI922" s="21"/>
    </row>
    <row r="923" spans="2:113" s="123" customFormat="1">
      <c r="B923" s="125"/>
      <c r="D923" s="125"/>
      <c r="AA923" s="74"/>
      <c r="AE923" s="124"/>
      <c r="AI923" s="74"/>
      <c r="AM923" s="74"/>
      <c r="AY923" s="74"/>
      <c r="BC923" s="74"/>
      <c r="BG923" s="74"/>
      <c r="BK923" s="74"/>
      <c r="BO923" s="74"/>
      <c r="BW923" s="74"/>
      <c r="DF923" s="21"/>
      <c r="DG923" s="21"/>
      <c r="DH923" s="21"/>
      <c r="DI923" s="21"/>
    </row>
    <row r="924" spans="2:113" s="123" customFormat="1">
      <c r="B924" s="125"/>
      <c r="D924" s="125"/>
      <c r="AA924" s="74"/>
      <c r="AE924" s="124"/>
      <c r="AI924" s="74"/>
      <c r="AM924" s="74"/>
      <c r="AY924" s="74"/>
      <c r="BC924" s="74"/>
      <c r="BG924" s="74"/>
      <c r="BK924" s="74"/>
      <c r="BO924" s="74"/>
      <c r="BW924" s="74"/>
      <c r="DF924" s="21"/>
      <c r="DG924" s="21"/>
      <c r="DH924" s="21"/>
      <c r="DI924" s="21"/>
    </row>
    <row r="925" spans="2:113" s="123" customFormat="1">
      <c r="B925" s="125"/>
      <c r="D925" s="125"/>
      <c r="AA925" s="74"/>
      <c r="AE925" s="124"/>
      <c r="AI925" s="74"/>
      <c r="AM925" s="74"/>
      <c r="AY925" s="74"/>
      <c r="BC925" s="74"/>
      <c r="BG925" s="74"/>
      <c r="BK925" s="74"/>
      <c r="BO925" s="74"/>
      <c r="BW925" s="74"/>
      <c r="DF925" s="21"/>
      <c r="DG925" s="21"/>
      <c r="DH925" s="21"/>
      <c r="DI925" s="21"/>
    </row>
    <row r="926" spans="2:113" s="123" customFormat="1">
      <c r="B926" s="125"/>
      <c r="D926" s="125"/>
      <c r="AA926" s="74"/>
      <c r="AE926" s="124"/>
      <c r="AI926" s="74"/>
      <c r="AM926" s="74"/>
      <c r="AY926" s="74"/>
      <c r="BC926" s="74"/>
      <c r="BG926" s="74"/>
      <c r="BK926" s="74"/>
      <c r="BO926" s="74"/>
      <c r="BW926" s="74"/>
      <c r="DF926" s="21"/>
      <c r="DG926" s="21"/>
      <c r="DH926" s="21"/>
      <c r="DI926" s="21"/>
    </row>
    <row r="927" spans="2:113" s="123" customFormat="1">
      <c r="B927" s="125"/>
      <c r="D927" s="125"/>
      <c r="AA927" s="74"/>
      <c r="AE927" s="124"/>
      <c r="AI927" s="74"/>
      <c r="AM927" s="74"/>
      <c r="AY927" s="74"/>
      <c r="BC927" s="74"/>
      <c r="BG927" s="74"/>
      <c r="BK927" s="74"/>
      <c r="BO927" s="74"/>
      <c r="BW927" s="74"/>
      <c r="DF927" s="21"/>
      <c r="DG927" s="21"/>
      <c r="DH927" s="21"/>
      <c r="DI927" s="21"/>
    </row>
    <row r="928" spans="2:113" s="123" customFormat="1">
      <c r="B928" s="125"/>
      <c r="D928" s="125"/>
      <c r="AA928" s="74"/>
      <c r="AE928" s="124"/>
      <c r="AI928" s="74"/>
      <c r="AM928" s="74"/>
      <c r="AY928" s="74"/>
      <c r="BC928" s="74"/>
      <c r="BG928" s="74"/>
      <c r="BK928" s="74"/>
      <c r="BO928" s="74"/>
      <c r="BW928" s="74"/>
      <c r="DF928" s="21"/>
      <c r="DG928" s="21"/>
      <c r="DH928" s="21"/>
      <c r="DI928" s="21"/>
    </row>
    <row r="929" spans="2:113" s="123" customFormat="1">
      <c r="B929" s="125"/>
      <c r="D929" s="125"/>
      <c r="AA929" s="74"/>
      <c r="AE929" s="124"/>
      <c r="AI929" s="74"/>
      <c r="AM929" s="74"/>
      <c r="AY929" s="74"/>
      <c r="BC929" s="74"/>
      <c r="BG929" s="74"/>
      <c r="BK929" s="74"/>
      <c r="BO929" s="74"/>
      <c r="BW929" s="74"/>
      <c r="DF929" s="21"/>
      <c r="DG929" s="21"/>
      <c r="DH929" s="21"/>
      <c r="DI929" s="21"/>
    </row>
    <row r="930" spans="2:113" s="123" customFormat="1">
      <c r="B930" s="125"/>
      <c r="D930" s="125"/>
      <c r="AA930" s="74"/>
      <c r="AE930" s="124"/>
      <c r="AI930" s="74"/>
      <c r="AM930" s="74"/>
      <c r="AY930" s="74"/>
      <c r="BC930" s="74"/>
      <c r="BG930" s="74"/>
      <c r="BK930" s="74"/>
      <c r="BO930" s="74"/>
      <c r="BW930" s="74"/>
      <c r="DF930" s="21"/>
      <c r="DG930" s="21"/>
      <c r="DH930" s="21"/>
      <c r="DI930" s="21"/>
    </row>
    <row r="931" spans="2:113" s="123" customFormat="1">
      <c r="B931" s="125"/>
      <c r="D931" s="125"/>
      <c r="AA931" s="74"/>
      <c r="AE931" s="124"/>
      <c r="AI931" s="74"/>
      <c r="AM931" s="74"/>
      <c r="AY931" s="74"/>
      <c r="BC931" s="74"/>
      <c r="BG931" s="74"/>
      <c r="BK931" s="74"/>
      <c r="BO931" s="74"/>
      <c r="BW931" s="74"/>
      <c r="DF931" s="21"/>
      <c r="DG931" s="21"/>
      <c r="DH931" s="21"/>
      <c r="DI931" s="21"/>
    </row>
    <row r="932" spans="2:113" s="123" customFormat="1">
      <c r="B932" s="125"/>
      <c r="D932" s="125"/>
      <c r="AA932" s="74"/>
      <c r="AE932" s="124"/>
      <c r="AI932" s="74"/>
      <c r="AM932" s="74"/>
      <c r="AY932" s="74"/>
      <c r="BC932" s="74"/>
      <c r="BG932" s="74"/>
      <c r="BK932" s="74"/>
      <c r="BO932" s="74"/>
      <c r="BW932" s="74"/>
      <c r="DF932" s="21"/>
      <c r="DG932" s="21"/>
      <c r="DH932" s="21"/>
      <c r="DI932" s="21"/>
    </row>
    <row r="933" spans="2:113" s="123" customFormat="1">
      <c r="B933" s="125"/>
      <c r="D933" s="125"/>
      <c r="AA933" s="74"/>
      <c r="AE933" s="124"/>
      <c r="AI933" s="74"/>
      <c r="AM933" s="74"/>
      <c r="AY933" s="74"/>
      <c r="BC933" s="74"/>
      <c r="BG933" s="74"/>
      <c r="BK933" s="74"/>
      <c r="BO933" s="74"/>
      <c r="BW933" s="74"/>
      <c r="DF933" s="21"/>
      <c r="DG933" s="21"/>
      <c r="DH933" s="21"/>
      <c r="DI933" s="21"/>
    </row>
    <row r="934" spans="2:113" s="123" customFormat="1">
      <c r="B934" s="125"/>
      <c r="D934" s="125"/>
      <c r="AA934" s="74"/>
      <c r="AE934" s="124"/>
      <c r="AI934" s="74"/>
      <c r="AM934" s="74"/>
      <c r="AY934" s="74"/>
      <c r="BC934" s="74"/>
      <c r="BG934" s="74"/>
      <c r="BK934" s="74"/>
      <c r="BO934" s="74"/>
      <c r="BW934" s="74"/>
      <c r="DF934" s="21"/>
      <c r="DG934" s="21"/>
      <c r="DH934" s="21"/>
      <c r="DI934" s="21"/>
    </row>
    <row r="935" spans="2:113" s="123" customFormat="1">
      <c r="B935" s="125"/>
      <c r="D935" s="125"/>
      <c r="AA935" s="74"/>
      <c r="AE935" s="124"/>
      <c r="AI935" s="74"/>
      <c r="AM935" s="74"/>
      <c r="AY935" s="74"/>
      <c r="BC935" s="74"/>
      <c r="BG935" s="74"/>
      <c r="BK935" s="74"/>
      <c r="BO935" s="74"/>
      <c r="BW935" s="74"/>
      <c r="DF935" s="21"/>
      <c r="DG935" s="21"/>
      <c r="DH935" s="21"/>
      <c r="DI935" s="21"/>
    </row>
    <row r="936" spans="2:113" s="123" customFormat="1">
      <c r="B936" s="125"/>
      <c r="D936" s="125"/>
      <c r="AA936" s="74"/>
      <c r="AE936" s="124"/>
      <c r="AI936" s="74"/>
      <c r="AM936" s="74"/>
      <c r="AY936" s="74"/>
      <c r="BC936" s="74"/>
      <c r="BG936" s="74"/>
      <c r="BK936" s="74"/>
      <c r="BO936" s="74"/>
      <c r="BW936" s="74"/>
      <c r="DF936" s="21"/>
      <c r="DG936" s="21"/>
      <c r="DH936" s="21"/>
      <c r="DI936" s="21"/>
    </row>
    <row r="937" spans="2:113" s="123" customFormat="1">
      <c r="B937" s="125"/>
      <c r="D937" s="125"/>
      <c r="AA937" s="74"/>
      <c r="AE937" s="124"/>
      <c r="AI937" s="74"/>
      <c r="AM937" s="74"/>
      <c r="AY937" s="74"/>
      <c r="BC937" s="74"/>
      <c r="BG937" s="74"/>
      <c r="BK937" s="74"/>
      <c r="BO937" s="74"/>
      <c r="BW937" s="74"/>
      <c r="DF937" s="21"/>
      <c r="DG937" s="21"/>
      <c r="DH937" s="21"/>
      <c r="DI937" s="21"/>
    </row>
    <row r="938" spans="2:113" s="123" customFormat="1">
      <c r="B938" s="125"/>
      <c r="D938" s="125"/>
      <c r="AA938" s="74"/>
      <c r="AE938" s="124"/>
      <c r="AI938" s="74"/>
      <c r="AM938" s="74"/>
      <c r="AY938" s="74"/>
      <c r="BC938" s="74"/>
      <c r="BG938" s="74"/>
      <c r="BK938" s="74"/>
      <c r="BO938" s="74"/>
      <c r="BW938" s="74"/>
      <c r="DF938" s="21"/>
      <c r="DG938" s="21"/>
      <c r="DH938" s="21"/>
      <c r="DI938" s="21"/>
    </row>
    <row r="939" spans="2:113" s="123" customFormat="1">
      <c r="B939" s="125"/>
      <c r="D939" s="125"/>
      <c r="AA939" s="74"/>
      <c r="AE939" s="124"/>
      <c r="AI939" s="74"/>
      <c r="AM939" s="74"/>
      <c r="AY939" s="74"/>
      <c r="BC939" s="74"/>
      <c r="BG939" s="74"/>
      <c r="BK939" s="74"/>
      <c r="BO939" s="74"/>
      <c r="BW939" s="74"/>
      <c r="DF939" s="21"/>
      <c r="DG939" s="21"/>
      <c r="DH939" s="21"/>
      <c r="DI939" s="21"/>
    </row>
    <row r="940" spans="2:113" s="123" customFormat="1">
      <c r="B940" s="125"/>
      <c r="D940" s="125"/>
      <c r="AA940" s="74"/>
      <c r="AE940" s="124"/>
      <c r="AI940" s="74"/>
      <c r="AM940" s="74"/>
      <c r="AY940" s="74"/>
      <c r="BC940" s="74"/>
      <c r="BG940" s="74"/>
      <c r="BK940" s="74"/>
      <c r="BO940" s="74"/>
      <c r="BW940" s="74"/>
      <c r="DF940" s="21"/>
      <c r="DG940" s="21"/>
      <c r="DH940" s="21"/>
      <c r="DI940" s="21"/>
    </row>
    <row r="941" spans="2:113" s="123" customFormat="1">
      <c r="B941" s="125"/>
      <c r="D941" s="125"/>
      <c r="AA941" s="74"/>
      <c r="AE941" s="124"/>
      <c r="AI941" s="74"/>
      <c r="AM941" s="74"/>
      <c r="AY941" s="74"/>
      <c r="BC941" s="74"/>
      <c r="BG941" s="74"/>
      <c r="BK941" s="74"/>
      <c r="BO941" s="74"/>
      <c r="BW941" s="74"/>
      <c r="DF941" s="21"/>
      <c r="DG941" s="21"/>
      <c r="DH941" s="21"/>
      <c r="DI941" s="21"/>
    </row>
    <row r="942" spans="2:113" s="123" customFormat="1">
      <c r="B942" s="125"/>
      <c r="D942" s="125"/>
      <c r="AA942" s="74"/>
      <c r="AE942" s="124"/>
      <c r="AI942" s="74"/>
      <c r="AM942" s="74"/>
      <c r="AY942" s="74"/>
      <c r="BC942" s="74"/>
      <c r="BG942" s="74"/>
      <c r="BK942" s="74"/>
      <c r="BO942" s="74"/>
      <c r="BW942" s="74"/>
      <c r="DF942" s="21"/>
      <c r="DG942" s="21"/>
      <c r="DH942" s="21"/>
      <c r="DI942" s="21"/>
    </row>
    <row r="943" spans="2:113" s="123" customFormat="1">
      <c r="B943" s="125"/>
      <c r="D943" s="125"/>
      <c r="AA943" s="74"/>
      <c r="AE943" s="124"/>
      <c r="AI943" s="74"/>
      <c r="AM943" s="74"/>
      <c r="AY943" s="74"/>
      <c r="BC943" s="74"/>
      <c r="BG943" s="74"/>
      <c r="BK943" s="74"/>
      <c r="BO943" s="74"/>
      <c r="BW943" s="74"/>
      <c r="DF943" s="21"/>
      <c r="DG943" s="21"/>
      <c r="DH943" s="21"/>
      <c r="DI943" s="21"/>
    </row>
    <row r="944" spans="2:113" s="123" customFormat="1">
      <c r="B944" s="125"/>
      <c r="D944" s="125"/>
      <c r="AA944" s="74"/>
      <c r="AE944" s="124"/>
      <c r="AI944" s="74"/>
      <c r="AM944" s="74"/>
      <c r="AY944" s="74"/>
      <c r="BC944" s="74"/>
      <c r="BG944" s="74"/>
      <c r="BK944" s="74"/>
      <c r="BO944" s="74"/>
      <c r="BW944" s="74"/>
      <c r="DF944" s="21"/>
      <c r="DG944" s="21"/>
      <c r="DH944" s="21"/>
      <c r="DI944" s="21"/>
    </row>
    <row r="945" spans="2:113" s="123" customFormat="1">
      <c r="B945" s="125"/>
      <c r="D945" s="125"/>
      <c r="AA945" s="74"/>
      <c r="AE945" s="124"/>
      <c r="AI945" s="74"/>
      <c r="AM945" s="74"/>
      <c r="AY945" s="74"/>
      <c r="BC945" s="74"/>
      <c r="BG945" s="74"/>
      <c r="BK945" s="74"/>
      <c r="BO945" s="74"/>
      <c r="BW945" s="74"/>
      <c r="DF945" s="21"/>
      <c r="DG945" s="21"/>
      <c r="DH945" s="21"/>
      <c r="DI945" s="21"/>
    </row>
    <row r="946" spans="2:113" s="123" customFormat="1">
      <c r="B946" s="125"/>
      <c r="D946" s="125"/>
      <c r="AA946" s="74"/>
      <c r="AE946" s="124"/>
      <c r="AI946" s="74"/>
      <c r="AM946" s="74"/>
      <c r="AY946" s="74"/>
      <c r="BC946" s="74"/>
      <c r="BG946" s="74"/>
      <c r="BK946" s="74"/>
      <c r="BO946" s="74"/>
      <c r="BW946" s="74"/>
      <c r="DF946" s="21"/>
      <c r="DG946" s="21"/>
      <c r="DH946" s="21"/>
      <c r="DI946" s="21"/>
    </row>
    <row r="947" spans="2:113" s="123" customFormat="1">
      <c r="B947" s="125"/>
      <c r="D947" s="125"/>
      <c r="AA947" s="74"/>
      <c r="AE947" s="124"/>
      <c r="AI947" s="74"/>
      <c r="AM947" s="74"/>
      <c r="AY947" s="74"/>
      <c r="BC947" s="74"/>
      <c r="BG947" s="74"/>
      <c r="BK947" s="74"/>
      <c r="BO947" s="74"/>
      <c r="BW947" s="74"/>
      <c r="DF947" s="21"/>
      <c r="DG947" s="21"/>
      <c r="DH947" s="21"/>
      <c r="DI947" s="21"/>
    </row>
    <row r="948" spans="2:113" s="123" customFormat="1">
      <c r="B948" s="125"/>
      <c r="D948" s="125"/>
      <c r="AA948" s="74"/>
      <c r="AE948" s="124"/>
      <c r="AI948" s="74"/>
      <c r="AM948" s="74"/>
      <c r="AY948" s="74"/>
      <c r="BC948" s="74"/>
      <c r="BG948" s="74"/>
      <c r="BK948" s="74"/>
      <c r="BO948" s="74"/>
      <c r="BW948" s="74"/>
      <c r="DF948" s="21"/>
      <c r="DG948" s="21"/>
      <c r="DH948" s="21"/>
      <c r="DI948" s="21"/>
    </row>
    <row r="949" spans="2:113" s="123" customFormat="1">
      <c r="B949" s="125"/>
      <c r="D949" s="125"/>
      <c r="AA949" s="74"/>
      <c r="AE949" s="124"/>
      <c r="AI949" s="74"/>
      <c r="AM949" s="74"/>
      <c r="AY949" s="74"/>
      <c r="BC949" s="74"/>
      <c r="BG949" s="74"/>
      <c r="BK949" s="74"/>
      <c r="BO949" s="74"/>
      <c r="BW949" s="74"/>
      <c r="DF949" s="21"/>
      <c r="DG949" s="21"/>
      <c r="DH949" s="21"/>
      <c r="DI949" s="21"/>
    </row>
    <row r="950" spans="2:113" s="123" customFormat="1">
      <c r="B950" s="125"/>
      <c r="D950" s="125"/>
      <c r="AA950" s="74"/>
      <c r="AE950" s="124"/>
      <c r="AI950" s="74"/>
      <c r="AM950" s="74"/>
      <c r="AY950" s="74"/>
      <c r="BC950" s="74"/>
      <c r="BG950" s="74"/>
      <c r="BK950" s="74"/>
      <c r="BO950" s="74"/>
      <c r="BW950" s="74"/>
      <c r="DF950" s="21"/>
      <c r="DG950" s="21"/>
      <c r="DH950" s="21"/>
      <c r="DI950" s="21"/>
    </row>
    <row r="951" spans="2:113" s="123" customFormat="1">
      <c r="B951" s="125"/>
      <c r="D951" s="125"/>
      <c r="AA951" s="74"/>
      <c r="AE951" s="124"/>
      <c r="AI951" s="74"/>
      <c r="AM951" s="74"/>
      <c r="AY951" s="74"/>
      <c r="BC951" s="74"/>
      <c r="BG951" s="74"/>
      <c r="BK951" s="74"/>
      <c r="BO951" s="74"/>
      <c r="BW951" s="74"/>
      <c r="DF951" s="21"/>
      <c r="DG951" s="21"/>
      <c r="DH951" s="21"/>
      <c r="DI951" s="21"/>
    </row>
    <row r="952" spans="2:113" s="123" customFormat="1">
      <c r="B952" s="125"/>
      <c r="D952" s="125"/>
      <c r="AA952" s="74"/>
      <c r="AE952" s="124"/>
      <c r="AI952" s="74"/>
      <c r="AM952" s="74"/>
      <c r="AY952" s="74"/>
      <c r="BC952" s="74"/>
      <c r="BG952" s="74"/>
      <c r="BK952" s="74"/>
      <c r="BO952" s="74"/>
      <c r="BW952" s="74"/>
      <c r="DF952" s="21"/>
      <c r="DG952" s="21"/>
      <c r="DH952" s="21"/>
      <c r="DI952" s="21"/>
    </row>
    <row r="953" spans="2:113" s="123" customFormat="1">
      <c r="B953" s="125"/>
      <c r="D953" s="125"/>
      <c r="AA953" s="74"/>
      <c r="AE953" s="124"/>
      <c r="AI953" s="74"/>
      <c r="AM953" s="74"/>
      <c r="AY953" s="74"/>
      <c r="BC953" s="74"/>
      <c r="BG953" s="74"/>
      <c r="BK953" s="74"/>
      <c r="BO953" s="74"/>
      <c r="BW953" s="74"/>
      <c r="DF953" s="21"/>
      <c r="DG953" s="21"/>
      <c r="DH953" s="21"/>
      <c r="DI953" s="21"/>
    </row>
    <row r="954" spans="2:113" s="123" customFormat="1">
      <c r="B954" s="125"/>
      <c r="D954" s="125"/>
      <c r="AA954" s="74"/>
      <c r="AE954" s="124"/>
      <c r="AI954" s="74"/>
      <c r="AM954" s="74"/>
      <c r="AY954" s="74"/>
      <c r="BC954" s="74"/>
      <c r="BG954" s="74"/>
      <c r="BK954" s="74"/>
      <c r="BO954" s="74"/>
      <c r="BW954" s="74"/>
      <c r="DF954" s="21"/>
      <c r="DG954" s="21"/>
      <c r="DH954" s="21"/>
      <c r="DI954" s="21"/>
    </row>
    <row r="955" spans="2:113" s="123" customFormat="1">
      <c r="B955" s="125"/>
      <c r="D955" s="125"/>
      <c r="AA955" s="74"/>
      <c r="AE955" s="124"/>
      <c r="AI955" s="74"/>
      <c r="AM955" s="74"/>
      <c r="AY955" s="74"/>
      <c r="BC955" s="74"/>
      <c r="BG955" s="74"/>
      <c r="BK955" s="74"/>
      <c r="BO955" s="74"/>
      <c r="BW955" s="74"/>
      <c r="DF955" s="21"/>
      <c r="DG955" s="21"/>
      <c r="DH955" s="21"/>
      <c r="DI955" s="21"/>
    </row>
    <row r="956" spans="2:113" s="123" customFormat="1">
      <c r="B956" s="125"/>
      <c r="D956" s="125"/>
      <c r="AA956" s="74"/>
      <c r="AE956" s="124"/>
      <c r="AI956" s="74"/>
      <c r="AM956" s="74"/>
      <c r="AY956" s="74"/>
      <c r="BC956" s="74"/>
      <c r="BG956" s="74"/>
      <c r="BK956" s="74"/>
      <c r="BO956" s="74"/>
      <c r="BW956" s="74"/>
      <c r="DF956" s="21"/>
      <c r="DG956" s="21"/>
      <c r="DH956" s="21"/>
      <c r="DI956" s="21"/>
    </row>
    <row r="957" spans="2:113" s="123" customFormat="1">
      <c r="B957" s="125"/>
      <c r="D957" s="125"/>
      <c r="AA957" s="74"/>
      <c r="AE957" s="124"/>
      <c r="AI957" s="74"/>
      <c r="AM957" s="74"/>
      <c r="AY957" s="74"/>
      <c r="BC957" s="74"/>
      <c r="BG957" s="74"/>
      <c r="BK957" s="74"/>
      <c r="BO957" s="74"/>
      <c r="BW957" s="74"/>
      <c r="DF957" s="21"/>
      <c r="DG957" s="21"/>
      <c r="DH957" s="21"/>
      <c r="DI957" s="21"/>
    </row>
    <row r="958" spans="2:113" s="123" customFormat="1">
      <c r="B958" s="125"/>
      <c r="D958" s="125"/>
      <c r="AA958" s="74"/>
      <c r="AE958" s="124"/>
      <c r="AI958" s="74"/>
      <c r="AM958" s="74"/>
      <c r="AY958" s="74"/>
      <c r="BC958" s="74"/>
      <c r="BG958" s="74"/>
      <c r="BK958" s="74"/>
      <c r="BO958" s="74"/>
      <c r="BW958" s="74"/>
      <c r="DF958" s="21"/>
      <c r="DG958" s="21"/>
      <c r="DH958" s="21"/>
      <c r="DI958" s="21"/>
    </row>
    <row r="959" spans="2:113" s="123" customFormat="1">
      <c r="B959" s="125"/>
      <c r="D959" s="125"/>
      <c r="AA959" s="74"/>
      <c r="AE959" s="124"/>
      <c r="AI959" s="74"/>
      <c r="AM959" s="74"/>
      <c r="AY959" s="74"/>
      <c r="BC959" s="74"/>
      <c r="BG959" s="74"/>
      <c r="BK959" s="74"/>
      <c r="BO959" s="74"/>
      <c r="BW959" s="74"/>
      <c r="DF959" s="21"/>
      <c r="DG959" s="21"/>
      <c r="DH959" s="21"/>
      <c r="DI959" s="21"/>
    </row>
    <row r="960" spans="2:113" s="123" customFormat="1">
      <c r="B960" s="125"/>
      <c r="D960" s="125"/>
      <c r="AA960" s="74"/>
      <c r="AE960" s="124"/>
      <c r="AI960" s="74"/>
      <c r="AM960" s="74"/>
      <c r="AY960" s="74"/>
      <c r="BC960" s="74"/>
      <c r="BG960" s="74"/>
      <c r="BK960" s="74"/>
      <c r="BO960" s="74"/>
      <c r="BW960" s="74"/>
      <c r="DF960" s="21"/>
      <c r="DG960" s="21"/>
      <c r="DH960" s="21"/>
      <c r="DI960" s="21"/>
    </row>
    <row r="961" spans="2:113" s="123" customFormat="1">
      <c r="B961" s="125"/>
      <c r="D961" s="125"/>
      <c r="AA961" s="74"/>
      <c r="AE961" s="124"/>
      <c r="AI961" s="74"/>
      <c r="AM961" s="74"/>
      <c r="AY961" s="74"/>
      <c r="BC961" s="74"/>
      <c r="BG961" s="74"/>
      <c r="BK961" s="74"/>
      <c r="BO961" s="74"/>
      <c r="BW961" s="74"/>
      <c r="DF961" s="21"/>
      <c r="DG961" s="21"/>
      <c r="DH961" s="21"/>
      <c r="DI961" s="21"/>
    </row>
    <row r="962" spans="2:113" s="123" customFormat="1">
      <c r="B962" s="125"/>
      <c r="D962" s="125"/>
      <c r="AA962" s="74"/>
      <c r="AE962" s="124"/>
      <c r="AI962" s="74"/>
      <c r="AM962" s="74"/>
      <c r="AY962" s="74"/>
      <c r="BC962" s="74"/>
      <c r="BG962" s="74"/>
      <c r="BK962" s="74"/>
      <c r="BO962" s="74"/>
      <c r="BW962" s="74"/>
      <c r="DF962" s="21"/>
      <c r="DG962" s="21"/>
      <c r="DH962" s="21"/>
      <c r="DI962" s="21"/>
    </row>
    <row r="963" spans="2:113" s="123" customFormat="1">
      <c r="B963" s="125"/>
      <c r="D963" s="125"/>
      <c r="AA963" s="74"/>
      <c r="AE963" s="124"/>
      <c r="AI963" s="74"/>
      <c r="AM963" s="74"/>
      <c r="AY963" s="74"/>
      <c r="BC963" s="74"/>
      <c r="BG963" s="74"/>
      <c r="BK963" s="74"/>
      <c r="BO963" s="74"/>
      <c r="BW963" s="74"/>
      <c r="DF963" s="21"/>
      <c r="DG963" s="21"/>
      <c r="DH963" s="21"/>
      <c r="DI963" s="21"/>
    </row>
    <row r="964" spans="2:113" s="123" customFormat="1">
      <c r="B964" s="125"/>
      <c r="D964" s="125"/>
      <c r="AA964" s="74"/>
      <c r="AE964" s="124"/>
      <c r="AI964" s="74"/>
      <c r="AM964" s="74"/>
      <c r="AY964" s="74"/>
      <c r="BC964" s="74"/>
      <c r="BG964" s="74"/>
      <c r="BK964" s="74"/>
      <c r="BO964" s="74"/>
      <c r="BW964" s="74"/>
      <c r="DF964" s="21"/>
      <c r="DG964" s="21"/>
      <c r="DH964" s="21"/>
      <c r="DI964" s="21"/>
    </row>
    <row r="965" spans="2:113" s="123" customFormat="1">
      <c r="B965" s="125"/>
      <c r="D965" s="125"/>
      <c r="AA965" s="74"/>
      <c r="AE965" s="124"/>
      <c r="AI965" s="74"/>
      <c r="AM965" s="74"/>
      <c r="AY965" s="74"/>
      <c r="BC965" s="74"/>
      <c r="BG965" s="74"/>
      <c r="BK965" s="74"/>
      <c r="BO965" s="74"/>
      <c r="BW965" s="74"/>
      <c r="DF965" s="21"/>
      <c r="DG965" s="21"/>
      <c r="DH965" s="21"/>
      <c r="DI965" s="21"/>
    </row>
    <row r="966" spans="2:113" s="123" customFormat="1">
      <c r="B966" s="125"/>
      <c r="D966" s="125"/>
      <c r="AA966" s="74"/>
      <c r="AE966" s="124"/>
      <c r="AI966" s="74"/>
      <c r="AM966" s="74"/>
      <c r="AY966" s="74"/>
      <c r="BC966" s="74"/>
      <c r="BG966" s="74"/>
      <c r="BK966" s="74"/>
      <c r="BO966" s="74"/>
      <c r="BW966" s="74"/>
      <c r="DF966" s="21"/>
      <c r="DG966" s="21"/>
      <c r="DH966" s="21"/>
      <c r="DI966" s="21"/>
    </row>
    <row r="967" spans="2:113" s="123" customFormat="1">
      <c r="B967" s="125"/>
      <c r="D967" s="125"/>
      <c r="AA967" s="74"/>
      <c r="AE967" s="124"/>
      <c r="AI967" s="74"/>
      <c r="AM967" s="74"/>
      <c r="AY967" s="74"/>
      <c r="BC967" s="74"/>
      <c r="BG967" s="74"/>
      <c r="BK967" s="74"/>
      <c r="BO967" s="74"/>
      <c r="BW967" s="74"/>
      <c r="DF967" s="21"/>
      <c r="DG967" s="21"/>
      <c r="DH967" s="21"/>
      <c r="DI967" s="21"/>
    </row>
    <row r="968" spans="2:113" s="123" customFormat="1">
      <c r="B968" s="125"/>
      <c r="D968" s="125"/>
      <c r="AA968" s="74"/>
      <c r="AE968" s="124"/>
      <c r="AI968" s="74"/>
      <c r="AM968" s="74"/>
      <c r="AY968" s="74"/>
      <c r="BC968" s="74"/>
      <c r="BG968" s="74"/>
      <c r="BK968" s="74"/>
      <c r="BO968" s="74"/>
      <c r="BW968" s="74"/>
      <c r="DF968" s="21"/>
      <c r="DG968" s="21"/>
      <c r="DH968" s="21"/>
      <c r="DI968" s="21"/>
    </row>
    <row r="969" spans="2:113" s="123" customFormat="1">
      <c r="B969" s="125"/>
      <c r="D969" s="125"/>
      <c r="AA969" s="74"/>
      <c r="AE969" s="124"/>
      <c r="AI969" s="74"/>
      <c r="AM969" s="74"/>
      <c r="AY969" s="74"/>
      <c r="BC969" s="74"/>
      <c r="BG969" s="74"/>
      <c r="BK969" s="74"/>
      <c r="BO969" s="74"/>
      <c r="BW969" s="74"/>
      <c r="DF969" s="21"/>
      <c r="DG969" s="21"/>
      <c r="DH969" s="21"/>
      <c r="DI969" s="21"/>
    </row>
    <row r="970" spans="2:113" s="123" customFormat="1">
      <c r="B970" s="125"/>
      <c r="D970" s="125"/>
      <c r="AA970" s="74"/>
      <c r="AE970" s="124"/>
      <c r="AI970" s="74"/>
      <c r="AM970" s="74"/>
      <c r="AY970" s="74"/>
      <c r="BC970" s="74"/>
      <c r="BG970" s="74"/>
      <c r="BK970" s="74"/>
      <c r="BO970" s="74"/>
      <c r="BW970" s="74"/>
      <c r="DF970" s="21"/>
      <c r="DG970" s="21"/>
      <c r="DH970" s="21"/>
      <c r="DI970" s="21"/>
    </row>
    <row r="971" spans="2:113" s="123" customFormat="1">
      <c r="B971" s="125"/>
      <c r="D971" s="125"/>
      <c r="AA971" s="74"/>
      <c r="AE971" s="124"/>
      <c r="AI971" s="74"/>
      <c r="AM971" s="74"/>
      <c r="AY971" s="74"/>
      <c r="BC971" s="74"/>
      <c r="BG971" s="74"/>
      <c r="BK971" s="74"/>
      <c r="BO971" s="74"/>
      <c r="BW971" s="74"/>
      <c r="DF971" s="21"/>
      <c r="DG971" s="21"/>
      <c r="DH971" s="21"/>
      <c r="DI971" s="21"/>
    </row>
    <row r="972" spans="2:113" s="123" customFormat="1">
      <c r="B972" s="125"/>
      <c r="D972" s="125"/>
      <c r="AA972" s="74"/>
      <c r="AE972" s="124"/>
      <c r="AI972" s="74"/>
      <c r="AM972" s="74"/>
      <c r="AY972" s="74"/>
      <c r="BC972" s="74"/>
      <c r="BG972" s="74"/>
      <c r="BK972" s="74"/>
      <c r="BO972" s="74"/>
      <c r="BW972" s="74"/>
      <c r="DF972" s="21"/>
      <c r="DG972" s="21"/>
      <c r="DH972" s="21"/>
      <c r="DI972" s="21"/>
    </row>
    <row r="973" spans="2:113" s="123" customFormat="1">
      <c r="B973" s="125"/>
      <c r="D973" s="125"/>
      <c r="AA973" s="74"/>
      <c r="AE973" s="124"/>
      <c r="AI973" s="74"/>
      <c r="AM973" s="74"/>
      <c r="AY973" s="74"/>
      <c r="BC973" s="74"/>
      <c r="BG973" s="74"/>
      <c r="BK973" s="74"/>
      <c r="BO973" s="74"/>
      <c r="BW973" s="74"/>
      <c r="DF973" s="21"/>
      <c r="DG973" s="21"/>
      <c r="DH973" s="21"/>
      <c r="DI973" s="21"/>
    </row>
    <row r="974" spans="2:113" s="123" customFormat="1">
      <c r="B974" s="125"/>
      <c r="D974" s="125"/>
      <c r="AA974" s="74"/>
      <c r="AE974" s="124"/>
      <c r="AI974" s="74"/>
      <c r="AM974" s="74"/>
      <c r="AY974" s="74"/>
      <c r="BC974" s="74"/>
      <c r="BG974" s="74"/>
      <c r="BK974" s="74"/>
      <c r="BO974" s="74"/>
      <c r="BW974" s="74"/>
      <c r="DF974" s="21"/>
      <c r="DG974" s="21"/>
      <c r="DH974" s="21"/>
      <c r="DI974" s="21"/>
    </row>
    <row r="975" spans="2:113" s="123" customFormat="1">
      <c r="B975" s="125"/>
      <c r="D975" s="125"/>
      <c r="AA975" s="74"/>
      <c r="AE975" s="124"/>
      <c r="AI975" s="74"/>
      <c r="AM975" s="74"/>
      <c r="AY975" s="74"/>
      <c r="BC975" s="74"/>
      <c r="BG975" s="74"/>
      <c r="BK975" s="74"/>
      <c r="BO975" s="74"/>
      <c r="BW975" s="74"/>
      <c r="DF975" s="21"/>
      <c r="DG975" s="21"/>
      <c r="DH975" s="21"/>
      <c r="DI975" s="21"/>
    </row>
    <row r="976" spans="2:113" s="123" customFormat="1">
      <c r="B976" s="125"/>
      <c r="D976" s="125"/>
      <c r="AA976" s="74"/>
      <c r="AE976" s="124"/>
      <c r="AI976" s="74"/>
      <c r="AM976" s="74"/>
      <c r="AY976" s="74"/>
      <c r="BC976" s="74"/>
      <c r="BG976" s="74"/>
      <c r="BK976" s="74"/>
      <c r="BO976" s="74"/>
      <c r="BW976" s="74"/>
      <c r="DF976" s="21"/>
      <c r="DG976" s="21"/>
      <c r="DH976" s="21"/>
      <c r="DI976" s="21"/>
    </row>
    <row r="977" spans="2:113" s="123" customFormat="1">
      <c r="B977" s="125"/>
      <c r="D977" s="125"/>
      <c r="AA977" s="74"/>
      <c r="AE977" s="124"/>
      <c r="AI977" s="74"/>
      <c r="AM977" s="74"/>
      <c r="AY977" s="74"/>
      <c r="BC977" s="74"/>
      <c r="BG977" s="74"/>
      <c r="BK977" s="74"/>
      <c r="BO977" s="74"/>
      <c r="BW977" s="74"/>
      <c r="DF977" s="21"/>
      <c r="DG977" s="21"/>
      <c r="DH977" s="21"/>
      <c r="DI977" s="21"/>
    </row>
    <row r="978" spans="2:113" s="123" customFormat="1">
      <c r="B978" s="125"/>
      <c r="D978" s="125"/>
      <c r="AA978" s="74"/>
      <c r="AE978" s="124"/>
      <c r="AI978" s="74"/>
      <c r="AM978" s="74"/>
      <c r="AY978" s="74"/>
      <c r="BC978" s="74"/>
      <c r="BG978" s="74"/>
      <c r="BK978" s="74"/>
      <c r="BO978" s="74"/>
      <c r="BW978" s="74"/>
      <c r="DF978" s="21"/>
      <c r="DG978" s="21"/>
      <c r="DH978" s="21"/>
      <c r="DI978" s="21"/>
    </row>
    <row r="979" spans="2:113" s="123" customFormat="1">
      <c r="B979" s="125"/>
      <c r="D979" s="125"/>
      <c r="AA979" s="74"/>
      <c r="AE979" s="124"/>
      <c r="AI979" s="74"/>
      <c r="AM979" s="74"/>
      <c r="AY979" s="74"/>
      <c r="BC979" s="74"/>
      <c r="BG979" s="74"/>
      <c r="BK979" s="74"/>
      <c r="BO979" s="74"/>
      <c r="BW979" s="74"/>
      <c r="DF979" s="21"/>
      <c r="DG979" s="21"/>
      <c r="DH979" s="21"/>
      <c r="DI979" s="21"/>
    </row>
    <row r="980" spans="2:113" s="123" customFormat="1">
      <c r="B980" s="125"/>
      <c r="D980" s="125"/>
      <c r="AA980" s="74"/>
      <c r="AE980" s="124"/>
      <c r="AI980" s="74"/>
      <c r="AM980" s="74"/>
      <c r="AY980" s="74"/>
      <c r="BC980" s="74"/>
      <c r="BG980" s="74"/>
      <c r="BK980" s="74"/>
      <c r="BO980" s="74"/>
      <c r="BW980" s="74"/>
      <c r="DF980" s="21"/>
      <c r="DG980" s="21"/>
      <c r="DH980" s="21"/>
      <c r="DI980" s="21"/>
    </row>
    <row r="981" spans="2:113" s="123" customFormat="1">
      <c r="B981" s="125"/>
      <c r="D981" s="125"/>
      <c r="AA981" s="74"/>
      <c r="AE981" s="124"/>
      <c r="AI981" s="74"/>
      <c r="AM981" s="74"/>
      <c r="AY981" s="74"/>
      <c r="BC981" s="74"/>
      <c r="BG981" s="74"/>
      <c r="BK981" s="74"/>
      <c r="BO981" s="74"/>
      <c r="BW981" s="74"/>
      <c r="DF981" s="21"/>
      <c r="DG981" s="21"/>
      <c r="DH981" s="21"/>
      <c r="DI981" s="21"/>
    </row>
    <row r="982" spans="2:113" s="123" customFormat="1">
      <c r="B982" s="125"/>
      <c r="D982" s="125"/>
      <c r="AA982" s="74"/>
      <c r="AE982" s="124"/>
      <c r="AI982" s="74"/>
      <c r="AM982" s="74"/>
      <c r="AY982" s="74"/>
      <c r="BC982" s="74"/>
      <c r="BG982" s="74"/>
      <c r="BK982" s="74"/>
      <c r="BO982" s="74"/>
      <c r="BW982" s="74"/>
      <c r="DF982" s="21"/>
      <c r="DG982" s="21"/>
      <c r="DH982" s="21"/>
      <c r="DI982" s="21"/>
    </row>
    <row r="983" spans="2:113" s="123" customFormat="1">
      <c r="B983" s="125"/>
      <c r="D983" s="125"/>
      <c r="AA983" s="74"/>
      <c r="AE983" s="124"/>
      <c r="AI983" s="74"/>
      <c r="AM983" s="74"/>
      <c r="AY983" s="74"/>
      <c r="BC983" s="74"/>
      <c r="BG983" s="74"/>
      <c r="BK983" s="74"/>
      <c r="BO983" s="74"/>
      <c r="BW983" s="74"/>
      <c r="DF983" s="21"/>
      <c r="DG983" s="21"/>
      <c r="DH983" s="21"/>
      <c r="DI983" s="21"/>
    </row>
    <row r="984" spans="2:113" s="123" customFormat="1">
      <c r="B984" s="125"/>
      <c r="D984" s="125"/>
      <c r="AA984" s="74"/>
      <c r="AE984" s="124"/>
      <c r="AI984" s="74"/>
      <c r="AM984" s="74"/>
      <c r="AY984" s="74"/>
      <c r="BC984" s="74"/>
      <c r="BG984" s="74"/>
      <c r="BK984" s="74"/>
      <c r="BO984" s="74"/>
      <c r="BW984" s="74"/>
      <c r="DF984" s="21"/>
      <c r="DG984" s="21"/>
      <c r="DH984" s="21"/>
      <c r="DI984" s="21"/>
    </row>
    <row r="985" spans="2:113" s="123" customFormat="1">
      <c r="B985" s="125"/>
      <c r="D985" s="125"/>
      <c r="AA985" s="74"/>
      <c r="AE985" s="124"/>
      <c r="AI985" s="74"/>
      <c r="AM985" s="74"/>
      <c r="AY985" s="74"/>
      <c r="BC985" s="74"/>
      <c r="BG985" s="74"/>
      <c r="BK985" s="74"/>
      <c r="BO985" s="74"/>
      <c r="BW985" s="74"/>
      <c r="DF985" s="21"/>
      <c r="DG985" s="21"/>
      <c r="DH985" s="21"/>
      <c r="DI985" s="21"/>
    </row>
    <row r="986" spans="2:113" s="123" customFormat="1">
      <c r="B986" s="125"/>
      <c r="D986" s="125"/>
      <c r="AA986" s="74"/>
      <c r="AE986" s="124"/>
      <c r="AI986" s="74"/>
      <c r="AM986" s="74"/>
      <c r="AY986" s="74"/>
      <c r="BC986" s="74"/>
      <c r="BG986" s="74"/>
      <c r="BK986" s="74"/>
      <c r="BO986" s="74"/>
      <c r="BW986" s="74"/>
      <c r="DF986" s="21"/>
      <c r="DG986" s="21"/>
      <c r="DH986" s="21"/>
      <c r="DI986" s="21"/>
    </row>
    <row r="987" spans="2:113" s="123" customFormat="1">
      <c r="B987" s="125"/>
      <c r="D987" s="125"/>
      <c r="AA987" s="74"/>
      <c r="AE987" s="124"/>
      <c r="AI987" s="74"/>
      <c r="AM987" s="74"/>
      <c r="AY987" s="74"/>
      <c r="BC987" s="74"/>
      <c r="BG987" s="74"/>
      <c r="BK987" s="74"/>
      <c r="BO987" s="74"/>
      <c r="BW987" s="74"/>
      <c r="DF987" s="21"/>
      <c r="DG987" s="21"/>
      <c r="DH987" s="21"/>
      <c r="DI987" s="21"/>
    </row>
    <row r="988" spans="2:113" s="123" customFormat="1">
      <c r="B988" s="125"/>
      <c r="D988" s="125"/>
      <c r="AA988" s="74"/>
      <c r="AE988" s="124"/>
      <c r="AI988" s="74"/>
      <c r="AM988" s="74"/>
      <c r="AY988" s="74"/>
      <c r="BC988" s="74"/>
      <c r="BG988" s="74"/>
      <c r="BK988" s="74"/>
      <c r="BO988" s="74"/>
      <c r="BW988" s="74"/>
      <c r="DF988" s="21"/>
      <c r="DG988" s="21"/>
      <c r="DH988" s="21"/>
      <c r="DI988" s="21"/>
    </row>
    <row r="989" spans="2:113" s="123" customFormat="1">
      <c r="B989" s="125"/>
      <c r="D989" s="125"/>
      <c r="AA989" s="74"/>
      <c r="AE989" s="124"/>
      <c r="AI989" s="74"/>
      <c r="AM989" s="74"/>
      <c r="AY989" s="74"/>
      <c r="BC989" s="74"/>
      <c r="BG989" s="74"/>
      <c r="BK989" s="74"/>
      <c r="BO989" s="74"/>
      <c r="BW989" s="74"/>
      <c r="DF989" s="21"/>
      <c r="DG989" s="21"/>
      <c r="DH989" s="21"/>
      <c r="DI989" s="21"/>
    </row>
    <row r="990" spans="2:113" s="123" customFormat="1">
      <c r="B990" s="125"/>
      <c r="D990" s="125"/>
      <c r="AA990" s="74"/>
      <c r="AE990" s="124"/>
      <c r="AI990" s="74"/>
      <c r="AM990" s="74"/>
      <c r="AY990" s="74"/>
      <c r="BC990" s="74"/>
      <c r="BG990" s="74"/>
      <c r="BK990" s="74"/>
      <c r="BO990" s="74"/>
      <c r="BW990" s="74"/>
      <c r="DF990" s="21"/>
      <c r="DG990" s="21"/>
      <c r="DH990" s="21"/>
      <c r="DI990" s="21"/>
    </row>
    <row r="991" spans="2:113" s="123" customFormat="1">
      <c r="B991" s="125"/>
      <c r="D991" s="125"/>
      <c r="AA991" s="74"/>
      <c r="AE991" s="124"/>
      <c r="AI991" s="74"/>
      <c r="AM991" s="74"/>
      <c r="AY991" s="74"/>
      <c r="BC991" s="74"/>
      <c r="BG991" s="74"/>
      <c r="BK991" s="74"/>
      <c r="BO991" s="74"/>
      <c r="BW991" s="74"/>
      <c r="DF991" s="21"/>
      <c r="DG991" s="21"/>
      <c r="DH991" s="21"/>
      <c r="DI991" s="21"/>
    </row>
    <row r="992" spans="2:113" s="123" customFormat="1">
      <c r="B992" s="125"/>
      <c r="D992" s="125"/>
      <c r="AA992" s="74"/>
      <c r="AE992" s="124"/>
      <c r="AI992" s="74"/>
      <c r="AM992" s="74"/>
      <c r="AY992" s="74"/>
      <c r="BC992" s="74"/>
      <c r="BG992" s="74"/>
      <c r="BK992" s="74"/>
      <c r="BO992" s="74"/>
      <c r="BW992" s="74"/>
      <c r="DF992" s="21"/>
      <c r="DG992" s="21"/>
      <c r="DH992" s="21"/>
      <c r="DI992" s="21"/>
    </row>
    <row r="993" spans="2:113" s="123" customFormat="1">
      <c r="B993" s="125"/>
      <c r="D993" s="125"/>
      <c r="AA993" s="74"/>
      <c r="AE993" s="124"/>
      <c r="AI993" s="74"/>
      <c r="AM993" s="74"/>
      <c r="AY993" s="74"/>
      <c r="BC993" s="74"/>
      <c r="BG993" s="74"/>
      <c r="BK993" s="74"/>
      <c r="BO993" s="74"/>
      <c r="BW993" s="74"/>
      <c r="DF993" s="21"/>
      <c r="DG993" s="21"/>
      <c r="DH993" s="21"/>
      <c r="DI993" s="21"/>
    </row>
    <row r="994" spans="2:113" s="123" customFormat="1">
      <c r="B994" s="125"/>
      <c r="D994" s="125"/>
      <c r="AA994" s="74"/>
      <c r="AE994" s="124"/>
      <c r="AI994" s="74"/>
      <c r="AM994" s="74"/>
      <c r="AY994" s="74"/>
      <c r="BC994" s="74"/>
      <c r="BG994" s="74"/>
      <c r="BK994" s="74"/>
      <c r="BO994" s="74"/>
      <c r="BW994" s="74"/>
      <c r="DF994" s="21"/>
      <c r="DG994" s="21"/>
      <c r="DH994" s="21"/>
      <c r="DI994" s="21"/>
    </row>
    <row r="995" spans="2:113" s="123" customFormat="1">
      <c r="B995" s="125"/>
      <c r="D995" s="125"/>
      <c r="AA995" s="74"/>
      <c r="AE995" s="124"/>
      <c r="AI995" s="74"/>
      <c r="AM995" s="74"/>
      <c r="AY995" s="74"/>
      <c r="BC995" s="74"/>
      <c r="BG995" s="74"/>
      <c r="BK995" s="74"/>
      <c r="BO995" s="74"/>
      <c r="BW995" s="74"/>
      <c r="DF995" s="21"/>
      <c r="DG995" s="21"/>
      <c r="DH995" s="21"/>
      <c r="DI995" s="21"/>
    </row>
    <row r="996" spans="2:113" s="123" customFormat="1">
      <c r="B996" s="125"/>
      <c r="D996" s="125"/>
      <c r="AA996" s="74"/>
      <c r="AE996" s="124"/>
      <c r="AI996" s="74"/>
      <c r="AM996" s="74"/>
      <c r="AY996" s="74"/>
      <c r="BC996" s="74"/>
      <c r="BG996" s="74"/>
      <c r="BK996" s="74"/>
      <c r="BO996" s="74"/>
      <c r="BW996" s="74"/>
      <c r="DF996" s="21"/>
      <c r="DG996" s="21"/>
      <c r="DH996" s="21"/>
      <c r="DI996" s="21"/>
    </row>
    <row r="997" spans="2:113" s="123" customFormat="1">
      <c r="B997" s="125"/>
      <c r="D997" s="125"/>
      <c r="AA997" s="74"/>
      <c r="AE997" s="124"/>
      <c r="AI997" s="74"/>
      <c r="AM997" s="74"/>
      <c r="AY997" s="74"/>
      <c r="BC997" s="74"/>
      <c r="BG997" s="74"/>
      <c r="BK997" s="74"/>
      <c r="BO997" s="74"/>
      <c r="BW997" s="74"/>
      <c r="DF997" s="21"/>
      <c r="DG997" s="21"/>
      <c r="DH997" s="21"/>
      <c r="DI997" s="21"/>
    </row>
    <row r="998" spans="2:113" s="123" customFormat="1">
      <c r="B998" s="125"/>
      <c r="D998" s="125"/>
      <c r="AA998" s="74"/>
      <c r="AE998" s="124"/>
      <c r="AI998" s="74"/>
      <c r="AM998" s="74"/>
      <c r="AY998" s="74"/>
      <c r="BC998" s="74"/>
      <c r="BG998" s="74"/>
      <c r="BK998" s="74"/>
      <c r="BO998" s="74"/>
      <c r="BW998" s="74"/>
      <c r="DF998" s="21"/>
      <c r="DG998" s="21"/>
      <c r="DH998" s="21"/>
      <c r="DI998" s="21"/>
    </row>
    <row r="999" spans="2:113" s="123" customFormat="1">
      <c r="B999" s="125"/>
      <c r="D999" s="125"/>
      <c r="AA999" s="74"/>
      <c r="AE999" s="124"/>
      <c r="AI999" s="74"/>
      <c r="AM999" s="74"/>
      <c r="AY999" s="74"/>
      <c r="BC999" s="74"/>
      <c r="BG999" s="74"/>
      <c r="BK999" s="74"/>
      <c r="BO999" s="74"/>
      <c r="BW999" s="74"/>
      <c r="DF999" s="21"/>
      <c r="DG999" s="21"/>
      <c r="DH999" s="21"/>
      <c r="DI999" s="21"/>
    </row>
    <row r="1000" spans="2:113" s="123" customFormat="1">
      <c r="B1000" s="125"/>
      <c r="D1000" s="125"/>
      <c r="AA1000" s="74"/>
      <c r="AE1000" s="124"/>
      <c r="AI1000" s="74"/>
      <c r="AM1000" s="74"/>
      <c r="AY1000" s="74"/>
      <c r="BC1000" s="74"/>
      <c r="BG1000" s="74"/>
      <c r="BK1000" s="74"/>
      <c r="BO1000" s="74"/>
      <c r="BW1000" s="74"/>
      <c r="DF1000" s="21"/>
      <c r="DG1000" s="21"/>
      <c r="DH1000" s="21"/>
      <c r="DI1000" s="21"/>
    </row>
    <row r="1001" spans="2:113" s="123" customFormat="1">
      <c r="B1001" s="125"/>
      <c r="D1001" s="125"/>
      <c r="AA1001" s="74"/>
      <c r="AE1001" s="124"/>
      <c r="AI1001" s="74"/>
      <c r="AM1001" s="74"/>
      <c r="AY1001" s="74"/>
      <c r="BC1001" s="74"/>
      <c r="BG1001" s="74"/>
      <c r="BK1001" s="74"/>
      <c r="BO1001" s="74"/>
      <c r="BW1001" s="74"/>
      <c r="DF1001" s="21"/>
      <c r="DG1001" s="21"/>
      <c r="DH1001" s="21"/>
      <c r="DI1001" s="21"/>
    </row>
    <row r="1002" spans="2:113" s="123" customFormat="1">
      <c r="B1002" s="125"/>
      <c r="D1002" s="125"/>
      <c r="AA1002" s="74"/>
      <c r="AE1002" s="124"/>
      <c r="AI1002" s="74"/>
      <c r="AM1002" s="74"/>
      <c r="AY1002" s="74"/>
      <c r="BC1002" s="74"/>
      <c r="BG1002" s="74"/>
      <c r="BK1002" s="74"/>
      <c r="BO1002" s="74"/>
      <c r="BW1002" s="74"/>
      <c r="DF1002" s="21"/>
      <c r="DG1002" s="21"/>
      <c r="DH1002" s="21"/>
      <c r="DI1002" s="21"/>
    </row>
    <row r="1003" spans="2:113" s="123" customFormat="1">
      <c r="B1003" s="125"/>
      <c r="D1003" s="125"/>
      <c r="AA1003" s="74"/>
      <c r="AE1003" s="124"/>
      <c r="AI1003" s="74"/>
      <c r="AM1003" s="74"/>
      <c r="AY1003" s="74"/>
      <c r="BC1003" s="74"/>
      <c r="BG1003" s="74"/>
      <c r="BK1003" s="74"/>
      <c r="BO1003" s="74"/>
      <c r="BW1003" s="74"/>
      <c r="DF1003" s="21"/>
      <c r="DG1003" s="21"/>
      <c r="DH1003" s="21"/>
      <c r="DI1003" s="21"/>
    </row>
    <row r="1004" spans="2:113" s="123" customFormat="1">
      <c r="B1004" s="125"/>
      <c r="D1004" s="125"/>
      <c r="AA1004" s="74"/>
      <c r="AE1004" s="124"/>
      <c r="AI1004" s="74"/>
      <c r="AM1004" s="74"/>
      <c r="AY1004" s="74"/>
      <c r="BC1004" s="74"/>
      <c r="BG1004" s="74"/>
      <c r="BK1004" s="74"/>
      <c r="BO1004" s="74"/>
      <c r="BW1004" s="74"/>
      <c r="DF1004" s="21"/>
      <c r="DG1004" s="21"/>
      <c r="DH1004" s="21"/>
      <c r="DI1004" s="21"/>
    </row>
    <row r="1005" spans="2:113" s="123" customFormat="1">
      <c r="B1005" s="125"/>
      <c r="D1005" s="125"/>
      <c r="AA1005" s="74"/>
      <c r="AE1005" s="124"/>
      <c r="AI1005" s="74"/>
      <c r="AM1005" s="74"/>
      <c r="AY1005" s="74"/>
      <c r="BC1005" s="74"/>
      <c r="BG1005" s="74"/>
      <c r="BK1005" s="74"/>
      <c r="BO1005" s="74"/>
      <c r="BW1005" s="74"/>
      <c r="DF1005" s="21"/>
      <c r="DG1005" s="21"/>
      <c r="DH1005" s="21"/>
      <c r="DI1005" s="21"/>
    </row>
    <row r="1006" spans="2:113" s="123" customFormat="1">
      <c r="B1006" s="125"/>
      <c r="D1006" s="125"/>
      <c r="AA1006" s="74"/>
      <c r="AE1006" s="124"/>
      <c r="AI1006" s="74"/>
      <c r="AM1006" s="74"/>
      <c r="AY1006" s="74"/>
      <c r="BC1006" s="74"/>
      <c r="BG1006" s="74"/>
      <c r="BK1006" s="74"/>
      <c r="BO1006" s="74"/>
      <c r="BW1006" s="74"/>
      <c r="DF1006" s="21"/>
      <c r="DG1006" s="21"/>
      <c r="DH1006" s="21"/>
      <c r="DI1006" s="21"/>
    </row>
    <row r="1007" spans="2:113" s="123" customFormat="1">
      <c r="B1007" s="125"/>
      <c r="D1007" s="125"/>
      <c r="AA1007" s="74"/>
      <c r="AE1007" s="124"/>
      <c r="AI1007" s="74"/>
      <c r="AM1007" s="74"/>
      <c r="AY1007" s="74"/>
      <c r="BC1007" s="74"/>
      <c r="BG1007" s="74"/>
      <c r="BK1007" s="74"/>
      <c r="BO1007" s="74"/>
      <c r="BW1007" s="74"/>
      <c r="DF1007" s="21"/>
      <c r="DG1007" s="21"/>
      <c r="DH1007" s="21"/>
      <c r="DI1007" s="21"/>
    </row>
    <row r="1008" spans="2:113" s="123" customFormat="1">
      <c r="B1008" s="125"/>
      <c r="D1008" s="125"/>
      <c r="AA1008" s="74"/>
      <c r="AE1008" s="124"/>
      <c r="AI1008" s="74"/>
      <c r="AM1008" s="74"/>
      <c r="AY1008" s="74"/>
      <c r="BC1008" s="74"/>
      <c r="BG1008" s="74"/>
      <c r="BK1008" s="74"/>
      <c r="BO1008" s="74"/>
      <c r="BW1008" s="74"/>
      <c r="DF1008" s="21"/>
      <c r="DG1008" s="21"/>
      <c r="DH1008" s="21"/>
      <c r="DI1008" s="21"/>
    </row>
    <row r="1009" spans="2:113" s="123" customFormat="1">
      <c r="B1009" s="125"/>
      <c r="D1009" s="125"/>
      <c r="AA1009" s="74"/>
      <c r="AE1009" s="124"/>
      <c r="AI1009" s="74"/>
      <c r="AM1009" s="74"/>
      <c r="AY1009" s="74"/>
      <c r="BC1009" s="74"/>
      <c r="BG1009" s="74"/>
      <c r="BK1009" s="74"/>
      <c r="BO1009" s="74"/>
      <c r="BW1009" s="74"/>
      <c r="DF1009" s="21"/>
      <c r="DG1009" s="21"/>
      <c r="DH1009" s="21"/>
      <c r="DI1009" s="21"/>
    </row>
    <row r="1010" spans="2:113" s="123" customFormat="1">
      <c r="B1010" s="125"/>
      <c r="D1010" s="125"/>
      <c r="AA1010" s="74"/>
      <c r="AE1010" s="124"/>
      <c r="AI1010" s="74"/>
      <c r="AM1010" s="74"/>
      <c r="AY1010" s="74"/>
      <c r="BC1010" s="74"/>
      <c r="BG1010" s="74"/>
      <c r="BK1010" s="74"/>
      <c r="BO1010" s="74"/>
      <c r="BW1010" s="74"/>
      <c r="DF1010" s="21"/>
      <c r="DG1010" s="21"/>
      <c r="DH1010" s="21"/>
      <c r="DI1010" s="21"/>
    </row>
    <row r="1011" spans="2:113" s="123" customFormat="1">
      <c r="B1011" s="125"/>
      <c r="D1011" s="125"/>
      <c r="AA1011" s="74"/>
      <c r="AE1011" s="124"/>
      <c r="AI1011" s="74"/>
      <c r="AM1011" s="74"/>
      <c r="AY1011" s="74"/>
      <c r="BC1011" s="74"/>
      <c r="BG1011" s="74"/>
      <c r="BK1011" s="74"/>
      <c r="BO1011" s="74"/>
      <c r="BW1011" s="74"/>
      <c r="DF1011" s="21"/>
      <c r="DG1011" s="21"/>
      <c r="DH1011" s="21"/>
      <c r="DI1011" s="21"/>
    </row>
    <row r="1012" spans="2:113" s="123" customFormat="1">
      <c r="B1012" s="125"/>
      <c r="D1012" s="125"/>
      <c r="AA1012" s="74"/>
      <c r="AE1012" s="124"/>
      <c r="AI1012" s="74"/>
      <c r="AM1012" s="74"/>
      <c r="AY1012" s="74"/>
      <c r="BC1012" s="74"/>
      <c r="BG1012" s="74"/>
      <c r="BK1012" s="74"/>
      <c r="BO1012" s="74"/>
      <c r="BW1012" s="74"/>
      <c r="DF1012" s="21"/>
      <c r="DG1012" s="21"/>
      <c r="DH1012" s="21"/>
      <c r="DI1012" s="21"/>
    </row>
    <row r="1013" spans="2:113" s="123" customFormat="1">
      <c r="B1013" s="125"/>
      <c r="D1013" s="125"/>
      <c r="AA1013" s="74"/>
      <c r="AE1013" s="124"/>
      <c r="AI1013" s="74"/>
      <c r="AM1013" s="74"/>
      <c r="AY1013" s="74"/>
      <c r="BC1013" s="74"/>
      <c r="BG1013" s="74"/>
      <c r="BK1013" s="74"/>
      <c r="BO1013" s="74"/>
      <c r="BW1013" s="74"/>
      <c r="DF1013" s="21"/>
      <c r="DG1013" s="21"/>
      <c r="DH1013" s="21"/>
      <c r="DI1013" s="21"/>
    </row>
    <row r="1014" spans="2:113" s="123" customFormat="1">
      <c r="B1014" s="125"/>
      <c r="D1014" s="125"/>
      <c r="AA1014" s="74"/>
      <c r="AE1014" s="124"/>
      <c r="AI1014" s="74"/>
      <c r="AM1014" s="74"/>
      <c r="AY1014" s="74"/>
      <c r="BC1014" s="74"/>
      <c r="BG1014" s="74"/>
      <c r="BK1014" s="74"/>
      <c r="BO1014" s="74"/>
      <c r="BW1014" s="74"/>
      <c r="DF1014" s="21"/>
      <c r="DG1014" s="21"/>
      <c r="DH1014" s="21"/>
      <c r="DI1014" s="21"/>
    </row>
    <row r="1015" spans="2:113" s="123" customFormat="1">
      <c r="B1015" s="125"/>
      <c r="D1015" s="125"/>
      <c r="AA1015" s="74"/>
      <c r="AE1015" s="124"/>
      <c r="AI1015" s="74"/>
      <c r="AM1015" s="74"/>
      <c r="AY1015" s="74"/>
      <c r="BC1015" s="74"/>
      <c r="BG1015" s="74"/>
      <c r="BK1015" s="74"/>
      <c r="BO1015" s="74"/>
      <c r="BW1015" s="74"/>
      <c r="DF1015" s="21"/>
      <c r="DG1015" s="21"/>
      <c r="DH1015" s="21"/>
      <c r="DI1015" s="21"/>
    </row>
    <row r="1016" spans="2:113" s="123" customFormat="1">
      <c r="B1016" s="125"/>
      <c r="D1016" s="125"/>
      <c r="AA1016" s="74"/>
      <c r="AE1016" s="124"/>
      <c r="AI1016" s="74"/>
      <c r="AM1016" s="74"/>
      <c r="AY1016" s="74"/>
      <c r="BC1016" s="74"/>
      <c r="BG1016" s="74"/>
      <c r="BK1016" s="74"/>
      <c r="BO1016" s="74"/>
      <c r="BW1016" s="74"/>
      <c r="DF1016" s="21"/>
      <c r="DG1016" s="21"/>
      <c r="DH1016" s="21"/>
      <c r="DI1016" s="21"/>
    </row>
    <row r="1017" spans="2:113" s="123" customFormat="1">
      <c r="B1017" s="125"/>
      <c r="D1017" s="125"/>
      <c r="AA1017" s="74"/>
      <c r="AE1017" s="124"/>
      <c r="AI1017" s="74"/>
      <c r="AM1017" s="74"/>
      <c r="AY1017" s="74"/>
      <c r="BC1017" s="74"/>
      <c r="BG1017" s="74"/>
      <c r="BK1017" s="74"/>
      <c r="BO1017" s="74"/>
      <c r="BW1017" s="74"/>
      <c r="DF1017" s="21"/>
      <c r="DG1017" s="21"/>
      <c r="DH1017" s="21"/>
      <c r="DI1017" s="21"/>
    </row>
    <row r="1018" spans="2:113" s="123" customFormat="1">
      <c r="B1018" s="125"/>
      <c r="D1018" s="125"/>
      <c r="AA1018" s="74"/>
      <c r="AE1018" s="124"/>
      <c r="AI1018" s="74"/>
      <c r="AM1018" s="74"/>
      <c r="AY1018" s="74"/>
      <c r="BC1018" s="74"/>
      <c r="BG1018" s="74"/>
      <c r="BK1018" s="74"/>
      <c r="BO1018" s="74"/>
      <c r="BW1018" s="74"/>
      <c r="DF1018" s="21"/>
      <c r="DG1018" s="21"/>
      <c r="DH1018" s="21"/>
      <c r="DI1018" s="21"/>
    </row>
    <row r="1019" spans="2:113" s="123" customFormat="1">
      <c r="B1019" s="125"/>
      <c r="D1019" s="125"/>
      <c r="AA1019" s="74"/>
      <c r="AE1019" s="124"/>
      <c r="AI1019" s="74"/>
      <c r="AM1019" s="74"/>
      <c r="AY1019" s="74"/>
      <c r="BC1019" s="74"/>
      <c r="BG1019" s="74"/>
      <c r="BK1019" s="74"/>
      <c r="BO1019" s="74"/>
      <c r="BW1019" s="74"/>
      <c r="DF1019" s="21"/>
      <c r="DG1019" s="21"/>
      <c r="DH1019" s="21"/>
      <c r="DI1019" s="21"/>
    </row>
    <row r="1020" spans="2:113" s="123" customFormat="1">
      <c r="B1020" s="125"/>
      <c r="D1020" s="125"/>
      <c r="AA1020" s="74"/>
      <c r="AE1020" s="124"/>
      <c r="AI1020" s="74"/>
      <c r="AM1020" s="74"/>
      <c r="AY1020" s="74"/>
      <c r="BC1020" s="74"/>
      <c r="BG1020" s="74"/>
      <c r="BK1020" s="74"/>
      <c r="BO1020" s="74"/>
      <c r="BW1020" s="74"/>
      <c r="DF1020" s="21"/>
      <c r="DG1020" s="21"/>
      <c r="DH1020" s="21"/>
      <c r="DI1020" s="21"/>
    </row>
    <row r="1021" spans="2:113" s="123" customFormat="1">
      <c r="B1021" s="125"/>
      <c r="D1021" s="125"/>
      <c r="AA1021" s="74"/>
      <c r="AE1021" s="124"/>
      <c r="AI1021" s="74"/>
      <c r="AM1021" s="74"/>
      <c r="AY1021" s="74"/>
      <c r="BC1021" s="74"/>
      <c r="BG1021" s="74"/>
      <c r="BK1021" s="74"/>
      <c r="BO1021" s="74"/>
      <c r="BW1021" s="74"/>
      <c r="DF1021" s="21"/>
      <c r="DG1021" s="21"/>
      <c r="DH1021" s="21"/>
      <c r="DI1021" s="21"/>
    </row>
    <row r="1022" spans="2:113" s="123" customFormat="1">
      <c r="B1022" s="125"/>
      <c r="D1022" s="125"/>
      <c r="AA1022" s="74"/>
      <c r="AE1022" s="124"/>
      <c r="AI1022" s="74"/>
      <c r="AM1022" s="74"/>
      <c r="AY1022" s="74"/>
      <c r="BC1022" s="74"/>
      <c r="BG1022" s="74"/>
      <c r="BK1022" s="74"/>
      <c r="BO1022" s="74"/>
      <c r="BW1022" s="74"/>
      <c r="DF1022" s="21"/>
      <c r="DG1022" s="21"/>
      <c r="DH1022" s="21"/>
      <c r="DI1022" s="21"/>
    </row>
    <row r="1023" spans="2:113" s="123" customFormat="1">
      <c r="B1023" s="125"/>
      <c r="D1023" s="125"/>
      <c r="AA1023" s="74"/>
      <c r="AE1023" s="124"/>
      <c r="AI1023" s="74"/>
      <c r="AM1023" s="74"/>
      <c r="AY1023" s="74"/>
      <c r="BC1023" s="74"/>
      <c r="BG1023" s="74"/>
      <c r="BK1023" s="74"/>
      <c r="BO1023" s="74"/>
      <c r="BW1023" s="74"/>
      <c r="DF1023" s="21"/>
      <c r="DG1023" s="21"/>
      <c r="DH1023" s="21"/>
      <c r="DI1023" s="21"/>
    </row>
    <row r="1024" spans="2:113" s="123" customFormat="1">
      <c r="B1024" s="125"/>
      <c r="D1024" s="125"/>
      <c r="AA1024" s="74"/>
      <c r="AE1024" s="124"/>
      <c r="AI1024" s="74"/>
      <c r="AM1024" s="74"/>
      <c r="AY1024" s="74"/>
      <c r="BC1024" s="74"/>
      <c r="BG1024" s="74"/>
      <c r="BK1024" s="74"/>
      <c r="BO1024" s="74"/>
      <c r="BW1024" s="74"/>
      <c r="DF1024" s="21"/>
      <c r="DG1024" s="21"/>
      <c r="DH1024" s="21"/>
      <c r="DI1024" s="21"/>
    </row>
    <row r="1025" spans="2:113" s="123" customFormat="1">
      <c r="B1025" s="125"/>
      <c r="D1025" s="125"/>
      <c r="AA1025" s="74"/>
      <c r="AE1025" s="124"/>
      <c r="AI1025" s="74"/>
      <c r="AM1025" s="74"/>
      <c r="AY1025" s="74"/>
      <c r="BC1025" s="74"/>
      <c r="BG1025" s="74"/>
      <c r="BK1025" s="74"/>
      <c r="BO1025" s="74"/>
      <c r="BW1025" s="74"/>
      <c r="DF1025" s="21"/>
      <c r="DG1025" s="21"/>
      <c r="DH1025" s="21"/>
      <c r="DI1025" s="21"/>
    </row>
    <row r="1026" spans="2:113" s="123" customFormat="1">
      <c r="B1026" s="125"/>
      <c r="D1026" s="125"/>
      <c r="AA1026" s="74"/>
      <c r="AE1026" s="124"/>
      <c r="AI1026" s="74"/>
      <c r="AM1026" s="74"/>
      <c r="AY1026" s="74"/>
      <c r="BC1026" s="74"/>
      <c r="BG1026" s="74"/>
      <c r="BK1026" s="74"/>
      <c r="BO1026" s="74"/>
      <c r="BW1026" s="74"/>
      <c r="DF1026" s="21"/>
      <c r="DG1026" s="21"/>
      <c r="DH1026" s="21"/>
      <c r="DI1026" s="21"/>
    </row>
    <row r="1027" spans="2:113" s="123" customFormat="1">
      <c r="B1027" s="125"/>
      <c r="D1027" s="125"/>
      <c r="AA1027" s="74"/>
      <c r="AE1027" s="124"/>
      <c r="AI1027" s="74"/>
      <c r="AM1027" s="74"/>
      <c r="AY1027" s="74"/>
      <c r="BC1027" s="74"/>
      <c r="BG1027" s="74"/>
      <c r="BK1027" s="74"/>
      <c r="BO1027" s="74"/>
      <c r="BW1027" s="74"/>
      <c r="DF1027" s="21"/>
      <c r="DG1027" s="21"/>
      <c r="DH1027" s="21"/>
      <c r="DI1027" s="21"/>
    </row>
    <row r="1028" spans="2:113" s="123" customFormat="1">
      <c r="B1028" s="125"/>
      <c r="D1028" s="125"/>
      <c r="AA1028" s="74"/>
      <c r="AE1028" s="124"/>
      <c r="AI1028" s="74"/>
      <c r="AM1028" s="74"/>
      <c r="AY1028" s="74"/>
      <c r="BC1028" s="74"/>
      <c r="BG1028" s="74"/>
      <c r="BK1028" s="74"/>
      <c r="BO1028" s="74"/>
      <c r="BW1028" s="74"/>
      <c r="DF1028" s="21"/>
      <c r="DG1028" s="21"/>
      <c r="DH1028" s="21"/>
      <c r="DI1028" s="21"/>
    </row>
    <row r="1029" spans="2:113" s="123" customFormat="1">
      <c r="B1029" s="125"/>
      <c r="D1029" s="125"/>
      <c r="AA1029" s="74"/>
      <c r="AE1029" s="124"/>
      <c r="AI1029" s="74"/>
      <c r="AM1029" s="74"/>
      <c r="AY1029" s="74"/>
      <c r="BC1029" s="74"/>
      <c r="BG1029" s="74"/>
      <c r="BK1029" s="74"/>
      <c r="BO1029" s="74"/>
      <c r="BW1029" s="74"/>
      <c r="DF1029" s="21"/>
      <c r="DG1029" s="21"/>
      <c r="DH1029" s="21"/>
      <c r="DI1029" s="21"/>
    </row>
    <row r="1030" spans="2:113" s="123" customFormat="1">
      <c r="B1030" s="125"/>
      <c r="D1030" s="125"/>
      <c r="AA1030" s="74"/>
      <c r="AE1030" s="124"/>
      <c r="AI1030" s="74"/>
      <c r="AM1030" s="74"/>
      <c r="AY1030" s="74"/>
      <c r="BC1030" s="74"/>
      <c r="BG1030" s="74"/>
      <c r="BK1030" s="74"/>
      <c r="BO1030" s="74"/>
      <c r="BW1030" s="74"/>
      <c r="DF1030" s="21"/>
      <c r="DG1030" s="21"/>
      <c r="DH1030" s="21"/>
      <c r="DI1030" s="21"/>
    </row>
    <row r="1031" spans="2:113" s="123" customFormat="1">
      <c r="B1031" s="125"/>
      <c r="D1031" s="125"/>
      <c r="AA1031" s="74"/>
      <c r="AE1031" s="124"/>
      <c r="AI1031" s="74"/>
      <c r="AM1031" s="74"/>
      <c r="AY1031" s="74"/>
      <c r="BC1031" s="74"/>
      <c r="BG1031" s="74"/>
      <c r="BK1031" s="74"/>
      <c r="BO1031" s="74"/>
      <c r="BW1031" s="74"/>
      <c r="DF1031" s="21"/>
      <c r="DG1031" s="21"/>
      <c r="DH1031" s="21"/>
      <c r="DI1031" s="21"/>
    </row>
    <row r="1032" spans="2:113" s="123" customFormat="1">
      <c r="B1032" s="125"/>
      <c r="D1032" s="125"/>
      <c r="AA1032" s="74"/>
      <c r="AE1032" s="124"/>
      <c r="AI1032" s="74"/>
      <c r="AM1032" s="74"/>
      <c r="AY1032" s="74"/>
      <c r="BC1032" s="74"/>
      <c r="BG1032" s="74"/>
      <c r="BK1032" s="74"/>
      <c r="BO1032" s="74"/>
      <c r="BW1032" s="74"/>
      <c r="DF1032" s="21"/>
      <c r="DG1032" s="21"/>
      <c r="DH1032" s="21"/>
      <c r="DI1032" s="21"/>
    </row>
    <row r="1033" spans="2:113" s="123" customFormat="1">
      <c r="B1033" s="125"/>
      <c r="D1033" s="125"/>
      <c r="AA1033" s="74"/>
      <c r="AE1033" s="124"/>
      <c r="AI1033" s="74"/>
      <c r="AM1033" s="74"/>
      <c r="AY1033" s="74"/>
      <c r="BC1033" s="74"/>
      <c r="BG1033" s="74"/>
      <c r="BK1033" s="74"/>
      <c r="BO1033" s="74"/>
      <c r="BW1033" s="74"/>
      <c r="DF1033" s="21"/>
      <c r="DG1033" s="21"/>
      <c r="DH1033" s="21"/>
      <c r="DI1033" s="21"/>
    </row>
    <row r="1034" spans="2:113" s="123" customFormat="1">
      <c r="B1034" s="125"/>
      <c r="D1034" s="125"/>
      <c r="AA1034" s="74"/>
      <c r="AE1034" s="124"/>
      <c r="AI1034" s="74"/>
      <c r="AM1034" s="74"/>
      <c r="AY1034" s="74"/>
      <c r="BC1034" s="74"/>
      <c r="BG1034" s="74"/>
      <c r="BK1034" s="74"/>
      <c r="BO1034" s="74"/>
      <c r="BW1034" s="74"/>
      <c r="DF1034" s="21"/>
      <c r="DG1034" s="21"/>
      <c r="DH1034" s="21"/>
      <c r="DI1034" s="21"/>
    </row>
    <row r="1035" spans="2:113" s="123" customFormat="1">
      <c r="B1035" s="125"/>
      <c r="D1035" s="125"/>
      <c r="AA1035" s="74"/>
      <c r="AE1035" s="124"/>
      <c r="AI1035" s="74"/>
      <c r="AM1035" s="74"/>
      <c r="AY1035" s="74"/>
      <c r="BC1035" s="74"/>
      <c r="BG1035" s="74"/>
      <c r="BK1035" s="74"/>
      <c r="BO1035" s="74"/>
      <c r="BW1035" s="74"/>
      <c r="DF1035" s="21"/>
      <c r="DG1035" s="21"/>
      <c r="DH1035" s="21"/>
      <c r="DI1035" s="21"/>
    </row>
    <row r="1036" spans="2:113" s="123" customFormat="1">
      <c r="B1036" s="125"/>
      <c r="D1036" s="125"/>
      <c r="AA1036" s="74"/>
      <c r="AE1036" s="124"/>
      <c r="AI1036" s="74"/>
      <c r="AM1036" s="74"/>
      <c r="AY1036" s="74"/>
      <c r="BC1036" s="74"/>
      <c r="BG1036" s="74"/>
      <c r="BK1036" s="74"/>
      <c r="BO1036" s="74"/>
      <c r="BW1036" s="74"/>
      <c r="DF1036" s="21"/>
      <c r="DG1036" s="21"/>
      <c r="DH1036" s="21"/>
      <c r="DI1036" s="21"/>
    </row>
    <row r="1037" spans="2:113" s="123" customFormat="1">
      <c r="B1037" s="125"/>
      <c r="D1037" s="125"/>
      <c r="AA1037" s="74"/>
      <c r="AE1037" s="124"/>
      <c r="AI1037" s="74"/>
      <c r="AM1037" s="74"/>
      <c r="AY1037" s="74"/>
      <c r="BC1037" s="74"/>
      <c r="BG1037" s="74"/>
      <c r="BK1037" s="74"/>
      <c r="BO1037" s="74"/>
      <c r="BW1037" s="74"/>
      <c r="DF1037" s="21"/>
      <c r="DG1037" s="21"/>
      <c r="DH1037" s="21"/>
      <c r="DI1037" s="21"/>
    </row>
    <row r="1038" spans="2:113" s="123" customFormat="1">
      <c r="B1038" s="125"/>
      <c r="D1038" s="125"/>
      <c r="AA1038" s="74"/>
      <c r="AE1038" s="124"/>
      <c r="AI1038" s="74"/>
      <c r="AM1038" s="74"/>
      <c r="AY1038" s="74"/>
      <c r="BC1038" s="74"/>
      <c r="BG1038" s="74"/>
      <c r="BK1038" s="74"/>
      <c r="BO1038" s="74"/>
      <c r="BW1038" s="74"/>
      <c r="DF1038" s="21"/>
      <c r="DG1038" s="21"/>
      <c r="DH1038" s="21"/>
      <c r="DI1038" s="21"/>
    </row>
    <row r="1039" spans="2:113" s="123" customFormat="1">
      <c r="B1039" s="125"/>
      <c r="D1039" s="125"/>
      <c r="AA1039" s="74"/>
      <c r="AE1039" s="124"/>
      <c r="AI1039" s="74"/>
      <c r="AM1039" s="74"/>
      <c r="AY1039" s="74"/>
      <c r="BC1039" s="74"/>
      <c r="BG1039" s="74"/>
      <c r="BK1039" s="74"/>
      <c r="BO1039" s="74"/>
      <c r="BW1039" s="74"/>
      <c r="DF1039" s="21"/>
      <c r="DG1039" s="21"/>
      <c r="DH1039" s="21"/>
      <c r="DI1039" s="21"/>
    </row>
    <row r="1040" spans="2:113" s="123" customFormat="1">
      <c r="B1040" s="125"/>
      <c r="D1040" s="125"/>
      <c r="AA1040" s="74"/>
      <c r="AE1040" s="124"/>
      <c r="AI1040" s="74"/>
      <c r="AM1040" s="74"/>
      <c r="AY1040" s="74"/>
      <c r="BC1040" s="74"/>
      <c r="BG1040" s="74"/>
      <c r="BK1040" s="74"/>
      <c r="BO1040" s="74"/>
      <c r="BW1040" s="74"/>
      <c r="DF1040" s="21"/>
      <c r="DG1040" s="21"/>
      <c r="DH1040" s="21"/>
      <c r="DI1040" s="21"/>
    </row>
    <row r="1041" spans="2:113" s="123" customFormat="1">
      <c r="B1041" s="125"/>
      <c r="D1041" s="125"/>
      <c r="AA1041" s="74"/>
      <c r="AE1041" s="124"/>
      <c r="AI1041" s="74"/>
      <c r="AM1041" s="74"/>
      <c r="AY1041" s="74"/>
      <c r="BC1041" s="74"/>
      <c r="BG1041" s="74"/>
      <c r="BK1041" s="74"/>
      <c r="BO1041" s="74"/>
      <c r="BW1041" s="74"/>
      <c r="DF1041" s="21"/>
      <c r="DG1041" s="21"/>
      <c r="DH1041" s="21"/>
      <c r="DI1041" s="21"/>
    </row>
    <row r="1042" spans="2:113" s="123" customFormat="1">
      <c r="B1042" s="125"/>
      <c r="D1042" s="125"/>
      <c r="AA1042" s="74"/>
      <c r="AE1042" s="124"/>
      <c r="AI1042" s="74"/>
      <c r="AM1042" s="74"/>
      <c r="AY1042" s="74"/>
      <c r="BC1042" s="74"/>
      <c r="BG1042" s="74"/>
      <c r="BK1042" s="74"/>
      <c r="BO1042" s="74"/>
      <c r="BW1042" s="74"/>
      <c r="DF1042" s="21"/>
      <c r="DG1042" s="21"/>
      <c r="DH1042" s="21"/>
      <c r="DI1042" s="21"/>
    </row>
    <row r="1043" spans="2:113" s="123" customFormat="1">
      <c r="B1043" s="125"/>
      <c r="D1043" s="125"/>
      <c r="AA1043" s="74"/>
      <c r="AE1043" s="124"/>
      <c r="AI1043" s="74"/>
      <c r="AM1043" s="74"/>
      <c r="AY1043" s="74"/>
      <c r="BC1043" s="74"/>
      <c r="BG1043" s="74"/>
      <c r="BK1043" s="74"/>
      <c r="BO1043" s="74"/>
      <c r="BW1043" s="74"/>
      <c r="DF1043" s="21"/>
      <c r="DG1043" s="21"/>
      <c r="DH1043" s="21"/>
      <c r="DI1043" s="21"/>
    </row>
    <row r="1044" spans="2:113" s="123" customFormat="1">
      <c r="B1044" s="125"/>
      <c r="D1044" s="125"/>
      <c r="AA1044" s="74"/>
      <c r="AE1044" s="124"/>
      <c r="AI1044" s="74"/>
      <c r="AM1044" s="74"/>
      <c r="AY1044" s="74"/>
      <c r="BC1044" s="74"/>
      <c r="BG1044" s="74"/>
      <c r="BK1044" s="74"/>
      <c r="BO1044" s="74"/>
      <c r="BW1044" s="74"/>
      <c r="DF1044" s="21"/>
      <c r="DG1044" s="21"/>
      <c r="DH1044" s="21"/>
      <c r="DI1044" s="21"/>
    </row>
    <row r="1045" spans="2:113" s="123" customFormat="1">
      <c r="B1045" s="125"/>
      <c r="D1045" s="125"/>
      <c r="AA1045" s="74"/>
      <c r="AE1045" s="124"/>
      <c r="AI1045" s="74"/>
      <c r="AM1045" s="74"/>
      <c r="AY1045" s="74"/>
      <c r="BC1045" s="74"/>
      <c r="BG1045" s="74"/>
      <c r="BK1045" s="74"/>
      <c r="BO1045" s="74"/>
      <c r="BW1045" s="74"/>
      <c r="DF1045" s="21"/>
      <c r="DG1045" s="21"/>
      <c r="DH1045" s="21"/>
      <c r="DI1045" s="21"/>
    </row>
    <row r="1046" spans="2:113" s="123" customFormat="1">
      <c r="B1046" s="125"/>
      <c r="D1046" s="125"/>
      <c r="AA1046" s="74"/>
      <c r="AE1046" s="124"/>
      <c r="AI1046" s="74"/>
      <c r="AM1046" s="74"/>
      <c r="AY1046" s="74"/>
      <c r="BC1046" s="74"/>
      <c r="BG1046" s="74"/>
      <c r="BK1046" s="74"/>
      <c r="BO1046" s="74"/>
      <c r="BW1046" s="74"/>
      <c r="DF1046" s="21"/>
      <c r="DG1046" s="21"/>
      <c r="DH1046" s="21"/>
      <c r="DI1046" s="21"/>
    </row>
    <row r="1047" spans="2:113" s="123" customFormat="1">
      <c r="B1047" s="125"/>
      <c r="D1047" s="125"/>
      <c r="AA1047" s="74"/>
      <c r="AE1047" s="124"/>
      <c r="AI1047" s="74"/>
      <c r="AM1047" s="74"/>
      <c r="AY1047" s="74"/>
      <c r="BC1047" s="74"/>
      <c r="BG1047" s="74"/>
      <c r="BK1047" s="74"/>
      <c r="BO1047" s="74"/>
      <c r="BW1047" s="74"/>
      <c r="DF1047" s="21"/>
      <c r="DG1047" s="21"/>
      <c r="DH1047" s="21"/>
      <c r="DI1047" s="21"/>
    </row>
    <row r="1048" spans="2:113" s="123" customFormat="1">
      <c r="B1048" s="125"/>
      <c r="D1048" s="125"/>
      <c r="AA1048" s="74"/>
      <c r="AE1048" s="124"/>
      <c r="AI1048" s="74"/>
      <c r="AM1048" s="74"/>
      <c r="AY1048" s="74"/>
      <c r="BC1048" s="74"/>
      <c r="BG1048" s="74"/>
      <c r="BK1048" s="74"/>
      <c r="BO1048" s="74"/>
      <c r="BW1048" s="74"/>
      <c r="DF1048" s="21"/>
      <c r="DG1048" s="21"/>
      <c r="DH1048" s="21"/>
      <c r="DI1048" s="21"/>
    </row>
    <row r="1049" spans="2:113" s="123" customFormat="1">
      <c r="B1049" s="125"/>
      <c r="D1049" s="125"/>
      <c r="AA1049" s="74"/>
      <c r="AE1049" s="124"/>
      <c r="AI1049" s="74"/>
      <c r="AM1049" s="74"/>
      <c r="AY1049" s="74"/>
      <c r="BC1049" s="74"/>
      <c r="BG1049" s="74"/>
      <c r="BK1049" s="74"/>
      <c r="BO1049" s="74"/>
      <c r="BW1049" s="74"/>
      <c r="DF1049" s="21"/>
      <c r="DG1049" s="21"/>
      <c r="DH1049" s="21"/>
      <c r="DI1049" s="21"/>
    </row>
    <row r="1050" spans="2:113" s="123" customFormat="1">
      <c r="B1050" s="125"/>
      <c r="D1050" s="125"/>
      <c r="AA1050" s="74"/>
      <c r="AE1050" s="124"/>
      <c r="AI1050" s="74"/>
      <c r="AM1050" s="74"/>
      <c r="AY1050" s="74"/>
      <c r="BC1050" s="74"/>
      <c r="BG1050" s="74"/>
      <c r="BK1050" s="74"/>
      <c r="BO1050" s="74"/>
      <c r="BW1050" s="74"/>
      <c r="DF1050" s="21"/>
      <c r="DG1050" s="21"/>
      <c r="DH1050" s="21"/>
      <c r="DI1050" s="21"/>
    </row>
    <row r="1051" spans="2:113" s="123" customFormat="1">
      <c r="B1051" s="125"/>
      <c r="D1051" s="125"/>
      <c r="AA1051" s="74"/>
      <c r="AE1051" s="124"/>
      <c r="AI1051" s="74"/>
      <c r="AM1051" s="74"/>
      <c r="AY1051" s="74"/>
      <c r="BC1051" s="74"/>
      <c r="BG1051" s="74"/>
      <c r="BK1051" s="74"/>
      <c r="BO1051" s="74"/>
      <c r="BW1051" s="74"/>
      <c r="DF1051" s="21"/>
      <c r="DG1051" s="21"/>
      <c r="DH1051" s="21"/>
      <c r="DI1051" s="21"/>
    </row>
    <row r="1052" spans="2:113" s="123" customFormat="1">
      <c r="B1052" s="125"/>
      <c r="D1052" s="125"/>
      <c r="AA1052" s="74"/>
      <c r="AE1052" s="124"/>
      <c r="AI1052" s="74"/>
      <c r="AM1052" s="74"/>
      <c r="AY1052" s="74"/>
      <c r="BC1052" s="74"/>
      <c r="BG1052" s="74"/>
      <c r="BK1052" s="74"/>
      <c r="BO1052" s="74"/>
      <c r="BW1052" s="74"/>
      <c r="DF1052" s="21"/>
      <c r="DG1052" s="21"/>
      <c r="DH1052" s="21"/>
      <c r="DI1052" s="21"/>
    </row>
    <row r="1053" spans="2:113" s="123" customFormat="1">
      <c r="B1053" s="125"/>
      <c r="D1053" s="125"/>
      <c r="AA1053" s="74"/>
      <c r="AE1053" s="124"/>
      <c r="AI1053" s="74"/>
      <c r="AM1053" s="74"/>
      <c r="AY1053" s="74"/>
      <c r="BC1053" s="74"/>
      <c r="BG1053" s="74"/>
      <c r="BK1053" s="74"/>
      <c r="BO1053" s="74"/>
      <c r="BW1053" s="74"/>
      <c r="DF1053" s="21"/>
      <c r="DG1053" s="21"/>
      <c r="DH1053" s="21"/>
      <c r="DI1053" s="21"/>
    </row>
    <row r="1054" spans="2:113" s="123" customFormat="1">
      <c r="B1054" s="125"/>
      <c r="D1054" s="125"/>
      <c r="AA1054" s="74"/>
      <c r="AE1054" s="124"/>
      <c r="AI1054" s="74"/>
      <c r="AM1054" s="74"/>
      <c r="AY1054" s="74"/>
      <c r="BC1054" s="74"/>
      <c r="BG1054" s="74"/>
      <c r="BK1054" s="74"/>
      <c r="BO1054" s="74"/>
      <c r="BW1054" s="74"/>
      <c r="DF1054" s="21"/>
      <c r="DG1054" s="21"/>
      <c r="DH1054" s="21"/>
      <c r="DI1054" s="21"/>
    </row>
    <row r="1055" spans="2:113" s="123" customFormat="1">
      <c r="B1055" s="125"/>
      <c r="D1055" s="125"/>
      <c r="AA1055" s="74"/>
      <c r="AE1055" s="124"/>
      <c r="AI1055" s="74"/>
      <c r="AM1055" s="74"/>
      <c r="AY1055" s="74"/>
      <c r="BC1055" s="74"/>
      <c r="BG1055" s="74"/>
      <c r="BK1055" s="74"/>
      <c r="BO1055" s="74"/>
      <c r="BW1055" s="74"/>
      <c r="DF1055" s="21"/>
      <c r="DG1055" s="21"/>
      <c r="DH1055" s="21"/>
      <c r="DI1055" s="21"/>
    </row>
    <row r="1056" spans="2:113" s="123" customFormat="1">
      <c r="B1056" s="125"/>
      <c r="D1056" s="125"/>
      <c r="AA1056" s="74"/>
      <c r="AE1056" s="124"/>
      <c r="AI1056" s="74"/>
      <c r="AM1056" s="74"/>
      <c r="AY1056" s="74"/>
      <c r="BC1056" s="74"/>
      <c r="BG1056" s="74"/>
      <c r="BK1056" s="74"/>
      <c r="BO1056" s="74"/>
      <c r="BW1056" s="74"/>
      <c r="DF1056" s="21"/>
      <c r="DG1056" s="21"/>
      <c r="DH1056" s="21"/>
      <c r="DI1056" s="21"/>
    </row>
    <row r="1057" spans="2:113" s="123" customFormat="1">
      <c r="B1057" s="125"/>
      <c r="D1057" s="125"/>
      <c r="AA1057" s="74"/>
      <c r="AE1057" s="124"/>
      <c r="AI1057" s="74"/>
      <c r="AM1057" s="74"/>
      <c r="AY1057" s="74"/>
      <c r="BC1057" s="74"/>
      <c r="BG1057" s="74"/>
      <c r="BK1057" s="74"/>
      <c r="BO1057" s="74"/>
      <c r="BW1057" s="74"/>
      <c r="DF1057" s="21"/>
      <c r="DG1057" s="21"/>
      <c r="DH1057" s="21"/>
      <c r="DI1057" s="21"/>
    </row>
    <row r="1058" spans="2:113" s="123" customFormat="1">
      <c r="B1058" s="125"/>
      <c r="D1058" s="125"/>
      <c r="AA1058" s="74"/>
      <c r="AE1058" s="124"/>
      <c r="AI1058" s="74"/>
      <c r="AM1058" s="74"/>
      <c r="AY1058" s="74"/>
      <c r="BC1058" s="74"/>
      <c r="BG1058" s="74"/>
      <c r="BK1058" s="74"/>
      <c r="BO1058" s="74"/>
      <c r="BW1058" s="74"/>
      <c r="DF1058" s="21"/>
      <c r="DG1058" s="21"/>
      <c r="DH1058" s="21"/>
      <c r="DI1058" s="21"/>
    </row>
    <row r="1059" spans="2:113" s="123" customFormat="1">
      <c r="B1059" s="125"/>
      <c r="D1059" s="125"/>
      <c r="AA1059" s="74"/>
      <c r="AE1059" s="124"/>
      <c r="AI1059" s="74"/>
      <c r="AM1059" s="74"/>
      <c r="AY1059" s="74"/>
      <c r="BC1059" s="74"/>
      <c r="BG1059" s="74"/>
      <c r="BK1059" s="74"/>
      <c r="BO1059" s="74"/>
      <c r="BW1059" s="74"/>
      <c r="DF1059" s="21"/>
      <c r="DG1059" s="21"/>
      <c r="DH1059" s="21"/>
      <c r="DI1059" s="21"/>
    </row>
    <row r="1060" spans="2:113" s="123" customFormat="1">
      <c r="B1060" s="125"/>
      <c r="D1060" s="125"/>
      <c r="AA1060" s="74"/>
      <c r="AE1060" s="124"/>
      <c r="AI1060" s="74"/>
      <c r="AM1060" s="74"/>
      <c r="AY1060" s="74"/>
      <c r="BC1060" s="74"/>
      <c r="BG1060" s="74"/>
      <c r="BK1060" s="74"/>
      <c r="BO1060" s="74"/>
      <c r="BW1060" s="74"/>
      <c r="DF1060" s="21"/>
      <c r="DG1060" s="21"/>
      <c r="DH1060" s="21"/>
      <c r="DI1060" s="21"/>
    </row>
    <row r="1061" spans="2:113" s="123" customFormat="1">
      <c r="B1061" s="125"/>
      <c r="D1061" s="125"/>
      <c r="AA1061" s="74"/>
      <c r="AE1061" s="124"/>
      <c r="AI1061" s="74"/>
      <c r="AM1061" s="74"/>
      <c r="AY1061" s="74"/>
      <c r="BC1061" s="74"/>
      <c r="BG1061" s="74"/>
      <c r="BK1061" s="74"/>
      <c r="BO1061" s="74"/>
      <c r="BW1061" s="74"/>
      <c r="DF1061" s="21"/>
      <c r="DG1061" s="21"/>
      <c r="DH1061" s="21"/>
      <c r="DI1061" s="21"/>
    </row>
    <row r="1062" spans="2:113" s="123" customFormat="1">
      <c r="B1062" s="125"/>
      <c r="D1062" s="125"/>
      <c r="AA1062" s="74"/>
      <c r="AE1062" s="124"/>
      <c r="AI1062" s="74"/>
      <c r="AM1062" s="74"/>
      <c r="AY1062" s="74"/>
      <c r="BC1062" s="74"/>
      <c r="BG1062" s="74"/>
      <c r="BK1062" s="74"/>
      <c r="BO1062" s="74"/>
      <c r="BW1062" s="74"/>
      <c r="DF1062" s="21"/>
      <c r="DG1062" s="21"/>
      <c r="DH1062" s="21"/>
      <c r="DI1062" s="21"/>
    </row>
    <row r="1063" spans="2:113" s="123" customFormat="1">
      <c r="B1063" s="125"/>
      <c r="D1063" s="125"/>
      <c r="AA1063" s="74"/>
      <c r="AE1063" s="124"/>
      <c r="AI1063" s="74"/>
      <c r="AM1063" s="74"/>
      <c r="AY1063" s="74"/>
      <c r="BC1063" s="74"/>
      <c r="BG1063" s="74"/>
      <c r="BK1063" s="74"/>
      <c r="BO1063" s="74"/>
      <c r="BW1063" s="74"/>
      <c r="DF1063" s="21"/>
      <c r="DG1063" s="21"/>
      <c r="DH1063" s="21"/>
      <c r="DI1063" s="21"/>
    </row>
    <row r="1064" spans="2:113" s="123" customFormat="1">
      <c r="B1064" s="125"/>
      <c r="D1064" s="125"/>
      <c r="AA1064" s="74"/>
      <c r="AE1064" s="124"/>
      <c r="AI1064" s="74"/>
      <c r="AM1064" s="74"/>
      <c r="AY1064" s="74"/>
      <c r="BC1064" s="74"/>
      <c r="BG1064" s="74"/>
      <c r="BK1064" s="74"/>
      <c r="BO1064" s="74"/>
      <c r="BW1064" s="74"/>
      <c r="DF1064" s="21"/>
      <c r="DG1064" s="21"/>
      <c r="DH1064" s="21"/>
      <c r="DI1064" s="21"/>
    </row>
    <row r="1065" spans="2:113" s="123" customFormat="1">
      <c r="B1065" s="125"/>
      <c r="D1065" s="125"/>
      <c r="AA1065" s="74"/>
      <c r="AE1065" s="124"/>
      <c r="AI1065" s="74"/>
      <c r="AM1065" s="74"/>
      <c r="AY1065" s="74"/>
      <c r="BC1065" s="74"/>
      <c r="BG1065" s="74"/>
      <c r="BK1065" s="74"/>
      <c r="BO1065" s="74"/>
      <c r="BW1065" s="74"/>
      <c r="DF1065" s="21"/>
      <c r="DG1065" s="21"/>
      <c r="DH1065" s="21"/>
      <c r="DI1065" s="21"/>
    </row>
    <row r="1066" spans="2:113" s="123" customFormat="1">
      <c r="B1066" s="125"/>
      <c r="D1066" s="125"/>
      <c r="AA1066" s="74"/>
      <c r="AE1066" s="124"/>
      <c r="AI1066" s="74"/>
      <c r="AM1066" s="74"/>
      <c r="AY1066" s="74"/>
      <c r="BC1066" s="74"/>
      <c r="BG1066" s="74"/>
      <c r="BK1066" s="74"/>
      <c r="BO1066" s="74"/>
      <c r="BW1066" s="74"/>
      <c r="DF1066" s="21"/>
      <c r="DG1066" s="21"/>
      <c r="DH1066" s="21"/>
      <c r="DI1066" s="21"/>
    </row>
    <row r="1067" spans="2:113" s="123" customFormat="1">
      <c r="B1067" s="125"/>
      <c r="D1067" s="125"/>
      <c r="AA1067" s="74"/>
      <c r="AE1067" s="124"/>
      <c r="AI1067" s="74"/>
      <c r="AM1067" s="74"/>
      <c r="AY1067" s="74"/>
      <c r="BC1067" s="74"/>
      <c r="BG1067" s="74"/>
      <c r="BK1067" s="74"/>
      <c r="BO1067" s="74"/>
      <c r="BW1067" s="74"/>
      <c r="DF1067" s="21"/>
      <c r="DG1067" s="21"/>
      <c r="DH1067" s="21"/>
      <c r="DI1067" s="21"/>
    </row>
    <row r="1068" spans="2:113" s="123" customFormat="1">
      <c r="B1068" s="125"/>
      <c r="D1068" s="125"/>
      <c r="AA1068" s="74"/>
      <c r="AE1068" s="124"/>
      <c r="AI1068" s="74"/>
      <c r="AM1068" s="74"/>
      <c r="AY1068" s="74"/>
      <c r="BC1068" s="74"/>
      <c r="BG1068" s="74"/>
      <c r="BK1068" s="74"/>
      <c r="BO1068" s="74"/>
      <c r="BW1068" s="74"/>
      <c r="DF1068" s="21"/>
      <c r="DG1068" s="21"/>
      <c r="DH1068" s="21"/>
      <c r="DI1068" s="21"/>
    </row>
    <row r="1069" spans="2:113" s="123" customFormat="1">
      <c r="B1069" s="125"/>
      <c r="D1069" s="125"/>
      <c r="AA1069" s="74"/>
      <c r="AE1069" s="124"/>
      <c r="AI1069" s="74"/>
      <c r="AM1069" s="74"/>
      <c r="AY1069" s="74"/>
      <c r="BC1069" s="74"/>
      <c r="BG1069" s="74"/>
      <c r="BK1069" s="74"/>
      <c r="BO1069" s="74"/>
      <c r="BW1069" s="74"/>
      <c r="DF1069" s="21"/>
      <c r="DG1069" s="21"/>
      <c r="DH1069" s="21"/>
      <c r="DI1069" s="21"/>
    </row>
    <row r="1070" spans="2:113" s="123" customFormat="1">
      <c r="B1070" s="125"/>
      <c r="D1070" s="125"/>
      <c r="AA1070" s="74"/>
      <c r="AE1070" s="124"/>
      <c r="AI1070" s="74"/>
      <c r="AM1070" s="74"/>
      <c r="AY1070" s="74"/>
      <c r="BC1070" s="74"/>
      <c r="BG1070" s="74"/>
      <c r="BK1070" s="74"/>
      <c r="BO1070" s="74"/>
      <c r="BW1070" s="74"/>
      <c r="DF1070" s="21"/>
      <c r="DG1070" s="21"/>
      <c r="DH1070" s="21"/>
      <c r="DI1070" s="21"/>
    </row>
    <row r="1071" spans="2:113" s="123" customFormat="1">
      <c r="B1071" s="125"/>
      <c r="D1071" s="125"/>
      <c r="AA1071" s="74"/>
      <c r="AE1071" s="124"/>
      <c r="AI1071" s="74"/>
      <c r="AM1071" s="74"/>
      <c r="AY1071" s="74"/>
      <c r="BC1071" s="74"/>
      <c r="BG1071" s="74"/>
      <c r="BK1071" s="74"/>
      <c r="BO1071" s="74"/>
      <c r="BW1071" s="74"/>
      <c r="DF1071" s="21"/>
      <c r="DG1071" s="21"/>
      <c r="DH1071" s="21"/>
      <c r="DI1071" s="21"/>
    </row>
    <row r="1072" spans="2:113" s="123" customFormat="1">
      <c r="B1072" s="125"/>
      <c r="D1072" s="125"/>
      <c r="AA1072" s="74"/>
      <c r="AE1072" s="124"/>
      <c r="AI1072" s="74"/>
      <c r="AM1072" s="74"/>
      <c r="AY1072" s="74"/>
      <c r="BC1072" s="74"/>
      <c r="BG1072" s="74"/>
      <c r="BK1072" s="74"/>
      <c r="BO1072" s="74"/>
      <c r="BW1072" s="74"/>
      <c r="DF1072" s="21"/>
      <c r="DG1072" s="21"/>
      <c r="DH1072" s="21"/>
      <c r="DI1072" s="21"/>
    </row>
    <row r="1073" spans="2:113" s="123" customFormat="1">
      <c r="B1073" s="125"/>
      <c r="D1073" s="125"/>
      <c r="AA1073" s="74"/>
      <c r="AE1073" s="124"/>
      <c r="AI1073" s="74"/>
      <c r="AM1073" s="74"/>
      <c r="AY1073" s="74"/>
      <c r="BC1073" s="74"/>
      <c r="BG1073" s="74"/>
      <c r="BK1073" s="74"/>
      <c r="BO1073" s="74"/>
      <c r="BW1073" s="74"/>
      <c r="DF1073" s="21"/>
      <c r="DG1073" s="21"/>
      <c r="DH1073" s="21"/>
      <c r="DI1073" s="21"/>
    </row>
    <row r="1074" spans="2:113" s="123" customFormat="1">
      <c r="B1074" s="125"/>
      <c r="D1074" s="125"/>
      <c r="AA1074" s="74"/>
      <c r="AE1074" s="124"/>
      <c r="AI1074" s="74"/>
      <c r="AM1074" s="74"/>
      <c r="AY1074" s="74"/>
      <c r="BC1074" s="74"/>
      <c r="BG1074" s="74"/>
      <c r="BK1074" s="74"/>
      <c r="BO1074" s="74"/>
      <c r="BW1074" s="74"/>
      <c r="DF1074" s="21"/>
      <c r="DG1074" s="21"/>
      <c r="DH1074" s="21"/>
      <c r="DI1074" s="21"/>
    </row>
    <row r="1075" spans="2:113" s="123" customFormat="1">
      <c r="B1075" s="125"/>
      <c r="D1075" s="125"/>
      <c r="AA1075" s="74"/>
      <c r="AE1075" s="124"/>
      <c r="AI1075" s="74"/>
      <c r="AM1075" s="74"/>
      <c r="AY1075" s="74"/>
      <c r="BC1075" s="74"/>
      <c r="BG1075" s="74"/>
      <c r="BK1075" s="74"/>
      <c r="BO1075" s="74"/>
      <c r="BW1075" s="74"/>
      <c r="DF1075" s="21"/>
      <c r="DG1075" s="21"/>
      <c r="DH1075" s="21"/>
      <c r="DI1075" s="21"/>
    </row>
    <row r="1076" spans="2:113" s="123" customFormat="1">
      <c r="B1076" s="125"/>
      <c r="D1076" s="125"/>
      <c r="AA1076" s="74"/>
      <c r="AE1076" s="124"/>
      <c r="AI1076" s="74"/>
      <c r="AM1076" s="74"/>
      <c r="AY1076" s="74"/>
      <c r="BC1076" s="74"/>
      <c r="BG1076" s="74"/>
      <c r="BK1076" s="74"/>
      <c r="BO1076" s="74"/>
      <c r="BW1076" s="74"/>
      <c r="DF1076" s="21"/>
      <c r="DG1076" s="21"/>
      <c r="DH1076" s="21"/>
      <c r="DI1076" s="21"/>
    </row>
    <row r="1077" spans="2:113" s="123" customFormat="1">
      <c r="B1077" s="125"/>
      <c r="D1077" s="125"/>
      <c r="AA1077" s="74"/>
      <c r="AE1077" s="124"/>
      <c r="AI1077" s="74"/>
      <c r="AM1077" s="74"/>
      <c r="AY1077" s="74"/>
      <c r="BC1077" s="74"/>
      <c r="BG1077" s="74"/>
      <c r="BK1077" s="74"/>
      <c r="BO1077" s="74"/>
      <c r="BW1077" s="74"/>
      <c r="DF1077" s="21"/>
      <c r="DG1077" s="21"/>
      <c r="DH1077" s="21"/>
      <c r="DI1077" s="21"/>
    </row>
    <row r="1078" spans="2:113" s="123" customFormat="1">
      <c r="B1078" s="125"/>
      <c r="D1078" s="125"/>
      <c r="AA1078" s="74"/>
      <c r="AE1078" s="124"/>
      <c r="AI1078" s="74"/>
      <c r="AM1078" s="74"/>
      <c r="AY1078" s="74"/>
      <c r="BC1078" s="74"/>
      <c r="BG1078" s="74"/>
      <c r="BK1078" s="74"/>
      <c r="BO1078" s="74"/>
      <c r="BW1078" s="74"/>
      <c r="DF1078" s="21"/>
      <c r="DG1078" s="21"/>
      <c r="DH1078" s="21"/>
      <c r="DI1078" s="21"/>
    </row>
    <row r="1079" spans="2:113" s="123" customFormat="1">
      <c r="B1079" s="125"/>
      <c r="D1079" s="125"/>
      <c r="AA1079" s="74"/>
      <c r="AE1079" s="124"/>
      <c r="AI1079" s="74"/>
      <c r="AM1079" s="74"/>
      <c r="AY1079" s="74"/>
      <c r="BC1079" s="74"/>
      <c r="BG1079" s="74"/>
      <c r="BK1079" s="74"/>
      <c r="BO1079" s="74"/>
      <c r="BW1079" s="74"/>
      <c r="DF1079" s="21"/>
      <c r="DG1079" s="21"/>
      <c r="DH1079" s="21"/>
      <c r="DI1079" s="21"/>
    </row>
    <row r="1080" spans="2:113" s="123" customFormat="1">
      <c r="B1080" s="125"/>
      <c r="D1080" s="125"/>
      <c r="AA1080" s="74"/>
      <c r="AE1080" s="124"/>
      <c r="AI1080" s="74"/>
      <c r="AM1080" s="74"/>
      <c r="AY1080" s="74"/>
      <c r="BC1080" s="74"/>
      <c r="BG1080" s="74"/>
      <c r="BK1080" s="74"/>
      <c r="BO1080" s="74"/>
      <c r="BW1080" s="74"/>
      <c r="DF1080" s="21"/>
      <c r="DG1080" s="21"/>
      <c r="DH1080" s="21"/>
      <c r="DI1080" s="21"/>
    </row>
    <row r="1081" spans="2:113" s="123" customFormat="1">
      <c r="B1081" s="125"/>
      <c r="D1081" s="125"/>
      <c r="AA1081" s="74"/>
      <c r="AE1081" s="124"/>
      <c r="AI1081" s="74"/>
      <c r="AM1081" s="74"/>
      <c r="AY1081" s="74"/>
      <c r="BC1081" s="74"/>
      <c r="BG1081" s="74"/>
      <c r="BK1081" s="74"/>
      <c r="BO1081" s="74"/>
      <c r="BW1081" s="74"/>
      <c r="DF1081" s="21"/>
      <c r="DG1081" s="21"/>
      <c r="DH1081" s="21"/>
      <c r="DI1081" s="21"/>
    </row>
    <row r="1082" spans="2:113" s="123" customFormat="1">
      <c r="B1082" s="125"/>
      <c r="D1082" s="125"/>
      <c r="AA1082" s="74"/>
      <c r="AE1082" s="124"/>
      <c r="AI1082" s="74"/>
      <c r="AM1082" s="74"/>
      <c r="AY1082" s="74"/>
      <c r="BC1082" s="74"/>
      <c r="BG1082" s="74"/>
      <c r="BK1082" s="74"/>
      <c r="BO1082" s="74"/>
      <c r="BW1082" s="74"/>
      <c r="DF1082" s="21"/>
      <c r="DG1082" s="21"/>
      <c r="DH1082" s="21"/>
      <c r="DI1082" s="21"/>
    </row>
    <row r="1083" spans="2:113" s="123" customFormat="1">
      <c r="B1083" s="125"/>
      <c r="D1083" s="125"/>
      <c r="AA1083" s="74"/>
      <c r="AE1083" s="124"/>
      <c r="AI1083" s="74"/>
      <c r="AM1083" s="74"/>
      <c r="AY1083" s="74"/>
      <c r="BC1083" s="74"/>
      <c r="BG1083" s="74"/>
      <c r="BK1083" s="74"/>
      <c r="BO1083" s="74"/>
      <c r="BW1083" s="74"/>
      <c r="DF1083" s="21"/>
      <c r="DG1083" s="21"/>
      <c r="DH1083" s="21"/>
      <c r="DI1083" s="21"/>
    </row>
    <row r="1084" spans="2:113" s="123" customFormat="1">
      <c r="B1084" s="125"/>
      <c r="D1084" s="125"/>
      <c r="AA1084" s="74"/>
      <c r="AE1084" s="124"/>
      <c r="AI1084" s="74"/>
      <c r="AM1084" s="74"/>
      <c r="AY1084" s="74"/>
      <c r="BC1084" s="74"/>
      <c r="BG1084" s="74"/>
      <c r="BK1084" s="74"/>
      <c r="BO1084" s="74"/>
      <c r="BW1084" s="74"/>
      <c r="DF1084" s="21"/>
      <c r="DG1084" s="21"/>
      <c r="DH1084" s="21"/>
      <c r="DI1084" s="21"/>
    </row>
    <row r="1085" spans="2:113" s="123" customFormat="1">
      <c r="B1085" s="125"/>
      <c r="D1085" s="125"/>
      <c r="AA1085" s="74"/>
      <c r="AE1085" s="124"/>
      <c r="AI1085" s="74"/>
      <c r="AM1085" s="74"/>
      <c r="AY1085" s="74"/>
      <c r="BC1085" s="74"/>
      <c r="BG1085" s="74"/>
      <c r="BK1085" s="74"/>
      <c r="BO1085" s="74"/>
      <c r="BW1085" s="74"/>
      <c r="DF1085" s="21"/>
      <c r="DG1085" s="21"/>
      <c r="DH1085" s="21"/>
      <c r="DI1085" s="21"/>
    </row>
    <row r="1086" spans="2:113" s="123" customFormat="1">
      <c r="B1086" s="125"/>
      <c r="D1086" s="125"/>
      <c r="AA1086" s="74"/>
      <c r="AE1086" s="124"/>
      <c r="AI1086" s="74"/>
      <c r="AM1086" s="74"/>
      <c r="AY1086" s="74"/>
      <c r="BC1086" s="74"/>
      <c r="BG1086" s="74"/>
      <c r="BK1086" s="74"/>
      <c r="BO1086" s="74"/>
      <c r="BW1086" s="74"/>
      <c r="DF1086" s="21"/>
      <c r="DG1086" s="21"/>
      <c r="DH1086" s="21"/>
      <c r="DI1086" s="21"/>
    </row>
    <row r="1087" spans="2:113" s="123" customFormat="1">
      <c r="B1087" s="125"/>
      <c r="D1087" s="125"/>
      <c r="AA1087" s="74"/>
      <c r="AE1087" s="124"/>
      <c r="AI1087" s="74"/>
      <c r="AM1087" s="74"/>
      <c r="AY1087" s="74"/>
      <c r="BC1087" s="74"/>
      <c r="BG1087" s="74"/>
      <c r="BK1087" s="74"/>
      <c r="BO1087" s="74"/>
      <c r="BW1087" s="74"/>
      <c r="DF1087" s="21"/>
      <c r="DG1087" s="21"/>
      <c r="DH1087" s="21"/>
      <c r="DI1087" s="21"/>
    </row>
    <row r="1088" spans="2:113" s="123" customFormat="1">
      <c r="B1088" s="125"/>
      <c r="D1088" s="125"/>
      <c r="AA1088" s="74"/>
      <c r="AE1088" s="124"/>
      <c r="AI1088" s="74"/>
      <c r="AM1088" s="74"/>
      <c r="AY1088" s="74"/>
      <c r="BC1088" s="74"/>
      <c r="BG1088" s="74"/>
      <c r="BK1088" s="74"/>
      <c r="BO1088" s="74"/>
      <c r="BW1088" s="74"/>
      <c r="DF1088" s="21"/>
      <c r="DG1088" s="21"/>
      <c r="DH1088" s="21"/>
      <c r="DI1088" s="21"/>
    </row>
    <row r="1089" spans="2:113" s="123" customFormat="1">
      <c r="B1089" s="125"/>
      <c r="D1089" s="125"/>
      <c r="AA1089" s="74"/>
      <c r="AE1089" s="124"/>
      <c r="AI1089" s="74"/>
      <c r="AM1089" s="74"/>
      <c r="AY1089" s="74"/>
      <c r="BC1089" s="74"/>
      <c r="BG1089" s="74"/>
      <c r="BK1089" s="74"/>
      <c r="BO1089" s="74"/>
      <c r="BW1089" s="74"/>
      <c r="DF1089" s="21"/>
      <c r="DG1089" s="21"/>
      <c r="DH1089" s="21"/>
      <c r="DI1089" s="21"/>
    </row>
    <row r="1090" spans="2:113" s="123" customFormat="1">
      <c r="B1090" s="125"/>
      <c r="D1090" s="125"/>
      <c r="AA1090" s="74"/>
      <c r="AE1090" s="124"/>
      <c r="AI1090" s="74"/>
      <c r="AM1090" s="74"/>
      <c r="AY1090" s="74"/>
      <c r="BC1090" s="74"/>
      <c r="BG1090" s="74"/>
      <c r="BK1090" s="74"/>
      <c r="BO1090" s="74"/>
      <c r="BW1090" s="74"/>
      <c r="DF1090" s="21"/>
      <c r="DG1090" s="21"/>
      <c r="DH1090" s="21"/>
      <c r="DI1090" s="21"/>
    </row>
    <row r="1091" spans="2:113" s="123" customFormat="1">
      <c r="B1091" s="125"/>
      <c r="D1091" s="125"/>
      <c r="AA1091" s="74"/>
      <c r="AE1091" s="124"/>
      <c r="AI1091" s="74"/>
      <c r="AM1091" s="74"/>
      <c r="AY1091" s="74"/>
      <c r="BC1091" s="74"/>
      <c r="BG1091" s="74"/>
      <c r="BK1091" s="74"/>
      <c r="BO1091" s="74"/>
      <c r="BW1091" s="74"/>
      <c r="DF1091" s="21"/>
      <c r="DG1091" s="21"/>
      <c r="DH1091" s="21"/>
      <c r="DI1091" s="21"/>
    </row>
    <row r="1092" spans="2:113" s="123" customFormat="1">
      <c r="B1092" s="125"/>
      <c r="D1092" s="125"/>
      <c r="AA1092" s="74"/>
      <c r="AE1092" s="124"/>
      <c r="AI1092" s="74"/>
      <c r="AM1092" s="74"/>
      <c r="AY1092" s="74"/>
      <c r="BC1092" s="74"/>
      <c r="BG1092" s="74"/>
      <c r="BK1092" s="74"/>
      <c r="BO1092" s="74"/>
      <c r="BW1092" s="74"/>
      <c r="DF1092" s="21"/>
      <c r="DG1092" s="21"/>
      <c r="DH1092" s="21"/>
      <c r="DI1092" s="21"/>
    </row>
    <row r="1093" spans="2:113" s="123" customFormat="1">
      <c r="B1093" s="125"/>
      <c r="D1093" s="125"/>
      <c r="AA1093" s="74"/>
      <c r="AE1093" s="124"/>
      <c r="AI1093" s="74"/>
      <c r="AM1093" s="74"/>
      <c r="AY1093" s="74"/>
      <c r="BC1093" s="74"/>
      <c r="BG1093" s="74"/>
      <c r="BK1093" s="74"/>
      <c r="BO1093" s="74"/>
      <c r="BW1093" s="74"/>
      <c r="DF1093" s="21"/>
      <c r="DG1093" s="21"/>
      <c r="DH1093" s="21"/>
      <c r="DI1093" s="21"/>
    </row>
    <row r="1094" spans="2:113" s="123" customFormat="1">
      <c r="B1094" s="125"/>
      <c r="D1094" s="125"/>
      <c r="AA1094" s="74"/>
      <c r="AE1094" s="124"/>
      <c r="AI1094" s="74"/>
      <c r="AM1094" s="74"/>
      <c r="AY1094" s="74"/>
      <c r="BC1094" s="74"/>
      <c r="BG1094" s="74"/>
      <c r="BK1094" s="74"/>
      <c r="BO1094" s="74"/>
      <c r="BW1094" s="74"/>
      <c r="DF1094" s="21"/>
      <c r="DG1094" s="21"/>
      <c r="DH1094" s="21"/>
      <c r="DI1094" s="21"/>
    </row>
    <row r="1095" spans="2:113" s="123" customFormat="1">
      <c r="B1095" s="125"/>
      <c r="D1095" s="125"/>
      <c r="AA1095" s="74"/>
      <c r="AE1095" s="124"/>
      <c r="AI1095" s="74"/>
      <c r="AM1095" s="74"/>
      <c r="AY1095" s="74"/>
      <c r="BC1095" s="74"/>
      <c r="BG1095" s="74"/>
      <c r="BK1095" s="74"/>
      <c r="BO1095" s="74"/>
      <c r="BW1095" s="74"/>
      <c r="DF1095" s="21"/>
      <c r="DG1095" s="21"/>
      <c r="DH1095" s="21"/>
      <c r="DI1095" s="21"/>
    </row>
    <row r="1096" spans="2:113" s="123" customFormat="1">
      <c r="B1096" s="125"/>
      <c r="D1096" s="125"/>
      <c r="AA1096" s="74"/>
      <c r="AE1096" s="124"/>
      <c r="AI1096" s="74"/>
      <c r="AM1096" s="74"/>
      <c r="AY1096" s="74"/>
      <c r="BC1096" s="74"/>
      <c r="BG1096" s="74"/>
      <c r="BK1096" s="74"/>
      <c r="BO1096" s="74"/>
      <c r="BW1096" s="74"/>
      <c r="DF1096" s="21"/>
      <c r="DG1096" s="21"/>
      <c r="DH1096" s="21"/>
      <c r="DI1096" s="21"/>
    </row>
    <row r="1097" spans="2:113" s="123" customFormat="1">
      <c r="B1097" s="125"/>
      <c r="D1097" s="125"/>
      <c r="AA1097" s="74"/>
      <c r="AE1097" s="124"/>
      <c r="AI1097" s="74"/>
      <c r="AM1097" s="74"/>
      <c r="AY1097" s="74"/>
      <c r="BC1097" s="74"/>
      <c r="BG1097" s="74"/>
      <c r="BK1097" s="74"/>
      <c r="BO1097" s="74"/>
      <c r="BW1097" s="74"/>
      <c r="DF1097" s="21"/>
      <c r="DG1097" s="21"/>
      <c r="DH1097" s="21"/>
      <c r="DI1097" s="21"/>
    </row>
    <row r="1098" spans="2:113" s="123" customFormat="1">
      <c r="B1098" s="125"/>
      <c r="D1098" s="125"/>
      <c r="AA1098" s="74"/>
      <c r="AE1098" s="124"/>
      <c r="AI1098" s="74"/>
      <c r="AM1098" s="74"/>
      <c r="AY1098" s="74"/>
      <c r="BC1098" s="74"/>
      <c r="BG1098" s="74"/>
      <c r="BK1098" s="74"/>
      <c r="BO1098" s="74"/>
      <c r="BW1098" s="74"/>
      <c r="DF1098" s="21"/>
      <c r="DG1098" s="21"/>
      <c r="DH1098" s="21"/>
      <c r="DI1098" s="21"/>
    </row>
    <row r="1099" spans="2:113" s="123" customFormat="1">
      <c r="B1099" s="125"/>
      <c r="D1099" s="125"/>
      <c r="AA1099" s="74"/>
      <c r="AE1099" s="124"/>
      <c r="AI1099" s="74"/>
      <c r="AM1099" s="74"/>
      <c r="AY1099" s="74"/>
      <c r="BC1099" s="74"/>
      <c r="BG1099" s="74"/>
      <c r="BK1099" s="74"/>
      <c r="BO1099" s="74"/>
      <c r="BW1099" s="74"/>
      <c r="DF1099" s="21"/>
      <c r="DG1099" s="21"/>
      <c r="DH1099" s="21"/>
      <c r="DI1099" s="21"/>
    </row>
    <row r="1100" spans="2:113" s="123" customFormat="1">
      <c r="B1100" s="125"/>
      <c r="D1100" s="125"/>
      <c r="AA1100" s="74"/>
      <c r="AE1100" s="124"/>
      <c r="AI1100" s="74"/>
      <c r="AM1100" s="74"/>
      <c r="AY1100" s="74"/>
      <c r="BC1100" s="74"/>
      <c r="BG1100" s="74"/>
      <c r="BK1100" s="74"/>
      <c r="BO1100" s="74"/>
      <c r="BW1100" s="74"/>
      <c r="DF1100" s="21"/>
      <c r="DG1100" s="21"/>
      <c r="DH1100" s="21"/>
      <c r="DI1100" s="21"/>
    </row>
    <row r="1101" spans="2:113" s="123" customFormat="1">
      <c r="B1101" s="125"/>
      <c r="D1101" s="125"/>
      <c r="AA1101" s="74"/>
      <c r="AE1101" s="124"/>
      <c r="AI1101" s="74"/>
      <c r="AM1101" s="74"/>
      <c r="AY1101" s="74"/>
      <c r="BC1101" s="74"/>
      <c r="BG1101" s="74"/>
      <c r="BK1101" s="74"/>
      <c r="BO1101" s="74"/>
      <c r="BW1101" s="74"/>
      <c r="DF1101" s="21"/>
      <c r="DG1101" s="21"/>
      <c r="DH1101" s="21"/>
      <c r="DI1101" s="21"/>
    </row>
    <row r="1102" spans="2:113" s="123" customFormat="1">
      <c r="B1102" s="125"/>
      <c r="D1102" s="125"/>
      <c r="AA1102" s="74"/>
      <c r="AE1102" s="124"/>
      <c r="AI1102" s="74"/>
      <c r="AM1102" s="74"/>
      <c r="AY1102" s="74"/>
      <c r="BC1102" s="74"/>
      <c r="BG1102" s="74"/>
      <c r="BK1102" s="74"/>
      <c r="BO1102" s="74"/>
      <c r="BW1102" s="74"/>
      <c r="DF1102" s="21"/>
      <c r="DG1102" s="21"/>
      <c r="DH1102" s="21"/>
      <c r="DI1102" s="21"/>
    </row>
    <row r="1103" spans="2:113" s="123" customFormat="1">
      <c r="B1103" s="125"/>
      <c r="D1103" s="125"/>
      <c r="AA1103" s="74"/>
      <c r="AE1103" s="124"/>
      <c r="AI1103" s="74"/>
      <c r="AM1103" s="74"/>
      <c r="AY1103" s="74"/>
      <c r="BC1103" s="74"/>
      <c r="BG1103" s="74"/>
      <c r="BK1103" s="74"/>
      <c r="BO1103" s="74"/>
      <c r="BW1103" s="74"/>
      <c r="DF1103" s="21"/>
      <c r="DG1103" s="21"/>
      <c r="DH1103" s="21"/>
      <c r="DI1103" s="21"/>
    </row>
    <row r="1104" spans="2:113" s="123" customFormat="1">
      <c r="B1104" s="125"/>
      <c r="D1104" s="125"/>
      <c r="AA1104" s="74"/>
      <c r="AE1104" s="124"/>
      <c r="AI1104" s="74"/>
      <c r="AM1104" s="74"/>
      <c r="AY1104" s="74"/>
      <c r="BC1104" s="74"/>
      <c r="BG1104" s="74"/>
      <c r="BK1104" s="74"/>
      <c r="BO1104" s="74"/>
      <c r="BW1104" s="74"/>
      <c r="DF1104" s="21"/>
      <c r="DG1104" s="21"/>
      <c r="DH1104" s="21"/>
      <c r="DI1104" s="21"/>
    </row>
    <row r="1105" spans="2:113" s="123" customFormat="1">
      <c r="B1105" s="125"/>
      <c r="D1105" s="125"/>
      <c r="AA1105" s="74"/>
      <c r="AE1105" s="124"/>
      <c r="AI1105" s="74"/>
      <c r="AM1105" s="74"/>
      <c r="AY1105" s="74"/>
      <c r="BC1105" s="74"/>
      <c r="BG1105" s="74"/>
      <c r="BK1105" s="74"/>
      <c r="BO1105" s="74"/>
      <c r="BW1105" s="74"/>
      <c r="DF1105" s="21"/>
      <c r="DG1105" s="21"/>
      <c r="DH1105" s="21"/>
      <c r="DI1105" s="21"/>
    </row>
    <row r="1106" spans="2:113" s="123" customFormat="1">
      <c r="B1106" s="125"/>
      <c r="D1106" s="125"/>
      <c r="AA1106" s="74"/>
      <c r="AE1106" s="124"/>
      <c r="AI1106" s="74"/>
      <c r="AM1106" s="74"/>
      <c r="AY1106" s="74"/>
      <c r="BC1106" s="74"/>
      <c r="BG1106" s="74"/>
      <c r="BK1106" s="74"/>
      <c r="BO1106" s="74"/>
      <c r="BW1106" s="74"/>
      <c r="DF1106" s="21"/>
      <c r="DG1106" s="21"/>
      <c r="DH1106" s="21"/>
      <c r="DI1106" s="21"/>
    </row>
    <row r="1107" spans="2:113" s="123" customFormat="1">
      <c r="B1107" s="125"/>
      <c r="D1107" s="125"/>
      <c r="AA1107" s="74"/>
      <c r="AE1107" s="124"/>
      <c r="AI1107" s="74"/>
      <c r="AM1107" s="74"/>
      <c r="AY1107" s="74"/>
      <c r="BC1107" s="74"/>
      <c r="BG1107" s="74"/>
      <c r="BK1107" s="74"/>
      <c r="BO1107" s="74"/>
      <c r="BW1107" s="74"/>
      <c r="DF1107" s="21"/>
      <c r="DG1107" s="21"/>
      <c r="DH1107" s="21"/>
      <c r="DI1107" s="21"/>
    </row>
    <row r="1108" spans="2:113" s="123" customFormat="1">
      <c r="B1108" s="125"/>
      <c r="D1108" s="125"/>
      <c r="AA1108" s="74"/>
      <c r="AE1108" s="124"/>
      <c r="AI1108" s="74"/>
      <c r="AM1108" s="74"/>
      <c r="AY1108" s="74"/>
      <c r="BC1108" s="74"/>
      <c r="BG1108" s="74"/>
      <c r="BK1108" s="74"/>
      <c r="BO1108" s="74"/>
      <c r="BW1108" s="74"/>
      <c r="DF1108" s="21"/>
      <c r="DG1108" s="21"/>
      <c r="DH1108" s="21"/>
      <c r="DI1108" s="21"/>
    </row>
    <row r="1109" spans="2:113" s="123" customFormat="1">
      <c r="B1109" s="125"/>
      <c r="D1109" s="125"/>
      <c r="AA1109" s="74"/>
      <c r="AE1109" s="124"/>
      <c r="AI1109" s="74"/>
      <c r="AM1109" s="74"/>
      <c r="AY1109" s="74"/>
      <c r="BC1109" s="74"/>
      <c r="BG1109" s="74"/>
      <c r="BK1109" s="74"/>
      <c r="BO1109" s="74"/>
      <c r="BW1109" s="74"/>
      <c r="DF1109" s="21"/>
      <c r="DG1109" s="21"/>
      <c r="DH1109" s="21"/>
      <c r="DI1109" s="21"/>
    </row>
    <row r="1110" spans="2:113" s="123" customFormat="1">
      <c r="B1110" s="125"/>
      <c r="D1110" s="125"/>
      <c r="AA1110" s="74"/>
      <c r="AE1110" s="124"/>
      <c r="AI1110" s="74"/>
      <c r="AM1110" s="74"/>
      <c r="AY1110" s="74"/>
      <c r="BC1110" s="74"/>
      <c r="BG1110" s="74"/>
      <c r="BK1110" s="74"/>
      <c r="BO1110" s="74"/>
      <c r="BW1110" s="74"/>
      <c r="DF1110" s="21"/>
      <c r="DG1110" s="21"/>
      <c r="DH1110" s="21"/>
      <c r="DI1110" s="21"/>
    </row>
    <row r="1111" spans="2:113" s="123" customFormat="1">
      <c r="B1111" s="125"/>
      <c r="D1111" s="125"/>
      <c r="AA1111" s="74"/>
      <c r="AE1111" s="124"/>
      <c r="AI1111" s="74"/>
      <c r="AM1111" s="74"/>
      <c r="AY1111" s="74"/>
      <c r="BC1111" s="74"/>
      <c r="BG1111" s="74"/>
      <c r="BK1111" s="74"/>
      <c r="BO1111" s="74"/>
      <c r="BW1111" s="74"/>
      <c r="DF1111" s="21"/>
      <c r="DG1111" s="21"/>
      <c r="DH1111" s="21"/>
      <c r="DI1111" s="21"/>
    </row>
    <row r="1112" spans="2:113" s="123" customFormat="1">
      <c r="B1112" s="125"/>
      <c r="D1112" s="125"/>
      <c r="AA1112" s="74"/>
      <c r="AE1112" s="124"/>
      <c r="AI1112" s="74"/>
      <c r="AM1112" s="74"/>
      <c r="AY1112" s="74"/>
      <c r="BC1112" s="74"/>
      <c r="BG1112" s="74"/>
      <c r="BK1112" s="74"/>
      <c r="BO1112" s="74"/>
      <c r="BW1112" s="74"/>
      <c r="DF1112" s="21"/>
      <c r="DG1112" s="21"/>
      <c r="DH1112" s="21"/>
      <c r="DI1112" s="21"/>
    </row>
    <row r="1113" spans="2:113" s="123" customFormat="1">
      <c r="B1113" s="125"/>
      <c r="D1113" s="125"/>
      <c r="AA1113" s="74"/>
      <c r="AE1113" s="124"/>
      <c r="AI1113" s="74"/>
      <c r="AM1113" s="74"/>
      <c r="AY1113" s="74"/>
      <c r="BC1113" s="74"/>
      <c r="BG1113" s="74"/>
      <c r="BK1113" s="74"/>
      <c r="BO1113" s="74"/>
      <c r="BW1113" s="74"/>
      <c r="DF1113" s="21"/>
      <c r="DG1113" s="21"/>
      <c r="DH1113" s="21"/>
      <c r="DI1113" s="21"/>
    </row>
    <row r="1114" spans="2:113" s="123" customFormat="1">
      <c r="B1114" s="125"/>
      <c r="D1114" s="125"/>
      <c r="AA1114" s="74"/>
      <c r="AE1114" s="124"/>
      <c r="AI1114" s="74"/>
      <c r="AM1114" s="74"/>
      <c r="AY1114" s="74"/>
      <c r="BC1114" s="74"/>
      <c r="BG1114" s="74"/>
      <c r="BK1114" s="74"/>
      <c r="BO1114" s="74"/>
      <c r="BW1114" s="74"/>
      <c r="DF1114" s="21"/>
      <c r="DG1114" s="21"/>
      <c r="DH1114" s="21"/>
      <c r="DI1114" s="21"/>
    </row>
    <row r="1115" spans="2:113" s="123" customFormat="1">
      <c r="B1115" s="125"/>
      <c r="D1115" s="125"/>
      <c r="AA1115" s="74"/>
      <c r="AE1115" s="124"/>
      <c r="AI1115" s="74"/>
      <c r="AM1115" s="74"/>
      <c r="AY1115" s="74"/>
      <c r="BC1115" s="74"/>
      <c r="BG1115" s="74"/>
      <c r="BK1115" s="74"/>
      <c r="BO1115" s="74"/>
      <c r="BW1115" s="74"/>
      <c r="DF1115" s="21"/>
      <c r="DG1115" s="21"/>
      <c r="DH1115" s="21"/>
      <c r="DI1115" s="21"/>
    </row>
    <row r="1116" spans="2:113" s="123" customFormat="1">
      <c r="B1116" s="125"/>
      <c r="D1116" s="125"/>
      <c r="AA1116" s="74"/>
      <c r="AE1116" s="124"/>
      <c r="AI1116" s="74"/>
      <c r="AM1116" s="74"/>
      <c r="AY1116" s="74"/>
      <c r="BC1116" s="74"/>
      <c r="BG1116" s="74"/>
      <c r="BK1116" s="74"/>
      <c r="BO1116" s="74"/>
      <c r="BW1116" s="74"/>
      <c r="DF1116" s="21"/>
      <c r="DG1116" s="21"/>
      <c r="DH1116" s="21"/>
      <c r="DI1116" s="21"/>
    </row>
    <row r="1117" spans="2:113" s="123" customFormat="1">
      <c r="B1117" s="125"/>
      <c r="D1117" s="125"/>
      <c r="AA1117" s="74"/>
      <c r="AE1117" s="124"/>
      <c r="AI1117" s="74"/>
      <c r="AM1117" s="74"/>
      <c r="AY1117" s="74"/>
      <c r="BC1117" s="74"/>
      <c r="BG1117" s="74"/>
      <c r="BK1117" s="74"/>
      <c r="BO1117" s="74"/>
      <c r="BW1117" s="74"/>
      <c r="DF1117" s="21"/>
      <c r="DG1117" s="21"/>
      <c r="DH1117" s="21"/>
      <c r="DI1117" s="21"/>
    </row>
    <row r="1118" spans="2:113" s="123" customFormat="1">
      <c r="B1118" s="125"/>
      <c r="D1118" s="125"/>
      <c r="AA1118" s="74"/>
      <c r="AE1118" s="124"/>
      <c r="AI1118" s="74"/>
      <c r="AM1118" s="74"/>
      <c r="AY1118" s="74"/>
      <c r="BC1118" s="74"/>
      <c r="BG1118" s="74"/>
      <c r="BK1118" s="74"/>
      <c r="BO1118" s="74"/>
      <c r="BW1118" s="74"/>
      <c r="DF1118" s="21"/>
      <c r="DG1118" s="21"/>
      <c r="DH1118" s="21"/>
      <c r="DI1118" s="21"/>
    </row>
    <row r="1119" spans="2:113" s="123" customFormat="1">
      <c r="B1119" s="125"/>
      <c r="D1119" s="125"/>
      <c r="AA1119" s="74"/>
      <c r="AE1119" s="124"/>
      <c r="AI1119" s="74"/>
      <c r="AM1119" s="74"/>
      <c r="AY1119" s="74"/>
      <c r="BC1119" s="74"/>
      <c r="BG1119" s="74"/>
      <c r="BK1119" s="74"/>
      <c r="BO1119" s="74"/>
      <c r="BW1119" s="74"/>
      <c r="DF1119" s="21"/>
      <c r="DG1119" s="21"/>
      <c r="DH1119" s="21"/>
      <c r="DI1119" s="21"/>
    </row>
    <row r="1120" spans="2:113" s="123" customFormat="1">
      <c r="B1120" s="125"/>
      <c r="D1120" s="125"/>
      <c r="AA1120" s="74"/>
      <c r="AE1120" s="124"/>
      <c r="AI1120" s="74"/>
      <c r="AM1120" s="74"/>
      <c r="AY1120" s="74"/>
      <c r="BC1120" s="74"/>
      <c r="BG1120" s="74"/>
      <c r="BK1120" s="74"/>
      <c r="BO1120" s="74"/>
      <c r="BW1120" s="74"/>
      <c r="DF1120" s="21"/>
      <c r="DG1120" s="21"/>
      <c r="DH1120" s="21"/>
      <c r="DI1120" s="21"/>
    </row>
    <row r="1121" spans="2:113" s="123" customFormat="1">
      <c r="B1121" s="125"/>
      <c r="D1121" s="125"/>
      <c r="AA1121" s="74"/>
      <c r="AE1121" s="124"/>
      <c r="AI1121" s="74"/>
      <c r="AM1121" s="74"/>
      <c r="AY1121" s="74"/>
      <c r="BC1121" s="74"/>
      <c r="BG1121" s="74"/>
      <c r="BK1121" s="74"/>
      <c r="BO1121" s="74"/>
      <c r="BW1121" s="74"/>
      <c r="DF1121" s="21"/>
      <c r="DG1121" s="21"/>
      <c r="DH1121" s="21"/>
      <c r="DI1121" s="21"/>
    </row>
    <row r="1122" spans="2:113" s="123" customFormat="1">
      <c r="B1122" s="125"/>
      <c r="D1122" s="125"/>
      <c r="AA1122" s="74"/>
      <c r="AE1122" s="124"/>
      <c r="AI1122" s="74"/>
      <c r="AM1122" s="74"/>
      <c r="AY1122" s="74"/>
      <c r="BC1122" s="74"/>
      <c r="BG1122" s="74"/>
      <c r="BK1122" s="74"/>
      <c r="BO1122" s="74"/>
      <c r="BW1122" s="74"/>
      <c r="DF1122" s="21"/>
      <c r="DG1122" s="21"/>
      <c r="DH1122" s="21"/>
      <c r="DI1122" s="21"/>
    </row>
    <row r="1123" spans="2:113" s="123" customFormat="1">
      <c r="B1123" s="125"/>
      <c r="D1123" s="125"/>
      <c r="AA1123" s="74"/>
      <c r="AE1123" s="124"/>
      <c r="AI1123" s="74"/>
      <c r="AM1123" s="74"/>
      <c r="AY1123" s="74"/>
      <c r="BC1123" s="74"/>
      <c r="BG1123" s="74"/>
      <c r="BK1123" s="74"/>
      <c r="BO1123" s="74"/>
      <c r="BW1123" s="74"/>
      <c r="DF1123" s="21"/>
      <c r="DG1123" s="21"/>
      <c r="DH1123" s="21"/>
      <c r="DI1123" s="21"/>
    </row>
    <row r="1124" spans="2:113" s="123" customFormat="1">
      <c r="B1124" s="125"/>
      <c r="D1124" s="125"/>
      <c r="AA1124" s="74"/>
      <c r="AE1124" s="124"/>
      <c r="AI1124" s="74"/>
      <c r="AM1124" s="74"/>
      <c r="AY1124" s="74"/>
      <c r="BC1124" s="74"/>
      <c r="BG1124" s="74"/>
      <c r="BK1124" s="74"/>
      <c r="BO1124" s="74"/>
      <c r="BW1124" s="74"/>
      <c r="DF1124" s="21"/>
      <c r="DG1124" s="21"/>
      <c r="DH1124" s="21"/>
      <c r="DI1124" s="21"/>
    </row>
    <row r="1125" spans="2:113" s="123" customFormat="1">
      <c r="B1125" s="125"/>
      <c r="D1125" s="125"/>
      <c r="AA1125" s="74"/>
      <c r="AE1125" s="124"/>
      <c r="AI1125" s="74"/>
      <c r="AM1125" s="74"/>
      <c r="AY1125" s="74"/>
      <c r="BC1125" s="74"/>
      <c r="BG1125" s="74"/>
      <c r="BK1125" s="74"/>
      <c r="BO1125" s="74"/>
      <c r="BW1125" s="74"/>
      <c r="DF1125" s="21"/>
      <c r="DG1125" s="21"/>
      <c r="DH1125" s="21"/>
      <c r="DI1125" s="21"/>
    </row>
    <row r="1126" spans="2:113" s="123" customFormat="1">
      <c r="B1126" s="125"/>
      <c r="D1126" s="125"/>
      <c r="AA1126" s="74"/>
      <c r="AE1126" s="124"/>
      <c r="AI1126" s="74"/>
      <c r="AM1126" s="74"/>
      <c r="AY1126" s="74"/>
      <c r="BC1126" s="74"/>
      <c r="BG1126" s="74"/>
      <c r="BK1126" s="74"/>
      <c r="BO1126" s="74"/>
      <c r="BW1126" s="74"/>
      <c r="DF1126" s="21"/>
      <c r="DG1126" s="21"/>
      <c r="DH1126" s="21"/>
      <c r="DI1126" s="21"/>
    </row>
    <row r="1127" spans="2:113" s="123" customFormat="1">
      <c r="B1127" s="125"/>
      <c r="D1127" s="125"/>
      <c r="AA1127" s="74"/>
      <c r="AE1127" s="124"/>
      <c r="AI1127" s="74"/>
      <c r="AM1127" s="74"/>
      <c r="AY1127" s="74"/>
      <c r="BC1127" s="74"/>
      <c r="BG1127" s="74"/>
      <c r="BK1127" s="74"/>
      <c r="BO1127" s="74"/>
      <c r="BW1127" s="74"/>
      <c r="DF1127" s="21"/>
      <c r="DG1127" s="21"/>
      <c r="DH1127" s="21"/>
      <c r="DI1127" s="21"/>
    </row>
    <row r="1128" spans="2:113" s="123" customFormat="1">
      <c r="B1128" s="125"/>
      <c r="D1128" s="125"/>
      <c r="AA1128" s="74"/>
      <c r="AE1128" s="124"/>
      <c r="AI1128" s="74"/>
      <c r="AM1128" s="74"/>
      <c r="AY1128" s="74"/>
      <c r="BC1128" s="74"/>
      <c r="BG1128" s="74"/>
      <c r="BK1128" s="74"/>
      <c r="BO1128" s="74"/>
      <c r="BW1128" s="74"/>
      <c r="DF1128" s="21"/>
      <c r="DG1128" s="21"/>
      <c r="DH1128" s="21"/>
      <c r="DI1128" s="21"/>
    </row>
    <row r="1129" spans="2:113" s="123" customFormat="1">
      <c r="B1129" s="125"/>
      <c r="D1129" s="125"/>
      <c r="AA1129" s="74"/>
      <c r="AE1129" s="124"/>
      <c r="AI1129" s="74"/>
      <c r="AM1129" s="74"/>
      <c r="AY1129" s="74"/>
      <c r="BC1129" s="74"/>
      <c r="BG1129" s="74"/>
      <c r="BK1129" s="74"/>
      <c r="BO1129" s="74"/>
      <c r="BW1129" s="74"/>
      <c r="DF1129" s="21"/>
      <c r="DG1129" s="21"/>
      <c r="DH1129" s="21"/>
      <c r="DI1129" s="21"/>
    </row>
    <row r="1130" spans="2:113" s="123" customFormat="1">
      <c r="B1130" s="125"/>
      <c r="D1130" s="125"/>
      <c r="AA1130" s="74"/>
      <c r="AE1130" s="124"/>
      <c r="AI1130" s="74"/>
      <c r="AM1130" s="74"/>
      <c r="AY1130" s="74"/>
      <c r="BC1130" s="74"/>
      <c r="BG1130" s="74"/>
      <c r="BK1130" s="74"/>
      <c r="BO1130" s="74"/>
      <c r="BW1130" s="74"/>
      <c r="DF1130" s="21"/>
      <c r="DG1130" s="21"/>
      <c r="DH1130" s="21"/>
      <c r="DI1130" s="21"/>
    </row>
    <row r="1131" spans="2:113" s="123" customFormat="1">
      <c r="B1131" s="125"/>
      <c r="D1131" s="125"/>
      <c r="AA1131" s="74"/>
      <c r="AE1131" s="124"/>
      <c r="AI1131" s="74"/>
      <c r="AM1131" s="74"/>
      <c r="AY1131" s="74"/>
      <c r="BC1131" s="74"/>
      <c r="BG1131" s="74"/>
      <c r="BK1131" s="74"/>
      <c r="BO1131" s="74"/>
      <c r="BW1131" s="74"/>
      <c r="DF1131" s="21"/>
      <c r="DG1131" s="21"/>
      <c r="DH1131" s="21"/>
      <c r="DI1131" s="21"/>
    </row>
    <row r="1132" spans="2:113" s="123" customFormat="1">
      <c r="B1132" s="125"/>
      <c r="D1132" s="125"/>
      <c r="AA1132" s="74"/>
      <c r="AE1132" s="124"/>
      <c r="AI1132" s="74"/>
      <c r="AM1132" s="74"/>
      <c r="AY1132" s="74"/>
      <c r="BC1132" s="74"/>
      <c r="BG1132" s="74"/>
      <c r="BK1132" s="74"/>
      <c r="BO1132" s="74"/>
      <c r="BW1132" s="74"/>
      <c r="DF1132" s="21"/>
      <c r="DG1132" s="21"/>
      <c r="DH1132" s="21"/>
      <c r="DI1132" s="21"/>
    </row>
    <row r="1133" spans="2:113" s="123" customFormat="1">
      <c r="B1133" s="125"/>
      <c r="D1133" s="125"/>
      <c r="AA1133" s="74"/>
      <c r="AE1133" s="124"/>
      <c r="AI1133" s="74"/>
      <c r="AM1133" s="74"/>
      <c r="AY1133" s="74"/>
      <c r="BC1133" s="74"/>
      <c r="BG1133" s="74"/>
      <c r="BK1133" s="74"/>
      <c r="BO1133" s="74"/>
      <c r="BW1133" s="74"/>
      <c r="DF1133" s="21"/>
      <c r="DG1133" s="21"/>
      <c r="DH1133" s="21"/>
      <c r="DI1133" s="21"/>
    </row>
    <row r="1134" spans="2:113" s="123" customFormat="1">
      <c r="B1134" s="125"/>
      <c r="D1134" s="125"/>
      <c r="AA1134" s="74"/>
      <c r="AE1134" s="124"/>
      <c r="AI1134" s="74"/>
      <c r="AM1134" s="74"/>
      <c r="AY1134" s="74"/>
      <c r="BC1134" s="74"/>
      <c r="BG1134" s="74"/>
      <c r="BK1134" s="74"/>
      <c r="BO1134" s="74"/>
      <c r="BW1134" s="74"/>
      <c r="DF1134" s="21"/>
      <c r="DG1134" s="21"/>
      <c r="DH1134" s="21"/>
      <c r="DI1134" s="21"/>
    </row>
    <row r="1135" spans="2:113" s="123" customFormat="1">
      <c r="B1135" s="125"/>
      <c r="D1135" s="125"/>
      <c r="AA1135" s="74"/>
      <c r="AE1135" s="124"/>
      <c r="AI1135" s="74"/>
      <c r="AM1135" s="74"/>
      <c r="AY1135" s="74"/>
      <c r="BC1135" s="74"/>
      <c r="BG1135" s="74"/>
      <c r="BK1135" s="74"/>
      <c r="BO1135" s="74"/>
      <c r="BW1135" s="74"/>
      <c r="DF1135" s="21"/>
      <c r="DG1135" s="21"/>
      <c r="DH1135" s="21"/>
      <c r="DI1135" s="21"/>
    </row>
    <row r="1136" spans="2:113" s="123" customFormat="1">
      <c r="B1136" s="125"/>
      <c r="D1136" s="125"/>
      <c r="AA1136" s="74"/>
      <c r="AE1136" s="124"/>
      <c r="AI1136" s="74"/>
      <c r="AM1136" s="74"/>
      <c r="AY1136" s="74"/>
      <c r="BC1136" s="74"/>
      <c r="BG1136" s="74"/>
      <c r="BK1136" s="74"/>
      <c r="BO1136" s="74"/>
      <c r="BW1136" s="74"/>
      <c r="DF1136" s="21"/>
      <c r="DG1136" s="21"/>
      <c r="DH1136" s="21"/>
      <c r="DI1136" s="21"/>
    </row>
    <row r="1137" spans="2:113" s="123" customFormat="1">
      <c r="B1137" s="125"/>
      <c r="D1137" s="125"/>
      <c r="AA1137" s="74"/>
      <c r="AE1137" s="124"/>
      <c r="AI1137" s="74"/>
      <c r="AM1137" s="74"/>
      <c r="AY1137" s="74"/>
      <c r="BC1137" s="74"/>
      <c r="BG1137" s="74"/>
      <c r="BK1137" s="74"/>
      <c r="BO1137" s="74"/>
      <c r="BW1137" s="74"/>
      <c r="DF1137" s="21"/>
      <c r="DG1137" s="21"/>
      <c r="DH1137" s="21"/>
      <c r="DI1137" s="21"/>
    </row>
    <row r="1138" spans="2:113" s="123" customFormat="1">
      <c r="B1138" s="125"/>
      <c r="D1138" s="125"/>
      <c r="AA1138" s="74"/>
      <c r="AE1138" s="124"/>
      <c r="AI1138" s="74"/>
      <c r="AM1138" s="74"/>
      <c r="AY1138" s="74"/>
      <c r="BC1138" s="74"/>
      <c r="BG1138" s="74"/>
      <c r="BK1138" s="74"/>
      <c r="BO1138" s="74"/>
      <c r="BW1138" s="74"/>
      <c r="DF1138" s="21"/>
      <c r="DG1138" s="21"/>
      <c r="DH1138" s="21"/>
      <c r="DI1138" s="21"/>
    </row>
    <row r="1139" spans="2:113" s="123" customFormat="1">
      <c r="B1139" s="125"/>
      <c r="D1139" s="125"/>
      <c r="AA1139" s="74"/>
      <c r="AE1139" s="124"/>
      <c r="AI1139" s="74"/>
      <c r="AM1139" s="74"/>
      <c r="AY1139" s="74"/>
      <c r="BC1139" s="74"/>
      <c r="BG1139" s="74"/>
      <c r="BK1139" s="74"/>
      <c r="BO1139" s="74"/>
      <c r="BW1139" s="74"/>
      <c r="DF1139" s="21"/>
      <c r="DG1139" s="21"/>
      <c r="DH1139" s="21"/>
      <c r="DI1139" s="21"/>
    </row>
    <row r="1140" spans="2:113" s="123" customFormat="1">
      <c r="B1140" s="125"/>
      <c r="D1140" s="125"/>
      <c r="AA1140" s="74"/>
      <c r="AE1140" s="124"/>
      <c r="AI1140" s="74"/>
      <c r="AM1140" s="74"/>
      <c r="AY1140" s="74"/>
      <c r="BC1140" s="74"/>
      <c r="BG1140" s="74"/>
      <c r="BK1140" s="74"/>
      <c r="BO1140" s="74"/>
      <c r="BW1140" s="74"/>
      <c r="DF1140" s="21"/>
      <c r="DG1140" s="21"/>
      <c r="DH1140" s="21"/>
      <c r="DI1140" s="21"/>
    </row>
    <row r="1141" spans="2:113" s="123" customFormat="1">
      <c r="B1141" s="125"/>
      <c r="D1141" s="125"/>
      <c r="AA1141" s="74"/>
      <c r="AE1141" s="124"/>
      <c r="AI1141" s="74"/>
      <c r="AM1141" s="74"/>
      <c r="AY1141" s="74"/>
      <c r="BC1141" s="74"/>
      <c r="BG1141" s="74"/>
      <c r="BK1141" s="74"/>
      <c r="BO1141" s="74"/>
      <c r="BW1141" s="74"/>
      <c r="DF1141" s="21"/>
      <c r="DG1141" s="21"/>
      <c r="DH1141" s="21"/>
      <c r="DI1141" s="21"/>
    </row>
    <row r="1142" spans="2:113" s="123" customFormat="1">
      <c r="B1142" s="125"/>
      <c r="D1142" s="125"/>
      <c r="AA1142" s="74"/>
      <c r="AE1142" s="124"/>
      <c r="AI1142" s="74"/>
      <c r="AM1142" s="74"/>
      <c r="AY1142" s="74"/>
      <c r="BC1142" s="74"/>
      <c r="BG1142" s="74"/>
      <c r="BK1142" s="74"/>
      <c r="BO1142" s="74"/>
      <c r="BW1142" s="74"/>
      <c r="DF1142" s="21"/>
      <c r="DG1142" s="21"/>
      <c r="DH1142" s="21"/>
      <c r="DI1142" s="21"/>
    </row>
    <row r="1143" spans="2:113" s="123" customFormat="1">
      <c r="B1143" s="125"/>
      <c r="D1143" s="125"/>
      <c r="AA1143" s="74"/>
      <c r="AE1143" s="124"/>
      <c r="AI1143" s="74"/>
      <c r="AM1143" s="74"/>
      <c r="AY1143" s="74"/>
      <c r="BC1143" s="74"/>
      <c r="BG1143" s="74"/>
      <c r="BK1143" s="74"/>
      <c r="BO1143" s="74"/>
      <c r="BW1143" s="74"/>
      <c r="DF1143" s="21"/>
      <c r="DG1143" s="21"/>
      <c r="DH1143" s="21"/>
      <c r="DI1143" s="21"/>
    </row>
    <row r="1144" spans="2:113" s="123" customFormat="1">
      <c r="B1144" s="125"/>
      <c r="D1144" s="125"/>
      <c r="AA1144" s="74"/>
      <c r="AE1144" s="124"/>
      <c r="AI1144" s="74"/>
      <c r="AM1144" s="74"/>
      <c r="AY1144" s="74"/>
      <c r="BC1144" s="74"/>
      <c r="BG1144" s="74"/>
      <c r="BK1144" s="74"/>
      <c r="BO1144" s="74"/>
      <c r="BW1144" s="74"/>
      <c r="DF1144" s="21"/>
      <c r="DG1144" s="21"/>
      <c r="DH1144" s="21"/>
      <c r="DI1144" s="21"/>
    </row>
    <row r="1145" spans="2:113" s="123" customFormat="1">
      <c r="B1145" s="125"/>
      <c r="D1145" s="125"/>
      <c r="AA1145" s="74"/>
      <c r="AE1145" s="124"/>
      <c r="AI1145" s="74"/>
      <c r="AM1145" s="74"/>
      <c r="AY1145" s="74"/>
      <c r="BC1145" s="74"/>
      <c r="BG1145" s="74"/>
      <c r="BK1145" s="74"/>
      <c r="BO1145" s="74"/>
      <c r="BW1145" s="74"/>
      <c r="DF1145" s="21"/>
      <c r="DG1145" s="21"/>
      <c r="DH1145" s="21"/>
      <c r="DI1145" s="21"/>
    </row>
    <row r="1146" spans="2:113" s="123" customFormat="1">
      <c r="B1146" s="125"/>
      <c r="D1146" s="125"/>
      <c r="AA1146" s="74"/>
      <c r="AE1146" s="124"/>
      <c r="AI1146" s="74"/>
      <c r="AM1146" s="74"/>
      <c r="AY1146" s="74"/>
      <c r="BC1146" s="74"/>
      <c r="BG1146" s="74"/>
      <c r="BK1146" s="74"/>
      <c r="BO1146" s="74"/>
      <c r="BW1146" s="74"/>
      <c r="DF1146" s="21"/>
      <c r="DG1146" s="21"/>
      <c r="DH1146" s="21"/>
      <c r="DI1146" s="21"/>
    </row>
    <row r="1147" spans="2:113" s="123" customFormat="1">
      <c r="B1147" s="125"/>
      <c r="D1147" s="125"/>
      <c r="AA1147" s="74"/>
      <c r="AE1147" s="124"/>
      <c r="AI1147" s="74"/>
      <c r="AM1147" s="74"/>
      <c r="AY1147" s="74"/>
      <c r="BC1147" s="74"/>
      <c r="BG1147" s="74"/>
      <c r="BK1147" s="74"/>
      <c r="BO1147" s="74"/>
      <c r="BW1147" s="74"/>
      <c r="DF1147" s="21"/>
      <c r="DG1147" s="21"/>
      <c r="DH1147" s="21"/>
      <c r="DI1147" s="21"/>
    </row>
    <row r="1148" spans="2:113" s="123" customFormat="1">
      <c r="B1148" s="125"/>
      <c r="D1148" s="125"/>
      <c r="AA1148" s="74"/>
      <c r="AE1148" s="124"/>
      <c r="AI1148" s="74"/>
      <c r="AM1148" s="74"/>
      <c r="AY1148" s="74"/>
      <c r="BC1148" s="74"/>
      <c r="BG1148" s="74"/>
      <c r="BK1148" s="74"/>
      <c r="BO1148" s="74"/>
      <c r="BW1148" s="74"/>
      <c r="DF1148" s="21"/>
      <c r="DG1148" s="21"/>
      <c r="DH1148" s="21"/>
      <c r="DI1148" s="21"/>
    </row>
    <row r="1149" spans="2:113" s="123" customFormat="1">
      <c r="B1149" s="125"/>
      <c r="D1149" s="125"/>
      <c r="AA1149" s="74"/>
      <c r="AE1149" s="124"/>
      <c r="AI1149" s="74"/>
      <c r="AM1149" s="74"/>
      <c r="AY1149" s="74"/>
      <c r="BC1149" s="74"/>
      <c r="BG1149" s="74"/>
      <c r="BK1149" s="74"/>
      <c r="BO1149" s="74"/>
      <c r="BW1149" s="74"/>
      <c r="DF1149" s="21"/>
      <c r="DG1149" s="21"/>
      <c r="DH1149" s="21"/>
      <c r="DI1149" s="21"/>
    </row>
    <row r="1150" spans="2:113" s="123" customFormat="1">
      <c r="B1150" s="125"/>
      <c r="D1150" s="125"/>
      <c r="AA1150" s="74"/>
      <c r="AE1150" s="124"/>
      <c r="AI1150" s="74"/>
      <c r="AM1150" s="74"/>
      <c r="AY1150" s="74"/>
      <c r="BC1150" s="74"/>
      <c r="BG1150" s="74"/>
      <c r="BK1150" s="74"/>
      <c r="BO1150" s="74"/>
      <c r="BW1150" s="74"/>
      <c r="DF1150" s="21"/>
      <c r="DG1150" s="21"/>
      <c r="DH1150" s="21"/>
      <c r="DI1150" s="21"/>
    </row>
    <row r="1151" spans="2:113" s="123" customFormat="1">
      <c r="B1151" s="125"/>
      <c r="D1151" s="125"/>
      <c r="AA1151" s="74"/>
      <c r="AE1151" s="124"/>
      <c r="AI1151" s="74"/>
      <c r="AM1151" s="74"/>
      <c r="AY1151" s="74"/>
      <c r="BC1151" s="74"/>
      <c r="BG1151" s="74"/>
      <c r="BK1151" s="74"/>
      <c r="BO1151" s="74"/>
      <c r="BW1151" s="74"/>
      <c r="DF1151" s="21"/>
      <c r="DG1151" s="21"/>
      <c r="DH1151" s="21"/>
      <c r="DI1151" s="21"/>
    </row>
    <row r="1152" spans="2:113" s="123" customFormat="1">
      <c r="B1152" s="125"/>
      <c r="D1152" s="125"/>
      <c r="AA1152" s="74"/>
      <c r="AE1152" s="124"/>
      <c r="AI1152" s="74"/>
      <c r="AM1152" s="74"/>
      <c r="AY1152" s="74"/>
      <c r="BC1152" s="74"/>
      <c r="BG1152" s="74"/>
      <c r="BK1152" s="74"/>
      <c r="BO1152" s="74"/>
      <c r="BW1152" s="74"/>
      <c r="DF1152" s="21"/>
      <c r="DG1152" s="21"/>
      <c r="DH1152" s="21"/>
      <c r="DI1152" s="21"/>
    </row>
    <row r="1153" spans="2:113" s="123" customFormat="1">
      <c r="B1153" s="125"/>
      <c r="D1153" s="125"/>
      <c r="AA1153" s="74"/>
      <c r="AE1153" s="124"/>
      <c r="AI1153" s="74"/>
      <c r="AM1153" s="74"/>
      <c r="AY1153" s="74"/>
      <c r="BC1153" s="74"/>
      <c r="BG1153" s="74"/>
      <c r="BK1153" s="74"/>
      <c r="BO1153" s="74"/>
      <c r="BW1153" s="74"/>
      <c r="DF1153" s="21"/>
      <c r="DG1153" s="21"/>
      <c r="DH1153" s="21"/>
      <c r="DI1153" s="21"/>
    </row>
    <row r="1154" spans="2:113" s="123" customFormat="1">
      <c r="B1154" s="125"/>
      <c r="D1154" s="125"/>
      <c r="AA1154" s="74"/>
      <c r="AE1154" s="124"/>
      <c r="AI1154" s="74"/>
      <c r="AM1154" s="74"/>
      <c r="AY1154" s="74"/>
      <c r="BC1154" s="74"/>
      <c r="BG1154" s="74"/>
      <c r="BK1154" s="74"/>
      <c r="BO1154" s="74"/>
      <c r="BW1154" s="74"/>
      <c r="DF1154" s="21"/>
      <c r="DG1154" s="21"/>
      <c r="DH1154" s="21"/>
      <c r="DI1154" s="21"/>
    </row>
    <row r="1155" spans="2:113" s="123" customFormat="1">
      <c r="B1155" s="125"/>
      <c r="D1155" s="125"/>
      <c r="AA1155" s="74"/>
      <c r="AE1155" s="124"/>
      <c r="AI1155" s="74"/>
      <c r="AM1155" s="74"/>
      <c r="AY1155" s="74"/>
      <c r="BC1155" s="74"/>
      <c r="BG1155" s="74"/>
      <c r="BK1155" s="74"/>
      <c r="BO1155" s="74"/>
      <c r="BW1155" s="74"/>
      <c r="DF1155" s="21"/>
      <c r="DG1155" s="21"/>
      <c r="DH1155" s="21"/>
      <c r="DI1155" s="21"/>
    </row>
    <row r="1156" spans="2:113" s="123" customFormat="1">
      <c r="B1156" s="125"/>
      <c r="D1156" s="125"/>
      <c r="AA1156" s="74"/>
      <c r="AE1156" s="124"/>
      <c r="AI1156" s="74"/>
      <c r="AM1156" s="74"/>
      <c r="AY1156" s="74"/>
      <c r="BC1156" s="74"/>
      <c r="BG1156" s="74"/>
      <c r="BK1156" s="74"/>
      <c r="BO1156" s="74"/>
      <c r="BW1156" s="74"/>
      <c r="DF1156" s="21"/>
      <c r="DG1156" s="21"/>
      <c r="DH1156" s="21"/>
      <c r="DI1156" s="21"/>
    </row>
    <row r="1157" spans="2:113" s="123" customFormat="1">
      <c r="B1157" s="125"/>
      <c r="D1157" s="125"/>
      <c r="AA1157" s="74"/>
      <c r="AE1157" s="124"/>
      <c r="AI1157" s="74"/>
      <c r="AM1157" s="74"/>
      <c r="AY1157" s="74"/>
      <c r="BC1157" s="74"/>
      <c r="BG1157" s="74"/>
      <c r="BK1157" s="74"/>
      <c r="BO1157" s="74"/>
      <c r="BW1157" s="74"/>
      <c r="DF1157" s="21"/>
      <c r="DG1157" s="21"/>
      <c r="DH1157" s="21"/>
      <c r="DI1157" s="21"/>
    </row>
    <row r="1158" spans="2:113" s="123" customFormat="1">
      <c r="B1158" s="125"/>
      <c r="D1158" s="125"/>
      <c r="AA1158" s="74"/>
      <c r="AE1158" s="124"/>
      <c r="AI1158" s="74"/>
      <c r="AM1158" s="74"/>
      <c r="AY1158" s="74"/>
      <c r="BC1158" s="74"/>
      <c r="BG1158" s="74"/>
      <c r="BK1158" s="74"/>
      <c r="BO1158" s="74"/>
      <c r="BW1158" s="74"/>
      <c r="DF1158" s="21"/>
      <c r="DG1158" s="21"/>
      <c r="DH1158" s="21"/>
      <c r="DI1158" s="21"/>
    </row>
    <row r="1159" spans="2:113" s="123" customFormat="1">
      <c r="B1159" s="125"/>
      <c r="D1159" s="125"/>
      <c r="AA1159" s="74"/>
      <c r="AE1159" s="124"/>
      <c r="AI1159" s="74"/>
      <c r="AM1159" s="74"/>
      <c r="AY1159" s="74"/>
      <c r="BC1159" s="74"/>
      <c r="BG1159" s="74"/>
      <c r="BK1159" s="74"/>
      <c r="BO1159" s="74"/>
      <c r="BW1159" s="74"/>
      <c r="DF1159" s="21"/>
      <c r="DG1159" s="21"/>
      <c r="DH1159" s="21"/>
      <c r="DI1159" s="21"/>
    </row>
    <row r="1160" spans="2:113" s="123" customFormat="1">
      <c r="B1160" s="125"/>
      <c r="D1160" s="125"/>
      <c r="AA1160" s="74"/>
      <c r="AE1160" s="124"/>
      <c r="AI1160" s="74"/>
      <c r="AM1160" s="74"/>
      <c r="AY1160" s="74"/>
      <c r="BC1160" s="74"/>
      <c r="BG1160" s="74"/>
      <c r="BK1160" s="74"/>
      <c r="BO1160" s="74"/>
      <c r="BW1160" s="74"/>
      <c r="DF1160" s="21"/>
      <c r="DG1160" s="21"/>
      <c r="DH1160" s="21"/>
      <c r="DI1160" s="21"/>
    </row>
    <row r="1161" spans="2:113" s="123" customFormat="1">
      <c r="B1161" s="125"/>
      <c r="D1161" s="125"/>
      <c r="AA1161" s="74"/>
      <c r="AE1161" s="124"/>
      <c r="AI1161" s="74"/>
      <c r="AM1161" s="74"/>
      <c r="AY1161" s="74"/>
      <c r="BC1161" s="74"/>
      <c r="BG1161" s="74"/>
      <c r="BK1161" s="74"/>
      <c r="BO1161" s="74"/>
      <c r="BW1161" s="74"/>
      <c r="DF1161" s="21"/>
      <c r="DG1161" s="21"/>
      <c r="DH1161" s="21"/>
      <c r="DI1161" s="21"/>
    </row>
    <row r="1162" spans="2:113" s="123" customFormat="1">
      <c r="B1162" s="125"/>
      <c r="D1162" s="125"/>
      <c r="AA1162" s="74"/>
      <c r="AE1162" s="124"/>
      <c r="AI1162" s="74"/>
      <c r="AM1162" s="74"/>
      <c r="AY1162" s="74"/>
      <c r="BC1162" s="74"/>
      <c r="BG1162" s="74"/>
      <c r="BK1162" s="74"/>
      <c r="BO1162" s="74"/>
      <c r="BW1162" s="74"/>
      <c r="DF1162" s="21"/>
      <c r="DG1162" s="21"/>
      <c r="DH1162" s="21"/>
      <c r="DI1162" s="21"/>
    </row>
    <row r="1163" spans="2:113" s="123" customFormat="1">
      <c r="B1163" s="125"/>
      <c r="D1163" s="125"/>
      <c r="AA1163" s="74"/>
      <c r="AE1163" s="124"/>
      <c r="AI1163" s="74"/>
      <c r="AM1163" s="74"/>
      <c r="AY1163" s="74"/>
      <c r="BC1163" s="74"/>
      <c r="BG1163" s="74"/>
      <c r="BK1163" s="74"/>
      <c r="BO1163" s="74"/>
      <c r="BW1163" s="74"/>
      <c r="DF1163" s="21"/>
      <c r="DG1163" s="21"/>
      <c r="DH1163" s="21"/>
      <c r="DI1163" s="21"/>
    </row>
    <row r="1164" spans="2:113" s="123" customFormat="1">
      <c r="B1164" s="125"/>
      <c r="D1164" s="125"/>
      <c r="AA1164" s="74"/>
      <c r="AE1164" s="124"/>
      <c r="AI1164" s="74"/>
      <c r="AM1164" s="74"/>
      <c r="AY1164" s="74"/>
      <c r="BC1164" s="74"/>
      <c r="BG1164" s="74"/>
      <c r="BK1164" s="74"/>
      <c r="BO1164" s="74"/>
      <c r="BW1164" s="74"/>
      <c r="DF1164" s="21"/>
      <c r="DG1164" s="21"/>
      <c r="DH1164" s="21"/>
      <c r="DI1164" s="21"/>
    </row>
    <row r="1165" spans="2:113" s="123" customFormat="1">
      <c r="B1165" s="125"/>
      <c r="D1165" s="125"/>
      <c r="AA1165" s="74"/>
      <c r="AE1165" s="124"/>
      <c r="AI1165" s="74"/>
      <c r="AM1165" s="74"/>
      <c r="AY1165" s="74"/>
      <c r="BC1165" s="74"/>
      <c r="BG1165" s="74"/>
      <c r="BK1165" s="74"/>
      <c r="BO1165" s="74"/>
      <c r="BW1165" s="74"/>
      <c r="DF1165" s="21"/>
      <c r="DG1165" s="21"/>
      <c r="DH1165" s="21"/>
      <c r="DI1165" s="21"/>
    </row>
    <row r="1166" spans="2:113" s="123" customFormat="1">
      <c r="B1166" s="125"/>
      <c r="D1166" s="125"/>
      <c r="AA1166" s="74"/>
      <c r="AE1166" s="124"/>
      <c r="AI1166" s="74"/>
      <c r="AM1166" s="74"/>
      <c r="AY1166" s="74"/>
      <c r="BC1166" s="74"/>
      <c r="BG1166" s="74"/>
      <c r="BK1166" s="74"/>
      <c r="BO1166" s="74"/>
      <c r="BW1166" s="74"/>
      <c r="DF1166" s="21"/>
      <c r="DG1166" s="21"/>
      <c r="DH1166" s="21"/>
      <c r="DI1166" s="21"/>
    </row>
    <row r="1167" spans="2:113" s="123" customFormat="1">
      <c r="B1167" s="125"/>
      <c r="D1167" s="125"/>
      <c r="AA1167" s="74"/>
      <c r="AE1167" s="124"/>
      <c r="AI1167" s="74"/>
      <c r="AM1167" s="74"/>
      <c r="AY1167" s="74"/>
      <c r="BC1167" s="74"/>
      <c r="BG1167" s="74"/>
      <c r="BK1167" s="74"/>
      <c r="BO1167" s="74"/>
      <c r="BW1167" s="74"/>
      <c r="DF1167" s="21"/>
      <c r="DG1167" s="21"/>
      <c r="DH1167" s="21"/>
      <c r="DI1167" s="21"/>
    </row>
    <row r="1168" spans="2:113" s="123" customFormat="1">
      <c r="B1168" s="125"/>
      <c r="D1168" s="125"/>
      <c r="AA1168" s="74"/>
      <c r="AE1168" s="124"/>
      <c r="AI1168" s="74"/>
      <c r="AM1168" s="74"/>
      <c r="AY1168" s="74"/>
      <c r="BC1168" s="74"/>
      <c r="BG1168" s="74"/>
      <c r="BK1168" s="74"/>
      <c r="BO1168" s="74"/>
      <c r="BW1168" s="74"/>
      <c r="DF1168" s="21"/>
      <c r="DG1168" s="21"/>
      <c r="DH1168" s="21"/>
      <c r="DI1168" s="21"/>
    </row>
    <row r="1169" spans="2:113" s="123" customFormat="1">
      <c r="B1169" s="125"/>
      <c r="D1169" s="125"/>
      <c r="AA1169" s="74"/>
      <c r="AE1169" s="124"/>
      <c r="AI1169" s="74"/>
      <c r="AM1169" s="74"/>
      <c r="AY1169" s="74"/>
      <c r="BC1169" s="74"/>
      <c r="BG1169" s="74"/>
      <c r="BK1169" s="74"/>
      <c r="BO1169" s="74"/>
      <c r="BW1169" s="74"/>
      <c r="DF1169" s="21"/>
      <c r="DG1169" s="21"/>
      <c r="DH1169" s="21"/>
      <c r="DI1169" s="21"/>
    </row>
    <row r="1170" spans="2:113" s="123" customFormat="1">
      <c r="B1170" s="125"/>
      <c r="D1170" s="125"/>
      <c r="AA1170" s="74"/>
      <c r="AE1170" s="124"/>
      <c r="AI1170" s="74"/>
      <c r="AM1170" s="74"/>
      <c r="AY1170" s="74"/>
      <c r="BC1170" s="74"/>
      <c r="BG1170" s="74"/>
      <c r="BK1170" s="74"/>
      <c r="BO1170" s="74"/>
      <c r="BW1170" s="74"/>
      <c r="DF1170" s="21"/>
      <c r="DG1170" s="21"/>
      <c r="DH1170" s="21"/>
      <c r="DI1170" s="21"/>
    </row>
    <row r="1171" spans="2:113" s="123" customFormat="1">
      <c r="B1171" s="125"/>
      <c r="D1171" s="125"/>
      <c r="AA1171" s="74"/>
      <c r="AE1171" s="124"/>
      <c r="AI1171" s="74"/>
      <c r="AM1171" s="74"/>
      <c r="AY1171" s="74"/>
      <c r="BC1171" s="74"/>
      <c r="BG1171" s="74"/>
      <c r="BK1171" s="74"/>
      <c r="BO1171" s="74"/>
      <c r="BW1171" s="74"/>
      <c r="DF1171" s="21"/>
      <c r="DG1171" s="21"/>
      <c r="DH1171" s="21"/>
      <c r="DI1171" s="21"/>
    </row>
    <row r="1172" spans="2:113" s="123" customFormat="1">
      <c r="B1172" s="125"/>
      <c r="D1172" s="125"/>
      <c r="AA1172" s="74"/>
      <c r="AE1172" s="124"/>
      <c r="AI1172" s="74"/>
      <c r="AM1172" s="74"/>
      <c r="AY1172" s="74"/>
      <c r="BC1172" s="74"/>
      <c r="BG1172" s="74"/>
      <c r="BK1172" s="74"/>
      <c r="BO1172" s="74"/>
      <c r="BW1172" s="74"/>
      <c r="DF1172" s="21"/>
      <c r="DG1172" s="21"/>
      <c r="DH1172" s="21"/>
      <c r="DI1172" s="21"/>
    </row>
    <row r="1173" spans="2:113" s="123" customFormat="1">
      <c r="B1173" s="125"/>
      <c r="D1173" s="125"/>
      <c r="AA1173" s="74"/>
      <c r="AE1173" s="124"/>
      <c r="AI1173" s="74"/>
      <c r="AM1173" s="74"/>
      <c r="AY1173" s="74"/>
      <c r="BC1173" s="74"/>
      <c r="BG1173" s="74"/>
      <c r="BK1173" s="74"/>
      <c r="BO1173" s="74"/>
      <c r="BW1173" s="74"/>
      <c r="DF1173" s="21"/>
      <c r="DG1173" s="21"/>
      <c r="DH1173" s="21"/>
      <c r="DI1173" s="21"/>
    </row>
    <row r="1174" spans="2:113" s="123" customFormat="1">
      <c r="B1174" s="125"/>
      <c r="D1174" s="125"/>
      <c r="AA1174" s="74"/>
      <c r="AE1174" s="124"/>
      <c r="AI1174" s="74"/>
      <c r="AM1174" s="74"/>
      <c r="AY1174" s="74"/>
      <c r="BC1174" s="74"/>
      <c r="BG1174" s="74"/>
      <c r="BK1174" s="74"/>
      <c r="BO1174" s="74"/>
      <c r="BW1174" s="74"/>
      <c r="DF1174" s="21"/>
      <c r="DG1174" s="21"/>
      <c r="DH1174" s="21"/>
      <c r="DI1174" s="21"/>
    </row>
    <row r="1175" spans="2:113" s="123" customFormat="1">
      <c r="B1175" s="125"/>
      <c r="D1175" s="125"/>
      <c r="AA1175" s="74"/>
      <c r="AE1175" s="124"/>
      <c r="AI1175" s="74"/>
      <c r="AM1175" s="74"/>
      <c r="AY1175" s="74"/>
      <c r="BC1175" s="74"/>
      <c r="BG1175" s="74"/>
      <c r="BK1175" s="74"/>
      <c r="BO1175" s="74"/>
      <c r="BW1175" s="74"/>
      <c r="DF1175" s="21"/>
      <c r="DG1175" s="21"/>
      <c r="DH1175" s="21"/>
      <c r="DI1175" s="21"/>
    </row>
    <row r="1176" spans="2:113" s="123" customFormat="1">
      <c r="B1176" s="125"/>
      <c r="D1176" s="125"/>
      <c r="AA1176" s="74"/>
      <c r="AE1176" s="124"/>
      <c r="AI1176" s="74"/>
      <c r="AM1176" s="74"/>
      <c r="AY1176" s="74"/>
      <c r="BC1176" s="74"/>
      <c r="BG1176" s="74"/>
      <c r="BK1176" s="74"/>
      <c r="BO1176" s="74"/>
      <c r="BW1176" s="74"/>
      <c r="DF1176" s="21"/>
      <c r="DG1176" s="21"/>
      <c r="DH1176" s="21"/>
      <c r="DI1176" s="21"/>
    </row>
    <row r="1177" spans="2:113" s="123" customFormat="1">
      <c r="B1177" s="125"/>
      <c r="D1177" s="125"/>
      <c r="AA1177" s="74"/>
      <c r="AE1177" s="124"/>
      <c r="AI1177" s="74"/>
      <c r="AM1177" s="74"/>
      <c r="AY1177" s="74"/>
      <c r="BC1177" s="74"/>
      <c r="BG1177" s="74"/>
      <c r="BK1177" s="74"/>
      <c r="BO1177" s="74"/>
      <c r="BW1177" s="74"/>
      <c r="DF1177" s="21"/>
      <c r="DG1177" s="21"/>
      <c r="DH1177" s="21"/>
      <c r="DI1177" s="21"/>
    </row>
    <row r="1178" spans="2:113" s="123" customFormat="1">
      <c r="B1178" s="125"/>
      <c r="D1178" s="125"/>
      <c r="AA1178" s="74"/>
      <c r="AE1178" s="124"/>
      <c r="AI1178" s="74"/>
      <c r="AM1178" s="74"/>
      <c r="AY1178" s="74"/>
      <c r="BC1178" s="74"/>
      <c r="BG1178" s="74"/>
      <c r="BK1178" s="74"/>
      <c r="BO1178" s="74"/>
      <c r="BW1178" s="74"/>
      <c r="DF1178" s="21"/>
      <c r="DG1178" s="21"/>
      <c r="DH1178" s="21"/>
      <c r="DI1178" s="21"/>
    </row>
    <row r="1179" spans="2:113" s="123" customFormat="1">
      <c r="B1179" s="125"/>
      <c r="D1179" s="125"/>
      <c r="AA1179" s="74"/>
      <c r="AE1179" s="124"/>
      <c r="AI1179" s="74"/>
      <c r="AM1179" s="74"/>
      <c r="AY1179" s="74"/>
      <c r="BC1179" s="74"/>
      <c r="BG1179" s="74"/>
      <c r="BK1179" s="74"/>
      <c r="BO1179" s="74"/>
      <c r="BW1179" s="74"/>
      <c r="DF1179" s="21"/>
      <c r="DG1179" s="21"/>
      <c r="DH1179" s="21"/>
      <c r="DI1179" s="21"/>
    </row>
    <row r="1180" spans="2:113" s="123" customFormat="1">
      <c r="B1180" s="125"/>
      <c r="D1180" s="125"/>
      <c r="AA1180" s="74"/>
      <c r="AE1180" s="124"/>
      <c r="AI1180" s="74"/>
      <c r="AM1180" s="74"/>
      <c r="AY1180" s="74"/>
      <c r="BC1180" s="74"/>
      <c r="BG1180" s="74"/>
      <c r="BK1180" s="74"/>
      <c r="BO1180" s="74"/>
      <c r="BW1180" s="74"/>
      <c r="DF1180" s="21"/>
      <c r="DG1180" s="21"/>
      <c r="DH1180" s="21"/>
      <c r="DI1180" s="21"/>
    </row>
    <row r="1181" spans="2:113" s="123" customFormat="1">
      <c r="B1181" s="125"/>
      <c r="D1181" s="125"/>
      <c r="AA1181" s="74"/>
      <c r="AE1181" s="124"/>
      <c r="AI1181" s="74"/>
      <c r="AM1181" s="74"/>
      <c r="AY1181" s="74"/>
      <c r="BC1181" s="74"/>
      <c r="BG1181" s="74"/>
      <c r="BK1181" s="74"/>
      <c r="BO1181" s="74"/>
      <c r="BW1181" s="74"/>
      <c r="DF1181" s="21"/>
      <c r="DG1181" s="21"/>
      <c r="DH1181" s="21"/>
      <c r="DI1181" s="21"/>
    </row>
    <row r="1182" spans="2:113" s="123" customFormat="1">
      <c r="B1182" s="125"/>
      <c r="D1182" s="125"/>
      <c r="AA1182" s="74"/>
      <c r="AE1182" s="124"/>
      <c r="AI1182" s="74"/>
      <c r="AM1182" s="74"/>
      <c r="AY1182" s="74"/>
      <c r="BC1182" s="74"/>
      <c r="BG1182" s="74"/>
      <c r="BK1182" s="74"/>
      <c r="BO1182" s="74"/>
      <c r="BW1182" s="74"/>
      <c r="DF1182" s="21"/>
      <c r="DG1182" s="21"/>
      <c r="DH1182" s="21"/>
      <c r="DI1182" s="21"/>
    </row>
    <row r="1183" spans="2:113" s="123" customFormat="1">
      <c r="B1183" s="125"/>
      <c r="D1183" s="125"/>
      <c r="AA1183" s="74"/>
      <c r="AE1183" s="124"/>
      <c r="AI1183" s="74"/>
      <c r="AM1183" s="74"/>
      <c r="AY1183" s="74"/>
      <c r="BC1183" s="74"/>
      <c r="BG1183" s="74"/>
      <c r="BK1183" s="74"/>
      <c r="BO1183" s="74"/>
      <c r="BW1183" s="74"/>
      <c r="DF1183" s="21"/>
      <c r="DG1183" s="21"/>
      <c r="DH1183" s="21"/>
      <c r="DI1183" s="21"/>
    </row>
    <row r="1184" spans="2:113" s="123" customFormat="1">
      <c r="B1184" s="125"/>
      <c r="D1184" s="125"/>
      <c r="AA1184" s="74"/>
      <c r="AE1184" s="124"/>
      <c r="AI1184" s="74"/>
      <c r="AM1184" s="74"/>
      <c r="AY1184" s="74"/>
      <c r="BC1184" s="74"/>
      <c r="BG1184" s="74"/>
      <c r="BK1184" s="74"/>
      <c r="BO1184" s="74"/>
      <c r="BW1184" s="74"/>
      <c r="DF1184" s="21"/>
      <c r="DG1184" s="21"/>
      <c r="DH1184" s="21"/>
      <c r="DI1184" s="21"/>
    </row>
    <row r="1185" spans="2:113" s="123" customFormat="1">
      <c r="B1185" s="125"/>
      <c r="D1185" s="125"/>
      <c r="AA1185" s="74"/>
      <c r="AE1185" s="124"/>
      <c r="AI1185" s="74"/>
      <c r="AM1185" s="74"/>
      <c r="AY1185" s="74"/>
      <c r="BC1185" s="74"/>
      <c r="BG1185" s="74"/>
      <c r="BK1185" s="74"/>
      <c r="BO1185" s="74"/>
      <c r="BW1185" s="74"/>
      <c r="DF1185" s="21"/>
      <c r="DG1185" s="21"/>
      <c r="DH1185" s="21"/>
      <c r="DI1185" s="21"/>
    </row>
    <row r="1186" spans="2:113" s="123" customFormat="1">
      <c r="B1186" s="125"/>
      <c r="D1186" s="125"/>
      <c r="AA1186" s="74"/>
      <c r="AE1186" s="124"/>
      <c r="AI1186" s="74"/>
      <c r="AM1186" s="74"/>
      <c r="AY1186" s="74"/>
      <c r="BC1186" s="74"/>
      <c r="BG1186" s="74"/>
      <c r="BK1186" s="74"/>
      <c r="BO1186" s="74"/>
      <c r="BW1186" s="74"/>
      <c r="DF1186" s="21"/>
      <c r="DG1186" s="21"/>
      <c r="DH1186" s="21"/>
      <c r="DI1186" s="21"/>
    </row>
    <row r="1187" spans="2:113" s="123" customFormat="1">
      <c r="B1187" s="125"/>
      <c r="D1187" s="125"/>
      <c r="AA1187" s="74"/>
      <c r="AE1187" s="124"/>
      <c r="AI1187" s="74"/>
      <c r="AM1187" s="74"/>
      <c r="AY1187" s="74"/>
      <c r="BC1187" s="74"/>
      <c r="BG1187" s="74"/>
      <c r="BK1187" s="74"/>
      <c r="BO1187" s="74"/>
      <c r="BW1187" s="74"/>
      <c r="DF1187" s="21"/>
      <c r="DG1187" s="21"/>
      <c r="DH1187" s="21"/>
      <c r="DI1187" s="21"/>
    </row>
    <row r="1188" spans="2:113" s="123" customFormat="1">
      <c r="B1188" s="125"/>
      <c r="D1188" s="125"/>
      <c r="AA1188" s="74"/>
      <c r="AE1188" s="124"/>
      <c r="AI1188" s="74"/>
      <c r="AM1188" s="74"/>
      <c r="AY1188" s="74"/>
      <c r="BC1188" s="74"/>
      <c r="BG1188" s="74"/>
      <c r="BK1188" s="74"/>
      <c r="BO1188" s="74"/>
      <c r="BW1188" s="74"/>
      <c r="DF1188" s="21"/>
      <c r="DG1188" s="21"/>
      <c r="DH1188" s="21"/>
      <c r="DI1188" s="21"/>
    </row>
    <row r="1189" spans="2:113" s="123" customFormat="1">
      <c r="B1189" s="125"/>
      <c r="D1189" s="125"/>
      <c r="AA1189" s="74"/>
      <c r="AE1189" s="124"/>
      <c r="AI1189" s="74"/>
      <c r="AM1189" s="74"/>
      <c r="AY1189" s="74"/>
      <c r="BC1189" s="74"/>
      <c r="BG1189" s="74"/>
      <c r="BK1189" s="74"/>
      <c r="BO1189" s="74"/>
      <c r="BW1189" s="74"/>
      <c r="DF1189" s="21"/>
      <c r="DG1189" s="21"/>
      <c r="DH1189" s="21"/>
      <c r="DI1189" s="21"/>
    </row>
    <row r="1190" spans="2:113" s="123" customFormat="1">
      <c r="B1190" s="125"/>
      <c r="D1190" s="125"/>
      <c r="AA1190" s="74"/>
      <c r="AE1190" s="124"/>
      <c r="AI1190" s="74"/>
      <c r="AM1190" s="74"/>
      <c r="AY1190" s="74"/>
      <c r="BC1190" s="74"/>
      <c r="BG1190" s="74"/>
      <c r="BK1190" s="74"/>
      <c r="BO1190" s="74"/>
      <c r="BW1190" s="74"/>
      <c r="DF1190" s="21"/>
      <c r="DG1190" s="21"/>
      <c r="DH1190" s="21"/>
      <c r="DI1190" s="21"/>
    </row>
    <row r="1191" spans="2:113" s="123" customFormat="1">
      <c r="B1191" s="125"/>
      <c r="D1191" s="125"/>
      <c r="AA1191" s="74"/>
      <c r="AE1191" s="124"/>
      <c r="AI1191" s="74"/>
      <c r="AM1191" s="74"/>
      <c r="AY1191" s="74"/>
      <c r="BC1191" s="74"/>
      <c r="BG1191" s="74"/>
      <c r="BK1191" s="74"/>
      <c r="BO1191" s="74"/>
      <c r="BW1191" s="74"/>
      <c r="DF1191" s="21"/>
      <c r="DG1191" s="21"/>
      <c r="DH1191" s="21"/>
      <c r="DI1191" s="21"/>
    </row>
    <row r="1192" spans="2:113" s="123" customFormat="1">
      <c r="B1192" s="125"/>
      <c r="D1192" s="125"/>
      <c r="AA1192" s="74"/>
      <c r="AE1192" s="124"/>
      <c r="AI1192" s="74"/>
      <c r="AM1192" s="74"/>
      <c r="AY1192" s="74"/>
      <c r="BC1192" s="74"/>
      <c r="BG1192" s="74"/>
      <c r="BK1192" s="74"/>
      <c r="BO1192" s="74"/>
      <c r="BW1192" s="74"/>
      <c r="DF1192" s="21"/>
      <c r="DG1192" s="21"/>
      <c r="DH1192" s="21"/>
      <c r="DI1192" s="21"/>
    </row>
    <row r="1193" spans="2:113" s="123" customFormat="1">
      <c r="B1193" s="125"/>
      <c r="D1193" s="125"/>
      <c r="AA1193" s="74"/>
      <c r="AE1193" s="124"/>
      <c r="AI1193" s="74"/>
      <c r="AM1193" s="74"/>
      <c r="AY1193" s="74"/>
      <c r="BC1193" s="74"/>
      <c r="BG1193" s="74"/>
      <c r="BK1193" s="74"/>
      <c r="BO1193" s="74"/>
      <c r="BW1193" s="74"/>
      <c r="DF1193" s="21"/>
      <c r="DG1193" s="21"/>
      <c r="DH1193" s="21"/>
      <c r="DI1193" s="21"/>
    </row>
    <row r="1194" spans="2:113" s="123" customFormat="1">
      <c r="B1194" s="125"/>
      <c r="D1194" s="125"/>
      <c r="AA1194" s="74"/>
      <c r="AE1194" s="124"/>
      <c r="AI1194" s="74"/>
      <c r="AM1194" s="74"/>
      <c r="AY1194" s="74"/>
      <c r="BC1194" s="74"/>
      <c r="BG1194" s="74"/>
      <c r="BK1194" s="74"/>
      <c r="BO1194" s="74"/>
      <c r="BW1194" s="74"/>
      <c r="DF1194" s="21"/>
      <c r="DG1194" s="21"/>
      <c r="DH1194" s="21"/>
      <c r="DI1194" s="21"/>
    </row>
    <row r="1195" spans="2:113" s="123" customFormat="1">
      <c r="B1195" s="125"/>
      <c r="D1195" s="125"/>
      <c r="AA1195" s="74"/>
      <c r="AE1195" s="124"/>
      <c r="AI1195" s="74"/>
      <c r="AM1195" s="74"/>
      <c r="AY1195" s="74"/>
      <c r="BC1195" s="74"/>
      <c r="BG1195" s="74"/>
      <c r="BK1195" s="74"/>
      <c r="BO1195" s="74"/>
      <c r="BW1195" s="74"/>
      <c r="DF1195" s="21"/>
      <c r="DG1195" s="21"/>
      <c r="DH1195" s="21"/>
      <c r="DI1195" s="21"/>
    </row>
    <row r="1196" spans="2:113" s="123" customFormat="1">
      <c r="B1196" s="125"/>
      <c r="D1196" s="125"/>
      <c r="AA1196" s="74"/>
      <c r="AE1196" s="124"/>
      <c r="AI1196" s="74"/>
      <c r="AM1196" s="74"/>
      <c r="AY1196" s="74"/>
      <c r="BC1196" s="74"/>
      <c r="BG1196" s="74"/>
      <c r="BK1196" s="74"/>
      <c r="BO1196" s="74"/>
      <c r="BW1196" s="74"/>
      <c r="DF1196" s="21"/>
      <c r="DG1196" s="21"/>
      <c r="DH1196" s="21"/>
      <c r="DI1196" s="21"/>
    </row>
    <row r="1197" spans="2:113" s="123" customFormat="1">
      <c r="B1197" s="125"/>
      <c r="D1197" s="125"/>
      <c r="AA1197" s="74"/>
      <c r="AE1197" s="124"/>
      <c r="AI1197" s="74"/>
      <c r="AM1197" s="74"/>
      <c r="AY1197" s="74"/>
      <c r="BC1197" s="74"/>
      <c r="BG1197" s="74"/>
      <c r="BK1197" s="74"/>
      <c r="BO1197" s="74"/>
      <c r="BW1197" s="74"/>
      <c r="DF1197" s="21"/>
      <c r="DG1197" s="21"/>
      <c r="DH1197" s="21"/>
      <c r="DI1197" s="21"/>
    </row>
    <row r="1198" spans="2:113" s="123" customFormat="1">
      <c r="B1198" s="125"/>
      <c r="D1198" s="125"/>
      <c r="AA1198" s="74"/>
      <c r="AE1198" s="124"/>
      <c r="AI1198" s="74"/>
      <c r="AM1198" s="74"/>
      <c r="AY1198" s="74"/>
      <c r="BC1198" s="74"/>
      <c r="BG1198" s="74"/>
      <c r="BK1198" s="74"/>
      <c r="BO1198" s="74"/>
      <c r="BW1198" s="74"/>
      <c r="DF1198" s="21"/>
      <c r="DG1198" s="21"/>
      <c r="DH1198" s="21"/>
      <c r="DI1198" s="21"/>
    </row>
    <row r="1199" spans="2:113" s="123" customFormat="1">
      <c r="B1199" s="125"/>
      <c r="D1199" s="125"/>
      <c r="AA1199" s="74"/>
      <c r="AE1199" s="124"/>
      <c r="AI1199" s="74"/>
      <c r="AM1199" s="74"/>
      <c r="AY1199" s="74"/>
      <c r="BC1199" s="74"/>
      <c r="BG1199" s="74"/>
      <c r="BK1199" s="74"/>
      <c r="BO1199" s="74"/>
      <c r="BW1199" s="74"/>
      <c r="DF1199" s="21"/>
      <c r="DG1199" s="21"/>
      <c r="DH1199" s="21"/>
      <c r="DI1199" s="21"/>
    </row>
    <row r="1200" spans="2:113" s="123" customFormat="1">
      <c r="B1200" s="125"/>
      <c r="D1200" s="125"/>
      <c r="AA1200" s="74"/>
      <c r="AE1200" s="124"/>
      <c r="AI1200" s="74"/>
      <c r="AM1200" s="74"/>
      <c r="AY1200" s="74"/>
      <c r="BC1200" s="74"/>
      <c r="BG1200" s="74"/>
      <c r="BK1200" s="74"/>
      <c r="BO1200" s="74"/>
      <c r="BW1200" s="74"/>
      <c r="DF1200" s="21"/>
      <c r="DG1200" s="21"/>
      <c r="DH1200" s="21"/>
      <c r="DI1200" s="21"/>
    </row>
    <row r="1201" spans="2:113" s="123" customFormat="1">
      <c r="B1201" s="125"/>
      <c r="D1201" s="125"/>
      <c r="AA1201" s="74"/>
      <c r="AE1201" s="124"/>
      <c r="AI1201" s="74"/>
      <c r="AM1201" s="74"/>
      <c r="AY1201" s="74"/>
      <c r="BC1201" s="74"/>
      <c r="BG1201" s="74"/>
      <c r="BK1201" s="74"/>
      <c r="BO1201" s="74"/>
      <c r="BW1201" s="74"/>
      <c r="DF1201" s="21"/>
      <c r="DG1201" s="21"/>
      <c r="DH1201" s="21"/>
      <c r="DI1201" s="21"/>
    </row>
    <row r="1202" spans="2:113" s="123" customFormat="1">
      <c r="B1202" s="125"/>
      <c r="D1202" s="125"/>
      <c r="AA1202" s="74"/>
      <c r="AE1202" s="124"/>
      <c r="AI1202" s="74"/>
      <c r="AM1202" s="74"/>
      <c r="AY1202" s="74"/>
      <c r="BC1202" s="74"/>
      <c r="BG1202" s="74"/>
      <c r="BK1202" s="74"/>
      <c r="BO1202" s="74"/>
      <c r="BW1202" s="74"/>
      <c r="DF1202" s="21"/>
      <c r="DG1202" s="21"/>
      <c r="DH1202" s="21"/>
      <c r="DI1202" s="21"/>
    </row>
    <row r="1203" spans="2:113" s="123" customFormat="1">
      <c r="B1203" s="125"/>
      <c r="D1203" s="125"/>
      <c r="AA1203" s="74"/>
      <c r="AE1203" s="124"/>
      <c r="AI1203" s="74"/>
      <c r="AM1203" s="74"/>
      <c r="AY1203" s="74"/>
      <c r="BC1203" s="74"/>
      <c r="BG1203" s="74"/>
      <c r="BK1203" s="74"/>
      <c r="BO1203" s="74"/>
      <c r="BW1203" s="74"/>
      <c r="DF1203" s="21"/>
      <c r="DG1203" s="21"/>
      <c r="DH1203" s="21"/>
      <c r="DI1203" s="21"/>
    </row>
    <row r="1204" spans="2:113" s="123" customFormat="1">
      <c r="B1204" s="125"/>
      <c r="D1204" s="125"/>
      <c r="AA1204" s="74"/>
      <c r="AE1204" s="124"/>
      <c r="AI1204" s="74"/>
      <c r="AM1204" s="74"/>
      <c r="AY1204" s="74"/>
      <c r="BC1204" s="74"/>
      <c r="BG1204" s="74"/>
      <c r="BK1204" s="74"/>
      <c r="BO1204" s="74"/>
      <c r="BW1204" s="74"/>
      <c r="DF1204" s="21"/>
      <c r="DG1204" s="21"/>
      <c r="DH1204" s="21"/>
      <c r="DI1204" s="21"/>
    </row>
    <row r="1205" spans="2:113" s="123" customFormat="1">
      <c r="B1205" s="125"/>
      <c r="D1205" s="125"/>
      <c r="AA1205" s="74"/>
      <c r="AE1205" s="124"/>
      <c r="AI1205" s="74"/>
      <c r="AM1205" s="74"/>
      <c r="AY1205" s="74"/>
      <c r="BC1205" s="74"/>
      <c r="BG1205" s="74"/>
      <c r="BK1205" s="74"/>
      <c r="BO1205" s="74"/>
      <c r="BW1205" s="74"/>
      <c r="DF1205" s="21"/>
      <c r="DG1205" s="21"/>
      <c r="DH1205" s="21"/>
      <c r="DI1205" s="21"/>
    </row>
    <row r="1206" spans="2:113" s="123" customFormat="1">
      <c r="B1206" s="125"/>
      <c r="D1206" s="125"/>
      <c r="AA1206" s="74"/>
      <c r="AE1206" s="124"/>
      <c r="AI1206" s="74"/>
      <c r="AM1206" s="74"/>
      <c r="AY1206" s="74"/>
      <c r="BC1206" s="74"/>
      <c r="BG1206" s="74"/>
      <c r="BK1206" s="74"/>
      <c r="BO1206" s="74"/>
      <c r="BW1206" s="74"/>
      <c r="DF1206" s="21"/>
      <c r="DG1206" s="21"/>
      <c r="DH1206" s="21"/>
      <c r="DI1206" s="21"/>
    </row>
    <row r="1207" spans="2:113" s="123" customFormat="1">
      <c r="B1207" s="125"/>
      <c r="D1207" s="125"/>
      <c r="AA1207" s="74"/>
      <c r="AE1207" s="124"/>
      <c r="AI1207" s="74"/>
      <c r="AM1207" s="74"/>
      <c r="AY1207" s="74"/>
      <c r="BC1207" s="74"/>
      <c r="BG1207" s="74"/>
      <c r="BK1207" s="74"/>
      <c r="BO1207" s="74"/>
      <c r="BW1207" s="74"/>
      <c r="DF1207" s="21"/>
      <c r="DG1207" s="21"/>
      <c r="DH1207" s="21"/>
      <c r="DI1207" s="21"/>
    </row>
    <row r="1208" spans="2:113" s="123" customFormat="1">
      <c r="B1208" s="125"/>
      <c r="D1208" s="125"/>
      <c r="AA1208" s="74"/>
      <c r="AE1208" s="124"/>
      <c r="AI1208" s="74"/>
      <c r="AM1208" s="74"/>
      <c r="AY1208" s="74"/>
      <c r="BC1208" s="74"/>
      <c r="BG1208" s="74"/>
      <c r="BK1208" s="74"/>
      <c r="BO1208" s="74"/>
      <c r="BW1208" s="74"/>
      <c r="DF1208" s="21"/>
      <c r="DG1208" s="21"/>
      <c r="DH1208" s="21"/>
      <c r="DI1208" s="21"/>
    </row>
    <row r="1209" spans="2:113" s="123" customFormat="1">
      <c r="B1209" s="125"/>
      <c r="D1209" s="125"/>
      <c r="AA1209" s="74"/>
      <c r="AE1209" s="124"/>
      <c r="AI1209" s="74"/>
      <c r="AM1209" s="74"/>
      <c r="AY1209" s="74"/>
      <c r="BC1209" s="74"/>
      <c r="BG1209" s="74"/>
      <c r="BK1209" s="74"/>
      <c r="BO1209" s="74"/>
      <c r="BW1209" s="74"/>
      <c r="DF1209" s="21"/>
      <c r="DG1209" s="21"/>
      <c r="DH1209" s="21"/>
      <c r="DI1209" s="21"/>
    </row>
    <row r="1210" spans="2:113" s="123" customFormat="1">
      <c r="B1210" s="125"/>
      <c r="D1210" s="125"/>
      <c r="AA1210" s="74"/>
      <c r="AE1210" s="124"/>
      <c r="AI1210" s="74"/>
      <c r="AM1210" s="74"/>
      <c r="AY1210" s="74"/>
      <c r="BC1210" s="74"/>
      <c r="BG1210" s="74"/>
      <c r="BK1210" s="74"/>
      <c r="BO1210" s="74"/>
      <c r="BW1210" s="74"/>
      <c r="DF1210" s="21"/>
      <c r="DG1210" s="21"/>
      <c r="DH1210" s="21"/>
      <c r="DI1210" s="21"/>
    </row>
    <row r="1211" spans="2:113" s="123" customFormat="1">
      <c r="B1211" s="125"/>
      <c r="D1211" s="125"/>
      <c r="AA1211" s="74"/>
      <c r="AE1211" s="124"/>
      <c r="AI1211" s="74"/>
      <c r="AM1211" s="74"/>
      <c r="AY1211" s="74"/>
      <c r="BC1211" s="74"/>
      <c r="BG1211" s="74"/>
      <c r="BK1211" s="74"/>
      <c r="BO1211" s="74"/>
      <c r="BW1211" s="74"/>
      <c r="DF1211" s="21"/>
      <c r="DG1211" s="21"/>
      <c r="DH1211" s="21"/>
      <c r="DI1211" s="21"/>
    </row>
    <row r="1212" spans="2:113" s="123" customFormat="1">
      <c r="B1212" s="125"/>
      <c r="D1212" s="125"/>
      <c r="AA1212" s="74"/>
      <c r="AE1212" s="124"/>
      <c r="AI1212" s="74"/>
      <c r="AM1212" s="74"/>
      <c r="AY1212" s="74"/>
      <c r="BC1212" s="74"/>
      <c r="BG1212" s="74"/>
      <c r="BK1212" s="74"/>
      <c r="BO1212" s="74"/>
      <c r="BW1212" s="74"/>
      <c r="DF1212" s="21"/>
      <c r="DG1212" s="21"/>
      <c r="DH1212" s="21"/>
      <c r="DI1212" s="21"/>
    </row>
    <row r="1213" spans="2:113" s="123" customFormat="1">
      <c r="B1213" s="125"/>
      <c r="D1213" s="125"/>
      <c r="AA1213" s="74"/>
      <c r="AE1213" s="124"/>
      <c r="AI1213" s="74"/>
      <c r="AM1213" s="74"/>
      <c r="AY1213" s="74"/>
      <c r="BC1213" s="74"/>
      <c r="BG1213" s="74"/>
      <c r="BK1213" s="74"/>
      <c r="BO1213" s="74"/>
      <c r="BW1213" s="74"/>
      <c r="DF1213" s="21"/>
      <c r="DG1213" s="21"/>
      <c r="DH1213" s="21"/>
      <c r="DI1213" s="21"/>
    </row>
    <row r="1214" spans="2:113" s="123" customFormat="1">
      <c r="B1214" s="125"/>
      <c r="D1214" s="125"/>
      <c r="AA1214" s="74"/>
      <c r="AE1214" s="124"/>
      <c r="AI1214" s="74"/>
      <c r="AM1214" s="74"/>
      <c r="AY1214" s="74"/>
      <c r="BC1214" s="74"/>
      <c r="BG1214" s="74"/>
      <c r="BK1214" s="74"/>
      <c r="BO1214" s="74"/>
      <c r="BW1214" s="74"/>
      <c r="DF1214" s="21"/>
      <c r="DG1214" s="21"/>
      <c r="DH1214" s="21"/>
      <c r="DI1214" s="21"/>
    </row>
    <row r="1215" spans="2:113" s="123" customFormat="1">
      <c r="B1215" s="125"/>
      <c r="D1215" s="125"/>
      <c r="AA1215" s="74"/>
      <c r="AE1215" s="124"/>
      <c r="AI1215" s="74"/>
      <c r="AM1215" s="74"/>
      <c r="AY1215" s="74"/>
      <c r="BC1215" s="74"/>
      <c r="BG1215" s="74"/>
      <c r="BK1215" s="74"/>
      <c r="BO1215" s="74"/>
      <c r="BW1215" s="74"/>
      <c r="DF1215" s="21"/>
      <c r="DG1215" s="21"/>
      <c r="DH1215" s="21"/>
      <c r="DI1215" s="21"/>
    </row>
    <row r="1216" spans="2:113" s="123" customFormat="1">
      <c r="B1216" s="125"/>
      <c r="D1216" s="125"/>
      <c r="AA1216" s="74"/>
      <c r="AE1216" s="124"/>
      <c r="AI1216" s="74"/>
      <c r="AM1216" s="74"/>
      <c r="AY1216" s="74"/>
      <c r="BC1216" s="74"/>
      <c r="BG1216" s="74"/>
      <c r="BK1216" s="74"/>
      <c r="BO1216" s="74"/>
      <c r="BW1216" s="74"/>
      <c r="DF1216" s="21"/>
      <c r="DG1216" s="21"/>
      <c r="DH1216" s="21"/>
      <c r="DI1216" s="21"/>
    </row>
    <row r="1217" spans="2:113" s="123" customFormat="1">
      <c r="B1217" s="125"/>
      <c r="D1217" s="125"/>
      <c r="AA1217" s="74"/>
      <c r="AE1217" s="124"/>
      <c r="AI1217" s="74"/>
      <c r="AM1217" s="74"/>
      <c r="AY1217" s="74"/>
      <c r="BC1217" s="74"/>
      <c r="BG1217" s="74"/>
      <c r="BK1217" s="74"/>
      <c r="BO1217" s="74"/>
      <c r="BW1217" s="74"/>
      <c r="DF1217" s="21"/>
      <c r="DG1217" s="21"/>
      <c r="DH1217" s="21"/>
      <c r="DI1217" s="21"/>
    </row>
    <row r="1218" spans="2:113" s="123" customFormat="1">
      <c r="B1218" s="125"/>
      <c r="D1218" s="125"/>
      <c r="AA1218" s="74"/>
      <c r="AE1218" s="124"/>
      <c r="AI1218" s="74"/>
      <c r="AM1218" s="74"/>
      <c r="AY1218" s="74"/>
      <c r="BC1218" s="74"/>
      <c r="BG1218" s="74"/>
      <c r="BK1218" s="74"/>
      <c r="BO1218" s="74"/>
      <c r="BW1218" s="74"/>
      <c r="DF1218" s="21"/>
      <c r="DG1218" s="21"/>
      <c r="DH1218" s="21"/>
      <c r="DI1218" s="21"/>
    </row>
    <row r="1219" spans="2:113" s="123" customFormat="1">
      <c r="B1219" s="125"/>
      <c r="D1219" s="125"/>
      <c r="AA1219" s="74"/>
      <c r="AE1219" s="124"/>
      <c r="AI1219" s="74"/>
      <c r="AM1219" s="74"/>
      <c r="AY1219" s="74"/>
      <c r="BC1219" s="74"/>
      <c r="BG1219" s="74"/>
      <c r="BK1219" s="74"/>
      <c r="BO1219" s="74"/>
      <c r="BW1219" s="74"/>
      <c r="DF1219" s="21"/>
      <c r="DG1219" s="21"/>
      <c r="DH1219" s="21"/>
      <c r="DI1219" s="21"/>
    </row>
    <row r="1220" spans="2:113" s="123" customFormat="1">
      <c r="B1220" s="125"/>
      <c r="D1220" s="125"/>
      <c r="AA1220" s="74"/>
      <c r="AE1220" s="124"/>
      <c r="AI1220" s="74"/>
      <c r="AM1220" s="74"/>
      <c r="AY1220" s="74"/>
      <c r="BC1220" s="74"/>
      <c r="BG1220" s="74"/>
      <c r="BK1220" s="74"/>
      <c r="BO1220" s="74"/>
      <c r="BW1220" s="74"/>
      <c r="DF1220" s="21"/>
      <c r="DG1220" s="21"/>
      <c r="DH1220" s="21"/>
      <c r="DI1220" s="21"/>
    </row>
    <row r="1221" spans="2:113" s="123" customFormat="1">
      <c r="B1221" s="125"/>
      <c r="D1221" s="125"/>
      <c r="AA1221" s="74"/>
      <c r="AE1221" s="124"/>
      <c r="AI1221" s="74"/>
      <c r="AM1221" s="74"/>
      <c r="AY1221" s="74"/>
      <c r="BC1221" s="74"/>
      <c r="BG1221" s="74"/>
      <c r="BK1221" s="74"/>
      <c r="BO1221" s="74"/>
      <c r="BW1221" s="74"/>
      <c r="DF1221" s="21"/>
      <c r="DG1221" s="21"/>
      <c r="DH1221" s="21"/>
      <c r="DI1221" s="21"/>
    </row>
    <row r="1222" spans="2:113" s="123" customFormat="1">
      <c r="B1222" s="125"/>
      <c r="D1222" s="125"/>
      <c r="AA1222" s="74"/>
      <c r="AE1222" s="124"/>
      <c r="AI1222" s="74"/>
      <c r="AM1222" s="74"/>
      <c r="AY1222" s="74"/>
      <c r="BC1222" s="74"/>
      <c r="BG1222" s="74"/>
      <c r="BK1222" s="74"/>
      <c r="BO1222" s="74"/>
      <c r="BW1222" s="74"/>
      <c r="DF1222" s="21"/>
      <c r="DG1222" s="21"/>
      <c r="DH1222" s="21"/>
      <c r="DI1222" s="21"/>
    </row>
    <row r="1223" spans="2:113" s="123" customFormat="1">
      <c r="B1223" s="125"/>
      <c r="D1223" s="125"/>
      <c r="AA1223" s="74"/>
      <c r="AE1223" s="124"/>
      <c r="AI1223" s="74"/>
      <c r="AM1223" s="74"/>
      <c r="AY1223" s="74"/>
      <c r="BC1223" s="74"/>
      <c r="BG1223" s="74"/>
      <c r="BK1223" s="74"/>
      <c r="BO1223" s="74"/>
      <c r="BW1223" s="74"/>
      <c r="DF1223" s="21"/>
      <c r="DG1223" s="21"/>
      <c r="DH1223" s="21"/>
      <c r="DI1223" s="21"/>
    </row>
    <row r="1224" spans="2:113" s="123" customFormat="1">
      <c r="B1224" s="125"/>
      <c r="D1224" s="125"/>
      <c r="AA1224" s="74"/>
      <c r="AE1224" s="124"/>
      <c r="AI1224" s="74"/>
      <c r="AM1224" s="74"/>
      <c r="AY1224" s="74"/>
      <c r="BC1224" s="74"/>
      <c r="BG1224" s="74"/>
      <c r="BK1224" s="74"/>
      <c r="BO1224" s="74"/>
      <c r="BW1224" s="74"/>
      <c r="DF1224" s="21"/>
      <c r="DG1224" s="21"/>
      <c r="DH1224" s="21"/>
      <c r="DI1224" s="21"/>
    </row>
    <row r="1225" spans="2:113" s="123" customFormat="1">
      <c r="B1225" s="125"/>
      <c r="D1225" s="125"/>
      <c r="AA1225" s="74"/>
      <c r="AE1225" s="124"/>
      <c r="AI1225" s="74"/>
      <c r="AM1225" s="74"/>
      <c r="AY1225" s="74"/>
      <c r="BC1225" s="74"/>
      <c r="BG1225" s="74"/>
      <c r="BK1225" s="74"/>
      <c r="BO1225" s="74"/>
      <c r="BW1225" s="74"/>
      <c r="DF1225" s="21"/>
      <c r="DG1225" s="21"/>
      <c r="DH1225" s="21"/>
      <c r="DI1225" s="21"/>
    </row>
    <row r="1226" spans="2:113" s="123" customFormat="1">
      <c r="B1226" s="125"/>
      <c r="D1226" s="125"/>
      <c r="AA1226" s="74"/>
      <c r="AE1226" s="124"/>
      <c r="AI1226" s="74"/>
      <c r="AM1226" s="74"/>
      <c r="AY1226" s="74"/>
      <c r="BC1226" s="74"/>
      <c r="BG1226" s="74"/>
      <c r="BK1226" s="74"/>
      <c r="BO1226" s="74"/>
      <c r="BW1226" s="74"/>
      <c r="DF1226" s="21"/>
      <c r="DG1226" s="21"/>
      <c r="DH1226" s="21"/>
      <c r="DI1226" s="21"/>
    </row>
    <row r="1227" spans="2:113" s="123" customFormat="1">
      <c r="B1227" s="125"/>
      <c r="D1227" s="125"/>
      <c r="AA1227" s="74"/>
      <c r="AE1227" s="124"/>
      <c r="AI1227" s="74"/>
      <c r="AM1227" s="74"/>
      <c r="AY1227" s="74"/>
      <c r="BC1227" s="74"/>
      <c r="BG1227" s="74"/>
      <c r="BK1227" s="74"/>
      <c r="BO1227" s="74"/>
      <c r="BW1227" s="74"/>
      <c r="DF1227" s="21"/>
      <c r="DG1227" s="21"/>
      <c r="DH1227" s="21"/>
      <c r="DI1227" s="21"/>
    </row>
    <row r="1228" spans="2:113" s="123" customFormat="1">
      <c r="B1228" s="125"/>
      <c r="D1228" s="125"/>
      <c r="AA1228" s="74"/>
      <c r="AE1228" s="124"/>
      <c r="AI1228" s="74"/>
      <c r="AM1228" s="74"/>
      <c r="AY1228" s="74"/>
      <c r="BC1228" s="74"/>
      <c r="BG1228" s="74"/>
      <c r="BK1228" s="74"/>
      <c r="BO1228" s="74"/>
      <c r="BW1228" s="74"/>
      <c r="DF1228" s="21"/>
      <c r="DG1228" s="21"/>
      <c r="DH1228" s="21"/>
      <c r="DI1228" s="21"/>
    </row>
    <row r="1229" spans="2:113" s="123" customFormat="1">
      <c r="B1229" s="125"/>
      <c r="D1229" s="125"/>
      <c r="AA1229" s="74"/>
      <c r="AE1229" s="124"/>
      <c r="AI1229" s="74"/>
      <c r="AM1229" s="74"/>
      <c r="AY1229" s="74"/>
      <c r="BC1229" s="74"/>
      <c r="BG1229" s="74"/>
      <c r="BK1229" s="74"/>
      <c r="BO1229" s="74"/>
      <c r="BW1229" s="74"/>
      <c r="DF1229" s="21"/>
      <c r="DG1229" s="21"/>
      <c r="DH1229" s="21"/>
      <c r="DI1229" s="21"/>
    </row>
    <row r="1230" spans="2:113" s="123" customFormat="1">
      <c r="B1230" s="125"/>
      <c r="D1230" s="125"/>
      <c r="AA1230" s="74"/>
      <c r="AE1230" s="124"/>
      <c r="AI1230" s="74"/>
      <c r="AM1230" s="74"/>
      <c r="AY1230" s="74"/>
      <c r="BC1230" s="74"/>
      <c r="BG1230" s="74"/>
      <c r="BK1230" s="74"/>
      <c r="BO1230" s="74"/>
      <c r="BW1230" s="74"/>
      <c r="DF1230" s="21"/>
      <c r="DG1230" s="21"/>
      <c r="DH1230" s="21"/>
      <c r="DI1230" s="21"/>
    </row>
    <row r="1231" spans="2:113" s="123" customFormat="1">
      <c r="B1231" s="125"/>
      <c r="D1231" s="125"/>
      <c r="AA1231" s="74"/>
      <c r="AE1231" s="124"/>
      <c r="AI1231" s="74"/>
      <c r="AM1231" s="74"/>
      <c r="AY1231" s="74"/>
      <c r="BC1231" s="74"/>
      <c r="BG1231" s="74"/>
      <c r="BK1231" s="74"/>
      <c r="BO1231" s="74"/>
      <c r="BW1231" s="74"/>
      <c r="DF1231" s="21"/>
      <c r="DG1231" s="21"/>
      <c r="DH1231" s="21"/>
      <c r="DI1231" s="21"/>
    </row>
    <row r="1232" spans="2:113" s="123" customFormat="1">
      <c r="B1232" s="125"/>
      <c r="D1232" s="125"/>
      <c r="AA1232" s="74"/>
      <c r="AE1232" s="124"/>
      <c r="AI1232" s="74"/>
      <c r="AM1232" s="74"/>
      <c r="AY1232" s="74"/>
      <c r="BC1232" s="74"/>
      <c r="BG1232" s="74"/>
      <c r="BK1232" s="74"/>
      <c r="BO1232" s="74"/>
      <c r="BW1232" s="74"/>
      <c r="DF1232" s="21"/>
      <c r="DG1232" s="21"/>
      <c r="DH1232" s="21"/>
      <c r="DI1232" s="21"/>
    </row>
    <row r="1233" spans="2:113" s="123" customFormat="1">
      <c r="B1233" s="125"/>
      <c r="D1233" s="125"/>
      <c r="AA1233" s="74"/>
      <c r="AE1233" s="124"/>
      <c r="AI1233" s="74"/>
      <c r="AM1233" s="74"/>
      <c r="AY1233" s="74"/>
      <c r="BC1233" s="74"/>
      <c r="BG1233" s="74"/>
      <c r="BK1233" s="74"/>
      <c r="BO1233" s="74"/>
      <c r="BW1233" s="74"/>
      <c r="DF1233" s="21"/>
      <c r="DG1233" s="21"/>
      <c r="DH1233" s="21"/>
      <c r="DI1233" s="21"/>
    </row>
    <row r="1234" spans="2:113" s="123" customFormat="1">
      <c r="B1234" s="125"/>
      <c r="D1234" s="125"/>
      <c r="AA1234" s="74"/>
      <c r="AE1234" s="124"/>
      <c r="AI1234" s="74"/>
      <c r="AM1234" s="74"/>
      <c r="AY1234" s="74"/>
      <c r="BC1234" s="74"/>
      <c r="BG1234" s="74"/>
      <c r="BK1234" s="74"/>
      <c r="BO1234" s="74"/>
      <c r="BW1234" s="74"/>
      <c r="DF1234" s="21"/>
      <c r="DG1234" s="21"/>
      <c r="DH1234" s="21"/>
      <c r="DI1234" s="21"/>
    </row>
    <row r="1235" spans="2:113" s="123" customFormat="1">
      <c r="B1235" s="125"/>
      <c r="D1235" s="125"/>
      <c r="AA1235" s="74"/>
      <c r="AE1235" s="124"/>
      <c r="AI1235" s="74"/>
      <c r="AM1235" s="74"/>
      <c r="AY1235" s="74"/>
      <c r="BC1235" s="74"/>
      <c r="BG1235" s="74"/>
      <c r="BK1235" s="74"/>
      <c r="BO1235" s="74"/>
      <c r="BW1235" s="74"/>
      <c r="DF1235" s="21"/>
      <c r="DG1235" s="21"/>
      <c r="DH1235" s="21"/>
      <c r="DI1235" s="21"/>
    </row>
    <row r="1236" spans="2:113" s="123" customFormat="1">
      <c r="B1236" s="125"/>
      <c r="D1236" s="125"/>
      <c r="AA1236" s="74"/>
      <c r="AE1236" s="124"/>
      <c r="AI1236" s="74"/>
      <c r="AM1236" s="74"/>
      <c r="AY1236" s="74"/>
      <c r="BC1236" s="74"/>
      <c r="BG1236" s="74"/>
      <c r="BK1236" s="74"/>
      <c r="BO1236" s="74"/>
      <c r="BW1236" s="74"/>
      <c r="DF1236" s="21"/>
      <c r="DG1236" s="21"/>
      <c r="DH1236" s="21"/>
      <c r="DI1236" s="21"/>
    </row>
    <row r="1237" spans="2:113" s="123" customFormat="1">
      <c r="B1237" s="125"/>
      <c r="D1237" s="125"/>
      <c r="AA1237" s="74"/>
      <c r="AE1237" s="124"/>
      <c r="AI1237" s="74"/>
      <c r="AM1237" s="74"/>
      <c r="AY1237" s="74"/>
      <c r="BC1237" s="74"/>
      <c r="BG1237" s="74"/>
      <c r="BK1237" s="74"/>
      <c r="BO1237" s="74"/>
      <c r="BW1237" s="74"/>
      <c r="DF1237" s="21"/>
      <c r="DG1237" s="21"/>
      <c r="DH1237" s="21"/>
      <c r="DI1237" s="21"/>
    </row>
    <row r="1238" spans="2:113" s="123" customFormat="1">
      <c r="B1238" s="125"/>
      <c r="D1238" s="125"/>
      <c r="AA1238" s="74"/>
      <c r="AE1238" s="124"/>
      <c r="AI1238" s="74"/>
      <c r="AM1238" s="74"/>
      <c r="AY1238" s="74"/>
      <c r="BC1238" s="74"/>
      <c r="BG1238" s="74"/>
      <c r="BK1238" s="74"/>
      <c r="BO1238" s="74"/>
      <c r="BW1238" s="74"/>
      <c r="DF1238" s="21"/>
      <c r="DG1238" s="21"/>
      <c r="DH1238" s="21"/>
      <c r="DI1238" s="21"/>
    </row>
    <row r="1239" spans="2:113" s="123" customFormat="1">
      <c r="B1239" s="125"/>
      <c r="D1239" s="125"/>
      <c r="AA1239" s="74"/>
      <c r="AE1239" s="124"/>
      <c r="AI1239" s="74"/>
      <c r="AM1239" s="74"/>
      <c r="AY1239" s="74"/>
      <c r="BC1239" s="74"/>
      <c r="BG1239" s="74"/>
      <c r="BK1239" s="74"/>
      <c r="BO1239" s="74"/>
      <c r="BW1239" s="74"/>
      <c r="DF1239" s="21"/>
      <c r="DG1239" s="21"/>
      <c r="DH1239" s="21"/>
      <c r="DI1239" s="21"/>
    </row>
    <row r="1240" spans="2:113" s="123" customFormat="1">
      <c r="B1240" s="125"/>
      <c r="D1240" s="125"/>
      <c r="AA1240" s="74"/>
      <c r="AE1240" s="124"/>
      <c r="AI1240" s="74"/>
      <c r="AM1240" s="74"/>
      <c r="AY1240" s="74"/>
      <c r="BC1240" s="74"/>
      <c r="BG1240" s="74"/>
      <c r="BK1240" s="74"/>
      <c r="BO1240" s="74"/>
      <c r="BW1240" s="74"/>
      <c r="DF1240" s="21"/>
      <c r="DG1240" s="21"/>
      <c r="DH1240" s="21"/>
      <c r="DI1240" s="21"/>
    </row>
    <row r="1241" spans="2:113" s="123" customFormat="1">
      <c r="B1241" s="125"/>
      <c r="D1241" s="125"/>
      <c r="AA1241" s="74"/>
      <c r="AE1241" s="124"/>
      <c r="AI1241" s="74"/>
      <c r="AM1241" s="74"/>
      <c r="AY1241" s="74"/>
      <c r="BC1241" s="74"/>
      <c r="BG1241" s="74"/>
      <c r="BK1241" s="74"/>
      <c r="BO1241" s="74"/>
      <c r="BW1241" s="74"/>
      <c r="DF1241" s="21"/>
      <c r="DG1241" s="21"/>
      <c r="DH1241" s="21"/>
      <c r="DI1241" s="21"/>
    </row>
    <row r="1242" spans="2:113" s="123" customFormat="1">
      <c r="B1242" s="125"/>
      <c r="D1242" s="125"/>
      <c r="AA1242" s="74"/>
      <c r="AE1242" s="124"/>
      <c r="AI1242" s="74"/>
      <c r="AM1242" s="74"/>
      <c r="AY1242" s="74"/>
      <c r="BC1242" s="74"/>
      <c r="BG1242" s="74"/>
      <c r="BK1242" s="74"/>
      <c r="BO1242" s="74"/>
      <c r="BW1242" s="74"/>
      <c r="DF1242" s="21"/>
      <c r="DG1242" s="21"/>
      <c r="DH1242" s="21"/>
      <c r="DI1242" s="21"/>
    </row>
    <row r="1243" spans="2:113" s="123" customFormat="1">
      <c r="B1243" s="125"/>
      <c r="D1243" s="125"/>
      <c r="AA1243" s="74"/>
      <c r="AE1243" s="124"/>
      <c r="AI1243" s="74"/>
      <c r="AM1243" s="74"/>
      <c r="AY1243" s="74"/>
      <c r="BC1243" s="74"/>
      <c r="BG1243" s="74"/>
      <c r="BK1243" s="74"/>
      <c r="BO1243" s="74"/>
      <c r="BW1243" s="74"/>
      <c r="DF1243" s="21"/>
      <c r="DG1243" s="21"/>
      <c r="DH1243" s="21"/>
      <c r="DI1243" s="21"/>
    </row>
    <row r="1244" spans="2:113" s="123" customFormat="1">
      <c r="B1244" s="125"/>
      <c r="D1244" s="125"/>
      <c r="AA1244" s="74"/>
      <c r="AE1244" s="124"/>
      <c r="AI1244" s="74"/>
      <c r="AM1244" s="74"/>
      <c r="AY1244" s="74"/>
      <c r="BC1244" s="74"/>
      <c r="BG1244" s="74"/>
      <c r="BK1244" s="74"/>
      <c r="BO1244" s="74"/>
      <c r="BW1244" s="74"/>
      <c r="DF1244" s="21"/>
      <c r="DG1244" s="21"/>
      <c r="DH1244" s="21"/>
      <c r="DI1244" s="21"/>
    </row>
    <row r="1245" spans="2:113" s="123" customFormat="1">
      <c r="B1245" s="125"/>
      <c r="D1245" s="125"/>
      <c r="AA1245" s="74"/>
      <c r="AE1245" s="124"/>
      <c r="AI1245" s="74"/>
      <c r="AM1245" s="74"/>
      <c r="AY1245" s="74"/>
      <c r="BC1245" s="74"/>
      <c r="BG1245" s="74"/>
      <c r="BK1245" s="74"/>
      <c r="BO1245" s="74"/>
      <c r="BW1245" s="74"/>
      <c r="DF1245" s="21"/>
      <c r="DG1245" s="21"/>
      <c r="DH1245" s="21"/>
      <c r="DI1245" s="21"/>
    </row>
    <row r="1246" spans="2:113" s="123" customFormat="1">
      <c r="B1246" s="125"/>
      <c r="D1246" s="125"/>
      <c r="AA1246" s="74"/>
      <c r="AE1246" s="124"/>
      <c r="AI1246" s="74"/>
      <c r="AM1246" s="74"/>
      <c r="AY1246" s="74"/>
      <c r="BC1246" s="74"/>
      <c r="BG1246" s="74"/>
      <c r="BK1246" s="74"/>
      <c r="BO1246" s="74"/>
      <c r="BW1246" s="74"/>
      <c r="DF1246" s="21"/>
      <c r="DG1246" s="21"/>
      <c r="DH1246" s="21"/>
      <c r="DI1246" s="21"/>
    </row>
    <row r="1247" spans="2:113" s="123" customFormat="1">
      <c r="B1247" s="125"/>
      <c r="D1247" s="125"/>
      <c r="AA1247" s="74"/>
      <c r="AE1247" s="124"/>
      <c r="AI1247" s="74"/>
      <c r="AM1247" s="74"/>
      <c r="AY1247" s="74"/>
      <c r="BC1247" s="74"/>
      <c r="BG1247" s="74"/>
      <c r="BK1247" s="74"/>
      <c r="BO1247" s="74"/>
      <c r="BW1247" s="74"/>
      <c r="DF1247" s="21"/>
      <c r="DG1247" s="21"/>
      <c r="DH1247" s="21"/>
      <c r="DI1247" s="21"/>
    </row>
    <row r="1248" spans="2:113" s="123" customFormat="1">
      <c r="B1248" s="125"/>
      <c r="D1248" s="125"/>
      <c r="AA1248" s="74"/>
      <c r="AE1248" s="124"/>
      <c r="AI1248" s="74"/>
      <c r="AM1248" s="74"/>
      <c r="AY1248" s="74"/>
      <c r="BC1248" s="74"/>
      <c r="BG1248" s="74"/>
      <c r="BK1248" s="74"/>
      <c r="BO1248" s="74"/>
      <c r="BW1248" s="74"/>
      <c r="DF1248" s="21"/>
      <c r="DG1248" s="21"/>
      <c r="DH1248" s="21"/>
      <c r="DI1248" s="21"/>
    </row>
    <row r="1249" spans="2:113" s="123" customFormat="1">
      <c r="B1249" s="125"/>
      <c r="D1249" s="125"/>
      <c r="AA1249" s="74"/>
      <c r="AE1249" s="124"/>
      <c r="AI1249" s="74"/>
      <c r="AM1249" s="74"/>
      <c r="AY1249" s="74"/>
      <c r="BC1249" s="74"/>
      <c r="BG1249" s="74"/>
      <c r="BK1249" s="74"/>
      <c r="BO1249" s="74"/>
      <c r="BW1249" s="74"/>
      <c r="DF1249" s="21"/>
      <c r="DG1249" s="21"/>
      <c r="DH1249" s="21"/>
      <c r="DI1249" s="21"/>
    </row>
    <row r="1250" spans="2:113" s="123" customFormat="1">
      <c r="B1250" s="125"/>
      <c r="D1250" s="125"/>
      <c r="AA1250" s="74"/>
      <c r="AE1250" s="124"/>
      <c r="AI1250" s="74"/>
      <c r="AM1250" s="74"/>
      <c r="AY1250" s="74"/>
      <c r="BC1250" s="74"/>
      <c r="BG1250" s="74"/>
      <c r="BK1250" s="74"/>
      <c r="BO1250" s="74"/>
      <c r="BW1250" s="74"/>
      <c r="DF1250" s="21"/>
      <c r="DG1250" s="21"/>
      <c r="DH1250" s="21"/>
      <c r="DI1250" s="21"/>
    </row>
    <row r="1251" spans="2:113" s="123" customFormat="1">
      <c r="B1251" s="125"/>
      <c r="D1251" s="125"/>
      <c r="AA1251" s="74"/>
      <c r="AE1251" s="124"/>
      <c r="AI1251" s="74"/>
      <c r="AM1251" s="74"/>
      <c r="AY1251" s="74"/>
      <c r="BC1251" s="74"/>
      <c r="BG1251" s="74"/>
      <c r="BK1251" s="74"/>
      <c r="BO1251" s="74"/>
      <c r="BW1251" s="74"/>
      <c r="DF1251" s="21"/>
      <c r="DG1251" s="21"/>
      <c r="DH1251" s="21"/>
      <c r="DI1251" s="21"/>
    </row>
    <row r="1252" spans="2:113" s="123" customFormat="1">
      <c r="B1252" s="125"/>
      <c r="D1252" s="125"/>
      <c r="AA1252" s="74"/>
      <c r="AE1252" s="124"/>
      <c r="AI1252" s="74"/>
      <c r="AM1252" s="74"/>
      <c r="AY1252" s="74"/>
      <c r="BC1252" s="74"/>
      <c r="BG1252" s="74"/>
      <c r="BK1252" s="74"/>
      <c r="BO1252" s="74"/>
      <c r="BW1252" s="74"/>
      <c r="DF1252" s="21"/>
      <c r="DG1252" s="21"/>
      <c r="DH1252" s="21"/>
      <c r="DI1252" s="21"/>
    </row>
    <row r="1253" spans="2:113" s="123" customFormat="1">
      <c r="B1253" s="125"/>
      <c r="D1253" s="125"/>
      <c r="AA1253" s="74"/>
      <c r="AE1253" s="124"/>
      <c r="AI1253" s="74"/>
      <c r="AM1253" s="74"/>
      <c r="AY1253" s="74"/>
      <c r="BC1253" s="74"/>
      <c r="BG1253" s="74"/>
      <c r="BK1253" s="74"/>
      <c r="BO1253" s="74"/>
      <c r="BW1253" s="74"/>
      <c r="DF1253" s="21"/>
      <c r="DG1253" s="21"/>
      <c r="DH1253" s="21"/>
      <c r="DI1253" s="21"/>
    </row>
    <row r="1254" spans="2:113" s="123" customFormat="1">
      <c r="B1254" s="125"/>
      <c r="D1254" s="125"/>
      <c r="AA1254" s="74"/>
      <c r="AE1254" s="124"/>
      <c r="AI1254" s="74"/>
      <c r="AM1254" s="74"/>
      <c r="AY1254" s="74"/>
      <c r="BC1254" s="74"/>
      <c r="BG1254" s="74"/>
      <c r="BK1254" s="74"/>
      <c r="BO1254" s="74"/>
      <c r="BW1254" s="74"/>
      <c r="DF1254" s="21"/>
      <c r="DG1254" s="21"/>
      <c r="DH1254" s="21"/>
      <c r="DI1254" s="21"/>
    </row>
    <row r="1255" spans="2:113" s="123" customFormat="1">
      <c r="B1255" s="125"/>
      <c r="D1255" s="125"/>
      <c r="AA1255" s="74"/>
      <c r="AE1255" s="124"/>
      <c r="AI1255" s="74"/>
      <c r="AM1255" s="74"/>
      <c r="AY1255" s="74"/>
      <c r="BC1255" s="74"/>
      <c r="BG1255" s="74"/>
      <c r="BK1255" s="74"/>
      <c r="BO1255" s="74"/>
      <c r="BW1255" s="74"/>
      <c r="DF1255" s="21"/>
      <c r="DG1255" s="21"/>
      <c r="DH1255" s="21"/>
      <c r="DI1255" s="21"/>
    </row>
    <row r="1256" spans="2:113" s="123" customFormat="1">
      <c r="B1256" s="125"/>
      <c r="D1256" s="125"/>
      <c r="AA1256" s="74"/>
      <c r="AE1256" s="124"/>
      <c r="AI1256" s="74"/>
      <c r="AM1256" s="74"/>
      <c r="AY1256" s="74"/>
      <c r="BC1256" s="74"/>
      <c r="BG1256" s="74"/>
      <c r="BK1256" s="74"/>
      <c r="BO1256" s="74"/>
      <c r="BW1256" s="74"/>
      <c r="DF1256" s="21"/>
      <c r="DG1256" s="21"/>
      <c r="DH1256" s="21"/>
      <c r="DI1256" s="21"/>
    </row>
    <row r="1257" spans="2:113" s="123" customFormat="1">
      <c r="B1257" s="125"/>
      <c r="D1257" s="125"/>
      <c r="AA1257" s="74"/>
      <c r="AE1257" s="124"/>
      <c r="AI1257" s="74"/>
      <c r="AM1257" s="74"/>
      <c r="AY1257" s="74"/>
      <c r="BC1257" s="74"/>
      <c r="BG1257" s="74"/>
      <c r="BK1257" s="74"/>
      <c r="BO1257" s="74"/>
      <c r="BW1257" s="74"/>
      <c r="DF1257" s="21"/>
      <c r="DG1257" s="21"/>
      <c r="DH1257" s="21"/>
      <c r="DI1257" s="21"/>
    </row>
    <row r="1258" spans="2:113" s="123" customFormat="1">
      <c r="B1258" s="125"/>
      <c r="D1258" s="125"/>
      <c r="AA1258" s="74"/>
      <c r="AE1258" s="124"/>
      <c r="AI1258" s="74"/>
      <c r="AM1258" s="74"/>
      <c r="AY1258" s="74"/>
      <c r="BC1258" s="74"/>
      <c r="BG1258" s="74"/>
      <c r="BK1258" s="74"/>
      <c r="BO1258" s="74"/>
      <c r="BW1258" s="74"/>
      <c r="DF1258" s="21"/>
      <c r="DG1258" s="21"/>
      <c r="DH1258" s="21"/>
      <c r="DI1258" s="21"/>
    </row>
    <row r="1259" spans="2:113" s="123" customFormat="1">
      <c r="B1259" s="125"/>
      <c r="D1259" s="125"/>
      <c r="AA1259" s="74"/>
      <c r="AE1259" s="124"/>
      <c r="AI1259" s="74"/>
      <c r="AM1259" s="74"/>
      <c r="AY1259" s="74"/>
      <c r="BC1259" s="74"/>
      <c r="BG1259" s="74"/>
      <c r="BK1259" s="74"/>
      <c r="BO1259" s="74"/>
      <c r="BW1259" s="74"/>
      <c r="DF1259" s="21"/>
      <c r="DG1259" s="21"/>
      <c r="DH1259" s="21"/>
      <c r="DI1259" s="21"/>
    </row>
    <row r="1260" spans="2:113" s="123" customFormat="1">
      <c r="B1260" s="125"/>
      <c r="D1260" s="125"/>
      <c r="AA1260" s="74"/>
      <c r="AE1260" s="124"/>
      <c r="AI1260" s="74"/>
      <c r="AM1260" s="74"/>
      <c r="AY1260" s="74"/>
      <c r="BC1260" s="74"/>
      <c r="BG1260" s="74"/>
      <c r="BK1260" s="74"/>
      <c r="BO1260" s="74"/>
      <c r="BW1260" s="74"/>
      <c r="DF1260" s="21"/>
      <c r="DG1260" s="21"/>
      <c r="DH1260" s="21"/>
      <c r="DI1260" s="21"/>
    </row>
    <row r="1261" spans="2:113" s="123" customFormat="1">
      <c r="B1261" s="125"/>
      <c r="D1261" s="125"/>
      <c r="AA1261" s="74"/>
      <c r="AE1261" s="124"/>
      <c r="AI1261" s="74"/>
      <c r="AM1261" s="74"/>
      <c r="AY1261" s="74"/>
      <c r="BC1261" s="74"/>
      <c r="BG1261" s="74"/>
      <c r="BK1261" s="74"/>
      <c r="BO1261" s="74"/>
      <c r="BW1261" s="74"/>
      <c r="DF1261" s="21"/>
      <c r="DG1261" s="21"/>
      <c r="DH1261" s="21"/>
      <c r="DI1261" s="21"/>
    </row>
    <row r="1262" spans="2:113" s="123" customFormat="1">
      <c r="B1262" s="125"/>
      <c r="D1262" s="125"/>
      <c r="AA1262" s="74"/>
      <c r="AE1262" s="124"/>
      <c r="AI1262" s="74"/>
      <c r="AM1262" s="74"/>
      <c r="AY1262" s="74"/>
      <c r="BC1262" s="74"/>
      <c r="BG1262" s="74"/>
      <c r="BK1262" s="74"/>
      <c r="BO1262" s="74"/>
      <c r="BW1262" s="74"/>
      <c r="DF1262" s="21"/>
      <c r="DG1262" s="21"/>
      <c r="DH1262" s="21"/>
      <c r="DI1262" s="21"/>
    </row>
    <row r="1263" spans="2:113" s="123" customFormat="1">
      <c r="B1263" s="125"/>
      <c r="D1263" s="125"/>
      <c r="AA1263" s="74"/>
      <c r="AE1263" s="124"/>
      <c r="AI1263" s="74"/>
      <c r="AM1263" s="74"/>
      <c r="AY1263" s="74"/>
      <c r="BC1263" s="74"/>
      <c r="BG1263" s="74"/>
      <c r="BK1263" s="74"/>
      <c r="BO1263" s="74"/>
      <c r="BW1263" s="74"/>
      <c r="DF1263" s="21"/>
      <c r="DG1263" s="21"/>
      <c r="DH1263" s="21"/>
      <c r="DI1263" s="21"/>
    </row>
    <row r="1264" spans="2:113" s="123" customFormat="1">
      <c r="B1264" s="125"/>
      <c r="D1264" s="125"/>
      <c r="AA1264" s="74"/>
      <c r="AE1264" s="124"/>
      <c r="AI1264" s="74"/>
      <c r="AM1264" s="74"/>
      <c r="AY1264" s="74"/>
      <c r="BC1264" s="74"/>
      <c r="BG1264" s="74"/>
      <c r="BK1264" s="74"/>
      <c r="BO1264" s="74"/>
      <c r="BW1264" s="74"/>
      <c r="DF1264" s="21"/>
      <c r="DG1264" s="21"/>
      <c r="DH1264" s="21"/>
      <c r="DI1264" s="21"/>
    </row>
    <row r="1265" spans="2:113" s="123" customFormat="1">
      <c r="B1265" s="125"/>
      <c r="D1265" s="125"/>
      <c r="AA1265" s="74"/>
      <c r="AE1265" s="124"/>
      <c r="AI1265" s="74"/>
      <c r="AM1265" s="74"/>
      <c r="AY1265" s="74"/>
      <c r="BC1265" s="74"/>
      <c r="BG1265" s="74"/>
      <c r="BK1265" s="74"/>
      <c r="BO1265" s="74"/>
      <c r="BW1265" s="74"/>
      <c r="DF1265" s="21"/>
      <c r="DG1265" s="21"/>
      <c r="DH1265" s="21"/>
      <c r="DI1265" s="21"/>
    </row>
    <row r="1266" spans="2:113" s="123" customFormat="1">
      <c r="B1266" s="125"/>
      <c r="D1266" s="125"/>
      <c r="AA1266" s="74"/>
      <c r="AE1266" s="124"/>
      <c r="AI1266" s="74"/>
      <c r="AM1266" s="74"/>
      <c r="AY1266" s="74"/>
      <c r="BC1266" s="74"/>
      <c r="BG1266" s="74"/>
      <c r="BK1266" s="74"/>
      <c r="BO1266" s="74"/>
      <c r="BW1266" s="74"/>
      <c r="DF1266" s="21"/>
      <c r="DG1266" s="21"/>
      <c r="DH1266" s="21"/>
      <c r="DI1266" s="21"/>
    </row>
    <row r="1267" spans="2:113" s="123" customFormat="1">
      <c r="B1267" s="125"/>
      <c r="D1267" s="125"/>
      <c r="AA1267" s="74"/>
      <c r="AE1267" s="124"/>
      <c r="AI1267" s="74"/>
      <c r="AM1267" s="74"/>
      <c r="AY1267" s="74"/>
      <c r="BC1267" s="74"/>
      <c r="BG1267" s="74"/>
      <c r="BK1267" s="74"/>
      <c r="BO1267" s="74"/>
      <c r="BW1267" s="74"/>
      <c r="DF1267" s="21"/>
      <c r="DG1267" s="21"/>
      <c r="DH1267" s="21"/>
      <c r="DI1267" s="21"/>
    </row>
    <row r="1268" spans="2:113" s="123" customFormat="1">
      <c r="B1268" s="125"/>
      <c r="D1268" s="125"/>
      <c r="AA1268" s="74"/>
      <c r="AE1268" s="124"/>
      <c r="AI1268" s="74"/>
      <c r="AM1268" s="74"/>
      <c r="AY1268" s="74"/>
      <c r="BC1268" s="74"/>
      <c r="BG1268" s="74"/>
      <c r="BK1268" s="74"/>
      <c r="BO1268" s="74"/>
      <c r="BW1268" s="74"/>
      <c r="DF1268" s="21"/>
      <c r="DG1268" s="21"/>
      <c r="DH1268" s="21"/>
      <c r="DI1268" s="21"/>
    </row>
    <row r="1269" spans="2:113" s="123" customFormat="1">
      <c r="B1269" s="125"/>
      <c r="D1269" s="125"/>
      <c r="AA1269" s="74"/>
      <c r="AE1269" s="124"/>
      <c r="AI1269" s="74"/>
      <c r="AM1269" s="74"/>
      <c r="AY1269" s="74"/>
      <c r="BC1269" s="74"/>
      <c r="BG1269" s="74"/>
      <c r="BK1269" s="74"/>
      <c r="BO1269" s="74"/>
      <c r="BW1269" s="74"/>
      <c r="DF1269" s="21"/>
      <c r="DG1269" s="21"/>
      <c r="DH1269" s="21"/>
      <c r="DI1269" s="21"/>
    </row>
    <row r="1270" spans="2:113" s="123" customFormat="1">
      <c r="B1270" s="125"/>
      <c r="D1270" s="125"/>
      <c r="AA1270" s="74"/>
      <c r="AE1270" s="124"/>
      <c r="AI1270" s="74"/>
      <c r="AM1270" s="74"/>
      <c r="AY1270" s="74"/>
      <c r="BC1270" s="74"/>
      <c r="BG1270" s="74"/>
      <c r="BK1270" s="74"/>
      <c r="BO1270" s="74"/>
      <c r="BW1270" s="74"/>
      <c r="DF1270" s="21"/>
      <c r="DG1270" s="21"/>
      <c r="DH1270" s="21"/>
      <c r="DI1270" s="21"/>
    </row>
    <row r="1271" spans="2:113" s="123" customFormat="1">
      <c r="B1271" s="125"/>
      <c r="D1271" s="125"/>
      <c r="AA1271" s="74"/>
      <c r="AE1271" s="124"/>
      <c r="AI1271" s="74"/>
      <c r="AM1271" s="74"/>
      <c r="AY1271" s="74"/>
      <c r="BC1271" s="74"/>
      <c r="BG1271" s="74"/>
      <c r="BK1271" s="74"/>
      <c r="BO1271" s="74"/>
      <c r="BW1271" s="74"/>
      <c r="DF1271" s="21"/>
      <c r="DG1271" s="21"/>
      <c r="DH1271" s="21"/>
      <c r="DI1271" s="21"/>
    </row>
    <row r="1272" spans="2:113" s="123" customFormat="1">
      <c r="B1272" s="125"/>
      <c r="D1272" s="125"/>
      <c r="AA1272" s="74"/>
      <c r="AE1272" s="124"/>
      <c r="AI1272" s="74"/>
      <c r="AM1272" s="74"/>
      <c r="AY1272" s="74"/>
      <c r="BC1272" s="74"/>
      <c r="BG1272" s="74"/>
      <c r="BK1272" s="74"/>
      <c r="BO1272" s="74"/>
      <c r="BW1272" s="74"/>
      <c r="DF1272" s="21"/>
      <c r="DG1272" s="21"/>
      <c r="DH1272" s="21"/>
      <c r="DI1272" s="21"/>
    </row>
    <row r="1273" spans="2:113" s="123" customFormat="1">
      <c r="B1273" s="125"/>
      <c r="D1273" s="125"/>
      <c r="AA1273" s="74"/>
      <c r="AE1273" s="124"/>
      <c r="AI1273" s="74"/>
      <c r="AM1273" s="74"/>
      <c r="AY1273" s="74"/>
      <c r="BC1273" s="74"/>
      <c r="BG1273" s="74"/>
      <c r="BK1273" s="74"/>
      <c r="BO1273" s="74"/>
      <c r="BW1273" s="74"/>
      <c r="DF1273" s="21"/>
      <c r="DG1273" s="21"/>
      <c r="DH1273" s="21"/>
      <c r="DI1273" s="21"/>
    </row>
    <row r="1274" spans="2:113" s="123" customFormat="1">
      <c r="B1274" s="125"/>
      <c r="D1274" s="125"/>
      <c r="AA1274" s="74"/>
      <c r="AE1274" s="124"/>
      <c r="AI1274" s="74"/>
      <c r="AM1274" s="74"/>
      <c r="AY1274" s="74"/>
      <c r="BC1274" s="74"/>
      <c r="BG1274" s="74"/>
      <c r="BK1274" s="74"/>
      <c r="BO1274" s="74"/>
      <c r="BW1274" s="74"/>
      <c r="DF1274" s="21"/>
      <c r="DG1274" s="21"/>
      <c r="DH1274" s="21"/>
      <c r="DI1274" s="21"/>
    </row>
    <row r="1275" spans="2:113" s="123" customFormat="1">
      <c r="B1275" s="125"/>
      <c r="D1275" s="125"/>
      <c r="AA1275" s="74"/>
      <c r="AE1275" s="124"/>
      <c r="AI1275" s="74"/>
      <c r="AM1275" s="74"/>
      <c r="AY1275" s="74"/>
      <c r="BC1275" s="74"/>
      <c r="BG1275" s="74"/>
      <c r="BK1275" s="74"/>
      <c r="BO1275" s="74"/>
      <c r="BW1275" s="74"/>
      <c r="DF1275" s="21"/>
      <c r="DG1275" s="21"/>
      <c r="DH1275" s="21"/>
      <c r="DI1275" s="21"/>
    </row>
    <row r="1276" spans="2:113" s="123" customFormat="1">
      <c r="B1276" s="125"/>
      <c r="D1276" s="125"/>
      <c r="AA1276" s="74"/>
      <c r="AE1276" s="124"/>
      <c r="AI1276" s="74"/>
      <c r="AM1276" s="74"/>
      <c r="AY1276" s="74"/>
      <c r="BC1276" s="74"/>
      <c r="BG1276" s="74"/>
      <c r="BK1276" s="74"/>
      <c r="BO1276" s="74"/>
      <c r="BW1276" s="74"/>
      <c r="DF1276" s="21"/>
      <c r="DG1276" s="21"/>
      <c r="DH1276" s="21"/>
      <c r="DI1276" s="21"/>
    </row>
    <row r="1277" spans="2:113" s="123" customFormat="1">
      <c r="B1277" s="125"/>
      <c r="D1277" s="125"/>
      <c r="AA1277" s="74"/>
      <c r="AE1277" s="124"/>
      <c r="AI1277" s="74"/>
      <c r="AM1277" s="74"/>
      <c r="AY1277" s="74"/>
      <c r="BC1277" s="74"/>
      <c r="BG1277" s="74"/>
      <c r="BK1277" s="74"/>
      <c r="BO1277" s="74"/>
      <c r="BW1277" s="74"/>
      <c r="DF1277" s="21"/>
      <c r="DG1277" s="21"/>
      <c r="DH1277" s="21"/>
      <c r="DI1277" s="21"/>
    </row>
    <row r="1278" spans="2:113" s="123" customFormat="1">
      <c r="B1278" s="125"/>
      <c r="D1278" s="125"/>
      <c r="AA1278" s="74"/>
      <c r="AE1278" s="124"/>
      <c r="AI1278" s="74"/>
      <c r="AM1278" s="74"/>
      <c r="AY1278" s="74"/>
      <c r="BC1278" s="74"/>
      <c r="BG1278" s="74"/>
      <c r="BK1278" s="74"/>
      <c r="BO1278" s="74"/>
      <c r="BW1278" s="74"/>
      <c r="DF1278" s="21"/>
      <c r="DG1278" s="21"/>
      <c r="DH1278" s="21"/>
      <c r="DI1278" s="21"/>
    </row>
    <row r="1279" spans="2:113" s="123" customFormat="1">
      <c r="B1279" s="125"/>
      <c r="D1279" s="125"/>
      <c r="AA1279" s="74"/>
      <c r="AE1279" s="124"/>
      <c r="AI1279" s="74"/>
      <c r="AM1279" s="74"/>
      <c r="AY1279" s="74"/>
      <c r="BC1279" s="74"/>
      <c r="BG1279" s="74"/>
      <c r="BK1279" s="74"/>
      <c r="BO1279" s="74"/>
      <c r="BW1279" s="74"/>
      <c r="DF1279" s="21"/>
      <c r="DG1279" s="21"/>
      <c r="DH1279" s="21"/>
      <c r="DI1279" s="21"/>
    </row>
    <row r="1280" spans="2:113" s="123" customFormat="1">
      <c r="B1280" s="125"/>
      <c r="D1280" s="125"/>
      <c r="AA1280" s="74"/>
      <c r="AE1280" s="124"/>
      <c r="AI1280" s="74"/>
      <c r="AM1280" s="74"/>
      <c r="AY1280" s="74"/>
      <c r="BC1280" s="74"/>
      <c r="BG1280" s="74"/>
      <c r="BK1280" s="74"/>
      <c r="BO1280" s="74"/>
      <c r="BW1280" s="74"/>
      <c r="DF1280" s="21"/>
      <c r="DG1280" s="21"/>
      <c r="DH1280" s="21"/>
      <c r="DI1280" s="21"/>
    </row>
    <row r="1281" spans="2:113" s="123" customFormat="1">
      <c r="B1281" s="125"/>
      <c r="D1281" s="125"/>
      <c r="AA1281" s="74"/>
      <c r="AE1281" s="124"/>
      <c r="AI1281" s="74"/>
      <c r="AM1281" s="74"/>
      <c r="AY1281" s="74"/>
      <c r="BC1281" s="74"/>
      <c r="BG1281" s="74"/>
      <c r="BK1281" s="74"/>
      <c r="BO1281" s="74"/>
      <c r="BW1281" s="74"/>
      <c r="DF1281" s="21"/>
      <c r="DG1281" s="21"/>
      <c r="DH1281" s="21"/>
      <c r="DI1281" s="21"/>
    </row>
    <row r="1282" spans="2:113" s="123" customFormat="1">
      <c r="B1282" s="125"/>
      <c r="D1282" s="125"/>
      <c r="AA1282" s="74"/>
      <c r="AE1282" s="124"/>
      <c r="AI1282" s="74"/>
      <c r="AM1282" s="74"/>
      <c r="AY1282" s="74"/>
      <c r="BC1282" s="74"/>
      <c r="BG1282" s="74"/>
      <c r="BK1282" s="74"/>
      <c r="BO1282" s="74"/>
      <c r="BW1282" s="74"/>
      <c r="DF1282" s="21"/>
      <c r="DG1282" s="21"/>
      <c r="DH1282" s="21"/>
      <c r="DI1282" s="21"/>
    </row>
    <row r="1283" spans="2:113" s="123" customFormat="1">
      <c r="B1283" s="125"/>
      <c r="D1283" s="125"/>
      <c r="AA1283" s="74"/>
      <c r="AE1283" s="124"/>
      <c r="AI1283" s="74"/>
      <c r="AM1283" s="74"/>
      <c r="AY1283" s="74"/>
      <c r="BC1283" s="74"/>
      <c r="BG1283" s="74"/>
      <c r="BK1283" s="74"/>
      <c r="BO1283" s="74"/>
      <c r="BW1283" s="74"/>
      <c r="DF1283" s="21"/>
      <c r="DG1283" s="21"/>
      <c r="DH1283" s="21"/>
      <c r="DI1283" s="21"/>
    </row>
    <row r="1284" spans="2:113" s="123" customFormat="1">
      <c r="B1284" s="125"/>
      <c r="D1284" s="125"/>
      <c r="AA1284" s="74"/>
      <c r="AE1284" s="124"/>
      <c r="AI1284" s="74"/>
      <c r="AM1284" s="74"/>
      <c r="AY1284" s="74"/>
      <c r="BC1284" s="74"/>
      <c r="BG1284" s="74"/>
      <c r="BK1284" s="74"/>
      <c r="BO1284" s="74"/>
      <c r="BW1284" s="74"/>
      <c r="DF1284" s="21"/>
      <c r="DG1284" s="21"/>
      <c r="DH1284" s="21"/>
      <c r="DI1284" s="21"/>
    </row>
    <row r="1285" spans="2:113" s="123" customFormat="1">
      <c r="B1285" s="125"/>
      <c r="D1285" s="125"/>
      <c r="AA1285" s="74"/>
      <c r="AE1285" s="124"/>
      <c r="AI1285" s="74"/>
      <c r="AM1285" s="74"/>
      <c r="AY1285" s="74"/>
      <c r="BC1285" s="74"/>
      <c r="BG1285" s="74"/>
      <c r="BK1285" s="74"/>
      <c r="BO1285" s="74"/>
      <c r="BW1285" s="74"/>
      <c r="DF1285" s="21"/>
      <c r="DG1285" s="21"/>
      <c r="DH1285" s="21"/>
      <c r="DI1285" s="21"/>
    </row>
    <row r="1286" spans="2:113" s="123" customFormat="1">
      <c r="B1286" s="125"/>
      <c r="D1286" s="125"/>
      <c r="AA1286" s="74"/>
      <c r="AE1286" s="124"/>
      <c r="AI1286" s="74"/>
      <c r="AM1286" s="74"/>
      <c r="AY1286" s="74"/>
      <c r="BC1286" s="74"/>
      <c r="BG1286" s="74"/>
      <c r="BK1286" s="74"/>
      <c r="BO1286" s="74"/>
      <c r="BW1286" s="74"/>
      <c r="DF1286" s="21"/>
      <c r="DG1286" s="21"/>
      <c r="DH1286" s="21"/>
      <c r="DI1286" s="21"/>
    </row>
    <row r="1287" spans="2:113" s="123" customFormat="1">
      <c r="B1287" s="125"/>
      <c r="D1287" s="125"/>
      <c r="AA1287" s="74"/>
      <c r="AE1287" s="124"/>
      <c r="AI1287" s="74"/>
      <c r="AM1287" s="74"/>
      <c r="AY1287" s="74"/>
      <c r="BC1287" s="74"/>
      <c r="BG1287" s="74"/>
      <c r="BK1287" s="74"/>
      <c r="BO1287" s="74"/>
      <c r="BW1287" s="74"/>
      <c r="DF1287" s="21"/>
      <c r="DG1287" s="21"/>
      <c r="DH1287" s="21"/>
      <c r="DI1287" s="21"/>
    </row>
    <row r="1288" spans="2:113" s="123" customFormat="1">
      <c r="B1288" s="125"/>
      <c r="D1288" s="125"/>
      <c r="AA1288" s="74"/>
      <c r="AE1288" s="124"/>
      <c r="AI1288" s="74"/>
      <c r="AM1288" s="74"/>
      <c r="AY1288" s="74"/>
      <c r="BC1288" s="74"/>
      <c r="BG1288" s="74"/>
      <c r="BK1288" s="74"/>
      <c r="BO1288" s="74"/>
      <c r="BW1288" s="74"/>
      <c r="DF1288" s="21"/>
      <c r="DG1288" s="21"/>
      <c r="DH1288" s="21"/>
      <c r="DI1288" s="21"/>
    </row>
    <row r="1289" spans="2:113" s="123" customFormat="1">
      <c r="B1289" s="125"/>
      <c r="D1289" s="125"/>
      <c r="AA1289" s="74"/>
      <c r="AE1289" s="124"/>
      <c r="AI1289" s="74"/>
      <c r="AM1289" s="74"/>
      <c r="AY1289" s="74"/>
      <c r="BC1289" s="74"/>
      <c r="BG1289" s="74"/>
      <c r="BK1289" s="74"/>
      <c r="BO1289" s="74"/>
      <c r="BW1289" s="74"/>
      <c r="DF1289" s="21"/>
      <c r="DG1289" s="21"/>
      <c r="DH1289" s="21"/>
      <c r="DI1289" s="21"/>
    </row>
    <row r="1290" spans="2:113" s="123" customFormat="1">
      <c r="B1290" s="125"/>
      <c r="D1290" s="125"/>
      <c r="AA1290" s="74"/>
      <c r="AE1290" s="124"/>
      <c r="AI1290" s="74"/>
      <c r="AM1290" s="74"/>
      <c r="AY1290" s="74"/>
      <c r="BC1290" s="74"/>
      <c r="BG1290" s="74"/>
      <c r="BK1290" s="74"/>
      <c r="BO1290" s="74"/>
      <c r="BW1290" s="74"/>
      <c r="DF1290" s="21"/>
      <c r="DG1290" s="21"/>
      <c r="DH1290" s="21"/>
      <c r="DI1290" s="21"/>
    </row>
    <row r="1291" spans="2:113" s="123" customFormat="1">
      <c r="B1291" s="125"/>
      <c r="D1291" s="125"/>
      <c r="AA1291" s="74"/>
      <c r="AE1291" s="124"/>
      <c r="AI1291" s="74"/>
      <c r="AM1291" s="74"/>
      <c r="AY1291" s="74"/>
      <c r="BC1291" s="74"/>
      <c r="BG1291" s="74"/>
      <c r="BK1291" s="74"/>
      <c r="BO1291" s="74"/>
      <c r="BW1291" s="74"/>
      <c r="DF1291" s="21"/>
      <c r="DG1291" s="21"/>
      <c r="DH1291" s="21"/>
      <c r="DI1291" s="21"/>
    </row>
    <row r="1292" spans="2:113" s="123" customFormat="1">
      <c r="B1292" s="125"/>
      <c r="D1292" s="125"/>
      <c r="AA1292" s="74"/>
      <c r="AE1292" s="124"/>
      <c r="AI1292" s="74"/>
      <c r="AM1292" s="74"/>
      <c r="AY1292" s="74"/>
      <c r="BC1292" s="74"/>
      <c r="BG1292" s="74"/>
      <c r="BK1292" s="74"/>
      <c r="BO1292" s="74"/>
      <c r="BW1292" s="74"/>
      <c r="DF1292" s="21"/>
      <c r="DG1292" s="21"/>
      <c r="DH1292" s="21"/>
      <c r="DI1292" s="21"/>
    </row>
    <row r="1293" spans="2:113" s="123" customFormat="1">
      <c r="B1293" s="125"/>
      <c r="D1293" s="125"/>
      <c r="AA1293" s="74"/>
      <c r="AE1293" s="124"/>
      <c r="AI1293" s="74"/>
      <c r="AM1293" s="74"/>
      <c r="AY1293" s="74"/>
      <c r="BC1293" s="74"/>
      <c r="BG1293" s="74"/>
      <c r="BK1293" s="74"/>
      <c r="BO1293" s="74"/>
      <c r="BW1293" s="74"/>
      <c r="DF1293" s="21"/>
      <c r="DG1293" s="21"/>
      <c r="DH1293" s="21"/>
      <c r="DI1293" s="21"/>
    </row>
    <row r="1294" spans="2:113" s="123" customFormat="1">
      <c r="B1294" s="125"/>
      <c r="D1294" s="125"/>
      <c r="AA1294" s="74"/>
      <c r="AE1294" s="124"/>
      <c r="AI1294" s="74"/>
      <c r="AM1294" s="74"/>
      <c r="AY1294" s="74"/>
      <c r="BC1294" s="74"/>
      <c r="BG1294" s="74"/>
      <c r="BK1294" s="74"/>
      <c r="BO1294" s="74"/>
      <c r="BW1294" s="74"/>
      <c r="DF1294" s="21"/>
      <c r="DG1294" s="21"/>
      <c r="DH1294" s="21"/>
      <c r="DI1294" s="21"/>
    </row>
    <row r="1295" spans="2:113" s="123" customFormat="1">
      <c r="B1295" s="125"/>
      <c r="D1295" s="125"/>
      <c r="AA1295" s="74"/>
      <c r="AE1295" s="124"/>
      <c r="AI1295" s="74"/>
      <c r="AM1295" s="74"/>
      <c r="AY1295" s="74"/>
      <c r="BC1295" s="74"/>
      <c r="BG1295" s="74"/>
      <c r="BK1295" s="74"/>
      <c r="BO1295" s="74"/>
      <c r="BW1295" s="74"/>
      <c r="DF1295" s="21"/>
      <c r="DG1295" s="21"/>
      <c r="DH1295" s="21"/>
      <c r="DI1295" s="21"/>
    </row>
    <row r="1296" spans="2:113" s="123" customFormat="1">
      <c r="B1296" s="125"/>
      <c r="D1296" s="125"/>
      <c r="AA1296" s="74"/>
      <c r="AE1296" s="124"/>
      <c r="AI1296" s="74"/>
      <c r="AM1296" s="74"/>
      <c r="AY1296" s="74"/>
      <c r="BC1296" s="74"/>
      <c r="BG1296" s="74"/>
      <c r="BK1296" s="74"/>
      <c r="BO1296" s="74"/>
      <c r="BW1296" s="74"/>
      <c r="DF1296" s="21"/>
      <c r="DG1296" s="21"/>
      <c r="DH1296" s="21"/>
      <c r="DI1296" s="21"/>
    </row>
    <row r="1297" spans="2:113" s="123" customFormat="1">
      <c r="B1297" s="125"/>
      <c r="D1297" s="125"/>
      <c r="AA1297" s="74"/>
      <c r="AE1297" s="124"/>
      <c r="AI1297" s="74"/>
      <c r="AM1297" s="74"/>
      <c r="AY1297" s="74"/>
      <c r="BC1297" s="74"/>
      <c r="BG1297" s="74"/>
      <c r="BK1297" s="74"/>
      <c r="BO1297" s="74"/>
      <c r="BW1297" s="74"/>
      <c r="DF1297" s="21"/>
      <c r="DG1297" s="21"/>
      <c r="DH1297" s="21"/>
      <c r="DI1297" s="21"/>
    </row>
    <row r="1298" spans="2:113" s="123" customFormat="1">
      <c r="B1298" s="125"/>
      <c r="D1298" s="125"/>
      <c r="AA1298" s="74"/>
      <c r="AE1298" s="124"/>
      <c r="AI1298" s="74"/>
      <c r="AM1298" s="74"/>
      <c r="AY1298" s="74"/>
      <c r="BC1298" s="74"/>
      <c r="BG1298" s="74"/>
      <c r="BK1298" s="74"/>
      <c r="BO1298" s="74"/>
      <c r="BW1298" s="74"/>
      <c r="DF1298" s="21"/>
      <c r="DG1298" s="21"/>
      <c r="DH1298" s="21"/>
      <c r="DI1298" s="21"/>
    </row>
    <row r="1299" spans="2:113" s="123" customFormat="1">
      <c r="B1299" s="125"/>
      <c r="D1299" s="125"/>
      <c r="AA1299" s="74"/>
      <c r="AE1299" s="124"/>
      <c r="AI1299" s="74"/>
      <c r="AM1299" s="74"/>
      <c r="AY1299" s="74"/>
      <c r="BC1299" s="74"/>
      <c r="BG1299" s="74"/>
      <c r="BK1299" s="74"/>
      <c r="BO1299" s="74"/>
      <c r="BW1299" s="74"/>
      <c r="DF1299" s="21"/>
      <c r="DG1299" s="21"/>
      <c r="DH1299" s="21"/>
      <c r="DI1299" s="21"/>
    </row>
    <row r="1300" spans="2:113" s="123" customFormat="1">
      <c r="B1300" s="125"/>
      <c r="D1300" s="125"/>
      <c r="AA1300" s="74"/>
      <c r="AE1300" s="124"/>
      <c r="AI1300" s="74"/>
      <c r="AM1300" s="74"/>
      <c r="AY1300" s="74"/>
      <c r="BC1300" s="74"/>
      <c r="BG1300" s="74"/>
      <c r="BK1300" s="74"/>
      <c r="BO1300" s="74"/>
      <c r="BW1300" s="74"/>
      <c r="DF1300" s="21"/>
      <c r="DG1300" s="21"/>
      <c r="DH1300" s="21"/>
      <c r="DI1300" s="21"/>
    </row>
    <row r="1301" spans="2:113" s="123" customFormat="1">
      <c r="B1301" s="125"/>
      <c r="D1301" s="125"/>
      <c r="AA1301" s="74"/>
      <c r="AE1301" s="124"/>
      <c r="AI1301" s="74"/>
      <c r="AM1301" s="74"/>
      <c r="AY1301" s="74"/>
      <c r="BC1301" s="74"/>
      <c r="BG1301" s="74"/>
      <c r="BK1301" s="74"/>
      <c r="BO1301" s="74"/>
      <c r="BW1301" s="74"/>
      <c r="DF1301" s="21"/>
      <c r="DG1301" s="21"/>
      <c r="DH1301" s="21"/>
      <c r="DI1301" s="21"/>
    </row>
    <row r="1302" spans="2:113" s="123" customFormat="1">
      <c r="B1302" s="125"/>
      <c r="D1302" s="125"/>
      <c r="AA1302" s="74"/>
      <c r="AE1302" s="124"/>
      <c r="AI1302" s="74"/>
      <c r="AM1302" s="74"/>
      <c r="AY1302" s="74"/>
      <c r="BC1302" s="74"/>
      <c r="BG1302" s="74"/>
      <c r="BK1302" s="74"/>
      <c r="BO1302" s="74"/>
      <c r="BW1302" s="74"/>
      <c r="DF1302" s="21"/>
      <c r="DG1302" s="21"/>
      <c r="DH1302" s="21"/>
      <c r="DI1302" s="21"/>
    </row>
    <row r="1303" spans="2:113" s="123" customFormat="1">
      <c r="B1303" s="125"/>
      <c r="D1303" s="125"/>
      <c r="AA1303" s="74"/>
      <c r="AE1303" s="124"/>
      <c r="AI1303" s="74"/>
      <c r="AM1303" s="74"/>
      <c r="AY1303" s="74"/>
      <c r="BC1303" s="74"/>
      <c r="BG1303" s="74"/>
      <c r="BK1303" s="74"/>
      <c r="BO1303" s="74"/>
      <c r="BW1303" s="74"/>
      <c r="DF1303" s="21"/>
      <c r="DG1303" s="21"/>
      <c r="DH1303" s="21"/>
      <c r="DI1303" s="21"/>
    </row>
    <row r="1304" spans="2:113" s="123" customFormat="1">
      <c r="B1304" s="125"/>
      <c r="D1304" s="125"/>
      <c r="AA1304" s="74"/>
      <c r="AE1304" s="124"/>
      <c r="AI1304" s="74"/>
      <c r="AM1304" s="74"/>
      <c r="AY1304" s="74"/>
      <c r="BC1304" s="74"/>
      <c r="BG1304" s="74"/>
      <c r="BK1304" s="74"/>
      <c r="BO1304" s="74"/>
      <c r="BW1304" s="74"/>
      <c r="DF1304" s="21"/>
      <c r="DG1304" s="21"/>
      <c r="DH1304" s="21"/>
      <c r="DI1304" s="21"/>
    </row>
    <row r="1305" spans="2:113" s="123" customFormat="1">
      <c r="B1305" s="125"/>
      <c r="D1305" s="125"/>
      <c r="AA1305" s="74"/>
      <c r="AE1305" s="124"/>
      <c r="AI1305" s="74"/>
      <c r="AM1305" s="74"/>
      <c r="AY1305" s="74"/>
      <c r="BC1305" s="74"/>
      <c r="BG1305" s="74"/>
      <c r="BK1305" s="74"/>
      <c r="BO1305" s="74"/>
      <c r="BW1305" s="74"/>
      <c r="DF1305" s="21"/>
      <c r="DG1305" s="21"/>
      <c r="DH1305" s="21"/>
      <c r="DI1305" s="21"/>
    </row>
    <row r="1306" spans="2:113" s="123" customFormat="1">
      <c r="B1306" s="125"/>
      <c r="D1306" s="125"/>
      <c r="AA1306" s="74"/>
      <c r="AE1306" s="124"/>
      <c r="AI1306" s="74"/>
      <c r="AM1306" s="74"/>
      <c r="AY1306" s="74"/>
      <c r="BC1306" s="74"/>
      <c r="BG1306" s="74"/>
      <c r="BK1306" s="74"/>
      <c r="BO1306" s="74"/>
      <c r="BW1306" s="74"/>
      <c r="DF1306" s="21"/>
      <c r="DG1306" s="21"/>
      <c r="DH1306" s="21"/>
      <c r="DI1306" s="21"/>
    </row>
    <row r="1307" spans="2:113" s="123" customFormat="1">
      <c r="B1307" s="125"/>
      <c r="D1307" s="125"/>
      <c r="AA1307" s="74"/>
      <c r="AE1307" s="124"/>
      <c r="AI1307" s="74"/>
      <c r="AM1307" s="74"/>
      <c r="AY1307" s="74"/>
      <c r="BC1307" s="74"/>
      <c r="BG1307" s="74"/>
      <c r="BK1307" s="74"/>
      <c r="BO1307" s="74"/>
      <c r="BW1307" s="74"/>
      <c r="DF1307" s="21"/>
      <c r="DG1307" s="21"/>
      <c r="DH1307" s="21"/>
      <c r="DI1307" s="21"/>
    </row>
    <row r="1308" spans="2:113" s="123" customFormat="1">
      <c r="B1308" s="125"/>
      <c r="D1308" s="125"/>
      <c r="AA1308" s="74"/>
      <c r="AE1308" s="124"/>
      <c r="AI1308" s="74"/>
      <c r="AM1308" s="74"/>
      <c r="AY1308" s="74"/>
      <c r="BC1308" s="74"/>
      <c r="BG1308" s="74"/>
      <c r="BK1308" s="74"/>
      <c r="BO1308" s="74"/>
      <c r="BW1308" s="74"/>
      <c r="DF1308" s="21"/>
      <c r="DG1308" s="21"/>
      <c r="DH1308" s="21"/>
      <c r="DI1308" s="21"/>
    </row>
    <row r="1309" spans="2:113" s="123" customFormat="1">
      <c r="B1309" s="125"/>
      <c r="D1309" s="125"/>
      <c r="AA1309" s="74"/>
      <c r="AE1309" s="124"/>
      <c r="AI1309" s="74"/>
      <c r="AM1309" s="74"/>
      <c r="AY1309" s="74"/>
      <c r="BC1309" s="74"/>
      <c r="BG1309" s="74"/>
      <c r="BK1309" s="74"/>
      <c r="BO1309" s="74"/>
      <c r="BW1309" s="74"/>
      <c r="DF1309" s="21"/>
      <c r="DG1309" s="21"/>
      <c r="DH1309" s="21"/>
      <c r="DI1309" s="21"/>
    </row>
    <row r="1310" spans="2:113" s="123" customFormat="1">
      <c r="B1310" s="125"/>
      <c r="D1310" s="125"/>
      <c r="AA1310" s="74"/>
      <c r="AE1310" s="124"/>
      <c r="AI1310" s="74"/>
      <c r="AM1310" s="74"/>
      <c r="AY1310" s="74"/>
      <c r="BC1310" s="74"/>
      <c r="BG1310" s="74"/>
      <c r="BK1310" s="74"/>
      <c r="BO1310" s="74"/>
      <c r="BW1310" s="74"/>
      <c r="DF1310" s="21"/>
      <c r="DG1310" s="21"/>
      <c r="DH1310" s="21"/>
      <c r="DI1310" s="21"/>
    </row>
    <row r="1311" spans="2:113" s="123" customFormat="1">
      <c r="B1311" s="125"/>
      <c r="D1311" s="125"/>
      <c r="AA1311" s="74"/>
      <c r="AE1311" s="124"/>
      <c r="AI1311" s="74"/>
      <c r="AM1311" s="74"/>
      <c r="AY1311" s="74"/>
      <c r="BC1311" s="74"/>
      <c r="BG1311" s="74"/>
      <c r="BK1311" s="74"/>
      <c r="BO1311" s="74"/>
      <c r="BW1311" s="74"/>
      <c r="DF1311" s="21"/>
      <c r="DG1311" s="21"/>
      <c r="DH1311" s="21"/>
      <c r="DI1311" s="21"/>
    </row>
    <row r="1312" spans="2:113" s="123" customFormat="1">
      <c r="B1312" s="125"/>
      <c r="D1312" s="125"/>
      <c r="AA1312" s="74"/>
      <c r="AE1312" s="124"/>
      <c r="AI1312" s="74"/>
      <c r="AM1312" s="74"/>
      <c r="AY1312" s="74"/>
      <c r="BC1312" s="74"/>
      <c r="BG1312" s="74"/>
      <c r="BK1312" s="74"/>
      <c r="BO1312" s="74"/>
      <c r="BW1312" s="74"/>
      <c r="DF1312" s="21"/>
      <c r="DG1312" s="21"/>
      <c r="DH1312" s="21"/>
      <c r="DI1312" s="21"/>
    </row>
    <row r="1313" spans="2:113" s="123" customFormat="1">
      <c r="B1313" s="125"/>
      <c r="D1313" s="125"/>
      <c r="AA1313" s="74"/>
      <c r="AE1313" s="124"/>
      <c r="AI1313" s="74"/>
      <c r="AM1313" s="74"/>
      <c r="AY1313" s="74"/>
      <c r="BC1313" s="74"/>
      <c r="BG1313" s="74"/>
      <c r="BK1313" s="74"/>
      <c r="BO1313" s="74"/>
      <c r="BW1313" s="74"/>
      <c r="DF1313" s="21"/>
      <c r="DG1313" s="21"/>
      <c r="DH1313" s="21"/>
      <c r="DI1313" s="21"/>
    </row>
    <row r="1314" spans="2:113" s="123" customFormat="1">
      <c r="B1314" s="125"/>
      <c r="D1314" s="125"/>
      <c r="AA1314" s="74"/>
      <c r="AE1314" s="124"/>
      <c r="AI1314" s="74"/>
      <c r="AM1314" s="74"/>
      <c r="AY1314" s="74"/>
      <c r="BC1314" s="74"/>
      <c r="BG1314" s="74"/>
      <c r="BK1314" s="74"/>
      <c r="BO1314" s="74"/>
      <c r="BW1314" s="74"/>
      <c r="DF1314" s="21"/>
      <c r="DG1314" s="21"/>
      <c r="DH1314" s="21"/>
      <c r="DI1314" s="21"/>
    </row>
    <row r="1315" spans="2:113" s="123" customFormat="1">
      <c r="B1315" s="125"/>
      <c r="D1315" s="125"/>
      <c r="AA1315" s="74"/>
      <c r="AE1315" s="124"/>
      <c r="AI1315" s="74"/>
      <c r="AM1315" s="74"/>
      <c r="AY1315" s="74"/>
      <c r="BC1315" s="74"/>
      <c r="BG1315" s="74"/>
      <c r="BK1315" s="74"/>
      <c r="BO1315" s="74"/>
      <c r="BW1315" s="74"/>
      <c r="DF1315" s="21"/>
      <c r="DG1315" s="21"/>
      <c r="DH1315" s="21"/>
      <c r="DI1315" s="21"/>
    </row>
    <row r="1316" spans="2:113" s="123" customFormat="1">
      <c r="B1316" s="125"/>
      <c r="D1316" s="125"/>
      <c r="AA1316" s="74"/>
      <c r="AE1316" s="124"/>
      <c r="AI1316" s="74"/>
      <c r="AM1316" s="74"/>
      <c r="AY1316" s="74"/>
      <c r="BC1316" s="74"/>
      <c r="BG1316" s="74"/>
      <c r="BK1316" s="74"/>
      <c r="BO1316" s="74"/>
      <c r="BW1316" s="74"/>
      <c r="DF1316" s="21"/>
      <c r="DG1316" s="21"/>
      <c r="DH1316" s="21"/>
      <c r="DI1316" s="21"/>
    </row>
    <row r="1317" spans="2:113" s="123" customFormat="1">
      <c r="B1317" s="125"/>
      <c r="D1317" s="125"/>
      <c r="AA1317" s="74"/>
      <c r="AE1317" s="124"/>
      <c r="AI1317" s="74"/>
      <c r="AM1317" s="74"/>
      <c r="AY1317" s="74"/>
      <c r="BC1317" s="74"/>
      <c r="BG1317" s="74"/>
      <c r="BK1317" s="74"/>
      <c r="BO1317" s="74"/>
      <c r="BW1317" s="74"/>
      <c r="DF1317" s="21"/>
      <c r="DG1317" s="21"/>
      <c r="DH1317" s="21"/>
      <c r="DI1317" s="21"/>
    </row>
    <row r="1318" spans="2:113" s="123" customFormat="1">
      <c r="B1318" s="125"/>
      <c r="D1318" s="125"/>
      <c r="AA1318" s="74"/>
      <c r="AE1318" s="124"/>
      <c r="AI1318" s="74"/>
      <c r="AM1318" s="74"/>
      <c r="AY1318" s="74"/>
      <c r="BC1318" s="74"/>
      <c r="BG1318" s="74"/>
      <c r="BK1318" s="74"/>
      <c r="BO1318" s="74"/>
      <c r="BW1318" s="74"/>
      <c r="DF1318" s="21"/>
      <c r="DG1318" s="21"/>
      <c r="DH1318" s="21"/>
      <c r="DI1318" s="21"/>
    </row>
    <row r="1319" spans="2:113" s="123" customFormat="1">
      <c r="B1319" s="125"/>
      <c r="D1319" s="125"/>
      <c r="AA1319" s="74"/>
      <c r="AE1319" s="124"/>
      <c r="AI1319" s="74"/>
      <c r="AM1319" s="74"/>
      <c r="AY1319" s="74"/>
      <c r="BC1319" s="74"/>
      <c r="BG1319" s="74"/>
      <c r="BK1319" s="74"/>
      <c r="BO1319" s="74"/>
      <c r="BW1319" s="74"/>
      <c r="DF1319" s="21"/>
      <c r="DG1319" s="21"/>
      <c r="DH1319" s="21"/>
      <c r="DI1319" s="21"/>
    </row>
    <row r="1320" spans="2:113" s="123" customFormat="1">
      <c r="B1320" s="125"/>
      <c r="D1320" s="125"/>
      <c r="AA1320" s="74"/>
      <c r="AE1320" s="124"/>
      <c r="AI1320" s="74"/>
      <c r="AM1320" s="74"/>
      <c r="AY1320" s="74"/>
      <c r="BC1320" s="74"/>
      <c r="BG1320" s="74"/>
      <c r="BK1320" s="74"/>
      <c r="BO1320" s="74"/>
      <c r="BW1320" s="74"/>
      <c r="DF1320" s="21"/>
      <c r="DG1320" s="21"/>
      <c r="DH1320" s="21"/>
      <c r="DI1320" s="21"/>
    </row>
    <row r="1321" spans="2:113" s="123" customFormat="1">
      <c r="B1321" s="125"/>
      <c r="D1321" s="125"/>
      <c r="AA1321" s="74"/>
      <c r="AE1321" s="124"/>
      <c r="AI1321" s="74"/>
      <c r="AM1321" s="74"/>
      <c r="AY1321" s="74"/>
      <c r="BC1321" s="74"/>
      <c r="BG1321" s="74"/>
      <c r="BK1321" s="74"/>
      <c r="BO1321" s="74"/>
      <c r="BW1321" s="74"/>
      <c r="DF1321" s="21"/>
      <c r="DG1321" s="21"/>
      <c r="DH1321" s="21"/>
      <c r="DI1321" s="21"/>
    </row>
    <row r="1322" spans="2:113" s="123" customFormat="1">
      <c r="B1322" s="125"/>
      <c r="D1322" s="125"/>
      <c r="AA1322" s="74"/>
      <c r="AE1322" s="124"/>
      <c r="AI1322" s="74"/>
      <c r="AM1322" s="74"/>
      <c r="AY1322" s="74"/>
      <c r="BC1322" s="74"/>
      <c r="BG1322" s="74"/>
      <c r="BK1322" s="74"/>
      <c r="BO1322" s="74"/>
      <c r="BW1322" s="74"/>
      <c r="DF1322" s="21"/>
      <c r="DG1322" s="21"/>
      <c r="DH1322" s="21"/>
      <c r="DI1322" s="21"/>
    </row>
    <row r="1323" spans="2:113" s="123" customFormat="1">
      <c r="B1323" s="125"/>
      <c r="D1323" s="125"/>
      <c r="AA1323" s="74"/>
      <c r="AE1323" s="124"/>
      <c r="AI1323" s="74"/>
      <c r="AM1323" s="74"/>
      <c r="AY1323" s="74"/>
      <c r="BC1323" s="74"/>
      <c r="BG1323" s="74"/>
      <c r="BK1323" s="74"/>
      <c r="BO1323" s="74"/>
      <c r="BW1323" s="74"/>
      <c r="DF1323" s="21"/>
      <c r="DG1323" s="21"/>
      <c r="DH1323" s="21"/>
      <c r="DI1323" s="21"/>
    </row>
    <row r="1324" spans="2:113" s="123" customFormat="1">
      <c r="B1324" s="125"/>
      <c r="D1324" s="125"/>
      <c r="AA1324" s="74"/>
      <c r="AE1324" s="124"/>
      <c r="AI1324" s="74"/>
      <c r="AM1324" s="74"/>
      <c r="AY1324" s="74"/>
      <c r="BC1324" s="74"/>
      <c r="BG1324" s="74"/>
      <c r="BK1324" s="74"/>
      <c r="BO1324" s="74"/>
      <c r="BW1324" s="74"/>
      <c r="DF1324" s="21"/>
      <c r="DG1324" s="21"/>
      <c r="DH1324" s="21"/>
      <c r="DI1324" s="21"/>
    </row>
    <row r="1325" spans="2:113" s="123" customFormat="1">
      <c r="B1325" s="125"/>
      <c r="D1325" s="125"/>
      <c r="AA1325" s="74"/>
      <c r="AE1325" s="124"/>
      <c r="AI1325" s="74"/>
      <c r="AM1325" s="74"/>
      <c r="AY1325" s="74"/>
      <c r="BC1325" s="74"/>
      <c r="BG1325" s="74"/>
      <c r="BK1325" s="74"/>
      <c r="BO1325" s="74"/>
      <c r="BW1325" s="74"/>
      <c r="DF1325" s="21"/>
      <c r="DG1325" s="21"/>
      <c r="DH1325" s="21"/>
      <c r="DI1325" s="21"/>
    </row>
    <row r="1326" spans="2:113" s="123" customFormat="1">
      <c r="B1326" s="125"/>
      <c r="D1326" s="125"/>
      <c r="AA1326" s="74"/>
      <c r="AE1326" s="124"/>
      <c r="AI1326" s="74"/>
      <c r="AM1326" s="74"/>
      <c r="AY1326" s="74"/>
      <c r="BC1326" s="74"/>
      <c r="BG1326" s="74"/>
      <c r="BK1326" s="74"/>
      <c r="BO1326" s="74"/>
      <c r="BW1326" s="74"/>
      <c r="DF1326" s="21"/>
      <c r="DG1326" s="21"/>
      <c r="DH1326" s="21"/>
      <c r="DI1326" s="21"/>
    </row>
    <row r="1327" spans="2:113" s="123" customFormat="1">
      <c r="B1327" s="125"/>
      <c r="D1327" s="125"/>
      <c r="AA1327" s="74"/>
      <c r="AE1327" s="124"/>
      <c r="AI1327" s="74"/>
      <c r="AM1327" s="74"/>
      <c r="AY1327" s="74"/>
      <c r="BC1327" s="74"/>
      <c r="BG1327" s="74"/>
      <c r="BK1327" s="74"/>
      <c r="BO1327" s="74"/>
      <c r="BW1327" s="74"/>
      <c r="DF1327" s="21"/>
      <c r="DG1327" s="21"/>
      <c r="DH1327" s="21"/>
      <c r="DI1327" s="21"/>
    </row>
    <row r="1328" spans="2:113" s="123" customFormat="1">
      <c r="B1328" s="125"/>
      <c r="D1328" s="125"/>
      <c r="AA1328" s="74"/>
      <c r="AE1328" s="124"/>
      <c r="AI1328" s="74"/>
      <c r="AM1328" s="74"/>
      <c r="AY1328" s="74"/>
      <c r="BC1328" s="74"/>
      <c r="BG1328" s="74"/>
      <c r="BK1328" s="74"/>
      <c r="BO1328" s="74"/>
      <c r="BW1328" s="74"/>
      <c r="DF1328" s="21"/>
      <c r="DG1328" s="21"/>
      <c r="DH1328" s="21"/>
      <c r="DI1328" s="21"/>
    </row>
    <row r="1329" spans="2:113" s="123" customFormat="1">
      <c r="B1329" s="125"/>
      <c r="D1329" s="125"/>
      <c r="AA1329" s="74"/>
      <c r="AE1329" s="124"/>
      <c r="AI1329" s="74"/>
      <c r="AM1329" s="74"/>
      <c r="AY1329" s="74"/>
      <c r="BC1329" s="74"/>
      <c r="BG1329" s="74"/>
      <c r="BK1329" s="74"/>
      <c r="BO1329" s="74"/>
      <c r="BW1329" s="74"/>
      <c r="DF1329" s="21"/>
      <c r="DG1329" s="21"/>
      <c r="DH1329" s="21"/>
      <c r="DI1329" s="21"/>
    </row>
    <row r="1330" spans="2:113" s="123" customFormat="1">
      <c r="B1330" s="125"/>
      <c r="D1330" s="125"/>
      <c r="AA1330" s="74"/>
      <c r="AE1330" s="124"/>
      <c r="AI1330" s="74"/>
      <c r="AM1330" s="74"/>
      <c r="AY1330" s="74"/>
      <c r="BC1330" s="74"/>
      <c r="BG1330" s="74"/>
      <c r="BK1330" s="74"/>
      <c r="BO1330" s="74"/>
      <c r="BW1330" s="74"/>
      <c r="DF1330" s="21"/>
      <c r="DG1330" s="21"/>
      <c r="DH1330" s="21"/>
      <c r="DI1330" s="21"/>
    </row>
    <row r="1331" spans="2:113" s="123" customFormat="1">
      <c r="B1331" s="125"/>
      <c r="D1331" s="125"/>
      <c r="AA1331" s="74"/>
      <c r="AE1331" s="124"/>
      <c r="AI1331" s="74"/>
      <c r="AM1331" s="74"/>
      <c r="AY1331" s="74"/>
      <c r="BC1331" s="74"/>
      <c r="BG1331" s="74"/>
      <c r="BK1331" s="74"/>
      <c r="BO1331" s="74"/>
      <c r="BW1331" s="74"/>
      <c r="DF1331" s="21"/>
      <c r="DG1331" s="21"/>
      <c r="DH1331" s="21"/>
      <c r="DI1331" s="21"/>
    </row>
    <row r="1332" spans="2:113" s="123" customFormat="1">
      <c r="B1332" s="125"/>
      <c r="D1332" s="125"/>
      <c r="AA1332" s="74"/>
      <c r="AE1332" s="124"/>
      <c r="AI1332" s="74"/>
      <c r="AM1332" s="74"/>
      <c r="AY1332" s="74"/>
      <c r="BC1332" s="74"/>
      <c r="BG1332" s="74"/>
      <c r="BK1332" s="74"/>
      <c r="BO1332" s="74"/>
      <c r="BW1332" s="74"/>
      <c r="DF1332" s="21"/>
      <c r="DG1332" s="21"/>
      <c r="DH1332" s="21"/>
      <c r="DI1332" s="21"/>
    </row>
    <row r="1333" spans="2:113" s="123" customFormat="1">
      <c r="B1333" s="125"/>
      <c r="D1333" s="125"/>
      <c r="AA1333" s="74"/>
      <c r="AE1333" s="124"/>
      <c r="AI1333" s="74"/>
      <c r="AM1333" s="74"/>
      <c r="AY1333" s="74"/>
      <c r="BC1333" s="74"/>
      <c r="BG1333" s="74"/>
      <c r="BK1333" s="74"/>
      <c r="BO1333" s="74"/>
      <c r="BW1333" s="74"/>
      <c r="DF1333" s="21"/>
      <c r="DG1333" s="21"/>
      <c r="DH1333" s="21"/>
      <c r="DI1333" s="21"/>
    </row>
    <row r="1334" spans="2:113" s="123" customFormat="1">
      <c r="B1334" s="125"/>
      <c r="D1334" s="125"/>
      <c r="AA1334" s="74"/>
      <c r="AE1334" s="124"/>
      <c r="AI1334" s="74"/>
      <c r="AM1334" s="74"/>
      <c r="AY1334" s="74"/>
      <c r="BC1334" s="74"/>
      <c r="BG1334" s="74"/>
      <c r="BK1334" s="74"/>
      <c r="BO1334" s="74"/>
      <c r="BW1334" s="74"/>
      <c r="DF1334" s="21"/>
      <c r="DG1334" s="21"/>
      <c r="DH1334" s="21"/>
      <c r="DI1334" s="21"/>
    </row>
    <row r="1335" spans="2:113" s="123" customFormat="1">
      <c r="B1335" s="125"/>
      <c r="D1335" s="125"/>
      <c r="AA1335" s="74"/>
      <c r="AE1335" s="124"/>
      <c r="AI1335" s="74"/>
      <c r="AM1335" s="74"/>
      <c r="AY1335" s="74"/>
      <c r="BC1335" s="74"/>
      <c r="BG1335" s="74"/>
      <c r="BK1335" s="74"/>
      <c r="BO1335" s="74"/>
      <c r="BW1335" s="74"/>
      <c r="DF1335" s="21"/>
      <c r="DG1335" s="21"/>
      <c r="DH1335" s="21"/>
      <c r="DI1335" s="21"/>
    </row>
    <row r="1336" spans="2:113" s="123" customFormat="1">
      <c r="B1336" s="125"/>
      <c r="D1336" s="125"/>
      <c r="AA1336" s="74"/>
      <c r="AE1336" s="124"/>
      <c r="AI1336" s="74"/>
      <c r="AM1336" s="74"/>
      <c r="AY1336" s="74"/>
      <c r="BC1336" s="74"/>
      <c r="BG1336" s="74"/>
      <c r="BK1336" s="74"/>
      <c r="BO1336" s="74"/>
      <c r="BW1336" s="74"/>
      <c r="DF1336" s="21"/>
      <c r="DG1336" s="21"/>
      <c r="DH1336" s="21"/>
      <c r="DI1336" s="21"/>
    </row>
    <row r="1337" spans="2:113" s="123" customFormat="1">
      <c r="B1337" s="125"/>
      <c r="D1337" s="125"/>
      <c r="AA1337" s="74"/>
      <c r="AE1337" s="124"/>
      <c r="AI1337" s="74"/>
      <c r="AM1337" s="74"/>
      <c r="AY1337" s="74"/>
      <c r="BC1337" s="74"/>
      <c r="BG1337" s="74"/>
      <c r="BK1337" s="74"/>
      <c r="BO1337" s="74"/>
      <c r="BW1337" s="74"/>
      <c r="DF1337" s="21"/>
      <c r="DG1337" s="21"/>
      <c r="DH1337" s="21"/>
      <c r="DI1337" s="21"/>
    </row>
    <row r="1338" spans="2:113" s="123" customFormat="1">
      <c r="B1338" s="125"/>
      <c r="D1338" s="125"/>
      <c r="AA1338" s="74"/>
      <c r="AE1338" s="124"/>
      <c r="AI1338" s="74"/>
      <c r="AM1338" s="74"/>
      <c r="AY1338" s="74"/>
      <c r="BC1338" s="74"/>
      <c r="BG1338" s="74"/>
      <c r="BK1338" s="74"/>
      <c r="BO1338" s="74"/>
      <c r="BW1338" s="74"/>
      <c r="DF1338" s="21"/>
      <c r="DG1338" s="21"/>
      <c r="DH1338" s="21"/>
      <c r="DI1338" s="21"/>
    </row>
    <row r="1339" spans="2:113" s="123" customFormat="1">
      <c r="B1339" s="125"/>
      <c r="D1339" s="125"/>
      <c r="AA1339" s="74"/>
      <c r="AE1339" s="124"/>
      <c r="AI1339" s="74"/>
      <c r="AM1339" s="74"/>
      <c r="AY1339" s="74"/>
      <c r="BC1339" s="74"/>
      <c r="BG1339" s="74"/>
      <c r="BK1339" s="74"/>
      <c r="BO1339" s="74"/>
      <c r="BW1339" s="74"/>
      <c r="DF1339" s="21"/>
      <c r="DG1339" s="21"/>
      <c r="DH1339" s="21"/>
      <c r="DI1339" s="21"/>
    </row>
    <row r="1340" spans="2:113" s="123" customFormat="1">
      <c r="B1340" s="125"/>
      <c r="D1340" s="125"/>
      <c r="AA1340" s="74"/>
      <c r="AE1340" s="124"/>
      <c r="AI1340" s="74"/>
      <c r="AM1340" s="74"/>
      <c r="AY1340" s="74"/>
      <c r="BC1340" s="74"/>
      <c r="BG1340" s="74"/>
      <c r="BK1340" s="74"/>
      <c r="BO1340" s="74"/>
      <c r="BW1340" s="74"/>
      <c r="DF1340" s="21"/>
      <c r="DG1340" s="21"/>
      <c r="DH1340" s="21"/>
      <c r="DI1340" s="21"/>
    </row>
    <row r="1341" spans="2:113" s="123" customFormat="1">
      <c r="B1341" s="125"/>
      <c r="D1341" s="125"/>
      <c r="AA1341" s="74"/>
      <c r="AE1341" s="124"/>
      <c r="AI1341" s="74"/>
      <c r="AM1341" s="74"/>
      <c r="AY1341" s="74"/>
      <c r="BC1341" s="74"/>
      <c r="BG1341" s="74"/>
      <c r="BK1341" s="74"/>
      <c r="BO1341" s="74"/>
      <c r="BW1341" s="74"/>
      <c r="DF1341" s="21"/>
      <c r="DG1341" s="21"/>
      <c r="DH1341" s="21"/>
      <c r="DI1341" s="21"/>
    </row>
    <row r="1342" spans="2:113" s="123" customFormat="1">
      <c r="B1342" s="125"/>
      <c r="D1342" s="125"/>
      <c r="AA1342" s="74"/>
      <c r="AE1342" s="124"/>
      <c r="AI1342" s="74"/>
      <c r="AM1342" s="74"/>
      <c r="AY1342" s="74"/>
      <c r="BC1342" s="74"/>
      <c r="BG1342" s="74"/>
      <c r="BK1342" s="74"/>
      <c r="BO1342" s="74"/>
      <c r="BW1342" s="74"/>
      <c r="DF1342" s="21"/>
      <c r="DG1342" s="21"/>
      <c r="DH1342" s="21"/>
      <c r="DI1342" s="21"/>
    </row>
    <row r="1343" spans="2:113" s="123" customFormat="1">
      <c r="B1343" s="125"/>
      <c r="D1343" s="125"/>
      <c r="AA1343" s="74"/>
      <c r="AE1343" s="124"/>
      <c r="AI1343" s="74"/>
      <c r="AM1343" s="74"/>
      <c r="AY1343" s="74"/>
      <c r="BC1343" s="74"/>
      <c r="BG1343" s="74"/>
      <c r="BK1343" s="74"/>
      <c r="BO1343" s="74"/>
      <c r="BW1343" s="74"/>
      <c r="DF1343" s="21"/>
      <c r="DG1343" s="21"/>
      <c r="DH1343" s="21"/>
      <c r="DI1343" s="21"/>
    </row>
    <row r="1344" spans="2:113" s="123" customFormat="1">
      <c r="B1344" s="125"/>
      <c r="D1344" s="125"/>
      <c r="AA1344" s="74"/>
      <c r="AE1344" s="124"/>
      <c r="AI1344" s="74"/>
      <c r="AM1344" s="74"/>
      <c r="AY1344" s="74"/>
      <c r="BC1344" s="74"/>
      <c r="BG1344" s="74"/>
      <c r="BK1344" s="74"/>
      <c r="BO1344" s="74"/>
      <c r="BW1344" s="74"/>
      <c r="DF1344" s="21"/>
      <c r="DG1344" s="21"/>
      <c r="DH1344" s="21"/>
      <c r="DI1344" s="21"/>
    </row>
    <row r="1345" spans="2:113" s="123" customFormat="1">
      <c r="B1345" s="125"/>
      <c r="D1345" s="125"/>
      <c r="AA1345" s="74"/>
      <c r="AE1345" s="124"/>
      <c r="AI1345" s="74"/>
      <c r="AM1345" s="74"/>
      <c r="AY1345" s="74"/>
      <c r="BC1345" s="74"/>
      <c r="BG1345" s="74"/>
      <c r="BK1345" s="74"/>
      <c r="BO1345" s="74"/>
      <c r="BW1345" s="74"/>
      <c r="DF1345" s="21"/>
      <c r="DG1345" s="21"/>
      <c r="DH1345" s="21"/>
      <c r="DI1345" s="21"/>
    </row>
    <row r="1346" spans="2:113" s="123" customFormat="1">
      <c r="B1346" s="125"/>
      <c r="D1346" s="125"/>
      <c r="AA1346" s="74"/>
      <c r="AE1346" s="124"/>
      <c r="AI1346" s="74"/>
      <c r="AM1346" s="74"/>
      <c r="AY1346" s="74"/>
      <c r="BC1346" s="74"/>
      <c r="BG1346" s="74"/>
      <c r="BK1346" s="74"/>
      <c r="BO1346" s="74"/>
      <c r="BW1346" s="74"/>
      <c r="DF1346" s="21"/>
      <c r="DG1346" s="21"/>
      <c r="DH1346" s="21"/>
      <c r="DI1346" s="21"/>
    </row>
    <row r="1347" spans="2:113" s="123" customFormat="1">
      <c r="B1347" s="125"/>
      <c r="D1347" s="125"/>
      <c r="AA1347" s="74"/>
      <c r="AE1347" s="124"/>
      <c r="AI1347" s="74"/>
      <c r="AM1347" s="74"/>
      <c r="AY1347" s="74"/>
      <c r="BC1347" s="74"/>
      <c r="BG1347" s="74"/>
      <c r="BK1347" s="74"/>
      <c r="BO1347" s="74"/>
      <c r="BW1347" s="74"/>
      <c r="DF1347" s="21"/>
      <c r="DG1347" s="21"/>
      <c r="DH1347" s="21"/>
      <c r="DI1347" s="21"/>
    </row>
    <row r="1348" spans="2:113" s="123" customFormat="1">
      <c r="B1348" s="125"/>
      <c r="D1348" s="125"/>
      <c r="AA1348" s="74"/>
      <c r="AE1348" s="124"/>
      <c r="AI1348" s="74"/>
      <c r="AM1348" s="74"/>
      <c r="AY1348" s="74"/>
      <c r="BC1348" s="74"/>
      <c r="BG1348" s="74"/>
      <c r="BK1348" s="74"/>
      <c r="BO1348" s="74"/>
      <c r="BW1348" s="74"/>
      <c r="DF1348" s="21"/>
      <c r="DG1348" s="21"/>
      <c r="DH1348" s="21"/>
      <c r="DI1348" s="21"/>
    </row>
    <row r="1349" spans="2:113" s="123" customFormat="1">
      <c r="B1349" s="125"/>
      <c r="D1349" s="125"/>
      <c r="AA1349" s="74"/>
      <c r="AE1349" s="124"/>
      <c r="AI1349" s="74"/>
      <c r="AM1349" s="74"/>
      <c r="AY1349" s="74"/>
      <c r="BC1349" s="74"/>
      <c r="BG1349" s="74"/>
      <c r="BK1349" s="74"/>
      <c r="BO1349" s="74"/>
      <c r="BW1349" s="74"/>
      <c r="DF1349" s="21"/>
      <c r="DG1349" s="21"/>
      <c r="DH1349" s="21"/>
      <c r="DI1349" s="21"/>
    </row>
    <row r="1350" spans="2:113" s="123" customFormat="1">
      <c r="B1350" s="125"/>
      <c r="D1350" s="125"/>
      <c r="AA1350" s="74"/>
      <c r="AE1350" s="124"/>
      <c r="AI1350" s="74"/>
      <c r="AM1350" s="74"/>
      <c r="AY1350" s="74"/>
      <c r="BC1350" s="74"/>
      <c r="BG1350" s="74"/>
      <c r="BK1350" s="74"/>
      <c r="BO1350" s="74"/>
      <c r="BW1350" s="74"/>
      <c r="DF1350" s="21"/>
      <c r="DG1350" s="21"/>
      <c r="DH1350" s="21"/>
      <c r="DI1350" s="21"/>
    </row>
    <row r="1351" spans="2:113" s="123" customFormat="1">
      <c r="B1351" s="125"/>
      <c r="D1351" s="125"/>
      <c r="AA1351" s="74"/>
      <c r="AE1351" s="124"/>
      <c r="AI1351" s="74"/>
      <c r="AM1351" s="74"/>
      <c r="AY1351" s="74"/>
      <c r="BC1351" s="74"/>
      <c r="BG1351" s="74"/>
      <c r="BK1351" s="74"/>
      <c r="BO1351" s="74"/>
      <c r="BW1351" s="74"/>
      <c r="DF1351" s="21"/>
      <c r="DG1351" s="21"/>
      <c r="DH1351" s="21"/>
      <c r="DI1351" s="21"/>
    </row>
    <row r="1352" spans="2:113" s="123" customFormat="1">
      <c r="B1352" s="125"/>
      <c r="D1352" s="125"/>
      <c r="AA1352" s="74"/>
      <c r="AE1352" s="124"/>
      <c r="AI1352" s="74"/>
      <c r="AM1352" s="74"/>
      <c r="AY1352" s="74"/>
      <c r="BC1352" s="74"/>
      <c r="BG1352" s="74"/>
      <c r="BK1352" s="74"/>
      <c r="BO1352" s="74"/>
      <c r="BW1352" s="74"/>
      <c r="DF1352" s="21"/>
      <c r="DG1352" s="21"/>
      <c r="DH1352" s="21"/>
      <c r="DI1352" s="21"/>
    </row>
    <row r="1353" spans="2:113" s="123" customFormat="1">
      <c r="B1353" s="125"/>
      <c r="D1353" s="125"/>
      <c r="AA1353" s="74"/>
      <c r="AE1353" s="124"/>
      <c r="AI1353" s="74"/>
      <c r="AM1353" s="74"/>
      <c r="AY1353" s="74"/>
      <c r="BC1353" s="74"/>
      <c r="BG1353" s="74"/>
      <c r="BK1353" s="74"/>
      <c r="BO1353" s="74"/>
      <c r="BW1353" s="74"/>
      <c r="DF1353" s="21"/>
      <c r="DG1353" s="21"/>
      <c r="DH1353" s="21"/>
      <c r="DI1353" s="21"/>
    </row>
    <row r="1354" spans="2:113" s="123" customFormat="1">
      <c r="B1354" s="125"/>
      <c r="D1354" s="125"/>
      <c r="AA1354" s="74"/>
      <c r="AE1354" s="124"/>
      <c r="AI1354" s="74"/>
      <c r="AM1354" s="74"/>
      <c r="AY1354" s="74"/>
      <c r="BC1354" s="74"/>
      <c r="BG1354" s="74"/>
      <c r="BK1354" s="74"/>
      <c r="BO1354" s="74"/>
      <c r="BW1354" s="74"/>
      <c r="DF1354" s="21"/>
      <c r="DG1354" s="21"/>
      <c r="DH1354" s="21"/>
      <c r="DI1354" s="21"/>
    </row>
    <row r="1355" spans="2:113" s="123" customFormat="1">
      <c r="B1355" s="125"/>
      <c r="D1355" s="125"/>
      <c r="AA1355" s="74"/>
      <c r="AE1355" s="124"/>
      <c r="AI1355" s="74"/>
      <c r="AM1355" s="74"/>
      <c r="AY1355" s="74"/>
      <c r="BC1355" s="74"/>
      <c r="BG1355" s="74"/>
      <c r="BK1355" s="74"/>
      <c r="BO1355" s="74"/>
      <c r="BW1355" s="74"/>
      <c r="DF1355" s="21"/>
      <c r="DG1355" s="21"/>
      <c r="DH1355" s="21"/>
      <c r="DI1355" s="21"/>
    </row>
    <row r="1356" spans="2:113" s="123" customFormat="1">
      <c r="B1356" s="125"/>
      <c r="D1356" s="125"/>
      <c r="AA1356" s="74"/>
      <c r="AE1356" s="124"/>
      <c r="AI1356" s="74"/>
      <c r="AM1356" s="74"/>
      <c r="AY1356" s="74"/>
      <c r="BC1356" s="74"/>
      <c r="BG1356" s="74"/>
      <c r="BK1356" s="74"/>
      <c r="BO1356" s="74"/>
      <c r="BW1356" s="74"/>
      <c r="DF1356" s="21"/>
      <c r="DG1356" s="21"/>
      <c r="DH1356" s="21"/>
      <c r="DI1356" s="21"/>
    </row>
    <row r="1357" spans="2:113" s="123" customFormat="1">
      <c r="B1357" s="125"/>
      <c r="D1357" s="125"/>
      <c r="AA1357" s="74"/>
      <c r="AE1357" s="124"/>
      <c r="AI1357" s="74"/>
      <c r="AM1357" s="74"/>
      <c r="AY1357" s="74"/>
      <c r="BC1357" s="74"/>
      <c r="BG1357" s="74"/>
      <c r="BK1357" s="74"/>
      <c r="BO1357" s="74"/>
      <c r="BW1357" s="74"/>
      <c r="DF1357" s="21"/>
      <c r="DG1357" s="21"/>
      <c r="DH1357" s="21"/>
      <c r="DI1357" s="21"/>
    </row>
    <row r="1358" spans="2:113" s="123" customFormat="1">
      <c r="B1358" s="125"/>
      <c r="D1358" s="125"/>
      <c r="AA1358" s="74"/>
      <c r="AE1358" s="124"/>
      <c r="AI1358" s="74"/>
      <c r="AM1358" s="74"/>
      <c r="AY1358" s="74"/>
      <c r="BC1358" s="74"/>
      <c r="BG1358" s="74"/>
      <c r="BK1358" s="74"/>
      <c r="BO1358" s="74"/>
      <c r="BW1358" s="74"/>
      <c r="DF1358" s="21"/>
      <c r="DG1358" s="21"/>
      <c r="DH1358" s="21"/>
      <c r="DI1358" s="21"/>
    </row>
    <row r="1359" spans="2:113" s="123" customFormat="1">
      <c r="B1359" s="125"/>
      <c r="D1359" s="125"/>
      <c r="AA1359" s="74"/>
      <c r="AE1359" s="124"/>
      <c r="AI1359" s="74"/>
      <c r="AM1359" s="74"/>
      <c r="AY1359" s="74"/>
      <c r="BC1359" s="74"/>
      <c r="BG1359" s="74"/>
      <c r="BK1359" s="74"/>
      <c r="BO1359" s="74"/>
      <c r="BW1359" s="74"/>
      <c r="DF1359" s="21"/>
      <c r="DG1359" s="21"/>
      <c r="DH1359" s="21"/>
      <c r="DI1359" s="21"/>
    </row>
    <row r="1360" spans="2:113" s="123" customFormat="1">
      <c r="B1360" s="125"/>
      <c r="D1360" s="125"/>
      <c r="AA1360" s="74"/>
      <c r="AE1360" s="124"/>
      <c r="AI1360" s="74"/>
      <c r="AM1360" s="74"/>
      <c r="AY1360" s="74"/>
      <c r="BC1360" s="74"/>
      <c r="BG1360" s="74"/>
      <c r="BK1360" s="74"/>
      <c r="BO1360" s="74"/>
      <c r="BW1360" s="74"/>
      <c r="DF1360" s="21"/>
      <c r="DG1360" s="21"/>
      <c r="DH1360" s="21"/>
      <c r="DI1360" s="21"/>
    </row>
    <row r="1361" spans="2:113" s="123" customFormat="1">
      <c r="B1361" s="125"/>
      <c r="D1361" s="125"/>
      <c r="AA1361" s="74"/>
      <c r="AE1361" s="124"/>
      <c r="AI1361" s="74"/>
      <c r="AM1361" s="74"/>
      <c r="AY1361" s="74"/>
      <c r="BC1361" s="74"/>
      <c r="BG1361" s="74"/>
      <c r="BK1361" s="74"/>
      <c r="BO1361" s="74"/>
      <c r="BW1361" s="74"/>
      <c r="DF1361" s="21"/>
      <c r="DG1361" s="21"/>
      <c r="DH1361" s="21"/>
      <c r="DI1361" s="21"/>
    </row>
    <row r="1362" spans="2:113" s="123" customFormat="1">
      <c r="B1362" s="125"/>
      <c r="D1362" s="125"/>
      <c r="AA1362" s="74"/>
      <c r="AE1362" s="124"/>
      <c r="AI1362" s="74"/>
      <c r="AM1362" s="74"/>
      <c r="AY1362" s="74"/>
      <c r="BC1362" s="74"/>
      <c r="BG1362" s="74"/>
      <c r="BK1362" s="74"/>
      <c r="BO1362" s="74"/>
      <c r="BW1362" s="74"/>
      <c r="DF1362" s="21"/>
      <c r="DG1362" s="21"/>
      <c r="DH1362" s="21"/>
      <c r="DI1362" s="21"/>
    </row>
    <row r="1363" spans="2:113" s="123" customFormat="1">
      <c r="B1363" s="125"/>
      <c r="D1363" s="125"/>
      <c r="AA1363" s="74"/>
      <c r="AE1363" s="124"/>
      <c r="AI1363" s="74"/>
      <c r="AM1363" s="74"/>
      <c r="AY1363" s="74"/>
      <c r="BC1363" s="74"/>
      <c r="BG1363" s="74"/>
      <c r="BK1363" s="74"/>
      <c r="BO1363" s="74"/>
      <c r="BW1363" s="74"/>
      <c r="DF1363" s="21"/>
      <c r="DG1363" s="21"/>
      <c r="DH1363" s="21"/>
      <c r="DI1363" s="21"/>
    </row>
    <row r="1364" spans="2:113" s="123" customFormat="1">
      <c r="B1364" s="125"/>
      <c r="D1364" s="125"/>
      <c r="AA1364" s="74"/>
      <c r="AE1364" s="124"/>
      <c r="AI1364" s="74"/>
      <c r="AM1364" s="74"/>
      <c r="AY1364" s="74"/>
      <c r="BC1364" s="74"/>
      <c r="BG1364" s="74"/>
      <c r="BK1364" s="74"/>
      <c r="BO1364" s="74"/>
      <c r="BW1364" s="74"/>
      <c r="DF1364" s="21"/>
      <c r="DG1364" s="21"/>
      <c r="DH1364" s="21"/>
      <c r="DI1364" s="21"/>
    </row>
    <row r="1365" spans="2:113" s="123" customFormat="1">
      <c r="B1365" s="125"/>
      <c r="D1365" s="125"/>
      <c r="AA1365" s="74"/>
      <c r="AE1365" s="124"/>
      <c r="AI1365" s="74"/>
      <c r="AM1365" s="74"/>
      <c r="AY1365" s="74"/>
      <c r="BC1365" s="74"/>
      <c r="BG1365" s="74"/>
      <c r="BK1365" s="74"/>
      <c r="BO1365" s="74"/>
      <c r="BW1365" s="74"/>
      <c r="DF1365" s="21"/>
      <c r="DG1365" s="21"/>
      <c r="DH1365" s="21"/>
      <c r="DI1365" s="21"/>
    </row>
    <row r="1366" spans="2:113" s="123" customFormat="1">
      <c r="B1366" s="125"/>
      <c r="D1366" s="125"/>
      <c r="AA1366" s="74"/>
      <c r="AE1366" s="124"/>
      <c r="AI1366" s="74"/>
      <c r="AM1366" s="74"/>
      <c r="AY1366" s="74"/>
      <c r="BC1366" s="74"/>
      <c r="BG1366" s="74"/>
      <c r="BK1366" s="74"/>
      <c r="BO1366" s="74"/>
      <c r="BW1366" s="74"/>
      <c r="DF1366" s="21"/>
      <c r="DG1366" s="21"/>
      <c r="DH1366" s="21"/>
      <c r="DI1366" s="21"/>
    </row>
    <row r="1367" spans="2:113" s="123" customFormat="1">
      <c r="B1367" s="125"/>
      <c r="D1367" s="125"/>
      <c r="AA1367" s="74"/>
      <c r="AE1367" s="124"/>
      <c r="AI1367" s="74"/>
      <c r="AM1367" s="74"/>
      <c r="AY1367" s="74"/>
      <c r="BC1367" s="74"/>
      <c r="BG1367" s="74"/>
      <c r="BK1367" s="74"/>
      <c r="BO1367" s="74"/>
      <c r="BW1367" s="74"/>
      <c r="DF1367" s="21"/>
      <c r="DG1367" s="21"/>
      <c r="DH1367" s="21"/>
      <c r="DI1367" s="21"/>
    </row>
    <row r="1368" spans="2:113" s="123" customFormat="1">
      <c r="B1368" s="125"/>
      <c r="D1368" s="125"/>
      <c r="AA1368" s="74"/>
      <c r="AE1368" s="124"/>
      <c r="AI1368" s="74"/>
      <c r="AM1368" s="74"/>
      <c r="AY1368" s="74"/>
      <c r="BC1368" s="74"/>
      <c r="BG1368" s="74"/>
      <c r="BK1368" s="74"/>
      <c r="BO1368" s="74"/>
      <c r="BW1368" s="74"/>
      <c r="DF1368" s="21"/>
      <c r="DG1368" s="21"/>
      <c r="DH1368" s="21"/>
      <c r="DI1368" s="21"/>
    </row>
    <row r="1369" spans="2:113" s="123" customFormat="1">
      <c r="B1369" s="125"/>
      <c r="D1369" s="125"/>
      <c r="AA1369" s="74"/>
      <c r="AE1369" s="124"/>
      <c r="AI1369" s="74"/>
      <c r="AM1369" s="74"/>
      <c r="AY1369" s="74"/>
      <c r="BC1369" s="74"/>
      <c r="BG1369" s="74"/>
      <c r="BK1369" s="74"/>
      <c r="BO1369" s="74"/>
      <c r="BW1369" s="74"/>
      <c r="DF1369" s="21"/>
      <c r="DG1369" s="21"/>
      <c r="DH1369" s="21"/>
      <c r="DI1369" s="21"/>
    </row>
    <row r="1370" spans="2:113" s="123" customFormat="1">
      <c r="B1370" s="125"/>
      <c r="D1370" s="125"/>
      <c r="AA1370" s="74"/>
      <c r="AE1370" s="124"/>
      <c r="AI1370" s="74"/>
      <c r="AM1370" s="74"/>
      <c r="AY1370" s="74"/>
      <c r="BC1370" s="74"/>
      <c r="BG1370" s="74"/>
      <c r="BK1370" s="74"/>
      <c r="BO1370" s="74"/>
      <c r="BW1370" s="74"/>
      <c r="DF1370" s="21"/>
      <c r="DG1370" s="21"/>
      <c r="DH1370" s="21"/>
      <c r="DI1370" s="21"/>
    </row>
    <row r="1371" spans="2:113" s="123" customFormat="1">
      <c r="B1371" s="125"/>
      <c r="D1371" s="125"/>
      <c r="AA1371" s="74"/>
      <c r="AE1371" s="124"/>
      <c r="AI1371" s="74"/>
      <c r="AM1371" s="74"/>
      <c r="AY1371" s="74"/>
      <c r="BC1371" s="74"/>
      <c r="BG1371" s="74"/>
      <c r="BK1371" s="74"/>
      <c r="BO1371" s="74"/>
      <c r="BW1371" s="74"/>
      <c r="DF1371" s="21"/>
      <c r="DG1371" s="21"/>
      <c r="DH1371" s="21"/>
      <c r="DI1371" s="21"/>
    </row>
    <row r="1372" spans="2:113" s="123" customFormat="1">
      <c r="B1372" s="125"/>
      <c r="D1372" s="125"/>
      <c r="AA1372" s="74"/>
      <c r="AE1372" s="124"/>
      <c r="AI1372" s="74"/>
      <c r="AM1372" s="74"/>
      <c r="AY1372" s="74"/>
      <c r="BC1372" s="74"/>
      <c r="BG1372" s="74"/>
      <c r="BK1372" s="74"/>
      <c r="BO1372" s="74"/>
      <c r="BW1372" s="74"/>
      <c r="DF1372" s="21"/>
      <c r="DG1372" s="21"/>
      <c r="DH1372" s="21"/>
      <c r="DI1372" s="21"/>
    </row>
    <row r="1373" spans="2:113" s="123" customFormat="1">
      <c r="B1373" s="125"/>
      <c r="D1373" s="125"/>
      <c r="AA1373" s="74"/>
      <c r="AE1373" s="124"/>
      <c r="AI1373" s="74"/>
      <c r="AM1373" s="74"/>
      <c r="AY1373" s="74"/>
      <c r="BC1373" s="74"/>
      <c r="BG1373" s="74"/>
      <c r="BK1373" s="74"/>
      <c r="BO1373" s="74"/>
      <c r="BW1373" s="74"/>
      <c r="DF1373" s="21"/>
      <c r="DG1373" s="21"/>
      <c r="DH1373" s="21"/>
      <c r="DI1373" s="21"/>
    </row>
    <row r="1374" spans="2:113" s="123" customFormat="1">
      <c r="B1374" s="125"/>
      <c r="D1374" s="125"/>
      <c r="AA1374" s="74"/>
      <c r="AE1374" s="124"/>
      <c r="AI1374" s="74"/>
      <c r="AM1374" s="74"/>
      <c r="AY1374" s="74"/>
      <c r="BC1374" s="74"/>
      <c r="BG1374" s="74"/>
      <c r="BK1374" s="74"/>
      <c r="BO1374" s="74"/>
      <c r="BW1374" s="74"/>
      <c r="DF1374" s="21"/>
      <c r="DG1374" s="21"/>
      <c r="DH1374" s="21"/>
      <c r="DI1374" s="21"/>
    </row>
    <row r="1375" spans="2:113" s="123" customFormat="1">
      <c r="B1375" s="125"/>
      <c r="D1375" s="125"/>
      <c r="AA1375" s="74"/>
      <c r="AE1375" s="124"/>
      <c r="AI1375" s="74"/>
      <c r="AM1375" s="74"/>
      <c r="AY1375" s="74"/>
      <c r="BC1375" s="74"/>
      <c r="BG1375" s="74"/>
      <c r="BK1375" s="74"/>
      <c r="BO1375" s="74"/>
      <c r="BW1375" s="74"/>
      <c r="DF1375" s="21"/>
      <c r="DG1375" s="21"/>
      <c r="DH1375" s="21"/>
      <c r="DI1375" s="21"/>
    </row>
    <row r="1376" spans="2:113" s="123" customFormat="1">
      <c r="B1376" s="125"/>
      <c r="D1376" s="125"/>
      <c r="AA1376" s="74"/>
      <c r="AE1376" s="124"/>
      <c r="AI1376" s="74"/>
      <c r="AM1376" s="74"/>
      <c r="AY1376" s="74"/>
      <c r="BC1376" s="74"/>
      <c r="BG1376" s="74"/>
      <c r="BK1376" s="74"/>
      <c r="BO1376" s="74"/>
      <c r="BW1376" s="74"/>
      <c r="DF1376" s="21"/>
      <c r="DG1376" s="21"/>
      <c r="DH1376" s="21"/>
      <c r="DI1376" s="21"/>
    </row>
    <row r="1377" spans="2:113" s="123" customFormat="1">
      <c r="B1377" s="125"/>
      <c r="D1377" s="125"/>
      <c r="AA1377" s="74"/>
      <c r="AE1377" s="124"/>
      <c r="AI1377" s="74"/>
      <c r="AM1377" s="74"/>
      <c r="AY1377" s="74"/>
      <c r="BC1377" s="74"/>
      <c r="BG1377" s="74"/>
      <c r="BK1377" s="74"/>
      <c r="BO1377" s="74"/>
      <c r="BW1377" s="74"/>
      <c r="DF1377" s="21"/>
      <c r="DG1377" s="21"/>
      <c r="DH1377" s="21"/>
      <c r="DI1377" s="21"/>
    </row>
    <row r="1378" spans="2:113" s="123" customFormat="1">
      <c r="B1378" s="125"/>
      <c r="D1378" s="125"/>
      <c r="AA1378" s="74"/>
      <c r="AE1378" s="124"/>
      <c r="AI1378" s="74"/>
      <c r="AM1378" s="74"/>
      <c r="AY1378" s="74"/>
      <c r="BC1378" s="74"/>
      <c r="BG1378" s="74"/>
      <c r="BK1378" s="74"/>
      <c r="BO1378" s="74"/>
      <c r="BW1378" s="74"/>
      <c r="DF1378" s="21"/>
      <c r="DG1378" s="21"/>
      <c r="DH1378" s="21"/>
      <c r="DI1378" s="21"/>
    </row>
    <row r="1379" spans="2:113" s="123" customFormat="1">
      <c r="B1379" s="125"/>
      <c r="D1379" s="125"/>
      <c r="AA1379" s="74"/>
      <c r="AE1379" s="124"/>
      <c r="AI1379" s="74"/>
      <c r="AM1379" s="74"/>
      <c r="AY1379" s="74"/>
      <c r="BC1379" s="74"/>
      <c r="BG1379" s="74"/>
      <c r="BK1379" s="74"/>
      <c r="BO1379" s="74"/>
      <c r="BW1379" s="74"/>
      <c r="DF1379" s="21"/>
      <c r="DG1379" s="21"/>
      <c r="DH1379" s="21"/>
      <c r="DI1379" s="21"/>
    </row>
    <row r="1380" spans="2:113" s="123" customFormat="1">
      <c r="B1380" s="125"/>
      <c r="D1380" s="125"/>
      <c r="AA1380" s="74"/>
      <c r="AE1380" s="124"/>
      <c r="AI1380" s="74"/>
      <c r="AM1380" s="74"/>
      <c r="AY1380" s="74"/>
      <c r="BC1380" s="74"/>
      <c r="BG1380" s="74"/>
      <c r="BK1380" s="74"/>
      <c r="BO1380" s="74"/>
      <c r="BW1380" s="74"/>
      <c r="DF1380" s="21"/>
      <c r="DG1380" s="21"/>
      <c r="DH1380" s="21"/>
      <c r="DI1380" s="21"/>
    </row>
    <row r="1381" spans="2:113" s="123" customFormat="1">
      <c r="B1381" s="125"/>
      <c r="D1381" s="125"/>
      <c r="AA1381" s="74"/>
      <c r="AE1381" s="124"/>
      <c r="AI1381" s="74"/>
      <c r="AM1381" s="74"/>
      <c r="AY1381" s="74"/>
      <c r="BC1381" s="74"/>
      <c r="BG1381" s="74"/>
      <c r="BK1381" s="74"/>
      <c r="BO1381" s="74"/>
      <c r="BW1381" s="74"/>
      <c r="DF1381" s="21"/>
      <c r="DG1381" s="21"/>
      <c r="DH1381" s="21"/>
      <c r="DI1381" s="21"/>
    </row>
    <row r="1382" spans="2:113" s="123" customFormat="1">
      <c r="B1382" s="125"/>
      <c r="D1382" s="125"/>
      <c r="AA1382" s="74"/>
      <c r="AE1382" s="124"/>
      <c r="AI1382" s="74"/>
      <c r="AM1382" s="74"/>
      <c r="AY1382" s="74"/>
      <c r="BC1382" s="74"/>
      <c r="BG1382" s="74"/>
      <c r="BK1382" s="74"/>
      <c r="BO1382" s="74"/>
      <c r="BW1382" s="74"/>
      <c r="DF1382" s="21"/>
      <c r="DG1382" s="21"/>
      <c r="DH1382" s="21"/>
      <c r="DI1382" s="21"/>
    </row>
    <row r="1383" spans="2:113" s="123" customFormat="1">
      <c r="B1383" s="125"/>
      <c r="D1383" s="125"/>
      <c r="AA1383" s="74"/>
      <c r="AE1383" s="124"/>
      <c r="AI1383" s="74"/>
      <c r="AM1383" s="74"/>
      <c r="AY1383" s="74"/>
      <c r="BC1383" s="74"/>
      <c r="BG1383" s="74"/>
      <c r="BK1383" s="74"/>
      <c r="BO1383" s="74"/>
      <c r="BW1383" s="74"/>
      <c r="DF1383" s="21"/>
      <c r="DG1383" s="21"/>
      <c r="DH1383" s="21"/>
      <c r="DI1383" s="21"/>
    </row>
    <row r="1384" spans="2:113" s="123" customFormat="1">
      <c r="B1384" s="125"/>
      <c r="D1384" s="125"/>
      <c r="AA1384" s="74"/>
      <c r="AE1384" s="124"/>
      <c r="AI1384" s="74"/>
      <c r="AM1384" s="74"/>
      <c r="AY1384" s="74"/>
      <c r="BC1384" s="74"/>
      <c r="BG1384" s="74"/>
      <c r="BK1384" s="74"/>
      <c r="BO1384" s="74"/>
      <c r="BW1384" s="74"/>
      <c r="DF1384" s="21"/>
      <c r="DG1384" s="21"/>
      <c r="DH1384" s="21"/>
      <c r="DI1384" s="21"/>
    </row>
    <row r="1385" spans="2:113" s="123" customFormat="1">
      <c r="B1385" s="125"/>
      <c r="D1385" s="125"/>
      <c r="AA1385" s="74"/>
      <c r="AE1385" s="124"/>
      <c r="AI1385" s="74"/>
      <c r="AM1385" s="74"/>
      <c r="AY1385" s="74"/>
      <c r="BC1385" s="74"/>
      <c r="BG1385" s="74"/>
      <c r="BK1385" s="74"/>
      <c r="BO1385" s="74"/>
      <c r="BW1385" s="74"/>
      <c r="DF1385" s="21"/>
      <c r="DG1385" s="21"/>
      <c r="DH1385" s="21"/>
      <c r="DI1385" s="21"/>
    </row>
    <row r="1386" spans="2:113" s="123" customFormat="1">
      <c r="B1386" s="125"/>
      <c r="D1386" s="125"/>
      <c r="AA1386" s="74"/>
      <c r="AE1386" s="124"/>
      <c r="AI1386" s="74"/>
      <c r="AM1386" s="74"/>
      <c r="AY1386" s="74"/>
      <c r="BC1386" s="74"/>
      <c r="BG1386" s="74"/>
      <c r="BK1386" s="74"/>
      <c r="BO1386" s="74"/>
      <c r="BW1386" s="74"/>
      <c r="DF1386" s="21"/>
      <c r="DG1386" s="21"/>
      <c r="DH1386" s="21"/>
      <c r="DI1386" s="21"/>
    </row>
    <row r="1387" spans="2:113" s="123" customFormat="1">
      <c r="B1387" s="125"/>
      <c r="D1387" s="125"/>
      <c r="AA1387" s="74"/>
      <c r="AE1387" s="124"/>
      <c r="AI1387" s="74"/>
      <c r="AM1387" s="74"/>
      <c r="AY1387" s="74"/>
      <c r="BC1387" s="74"/>
      <c r="BG1387" s="74"/>
      <c r="BK1387" s="74"/>
      <c r="BO1387" s="74"/>
      <c r="BW1387" s="74"/>
      <c r="DF1387" s="21"/>
      <c r="DG1387" s="21"/>
      <c r="DH1387" s="21"/>
      <c r="DI1387" s="21"/>
    </row>
    <row r="1388" spans="2:113" s="123" customFormat="1">
      <c r="B1388" s="125"/>
      <c r="D1388" s="125"/>
      <c r="AA1388" s="74"/>
      <c r="AE1388" s="124"/>
      <c r="AI1388" s="74"/>
      <c r="AM1388" s="74"/>
      <c r="AY1388" s="74"/>
      <c r="BC1388" s="74"/>
      <c r="BG1388" s="74"/>
      <c r="BK1388" s="74"/>
      <c r="BO1388" s="74"/>
      <c r="BW1388" s="74"/>
      <c r="DF1388" s="21"/>
      <c r="DG1388" s="21"/>
      <c r="DH1388" s="21"/>
      <c r="DI1388" s="21"/>
    </row>
    <row r="1389" spans="2:113" s="123" customFormat="1">
      <c r="B1389" s="125"/>
      <c r="D1389" s="125"/>
      <c r="AA1389" s="74"/>
      <c r="AE1389" s="124"/>
      <c r="AI1389" s="74"/>
      <c r="AM1389" s="74"/>
      <c r="AY1389" s="74"/>
      <c r="BC1389" s="74"/>
      <c r="BG1389" s="74"/>
      <c r="BK1389" s="74"/>
      <c r="BO1389" s="74"/>
      <c r="BW1389" s="74"/>
      <c r="DF1389" s="21"/>
      <c r="DG1389" s="21"/>
      <c r="DH1389" s="21"/>
      <c r="DI1389" s="21"/>
    </row>
    <row r="1390" spans="2:113" s="123" customFormat="1">
      <c r="B1390" s="125"/>
      <c r="D1390" s="125"/>
      <c r="AA1390" s="74"/>
      <c r="AE1390" s="124"/>
      <c r="AI1390" s="74"/>
      <c r="AM1390" s="74"/>
      <c r="AY1390" s="74"/>
      <c r="BC1390" s="74"/>
      <c r="BG1390" s="74"/>
      <c r="BK1390" s="74"/>
      <c r="BO1390" s="74"/>
      <c r="BW1390" s="74"/>
      <c r="DF1390" s="21"/>
      <c r="DG1390" s="21"/>
      <c r="DH1390" s="21"/>
      <c r="DI1390" s="21"/>
    </row>
    <row r="1391" spans="2:113" s="123" customFormat="1">
      <c r="B1391" s="125"/>
      <c r="D1391" s="125"/>
      <c r="AA1391" s="74"/>
      <c r="AE1391" s="124"/>
      <c r="AI1391" s="74"/>
      <c r="AM1391" s="74"/>
      <c r="AY1391" s="74"/>
      <c r="BC1391" s="74"/>
      <c r="BG1391" s="74"/>
      <c r="BK1391" s="74"/>
      <c r="BO1391" s="74"/>
      <c r="BW1391" s="74"/>
      <c r="DF1391" s="21"/>
      <c r="DG1391" s="21"/>
      <c r="DH1391" s="21"/>
      <c r="DI1391" s="21"/>
    </row>
    <row r="1392" spans="2:113" s="123" customFormat="1">
      <c r="B1392" s="125"/>
      <c r="D1392" s="125"/>
      <c r="AA1392" s="74"/>
      <c r="AE1392" s="124"/>
      <c r="AI1392" s="74"/>
      <c r="AM1392" s="74"/>
      <c r="AY1392" s="74"/>
      <c r="BC1392" s="74"/>
      <c r="BG1392" s="74"/>
      <c r="BK1392" s="74"/>
      <c r="BO1392" s="74"/>
      <c r="BW1392" s="74"/>
      <c r="DF1392" s="21"/>
      <c r="DG1392" s="21"/>
      <c r="DH1392" s="21"/>
      <c r="DI1392" s="21"/>
    </row>
    <row r="1393" spans="2:113" s="123" customFormat="1">
      <c r="B1393" s="125"/>
      <c r="D1393" s="125"/>
      <c r="AA1393" s="74"/>
      <c r="AE1393" s="124"/>
      <c r="AI1393" s="74"/>
      <c r="AM1393" s="74"/>
      <c r="AY1393" s="74"/>
      <c r="BC1393" s="74"/>
      <c r="BG1393" s="74"/>
      <c r="BK1393" s="74"/>
      <c r="BO1393" s="74"/>
      <c r="BW1393" s="74"/>
      <c r="DF1393" s="21"/>
      <c r="DG1393" s="21"/>
      <c r="DH1393" s="21"/>
      <c r="DI1393" s="21"/>
    </row>
    <row r="1394" spans="2:113" s="123" customFormat="1">
      <c r="B1394" s="125"/>
      <c r="D1394" s="125"/>
      <c r="AA1394" s="74"/>
      <c r="AE1394" s="124"/>
      <c r="AI1394" s="74"/>
      <c r="AM1394" s="74"/>
      <c r="AY1394" s="74"/>
      <c r="BC1394" s="74"/>
      <c r="BG1394" s="74"/>
      <c r="BK1394" s="74"/>
      <c r="BO1394" s="74"/>
      <c r="BW1394" s="74"/>
      <c r="DF1394" s="21"/>
      <c r="DG1394" s="21"/>
      <c r="DH1394" s="21"/>
      <c r="DI1394" s="21"/>
    </row>
    <row r="1395" spans="2:113" s="123" customFormat="1">
      <c r="B1395" s="125"/>
      <c r="D1395" s="125"/>
      <c r="AA1395" s="74"/>
      <c r="AE1395" s="124"/>
      <c r="AI1395" s="74"/>
      <c r="AM1395" s="74"/>
      <c r="AY1395" s="74"/>
      <c r="BC1395" s="74"/>
      <c r="BG1395" s="74"/>
      <c r="BK1395" s="74"/>
      <c r="BO1395" s="74"/>
      <c r="BW1395" s="74"/>
      <c r="DF1395" s="21"/>
      <c r="DG1395" s="21"/>
      <c r="DH1395" s="21"/>
      <c r="DI1395" s="21"/>
    </row>
    <row r="1396" spans="2:113" s="123" customFormat="1">
      <c r="B1396" s="125"/>
      <c r="D1396" s="125"/>
      <c r="AA1396" s="74"/>
      <c r="AE1396" s="124"/>
      <c r="AI1396" s="74"/>
      <c r="AM1396" s="74"/>
      <c r="AY1396" s="74"/>
      <c r="BC1396" s="74"/>
      <c r="BG1396" s="74"/>
      <c r="BK1396" s="74"/>
      <c r="BO1396" s="74"/>
      <c r="BW1396" s="74"/>
      <c r="DF1396" s="21"/>
      <c r="DG1396" s="21"/>
      <c r="DH1396" s="21"/>
      <c r="DI1396" s="21"/>
    </row>
    <row r="1397" spans="2:113" s="123" customFormat="1">
      <c r="B1397" s="125"/>
      <c r="D1397" s="125"/>
      <c r="AA1397" s="74"/>
      <c r="AE1397" s="124"/>
      <c r="AI1397" s="74"/>
      <c r="AM1397" s="74"/>
      <c r="AY1397" s="74"/>
      <c r="BC1397" s="74"/>
      <c r="BG1397" s="74"/>
      <c r="BK1397" s="74"/>
      <c r="BO1397" s="74"/>
      <c r="BW1397" s="74"/>
      <c r="DF1397" s="21"/>
      <c r="DG1397" s="21"/>
      <c r="DH1397" s="21"/>
      <c r="DI1397" s="21"/>
    </row>
    <row r="1398" spans="2:113" s="123" customFormat="1">
      <c r="B1398" s="125"/>
      <c r="D1398" s="125"/>
      <c r="AA1398" s="74"/>
      <c r="AE1398" s="124"/>
      <c r="AI1398" s="74"/>
      <c r="AM1398" s="74"/>
      <c r="AY1398" s="74"/>
      <c r="BC1398" s="74"/>
      <c r="BG1398" s="74"/>
      <c r="BK1398" s="74"/>
      <c r="BO1398" s="74"/>
      <c r="BW1398" s="74"/>
      <c r="DF1398" s="21"/>
      <c r="DG1398" s="21"/>
      <c r="DH1398" s="21"/>
      <c r="DI1398" s="21"/>
    </row>
    <row r="1399" spans="2:113" s="123" customFormat="1">
      <c r="B1399" s="125"/>
      <c r="D1399" s="125"/>
      <c r="AA1399" s="74"/>
      <c r="AE1399" s="124"/>
      <c r="AI1399" s="74"/>
      <c r="AM1399" s="74"/>
      <c r="AY1399" s="74"/>
      <c r="BC1399" s="74"/>
      <c r="BG1399" s="74"/>
      <c r="BK1399" s="74"/>
      <c r="BO1399" s="74"/>
      <c r="BW1399" s="74"/>
      <c r="DF1399" s="21"/>
      <c r="DG1399" s="21"/>
      <c r="DH1399" s="21"/>
      <c r="DI1399" s="21"/>
    </row>
    <row r="1400" spans="2:113" s="123" customFormat="1">
      <c r="B1400" s="125"/>
      <c r="D1400" s="125"/>
      <c r="AA1400" s="74"/>
      <c r="AE1400" s="124"/>
      <c r="AI1400" s="74"/>
      <c r="AM1400" s="74"/>
      <c r="AY1400" s="74"/>
      <c r="BC1400" s="74"/>
      <c r="BG1400" s="74"/>
      <c r="BK1400" s="74"/>
      <c r="BO1400" s="74"/>
      <c r="BW1400" s="74"/>
      <c r="DF1400" s="21"/>
      <c r="DG1400" s="21"/>
      <c r="DH1400" s="21"/>
      <c r="DI1400" s="21"/>
    </row>
    <row r="1401" spans="2:113" s="123" customFormat="1">
      <c r="B1401" s="125"/>
      <c r="D1401" s="125"/>
      <c r="AA1401" s="74"/>
      <c r="AE1401" s="124"/>
      <c r="AI1401" s="74"/>
      <c r="AM1401" s="74"/>
      <c r="AY1401" s="74"/>
      <c r="BC1401" s="74"/>
      <c r="BG1401" s="74"/>
      <c r="BK1401" s="74"/>
      <c r="BO1401" s="74"/>
      <c r="BW1401" s="74"/>
      <c r="DF1401" s="21"/>
      <c r="DG1401" s="21"/>
      <c r="DH1401" s="21"/>
      <c r="DI1401" s="21"/>
    </row>
    <row r="1402" spans="2:113" s="123" customFormat="1">
      <c r="B1402" s="125"/>
      <c r="D1402" s="125"/>
      <c r="AA1402" s="74"/>
      <c r="AE1402" s="124"/>
      <c r="AI1402" s="74"/>
      <c r="AM1402" s="74"/>
      <c r="AY1402" s="74"/>
      <c r="BC1402" s="74"/>
      <c r="BG1402" s="74"/>
      <c r="BK1402" s="74"/>
      <c r="BO1402" s="74"/>
      <c r="BW1402" s="74"/>
      <c r="DF1402" s="21"/>
      <c r="DG1402" s="21"/>
      <c r="DH1402" s="21"/>
      <c r="DI1402" s="21"/>
    </row>
    <row r="1403" spans="2:113" s="123" customFormat="1">
      <c r="B1403" s="125"/>
      <c r="D1403" s="125"/>
      <c r="AA1403" s="74"/>
      <c r="AE1403" s="124"/>
      <c r="AI1403" s="74"/>
      <c r="AM1403" s="74"/>
      <c r="AY1403" s="74"/>
      <c r="BC1403" s="74"/>
      <c r="BG1403" s="74"/>
      <c r="BK1403" s="74"/>
      <c r="BO1403" s="74"/>
      <c r="BW1403" s="74"/>
      <c r="DF1403" s="21"/>
      <c r="DG1403" s="21"/>
      <c r="DH1403" s="21"/>
      <c r="DI1403" s="21"/>
    </row>
    <row r="1404" spans="2:113" s="123" customFormat="1">
      <c r="B1404" s="125"/>
      <c r="D1404" s="125"/>
      <c r="AA1404" s="74"/>
      <c r="AE1404" s="124"/>
      <c r="AI1404" s="74"/>
      <c r="AM1404" s="74"/>
      <c r="AY1404" s="74"/>
      <c r="BC1404" s="74"/>
      <c r="BG1404" s="74"/>
      <c r="BK1404" s="74"/>
      <c r="BO1404" s="74"/>
      <c r="BW1404" s="74"/>
      <c r="DF1404" s="21"/>
      <c r="DG1404" s="21"/>
      <c r="DH1404" s="21"/>
      <c r="DI1404" s="21"/>
    </row>
    <row r="1405" spans="2:113" s="123" customFormat="1">
      <c r="B1405" s="125"/>
      <c r="D1405" s="125"/>
      <c r="AA1405" s="74"/>
      <c r="AE1405" s="124"/>
      <c r="AI1405" s="74"/>
      <c r="AM1405" s="74"/>
      <c r="AY1405" s="74"/>
      <c r="BC1405" s="74"/>
      <c r="BG1405" s="74"/>
      <c r="BK1405" s="74"/>
      <c r="BO1405" s="74"/>
      <c r="BW1405" s="74"/>
      <c r="DF1405" s="21"/>
      <c r="DG1405" s="21"/>
      <c r="DH1405" s="21"/>
      <c r="DI1405" s="21"/>
    </row>
    <row r="1406" spans="2:113" s="123" customFormat="1">
      <c r="B1406" s="125"/>
      <c r="D1406" s="125"/>
      <c r="AA1406" s="74"/>
      <c r="AE1406" s="124"/>
      <c r="AI1406" s="74"/>
      <c r="AM1406" s="74"/>
      <c r="AY1406" s="74"/>
      <c r="BC1406" s="74"/>
      <c r="BG1406" s="74"/>
      <c r="BK1406" s="74"/>
      <c r="BO1406" s="74"/>
      <c r="BW1406" s="74"/>
      <c r="DF1406" s="21"/>
      <c r="DG1406" s="21"/>
      <c r="DH1406" s="21"/>
      <c r="DI1406" s="21"/>
    </row>
    <row r="1407" spans="2:113" s="123" customFormat="1">
      <c r="B1407" s="125"/>
      <c r="D1407" s="125"/>
      <c r="AA1407" s="74"/>
      <c r="AE1407" s="124"/>
      <c r="AI1407" s="74"/>
      <c r="AM1407" s="74"/>
      <c r="AY1407" s="74"/>
      <c r="BC1407" s="74"/>
      <c r="BG1407" s="74"/>
      <c r="BK1407" s="74"/>
      <c r="BO1407" s="74"/>
      <c r="BW1407" s="74"/>
      <c r="DF1407" s="21"/>
      <c r="DG1407" s="21"/>
      <c r="DH1407" s="21"/>
      <c r="DI1407" s="21"/>
    </row>
    <row r="1408" spans="2:113" s="123" customFormat="1">
      <c r="B1408" s="125"/>
      <c r="D1408" s="125"/>
      <c r="AA1408" s="74"/>
      <c r="AE1408" s="124"/>
      <c r="AI1408" s="74"/>
      <c r="AM1408" s="74"/>
      <c r="AY1408" s="74"/>
      <c r="BC1408" s="74"/>
      <c r="BG1408" s="74"/>
      <c r="BK1408" s="74"/>
      <c r="BO1408" s="74"/>
      <c r="BW1408" s="74"/>
      <c r="DF1408" s="21"/>
      <c r="DG1408" s="21"/>
      <c r="DH1408" s="21"/>
      <c r="DI1408" s="21"/>
    </row>
    <row r="1409" spans="2:113" s="123" customFormat="1">
      <c r="B1409" s="125"/>
      <c r="D1409" s="125"/>
      <c r="AA1409" s="74"/>
      <c r="AE1409" s="124"/>
      <c r="AI1409" s="74"/>
      <c r="AM1409" s="74"/>
      <c r="AY1409" s="74"/>
      <c r="BC1409" s="74"/>
      <c r="BG1409" s="74"/>
      <c r="BK1409" s="74"/>
      <c r="BO1409" s="74"/>
      <c r="BW1409" s="74"/>
      <c r="DF1409" s="21"/>
      <c r="DG1409" s="21"/>
      <c r="DH1409" s="21"/>
      <c r="DI1409" s="21"/>
    </row>
    <row r="1410" spans="2:113" s="123" customFormat="1">
      <c r="B1410" s="125"/>
      <c r="D1410" s="125"/>
      <c r="AA1410" s="74"/>
      <c r="AE1410" s="124"/>
      <c r="AI1410" s="74"/>
      <c r="AM1410" s="74"/>
      <c r="AY1410" s="74"/>
      <c r="BC1410" s="74"/>
      <c r="BG1410" s="74"/>
      <c r="BK1410" s="74"/>
      <c r="BO1410" s="74"/>
      <c r="BW1410" s="74"/>
      <c r="DF1410" s="21"/>
      <c r="DG1410" s="21"/>
      <c r="DH1410" s="21"/>
      <c r="DI1410" s="21"/>
    </row>
    <row r="1411" spans="2:113" s="123" customFormat="1">
      <c r="B1411" s="125"/>
      <c r="D1411" s="125"/>
      <c r="AA1411" s="74"/>
      <c r="AE1411" s="124"/>
      <c r="AI1411" s="74"/>
      <c r="AM1411" s="74"/>
      <c r="AY1411" s="74"/>
      <c r="BC1411" s="74"/>
      <c r="BG1411" s="74"/>
      <c r="BK1411" s="74"/>
      <c r="BO1411" s="74"/>
      <c r="BW1411" s="74"/>
      <c r="DF1411" s="21"/>
      <c r="DG1411" s="21"/>
      <c r="DH1411" s="21"/>
      <c r="DI1411" s="21"/>
    </row>
    <row r="1412" spans="2:113" s="123" customFormat="1">
      <c r="B1412" s="125"/>
      <c r="D1412" s="125"/>
      <c r="AA1412" s="74"/>
      <c r="AE1412" s="124"/>
      <c r="AI1412" s="74"/>
      <c r="AM1412" s="74"/>
      <c r="AY1412" s="74"/>
      <c r="BC1412" s="74"/>
      <c r="BG1412" s="74"/>
      <c r="BK1412" s="74"/>
      <c r="BO1412" s="74"/>
      <c r="BW1412" s="74"/>
      <c r="DF1412" s="21"/>
      <c r="DG1412" s="21"/>
      <c r="DH1412" s="21"/>
      <c r="DI1412" s="21"/>
    </row>
    <row r="1413" spans="2:113" s="123" customFormat="1">
      <c r="B1413" s="125"/>
      <c r="D1413" s="125"/>
      <c r="AA1413" s="74"/>
      <c r="AE1413" s="124"/>
      <c r="AI1413" s="74"/>
      <c r="AM1413" s="74"/>
      <c r="AY1413" s="74"/>
      <c r="BC1413" s="74"/>
      <c r="BG1413" s="74"/>
      <c r="BK1413" s="74"/>
      <c r="BO1413" s="74"/>
      <c r="BW1413" s="74"/>
      <c r="DF1413" s="21"/>
      <c r="DG1413" s="21"/>
      <c r="DH1413" s="21"/>
      <c r="DI1413" s="21"/>
    </row>
    <row r="1414" spans="2:113" s="123" customFormat="1">
      <c r="B1414" s="125"/>
      <c r="D1414" s="125"/>
      <c r="AA1414" s="74"/>
      <c r="AE1414" s="124"/>
      <c r="AI1414" s="74"/>
      <c r="AM1414" s="74"/>
      <c r="AY1414" s="74"/>
      <c r="BC1414" s="74"/>
      <c r="BG1414" s="74"/>
      <c r="BK1414" s="74"/>
      <c r="BO1414" s="74"/>
      <c r="BW1414" s="74"/>
      <c r="DF1414" s="21"/>
      <c r="DG1414" s="21"/>
      <c r="DH1414" s="21"/>
      <c r="DI1414" s="21"/>
    </row>
    <row r="1415" spans="2:113" s="123" customFormat="1">
      <c r="B1415" s="125"/>
      <c r="D1415" s="125"/>
      <c r="AA1415" s="74"/>
      <c r="AE1415" s="124"/>
      <c r="AI1415" s="74"/>
      <c r="AM1415" s="74"/>
      <c r="AY1415" s="74"/>
      <c r="BC1415" s="74"/>
      <c r="BG1415" s="74"/>
      <c r="BK1415" s="74"/>
      <c r="BO1415" s="74"/>
      <c r="BW1415" s="74"/>
      <c r="DF1415" s="21"/>
      <c r="DG1415" s="21"/>
      <c r="DH1415" s="21"/>
      <c r="DI1415" s="21"/>
    </row>
    <row r="1416" spans="2:113" s="123" customFormat="1">
      <c r="B1416" s="125"/>
      <c r="D1416" s="125"/>
      <c r="AA1416" s="74"/>
      <c r="AE1416" s="124"/>
      <c r="AI1416" s="74"/>
      <c r="AM1416" s="74"/>
      <c r="AY1416" s="74"/>
      <c r="BC1416" s="74"/>
      <c r="BG1416" s="74"/>
      <c r="BK1416" s="74"/>
      <c r="BO1416" s="74"/>
      <c r="BW1416" s="74"/>
      <c r="DF1416" s="21"/>
      <c r="DG1416" s="21"/>
      <c r="DH1416" s="21"/>
      <c r="DI1416" s="21"/>
    </row>
    <row r="1417" spans="2:113" s="123" customFormat="1">
      <c r="B1417" s="125"/>
      <c r="D1417" s="125"/>
      <c r="AA1417" s="74"/>
      <c r="AE1417" s="124"/>
      <c r="AI1417" s="74"/>
      <c r="AM1417" s="74"/>
      <c r="AY1417" s="74"/>
      <c r="BC1417" s="74"/>
      <c r="BG1417" s="74"/>
      <c r="BK1417" s="74"/>
      <c r="BO1417" s="74"/>
      <c r="BW1417" s="74"/>
      <c r="DF1417" s="21"/>
      <c r="DG1417" s="21"/>
      <c r="DH1417" s="21"/>
      <c r="DI1417" s="21"/>
    </row>
    <row r="1418" spans="2:113" s="123" customFormat="1">
      <c r="B1418" s="125"/>
      <c r="D1418" s="125"/>
      <c r="AA1418" s="74"/>
      <c r="AE1418" s="124"/>
      <c r="AI1418" s="74"/>
      <c r="AM1418" s="74"/>
      <c r="AY1418" s="74"/>
      <c r="BC1418" s="74"/>
      <c r="BG1418" s="74"/>
      <c r="BK1418" s="74"/>
      <c r="BO1418" s="74"/>
      <c r="BW1418" s="74"/>
      <c r="DF1418" s="21"/>
      <c r="DG1418" s="21"/>
      <c r="DH1418" s="21"/>
      <c r="DI1418" s="21"/>
    </row>
    <row r="1419" spans="2:113" s="123" customFormat="1">
      <c r="B1419" s="125"/>
      <c r="D1419" s="125"/>
      <c r="AA1419" s="74"/>
      <c r="AE1419" s="124"/>
      <c r="AI1419" s="74"/>
      <c r="AM1419" s="74"/>
      <c r="AY1419" s="74"/>
      <c r="BC1419" s="74"/>
      <c r="BG1419" s="74"/>
      <c r="BK1419" s="74"/>
      <c r="BO1419" s="74"/>
      <c r="BW1419" s="74"/>
      <c r="DF1419" s="21"/>
      <c r="DG1419" s="21"/>
      <c r="DH1419" s="21"/>
      <c r="DI1419" s="21"/>
    </row>
    <row r="1420" spans="2:113" s="123" customFormat="1">
      <c r="B1420" s="125"/>
      <c r="D1420" s="125"/>
      <c r="AA1420" s="74"/>
      <c r="AE1420" s="124"/>
      <c r="AI1420" s="74"/>
      <c r="AM1420" s="74"/>
      <c r="AY1420" s="74"/>
      <c r="BC1420" s="74"/>
      <c r="BG1420" s="74"/>
      <c r="BK1420" s="74"/>
      <c r="BO1420" s="74"/>
      <c r="BW1420" s="74"/>
      <c r="DF1420" s="21"/>
      <c r="DG1420" s="21"/>
      <c r="DH1420" s="21"/>
      <c r="DI1420" s="21"/>
    </row>
    <row r="1421" spans="2:113" s="123" customFormat="1">
      <c r="B1421" s="125"/>
      <c r="D1421" s="125"/>
      <c r="AA1421" s="74"/>
      <c r="AE1421" s="124"/>
      <c r="AI1421" s="74"/>
      <c r="AM1421" s="74"/>
      <c r="AY1421" s="74"/>
      <c r="BC1421" s="74"/>
      <c r="BG1421" s="74"/>
      <c r="BK1421" s="74"/>
      <c r="BO1421" s="74"/>
      <c r="BW1421" s="74"/>
      <c r="DF1421" s="21"/>
      <c r="DG1421" s="21"/>
      <c r="DH1421" s="21"/>
      <c r="DI1421" s="21"/>
    </row>
    <row r="1422" spans="2:113" s="123" customFormat="1">
      <c r="B1422" s="125"/>
      <c r="D1422" s="125"/>
      <c r="AA1422" s="74"/>
      <c r="AE1422" s="124"/>
      <c r="AI1422" s="74"/>
      <c r="AM1422" s="74"/>
      <c r="AY1422" s="74"/>
      <c r="BC1422" s="74"/>
      <c r="BG1422" s="74"/>
      <c r="BK1422" s="74"/>
      <c r="BO1422" s="74"/>
      <c r="BW1422" s="74"/>
      <c r="DF1422" s="21"/>
      <c r="DG1422" s="21"/>
      <c r="DH1422" s="21"/>
      <c r="DI1422" s="21"/>
    </row>
    <row r="1423" spans="2:113" s="123" customFormat="1">
      <c r="B1423" s="125"/>
      <c r="D1423" s="125"/>
      <c r="AA1423" s="74"/>
      <c r="AE1423" s="124"/>
      <c r="AI1423" s="74"/>
      <c r="AM1423" s="74"/>
      <c r="AY1423" s="74"/>
      <c r="BC1423" s="74"/>
      <c r="BG1423" s="74"/>
      <c r="BK1423" s="74"/>
      <c r="BO1423" s="74"/>
      <c r="BW1423" s="74"/>
      <c r="DF1423" s="21"/>
      <c r="DG1423" s="21"/>
      <c r="DH1423" s="21"/>
      <c r="DI1423" s="21"/>
    </row>
    <row r="1424" spans="2:113" s="123" customFormat="1">
      <c r="B1424" s="125"/>
      <c r="D1424" s="125"/>
      <c r="AA1424" s="74"/>
      <c r="AE1424" s="124"/>
      <c r="AI1424" s="74"/>
      <c r="AM1424" s="74"/>
      <c r="AY1424" s="74"/>
      <c r="BC1424" s="74"/>
      <c r="BG1424" s="74"/>
      <c r="BK1424" s="74"/>
      <c r="BO1424" s="74"/>
      <c r="BW1424" s="74"/>
      <c r="DF1424" s="21"/>
      <c r="DG1424" s="21"/>
      <c r="DH1424" s="21"/>
      <c r="DI1424" s="21"/>
    </row>
    <row r="1425" spans="2:113" s="123" customFormat="1">
      <c r="B1425" s="125"/>
      <c r="D1425" s="125"/>
      <c r="AA1425" s="74"/>
      <c r="AE1425" s="124"/>
      <c r="AI1425" s="74"/>
      <c r="AM1425" s="74"/>
      <c r="AY1425" s="74"/>
      <c r="BC1425" s="74"/>
      <c r="BG1425" s="74"/>
      <c r="BK1425" s="74"/>
      <c r="BO1425" s="74"/>
      <c r="BW1425" s="74"/>
      <c r="DF1425" s="21"/>
      <c r="DG1425" s="21"/>
      <c r="DH1425" s="21"/>
      <c r="DI1425" s="21"/>
    </row>
    <row r="1426" spans="2:113" s="123" customFormat="1">
      <c r="B1426" s="125"/>
      <c r="D1426" s="125"/>
      <c r="AA1426" s="74"/>
      <c r="AE1426" s="124"/>
      <c r="AI1426" s="74"/>
      <c r="AM1426" s="74"/>
      <c r="AY1426" s="74"/>
      <c r="BC1426" s="74"/>
      <c r="BG1426" s="74"/>
      <c r="BK1426" s="74"/>
      <c r="BO1426" s="74"/>
      <c r="BW1426" s="74"/>
      <c r="DF1426" s="21"/>
      <c r="DG1426" s="21"/>
      <c r="DH1426" s="21"/>
      <c r="DI1426" s="21"/>
    </row>
    <row r="1427" spans="2:113" s="123" customFormat="1">
      <c r="B1427" s="125"/>
      <c r="D1427" s="125"/>
      <c r="AA1427" s="74"/>
      <c r="AE1427" s="124"/>
      <c r="AI1427" s="74"/>
      <c r="AM1427" s="74"/>
      <c r="AY1427" s="74"/>
      <c r="BC1427" s="74"/>
      <c r="BG1427" s="74"/>
      <c r="BK1427" s="74"/>
      <c r="BO1427" s="74"/>
      <c r="BW1427" s="74"/>
      <c r="DF1427" s="21"/>
      <c r="DG1427" s="21"/>
      <c r="DH1427" s="21"/>
      <c r="DI1427" s="21"/>
    </row>
    <row r="1428" spans="2:113" s="123" customFormat="1">
      <c r="B1428" s="125"/>
      <c r="D1428" s="125"/>
      <c r="AA1428" s="74"/>
      <c r="AE1428" s="124"/>
      <c r="AI1428" s="74"/>
      <c r="AM1428" s="74"/>
      <c r="AY1428" s="74"/>
      <c r="BC1428" s="74"/>
      <c r="BG1428" s="74"/>
      <c r="BK1428" s="74"/>
      <c r="BO1428" s="74"/>
      <c r="BW1428" s="74"/>
      <c r="DF1428" s="21"/>
      <c r="DG1428" s="21"/>
      <c r="DH1428" s="21"/>
      <c r="DI1428" s="21"/>
    </row>
    <row r="1429" spans="2:113" s="123" customFormat="1">
      <c r="B1429" s="125"/>
      <c r="D1429" s="125"/>
      <c r="AA1429" s="74"/>
      <c r="AE1429" s="124"/>
      <c r="AI1429" s="74"/>
      <c r="AM1429" s="74"/>
      <c r="AY1429" s="74"/>
      <c r="BC1429" s="74"/>
      <c r="BG1429" s="74"/>
      <c r="BK1429" s="74"/>
      <c r="BO1429" s="74"/>
      <c r="BW1429" s="74"/>
      <c r="DF1429" s="21"/>
      <c r="DG1429" s="21"/>
      <c r="DH1429" s="21"/>
      <c r="DI1429" s="21"/>
    </row>
    <row r="1430" spans="2:113" s="123" customFormat="1">
      <c r="B1430" s="125"/>
      <c r="D1430" s="125"/>
      <c r="AA1430" s="74"/>
      <c r="AE1430" s="124"/>
      <c r="AI1430" s="74"/>
      <c r="AM1430" s="74"/>
      <c r="AY1430" s="74"/>
      <c r="BC1430" s="74"/>
      <c r="BG1430" s="74"/>
      <c r="BK1430" s="74"/>
      <c r="BO1430" s="74"/>
      <c r="BW1430" s="74"/>
      <c r="DF1430" s="21"/>
      <c r="DG1430" s="21"/>
      <c r="DH1430" s="21"/>
      <c r="DI1430" s="21"/>
    </row>
    <row r="1431" spans="2:113" s="123" customFormat="1">
      <c r="B1431" s="125"/>
      <c r="D1431" s="125"/>
      <c r="AA1431" s="74"/>
      <c r="AE1431" s="124"/>
      <c r="AI1431" s="74"/>
      <c r="AM1431" s="74"/>
      <c r="AY1431" s="74"/>
      <c r="BC1431" s="74"/>
      <c r="BG1431" s="74"/>
      <c r="BK1431" s="74"/>
      <c r="BO1431" s="74"/>
      <c r="BW1431" s="74"/>
      <c r="DF1431" s="21"/>
      <c r="DG1431" s="21"/>
      <c r="DH1431" s="21"/>
      <c r="DI1431" s="21"/>
    </row>
    <row r="1432" spans="2:113" s="123" customFormat="1">
      <c r="B1432" s="125"/>
      <c r="D1432" s="125"/>
      <c r="AA1432" s="74"/>
      <c r="AE1432" s="124"/>
      <c r="AI1432" s="74"/>
      <c r="AM1432" s="74"/>
      <c r="AY1432" s="74"/>
      <c r="BC1432" s="74"/>
      <c r="BG1432" s="74"/>
      <c r="BK1432" s="74"/>
      <c r="BO1432" s="74"/>
      <c r="BW1432" s="74"/>
      <c r="DF1432" s="21"/>
      <c r="DG1432" s="21"/>
      <c r="DH1432" s="21"/>
      <c r="DI1432" s="21"/>
    </row>
    <row r="1433" spans="2:113" s="123" customFormat="1">
      <c r="B1433" s="125"/>
      <c r="D1433" s="125"/>
      <c r="AA1433" s="74"/>
      <c r="AE1433" s="124"/>
      <c r="AI1433" s="74"/>
      <c r="AM1433" s="74"/>
      <c r="AY1433" s="74"/>
      <c r="BC1433" s="74"/>
      <c r="BG1433" s="74"/>
      <c r="BK1433" s="74"/>
      <c r="BO1433" s="74"/>
      <c r="BW1433" s="74"/>
      <c r="DF1433" s="21"/>
      <c r="DG1433" s="21"/>
      <c r="DH1433" s="21"/>
      <c r="DI1433" s="21"/>
    </row>
    <row r="1434" spans="2:113" s="123" customFormat="1">
      <c r="B1434" s="125"/>
      <c r="D1434" s="125"/>
      <c r="AA1434" s="74"/>
      <c r="AE1434" s="124"/>
      <c r="AI1434" s="74"/>
      <c r="AM1434" s="74"/>
      <c r="AY1434" s="74"/>
      <c r="BC1434" s="74"/>
      <c r="BG1434" s="74"/>
      <c r="BK1434" s="74"/>
      <c r="BO1434" s="74"/>
      <c r="BW1434" s="74"/>
      <c r="DF1434" s="21"/>
      <c r="DG1434" s="21"/>
      <c r="DH1434" s="21"/>
      <c r="DI1434" s="21"/>
    </row>
    <row r="1435" spans="2:113" s="123" customFormat="1">
      <c r="B1435" s="125"/>
      <c r="D1435" s="125"/>
      <c r="AA1435" s="74"/>
      <c r="AE1435" s="124"/>
      <c r="AI1435" s="74"/>
      <c r="AM1435" s="74"/>
      <c r="AY1435" s="74"/>
      <c r="BC1435" s="74"/>
      <c r="BG1435" s="74"/>
      <c r="BK1435" s="74"/>
      <c r="BO1435" s="74"/>
      <c r="BW1435" s="74"/>
      <c r="DF1435" s="21"/>
      <c r="DG1435" s="21"/>
      <c r="DH1435" s="21"/>
      <c r="DI1435" s="21"/>
    </row>
    <row r="1436" spans="2:113" s="123" customFormat="1">
      <c r="B1436" s="125"/>
      <c r="D1436" s="125"/>
      <c r="AA1436" s="74"/>
      <c r="AE1436" s="124"/>
      <c r="AI1436" s="74"/>
      <c r="AM1436" s="74"/>
      <c r="AY1436" s="74"/>
      <c r="BC1436" s="74"/>
      <c r="BG1436" s="74"/>
      <c r="BK1436" s="74"/>
      <c r="BO1436" s="74"/>
      <c r="BW1436" s="74"/>
      <c r="DF1436" s="21"/>
      <c r="DG1436" s="21"/>
      <c r="DH1436" s="21"/>
      <c r="DI1436" s="21"/>
    </row>
    <row r="1437" spans="2:113" s="123" customFormat="1">
      <c r="B1437" s="125"/>
      <c r="D1437" s="125"/>
      <c r="AA1437" s="74"/>
      <c r="AE1437" s="124"/>
      <c r="AI1437" s="74"/>
      <c r="AM1437" s="74"/>
      <c r="AY1437" s="74"/>
      <c r="BC1437" s="74"/>
      <c r="BG1437" s="74"/>
      <c r="BK1437" s="74"/>
      <c r="BO1437" s="74"/>
      <c r="BW1437" s="74"/>
      <c r="DF1437" s="21"/>
      <c r="DG1437" s="21"/>
      <c r="DH1437" s="21"/>
      <c r="DI1437" s="21"/>
    </row>
    <row r="1438" spans="2:113" s="123" customFormat="1">
      <c r="B1438" s="125"/>
      <c r="D1438" s="125"/>
      <c r="AA1438" s="74"/>
      <c r="AE1438" s="124"/>
      <c r="AI1438" s="74"/>
      <c r="AM1438" s="74"/>
      <c r="AY1438" s="74"/>
      <c r="BC1438" s="74"/>
      <c r="BG1438" s="74"/>
      <c r="BK1438" s="74"/>
      <c r="BO1438" s="74"/>
      <c r="BW1438" s="74"/>
      <c r="DF1438" s="21"/>
      <c r="DG1438" s="21"/>
      <c r="DH1438" s="21"/>
      <c r="DI1438" s="21"/>
    </row>
    <row r="1439" spans="2:113" s="123" customFormat="1">
      <c r="B1439" s="125"/>
      <c r="D1439" s="125"/>
      <c r="AA1439" s="74"/>
      <c r="AE1439" s="124"/>
      <c r="AI1439" s="74"/>
      <c r="AM1439" s="74"/>
      <c r="AY1439" s="74"/>
      <c r="BC1439" s="74"/>
      <c r="BG1439" s="74"/>
      <c r="BK1439" s="74"/>
      <c r="BO1439" s="74"/>
      <c r="BW1439" s="74"/>
      <c r="DF1439" s="21"/>
      <c r="DG1439" s="21"/>
      <c r="DH1439" s="21"/>
      <c r="DI1439" s="21"/>
    </row>
    <row r="1440" spans="2:113" s="123" customFormat="1">
      <c r="B1440" s="125"/>
      <c r="D1440" s="125"/>
      <c r="AA1440" s="74"/>
      <c r="AE1440" s="124"/>
      <c r="AI1440" s="74"/>
      <c r="AM1440" s="74"/>
      <c r="AY1440" s="74"/>
      <c r="BC1440" s="74"/>
      <c r="BG1440" s="74"/>
      <c r="BK1440" s="74"/>
      <c r="BO1440" s="74"/>
      <c r="BW1440" s="74"/>
      <c r="DF1440" s="21"/>
      <c r="DG1440" s="21"/>
      <c r="DH1440" s="21"/>
      <c r="DI1440" s="21"/>
    </row>
    <row r="1441" spans="2:113" s="123" customFormat="1">
      <c r="B1441" s="125"/>
      <c r="D1441" s="125"/>
      <c r="AA1441" s="74"/>
      <c r="AE1441" s="124"/>
      <c r="AI1441" s="74"/>
      <c r="AM1441" s="74"/>
      <c r="AY1441" s="74"/>
      <c r="BC1441" s="74"/>
      <c r="BG1441" s="74"/>
      <c r="BK1441" s="74"/>
      <c r="BO1441" s="74"/>
      <c r="BW1441" s="74"/>
      <c r="DF1441" s="21"/>
      <c r="DG1441" s="21"/>
      <c r="DH1441" s="21"/>
      <c r="DI1441" s="21"/>
    </row>
    <row r="1442" spans="2:113" s="123" customFormat="1">
      <c r="B1442" s="125"/>
      <c r="D1442" s="125"/>
      <c r="AA1442" s="74"/>
      <c r="AE1442" s="124"/>
      <c r="AI1442" s="74"/>
      <c r="AM1442" s="74"/>
      <c r="AY1442" s="74"/>
      <c r="BC1442" s="74"/>
      <c r="BG1442" s="74"/>
      <c r="BK1442" s="74"/>
      <c r="BO1442" s="74"/>
      <c r="BW1442" s="74"/>
      <c r="DF1442" s="21"/>
      <c r="DG1442" s="21"/>
      <c r="DH1442" s="21"/>
      <c r="DI1442" s="21"/>
    </row>
    <row r="1443" spans="2:113" s="123" customFormat="1">
      <c r="B1443" s="125"/>
      <c r="D1443" s="125"/>
      <c r="AA1443" s="74"/>
      <c r="AE1443" s="124"/>
      <c r="AI1443" s="74"/>
      <c r="AM1443" s="74"/>
      <c r="AY1443" s="74"/>
      <c r="BC1443" s="74"/>
      <c r="BG1443" s="74"/>
      <c r="BK1443" s="74"/>
      <c r="BO1443" s="74"/>
      <c r="BW1443" s="74"/>
      <c r="DF1443" s="21"/>
      <c r="DG1443" s="21"/>
      <c r="DH1443" s="21"/>
      <c r="DI1443" s="21"/>
    </row>
    <row r="1444" spans="2:113" s="123" customFormat="1">
      <c r="B1444" s="125"/>
      <c r="D1444" s="125"/>
      <c r="AA1444" s="74"/>
      <c r="AE1444" s="124"/>
      <c r="AI1444" s="74"/>
      <c r="AM1444" s="74"/>
      <c r="AY1444" s="74"/>
      <c r="BC1444" s="74"/>
      <c r="BG1444" s="74"/>
      <c r="BK1444" s="74"/>
      <c r="BO1444" s="74"/>
      <c r="BW1444" s="74"/>
      <c r="DF1444" s="21"/>
      <c r="DG1444" s="21"/>
      <c r="DH1444" s="21"/>
      <c r="DI1444" s="21"/>
    </row>
    <row r="1445" spans="2:113" s="123" customFormat="1">
      <c r="B1445" s="125"/>
      <c r="D1445" s="125"/>
      <c r="AA1445" s="74"/>
      <c r="AE1445" s="124"/>
      <c r="AI1445" s="74"/>
      <c r="AM1445" s="74"/>
      <c r="AY1445" s="74"/>
      <c r="BC1445" s="74"/>
      <c r="BG1445" s="74"/>
      <c r="BK1445" s="74"/>
      <c r="BO1445" s="74"/>
      <c r="BW1445" s="74"/>
      <c r="DF1445" s="21"/>
      <c r="DG1445" s="21"/>
      <c r="DH1445" s="21"/>
      <c r="DI1445" s="21"/>
    </row>
    <row r="1446" spans="2:113" s="123" customFormat="1">
      <c r="B1446" s="125"/>
      <c r="D1446" s="125"/>
      <c r="AA1446" s="74"/>
      <c r="AE1446" s="124"/>
      <c r="AI1446" s="74"/>
      <c r="AM1446" s="74"/>
      <c r="AY1446" s="74"/>
      <c r="BC1446" s="74"/>
      <c r="BG1446" s="74"/>
      <c r="BK1446" s="74"/>
      <c r="BO1446" s="74"/>
      <c r="BW1446" s="74"/>
      <c r="DF1446" s="21"/>
      <c r="DG1446" s="21"/>
      <c r="DH1446" s="21"/>
      <c r="DI1446" s="21"/>
    </row>
    <row r="1447" spans="2:113" s="123" customFormat="1">
      <c r="B1447" s="125"/>
      <c r="D1447" s="125"/>
      <c r="AA1447" s="74"/>
      <c r="AE1447" s="124"/>
      <c r="AI1447" s="74"/>
      <c r="AM1447" s="74"/>
      <c r="AY1447" s="74"/>
      <c r="BC1447" s="74"/>
      <c r="BG1447" s="74"/>
      <c r="BK1447" s="74"/>
      <c r="BO1447" s="74"/>
      <c r="BW1447" s="74"/>
      <c r="DF1447" s="21"/>
      <c r="DG1447" s="21"/>
      <c r="DH1447" s="21"/>
      <c r="DI1447" s="21"/>
    </row>
    <row r="1448" spans="2:113" s="123" customFormat="1">
      <c r="B1448" s="125"/>
      <c r="D1448" s="125"/>
      <c r="AA1448" s="74"/>
      <c r="AE1448" s="124"/>
      <c r="AI1448" s="74"/>
      <c r="AM1448" s="74"/>
      <c r="AY1448" s="74"/>
      <c r="BC1448" s="74"/>
      <c r="BG1448" s="74"/>
      <c r="BK1448" s="74"/>
      <c r="BO1448" s="74"/>
      <c r="BW1448" s="74"/>
      <c r="DF1448" s="21"/>
      <c r="DG1448" s="21"/>
      <c r="DH1448" s="21"/>
      <c r="DI1448" s="21"/>
    </row>
    <row r="1449" spans="2:113" s="123" customFormat="1">
      <c r="B1449" s="125"/>
      <c r="D1449" s="125"/>
      <c r="AA1449" s="74"/>
      <c r="AE1449" s="124"/>
      <c r="AI1449" s="74"/>
      <c r="AM1449" s="74"/>
      <c r="AY1449" s="74"/>
      <c r="BC1449" s="74"/>
      <c r="BG1449" s="74"/>
      <c r="BK1449" s="74"/>
      <c r="BO1449" s="74"/>
      <c r="BW1449" s="74"/>
      <c r="DF1449" s="21"/>
      <c r="DG1449" s="21"/>
      <c r="DH1449" s="21"/>
      <c r="DI1449" s="21"/>
    </row>
    <row r="1450" spans="2:113" s="123" customFormat="1">
      <c r="B1450" s="125"/>
      <c r="D1450" s="125"/>
      <c r="AA1450" s="74"/>
      <c r="AE1450" s="124"/>
      <c r="AI1450" s="74"/>
      <c r="AM1450" s="74"/>
      <c r="AY1450" s="74"/>
      <c r="BC1450" s="74"/>
      <c r="BG1450" s="74"/>
      <c r="BK1450" s="74"/>
      <c r="BO1450" s="74"/>
      <c r="BW1450" s="74"/>
      <c r="DF1450" s="21"/>
      <c r="DG1450" s="21"/>
      <c r="DH1450" s="21"/>
      <c r="DI1450" s="21"/>
    </row>
    <row r="1451" spans="2:113" s="123" customFormat="1">
      <c r="B1451" s="125"/>
      <c r="D1451" s="125"/>
      <c r="AA1451" s="74"/>
      <c r="AE1451" s="124"/>
      <c r="AI1451" s="74"/>
      <c r="AM1451" s="74"/>
      <c r="AY1451" s="74"/>
      <c r="BC1451" s="74"/>
      <c r="BG1451" s="74"/>
      <c r="BK1451" s="74"/>
      <c r="BO1451" s="74"/>
      <c r="BW1451" s="74"/>
      <c r="DF1451" s="21"/>
      <c r="DG1451" s="21"/>
      <c r="DH1451" s="21"/>
      <c r="DI1451" s="21"/>
    </row>
    <row r="1452" spans="2:113" s="123" customFormat="1">
      <c r="B1452" s="125"/>
      <c r="D1452" s="125"/>
      <c r="AA1452" s="74"/>
      <c r="AE1452" s="124"/>
      <c r="AI1452" s="74"/>
      <c r="AM1452" s="74"/>
      <c r="AY1452" s="74"/>
      <c r="BC1452" s="74"/>
      <c r="BG1452" s="74"/>
      <c r="BK1452" s="74"/>
      <c r="BO1452" s="74"/>
      <c r="BW1452" s="74"/>
      <c r="DF1452" s="21"/>
      <c r="DG1452" s="21"/>
      <c r="DH1452" s="21"/>
      <c r="DI1452" s="21"/>
    </row>
    <row r="1453" spans="2:113" s="123" customFormat="1">
      <c r="B1453" s="125"/>
      <c r="D1453" s="125"/>
      <c r="AA1453" s="74"/>
      <c r="AE1453" s="124"/>
      <c r="AI1453" s="74"/>
      <c r="AM1453" s="74"/>
      <c r="AY1453" s="74"/>
      <c r="BC1453" s="74"/>
      <c r="BG1453" s="74"/>
      <c r="BK1453" s="74"/>
      <c r="BO1453" s="74"/>
      <c r="BW1453" s="74"/>
      <c r="DF1453" s="21"/>
      <c r="DG1453" s="21"/>
      <c r="DH1453" s="21"/>
      <c r="DI1453" s="21"/>
    </row>
    <row r="1454" spans="2:113" s="123" customFormat="1">
      <c r="B1454" s="125"/>
      <c r="D1454" s="125"/>
      <c r="AA1454" s="74"/>
      <c r="AE1454" s="124"/>
      <c r="AI1454" s="74"/>
      <c r="AM1454" s="74"/>
      <c r="AY1454" s="74"/>
      <c r="BC1454" s="74"/>
      <c r="BG1454" s="74"/>
      <c r="BK1454" s="74"/>
      <c r="BO1454" s="74"/>
      <c r="BW1454" s="74"/>
      <c r="DF1454" s="21"/>
      <c r="DG1454" s="21"/>
      <c r="DH1454" s="21"/>
      <c r="DI1454" s="21"/>
    </row>
    <row r="1455" spans="2:113" s="123" customFormat="1">
      <c r="B1455" s="125"/>
      <c r="D1455" s="125"/>
      <c r="AA1455" s="74"/>
      <c r="AE1455" s="124"/>
      <c r="AI1455" s="74"/>
      <c r="AM1455" s="74"/>
      <c r="AY1455" s="74"/>
      <c r="BC1455" s="74"/>
      <c r="BG1455" s="74"/>
      <c r="BK1455" s="74"/>
      <c r="BO1455" s="74"/>
      <c r="BW1455" s="74"/>
      <c r="DF1455" s="21"/>
      <c r="DG1455" s="21"/>
      <c r="DH1455" s="21"/>
      <c r="DI1455" s="21"/>
    </row>
    <row r="1456" spans="2:113" s="123" customFormat="1">
      <c r="B1456" s="125"/>
      <c r="D1456" s="125"/>
      <c r="AA1456" s="74"/>
      <c r="AE1456" s="124"/>
      <c r="AI1456" s="74"/>
      <c r="AM1456" s="74"/>
      <c r="AY1456" s="74"/>
      <c r="BC1456" s="74"/>
      <c r="BG1456" s="74"/>
      <c r="BK1456" s="74"/>
      <c r="BO1456" s="74"/>
      <c r="BW1456" s="74"/>
      <c r="DF1456" s="21"/>
      <c r="DG1456" s="21"/>
      <c r="DH1456" s="21"/>
      <c r="DI1456" s="21"/>
    </row>
    <row r="1457" spans="2:113" s="123" customFormat="1">
      <c r="B1457" s="125"/>
      <c r="D1457" s="125"/>
      <c r="AA1457" s="74"/>
      <c r="AE1457" s="124"/>
      <c r="AI1457" s="74"/>
      <c r="AM1457" s="74"/>
      <c r="AY1457" s="74"/>
      <c r="BC1457" s="74"/>
      <c r="BG1457" s="74"/>
      <c r="BK1457" s="74"/>
      <c r="BO1457" s="74"/>
      <c r="BW1457" s="74"/>
      <c r="DF1457" s="21"/>
      <c r="DG1457" s="21"/>
      <c r="DH1457" s="21"/>
      <c r="DI1457" s="21"/>
    </row>
    <row r="1458" spans="2:113" s="123" customFormat="1">
      <c r="B1458" s="125"/>
      <c r="D1458" s="125"/>
      <c r="AA1458" s="74"/>
      <c r="AE1458" s="124"/>
      <c r="AI1458" s="74"/>
      <c r="AM1458" s="74"/>
      <c r="AY1458" s="74"/>
      <c r="BC1458" s="74"/>
      <c r="BG1458" s="74"/>
      <c r="BK1458" s="74"/>
      <c r="BO1458" s="74"/>
      <c r="BW1458" s="74"/>
      <c r="DF1458" s="21"/>
      <c r="DG1458" s="21"/>
      <c r="DH1458" s="21"/>
      <c r="DI1458" s="21"/>
    </row>
    <row r="1459" spans="2:113" s="123" customFormat="1">
      <c r="B1459" s="125"/>
      <c r="D1459" s="125"/>
      <c r="AA1459" s="74"/>
      <c r="AE1459" s="124"/>
      <c r="AI1459" s="74"/>
      <c r="AM1459" s="74"/>
      <c r="AY1459" s="74"/>
      <c r="BC1459" s="74"/>
      <c r="BG1459" s="74"/>
      <c r="BK1459" s="74"/>
      <c r="BO1459" s="74"/>
      <c r="BW1459" s="74"/>
      <c r="DF1459" s="21"/>
      <c r="DG1459" s="21"/>
      <c r="DH1459" s="21"/>
      <c r="DI1459" s="21"/>
    </row>
    <row r="1460" spans="2:113" s="123" customFormat="1">
      <c r="B1460" s="125"/>
      <c r="D1460" s="125"/>
      <c r="AA1460" s="74"/>
      <c r="AE1460" s="124"/>
      <c r="AI1460" s="74"/>
      <c r="AM1460" s="74"/>
      <c r="AY1460" s="74"/>
      <c r="BC1460" s="74"/>
      <c r="BG1460" s="74"/>
      <c r="BK1460" s="74"/>
      <c r="BO1460" s="74"/>
      <c r="BW1460" s="74"/>
      <c r="DF1460" s="21"/>
      <c r="DG1460" s="21"/>
      <c r="DH1460" s="21"/>
      <c r="DI1460" s="21"/>
    </row>
    <row r="1461" spans="2:113" s="123" customFormat="1">
      <c r="B1461" s="125"/>
      <c r="D1461" s="125"/>
      <c r="AA1461" s="74"/>
      <c r="AE1461" s="124"/>
      <c r="AI1461" s="74"/>
      <c r="AM1461" s="74"/>
      <c r="AY1461" s="74"/>
      <c r="BC1461" s="74"/>
      <c r="BG1461" s="74"/>
      <c r="BK1461" s="74"/>
      <c r="BO1461" s="74"/>
      <c r="BW1461" s="74"/>
      <c r="DF1461" s="21"/>
      <c r="DG1461" s="21"/>
      <c r="DH1461" s="21"/>
      <c r="DI1461" s="21"/>
    </row>
    <row r="1462" spans="2:113" s="123" customFormat="1">
      <c r="B1462" s="125"/>
      <c r="D1462" s="125"/>
      <c r="AA1462" s="74"/>
      <c r="AE1462" s="124"/>
      <c r="AI1462" s="74"/>
      <c r="AM1462" s="74"/>
      <c r="AY1462" s="74"/>
      <c r="BC1462" s="74"/>
      <c r="BG1462" s="74"/>
      <c r="BK1462" s="74"/>
      <c r="BO1462" s="74"/>
      <c r="BW1462" s="74"/>
      <c r="DF1462" s="21"/>
      <c r="DG1462" s="21"/>
      <c r="DH1462" s="21"/>
      <c r="DI1462" s="21"/>
    </row>
    <row r="1463" spans="2:113" s="123" customFormat="1">
      <c r="B1463" s="125"/>
      <c r="D1463" s="125"/>
      <c r="AA1463" s="74"/>
      <c r="AE1463" s="124"/>
      <c r="AI1463" s="74"/>
      <c r="AM1463" s="74"/>
      <c r="AY1463" s="74"/>
      <c r="BC1463" s="74"/>
      <c r="BG1463" s="74"/>
      <c r="BK1463" s="74"/>
      <c r="BO1463" s="74"/>
      <c r="BW1463" s="74"/>
      <c r="DF1463" s="21"/>
      <c r="DG1463" s="21"/>
      <c r="DH1463" s="21"/>
      <c r="DI1463" s="21"/>
    </row>
    <row r="1464" spans="2:113" s="123" customFormat="1">
      <c r="B1464" s="125"/>
      <c r="D1464" s="125"/>
      <c r="AA1464" s="74"/>
      <c r="AE1464" s="124"/>
      <c r="AI1464" s="74"/>
      <c r="AM1464" s="74"/>
      <c r="AY1464" s="74"/>
      <c r="BC1464" s="74"/>
      <c r="BG1464" s="74"/>
      <c r="BK1464" s="74"/>
      <c r="BO1464" s="74"/>
      <c r="BW1464" s="74"/>
      <c r="DF1464" s="21"/>
      <c r="DG1464" s="21"/>
      <c r="DH1464" s="21"/>
      <c r="DI1464" s="21"/>
    </row>
    <row r="1465" spans="2:113" s="123" customFormat="1">
      <c r="B1465" s="125"/>
      <c r="D1465" s="125"/>
      <c r="AA1465" s="74"/>
      <c r="AE1465" s="124"/>
      <c r="AI1465" s="74"/>
      <c r="AM1465" s="74"/>
      <c r="AY1465" s="74"/>
      <c r="BC1465" s="74"/>
      <c r="BG1465" s="74"/>
      <c r="BK1465" s="74"/>
      <c r="BO1465" s="74"/>
      <c r="BW1465" s="74"/>
      <c r="DF1465" s="21"/>
      <c r="DG1465" s="21"/>
      <c r="DH1465" s="21"/>
      <c r="DI1465" s="21"/>
    </row>
    <row r="1466" spans="2:113" s="123" customFormat="1">
      <c r="B1466" s="125"/>
      <c r="D1466" s="125"/>
      <c r="AA1466" s="74"/>
      <c r="AE1466" s="124"/>
      <c r="AI1466" s="74"/>
      <c r="AM1466" s="74"/>
      <c r="AY1466" s="74"/>
      <c r="BC1466" s="74"/>
      <c r="BG1466" s="74"/>
      <c r="BK1466" s="74"/>
      <c r="BO1466" s="74"/>
      <c r="BW1466" s="74"/>
      <c r="DF1466" s="21"/>
      <c r="DG1466" s="21"/>
      <c r="DH1466" s="21"/>
      <c r="DI1466" s="21"/>
    </row>
    <row r="1467" spans="2:113" s="123" customFormat="1">
      <c r="B1467" s="125"/>
      <c r="D1467" s="125"/>
      <c r="AA1467" s="74"/>
      <c r="AE1467" s="124"/>
      <c r="AI1467" s="74"/>
      <c r="AM1467" s="74"/>
      <c r="AY1467" s="74"/>
      <c r="BC1467" s="74"/>
      <c r="BG1467" s="74"/>
      <c r="BK1467" s="74"/>
      <c r="BO1467" s="74"/>
      <c r="BW1467" s="74"/>
      <c r="DF1467" s="21"/>
      <c r="DG1467" s="21"/>
      <c r="DH1467" s="21"/>
      <c r="DI1467" s="21"/>
    </row>
    <row r="1468" spans="2:113" s="123" customFormat="1">
      <c r="B1468" s="125"/>
      <c r="D1468" s="125"/>
      <c r="AA1468" s="74"/>
      <c r="AE1468" s="124"/>
      <c r="AI1468" s="74"/>
      <c r="AM1468" s="74"/>
      <c r="AY1468" s="74"/>
      <c r="BC1468" s="74"/>
      <c r="BG1468" s="74"/>
      <c r="BK1468" s="74"/>
      <c r="BO1468" s="74"/>
      <c r="BW1468" s="74"/>
      <c r="DF1468" s="21"/>
      <c r="DG1468" s="21"/>
      <c r="DH1468" s="21"/>
      <c r="DI1468" s="21"/>
    </row>
    <row r="1469" spans="2:113" s="123" customFormat="1">
      <c r="B1469" s="125"/>
      <c r="D1469" s="125"/>
      <c r="AA1469" s="74"/>
      <c r="AE1469" s="124"/>
      <c r="AI1469" s="74"/>
      <c r="AM1469" s="74"/>
      <c r="AY1469" s="74"/>
      <c r="BC1469" s="74"/>
      <c r="BG1469" s="74"/>
      <c r="BK1469" s="74"/>
      <c r="BO1469" s="74"/>
      <c r="BW1469" s="74"/>
      <c r="DF1469" s="21"/>
      <c r="DG1469" s="21"/>
      <c r="DH1469" s="21"/>
      <c r="DI1469" s="21"/>
    </row>
    <row r="1470" spans="2:113" s="123" customFormat="1">
      <c r="B1470" s="125"/>
      <c r="D1470" s="125"/>
      <c r="AA1470" s="74"/>
      <c r="AE1470" s="124"/>
      <c r="AI1470" s="74"/>
      <c r="AM1470" s="74"/>
      <c r="AY1470" s="74"/>
      <c r="BC1470" s="74"/>
      <c r="BG1470" s="74"/>
      <c r="BK1470" s="74"/>
      <c r="BO1470" s="74"/>
      <c r="BW1470" s="74"/>
      <c r="DF1470" s="21"/>
      <c r="DG1470" s="21"/>
      <c r="DH1470" s="21"/>
      <c r="DI1470" s="21"/>
    </row>
    <row r="1471" spans="2:113" s="123" customFormat="1">
      <c r="B1471" s="125"/>
      <c r="D1471" s="125"/>
      <c r="AA1471" s="74"/>
      <c r="AE1471" s="124"/>
      <c r="AI1471" s="74"/>
      <c r="AM1471" s="74"/>
      <c r="AY1471" s="74"/>
      <c r="BC1471" s="74"/>
      <c r="BG1471" s="74"/>
      <c r="BK1471" s="74"/>
      <c r="BO1471" s="74"/>
      <c r="BW1471" s="74"/>
      <c r="DF1471" s="21"/>
      <c r="DG1471" s="21"/>
      <c r="DH1471" s="21"/>
      <c r="DI1471" s="21"/>
    </row>
    <row r="1472" spans="2:113" s="123" customFormat="1">
      <c r="B1472" s="125"/>
      <c r="D1472" s="125"/>
      <c r="AA1472" s="74"/>
      <c r="AE1472" s="124"/>
      <c r="AI1472" s="74"/>
      <c r="AM1472" s="74"/>
      <c r="AY1472" s="74"/>
      <c r="BC1472" s="74"/>
      <c r="BG1472" s="74"/>
      <c r="BK1472" s="74"/>
      <c r="BO1472" s="74"/>
      <c r="BW1472" s="74"/>
      <c r="DF1472" s="21"/>
      <c r="DG1472" s="21"/>
      <c r="DH1472" s="21"/>
      <c r="DI1472" s="21"/>
    </row>
    <row r="1473" spans="2:113" s="123" customFormat="1">
      <c r="B1473" s="125"/>
      <c r="D1473" s="125"/>
      <c r="AA1473" s="74"/>
      <c r="AE1473" s="124"/>
      <c r="AI1473" s="74"/>
      <c r="AM1473" s="74"/>
      <c r="AY1473" s="74"/>
      <c r="BC1473" s="74"/>
      <c r="BG1473" s="74"/>
      <c r="BK1473" s="74"/>
      <c r="BO1473" s="74"/>
      <c r="BW1473" s="74"/>
      <c r="DF1473" s="21"/>
      <c r="DG1473" s="21"/>
      <c r="DH1473" s="21"/>
      <c r="DI1473" s="21"/>
    </row>
    <row r="1474" spans="2:113" s="123" customFormat="1">
      <c r="B1474" s="125"/>
      <c r="D1474" s="125"/>
      <c r="AA1474" s="74"/>
      <c r="AE1474" s="124"/>
      <c r="AI1474" s="74"/>
      <c r="AM1474" s="74"/>
      <c r="AY1474" s="74"/>
      <c r="BC1474" s="74"/>
      <c r="BG1474" s="74"/>
      <c r="BK1474" s="74"/>
      <c r="BO1474" s="74"/>
      <c r="BW1474" s="74"/>
      <c r="DF1474" s="21"/>
      <c r="DG1474" s="21"/>
      <c r="DH1474" s="21"/>
      <c r="DI1474" s="21"/>
    </row>
    <row r="1475" spans="2:113" s="123" customFormat="1">
      <c r="B1475" s="125"/>
      <c r="D1475" s="125"/>
      <c r="AA1475" s="74"/>
      <c r="AE1475" s="124"/>
      <c r="AI1475" s="74"/>
      <c r="AM1475" s="74"/>
      <c r="AY1475" s="74"/>
      <c r="BC1475" s="74"/>
      <c r="BG1475" s="74"/>
      <c r="BK1475" s="74"/>
      <c r="BO1475" s="74"/>
      <c r="BW1475" s="74"/>
      <c r="DF1475" s="21"/>
      <c r="DG1475" s="21"/>
      <c r="DH1475" s="21"/>
      <c r="DI1475" s="21"/>
    </row>
    <row r="1476" spans="2:113" s="123" customFormat="1">
      <c r="B1476" s="125"/>
      <c r="D1476" s="125"/>
      <c r="AA1476" s="74"/>
      <c r="AE1476" s="124"/>
      <c r="AI1476" s="74"/>
      <c r="AM1476" s="74"/>
      <c r="AY1476" s="74"/>
      <c r="BC1476" s="74"/>
      <c r="BG1476" s="74"/>
      <c r="BK1476" s="74"/>
      <c r="BO1476" s="74"/>
      <c r="BW1476" s="74"/>
      <c r="DF1476" s="21"/>
      <c r="DG1476" s="21"/>
      <c r="DH1476" s="21"/>
      <c r="DI1476" s="21"/>
    </row>
    <row r="1477" spans="2:113" s="123" customFormat="1">
      <c r="B1477" s="125"/>
      <c r="D1477" s="125"/>
      <c r="AA1477" s="74"/>
      <c r="AE1477" s="124"/>
      <c r="AI1477" s="74"/>
      <c r="AM1477" s="74"/>
      <c r="AY1477" s="74"/>
      <c r="BC1477" s="74"/>
      <c r="BG1477" s="74"/>
      <c r="BK1477" s="74"/>
      <c r="BO1477" s="74"/>
      <c r="BW1477" s="74"/>
      <c r="DF1477" s="21"/>
      <c r="DG1477" s="21"/>
      <c r="DH1477" s="21"/>
      <c r="DI1477" s="21"/>
    </row>
    <row r="1478" spans="2:113" s="123" customFormat="1">
      <c r="B1478" s="125"/>
      <c r="D1478" s="125"/>
      <c r="AA1478" s="74"/>
      <c r="AE1478" s="124"/>
      <c r="AI1478" s="74"/>
      <c r="AM1478" s="74"/>
      <c r="AY1478" s="74"/>
      <c r="BC1478" s="74"/>
      <c r="BG1478" s="74"/>
      <c r="BK1478" s="74"/>
      <c r="BO1478" s="74"/>
      <c r="BW1478" s="74"/>
      <c r="DF1478" s="21"/>
      <c r="DG1478" s="21"/>
      <c r="DH1478" s="21"/>
      <c r="DI1478" s="21"/>
    </row>
    <row r="1479" spans="2:113" s="123" customFormat="1">
      <c r="B1479" s="125"/>
      <c r="D1479" s="125"/>
      <c r="AA1479" s="74"/>
      <c r="AE1479" s="124"/>
      <c r="AI1479" s="74"/>
      <c r="AM1479" s="74"/>
      <c r="AY1479" s="74"/>
      <c r="BC1479" s="74"/>
      <c r="BG1479" s="74"/>
      <c r="BK1479" s="74"/>
      <c r="BO1479" s="74"/>
      <c r="BW1479" s="74"/>
      <c r="DF1479" s="21"/>
      <c r="DG1479" s="21"/>
      <c r="DH1479" s="21"/>
      <c r="DI1479" s="21"/>
    </row>
    <row r="1480" spans="2:113" s="123" customFormat="1">
      <c r="B1480" s="125"/>
      <c r="D1480" s="125"/>
      <c r="AA1480" s="74"/>
      <c r="AE1480" s="124"/>
      <c r="AI1480" s="74"/>
      <c r="AM1480" s="74"/>
      <c r="AY1480" s="74"/>
      <c r="BC1480" s="74"/>
      <c r="BG1480" s="74"/>
      <c r="BK1480" s="74"/>
      <c r="BO1480" s="74"/>
      <c r="BW1480" s="74"/>
      <c r="DF1480" s="21"/>
      <c r="DG1480" s="21"/>
      <c r="DH1480" s="21"/>
      <c r="DI1480" s="21"/>
    </row>
    <row r="1481" spans="2:113" s="123" customFormat="1">
      <c r="B1481" s="125"/>
      <c r="D1481" s="125"/>
      <c r="AA1481" s="74"/>
      <c r="AE1481" s="124"/>
      <c r="AI1481" s="74"/>
      <c r="AM1481" s="74"/>
      <c r="AY1481" s="74"/>
      <c r="BC1481" s="74"/>
      <c r="BG1481" s="74"/>
      <c r="BK1481" s="74"/>
      <c r="BO1481" s="74"/>
      <c r="BW1481" s="74"/>
      <c r="DF1481" s="21"/>
      <c r="DG1481" s="21"/>
      <c r="DH1481" s="21"/>
      <c r="DI1481" s="21"/>
    </row>
    <row r="1482" spans="2:113" s="123" customFormat="1">
      <c r="B1482" s="125"/>
      <c r="D1482" s="125"/>
      <c r="AA1482" s="74"/>
      <c r="AE1482" s="124"/>
      <c r="AI1482" s="74"/>
      <c r="AM1482" s="74"/>
      <c r="AY1482" s="74"/>
      <c r="BC1482" s="74"/>
      <c r="BG1482" s="74"/>
      <c r="BK1482" s="74"/>
      <c r="BO1482" s="74"/>
      <c r="BW1482" s="74"/>
      <c r="DF1482" s="21"/>
      <c r="DG1482" s="21"/>
      <c r="DH1482" s="21"/>
      <c r="DI1482" s="21"/>
    </row>
    <row r="1483" spans="2:113" s="123" customFormat="1">
      <c r="B1483" s="125"/>
      <c r="D1483" s="125"/>
      <c r="AA1483" s="74"/>
      <c r="AE1483" s="124"/>
      <c r="AI1483" s="74"/>
      <c r="AM1483" s="74"/>
      <c r="AY1483" s="74"/>
      <c r="BC1483" s="74"/>
      <c r="BG1483" s="74"/>
      <c r="BK1483" s="74"/>
      <c r="BO1483" s="74"/>
      <c r="BW1483" s="74"/>
      <c r="DF1483" s="21"/>
      <c r="DG1483" s="21"/>
      <c r="DH1483" s="21"/>
      <c r="DI1483" s="21"/>
    </row>
    <row r="1484" spans="2:113" s="123" customFormat="1">
      <c r="B1484" s="125"/>
      <c r="D1484" s="125"/>
      <c r="AA1484" s="74"/>
      <c r="AE1484" s="124"/>
      <c r="AI1484" s="74"/>
      <c r="AM1484" s="74"/>
      <c r="AY1484" s="74"/>
      <c r="BC1484" s="74"/>
      <c r="BG1484" s="74"/>
      <c r="BK1484" s="74"/>
      <c r="BO1484" s="74"/>
      <c r="BW1484" s="74"/>
      <c r="DF1484" s="21"/>
      <c r="DG1484" s="21"/>
      <c r="DH1484" s="21"/>
      <c r="DI1484" s="21"/>
    </row>
    <row r="1485" spans="2:113" s="123" customFormat="1">
      <c r="B1485" s="125"/>
      <c r="D1485" s="125"/>
      <c r="AA1485" s="74"/>
      <c r="AE1485" s="124"/>
      <c r="AI1485" s="74"/>
      <c r="AM1485" s="74"/>
      <c r="AY1485" s="74"/>
      <c r="BC1485" s="74"/>
      <c r="BG1485" s="74"/>
      <c r="BK1485" s="74"/>
      <c r="BO1485" s="74"/>
      <c r="BW1485" s="74"/>
      <c r="DF1485" s="21"/>
      <c r="DG1485" s="21"/>
      <c r="DH1485" s="21"/>
      <c r="DI1485" s="21"/>
    </row>
    <row r="1486" spans="2:113" s="123" customFormat="1">
      <c r="B1486" s="125"/>
      <c r="D1486" s="125"/>
      <c r="AA1486" s="74"/>
      <c r="AE1486" s="124"/>
      <c r="AI1486" s="74"/>
      <c r="AM1486" s="74"/>
      <c r="AY1486" s="74"/>
      <c r="BC1486" s="74"/>
      <c r="BG1486" s="74"/>
      <c r="BK1486" s="74"/>
      <c r="BO1486" s="74"/>
      <c r="BW1486" s="74"/>
      <c r="DF1486" s="21"/>
      <c r="DG1486" s="21"/>
      <c r="DH1486" s="21"/>
      <c r="DI1486" s="21"/>
    </row>
    <row r="1487" spans="2:113" s="123" customFormat="1">
      <c r="B1487" s="125"/>
      <c r="D1487" s="125"/>
      <c r="AA1487" s="74"/>
      <c r="AE1487" s="124"/>
      <c r="AI1487" s="74"/>
      <c r="AM1487" s="74"/>
      <c r="AY1487" s="74"/>
      <c r="BC1487" s="74"/>
      <c r="BG1487" s="74"/>
      <c r="BK1487" s="74"/>
      <c r="BO1487" s="74"/>
      <c r="BW1487" s="74"/>
      <c r="DF1487" s="21"/>
      <c r="DG1487" s="21"/>
      <c r="DH1487" s="21"/>
      <c r="DI1487" s="21"/>
    </row>
    <row r="1488" spans="2:113" s="123" customFormat="1">
      <c r="B1488" s="125"/>
      <c r="D1488" s="125"/>
      <c r="AA1488" s="74"/>
      <c r="AE1488" s="124"/>
      <c r="AI1488" s="74"/>
      <c r="AM1488" s="74"/>
      <c r="AY1488" s="74"/>
      <c r="BC1488" s="74"/>
      <c r="BG1488" s="74"/>
      <c r="BK1488" s="74"/>
      <c r="BO1488" s="74"/>
      <c r="BW1488" s="74"/>
      <c r="DF1488" s="21"/>
      <c r="DG1488" s="21"/>
      <c r="DH1488" s="21"/>
      <c r="DI1488" s="21"/>
    </row>
    <row r="1489" spans="2:113" s="123" customFormat="1">
      <c r="B1489" s="125"/>
      <c r="D1489" s="125"/>
      <c r="AA1489" s="74"/>
      <c r="AE1489" s="124"/>
      <c r="AI1489" s="74"/>
      <c r="AM1489" s="74"/>
      <c r="AY1489" s="74"/>
      <c r="BC1489" s="74"/>
      <c r="BG1489" s="74"/>
      <c r="BK1489" s="74"/>
      <c r="BO1489" s="74"/>
      <c r="BW1489" s="74"/>
      <c r="DF1489" s="21"/>
      <c r="DG1489" s="21"/>
      <c r="DH1489" s="21"/>
      <c r="DI1489" s="21"/>
    </row>
    <row r="1490" spans="2:113" s="123" customFormat="1">
      <c r="B1490" s="125"/>
      <c r="D1490" s="125"/>
      <c r="AA1490" s="74"/>
      <c r="AE1490" s="124"/>
      <c r="AI1490" s="74"/>
      <c r="AM1490" s="74"/>
      <c r="AY1490" s="74"/>
      <c r="BC1490" s="74"/>
      <c r="BG1490" s="74"/>
      <c r="BK1490" s="74"/>
      <c r="BO1490" s="74"/>
      <c r="BW1490" s="74"/>
      <c r="DF1490" s="21"/>
      <c r="DG1490" s="21"/>
      <c r="DH1490" s="21"/>
      <c r="DI1490" s="21"/>
    </row>
    <row r="1491" spans="2:113" s="123" customFormat="1">
      <c r="B1491" s="125"/>
      <c r="D1491" s="125"/>
      <c r="AA1491" s="74"/>
      <c r="AE1491" s="124"/>
      <c r="AI1491" s="74"/>
      <c r="AM1491" s="74"/>
      <c r="AY1491" s="74"/>
      <c r="BC1491" s="74"/>
      <c r="BG1491" s="74"/>
      <c r="BK1491" s="74"/>
      <c r="BO1491" s="74"/>
      <c r="BW1491" s="74"/>
      <c r="DF1491" s="21"/>
      <c r="DG1491" s="21"/>
      <c r="DH1491" s="21"/>
      <c r="DI1491" s="21"/>
    </row>
    <row r="1492" spans="2:113" s="123" customFormat="1">
      <c r="B1492" s="125"/>
      <c r="D1492" s="125"/>
      <c r="AA1492" s="74"/>
      <c r="AE1492" s="124"/>
      <c r="AI1492" s="74"/>
      <c r="AM1492" s="74"/>
      <c r="AY1492" s="74"/>
      <c r="BC1492" s="74"/>
      <c r="BG1492" s="74"/>
      <c r="BK1492" s="74"/>
      <c r="BO1492" s="74"/>
      <c r="BW1492" s="74"/>
      <c r="DF1492" s="21"/>
      <c r="DG1492" s="21"/>
      <c r="DH1492" s="21"/>
      <c r="DI1492" s="21"/>
    </row>
    <row r="1493" spans="2:113" s="123" customFormat="1">
      <c r="B1493" s="125"/>
      <c r="D1493" s="125"/>
      <c r="AA1493" s="74"/>
      <c r="AE1493" s="124"/>
      <c r="AI1493" s="74"/>
      <c r="AM1493" s="74"/>
      <c r="AY1493" s="74"/>
      <c r="BC1493" s="74"/>
      <c r="BG1493" s="74"/>
      <c r="BK1493" s="74"/>
      <c r="BO1493" s="74"/>
      <c r="BW1493" s="74"/>
      <c r="DF1493" s="21"/>
      <c r="DG1493" s="21"/>
      <c r="DH1493" s="21"/>
      <c r="DI1493" s="21"/>
    </row>
    <row r="1494" spans="2:113" s="123" customFormat="1">
      <c r="B1494" s="125"/>
      <c r="D1494" s="125"/>
      <c r="AA1494" s="74"/>
      <c r="AE1494" s="124"/>
      <c r="AI1494" s="74"/>
      <c r="AM1494" s="74"/>
      <c r="AY1494" s="74"/>
      <c r="BC1494" s="74"/>
      <c r="BG1494" s="74"/>
      <c r="BK1494" s="74"/>
      <c r="BO1494" s="74"/>
      <c r="BW1494" s="74"/>
      <c r="DF1494" s="21"/>
      <c r="DG1494" s="21"/>
      <c r="DH1494" s="21"/>
      <c r="DI1494" s="21"/>
    </row>
    <row r="1495" spans="2:113" s="123" customFormat="1">
      <c r="B1495" s="125"/>
      <c r="D1495" s="125"/>
      <c r="AA1495" s="74"/>
      <c r="AE1495" s="124"/>
      <c r="AI1495" s="74"/>
      <c r="AM1495" s="74"/>
      <c r="AY1495" s="74"/>
      <c r="BC1495" s="74"/>
      <c r="BG1495" s="74"/>
      <c r="BK1495" s="74"/>
      <c r="BO1495" s="74"/>
      <c r="BW1495" s="74"/>
      <c r="DF1495" s="21"/>
      <c r="DG1495" s="21"/>
      <c r="DH1495" s="21"/>
      <c r="DI1495" s="21"/>
    </row>
    <row r="1496" spans="2:113" s="123" customFormat="1">
      <c r="B1496" s="125"/>
      <c r="D1496" s="125"/>
      <c r="AA1496" s="74"/>
      <c r="AE1496" s="124"/>
      <c r="AI1496" s="74"/>
      <c r="AM1496" s="74"/>
      <c r="AY1496" s="74"/>
      <c r="BC1496" s="74"/>
      <c r="BG1496" s="74"/>
      <c r="BK1496" s="74"/>
      <c r="BO1496" s="74"/>
      <c r="BW1496" s="74"/>
      <c r="DF1496" s="21"/>
      <c r="DG1496" s="21"/>
      <c r="DH1496" s="21"/>
      <c r="DI1496" s="21"/>
    </row>
    <row r="1497" spans="2:113" s="123" customFormat="1">
      <c r="B1497" s="125"/>
      <c r="D1497" s="125"/>
      <c r="AA1497" s="74"/>
      <c r="AE1497" s="124"/>
      <c r="AI1497" s="74"/>
      <c r="AM1497" s="74"/>
      <c r="AY1497" s="74"/>
      <c r="BC1497" s="74"/>
      <c r="BG1497" s="74"/>
      <c r="BK1497" s="74"/>
      <c r="BO1497" s="74"/>
      <c r="BW1497" s="74"/>
      <c r="DF1497" s="21"/>
      <c r="DG1497" s="21"/>
      <c r="DH1497" s="21"/>
      <c r="DI1497" s="21"/>
    </row>
    <row r="1498" spans="2:113" s="123" customFormat="1">
      <c r="B1498" s="125"/>
      <c r="D1498" s="125"/>
      <c r="AA1498" s="74"/>
      <c r="AE1498" s="124"/>
      <c r="AI1498" s="74"/>
      <c r="AM1498" s="74"/>
      <c r="AY1498" s="74"/>
      <c r="BC1498" s="74"/>
      <c r="BG1498" s="74"/>
      <c r="BK1498" s="74"/>
      <c r="BO1498" s="74"/>
      <c r="BW1498" s="74"/>
      <c r="DF1498" s="21"/>
      <c r="DG1498" s="21"/>
      <c r="DH1498" s="21"/>
      <c r="DI1498" s="21"/>
    </row>
    <row r="1499" spans="2:113" s="123" customFormat="1">
      <c r="B1499" s="125"/>
      <c r="D1499" s="125"/>
      <c r="AA1499" s="74"/>
      <c r="AE1499" s="124"/>
      <c r="AI1499" s="74"/>
      <c r="AM1499" s="74"/>
      <c r="AY1499" s="74"/>
      <c r="BC1499" s="74"/>
      <c r="BG1499" s="74"/>
      <c r="BK1499" s="74"/>
      <c r="BO1499" s="74"/>
      <c r="BW1499" s="74"/>
      <c r="DF1499" s="21"/>
      <c r="DG1499" s="21"/>
      <c r="DH1499" s="21"/>
      <c r="DI1499" s="21"/>
    </row>
    <row r="1500" spans="2:113" s="123" customFormat="1">
      <c r="B1500" s="125"/>
      <c r="D1500" s="125"/>
      <c r="AA1500" s="74"/>
      <c r="AE1500" s="124"/>
      <c r="AI1500" s="74"/>
      <c r="AM1500" s="74"/>
      <c r="AY1500" s="74"/>
      <c r="BC1500" s="74"/>
      <c r="BG1500" s="74"/>
      <c r="BK1500" s="74"/>
      <c r="BO1500" s="74"/>
      <c r="BW1500" s="74"/>
      <c r="DF1500" s="21"/>
      <c r="DG1500" s="21"/>
      <c r="DH1500" s="21"/>
      <c r="DI1500" s="21"/>
    </row>
    <row r="1501" spans="2:113" s="123" customFormat="1">
      <c r="B1501" s="125"/>
      <c r="D1501" s="125"/>
      <c r="AA1501" s="74"/>
      <c r="AE1501" s="124"/>
      <c r="AI1501" s="74"/>
      <c r="AM1501" s="74"/>
      <c r="AY1501" s="74"/>
      <c r="BC1501" s="74"/>
      <c r="BG1501" s="74"/>
      <c r="BK1501" s="74"/>
      <c r="BO1501" s="74"/>
      <c r="BW1501" s="74"/>
      <c r="DF1501" s="21"/>
      <c r="DG1501" s="21"/>
      <c r="DH1501" s="21"/>
      <c r="DI1501" s="21"/>
    </row>
    <row r="1502" spans="2:113" s="123" customFormat="1">
      <c r="B1502" s="125"/>
      <c r="D1502" s="125"/>
      <c r="AA1502" s="74"/>
      <c r="AE1502" s="124"/>
      <c r="AI1502" s="74"/>
      <c r="AM1502" s="74"/>
      <c r="AY1502" s="74"/>
      <c r="BC1502" s="74"/>
      <c r="BG1502" s="74"/>
      <c r="BK1502" s="74"/>
      <c r="BO1502" s="74"/>
      <c r="BW1502" s="74"/>
      <c r="DF1502" s="21"/>
      <c r="DG1502" s="21"/>
      <c r="DH1502" s="21"/>
      <c r="DI1502" s="21"/>
    </row>
    <row r="1503" spans="2:113" s="123" customFormat="1">
      <c r="B1503" s="125"/>
      <c r="D1503" s="125"/>
      <c r="AA1503" s="74"/>
      <c r="AE1503" s="124"/>
      <c r="AI1503" s="74"/>
      <c r="AM1503" s="74"/>
      <c r="AY1503" s="74"/>
      <c r="BC1503" s="74"/>
      <c r="BG1503" s="74"/>
      <c r="BK1503" s="74"/>
      <c r="BO1503" s="74"/>
      <c r="BW1503" s="74"/>
      <c r="DF1503" s="21"/>
      <c r="DG1503" s="21"/>
      <c r="DH1503" s="21"/>
      <c r="DI1503" s="21"/>
    </row>
    <row r="1504" spans="2:113" s="123" customFormat="1">
      <c r="B1504" s="125"/>
      <c r="D1504" s="125"/>
      <c r="AA1504" s="74"/>
      <c r="AE1504" s="124"/>
      <c r="AI1504" s="74"/>
      <c r="AM1504" s="74"/>
      <c r="AY1504" s="74"/>
      <c r="BC1504" s="74"/>
      <c r="BG1504" s="74"/>
      <c r="BK1504" s="74"/>
      <c r="BO1504" s="74"/>
      <c r="BW1504" s="74"/>
      <c r="DF1504" s="21"/>
      <c r="DG1504" s="21"/>
      <c r="DH1504" s="21"/>
      <c r="DI1504" s="21"/>
    </row>
    <row r="1505" spans="2:113" s="123" customFormat="1">
      <c r="B1505" s="125"/>
      <c r="D1505" s="125"/>
      <c r="AA1505" s="74"/>
      <c r="AE1505" s="124"/>
      <c r="AI1505" s="74"/>
      <c r="AM1505" s="74"/>
      <c r="AY1505" s="74"/>
      <c r="BC1505" s="74"/>
      <c r="BG1505" s="74"/>
      <c r="BK1505" s="74"/>
      <c r="BO1505" s="74"/>
      <c r="BW1505" s="74"/>
      <c r="DF1505" s="21"/>
      <c r="DG1505" s="21"/>
      <c r="DH1505" s="21"/>
      <c r="DI1505" s="21"/>
    </row>
    <row r="1506" spans="2:113" s="123" customFormat="1">
      <c r="B1506" s="125"/>
      <c r="D1506" s="125"/>
      <c r="AA1506" s="74"/>
      <c r="AE1506" s="124"/>
      <c r="AI1506" s="74"/>
      <c r="AM1506" s="74"/>
      <c r="AY1506" s="74"/>
      <c r="BC1506" s="74"/>
      <c r="BG1506" s="74"/>
      <c r="BK1506" s="74"/>
      <c r="BO1506" s="74"/>
      <c r="BW1506" s="74"/>
      <c r="DF1506" s="21"/>
      <c r="DG1506" s="21"/>
      <c r="DH1506" s="21"/>
      <c r="DI1506" s="21"/>
    </row>
    <row r="1507" spans="2:113" s="123" customFormat="1">
      <c r="B1507" s="125"/>
      <c r="D1507" s="125"/>
      <c r="AA1507" s="74"/>
      <c r="AE1507" s="124"/>
      <c r="AI1507" s="74"/>
      <c r="AM1507" s="74"/>
      <c r="AY1507" s="74"/>
      <c r="BC1507" s="74"/>
      <c r="BG1507" s="74"/>
      <c r="BK1507" s="74"/>
      <c r="BO1507" s="74"/>
      <c r="BW1507" s="74"/>
      <c r="DF1507" s="21"/>
      <c r="DG1507" s="21"/>
      <c r="DH1507" s="21"/>
      <c r="DI1507" s="21"/>
    </row>
    <row r="1508" spans="2:113" s="123" customFormat="1">
      <c r="B1508" s="125"/>
      <c r="D1508" s="125"/>
      <c r="AA1508" s="74"/>
      <c r="AE1508" s="124"/>
      <c r="AI1508" s="74"/>
      <c r="AM1508" s="74"/>
      <c r="AY1508" s="74"/>
      <c r="BC1508" s="74"/>
      <c r="BG1508" s="74"/>
      <c r="BK1508" s="74"/>
      <c r="BO1508" s="74"/>
      <c r="BW1508" s="74"/>
      <c r="DF1508" s="21"/>
      <c r="DG1508" s="21"/>
      <c r="DH1508" s="21"/>
      <c r="DI1508" s="21"/>
    </row>
    <row r="1509" spans="2:113" s="123" customFormat="1">
      <c r="B1509" s="125"/>
      <c r="D1509" s="125"/>
      <c r="AA1509" s="74"/>
      <c r="AE1509" s="124"/>
      <c r="AI1509" s="74"/>
      <c r="AM1509" s="74"/>
      <c r="AY1509" s="74"/>
      <c r="BC1509" s="74"/>
      <c r="BG1509" s="74"/>
      <c r="BK1509" s="74"/>
      <c r="BO1509" s="74"/>
      <c r="BW1509" s="74"/>
      <c r="DF1509" s="21"/>
      <c r="DG1509" s="21"/>
      <c r="DH1509" s="21"/>
      <c r="DI1509" s="21"/>
    </row>
    <row r="1510" spans="2:113" s="123" customFormat="1">
      <c r="B1510" s="125"/>
      <c r="D1510" s="125"/>
      <c r="AA1510" s="74"/>
      <c r="AE1510" s="124"/>
      <c r="AI1510" s="74"/>
      <c r="AM1510" s="74"/>
      <c r="AY1510" s="74"/>
      <c r="BC1510" s="74"/>
      <c r="BG1510" s="74"/>
      <c r="BK1510" s="74"/>
      <c r="BO1510" s="74"/>
      <c r="BW1510" s="74"/>
      <c r="DF1510" s="21"/>
      <c r="DG1510" s="21"/>
      <c r="DH1510" s="21"/>
      <c r="DI1510" s="21"/>
    </row>
    <row r="1511" spans="2:113" s="123" customFormat="1">
      <c r="B1511" s="125"/>
      <c r="D1511" s="125"/>
      <c r="AA1511" s="74"/>
      <c r="AE1511" s="124"/>
      <c r="AI1511" s="74"/>
      <c r="AM1511" s="74"/>
      <c r="AY1511" s="74"/>
      <c r="BC1511" s="74"/>
      <c r="BG1511" s="74"/>
      <c r="BK1511" s="74"/>
      <c r="BO1511" s="74"/>
      <c r="BW1511" s="74"/>
      <c r="DF1511" s="21"/>
      <c r="DG1511" s="21"/>
      <c r="DH1511" s="21"/>
      <c r="DI1511" s="21"/>
    </row>
    <row r="1512" spans="2:113" s="123" customFormat="1">
      <c r="B1512" s="125"/>
      <c r="D1512" s="125"/>
      <c r="AA1512" s="74"/>
      <c r="AE1512" s="124"/>
      <c r="AI1512" s="74"/>
      <c r="AM1512" s="74"/>
      <c r="AY1512" s="74"/>
      <c r="BC1512" s="74"/>
      <c r="BG1512" s="74"/>
      <c r="BK1512" s="74"/>
      <c r="BO1512" s="74"/>
      <c r="BW1512" s="74"/>
      <c r="DF1512" s="21"/>
      <c r="DG1512" s="21"/>
      <c r="DH1512" s="21"/>
      <c r="DI1512" s="21"/>
    </row>
    <row r="1513" spans="2:113" s="123" customFormat="1">
      <c r="B1513" s="125"/>
      <c r="D1513" s="125"/>
      <c r="AA1513" s="74"/>
      <c r="AE1513" s="124"/>
      <c r="AI1513" s="74"/>
      <c r="AM1513" s="74"/>
      <c r="AY1513" s="74"/>
      <c r="BC1513" s="74"/>
      <c r="BG1513" s="74"/>
      <c r="BK1513" s="74"/>
      <c r="BO1513" s="74"/>
      <c r="BW1513" s="74"/>
      <c r="DF1513" s="21"/>
      <c r="DG1513" s="21"/>
      <c r="DH1513" s="21"/>
      <c r="DI1513" s="21"/>
    </row>
    <row r="1514" spans="2:113" s="123" customFormat="1">
      <c r="B1514" s="125"/>
      <c r="D1514" s="125"/>
      <c r="AA1514" s="74"/>
      <c r="AE1514" s="124"/>
      <c r="AI1514" s="74"/>
      <c r="AM1514" s="74"/>
      <c r="AY1514" s="74"/>
      <c r="BC1514" s="74"/>
      <c r="BG1514" s="74"/>
      <c r="BK1514" s="74"/>
      <c r="BO1514" s="74"/>
      <c r="BW1514" s="74"/>
      <c r="DF1514" s="21"/>
      <c r="DG1514" s="21"/>
      <c r="DH1514" s="21"/>
      <c r="DI1514" s="21"/>
    </row>
    <row r="1515" spans="2:113" s="123" customFormat="1">
      <c r="B1515" s="125"/>
      <c r="D1515" s="125"/>
      <c r="AA1515" s="74"/>
      <c r="AE1515" s="124"/>
      <c r="AI1515" s="74"/>
      <c r="AM1515" s="74"/>
      <c r="AY1515" s="74"/>
      <c r="BC1515" s="74"/>
      <c r="BG1515" s="74"/>
      <c r="BK1515" s="74"/>
      <c r="BO1515" s="74"/>
      <c r="BW1515" s="74"/>
      <c r="DF1515" s="21"/>
      <c r="DG1515" s="21"/>
      <c r="DH1515" s="21"/>
      <c r="DI1515" s="21"/>
    </row>
    <row r="1516" spans="2:113" s="123" customFormat="1">
      <c r="B1516" s="125"/>
      <c r="D1516" s="125"/>
      <c r="AA1516" s="74"/>
      <c r="AE1516" s="124"/>
      <c r="AI1516" s="74"/>
      <c r="AM1516" s="74"/>
      <c r="AY1516" s="74"/>
      <c r="BC1516" s="74"/>
      <c r="BG1516" s="74"/>
      <c r="BK1516" s="74"/>
      <c r="BO1516" s="74"/>
      <c r="BW1516" s="74"/>
      <c r="DF1516" s="21"/>
      <c r="DG1516" s="21"/>
      <c r="DH1516" s="21"/>
      <c r="DI1516" s="21"/>
    </row>
    <row r="1517" spans="2:113" s="123" customFormat="1">
      <c r="B1517" s="125"/>
      <c r="D1517" s="125"/>
      <c r="AA1517" s="74"/>
      <c r="AE1517" s="124"/>
      <c r="AI1517" s="74"/>
      <c r="AM1517" s="74"/>
      <c r="AY1517" s="74"/>
      <c r="BC1517" s="74"/>
      <c r="BG1517" s="74"/>
      <c r="BK1517" s="74"/>
      <c r="BO1517" s="74"/>
      <c r="BW1517" s="74"/>
      <c r="DF1517" s="21"/>
      <c r="DG1517" s="21"/>
      <c r="DH1517" s="21"/>
      <c r="DI1517" s="21"/>
    </row>
    <row r="1518" spans="2:113" s="123" customFormat="1">
      <c r="B1518" s="125"/>
      <c r="D1518" s="125"/>
      <c r="AA1518" s="74"/>
      <c r="AE1518" s="124"/>
      <c r="AI1518" s="74"/>
      <c r="AM1518" s="74"/>
      <c r="AY1518" s="74"/>
      <c r="BC1518" s="74"/>
      <c r="BG1518" s="74"/>
      <c r="BK1518" s="74"/>
      <c r="BO1518" s="74"/>
      <c r="BW1518" s="74"/>
      <c r="DF1518" s="21"/>
      <c r="DG1518" s="21"/>
      <c r="DH1518" s="21"/>
      <c r="DI1518" s="21"/>
    </row>
    <row r="1519" spans="2:113" s="123" customFormat="1">
      <c r="B1519" s="125"/>
      <c r="D1519" s="125"/>
      <c r="AA1519" s="74"/>
      <c r="AE1519" s="124"/>
      <c r="AI1519" s="74"/>
      <c r="AM1519" s="74"/>
      <c r="AY1519" s="74"/>
      <c r="BC1519" s="74"/>
      <c r="BG1519" s="74"/>
      <c r="BK1519" s="74"/>
      <c r="BO1519" s="74"/>
      <c r="BW1519" s="74"/>
      <c r="DF1519" s="21"/>
      <c r="DG1519" s="21"/>
      <c r="DH1519" s="21"/>
      <c r="DI1519" s="21"/>
    </row>
    <row r="1520" spans="2:113" s="123" customFormat="1">
      <c r="B1520" s="125"/>
      <c r="D1520" s="125"/>
      <c r="AA1520" s="74"/>
      <c r="AE1520" s="124"/>
      <c r="AI1520" s="74"/>
      <c r="AM1520" s="74"/>
      <c r="AY1520" s="74"/>
      <c r="BC1520" s="74"/>
      <c r="BG1520" s="74"/>
      <c r="BK1520" s="74"/>
      <c r="BO1520" s="74"/>
      <c r="BW1520" s="74"/>
      <c r="DF1520" s="21"/>
      <c r="DG1520" s="21"/>
      <c r="DH1520" s="21"/>
      <c r="DI1520" s="21"/>
    </row>
    <row r="1521" spans="2:113" s="123" customFormat="1">
      <c r="B1521" s="125"/>
      <c r="D1521" s="125"/>
      <c r="AA1521" s="74"/>
      <c r="AE1521" s="124"/>
      <c r="AI1521" s="74"/>
      <c r="AM1521" s="74"/>
      <c r="AY1521" s="74"/>
      <c r="BC1521" s="74"/>
      <c r="BG1521" s="74"/>
      <c r="BK1521" s="74"/>
      <c r="BO1521" s="74"/>
      <c r="BW1521" s="74"/>
      <c r="DF1521" s="21"/>
      <c r="DG1521" s="21"/>
      <c r="DH1521" s="21"/>
      <c r="DI1521" s="21"/>
    </row>
    <row r="1522" spans="2:113" s="123" customFormat="1">
      <c r="B1522" s="125"/>
      <c r="D1522" s="125"/>
      <c r="AA1522" s="74"/>
      <c r="AE1522" s="124"/>
      <c r="AI1522" s="74"/>
      <c r="AM1522" s="74"/>
      <c r="AY1522" s="74"/>
      <c r="BC1522" s="74"/>
      <c r="BG1522" s="74"/>
      <c r="BK1522" s="74"/>
      <c r="BO1522" s="74"/>
      <c r="BW1522" s="74"/>
      <c r="DF1522" s="21"/>
      <c r="DG1522" s="21"/>
      <c r="DH1522" s="21"/>
      <c r="DI1522" s="21"/>
    </row>
    <row r="1523" spans="2:113" s="123" customFormat="1">
      <c r="B1523" s="125"/>
      <c r="D1523" s="125"/>
      <c r="AA1523" s="74"/>
      <c r="AE1523" s="124"/>
      <c r="AI1523" s="74"/>
      <c r="AM1523" s="74"/>
      <c r="AY1523" s="74"/>
      <c r="BC1523" s="74"/>
      <c r="BG1523" s="74"/>
      <c r="BK1523" s="74"/>
      <c r="BO1523" s="74"/>
      <c r="BW1523" s="74"/>
      <c r="DF1523" s="21"/>
      <c r="DG1523" s="21"/>
      <c r="DH1523" s="21"/>
      <c r="DI1523" s="21"/>
    </row>
    <row r="1524" spans="2:113" s="123" customFormat="1">
      <c r="B1524" s="125"/>
      <c r="D1524" s="125"/>
      <c r="AA1524" s="74"/>
      <c r="AE1524" s="124"/>
      <c r="AI1524" s="74"/>
      <c r="AM1524" s="74"/>
      <c r="AY1524" s="74"/>
      <c r="BC1524" s="74"/>
      <c r="BG1524" s="74"/>
      <c r="BK1524" s="74"/>
      <c r="BO1524" s="74"/>
      <c r="BW1524" s="74"/>
      <c r="DF1524" s="21"/>
      <c r="DG1524" s="21"/>
      <c r="DH1524" s="21"/>
      <c r="DI1524" s="21"/>
    </row>
    <row r="1525" spans="2:113" s="123" customFormat="1">
      <c r="B1525" s="125"/>
      <c r="D1525" s="125"/>
      <c r="AA1525" s="74"/>
      <c r="AE1525" s="124"/>
      <c r="AI1525" s="74"/>
      <c r="AM1525" s="74"/>
      <c r="AY1525" s="74"/>
      <c r="BC1525" s="74"/>
      <c r="BG1525" s="74"/>
      <c r="BK1525" s="74"/>
      <c r="BO1525" s="74"/>
      <c r="BW1525" s="74"/>
      <c r="DF1525" s="21"/>
      <c r="DG1525" s="21"/>
      <c r="DH1525" s="21"/>
      <c r="DI1525" s="21"/>
    </row>
    <row r="1526" spans="2:113" s="123" customFormat="1">
      <c r="B1526" s="125"/>
      <c r="D1526" s="125"/>
      <c r="AA1526" s="74"/>
      <c r="AE1526" s="124"/>
      <c r="AI1526" s="74"/>
      <c r="AM1526" s="74"/>
      <c r="AY1526" s="74"/>
      <c r="BC1526" s="74"/>
      <c r="BG1526" s="74"/>
      <c r="BK1526" s="74"/>
      <c r="BO1526" s="74"/>
      <c r="BW1526" s="74"/>
      <c r="DF1526" s="21"/>
      <c r="DG1526" s="21"/>
      <c r="DH1526" s="21"/>
      <c r="DI1526" s="21"/>
    </row>
    <row r="1527" spans="2:113" s="123" customFormat="1">
      <c r="B1527" s="125"/>
      <c r="D1527" s="125"/>
      <c r="AA1527" s="74"/>
      <c r="AE1527" s="124"/>
      <c r="AI1527" s="74"/>
      <c r="AM1527" s="74"/>
      <c r="AY1527" s="74"/>
      <c r="BC1527" s="74"/>
      <c r="BG1527" s="74"/>
      <c r="BK1527" s="74"/>
      <c r="BO1527" s="74"/>
      <c r="BW1527" s="74"/>
      <c r="DF1527" s="21"/>
      <c r="DG1527" s="21"/>
      <c r="DH1527" s="21"/>
      <c r="DI1527" s="21"/>
    </row>
    <row r="1528" spans="2:113" s="123" customFormat="1">
      <c r="B1528" s="125"/>
      <c r="D1528" s="125"/>
      <c r="AA1528" s="74"/>
      <c r="AE1528" s="124"/>
      <c r="AI1528" s="74"/>
      <c r="AM1528" s="74"/>
      <c r="AY1528" s="74"/>
      <c r="BC1528" s="74"/>
      <c r="BG1528" s="74"/>
      <c r="BK1528" s="74"/>
      <c r="BO1528" s="74"/>
      <c r="BW1528" s="74"/>
      <c r="DF1528" s="21"/>
      <c r="DG1528" s="21"/>
      <c r="DH1528" s="21"/>
      <c r="DI1528" s="21"/>
    </row>
    <row r="1529" spans="2:113" s="123" customFormat="1">
      <c r="B1529" s="125"/>
      <c r="D1529" s="125"/>
      <c r="AA1529" s="74"/>
      <c r="AE1529" s="124"/>
      <c r="AI1529" s="74"/>
      <c r="AM1529" s="74"/>
      <c r="AY1529" s="74"/>
      <c r="BC1529" s="74"/>
      <c r="BG1529" s="74"/>
      <c r="BK1529" s="74"/>
      <c r="BO1529" s="74"/>
      <c r="BW1529" s="74"/>
      <c r="DF1529" s="21"/>
      <c r="DG1529" s="21"/>
      <c r="DH1529" s="21"/>
      <c r="DI1529" s="21"/>
    </row>
    <row r="1530" spans="2:113" s="123" customFormat="1">
      <c r="B1530" s="125"/>
      <c r="D1530" s="125"/>
      <c r="AA1530" s="74"/>
      <c r="AE1530" s="124"/>
      <c r="AI1530" s="74"/>
      <c r="AM1530" s="74"/>
      <c r="AY1530" s="74"/>
      <c r="BC1530" s="74"/>
      <c r="BG1530" s="74"/>
      <c r="BK1530" s="74"/>
      <c r="BO1530" s="74"/>
      <c r="BW1530" s="74"/>
      <c r="DF1530" s="21"/>
      <c r="DG1530" s="21"/>
      <c r="DH1530" s="21"/>
      <c r="DI1530" s="21"/>
    </row>
    <row r="1531" spans="2:113" s="123" customFormat="1">
      <c r="B1531" s="125"/>
      <c r="D1531" s="125"/>
      <c r="AA1531" s="74"/>
      <c r="AE1531" s="124"/>
      <c r="AI1531" s="74"/>
      <c r="AM1531" s="74"/>
      <c r="AY1531" s="74"/>
      <c r="BC1531" s="74"/>
      <c r="BG1531" s="74"/>
      <c r="BK1531" s="74"/>
      <c r="BO1531" s="74"/>
      <c r="BW1531" s="74"/>
      <c r="DF1531" s="21"/>
      <c r="DG1531" s="21"/>
      <c r="DH1531" s="21"/>
      <c r="DI1531" s="21"/>
    </row>
    <row r="1532" spans="2:113" s="123" customFormat="1">
      <c r="B1532" s="125"/>
      <c r="D1532" s="125"/>
      <c r="AA1532" s="74"/>
      <c r="AE1532" s="124"/>
      <c r="AI1532" s="74"/>
      <c r="AM1532" s="74"/>
      <c r="AY1532" s="74"/>
      <c r="BC1532" s="74"/>
      <c r="BG1532" s="74"/>
      <c r="BK1532" s="74"/>
      <c r="BO1532" s="74"/>
      <c r="BW1532" s="74"/>
      <c r="DF1532" s="21"/>
      <c r="DG1532" s="21"/>
      <c r="DH1532" s="21"/>
      <c r="DI1532" s="21"/>
    </row>
    <row r="1533" spans="2:113" s="123" customFormat="1">
      <c r="B1533" s="125"/>
      <c r="D1533" s="125"/>
      <c r="AA1533" s="74"/>
      <c r="AE1533" s="124"/>
      <c r="AI1533" s="74"/>
      <c r="AM1533" s="74"/>
      <c r="AY1533" s="74"/>
      <c r="BC1533" s="74"/>
      <c r="BG1533" s="74"/>
      <c r="BK1533" s="74"/>
      <c r="BO1533" s="74"/>
      <c r="BW1533" s="74"/>
      <c r="DF1533" s="21"/>
      <c r="DG1533" s="21"/>
      <c r="DH1533" s="21"/>
      <c r="DI1533" s="21"/>
    </row>
    <row r="1534" spans="2:113" s="123" customFormat="1">
      <c r="B1534" s="125"/>
      <c r="D1534" s="125"/>
      <c r="AA1534" s="74"/>
      <c r="AE1534" s="124"/>
      <c r="AI1534" s="74"/>
      <c r="AM1534" s="74"/>
      <c r="AY1534" s="74"/>
      <c r="BC1534" s="74"/>
      <c r="BG1534" s="74"/>
      <c r="BK1534" s="74"/>
      <c r="BO1534" s="74"/>
      <c r="BW1534" s="74"/>
      <c r="DF1534" s="21"/>
      <c r="DG1534" s="21"/>
      <c r="DH1534" s="21"/>
      <c r="DI1534" s="21"/>
    </row>
    <row r="1535" spans="2:113" s="123" customFormat="1">
      <c r="B1535" s="125"/>
      <c r="D1535" s="125"/>
      <c r="AA1535" s="74"/>
      <c r="AE1535" s="124"/>
      <c r="AI1535" s="74"/>
      <c r="AM1535" s="74"/>
      <c r="AY1535" s="74"/>
      <c r="BC1535" s="74"/>
      <c r="BG1535" s="74"/>
      <c r="BK1535" s="74"/>
      <c r="BO1535" s="74"/>
      <c r="BW1535" s="74"/>
      <c r="DF1535" s="21"/>
      <c r="DG1535" s="21"/>
      <c r="DH1535" s="21"/>
      <c r="DI1535" s="21"/>
    </row>
    <row r="1536" spans="2:113" s="123" customFormat="1">
      <c r="B1536" s="125"/>
      <c r="D1536" s="125"/>
      <c r="AA1536" s="74"/>
      <c r="AE1536" s="124"/>
      <c r="AI1536" s="74"/>
      <c r="AM1536" s="74"/>
      <c r="AY1536" s="74"/>
      <c r="BC1536" s="74"/>
      <c r="BG1536" s="74"/>
      <c r="BK1536" s="74"/>
      <c r="BO1536" s="74"/>
      <c r="BW1536" s="74"/>
      <c r="DF1536" s="21"/>
      <c r="DG1536" s="21"/>
      <c r="DH1536" s="21"/>
      <c r="DI1536" s="21"/>
    </row>
    <row r="1537" spans="2:113" s="123" customFormat="1">
      <c r="B1537" s="125"/>
      <c r="D1537" s="125"/>
      <c r="AA1537" s="74"/>
      <c r="AE1537" s="124"/>
      <c r="AI1537" s="74"/>
      <c r="AM1537" s="74"/>
      <c r="AY1537" s="74"/>
      <c r="BC1537" s="74"/>
      <c r="BG1537" s="74"/>
      <c r="BK1537" s="74"/>
      <c r="BO1537" s="74"/>
      <c r="BW1537" s="74"/>
      <c r="DF1537" s="21"/>
      <c r="DG1537" s="21"/>
      <c r="DH1537" s="21"/>
      <c r="DI1537" s="21"/>
    </row>
    <row r="1538" spans="2:113" s="123" customFormat="1">
      <c r="B1538" s="125"/>
      <c r="D1538" s="125"/>
      <c r="AA1538" s="74"/>
      <c r="AE1538" s="124"/>
      <c r="AI1538" s="74"/>
      <c r="AM1538" s="74"/>
      <c r="AY1538" s="74"/>
      <c r="BC1538" s="74"/>
      <c r="BG1538" s="74"/>
      <c r="BK1538" s="74"/>
      <c r="BO1538" s="74"/>
      <c r="BW1538" s="74"/>
      <c r="DF1538" s="21"/>
      <c r="DG1538" s="21"/>
      <c r="DH1538" s="21"/>
      <c r="DI1538" s="21"/>
    </row>
    <row r="1539" spans="2:113" s="123" customFormat="1">
      <c r="B1539" s="125"/>
      <c r="D1539" s="125"/>
      <c r="AA1539" s="74"/>
      <c r="AE1539" s="124"/>
      <c r="AI1539" s="74"/>
      <c r="AM1539" s="74"/>
      <c r="AY1539" s="74"/>
      <c r="BC1539" s="74"/>
      <c r="BG1539" s="74"/>
      <c r="BK1539" s="74"/>
      <c r="BO1539" s="74"/>
      <c r="BW1539" s="74"/>
      <c r="DF1539" s="21"/>
      <c r="DG1539" s="21"/>
      <c r="DH1539" s="21"/>
      <c r="DI1539" s="21"/>
    </row>
    <row r="1540" spans="2:113" s="123" customFormat="1">
      <c r="B1540" s="125"/>
      <c r="D1540" s="125"/>
      <c r="AA1540" s="74"/>
      <c r="AE1540" s="124"/>
      <c r="AI1540" s="74"/>
      <c r="AM1540" s="74"/>
      <c r="AY1540" s="74"/>
      <c r="BC1540" s="74"/>
      <c r="BG1540" s="74"/>
      <c r="BK1540" s="74"/>
      <c r="BO1540" s="74"/>
      <c r="BW1540" s="74"/>
      <c r="DF1540" s="21"/>
      <c r="DG1540" s="21"/>
      <c r="DH1540" s="21"/>
      <c r="DI1540" s="21"/>
    </row>
    <row r="1541" spans="2:113" s="123" customFormat="1">
      <c r="B1541" s="125"/>
      <c r="D1541" s="125"/>
      <c r="AA1541" s="74"/>
      <c r="AE1541" s="124"/>
      <c r="AI1541" s="74"/>
      <c r="AM1541" s="74"/>
      <c r="AY1541" s="74"/>
      <c r="BC1541" s="74"/>
      <c r="BG1541" s="74"/>
      <c r="BK1541" s="74"/>
      <c r="BO1541" s="74"/>
      <c r="BW1541" s="74"/>
      <c r="DF1541" s="21"/>
      <c r="DG1541" s="21"/>
      <c r="DH1541" s="21"/>
      <c r="DI1541" s="21"/>
    </row>
    <row r="1542" spans="2:113" s="123" customFormat="1">
      <c r="B1542" s="125"/>
      <c r="D1542" s="125"/>
      <c r="AA1542" s="74"/>
      <c r="AE1542" s="124"/>
      <c r="AI1542" s="74"/>
      <c r="AM1542" s="74"/>
      <c r="AY1542" s="74"/>
      <c r="BC1542" s="74"/>
      <c r="BG1542" s="74"/>
      <c r="BK1542" s="74"/>
      <c r="BO1542" s="74"/>
      <c r="BW1542" s="74"/>
      <c r="DF1542" s="21"/>
      <c r="DG1542" s="21"/>
      <c r="DH1542" s="21"/>
      <c r="DI1542" s="21"/>
    </row>
    <row r="1543" spans="2:113" s="123" customFormat="1">
      <c r="B1543" s="125"/>
      <c r="D1543" s="125"/>
      <c r="AA1543" s="74"/>
      <c r="AE1543" s="124"/>
      <c r="AI1543" s="74"/>
      <c r="AM1543" s="74"/>
      <c r="AY1543" s="74"/>
      <c r="BC1543" s="74"/>
      <c r="BG1543" s="74"/>
      <c r="BK1543" s="74"/>
      <c r="BO1543" s="74"/>
      <c r="BW1543" s="74"/>
      <c r="DF1543" s="21"/>
      <c r="DG1543" s="21"/>
      <c r="DH1543" s="21"/>
      <c r="DI1543" s="21"/>
    </row>
    <row r="1544" spans="2:113" s="123" customFormat="1">
      <c r="B1544" s="125"/>
      <c r="D1544" s="125"/>
      <c r="AA1544" s="74"/>
      <c r="AE1544" s="124"/>
      <c r="AI1544" s="74"/>
      <c r="AM1544" s="74"/>
      <c r="AY1544" s="74"/>
      <c r="BC1544" s="74"/>
      <c r="BG1544" s="74"/>
      <c r="BK1544" s="74"/>
      <c r="BO1544" s="74"/>
      <c r="BW1544" s="74"/>
      <c r="DF1544" s="21"/>
      <c r="DG1544" s="21"/>
      <c r="DH1544" s="21"/>
      <c r="DI1544" s="21"/>
    </row>
    <row r="1545" spans="2:113" s="123" customFormat="1">
      <c r="B1545" s="125"/>
      <c r="D1545" s="125"/>
      <c r="AA1545" s="74"/>
      <c r="AE1545" s="124"/>
      <c r="AI1545" s="74"/>
      <c r="AM1545" s="74"/>
      <c r="AY1545" s="74"/>
      <c r="BC1545" s="74"/>
      <c r="BG1545" s="74"/>
      <c r="BK1545" s="74"/>
      <c r="BO1545" s="74"/>
      <c r="BW1545" s="74"/>
      <c r="DF1545" s="21"/>
      <c r="DG1545" s="21"/>
      <c r="DH1545" s="21"/>
      <c r="DI1545" s="21"/>
    </row>
    <row r="1546" spans="2:113" s="123" customFormat="1">
      <c r="B1546" s="125"/>
      <c r="D1546" s="125"/>
      <c r="AA1546" s="74"/>
      <c r="AE1546" s="124"/>
      <c r="AI1546" s="74"/>
      <c r="AM1546" s="74"/>
      <c r="AY1546" s="74"/>
      <c r="BC1546" s="74"/>
      <c r="BG1546" s="74"/>
      <c r="BK1546" s="74"/>
      <c r="BO1546" s="74"/>
      <c r="BW1546" s="74"/>
      <c r="DF1546" s="21"/>
      <c r="DG1546" s="21"/>
      <c r="DH1546" s="21"/>
      <c r="DI1546" s="21"/>
    </row>
    <row r="1547" spans="2:113" s="123" customFormat="1">
      <c r="B1547" s="125"/>
      <c r="D1547" s="125"/>
      <c r="AA1547" s="74"/>
      <c r="AE1547" s="124"/>
      <c r="AI1547" s="74"/>
      <c r="AM1547" s="74"/>
      <c r="AY1547" s="74"/>
      <c r="BC1547" s="74"/>
      <c r="BG1547" s="74"/>
      <c r="BK1547" s="74"/>
      <c r="BO1547" s="74"/>
      <c r="BW1547" s="74"/>
      <c r="DF1547" s="21"/>
      <c r="DG1547" s="21"/>
      <c r="DH1547" s="21"/>
      <c r="DI1547" s="21"/>
    </row>
    <row r="1548" spans="2:113" s="123" customFormat="1">
      <c r="B1548" s="125"/>
      <c r="D1548" s="125"/>
      <c r="AA1548" s="74"/>
      <c r="AE1548" s="124"/>
      <c r="AI1548" s="74"/>
      <c r="AM1548" s="74"/>
      <c r="AY1548" s="74"/>
      <c r="BC1548" s="74"/>
      <c r="BG1548" s="74"/>
      <c r="BK1548" s="74"/>
      <c r="BO1548" s="74"/>
      <c r="BW1548" s="74"/>
      <c r="DF1548" s="21"/>
      <c r="DG1548" s="21"/>
      <c r="DH1548" s="21"/>
      <c r="DI1548" s="21"/>
    </row>
    <row r="1549" spans="2:113" s="123" customFormat="1">
      <c r="B1549" s="125"/>
      <c r="D1549" s="125"/>
      <c r="AA1549" s="74"/>
      <c r="AE1549" s="124"/>
      <c r="AI1549" s="74"/>
      <c r="AM1549" s="74"/>
      <c r="AY1549" s="74"/>
      <c r="BC1549" s="74"/>
      <c r="BG1549" s="74"/>
      <c r="BK1549" s="74"/>
      <c r="BO1549" s="74"/>
      <c r="BW1549" s="74"/>
      <c r="DF1549" s="21"/>
      <c r="DG1549" s="21"/>
      <c r="DH1549" s="21"/>
      <c r="DI1549" s="21"/>
    </row>
    <row r="1550" spans="2:113" s="123" customFormat="1">
      <c r="B1550" s="125"/>
      <c r="D1550" s="125"/>
      <c r="AA1550" s="74"/>
      <c r="AE1550" s="124"/>
      <c r="AI1550" s="74"/>
      <c r="AM1550" s="74"/>
      <c r="AY1550" s="74"/>
      <c r="BC1550" s="74"/>
      <c r="BG1550" s="74"/>
      <c r="BK1550" s="74"/>
      <c r="BO1550" s="74"/>
      <c r="BW1550" s="74"/>
      <c r="DF1550" s="21"/>
      <c r="DG1550" s="21"/>
      <c r="DH1550" s="21"/>
      <c r="DI1550" s="21"/>
    </row>
    <row r="1551" spans="2:113" s="123" customFormat="1">
      <c r="B1551" s="125"/>
      <c r="D1551" s="125"/>
      <c r="AA1551" s="74"/>
      <c r="AE1551" s="124"/>
      <c r="AI1551" s="74"/>
      <c r="AM1551" s="74"/>
      <c r="AY1551" s="74"/>
      <c r="BC1551" s="74"/>
      <c r="BG1551" s="74"/>
      <c r="BK1551" s="74"/>
      <c r="BO1551" s="74"/>
      <c r="BW1551" s="74"/>
      <c r="DF1551" s="21"/>
      <c r="DG1551" s="21"/>
      <c r="DH1551" s="21"/>
      <c r="DI1551" s="21"/>
    </row>
    <row r="1552" spans="2:113" s="123" customFormat="1">
      <c r="B1552" s="125"/>
      <c r="D1552" s="125"/>
      <c r="AA1552" s="74"/>
      <c r="AE1552" s="124"/>
      <c r="AI1552" s="74"/>
      <c r="AM1552" s="74"/>
      <c r="AY1552" s="74"/>
      <c r="BC1552" s="74"/>
      <c r="BG1552" s="74"/>
      <c r="BK1552" s="74"/>
      <c r="BO1552" s="74"/>
      <c r="BW1552" s="74"/>
      <c r="DF1552" s="21"/>
      <c r="DG1552" s="21"/>
      <c r="DH1552" s="21"/>
      <c r="DI1552" s="21"/>
    </row>
    <row r="1553" spans="2:113" s="123" customFormat="1">
      <c r="B1553" s="125"/>
      <c r="D1553" s="125"/>
      <c r="AA1553" s="74"/>
      <c r="AE1553" s="124"/>
      <c r="AI1553" s="74"/>
      <c r="AM1553" s="74"/>
      <c r="AY1553" s="74"/>
      <c r="BC1553" s="74"/>
      <c r="BG1553" s="74"/>
      <c r="BK1553" s="74"/>
      <c r="BO1553" s="74"/>
      <c r="BW1553" s="74"/>
      <c r="DF1553" s="21"/>
      <c r="DG1553" s="21"/>
      <c r="DH1553" s="21"/>
      <c r="DI1553" s="21"/>
    </row>
    <row r="1554" spans="2:113" s="123" customFormat="1">
      <c r="B1554" s="125"/>
      <c r="D1554" s="125"/>
      <c r="AA1554" s="74"/>
      <c r="AE1554" s="124"/>
      <c r="AI1554" s="74"/>
      <c r="AM1554" s="74"/>
      <c r="AY1554" s="74"/>
      <c r="BC1554" s="74"/>
      <c r="BG1554" s="74"/>
      <c r="BK1554" s="74"/>
      <c r="BO1554" s="74"/>
      <c r="BW1554" s="74"/>
      <c r="DF1554" s="21"/>
      <c r="DG1554" s="21"/>
      <c r="DH1554" s="21"/>
      <c r="DI1554" s="21"/>
    </row>
    <row r="1555" spans="2:113" s="123" customFormat="1">
      <c r="B1555" s="125"/>
      <c r="D1555" s="125"/>
      <c r="AA1555" s="74"/>
      <c r="AE1555" s="124"/>
      <c r="AI1555" s="74"/>
      <c r="AM1555" s="74"/>
      <c r="AY1555" s="74"/>
      <c r="BC1555" s="74"/>
      <c r="BG1555" s="74"/>
      <c r="BK1555" s="74"/>
      <c r="BO1555" s="74"/>
      <c r="BW1555" s="74"/>
      <c r="DF1555" s="21"/>
      <c r="DG1555" s="21"/>
      <c r="DH1555" s="21"/>
      <c r="DI1555" s="21"/>
    </row>
    <row r="1556" spans="2:113" s="123" customFormat="1">
      <c r="B1556" s="125"/>
      <c r="D1556" s="125"/>
      <c r="AA1556" s="74"/>
      <c r="AE1556" s="124"/>
      <c r="AI1556" s="74"/>
      <c r="AM1556" s="74"/>
      <c r="AY1556" s="74"/>
      <c r="BC1556" s="74"/>
      <c r="BG1556" s="74"/>
      <c r="BK1556" s="74"/>
      <c r="BO1556" s="74"/>
      <c r="BW1556" s="74"/>
      <c r="DF1556" s="21"/>
      <c r="DG1556" s="21"/>
      <c r="DH1556" s="21"/>
      <c r="DI1556" s="21"/>
    </row>
    <row r="1557" spans="2:113" s="123" customFormat="1">
      <c r="B1557" s="125"/>
      <c r="D1557" s="125"/>
      <c r="AA1557" s="74"/>
      <c r="AE1557" s="124"/>
      <c r="AI1557" s="74"/>
      <c r="AM1557" s="74"/>
      <c r="AY1557" s="74"/>
      <c r="BC1557" s="74"/>
      <c r="BG1557" s="74"/>
      <c r="BK1557" s="74"/>
      <c r="BO1557" s="74"/>
      <c r="BW1557" s="74"/>
      <c r="DF1557" s="21"/>
      <c r="DG1557" s="21"/>
      <c r="DH1557" s="21"/>
      <c r="DI1557" s="21"/>
    </row>
    <row r="1558" spans="2:113" s="123" customFormat="1">
      <c r="B1558" s="125"/>
      <c r="D1558" s="125"/>
      <c r="AA1558" s="74"/>
      <c r="AE1558" s="124"/>
      <c r="AI1558" s="74"/>
      <c r="AM1558" s="74"/>
      <c r="AY1558" s="74"/>
      <c r="BC1558" s="74"/>
      <c r="BG1558" s="74"/>
      <c r="BK1558" s="74"/>
      <c r="BO1558" s="74"/>
      <c r="BW1558" s="74"/>
      <c r="DF1558" s="21"/>
      <c r="DG1558" s="21"/>
      <c r="DH1558" s="21"/>
      <c r="DI1558" s="21"/>
    </row>
    <row r="1559" spans="2:113" s="123" customFormat="1">
      <c r="B1559" s="125"/>
      <c r="D1559" s="125"/>
      <c r="AA1559" s="74"/>
      <c r="AE1559" s="124"/>
      <c r="AI1559" s="74"/>
      <c r="AM1559" s="74"/>
      <c r="AY1559" s="74"/>
      <c r="BC1559" s="74"/>
      <c r="BG1559" s="74"/>
      <c r="BK1559" s="74"/>
      <c r="BO1559" s="74"/>
      <c r="BW1559" s="74"/>
      <c r="DF1559" s="21"/>
      <c r="DG1559" s="21"/>
      <c r="DH1559" s="21"/>
      <c r="DI1559" s="21"/>
    </row>
    <row r="1560" spans="2:113" s="123" customFormat="1">
      <c r="B1560" s="125"/>
      <c r="D1560" s="125"/>
      <c r="AA1560" s="74"/>
      <c r="AE1560" s="124"/>
      <c r="AI1560" s="74"/>
      <c r="AM1560" s="74"/>
      <c r="AY1560" s="74"/>
      <c r="BC1560" s="74"/>
      <c r="BG1560" s="74"/>
      <c r="BK1560" s="74"/>
      <c r="BO1560" s="74"/>
      <c r="BW1560" s="74"/>
      <c r="DF1560" s="21"/>
      <c r="DG1560" s="21"/>
      <c r="DH1560" s="21"/>
      <c r="DI1560" s="21"/>
    </row>
    <row r="1561" spans="2:113" s="123" customFormat="1">
      <c r="B1561" s="125"/>
      <c r="D1561" s="125"/>
      <c r="AA1561" s="74"/>
      <c r="AE1561" s="124"/>
      <c r="AI1561" s="74"/>
      <c r="AM1561" s="74"/>
      <c r="AY1561" s="74"/>
      <c r="BC1561" s="74"/>
      <c r="BG1561" s="74"/>
      <c r="BK1561" s="74"/>
      <c r="BO1561" s="74"/>
      <c r="BW1561" s="74"/>
      <c r="DF1561" s="21"/>
      <c r="DG1561" s="21"/>
      <c r="DH1561" s="21"/>
      <c r="DI1561" s="21"/>
    </row>
    <row r="1562" spans="2:113" s="123" customFormat="1">
      <c r="B1562" s="125"/>
      <c r="D1562" s="125"/>
      <c r="AA1562" s="74"/>
      <c r="AE1562" s="124"/>
      <c r="AI1562" s="74"/>
      <c r="AM1562" s="74"/>
      <c r="AY1562" s="74"/>
      <c r="BC1562" s="74"/>
      <c r="BG1562" s="74"/>
      <c r="BK1562" s="74"/>
      <c r="BO1562" s="74"/>
      <c r="BW1562" s="74"/>
      <c r="DF1562" s="21"/>
      <c r="DG1562" s="21"/>
      <c r="DH1562" s="21"/>
      <c r="DI1562" s="21"/>
    </row>
    <row r="1563" spans="2:113" s="123" customFormat="1">
      <c r="B1563" s="125"/>
      <c r="D1563" s="125"/>
      <c r="AA1563" s="74"/>
      <c r="AE1563" s="124"/>
      <c r="AI1563" s="74"/>
      <c r="AM1563" s="74"/>
      <c r="AY1563" s="74"/>
      <c r="BC1563" s="74"/>
      <c r="BG1563" s="74"/>
      <c r="BK1563" s="74"/>
      <c r="BO1563" s="74"/>
      <c r="BW1563" s="74"/>
      <c r="DF1563" s="21"/>
      <c r="DG1563" s="21"/>
      <c r="DH1563" s="21"/>
      <c r="DI1563" s="21"/>
    </row>
    <row r="1564" spans="2:113" s="123" customFormat="1">
      <c r="B1564" s="125"/>
      <c r="D1564" s="125"/>
      <c r="AA1564" s="74"/>
      <c r="AE1564" s="124"/>
      <c r="AI1564" s="74"/>
      <c r="AM1564" s="74"/>
      <c r="AY1564" s="74"/>
      <c r="BC1564" s="74"/>
      <c r="BG1564" s="74"/>
      <c r="BK1564" s="74"/>
      <c r="BO1564" s="74"/>
      <c r="BW1564" s="74"/>
      <c r="DF1564" s="21"/>
      <c r="DG1564" s="21"/>
      <c r="DH1564" s="21"/>
      <c r="DI1564" s="21"/>
    </row>
    <row r="1565" spans="2:113" s="123" customFormat="1">
      <c r="B1565" s="125"/>
      <c r="D1565" s="125"/>
      <c r="AA1565" s="74"/>
      <c r="AE1565" s="124"/>
      <c r="AI1565" s="74"/>
      <c r="AM1565" s="74"/>
      <c r="AY1565" s="74"/>
      <c r="BC1565" s="74"/>
      <c r="BG1565" s="74"/>
      <c r="BK1565" s="74"/>
      <c r="BO1565" s="74"/>
      <c r="BW1565" s="74"/>
      <c r="DF1565" s="21"/>
      <c r="DG1565" s="21"/>
      <c r="DH1565" s="21"/>
      <c r="DI1565" s="21"/>
    </row>
    <row r="1566" spans="2:113" s="123" customFormat="1">
      <c r="B1566" s="125"/>
      <c r="D1566" s="125"/>
      <c r="AA1566" s="74"/>
      <c r="AE1566" s="124"/>
      <c r="AI1566" s="74"/>
      <c r="AM1566" s="74"/>
      <c r="AY1566" s="74"/>
      <c r="BC1566" s="74"/>
      <c r="BG1566" s="74"/>
      <c r="BK1566" s="74"/>
      <c r="BO1566" s="74"/>
      <c r="BW1566" s="74"/>
      <c r="DF1566" s="21"/>
      <c r="DG1566" s="21"/>
      <c r="DH1566" s="21"/>
      <c r="DI1566" s="21"/>
    </row>
    <row r="1567" spans="2:113" s="123" customFormat="1">
      <c r="B1567" s="125"/>
      <c r="D1567" s="125"/>
      <c r="AA1567" s="74"/>
      <c r="AE1567" s="124"/>
      <c r="AI1567" s="74"/>
      <c r="AM1567" s="74"/>
      <c r="AY1567" s="74"/>
      <c r="BC1567" s="74"/>
      <c r="BG1567" s="74"/>
      <c r="BK1567" s="74"/>
      <c r="BO1567" s="74"/>
      <c r="BW1567" s="74"/>
      <c r="DF1567" s="21"/>
      <c r="DG1567" s="21"/>
      <c r="DH1567" s="21"/>
      <c r="DI1567" s="21"/>
    </row>
    <row r="1568" spans="2:113" s="123" customFormat="1">
      <c r="B1568" s="125"/>
      <c r="D1568" s="125"/>
      <c r="AA1568" s="74"/>
      <c r="AE1568" s="124"/>
      <c r="AI1568" s="74"/>
      <c r="AM1568" s="74"/>
      <c r="AY1568" s="74"/>
      <c r="BC1568" s="74"/>
      <c r="BG1568" s="74"/>
      <c r="BK1568" s="74"/>
      <c r="BO1568" s="74"/>
      <c r="BW1568" s="74"/>
      <c r="DF1568" s="21"/>
      <c r="DG1568" s="21"/>
      <c r="DH1568" s="21"/>
      <c r="DI1568" s="21"/>
    </row>
    <row r="1569" spans="2:113" s="123" customFormat="1">
      <c r="B1569" s="125"/>
      <c r="D1569" s="125"/>
      <c r="AA1569" s="74"/>
      <c r="AE1569" s="124"/>
      <c r="AI1569" s="74"/>
      <c r="AM1569" s="74"/>
      <c r="AY1569" s="74"/>
      <c r="BC1569" s="74"/>
      <c r="BG1569" s="74"/>
      <c r="BK1569" s="74"/>
      <c r="BO1569" s="74"/>
      <c r="BW1569" s="74"/>
      <c r="DF1569" s="21"/>
      <c r="DG1569" s="21"/>
      <c r="DH1569" s="21"/>
      <c r="DI1569" s="21"/>
    </row>
    <row r="1570" spans="2:113" s="123" customFormat="1">
      <c r="B1570" s="125"/>
      <c r="D1570" s="125"/>
      <c r="AA1570" s="74"/>
      <c r="AE1570" s="124"/>
      <c r="AI1570" s="74"/>
      <c r="AM1570" s="74"/>
      <c r="AY1570" s="74"/>
      <c r="BC1570" s="74"/>
      <c r="BG1570" s="74"/>
      <c r="BK1570" s="74"/>
      <c r="BO1570" s="74"/>
      <c r="BW1570" s="74"/>
      <c r="DF1570" s="21"/>
      <c r="DG1570" s="21"/>
      <c r="DH1570" s="21"/>
      <c r="DI1570" s="21"/>
    </row>
    <row r="1571" spans="2:113" s="123" customFormat="1">
      <c r="B1571" s="125"/>
      <c r="D1571" s="125"/>
      <c r="AA1571" s="74"/>
      <c r="AE1571" s="124"/>
      <c r="AI1571" s="74"/>
      <c r="AM1571" s="74"/>
      <c r="AY1571" s="74"/>
      <c r="BC1571" s="74"/>
      <c r="BG1571" s="74"/>
      <c r="BK1571" s="74"/>
      <c r="BO1571" s="74"/>
      <c r="BW1571" s="74"/>
      <c r="DF1571" s="21"/>
      <c r="DG1571" s="21"/>
      <c r="DH1571" s="21"/>
      <c r="DI1571" s="21"/>
    </row>
    <row r="1572" spans="2:113" s="123" customFormat="1">
      <c r="B1572" s="125"/>
      <c r="D1572" s="125"/>
      <c r="AA1572" s="74"/>
      <c r="AE1572" s="124"/>
      <c r="AI1572" s="74"/>
      <c r="AM1572" s="74"/>
      <c r="AY1572" s="74"/>
      <c r="BC1572" s="74"/>
      <c r="BG1572" s="74"/>
      <c r="BK1572" s="74"/>
      <c r="BO1572" s="74"/>
      <c r="BW1572" s="74"/>
      <c r="DF1572" s="21"/>
      <c r="DG1572" s="21"/>
      <c r="DH1572" s="21"/>
      <c r="DI1572" s="21"/>
    </row>
    <row r="1573" spans="2:113" s="123" customFormat="1">
      <c r="B1573" s="125"/>
      <c r="D1573" s="125"/>
      <c r="AA1573" s="74"/>
      <c r="AE1573" s="124"/>
      <c r="AI1573" s="74"/>
      <c r="AM1573" s="74"/>
      <c r="AY1573" s="74"/>
      <c r="BC1573" s="74"/>
      <c r="BG1573" s="74"/>
      <c r="BK1573" s="74"/>
      <c r="BO1573" s="74"/>
      <c r="BW1573" s="74"/>
      <c r="DF1573" s="21"/>
      <c r="DG1573" s="21"/>
      <c r="DH1573" s="21"/>
      <c r="DI1573" s="21"/>
    </row>
    <row r="1574" spans="2:113" s="123" customFormat="1">
      <c r="B1574" s="125"/>
      <c r="D1574" s="125"/>
      <c r="AA1574" s="74"/>
      <c r="AE1574" s="124"/>
      <c r="AI1574" s="74"/>
      <c r="AM1574" s="74"/>
      <c r="AY1574" s="74"/>
      <c r="BC1574" s="74"/>
      <c r="BG1574" s="74"/>
      <c r="BK1574" s="74"/>
      <c r="BO1574" s="74"/>
      <c r="BW1574" s="74"/>
      <c r="DF1574" s="21"/>
      <c r="DG1574" s="21"/>
      <c r="DH1574" s="21"/>
      <c r="DI1574" s="21"/>
    </row>
    <row r="1575" spans="2:113" s="123" customFormat="1">
      <c r="B1575" s="125"/>
      <c r="D1575" s="125"/>
      <c r="AA1575" s="74"/>
      <c r="AE1575" s="124"/>
      <c r="AI1575" s="74"/>
      <c r="AM1575" s="74"/>
      <c r="AY1575" s="74"/>
      <c r="BC1575" s="74"/>
      <c r="BG1575" s="74"/>
      <c r="BK1575" s="74"/>
      <c r="BO1575" s="74"/>
      <c r="BW1575" s="74"/>
      <c r="DF1575" s="21"/>
      <c r="DG1575" s="21"/>
      <c r="DH1575" s="21"/>
      <c r="DI1575" s="21"/>
    </row>
    <row r="1576" spans="2:113" s="123" customFormat="1">
      <c r="B1576" s="125"/>
      <c r="D1576" s="125"/>
      <c r="AA1576" s="74"/>
      <c r="AE1576" s="124"/>
      <c r="AI1576" s="74"/>
      <c r="AM1576" s="74"/>
      <c r="AY1576" s="74"/>
      <c r="BC1576" s="74"/>
      <c r="BG1576" s="74"/>
      <c r="BK1576" s="74"/>
      <c r="BO1576" s="74"/>
      <c r="BW1576" s="74"/>
      <c r="DF1576" s="21"/>
      <c r="DG1576" s="21"/>
      <c r="DH1576" s="21"/>
      <c r="DI1576" s="21"/>
    </row>
    <row r="1577" spans="2:113" s="123" customFormat="1">
      <c r="B1577" s="125"/>
      <c r="D1577" s="125"/>
      <c r="AA1577" s="74"/>
      <c r="AE1577" s="124"/>
      <c r="AI1577" s="74"/>
      <c r="AM1577" s="74"/>
      <c r="AY1577" s="74"/>
      <c r="BC1577" s="74"/>
      <c r="BG1577" s="74"/>
      <c r="BK1577" s="74"/>
      <c r="BO1577" s="74"/>
      <c r="BW1577" s="74"/>
      <c r="DF1577" s="21"/>
      <c r="DG1577" s="21"/>
      <c r="DH1577" s="21"/>
      <c r="DI1577" s="21"/>
    </row>
    <row r="1578" spans="2:113" s="123" customFormat="1">
      <c r="B1578" s="125"/>
      <c r="D1578" s="125"/>
      <c r="AA1578" s="74"/>
      <c r="AE1578" s="124"/>
      <c r="AI1578" s="74"/>
      <c r="AM1578" s="74"/>
      <c r="AY1578" s="74"/>
      <c r="BC1578" s="74"/>
      <c r="BG1578" s="74"/>
      <c r="BK1578" s="74"/>
      <c r="BO1578" s="74"/>
      <c r="BW1578" s="74"/>
      <c r="DF1578" s="21"/>
      <c r="DG1578" s="21"/>
      <c r="DH1578" s="21"/>
      <c r="DI1578" s="21"/>
    </row>
    <row r="1579" spans="2:113" s="123" customFormat="1">
      <c r="B1579" s="125"/>
      <c r="D1579" s="125"/>
      <c r="AA1579" s="74"/>
      <c r="AE1579" s="124"/>
      <c r="AI1579" s="74"/>
      <c r="AM1579" s="74"/>
      <c r="AY1579" s="74"/>
      <c r="BC1579" s="74"/>
      <c r="BG1579" s="74"/>
      <c r="BK1579" s="74"/>
      <c r="BO1579" s="74"/>
      <c r="BW1579" s="74"/>
      <c r="DF1579" s="21"/>
      <c r="DG1579" s="21"/>
      <c r="DH1579" s="21"/>
      <c r="DI1579" s="21"/>
    </row>
    <row r="1580" spans="2:113" s="123" customFormat="1">
      <c r="B1580" s="125"/>
      <c r="D1580" s="125"/>
      <c r="AA1580" s="74"/>
      <c r="AE1580" s="124"/>
      <c r="AI1580" s="74"/>
      <c r="AM1580" s="74"/>
      <c r="AY1580" s="74"/>
      <c r="BC1580" s="74"/>
      <c r="BG1580" s="74"/>
      <c r="BK1580" s="74"/>
      <c r="BO1580" s="74"/>
      <c r="BW1580" s="74"/>
      <c r="DF1580" s="21"/>
      <c r="DG1580" s="21"/>
      <c r="DH1580" s="21"/>
      <c r="DI1580" s="21"/>
    </row>
    <row r="1581" spans="2:113" s="123" customFormat="1">
      <c r="B1581" s="125"/>
      <c r="D1581" s="125"/>
      <c r="AA1581" s="74"/>
      <c r="AE1581" s="124"/>
      <c r="AI1581" s="74"/>
      <c r="AM1581" s="74"/>
      <c r="AY1581" s="74"/>
      <c r="BC1581" s="74"/>
      <c r="BG1581" s="74"/>
      <c r="BK1581" s="74"/>
      <c r="BO1581" s="74"/>
      <c r="BW1581" s="74"/>
      <c r="DF1581" s="21"/>
      <c r="DG1581" s="21"/>
      <c r="DH1581" s="21"/>
      <c r="DI1581" s="21"/>
    </row>
    <row r="1582" spans="2:113" s="123" customFormat="1">
      <c r="B1582" s="125"/>
      <c r="D1582" s="125"/>
      <c r="AA1582" s="74"/>
      <c r="AE1582" s="124"/>
      <c r="AI1582" s="74"/>
      <c r="AM1582" s="74"/>
      <c r="AY1582" s="74"/>
      <c r="BC1582" s="74"/>
      <c r="BG1582" s="74"/>
      <c r="BK1582" s="74"/>
      <c r="BO1582" s="74"/>
      <c r="BW1582" s="74"/>
      <c r="DF1582" s="21"/>
      <c r="DG1582" s="21"/>
      <c r="DH1582" s="21"/>
      <c r="DI1582" s="21"/>
    </row>
    <row r="1583" spans="2:113" s="123" customFormat="1">
      <c r="B1583" s="125"/>
      <c r="D1583" s="125"/>
      <c r="AA1583" s="74"/>
      <c r="AE1583" s="124"/>
      <c r="AI1583" s="74"/>
      <c r="AM1583" s="74"/>
      <c r="AY1583" s="74"/>
      <c r="BC1583" s="74"/>
      <c r="BG1583" s="74"/>
      <c r="BK1583" s="74"/>
      <c r="BO1583" s="74"/>
      <c r="BW1583" s="74"/>
      <c r="DF1583" s="21"/>
      <c r="DG1583" s="21"/>
      <c r="DH1583" s="21"/>
      <c r="DI1583" s="21"/>
    </row>
    <row r="1584" spans="2:113" s="123" customFormat="1">
      <c r="B1584" s="125"/>
      <c r="D1584" s="125"/>
      <c r="AA1584" s="74"/>
      <c r="AE1584" s="124"/>
      <c r="AI1584" s="74"/>
      <c r="AM1584" s="74"/>
      <c r="AY1584" s="74"/>
      <c r="BC1584" s="74"/>
      <c r="BG1584" s="74"/>
      <c r="BK1584" s="74"/>
      <c r="BO1584" s="74"/>
      <c r="BW1584" s="74"/>
      <c r="DF1584" s="21"/>
      <c r="DG1584" s="21"/>
      <c r="DH1584" s="21"/>
      <c r="DI1584" s="21"/>
    </row>
    <row r="1585" spans="2:113" s="123" customFormat="1">
      <c r="B1585" s="125"/>
      <c r="D1585" s="125"/>
      <c r="AA1585" s="74"/>
      <c r="AE1585" s="124"/>
      <c r="AI1585" s="74"/>
      <c r="AM1585" s="74"/>
      <c r="AY1585" s="74"/>
      <c r="BC1585" s="74"/>
      <c r="BG1585" s="74"/>
      <c r="BK1585" s="74"/>
      <c r="BO1585" s="74"/>
      <c r="BW1585" s="74"/>
      <c r="DF1585" s="21"/>
      <c r="DG1585" s="21"/>
      <c r="DH1585" s="21"/>
      <c r="DI1585" s="21"/>
    </row>
    <row r="1586" spans="2:113" s="123" customFormat="1">
      <c r="B1586" s="125"/>
      <c r="D1586" s="125"/>
      <c r="AA1586" s="74"/>
      <c r="AE1586" s="124"/>
      <c r="AI1586" s="74"/>
      <c r="AM1586" s="74"/>
      <c r="AY1586" s="74"/>
      <c r="BC1586" s="74"/>
      <c r="BG1586" s="74"/>
      <c r="BK1586" s="74"/>
      <c r="BO1586" s="74"/>
      <c r="BW1586" s="74"/>
      <c r="DF1586" s="21"/>
      <c r="DG1586" s="21"/>
      <c r="DH1586" s="21"/>
      <c r="DI1586" s="21"/>
    </row>
    <row r="1587" spans="2:113" s="123" customFormat="1">
      <c r="B1587" s="125"/>
      <c r="D1587" s="125"/>
      <c r="AA1587" s="74"/>
      <c r="AE1587" s="124"/>
      <c r="AI1587" s="74"/>
      <c r="AM1587" s="74"/>
      <c r="AY1587" s="74"/>
      <c r="BC1587" s="74"/>
      <c r="BG1587" s="74"/>
      <c r="BK1587" s="74"/>
      <c r="BO1587" s="74"/>
      <c r="BW1587" s="74"/>
      <c r="DF1587" s="21"/>
      <c r="DG1587" s="21"/>
      <c r="DH1587" s="21"/>
      <c r="DI1587" s="21"/>
    </row>
    <row r="1588" spans="2:113" s="123" customFormat="1">
      <c r="B1588" s="125"/>
      <c r="D1588" s="125"/>
      <c r="AA1588" s="74"/>
      <c r="AE1588" s="124"/>
      <c r="AI1588" s="74"/>
      <c r="AM1588" s="74"/>
      <c r="AY1588" s="74"/>
      <c r="BC1588" s="74"/>
      <c r="BG1588" s="74"/>
      <c r="BK1588" s="74"/>
      <c r="BO1588" s="74"/>
      <c r="BW1588" s="74"/>
      <c r="DF1588" s="21"/>
      <c r="DG1588" s="21"/>
      <c r="DH1588" s="21"/>
      <c r="DI1588" s="21"/>
    </row>
    <row r="1589" spans="2:113" s="123" customFormat="1">
      <c r="B1589" s="125"/>
      <c r="D1589" s="125"/>
      <c r="AA1589" s="74"/>
      <c r="AE1589" s="124"/>
      <c r="AI1589" s="74"/>
      <c r="AM1589" s="74"/>
      <c r="AY1589" s="74"/>
      <c r="BC1589" s="74"/>
      <c r="BG1589" s="74"/>
      <c r="BK1589" s="74"/>
      <c r="BO1589" s="74"/>
      <c r="BW1589" s="74"/>
      <c r="DF1589" s="21"/>
      <c r="DG1589" s="21"/>
      <c r="DH1589" s="21"/>
      <c r="DI1589" s="21"/>
    </row>
    <row r="1590" spans="2:113" s="123" customFormat="1">
      <c r="B1590" s="125"/>
      <c r="D1590" s="125"/>
      <c r="AA1590" s="74"/>
      <c r="AE1590" s="124"/>
      <c r="AI1590" s="74"/>
      <c r="AM1590" s="74"/>
      <c r="AY1590" s="74"/>
      <c r="BC1590" s="74"/>
      <c r="BG1590" s="74"/>
      <c r="BK1590" s="74"/>
      <c r="BO1590" s="74"/>
      <c r="BW1590" s="74"/>
      <c r="DF1590" s="21"/>
      <c r="DG1590" s="21"/>
      <c r="DH1590" s="21"/>
      <c r="DI1590" s="21"/>
    </row>
    <row r="1591" spans="2:113" s="123" customFormat="1">
      <c r="B1591" s="125"/>
      <c r="D1591" s="125"/>
      <c r="AA1591" s="74"/>
      <c r="AE1591" s="124"/>
      <c r="AI1591" s="74"/>
      <c r="AM1591" s="74"/>
      <c r="AY1591" s="74"/>
      <c r="BC1591" s="74"/>
      <c r="BG1591" s="74"/>
      <c r="BK1591" s="74"/>
      <c r="BO1591" s="74"/>
      <c r="BW1591" s="74"/>
      <c r="DF1591" s="21"/>
      <c r="DG1591" s="21"/>
      <c r="DH1591" s="21"/>
      <c r="DI1591" s="21"/>
    </row>
    <row r="1592" spans="2:113" s="123" customFormat="1">
      <c r="B1592" s="125"/>
      <c r="D1592" s="125"/>
      <c r="AA1592" s="74"/>
      <c r="AE1592" s="124"/>
      <c r="AI1592" s="74"/>
      <c r="AM1592" s="74"/>
      <c r="AY1592" s="74"/>
      <c r="BC1592" s="74"/>
      <c r="BG1592" s="74"/>
      <c r="BK1592" s="74"/>
      <c r="BO1592" s="74"/>
      <c r="BW1592" s="74"/>
      <c r="DF1592" s="21"/>
      <c r="DG1592" s="21"/>
      <c r="DH1592" s="21"/>
      <c r="DI1592" s="21"/>
    </row>
    <row r="1593" spans="2:113" s="123" customFormat="1">
      <c r="B1593" s="125"/>
      <c r="D1593" s="125"/>
      <c r="AA1593" s="74"/>
      <c r="AE1593" s="124"/>
      <c r="AI1593" s="74"/>
      <c r="AM1593" s="74"/>
      <c r="AY1593" s="74"/>
      <c r="BC1593" s="74"/>
      <c r="BG1593" s="74"/>
      <c r="BK1593" s="74"/>
      <c r="BO1593" s="74"/>
      <c r="BW1593" s="74"/>
      <c r="DF1593" s="21"/>
      <c r="DG1593" s="21"/>
      <c r="DH1593" s="21"/>
      <c r="DI1593" s="21"/>
    </row>
    <row r="1594" spans="2:113" s="123" customFormat="1">
      <c r="B1594" s="125"/>
      <c r="D1594" s="125"/>
      <c r="AA1594" s="74"/>
      <c r="AE1594" s="124"/>
      <c r="AI1594" s="74"/>
      <c r="AM1594" s="74"/>
      <c r="AY1594" s="74"/>
      <c r="BC1594" s="74"/>
      <c r="BG1594" s="74"/>
      <c r="BK1594" s="74"/>
      <c r="BO1594" s="74"/>
      <c r="BW1594" s="74"/>
      <c r="DF1594" s="21"/>
      <c r="DG1594" s="21"/>
      <c r="DH1594" s="21"/>
      <c r="DI1594" s="21"/>
    </row>
    <row r="1595" spans="2:113" s="123" customFormat="1">
      <c r="B1595" s="125"/>
      <c r="D1595" s="125"/>
      <c r="AA1595" s="74"/>
      <c r="AE1595" s="124"/>
      <c r="AI1595" s="74"/>
      <c r="AM1595" s="74"/>
      <c r="AY1595" s="74"/>
      <c r="BC1595" s="74"/>
      <c r="BG1595" s="74"/>
      <c r="BK1595" s="74"/>
      <c r="BO1595" s="74"/>
      <c r="BW1595" s="74"/>
      <c r="DF1595" s="21"/>
      <c r="DG1595" s="21"/>
      <c r="DH1595" s="21"/>
      <c r="DI1595" s="21"/>
    </row>
    <row r="1596" spans="2:113" s="123" customFormat="1">
      <c r="B1596" s="125"/>
      <c r="D1596" s="125"/>
      <c r="AA1596" s="74"/>
      <c r="AE1596" s="124"/>
      <c r="AI1596" s="74"/>
      <c r="AM1596" s="74"/>
      <c r="AY1596" s="74"/>
      <c r="BC1596" s="74"/>
      <c r="BG1596" s="74"/>
      <c r="BK1596" s="74"/>
      <c r="BO1596" s="74"/>
      <c r="BW1596" s="74"/>
      <c r="DF1596" s="21"/>
      <c r="DG1596" s="21"/>
      <c r="DH1596" s="21"/>
      <c r="DI1596" s="21"/>
    </row>
    <row r="1597" spans="2:113" s="123" customFormat="1">
      <c r="B1597" s="125"/>
      <c r="D1597" s="125"/>
      <c r="AA1597" s="74"/>
      <c r="AE1597" s="124"/>
      <c r="AI1597" s="74"/>
      <c r="AM1597" s="74"/>
      <c r="AY1597" s="74"/>
      <c r="BC1597" s="74"/>
      <c r="BG1597" s="74"/>
      <c r="BK1597" s="74"/>
      <c r="BO1597" s="74"/>
      <c r="BW1597" s="74"/>
      <c r="DF1597" s="21"/>
      <c r="DG1597" s="21"/>
      <c r="DH1597" s="21"/>
      <c r="DI1597" s="21"/>
    </row>
    <row r="1598" spans="2:113" s="123" customFormat="1">
      <c r="B1598" s="125"/>
      <c r="D1598" s="125"/>
      <c r="AA1598" s="74"/>
      <c r="AE1598" s="124"/>
      <c r="AI1598" s="74"/>
      <c r="AM1598" s="74"/>
      <c r="AY1598" s="74"/>
      <c r="BC1598" s="74"/>
      <c r="BG1598" s="74"/>
      <c r="BK1598" s="74"/>
      <c r="BO1598" s="74"/>
      <c r="BW1598" s="74"/>
      <c r="DF1598" s="21"/>
      <c r="DG1598" s="21"/>
      <c r="DH1598" s="21"/>
      <c r="DI1598" s="21"/>
    </row>
    <row r="1599" spans="2:113" s="123" customFormat="1">
      <c r="B1599" s="125"/>
      <c r="D1599" s="125"/>
      <c r="AA1599" s="74"/>
      <c r="AE1599" s="124"/>
      <c r="AI1599" s="74"/>
      <c r="AM1599" s="74"/>
      <c r="AY1599" s="74"/>
      <c r="BC1599" s="74"/>
      <c r="BG1599" s="74"/>
      <c r="BK1599" s="74"/>
      <c r="BO1599" s="74"/>
      <c r="BW1599" s="74"/>
      <c r="DF1599" s="21"/>
      <c r="DG1599" s="21"/>
      <c r="DH1599" s="21"/>
      <c r="DI1599" s="21"/>
    </row>
    <row r="1600" spans="2:113" s="123" customFormat="1">
      <c r="B1600" s="125"/>
      <c r="D1600" s="125"/>
      <c r="AA1600" s="74"/>
      <c r="AE1600" s="124"/>
      <c r="AI1600" s="74"/>
      <c r="AM1600" s="74"/>
      <c r="AY1600" s="74"/>
      <c r="BC1600" s="74"/>
      <c r="BG1600" s="74"/>
      <c r="BK1600" s="74"/>
      <c r="BO1600" s="74"/>
      <c r="BW1600" s="74"/>
      <c r="DF1600" s="21"/>
      <c r="DG1600" s="21"/>
      <c r="DH1600" s="21"/>
      <c r="DI1600" s="21"/>
    </row>
    <row r="1601" spans="2:113" s="123" customFormat="1">
      <c r="B1601" s="125"/>
      <c r="D1601" s="125"/>
      <c r="AA1601" s="74"/>
      <c r="AE1601" s="124"/>
      <c r="AI1601" s="74"/>
      <c r="AM1601" s="74"/>
      <c r="AY1601" s="74"/>
      <c r="BC1601" s="74"/>
      <c r="BG1601" s="74"/>
      <c r="BK1601" s="74"/>
      <c r="BO1601" s="74"/>
      <c r="BW1601" s="74"/>
      <c r="DF1601" s="21"/>
      <c r="DG1601" s="21"/>
      <c r="DH1601" s="21"/>
      <c r="DI1601" s="21"/>
    </row>
    <row r="1602" spans="2:113" s="123" customFormat="1">
      <c r="B1602" s="125"/>
      <c r="D1602" s="125"/>
      <c r="AA1602" s="74"/>
      <c r="AE1602" s="124"/>
      <c r="AI1602" s="74"/>
      <c r="AM1602" s="74"/>
      <c r="AY1602" s="74"/>
      <c r="BC1602" s="74"/>
      <c r="BG1602" s="74"/>
      <c r="BK1602" s="74"/>
      <c r="BO1602" s="74"/>
      <c r="BW1602" s="74"/>
      <c r="DF1602" s="21"/>
      <c r="DG1602" s="21"/>
      <c r="DH1602" s="21"/>
      <c r="DI1602" s="21"/>
    </row>
    <row r="1603" spans="2:113" s="123" customFormat="1">
      <c r="B1603" s="125"/>
      <c r="D1603" s="125"/>
      <c r="AA1603" s="74"/>
      <c r="AE1603" s="124"/>
      <c r="AI1603" s="74"/>
      <c r="AM1603" s="74"/>
      <c r="AY1603" s="74"/>
      <c r="BC1603" s="74"/>
      <c r="BG1603" s="74"/>
      <c r="BK1603" s="74"/>
      <c r="BO1603" s="74"/>
      <c r="BW1603" s="74"/>
      <c r="DF1603" s="21"/>
      <c r="DG1603" s="21"/>
      <c r="DH1603" s="21"/>
      <c r="DI1603" s="21"/>
    </row>
    <row r="1604" spans="2:113" s="123" customFormat="1">
      <c r="B1604" s="125"/>
      <c r="D1604" s="125"/>
      <c r="AA1604" s="74"/>
      <c r="AE1604" s="124"/>
      <c r="AI1604" s="74"/>
      <c r="AM1604" s="74"/>
      <c r="AY1604" s="74"/>
      <c r="BC1604" s="74"/>
      <c r="BG1604" s="74"/>
      <c r="BK1604" s="74"/>
      <c r="BO1604" s="74"/>
      <c r="BW1604" s="74"/>
      <c r="DF1604" s="21"/>
      <c r="DG1604" s="21"/>
      <c r="DH1604" s="21"/>
      <c r="DI1604" s="21"/>
    </row>
    <row r="1605" spans="2:113" s="123" customFormat="1">
      <c r="B1605" s="125"/>
      <c r="D1605" s="125"/>
      <c r="AA1605" s="74"/>
      <c r="AE1605" s="124"/>
      <c r="AI1605" s="74"/>
      <c r="AM1605" s="74"/>
      <c r="AY1605" s="74"/>
      <c r="BC1605" s="74"/>
      <c r="BG1605" s="74"/>
      <c r="BK1605" s="74"/>
      <c r="BO1605" s="74"/>
      <c r="BW1605" s="74"/>
      <c r="DF1605" s="21"/>
      <c r="DG1605" s="21"/>
      <c r="DH1605" s="21"/>
      <c r="DI1605" s="21"/>
    </row>
    <row r="1606" spans="2:113" s="123" customFormat="1">
      <c r="B1606" s="125"/>
      <c r="D1606" s="125"/>
      <c r="AA1606" s="74"/>
      <c r="AE1606" s="124"/>
      <c r="AI1606" s="74"/>
      <c r="AM1606" s="74"/>
      <c r="AY1606" s="74"/>
      <c r="BC1606" s="74"/>
      <c r="BG1606" s="74"/>
      <c r="BK1606" s="74"/>
      <c r="BO1606" s="74"/>
      <c r="BW1606" s="74"/>
      <c r="DF1606" s="21"/>
      <c r="DG1606" s="21"/>
      <c r="DH1606" s="21"/>
      <c r="DI1606" s="21"/>
    </row>
    <row r="1607" spans="2:113" s="123" customFormat="1">
      <c r="B1607" s="125"/>
      <c r="D1607" s="125"/>
      <c r="AA1607" s="74"/>
      <c r="AE1607" s="124"/>
      <c r="AI1607" s="74"/>
      <c r="AM1607" s="74"/>
      <c r="AY1607" s="74"/>
      <c r="BC1607" s="74"/>
      <c r="BG1607" s="74"/>
      <c r="BK1607" s="74"/>
      <c r="BO1607" s="74"/>
      <c r="BW1607" s="74"/>
      <c r="DF1607" s="21"/>
      <c r="DG1607" s="21"/>
      <c r="DH1607" s="21"/>
      <c r="DI1607" s="21"/>
    </row>
    <row r="1608" spans="2:113" s="123" customFormat="1">
      <c r="B1608" s="125"/>
      <c r="D1608" s="125"/>
      <c r="AA1608" s="74"/>
      <c r="AE1608" s="124"/>
      <c r="AI1608" s="74"/>
      <c r="AM1608" s="74"/>
      <c r="AY1608" s="74"/>
      <c r="BC1608" s="74"/>
      <c r="BG1608" s="74"/>
      <c r="BK1608" s="74"/>
      <c r="BO1608" s="74"/>
      <c r="BW1608" s="74"/>
      <c r="DF1608" s="21"/>
      <c r="DG1608" s="21"/>
      <c r="DH1608" s="21"/>
      <c r="DI1608" s="21"/>
    </row>
    <row r="1609" spans="2:113" s="123" customFormat="1">
      <c r="B1609" s="125"/>
      <c r="D1609" s="125"/>
      <c r="AA1609" s="74"/>
      <c r="AE1609" s="124"/>
      <c r="AI1609" s="74"/>
      <c r="AM1609" s="74"/>
      <c r="AY1609" s="74"/>
      <c r="BC1609" s="74"/>
      <c r="BG1609" s="74"/>
      <c r="BK1609" s="74"/>
      <c r="BO1609" s="74"/>
      <c r="BW1609" s="74"/>
      <c r="DF1609" s="21"/>
      <c r="DG1609" s="21"/>
      <c r="DH1609" s="21"/>
      <c r="DI1609" s="21"/>
    </row>
    <row r="1610" spans="2:113" s="123" customFormat="1">
      <c r="B1610" s="125"/>
      <c r="D1610" s="125"/>
      <c r="AA1610" s="74"/>
      <c r="AE1610" s="124"/>
      <c r="AI1610" s="74"/>
      <c r="AM1610" s="74"/>
      <c r="AY1610" s="74"/>
      <c r="BC1610" s="74"/>
      <c r="BG1610" s="74"/>
      <c r="BK1610" s="74"/>
      <c r="BO1610" s="74"/>
      <c r="BW1610" s="74"/>
      <c r="DF1610" s="21"/>
      <c r="DG1610" s="21"/>
      <c r="DH1610" s="21"/>
      <c r="DI1610" s="21"/>
    </row>
    <row r="1611" spans="2:113" s="123" customFormat="1">
      <c r="B1611" s="125"/>
      <c r="D1611" s="125"/>
      <c r="AA1611" s="74"/>
      <c r="AE1611" s="124"/>
      <c r="AI1611" s="74"/>
      <c r="AM1611" s="74"/>
      <c r="AY1611" s="74"/>
      <c r="BC1611" s="74"/>
      <c r="BG1611" s="74"/>
      <c r="BK1611" s="74"/>
      <c r="BO1611" s="74"/>
      <c r="BW1611" s="74"/>
      <c r="DF1611" s="21"/>
      <c r="DG1611" s="21"/>
      <c r="DH1611" s="21"/>
      <c r="DI1611" s="21"/>
    </row>
    <row r="1612" spans="2:113" s="123" customFormat="1">
      <c r="B1612" s="125"/>
      <c r="D1612" s="125"/>
      <c r="AA1612" s="74"/>
      <c r="AE1612" s="124"/>
      <c r="AI1612" s="74"/>
      <c r="AM1612" s="74"/>
      <c r="AY1612" s="74"/>
      <c r="BC1612" s="74"/>
      <c r="BG1612" s="74"/>
      <c r="BK1612" s="74"/>
      <c r="BO1612" s="74"/>
      <c r="BW1612" s="74"/>
      <c r="DF1612" s="21"/>
      <c r="DG1612" s="21"/>
      <c r="DH1612" s="21"/>
      <c r="DI1612" s="21"/>
    </row>
    <row r="1613" spans="2:113" s="123" customFormat="1">
      <c r="B1613" s="125"/>
      <c r="D1613" s="125"/>
      <c r="AA1613" s="74"/>
      <c r="AE1613" s="124"/>
      <c r="AI1613" s="74"/>
      <c r="AM1613" s="74"/>
      <c r="AY1613" s="74"/>
      <c r="BC1613" s="74"/>
      <c r="BG1613" s="74"/>
      <c r="BK1613" s="74"/>
      <c r="BO1613" s="74"/>
      <c r="BW1613" s="74"/>
      <c r="DF1613" s="21"/>
      <c r="DG1613" s="21"/>
      <c r="DH1613" s="21"/>
      <c r="DI1613" s="21"/>
    </row>
    <row r="1614" spans="2:113" s="123" customFormat="1">
      <c r="B1614" s="125"/>
      <c r="D1614" s="125"/>
      <c r="AA1614" s="74"/>
      <c r="AE1614" s="124"/>
      <c r="AI1614" s="74"/>
      <c r="AM1614" s="74"/>
      <c r="AY1614" s="74"/>
      <c r="BC1614" s="74"/>
      <c r="BG1614" s="74"/>
      <c r="BK1614" s="74"/>
      <c r="BO1614" s="74"/>
      <c r="BW1614" s="74"/>
      <c r="DF1614" s="21"/>
      <c r="DG1614" s="21"/>
      <c r="DH1614" s="21"/>
      <c r="DI1614" s="21"/>
    </row>
    <row r="1615" spans="2:113" s="123" customFormat="1">
      <c r="B1615" s="125"/>
      <c r="D1615" s="125"/>
      <c r="AA1615" s="74"/>
      <c r="AE1615" s="124"/>
      <c r="AI1615" s="74"/>
      <c r="AM1615" s="74"/>
      <c r="AY1615" s="74"/>
      <c r="BC1615" s="74"/>
      <c r="BG1615" s="74"/>
      <c r="BK1615" s="74"/>
      <c r="BO1615" s="74"/>
      <c r="BW1615" s="74"/>
      <c r="DF1615" s="21"/>
      <c r="DG1615" s="21"/>
      <c r="DH1615" s="21"/>
      <c r="DI1615" s="21"/>
    </row>
    <row r="1616" spans="2:113" s="123" customFormat="1">
      <c r="B1616" s="125"/>
      <c r="D1616" s="125"/>
      <c r="AA1616" s="74"/>
      <c r="AE1616" s="124"/>
      <c r="AI1616" s="74"/>
      <c r="AM1616" s="74"/>
      <c r="AY1616" s="74"/>
      <c r="BC1616" s="74"/>
      <c r="BG1616" s="74"/>
      <c r="BK1616" s="74"/>
      <c r="BO1616" s="74"/>
      <c r="BW1616" s="74"/>
      <c r="DF1616" s="21"/>
      <c r="DG1616" s="21"/>
      <c r="DH1616" s="21"/>
      <c r="DI1616" s="21"/>
    </row>
    <row r="1617" spans="2:113" s="123" customFormat="1">
      <c r="B1617" s="125"/>
      <c r="D1617" s="125"/>
      <c r="AA1617" s="74"/>
      <c r="AE1617" s="124"/>
      <c r="AI1617" s="74"/>
      <c r="AM1617" s="74"/>
      <c r="AY1617" s="74"/>
      <c r="BC1617" s="74"/>
      <c r="BG1617" s="74"/>
      <c r="BK1617" s="74"/>
      <c r="BO1617" s="74"/>
      <c r="BW1617" s="74"/>
      <c r="DF1617" s="21"/>
      <c r="DG1617" s="21"/>
      <c r="DH1617" s="21"/>
      <c r="DI1617" s="21"/>
    </row>
    <row r="1618" spans="2:113" s="123" customFormat="1">
      <c r="B1618" s="125"/>
      <c r="D1618" s="125"/>
      <c r="AA1618" s="74"/>
      <c r="AE1618" s="124"/>
      <c r="AI1618" s="74"/>
      <c r="AM1618" s="74"/>
      <c r="AY1618" s="74"/>
      <c r="BC1618" s="74"/>
      <c r="BG1618" s="74"/>
      <c r="BK1618" s="74"/>
      <c r="BO1618" s="74"/>
      <c r="BW1618" s="74"/>
      <c r="DF1618" s="21"/>
      <c r="DG1618" s="21"/>
      <c r="DH1618" s="21"/>
      <c r="DI1618" s="21"/>
    </row>
    <row r="1619" spans="2:113" s="123" customFormat="1">
      <c r="B1619" s="125"/>
      <c r="D1619" s="125"/>
      <c r="AA1619" s="74"/>
      <c r="AE1619" s="124"/>
      <c r="AI1619" s="74"/>
      <c r="AM1619" s="74"/>
      <c r="AY1619" s="74"/>
      <c r="BC1619" s="74"/>
      <c r="BG1619" s="74"/>
      <c r="BK1619" s="74"/>
      <c r="BO1619" s="74"/>
      <c r="BW1619" s="74"/>
      <c r="DF1619" s="21"/>
      <c r="DG1619" s="21"/>
      <c r="DH1619" s="21"/>
      <c r="DI1619" s="21"/>
    </row>
    <row r="1620" spans="2:113" s="123" customFormat="1">
      <c r="B1620" s="125"/>
      <c r="D1620" s="125"/>
      <c r="AA1620" s="74"/>
      <c r="AE1620" s="124"/>
      <c r="AI1620" s="74"/>
      <c r="AM1620" s="74"/>
      <c r="AY1620" s="74"/>
      <c r="BC1620" s="74"/>
      <c r="BG1620" s="74"/>
      <c r="BK1620" s="74"/>
      <c r="BO1620" s="74"/>
      <c r="BW1620" s="74"/>
      <c r="DF1620" s="21"/>
      <c r="DG1620" s="21"/>
      <c r="DH1620" s="21"/>
      <c r="DI1620" s="21"/>
    </row>
    <row r="1621" spans="2:113" s="123" customFormat="1">
      <c r="B1621" s="125"/>
      <c r="D1621" s="125"/>
      <c r="AA1621" s="74"/>
      <c r="AE1621" s="124"/>
      <c r="AI1621" s="74"/>
      <c r="AM1621" s="74"/>
      <c r="AY1621" s="74"/>
      <c r="BC1621" s="74"/>
      <c r="BG1621" s="74"/>
      <c r="BK1621" s="74"/>
      <c r="BO1621" s="74"/>
      <c r="BW1621" s="74"/>
      <c r="DF1621" s="21"/>
      <c r="DG1621" s="21"/>
      <c r="DH1621" s="21"/>
      <c r="DI1621" s="21"/>
    </row>
    <row r="1622" spans="2:113" s="123" customFormat="1">
      <c r="B1622" s="125"/>
      <c r="D1622" s="125"/>
      <c r="AA1622" s="74"/>
      <c r="AE1622" s="124"/>
      <c r="AI1622" s="74"/>
      <c r="AM1622" s="74"/>
      <c r="AY1622" s="74"/>
      <c r="BC1622" s="74"/>
      <c r="BG1622" s="74"/>
      <c r="BK1622" s="74"/>
      <c r="BO1622" s="74"/>
      <c r="BW1622" s="74"/>
      <c r="DF1622" s="21"/>
      <c r="DG1622" s="21"/>
      <c r="DH1622" s="21"/>
      <c r="DI1622" s="21"/>
    </row>
    <row r="1623" spans="2:113" s="123" customFormat="1">
      <c r="B1623" s="125"/>
      <c r="D1623" s="125"/>
      <c r="AA1623" s="74"/>
      <c r="AE1623" s="124"/>
      <c r="AI1623" s="74"/>
      <c r="AM1623" s="74"/>
      <c r="AY1623" s="74"/>
      <c r="BC1623" s="74"/>
      <c r="BG1623" s="74"/>
      <c r="BK1623" s="74"/>
      <c r="BO1623" s="74"/>
      <c r="BW1623" s="74"/>
      <c r="DF1623" s="21"/>
      <c r="DG1623" s="21"/>
      <c r="DH1623" s="21"/>
      <c r="DI1623" s="21"/>
    </row>
    <row r="1624" spans="2:113" s="123" customFormat="1">
      <c r="B1624" s="125"/>
      <c r="D1624" s="125"/>
      <c r="AA1624" s="74"/>
      <c r="AE1624" s="124"/>
      <c r="AI1624" s="74"/>
      <c r="AM1624" s="74"/>
      <c r="AY1624" s="74"/>
      <c r="BC1624" s="74"/>
      <c r="BG1624" s="74"/>
      <c r="BK1624" s="74"/>
      <c r="BO1624" s="74"/>
      <c r="BW1624" s="74"/>
      <c r="DF1624" s="21"/>
      <c r="DG1624" s="21"/>
      <c r="DH1624" s="21"/>
      <c r="DI1624" s="21"/>
    </row>
    <row r="1625" spans="2:113" s="123" customFormat="1">
      <c r="B1625" s="125"/>
      <c r="D1625" s="125"/>
      <c r="AA1625" s="74"/>
      <c r="AE1625" s="124"/>
      <c r="AI1625" s="74"/>
      <c r="AM1625" s="74"/>
      <c r="AY1625" s="74"/>
      <c r="BC1625" s="74"/>
      <c r="BG1625" s="74"/>
      <c r="BK1625" s="74"/>
      <c r="BO1625" s="74"/>
      <c r="BW1625" s="74"/>
      <c r="DF1625" s="21"/>
      <c r="DG1625" s="21"/>
      <c r="DH1625" s="21"/>
      <c r="DI1625" s="21"/>
    </row>
    <row r="1626" spans="2:113" s="123" customFormat="1">
      <c r="B1626" s="125"/>
      <c r="D1626" s="125"/>
      <c r="I1626" s="83"/>
      <c r="J1626" s="83"/>
      <c r="K1626" s="83"/>
      <c r="L1626" s="83"/>
      <c r="M1626" s="83"/>
      <c r="N1626" s="83"/>
      <c r="O1626" s="83"/>
      <c r="P1626" s="83"/>
      <c r="Q1626" s="83"/>
      <c r="R1626" s="83"/>
      <c r="S1626" s="83"/>
      <c r="T1626" s="83"/>
      <c r="U1626" s="83"/>
      <c r="V1626" s="83"/>
      <c r="W1626" s="83"/>
      <c r="X1626" s="83"/>
      <c r="Y1626" s="83"/>
      <c r="Z1626" s="83"/>
      <c r="AA1626" s="60"/>
      <c r="AB1626" s="83"/>
      <c r="AC1626" s="83"/>
      <c r="AD1626" s="83"/>
      <c r="AE1626" s="84"/>
      <c r="AF1626" s="83"/>
      <c r="AG1626" s="83"/>
      <c r="AH1626" s="83"/>
      <c r="AI1626" s="60"/>
      <c r="AJ1626" s="83"/>
      <c r="AK1626" s="83"/>
      <c r="AL1626" s="83"/>
      <c r="AM1626" s="60"/>
      <c r="AN1626" s="83"/>
      <c r="AO1626" s="83"/>
      <c r="AP1626" s="83"/>
      <c r="AQ1626" s="83"/>
      <c r="AR1626" s="83"/>
      <c r="AS1626" s="83"/>
      <c r="AT1626" s="83"/>
      <c r="AU1626" s="83"/>
      <c r="AV1626" s="83"/>
      <c r="AW1626" s="83"/>
      <c r="AX1626" s="83"/>
      <c r="AY1626" s="60"/>
      <c r="AZ1626" s="83"/>
      <c r="BA1626" s="83"/>
      <c r="BB1626" s="83"/>
      <c r="BC1626" s="60"/>
      <c r="BD1626" s="83"/>
      <c r="BE1626" s="83"/>
      <c r="BF1626" s="83"/>
      <c r="BG1626" s="60"/>
      <c r="BH1626" s="83"/>
      <c r="BI1626" s="83"/>
      <c r="BJ1626" s="83"/>
      <c r="BK1626" s="60"/>
      <c r="BL1626" s="83"/>
      <c r="BM1626" s="83"/>
      <c r="BN1626" s="83"/>
      <c r="BO1626" s="60"/>
      <c r="BP1626" s="83"/>
      <c r="BQ1626" s="83"/>
      <c r="BR1626" s="83"/>
      <c r="BS1626" s="83"/>
      <c r="BT1626" s="83"/>
      <c r="BU1626" s="83"/>
      <c r="BV1626" s="83"/>
      <c r="BW1626" s="60"/>
      <c r="BX1626" s="83"/>
      <c r="BY1626" s="83"/>
      <c r="BZ1626" s="83"/>
      <c r="CA1626" s="83"/>
      <c r="CB1626" s="83"/>
      <c r="CC1626" s="83"/>
      <c r="CD1626" s="83"/>
      <c r="CE1626" s="83"/>
      <c r="CF1626" s="83"/>
      <c r="CG1626" s="83"/>
      <c r="DF1626" s="21"/>
      <c r="DG1626" s="21"/>
      <c r="DH1626" s="21"/>
      <c r="DI1626" s="21"/>
    </row>
    <row r="1627" spans="2:113" s="123" customFormat="1">
      <c r="B1627" s="125"/>
      <c r="D1627" s="125"/>
      <c r="I1627" s="83"/>
      <c r="J1627" s="83"/>
      <c r="K1627" s="83"/>
      <c r="L1627" s="83"/>
      <c r="M1627" s="83"/>
      <c r="N1627" s="83"/>
      <c r="O1627" s="83"/>
      <c r="P1627" s="83"/>
      <c r="Q1627" s="83"/>
      <c r="R1627" s="83"/>
      <c r="S1627" s="83"/>
      <c r="T1627" s="83"/>
      <c r="U1627" s="83"/>
      <c r="V1627" s="83"/>
      <c r="W1627" s="83"/>
      <c r="X1627" s="83"/>
      <c r="Y1627" s="83"/>
      <c r="Z1627" s="83"/>
      <c r="AA1627" s="60"/>
      <c r="AB1627" s="83"/>
      <c r="AC1627" s="83"/>
      <c r="AD1627" s="83"/>
      <c r="AE1627" s="84"/>
      <c r="AF1627" s="83"/>
      <c r="AG1627" s="83"/>
      <c r="AH1627" s="83"/>
      <c r="AI1627" s="60"/>
      <c r="AJ1627" s="83"/>
      <c r="AK1627" s="83"/>
      <c r="AL1627" s="83"/>
      <c r="AM1627" s="60"/>
      <c r="AN1627" s="83"/>
      <c r="AO1627" s="83"/>
      <c r="AP1627" s="83"/>
      <c r="AQ1627" s="83"/>
      <c r="AR1627" s="83"/>
      <c r="AS1627" s="83"/>
      <c r="AT1627" s="83"/>
      <c r="AU1627" s="83"/>
      <c r="AV1627" s="83"/>
      <c r="AW1627" s="83"/>
      <c r="AX1627" s="83"/>
      <c r="AY1627" s="60"/>
      <c r="AZ1627" s="83"/>
      <c r="BA1627" s="83"/>
      <c r="BB1627" s="83"/>
      <c r="BC1627" s="60"/>
      <c r="BD1627" s="83"/>
      <c r="BE1627" s="83"/>
      <c r="BF1627" s="83"/>
      <c r="BG1627" s="60"/>
      <c r="BH1627" s="83"/>
      <c r="BI1627" s="83"/>
      <c r="BJ1627" s="83"/>
      <c r="BK1627" s="60"/>
      <c r="BL1627" s="83"/>
      <c r="BM1627" s="83"/>
      <c r="BN1627" s="83"/>
      <c r="BO1627" s="60"/>
      <c r="BP1627" s="83"/>
      <c r="BQ1627" s="83"/>
      <c r="BR1627" s="83"/>
      <c r="BS1627" s="83"/>
      <c r="BT1627" s="83"/>
      <c r="BU1627" s="83"/>
      <c r="BV1627" s="83"/>
      <c r="BW1627" s="60"/>
      <c r="BX1627" s="83"/>
      <c r="BY1627" s="83"/>
      <c r="BZ1627" s="83"/>
      <c r="CA1627" s="83"/>
      <c r="CB1627" s="83"/>
      <c r="CC1627" s="83"/>
      <c r="CD1627" s="83"/>
      <c r="CE1627" s="83"/>
      <c r="CF1627" s="83"/>
      <c r="CG1627" s="83"/>
      <c r="DF1627" s="21"/>
      <c r="DG1627" s="21"/>
      <c r="DH1627" s="21"/>
      <c r="DI1627" s="21"/>
    </row>
    <row r="1628" spans="2:113" s="123" customFormat="1">
      <c r="B1628" s="125"/>
      <c r="D1628" s="125"/>
      <c r="I1628" s="83"/>
      <c r="J1628" s="83"/>
      <c r="K1628" s="83"/>
      <c r="L1628" s="83"/>
      <c r="M1628" s="83"/>
      <c r="N1628" s="83"/>
      <c r="O1628" s="83"/>
      <c r="P1628" s="83"/>
      <c r="Q1628" s="83"/>
      <c r="R1628" s="83"/>
      <c r="S1628" s="83"/>
      <c r="T1628" s="83"/>
      <c r="U1628" s="83"/>
      <c r="V1628" s="83"/>
      <c r="W1628" s="83"/>
      <c r="X1628" s="83"/>
      <c r="Y1628" s="83"/>
      <c r="Z1628" s="83"/>
      <c r="AA1628" s="60"/>
      <c r="AB1628" s="83"/>
      <c r="AC1628" s="83"/>
      <c r="AD1628" s="83"/>
      <c r="AE1628" s="84"/>
      <c r="AF1628" s="83"/>
      <c r="AG1628" s="83"/>
      <c r="AH1628" s="83"/>
      <c r="AI1628" s="60"/>
      <c r="AJ1628" s="83"/>
      <c r="AK1628" s="83"/>
      <c r="AL1628" s="83"/>
      <c r="AM1628" s="60"/>
      <c r="AN1628" s="83"/>
      <c r="AO1628" s="83"/>
      <c r="AP1628" s="83"/>
      <c r="AQ1628" s="83"/>
      <c r="AR1628" s="83"/>
      <c r="AS1628" s="83"/>
      <c r="AT1628" s="83"/>
      <c r="AU1628" s="83"/>
      <c r="AV1628" s="83"/>
      <c r="AW1628" s="83"/>
      <c r="AX1628" s="83"/>
      <c r="AY1628" s="60"/>
      <c r="AZ1628" s="83"/>
      <c r="BA1628" s="83"/>
      <c r="BB1628" s="83"/>
      <c r="BC1628" s="60"/>
      <c r="BD1628" s="83"/>
      <c r="BE1628" s="83"/>
      <c r="BF1628" s="83"/>
      <c r="BG1628" s="60"/>
      <c r="BH1628" s="83"/>
      <c r="BI1628" s="83"/>
      <c r="BJ1628" s="83"/>
      <c r="BK1628" s="60"/>
      <c r="BL1628" s="83"/>
      <c r="BM1628" s="83"/>
      <c r="BN1628" s="83"/>
      <c r="BO1628" s="60"/>
      <c r="BP1628" s="83"/>
      <c r="BQ1628" s="83"/>
      <c r="BR1628" s="83"/>
      <c r="BS1628" s="83"/>
      <c r="BT1628" s="83"/>
      <c r="BU1628" s="83"/>
      <c r="BV1628" s="83"/>
      <c r="BW1628" s="60"/>
      <c r="BX1628" s="83"/>
      <c r="BY1628" s="83"/>
      <c r="BZ1628" s="83"/>
      <c r="CA1628" s="83"/>
      <c r="CB1628" s="83"/>
      <c r="CC1628" s="83"/>
      <c r="CD1628" s="83"/>
      <c r="CE1628" s="83"/>
      <c r="CF1628" s="83"/>
      <c r="CG1628" s="83"/>
      <c r="DF1628" s="21"/>
      <c r="DG1628" s="21"/>
      <c r="DH1628" s="21"/>
      <c r="DI1628" s="21"/>
    </row>
    <row r="1629" spans="2:113" s="123" customFormat="1">
      <c r="B1629" s="125"/>
      <c r="D1629" s="125"/>
      <c r="I1629" s="83"/>
      <c r="J1629" s="83"/>
      <c r="K1629" s="83"/>
      <c r="L1629" s="83"/>
      <c r="M1629" s="83"/>
      <c r="N1629" s="83"/>
      <c r="O1629" s="83"/>
      <c r="P1629" s="83"/>
      <c r="Q1629" s="83"/>
      <c r="R1629" s="83"/>
      <c r="S1629" s="83"/>
      <c r="T1629" s="83"/>
      <c r="U1629" s="83"/>
      <c r="V1629" s="83"/>
      <c r="W1629" s="83"/>
      <c r="X1629" s="83"/>
      <c r="Y1629" s="83"/>
      <c r="Z1629" s="83"/>
      <c r="AA1629" s="60"/>
      <c r="AB1629" s="83"/>
      <c r="AC1629" s="83"/>
      <c r="AD1629" s="83"/>
      <c r="AE1629" s="84"/>
      <c r="AF1629" s="83"/>
      <c r="AG1629" s="83"/>
      <c r="AH1629" s="83"/>
      <c r="AI1629" s="60"/>
      <c r="AJ1629" s="83"/>
      <c r="AK1629" s="83"/>
      <c r="AL1629" s="83"/>
      <c r="AM1629" s="60"/>
      <c r="AN1629" s="83"/>
      <c r="AO1629" s="83"/>
      <c r="AP1629" s="83"/>
      <c r="AQ1629" s="83"/>
      <c r="AR1629" s="83"/>
      <c r="AS1629" s="83"/>
      <c r="AT1629" s="83"/>
      <c r="AU1629" s="83"/>
      <c r="AV1629" s="83"/>
      <c r="AW1629" s="83"/>
      <c r="AX1629" s="83"/>
      <c r="AY1629" s="60"/>
      <c r="AZ1629" s="83"/>
      <c r="BA1629" s="83"/>
      <c r="BB1629" s="83"/>
      <c r="BC1629" s="60"/>
      <c r="BD1629" s="83"/>
      <c r="BE1629" s="83"/>
      <c r="BF1629" s="83"/>
      <c r="BG1629" s="60"/>
      <c r="BH1629" s="83"/>
      <c r="BI1629" s="83"/>
      <c r="BJ1629" s="83"/>
      <c r="BK1629" s="60"/>
      <c r="BL1629" s="83"/>
      <c r="BM1629" s="83"/>
      <c r="BN1629" s="83"/>
      <c r="BO1629" s="60"/>
      <c r="BP1629" s="83"/>
      <c r="BQ1629" s="83"/>
      <c r="BR1629" s="83"/>
      <c r="BS1629" s="83"/>
      <c r="BT1629" s="83"/>
      <c r="BU1629" s="83"/>
      <c r="BV1629" s="83"/>
      <c r="BW1629" s="60"/>
      <c r="BX1629" s="83"/>
      <c r="BY1629" s="83"/>
      <c r="BZ1629" s="83"/>
      <c r="CA1629" s="83"/>
      <c r="CB1629" s="83"/>
      <c r="CC1629" s="83"/>
      <c r="CD1629" s="83"/>
      <c r="CE1629" s="83"/>
      <c r="CF1629" s="83"/>
      <c r="CG1629" s="83"/>
      <c r="DF1629" s="21"/>
      <c r="DG1629" s="21"/>
      <c r="DH1629" s="21"/>
      <c r="DI1629" s="21"/>
    </row>
    <row r="1630" spans="2:113" s="123" customFormat="1">
      <c r="B1630" s="125"/>
      <c r="D1630" s="125"/>
      <c r="I1630" s="83"/>
      <c r="J1630" s="83"/>
      <c r="K1630" s="83"/>
      <c r="L1630" s="83"/>
      <c r="M1630" s="83"/>
      <c r="N1630" s="83"/>
      <c r="O1630" s="83"/>
      <c r="P1630" s="83"/>
      <c r="Q1630" s="83"/>
      <c r="R1630" s="83"/>
      <c r="S1630" s="83"/>
      <c r="T1630" s="83"/>
      <c r="U1630" s="83"/>
      <c r="V1630" s="83"/>
      <c r="W1630" s="83"/>
      <c r="X1630" s="83"/>
      <c r="Y1630" s="83"/>
      <c r="Z1630" s="83"/>
      <c r="AA1630" s="60"/>
      <c r="AB1630" s="83"/>
      <c r="AC1630" s="83"/>
      <c r="AD1630" s="83"/>
      <c r="AE1630" s="84"/>
      <c r="AF1630" s="83"/>
      <c r="AG1630" s="83"/>
      <c r="AH1630" s="83"/>
      <c r="AI1630" s="60"/>
      <c r="AJ1630" s="83"/>
      <c r="AK1630" s="83"/>
      <c r="AL1630" s="83"/>
      <c r="AM1630" s="60"/>
      <c r="AN1630" s="83"/>
      <c r="AO1630" s="83"/>
      <c r="AP1630" s="83"/>
      <c r="AQ1630" s="83"/>
      <c r="AR1630" s="83"/>
      <c r="AS1630" s="83"/>
      <c r="AT1630" s="83"/>
      <c r="AU1630" s="83"/>
      <c r="AV1630" s="83"/>
      <c r="AW1630" s="83"/>
      <c r="AX1630" s="83"/>
      <c r="AY1630" s="60"/>
      <c r="AZ1630" s="83"/>
      <c r="BA1630" s="83"/>
      <c r="BB1630" s="83"/>
      <c r="BC1630" s="60"/>
      <c r="BD1630" s="83"/>
      <c r="BE1630" s="83"/>
      <c r="BF1630" s="83"/>
      <c r="BG1630" s="60"/>
      <c r="BH1630" s="83"/>
      <c r="BI1630" s="83"/>
      <c r="BJ1630" s="83"/>
      <c r="BK1630" s="60"/>
      <c r="BL1630" s="83"/>
      <c r="BM1630" s="83"/>
      <c r="BN1630" s="83"/>
      <c r="BO1630" s="60"/>
      <c r="BP1630" s="83"/>
      <c r="BQ1630" s="83"/>
      <c r="BR1630" s="83"/>
      <c r="BS1630" s="83"/>
      <c r="BT1630" s="83"/>
      <c r="BU1630" s="83"/>
      <c r="BV1630" s="83"/>
      <c r="BW1630" s="60"/>
      <c r="BX1630" s="83"/>
      <c r="BY1630" s="83"/>
      <c r="BZ1630" s="83"/>
      <c r="CA1630" s="83"/>
      <c r="CB1630" s="83"/>
      <c r="CC1630" s="83"/>
      <c r="CD1630" s="83"/>
      <c r="CE1630" s="83"/>
      <c r="CF1630" s="83"/>
      <c r="CG1630" s="83"/>
      <c r="DF1630" s="21"/>
      <c r="DG1630" s="21"/>
      <c r="DH1630" s="21"/>
      <c r="DI1630" s="21"/>
    </row>
    <row r="1631" spans="2:113" s="123" customFormat="1">
      <c r="B1631" s="125"/>
      <c r="D1631" s="125"/>
      <c r="I1631" s="83"/>
      <c r="J1631" s="83"/>
      <c r="K1631" s="83"/>
      <c r="L1631" s="83"/>
      <c r="M1631" s="83"/>
      <c r="N1631" s="83"/>
      <c r="O1631" s="83"/>
      <c r="P1631" s="83"/>
      <c r="Q1631" s="83"/>
      <c r="R1631" s="83"/>
      <c r="S1631" s="83"/>
      <c r="T1631" s="83"/>
      <c r="U1631" s="83"/>
      <c r="V1631" s="83"/>
      <c r="W1631" s="83"/>
      <c r="X1631" s="83"/>
      <c r="Y1631" s="83"/>
      <c r="Z1631" s="83"/>
      <c r="AA1631" s="60"/>
      <c r="AB1631" s="83"/>
      <c r="AC1631" s="83"/>
      <c r="AD1631" s="83"/>
      <c r="AE1631" s="84"/>
      <c r="AF1631" s="83"/>
      <c r="AG1631" s="83"/>
      <c r="AH1631" s="83"/>
      <c r="AI1631" s="60"/>
      <c r="AJ1631" s="83"/>
      <c r="AK1631" s="83"/>
      <c r="AL1631" s="83"/>
      <c r="AM1631" s="60"/>
      <c r="AN1631" s="83"/>
      <c r="AO1631" s="83"/>
      <c r="AP1631" s="83"/>
      <c r="AQ1631" s="83"/>
      <c r="AR1631" s="83"/>
      <c r="AS1631" s="83"/>
      <c r="AT1631" s="83"/>
      <c r="AU1631" s="83"/>
      <c r="AV1631" s="83"/>
      <c r="AW1631" s="83"/>
      <c r="AX1631" s="83"/>
      <c r="AY1631" s="60"/>
      <c r="AZ1631" s="83"/>
      <c r="BA1631" s="83"/>
      <c r="BB1631" s="83"/>
      <c r="BC1631" s="60"/>
      <c r="BD1631" s="83"/>
      <c r="BE1631" s="83"/>
      <c r="BF1631" s="83"/>
      <c r="BG1631" s="60"/>
      <c r="BH1631" s="83"/>
      <c r="BI1631" s="83"/>
      <c r="BJ1631" s="83"/>
      <c r="BK1631" s="60"/>
      <c r="BL1631" s="83"/>
      <c r="BM1631" s="83"/>
      <c r="BN1631" s="83"/>
      <c r="BO1631" s="60"/>
      <c r="BP1631" s="83"/>
      <c r="BQ1631" s="83"/>
      <c r="BR1631" s="83"/>
      <c r="BS1631" s="83"/>
      <c r="BT1631" s="83"/>
      <c r="BU1631" s="83"/>
      <c r="BV1631" s="83"/>
      <c r="BW1631" s="60"/>
      <c r="BX1631" s="83"/>
      <c r="BY1631" s="83"/>
      <c r="BZ1631" s="83"/>
      <c r="CA1631" s="83"/>
      <c r="CB1631" s="83"/>
      <c r="CC1631" s="83"/>
      <c r="CD1631" s="83"/>
      <c r="CE1631" s="83"/>
      <c r="CF1631" s="83"/>
      <c r="CG1631" s="83"/>
      <c r="DF1631" s="21"/>
      <c r="DG1631" s="21"/>
      <c r="DH1631" s="21"/>
      <c r="DI1631" s="21"/>
    </row>
    <row r="1632" spans="2:113" s="123" customFormat="1">
      <c r="B1632" s="125"/>
      <c r="D1632" s="125"/>
      <c r="I1632" s="83"/>
      <c r="J1632" s="83"/>
      <c r="K1632" s="83"/>
      <c r="L1632" s="83"/>
      <c r="M1632" s="83"/>
      <c r="N1632" s="83"/>
      <c r="O1632" s="83"/>
      <c r="P1632" s="83"/>
      <c r="Q1632" s="83"/>
      <c r="R1632" s="83"/>
      <c r="S1632" s="83"/>
      <c r="T1632" s="83"/>
      <c r="U1632" s="83"/>
      <c r="V1632" s="83"/>
      <c r="W1632" s="83"/>
      <c r="X1632" s="83"/>
      <c r="Y1632" s="83"/>
      <c r="Z1632" s="83"/>
      <c r="AA1632" s="60"/>
      <c r="AB1632" s="83"/>
      <c r="AC1632" s="83"/>
      <c r="AD1632" s="83"/>
      <c r="AE1632" s="84"/>
      <c r="AF1632" s="83"/>
      <c r="AG1632" s="83"/>
      <c r="AH1632" s="83"/>
      <c r="AI1632" s="60"/>
      <c r="AJ1632" s="83"/>
      <c r="AK1632" s="83"/>
      <c r="AL1632" s="83"/>
      <c r="AM1632" s="60"/>
      <c r="AN1632" s="83"/>
      <c r="AO1632" s="83"/>
      <c r="AP1632" s="83"/>
      <c r="AQ1632" s="83"/>
      <c r="AR1632" s="83"/>
      <c r="AS1632" s="83"/>
      <c r="AT1632" s="83"/>
      <c r="AU1632" s="83"/>
      <c r="AV1632" s="83"/>
      <c r="AW1632" s="83"/>
      <c r="AX1632" s="83"/>
      <c r="AY1632" s="60"/>
      <c r="AZ1632" s="83"/>
      <c r="BA1632" s="83"/>
      <c r="BB1632" s="83"/>
      <c r="BC1632" s="60"/>
      <c r="BD1632" s="83"/>
      <c r="BE1632" s="83"/>
      <c r="BF1632" s="83"/>
      <c r="BG1632" s="60"/>
      <c r="BH1632" s="83"/>
      <c r="BI1632" s="83"/>
      <c r="BJ1632" s="83"/>
      <c r="BK1632" s="60"/>
      <c r="BL1632" s="83"/>
      <c r="BM1632" s="83"/>
      <c r="BN1632" s="83"/>
      <c r="BO1632" s="60"/>
      <c r="BP1632" s="83"/>
      <c r="BQ1632" s="83"/>
      <c r="BR1632" s="83"/>
      <c r="BS1632" s="83"/>
      <c r="BT1632" s="83"/>
      <c r="BU1632" s="83"/>
      <c r="BV1632" s="83"/>
      <c r="BW1632" s="60"/>
      <c r="BX1632" s="83"/>
      <c r="BY1632" s="83"/>
      <c r="BZ1632" s="83"/>
      <c r="CA1632" s="83"/>
      <c r="CB1632" s="83"/>
      <c r="CC1632" s="83"/>
      <c r="CD1632" s="83"/>
      <c r="CE1632" s="83"/>
      <c r="CF1632" s="83"/>
      <c r="CG1632" s="83"/>
      <c r="DF1632" s="21"/>
      <c r="DG1632" s="21"/>
      <c r="DH1632" s="21"/>
      <c r="DI1632" s="21"/>
    </row>
  </sheetData>
  <mergeCells count="33">
    <mergeCell ref="B8:AC8"/>
    <mergeCell ref="B1:AC2"/>
    <mergeCell ref="B3:AC4"/>
    <mergeCell ref="B5:AC5"/>
    <mergeCell ref="B6:AC6"/>
    <mergeCell ref="B7:AC7"/>
    <mergeCell ref="B9:AC10"/>
    <mergeCell ref="Z14:AC14"/>
    <mergeCell ref="AD14:AG14"/>
    <mergeCell ref="AH14:AK14"/>
    <mergeCell ref="AL14:AO14"/>
    <mergeCell ref="CX14:DA14"/>
    <mergeCell ref="DB14:DE14"/>
    <mergeCell ref="DF14:DI14"/>
    <mergeCell ref="DJ14:DK14"/>
    <mergeCell ref="BR14:BU14"/>
    <mergeCell ref="BV14:BY14"/>
    <mergeCell ref="BZ14:CC14"/>
    <mergeCell ref="CD14:CG14"/>
    <mergeCell ref="CH14:CK14"/>
    <mergeCell ref="CL14:CO14"/>
    <mergeCell ref="B148:I148"/>
    <mergeCell ref="B149:E149"/>
    <mergeCell ref="B150:G150"/>
    <mergeCell ref="CP14:CS14"/>
    <mergeCell ref="CT14:CW14"/>
    <mergeCell ref="AT14:AW14"/>
    <mergeCell ref="AX14:BA14"/>
    <mergeCell ref="BB14:BE14"/>
    <mergeCell ref="BF14:BI14"/>
    <mergeCell ref="BJ14:BM14"/>
    <mergeCell ref="BN14:BQ14"/>
    <mergeCell ref="AP14:AS14"/>
  </mergeCells>
  <conditionalFormatting sqref="D16">
    <cfRule type="duplicateValues" dxfId="40" priority="1"/>
  </conditionalFormatting>
  <conditionalFormatting sqref="D16">
    <cfRule type="duplicateValues" dxfId="39" priority="2"/>
  </conditionalFormatting>
  <conditionalFormatting sqref="D147">
    <cfRule type="duplicateValues" dxfId="38" priority="3"/>
  </conditionalFormatting>
  <conditionalFormatting sqref="D146">
    <cfRule type="duplicateValues" dxfId="37" priority="4"/>
  </conditionalFormatting>
  <conditionalFormatting sqref="D17:D84 D86:D145">
    <cfRule type="duplicateValues" dxfId="36" priority="5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537"/>
  <sheetViews>
    <sheetView topLeftCell="A9" workbookViewId="0">
      <selection activeCell="B9" sqref="B9:AC10"/>
    </sheetView>
  </sheetViews>
  <sheetFormatPr baseColWidth="10" defaultRowHeight="11.25"/>
  <cols>
    <col min="1" max="1" width="5" style="123" customWidth="1"/>
    <col min="2" max="2" width="10.140625" style="86" customWidth="1"/>
    <col min="3" max="3" width="9.85546875" style="83" customWidth="1"/>
    <col min="4" max="4" width="11.42578125" style="86" customWidth="1"/>
    <col min="5" max="5" width="37" style="83" customWidth="1"/>
    <col min="6" max="6" width="13.140625" style="83" customWidth="1"/>
    <col min="7" max="7" width="11.28515625" style="83" customWidth="1"/>
    <col min="8" max="8" width="18.85546875" style="83" customWidth="1"/>
    <col min="9" max="10" width="9.7109375" style="83" customWidth="1"/>
    <col min="11" max="18" width="12" style="83" customWidth="1"/>
    <col min="19" max="20" width="14.85546875" style="83" bestFit="1" customWidth="1"/>
    <col min="21" max="21" width="16" style="83" bestFit="1" customWidth="1"/>
    <col min="22" max="24" width="12" style="83" customWidth="1"/>
    <col min="25" max="25" width="14.28515625" style="83" customWidth="1"/>
    <col min="26" max="26" width="10.140625" style="83" customWidth="1"/>
    <col min="27" max="27" width="10.140625" style="60" customWidth="1"/>
    <col min="28" max="30" width="10.140625" style="83" customWidth="1"/>
    <col min="31" max="31" width="10.140625" style="84" customWidth="1"/>
    <col min="32" max="34" width="10.140625" style="83" customWidth="1"/>
    <col min="35" max="35" width="10.140625" style="60" customWidth="1"/>
    <col min="36" max="38" width="10.140625" style="83" customWidth="1"/>
    <col min="39" max="39" width="10.140625" style="60" customWidth="1"/>
    <col min="40" max="42" width="10.140625" style="83" customWidth="1"/>
    <col min="43" max="43" width="10.140625" style="60" customWidth="1"/>
    <col min="44" max="57" width="10.140625" style="83" customWidth="1"/>
    <col min="58" max="58" width="11.42578125" style="83"/>
    <col min="59" max="59" width="14.28515625" style="83" customWidth="1"/>
    <col min="60" max="99" width="11.42578125" style="123"/>
    <col min="100" max="16384" width="11.42578125" style="83"/>
  </cols>
  <sheetData>
    <row r="1" spans="1:99" hidden="1">
      <c r="B1" s="738"/>
      <c r="C1" s="738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739"/>
      <c r="AB1" s="739"/>
      <c r="AC1" s="739"/>
      <c r="AD1" s="80"/>
      <c r="AE1" s="81"/>
      <c r="AF1" s="80"/>
      <c r="AG1" s="80"/>
      <c r="AH1" s="80"/>
      <c r="AI1" s="82"/>
      <c r="AJ1" s="80"/>
      <c r="AK1" s="80"/>
      <c r="AL1" s="80"/>
      <c r="AM1" s="82"/>
      <c r="AN1" s="80"/>
      <c r="AO1" s="80"/>
      <c r="AP1" s="80"/>
      <c r="AQ1" s="82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</row>
    <row r="2" spans="1:99" hidden="1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80"/>
      <c r="AE2" s="81"/>
      <c r="AF2" s="80"/>
      <c r="AG2" s="80"/>
      <c r="AH2" s="80"/>
      <c r="AI2" s="82"/>
      <c r="AJ2" s="80"/>
      <c r="AK2" s="80"/>
      <c r="AL2" s="80"/>
      <c r="AM2" s="82"/>
      <c r="AN2" s="80"/>
      <c r="AO2" s="80"/>
      <c r="AP2" s="80"/>
      <c r="AQ2" s="82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</row>
    <row r="3" spans="1:99" ht="12.75" hidden="1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1"/>
      <c r="AE3" s="2"/>
      <c r="AF3" s="1"/>
      <c r="AG3" s="1"/>
      <c r="AH3" s="1"/>
      <c r="AI3" s="3"/>
      <c r="AJ3" s="1"/>
      <c r="AK3" s="1"/>
      <c r="AL3" s="1"/>
      <c r="AM3" s="3"/>
      <c r="AN3" s="1"/>
      <c r="AO3" s="1"/>
      <c r="AP3" s="1"/>
      <c r="AQ3" s="3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99" ht="21.75" hidden="1" customHeight="1"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1"/>
      <c r="AE4" s="2"/>
      <c r="AF4" s="1"/>
      <c r="AG4" s="1"/>
      <c r="AH4" s="1"/>
      <c r="AI4" s="3"/>
      <c r="AJ4" s="1"/>
      <c r="AK4" s="1"/>
      <c r="AL4" s="1"/>
      <c r="AM4" s="3"/>
      <c r="AN4" s="1"/>
      <c r="AO4" s="1"/>
      <c r="AP4" s="1"/>
      <c r="AQ4" s="3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</row>
    <row r="5" spans="1:99" ht="11.25" hidden="1" customHeight="1"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1"/>
      <c r="AE5" s="2"/>
      <c r="AF5" s="1"/>
      <c r="AG5" s="1"/>
      <c r="AH5" s="1"/>
      <c r="AI5" s="3"/>
      <c r="AJ5" s="1"/>
      <c r="AK5" s="1"/>
      <c r="AL5" s="1"/>
      <c r="AM5" s="3"/>
      <c r="AN5" s="1"/>
      <c r="AO5" s="1"/>
      <c r="AP5" s="1"/>
      <c r="AQ5" s="3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</row>
    <row r="6" spans="1:99" ht="15" hidden="1" customHeight="1"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1"/>
      <c r="AE6" s="2"/>
      <c r="AF6" s="1"/>
      <c r="AG6" s="1"/>
      <c r="AH6" s="1"/>
      <c r="AI6" s="3"/>
      <c r="AJ6" s="1"/>
      <c r="AK6" s="1"/>
      <c r="AL6" s="1"/>
      <c r="AM6" s="3"/>
      <c r="AN6" s="1"/>
      <c r="AO6" s="1"/>
      <c r="AP6" s="1"/>
      <c r="AQ6" s="3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</row>
    <row r="7" spans="1:99" ht="21" hidden="1" customHeight="1"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1"/>
      <c r="AE7" s="2"/>
      <c r="AF7" s="1"/>
      <c r="AG7" s="1"/>
      <c r="AH7" s="1"/>
      <c r="AI7" s="3"/>
      <c r="AJ7" s="1"/>
      <c r="AK7" s="1"/>
      <c r="AL7" s="1"/>
      <c r="AM7" s="3"/>
      <c r="AN7" s="1"/>
      <c r="AO7" s="1"/>
      <c r="AP7" s="1"/>
      <c r="AQ7" s="3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</row>
    <row r="8" spans="1:99" ht="16.5" hidden="1" customHeight="1"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1"/>
      <c r="AE8" s="2"/>
      <c r="AF8" s="1"/>
      <c r="AG8" s="1"/>
      <c r="AH8" s="1"/>
      <c r="AI8" s="3"/>
      <c r="AJ8" s="1"/>
      <c r="AK8" s="1"/>
      <c r="AL8" s="1"/>
      <c r="AM8" s="3"/>
      <c r="AN8" s="1"/>
      <c r="AO8" s="1"/>
      <c r="AP8" s="1"/>
      <c r="AQ8" s="3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</row>
    <row r="9" spans="1:99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61"/>
      <c r="AE9" s="62"/>
      <c r="AF9" s="61"/>
      <c r="AG9" s="61"/>
      <c r="AH9" s="61"/>
      <c r="AI9" s="63"/>
      <c r="AJ9" s="61"/>
      <c r="AK9" s="61"/>
      <c r="AL9" s="61"/>
      <c r="AM9" s="63"/>
      <c r="AN9" s="61"/>
      <c r="AO9" s="61"/>
      <c r="AP9" s="61"/>
      <c r="AQ9" s="63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123"/>
      <c r="BG9" s="123"/>
    </row>
    <row r="10" spans="1:99" ht="11.25" customHeight="1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D10" s="123"/>
      <c r="AE10" s="124"/>
      <c r="AF10" s="123"/>
      <c r="AG10" s="123"/>
      <c r="AH10" s="123"/>
      <c r="AI10" s="74"/>
      <c r="AJ10" s="123"/>
      <c r="AK10" s="123"/>
      <c r="AL10" s="123"/>
      <c r="AM10" s="74"/>
      <c r="AN10" s="123"/>
      <c r="AO10" s="123"/>
      <c r="AP10" s="123"/>
      <c r="AQ10" s="74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</row>
    <row r="11" spans="1:99" ht="18.75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123"/>
      <c r="AE11" s="124"/>
      <c r="AF11" s="123"/>
      <c r="AG11" s="123"/>
      <c r="AH11" s="123"/>
      <c r="AI11" s="74"/>
      <c r="AJ11" s="123"/>
      <c r="AK11" s="123"/>
      <c r="AL11" s="123"/>
      <c r="AM11" s="74"/>
      <c r="AN11" s="123"/>
      <c r="AO11" s="123"/>
      <c r="AP11" s="123"/>
      <c r="AQ11" s="74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</row>
    <row r="12" spans="1:99" ht="22.5">
      <c r="B12" s="4" t="s">
        <v>1</v>
      </c>
      <c r="C12" s="4" t="s">
        <v>2</v>
      </c>
      <c r="D12" s="5" t="s">
        <v>3</v>
      </c>
      <c r="E12" s="6" t="s">
        <v>4</v>
      </c>
      <c r="F12" s="7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123"/>
      <c r="AE12" s="124"/>
      <c r="AF12" s="123"/>
      <c r="AG12" s="123"/>
      <c r="AH12" s="123"/>
      <c r="AI12" s="74"/>
      <c r="AJ12" s="123"/>
      <c r="AK12" s="123"/>
      <c r="AL12" s="123"/>
      <c r="AM12" s="74"/>
      <c r="AN12" s="123"/>
      <c r="AO12" s="123"/>
      <c r="AP12" s="123"/>
      <c r="AQ12" s="7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</row>
    <row r="13" spans="1:99" ht="18.75">
      <c r="B13" s="66">
        <v>30792063</v>
      </c>
      <c r="C13" s="66">
        <v>30792063</v>
      </c>
      <c r="D13" s="66">
        <v>30792063</v>
      </c>
      <c r="E13" s="66">
        <v>62658478.007000029</v>
      </c>
      <c r="F13" s="67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123"/>
      <c r="AC13" s="65"/>
      <c r="AD13" s="123"/>
      <c r="AE13" s="124"/>
      <c r="AF13" s="123"/>
      <c r="AG13" s="123"/>
      <c r="AH13" s="123"/>
      <c r="AI13" s="74"/>
      <c r="AJ13" s="123"/>
      <c r="AK13" s="123"/>
      <c r="AL13" s="123"/>
      <c r="AM13" s="74"/>
      <c r="AN13" s="123"/>
      <c r="AO13" s="123"/>
      <c r="AP13" s="123"/>
      <c r="AQ13" s="7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</row>
    <row r="14" spans="1:99" ht="15" customHeight="1">
      <c r="C14" s="9"/>
      <c r="D14" s="10"/>
      <c r="E14" s="9"/>
      <c r="F14" s="68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742" t="s">
        <v>5</v>
      </c>
      <c r="AA14" s="743"/>
      <c r="AB14" s="743"/>
      <c r="AC14" s="744"/>
      <c r="AD14" s="745" t="s">
        <v>6</v>
      </c>
      <c r="AE14" s="746"/>
      <c r="AF14" s="746"/>
      <c r="AG14" s="747"/>
      <c r="AH14" s="745" t="s">
        <v>6</v>
      </c>
      <c r="AI14" s="746"/>
      <c r="AJ14" s="746"/>
      <c r="AK14" s="747"/>
      <c r="AL14" s="745" t="s">
        <v>6</v>
      </c>
      <c r="AM14" s="746"/>
      <c r="AN14" s="746"/>
      <c r="AO14" s="747"/>
      <c r="AP14" s="745" t="s">
        <v>6</v>
      </c>
      <c r="AQ14" s="746"/>
      <c r="AR14" s="746"/>
      <c r="AS14" s="747"/>
      <c r="AT14" s="745" t="s">
        <v>6</v>
      </c>
      <c r="AU14" s="746"/>
      <c r="AV14" s="746"/>
      <c r="AW14" s="747"/>
      <c r="AX14" s="745" t="s">
        <v>6</v>
      </c>
      <c r="AY14" s="746"/>
      <c r="AZ14" s="746"/>
      <c r="BA14" s="747"/>
      <c r="BB14" s="745" t="s">
        <v>6</v>
      </c>
      <c r="BC14" s="746"/>
      <c r="BD14" s="746"/>
      <c r="BE14" s="747"/>
      <c r="BF14" s="729" t="s">
        <v>7</v>
      </c>
      <c r="BG14" s="729"/>
    </row>
    <row r="15" spans="1:99" s="96" customFormat="1" ht="55.5" customHeight="1">
      <c r="A15" s="39"/>
      <c r="B15" s="11" t="s">
        <v>8</v>
      </c>
      <c r="C15" s="11" t="s">
        <v>9</v>
      </c>
      <c r="D15" s="11" t="s">
        <v>10</v>
      </c>
      <c r="E15" s="12" t="s">
        <v>11</v>
      </c>
      <c r="F15" s="12" t="s">
        <v>12</v>
      </c>
      <c r="G15" s="12" t="s">
        <v>13</v>
      </c>
      <c r="H15" s="12" t="s">
        <v>14</v>
      </c>
      <c r="I15" s="12" t="s">
        <v>15</v>
      </c>
      <c r="J15" s="12" t="s">
        <v>16</v>
      </c>
      <c r="K15" s="12" t="s">
        <v>17</v>
      </c>
      <c r="L15" s="12" t="s">
        <v>18</v>
      </c>
      <c r="M15" s="13" t="s">
        <v>19</v>
      </c>
      <c r="N15" s="13" t="s">
        <v>20</v>
      </c>
      <c r="O15" s="13" t="s">
        <v>21</v>
      </c>
      <c r="P15" s="13" t="s">
        <v>22</v>
      </c>
      <c r="Q15" s="13" t="s">
        <v>23</v>
      </c>
      <c r="R15" s="14" t="s">
        <v>24</v>
      </c>
      <c r="S15" s="14" t="s">
        <v>25</v>
      </c>
      <c r="T15" s="14" t="s">
        <v>26</v>
      </c>
      <c r="U15" s="14" t="s">
        <v>27</v>
      </c>
      <c r="V15" s="14" t="s">
        <v>28</v>
      </c>
      <c r="W15" s="14" t="s">
        <v>29</v>
      </c>
      <c r="X15" s="14" t="s">
        <v>30</v>
      </c>
      <c r="Y15" s="15" t="s">
        <v>31</v>
      </c>
      <c r="Z15" s="16" t="s">
        <v>32</v>
      </c>
      <c r="AA15" s="17" t="s">
        <v>33</v>
      </c>
      <c r="AB15" s="16" t="s">
        <v>34</v>
      </c>
      <c r="AC15" s="16" t="s">
        <v>35</v>
      </c>
      <c r="AD15" s="18" t="s">
        <v>36</v>
      </c>
      <c r="AE15" s="19" t="s">
        <v>33</v>
      </c>
      <c r="AF15" s="18" t="s">
        <v>34</v>
      </c>
      <c r="AG15" s="18" t="s">
        <v>35</v>
      </c>
      <c r="AH15" s="18" t="s">
        <v>36</v>
      </c>
      <c r="AI15" s="19" t="s">
        <v>33</v>
      </c>
      <c r="AJ15" s="18" t="s">
        <v>34</v>
      </c>
      <c r="AK15" s="18" t="s">
        <v>35</v>
      </c>
      <c r="AL15" s="18" t="s">
        <v>36</v>
      </c>
      <c r="AM15" s="19" t="s">
        <v>33</v>
      </c>
      <c r="AN15" s="18" t="s">
        <v>34</v>
      </c>
      <c r="AO15" s="18" t="s">
        <v>35</v>
      </c>
      <c r="AP15" s="18" t="s">
        <v>36</v>
      </c>
      <c r="AQ15" s="19" t="s">
        <v>33</v>
      </c>
      <c r="AR15" s="18" t="s">
        <v>34</v>
      </c>
      <c r="AS15" s="18" t="s">
        <v>35</v>
      </c>
      <c r="AT15" s="18" t="s">
        <v>36</v>
      </c>
      <c r="AU15" s="19" t="s">
        <v>33</v>
      </c>
      <c r="AV15" s="18" t="s">
        <v>34</v>
      </c>
      <c r="AW15" s="18" t="s">
        <v>35</v>
      </c>
      <c r="AX15" s="18" t="s">
        <v>36</v>
      </c>
      <c r="AY15" s="19" t="s">
        <v>33</v>
      </c>
      <c r="AZ15" s="18" t="s">
        <v>34</v>
      </c>
      <c r="BA15" s="18" t="s">
        <v>35</v>
      </c>
      <c r="BB15" s="18" t="s">
        <v>36</v>
      </c>
      <c r="BC15" s="19" t="s">
        <v>33</v>
      </c>
      <c r="BD15" s="18" t="s">
        <v>34</v>
      </c>
      <c r="BE15" s="18" t="s">
        <v>35</v>
      </c>
      <c r="BF15" s="20" t="s">
        <v>37</v>
      </c>
      <c r="BG15" s="20" t="s">
        <v>38</v>
      </c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</row>
    <row r="16" spans="1:99" s="96" customFormat="1" ht="22.5" customHeight="1">
      <c r="A16" s="39"/>
      <c r="B16" s="51">
        <v>1</v>
      </c>
      <c r="C16" s="51" t="s">
        <v>39</v>
      </c>
      <c r="D16" s="42">
        <v>20144816</v>
      </c>
      <c r="E16" s="52" t="s">
        <v>2685</v>
      </c>
      <c r="F16" s="52" t="s">
        <v>317</v>
      </c>
      <c r="G16" s="56" t="s">
        <v>2686</v>
      </c>
      <c r="H16" s="52" t="s">
        <v>2687</v>
      </c>
      <c r="I16" s="52" t="s">
        <v>2537</v>
      </c>
      <c r="J16" s="636">
        <v>3116335</v>
      </c>
      <c r="K16" s="52"/>
      <c r="L16" s="52"/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/>
      <c r="W16" s="54"/>
      <c r="X16" s="54"/>
      <c r="Y16" s="54">
        <f>SUM(M16:X16)</f>
        <v>0</v>
      </c>
      <c r="Z16" s="52">
        <v>1000</v>
      </c>
      <c r="AA16" s="52">
        <v>4</v>
      </c>
      <c r="AB16" s="637">
        <v>44221</v>
      </c>
      <c r="AC16" s="637">
        <v>44280</v>
      </c>
      <c r="AD16" s="52">
        <v>-1000</v>
      </c>
      <c r="AE16" s="52">
        <v>39</v>
      </c>
      <c r="AF16" s="637">
        <v>44358</v>
      </c>
      <c r="AG16" s="637">
        <v>44364</v>
      </c>
      <c r="AH16" s="52"/>
      <c r="AI16" s="52"/>
      <c r="AJ16" s="637"/>
      <c r="AK16" s="637"/>
      <c r="AL16" s="52"/>
      <c r="AM16" s="52"/>
      <c r="AN16" s="637"/>
      <c r="AO16" s="637"/>
      <c r="AP16" s="52"/>
      <c r="AQ16" s="52"/>
      <c r="AR16" s="637"/>
      <c r="AS16" s="637"/>
      <c r="AT16" s="52"/>
      <c r="AU16" s="52"/>
      <c r="AV16" s="637"/>
      <c r="AW16" s="637"/>
      <c r="AX16" s="52"/>
      <c r="AY16" s="52"/>
      <c r="AZ16" s="637"/>
      <c r="BA16" s="637"/>
      <c r="BB16" s="52"/>
      <c r="BC16" s="52"/>
      <c r="BD16" s="637"/>
      <c r="BE16" s="637"/>
      <c r="BF16" s="137">
        <f>+Z16+AD16+AH16+AL16+AP16+AT16+AX16+BB16</f>
        <v>0</v>
      </c>
      <c r="BG16" s="43">
        <f t="shared" ref="BG16:BG17" si="0">+BF16-Y16</f>
        <v>0</v>
      </c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</row>
    <row r="17" spans="1:99" s="96" customFormat="1" ht="33.75" customHeight="1">
      <c r="A17" s="39"/>
      <c r="B17" s="51">
        <v>2</v>
      </c>
      <c r="C17" s="51" t="s">
        <v>39</v>
      </c>
      <c r="D17" s="42">
        <v>30034860</v>
      </c>
      <c r="E17" s="52" t="s">
        <v>2688</v>
      </c>
      <c r="F17" s="52" t="s">
        <v>317</v>
      </c>
      <c r="G17" s="56" t="s">
        <v>2686</v>
      </c>
      <c r="H17" s="52" t="s">
        <v>2689</v>
      </c>
      <c r="I17" s="52" t="s">
        <v>2537</v>
      </c>
      <c r="J17" s="636">
        <v>32844</v>
      </c>
      <c r="K17" s="52"/>
      <c r="L17" s="52"/>
      <c r="M17" s="54">
        <v>0</v>
      </c>
      <c r="N17" s="54">
        <v>0</v>
      </c>
      <c r="O17" s="54">
        <v>32703.469000000001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/>
      <c r="W17" s="54"/>
      <c r="X17" s="54"/>
      <c r="Y17" s="54">
        <f t="shared" ref="Y17:Y80" si="1">SUM(M17:X17)</f>
        <v>32703.469000000001</v>
      </c>
      <c r="Z17" s="52">
        <v>1000</v>
      </c>
      <c r="AA17" s="52">
        <v>8</v>
      </c>
      <c r="AB17" s="637">
        <v>44252</v>
      </c>
      <c r="AC17" s="637">
        <v>44292</v>
      </c>
      <c r="AD17" s="52">
        <v>31704</v>
      </c>
      <c r="AE17" s="52">
        <v>10</v>
      </c>
      <c r="AF17" s="637">
        <v>44286</v>
      </c>
      <c r="AG17" s="637">
        <v>44306</v>
      </c>
      <c r="AH17" s="52"/>
      <c r="AI17" s="52"/>
      <c r="AJ17" s="637"/>
      <c r="AK17" s="637"/>
      <c r="AL17" s="52"/>
      <c r="AM17" s="52"/>
      <c r="AN17" s="637"/>
      <c r="AO17" s="637"/>
      <c r="AP17" s="52"/>
      <c r="AQ17" s="52"/>
      <c r="AR17" s="637"/>
      <c r="AS17" s="637"/>
      <c r="AT17" s="52"/>
      <c r="AU17" s="52"/>
      <c r="AV17" s="637"/>
      <c r="AW17" s="637"/>
      <c r="AX17" s="52"/>
      <c r="AY17" s="52"/>
      <c r="AZ17" s="637"/>
      <c r="BA17" s="637"/>
      <c r="BB17" s="52"/>
      <c r="BC17" s="52"/>
      <c r="BD17" s="637"/>
      <c r="BE17" s="637"/>
      <c r="BF17" s="137">
        <f t="shared" ref="BF17:BF80" si="2">+Z17+AD17+AH17+AL17+AP17+AT17+AX17+BB17</f>
        <v>32704</v>
      </c>
      <c r="BG17" s="43">
        <f t="shared" si="0"/>
        <v>0.53099999999903957</v>
      </c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</row>
    <row r="18" spans="1:99" s="96" customFormat="1" ht="22.5">
      <c r="A18" s="39"/>
      <c r="B18" s="51">
        <v>3</v>
      </c>
      <c r="C18" s="51" t="s">
        <v>39</v>
      </c>
      <c r="D18" s="42">
        <v>30040131</v>
      </c>
      <c r="E18" s="52" t="s">
        <v>2690</v>
      </c>
      <c r="F18" s="52" t="s">
        <v>317</v>
      </c>
      <c r="G18" s="56" t="s">
        <v>2686</v>
      </c>
      <c r="H18" s="52" t="s">
        <v>2691</v>
      </c>
      <c r="I18" s="52" t="s">
        <v>2537</v>
      </c>
      <c r="J18" s="636">
        <v>285683</v>
      </c>
      <c r="K18" s="52"/>
      <c r="L18" s="52"/>
      <c r="M18" s="54">
        <v>0</v>
      </c>
      <c r="N18" s="54">
        <v>4014.2620000000002</v>
      </c>
      <c r="O18" s="54">
        <v>33405.040000000001</v>
      </c>
      <c r="P18" s="54">
        <v>0</v>
      </c>
      <c r="Q18" s="54">
        <v>0</v>
      </c>
      <c r="R18" s="54">
        <v>28271.806</v>
      </c>
      <c r="S18" s="54">
        <v>0</v>
      </c>
      <c r="T18" s="54">
        <v>0</v>
      </c>
      <c r="U18" s="54">
        <v>0</v>
      </c>
      <c r="V18" s="54"/>
      <c r="W18" s="54"/>
      <c r="X18" s="54"/>
      <c r="Y18" s="54">
        <f t="shared" si="1"/>
        <v>65691.108000000007</v>
      </c>
      <c r="Z18" s="52">
        <v>121466</v>
      </c>
      <c r="AA18" s="52">
        <v>8</v>
      </c>
      <c r="AB18" s="637">
        <v>44252</v>
      </c>
      <c r="AC18" s="637">
        <v>44292</v>
      </c>
      <c r="AD18" s="52"/>
      <c r="AE18" s="52"/>
      <c r="AF18" s="637"/>
      <c r="AG18" s="637"/>
      <c r="AH18" s="52"/>
      <c r="AI18" s="52"/>
      <c r="AJ18" s="637"/>
      <c r="AK18" s="637"/>
      <c r="AL18" s="52"/>
      <c r="AM18" s="52"/>
      <c r="AN18" s="637"/>
      <c r="AO18" s="637"/>
      <c r="AP18" s="52"/>
      <c r="AQ18" s="52"/>
      <c r="AR18" s="637"/>
      <c r="AS18" s="637"/>
      <c r="AT18" s="52"/>
      <c r="AU18" s="52"/>
      <c r="AV18" s="637"/>
      <c r="AW18" s="637"/>
      <c r="AX18" s="52"/>
      <c r="AY18" s="52"/>
      <c r="AZ18" s="637"/>
      <c r="BA18" s="637"/>
      <c r="BB18" s="52"/>
      <c r="BC18" s="52"/>
      <c r="BD18" s="637"/>
      <c r="BE18" s="637"/>
      <c r="BF18" s="137">
        <f t="shared" si="2"/>
        <v>121466</v>
      </c>
      <c r="BG18" s="43">
        <f>+BF18-Y18</f>
        <v>55774.891999999993</v>
      </c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</row>
    <row r="19" spans="1:99" s="96" customFormat="1" ht="22.5" customHeight="1">
      <c r="A19" s="39"/>
      <c r="B19" s="51">
        <v>4</v>
      </c>
      <c r="C19" s="51" t="s">
        <v>39</v>
      </c>
      <c r="D19" s="42">
        <v>30060303</v>
      </c>
      <c r="E19" s="52" t="s">
        <v>2692</v>
      </c>
      <c r="F19" s="52" t="s">
        <v>317</v>
      </c>
      <c r="G19" s="56" t="s">
        <v>2686</v>
      </c>
      <c r="H19" s="52" t="s">
        <v>2693</v>
      </c>
      <c r="I19" s="52" t="s">
        <v>2537</v>
      </c>
      <c r="J19" s="636">
        <v>1320720</v>
      </c>
      <c r="K19" s="52"/>
      <c r="L19" s="52"/>
      <c r="M19" s="54">
        <v>64491.483</v>
      </c>
      <c r="N19" s="54">
        <v>1850</v>
      </c>
      <c r="O19" s="54">
        <v>1850</v>
      </c>
      <c r="P19" s="54">
        <v>195523.149</v>
      </c>
      <c r="Q19" s="54">
        <v>1850</v>
      </c>
      <c r="R19" s="54">
        <v>248245.15599999999</v>
      </c>
      <c r="S19" s="54">
        <v>148331.391</v>
      </c>
      <c r="T19" s="54">
        <v>120877.891</v>
      </c>
      <c r="U19" s="54">
        <v>250573.66399999999</v>
      </c>
      <c r="V19" s="54"/>
      <c r="W19" s="54"/>
      <c r="X19" s="54"/>
      <c r="Y19" s="54">
        <f t="shared" si="1"/>
        <v>1033592.7340000001</v>
      </c>
      <c r="Z19" s="52">
        <v>210000</v>
      </c>
      <c r="AA19" s="52">
        <v>4</v>
      </c>
      <c r="AB19" s="637">
        <v>44221</v>
      </c>
      <c r="AC19" s="637">
        <v>44280</v>
      </c>
      <c r="AD19" s="52">
        <v>300000</v>
      </c>
      <c r="AE19" s="52">
        <v>14</v>
      </c>
      <c r="AF19" s="637">
        <v>44313</v>
      </c>
      <c r="AG19" s="637">
        <v>44322</v>
      </c>
      <c r="AH19" s="52">
        <v>252950</v>
      </c>
      <c r="AI19" s="52">
        <v>26</v>
      </c>
      <c r="AJ19" s="637">
        <v>44358</v>
      </c>
      <c r="AK19" s="637">
        <v>44364</v>
      </c>
      <c r="AL19" s="52">
        <v>3700</v>
      </c>
      <c r="AM19" s="52">
        <v>40</v>
      </c>
      <c r="AN19" s="637">
        <v>44358</v>
      </c>
      <c r="AO19" s="637">
        <v>44364</v>
      </c>
      <c r="AP19" s="52"/>
      <c r="AQ19" s="52"/>
      <c r="AR19" s="637"/>
      <c r="AS19" s="637"/>
      <c r="AT19" s="52"/>
      <c r="AU19" s="52"/>
      <c r="AV19" s="637"/>
      <c r="AW19" s="637"/>
      <c r="AX19" s="52"/>
      <c r="AY19" s="52"/>
      <c r="AZ19" s="637"/>
      <c r="BA19" s="637"/>
      <c r="BB19" s="52"/>
      <c r="BC19" s="52"/>
      <c r="BD19" s="637"/>
      <c r="BE19" s="637"/>
      <c r="BF19" s="137">
        <f t="shared" si="2"/>
        <v>766650</v>
      </c>
      <c r="BG19" s="43">
        <f t="shared" ref="BG19:BG82" si="3">+BF19-Y19</f>
        <v>-266942.73400000005</v>
      </c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</row>
    <row r="20" spans="1:99" s="96" customFormat="1" ht="24.75" customHeight="1">
      <c r="A20" s="39"/>
      <c r="B20" s="51">
        <v>5</v>
      </c>
      <c r="C20" s="51" t="s">
        <v>39</v>
      </c>
      <c r="D20" s="42">
        <v>30066107</v>
      </c>
      <c r="E20" s="52" t="s">
        <v>2694</v>
      </c>
      <c r="F20" s="52" t="s">
        <v>317</v>
      </c>
      <c r="G20" s="56" t="s">
        <v>2686</v>
      </c>
      <c r="H20" s="52" t="s">
        <v>2695</v>
      </c>
      <c r="I20" s="52" t="s">
        <v>2537</v>
      </c>
      <c r="J20" s="636">
        <v>1623381</v>
      </c>
      <c r="K20" s="52"/>
      <c r="L20" s="52"/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/>
      <c r="W20" s="54"/>
      <c r="X20" s="54"/>
      <c r="Y20" s="54">
        <f t="shared" si="1"/>
        <v>0</v>
      </c>
      <c r="Z20" s="52">
        <v>1000</v>
      </c>
      <c r="AA20" s="52">
        <v>4</v>
      </c>
      <c r="AB20" s="637">
        <v>44221</v>
      </c>
      <c r="AC20" s="637">
        <v>44280</v>
      </c>
      <c r="AD20" s="52">
        <v>-1000</v>
      </c>
      <c r="AE20" s="52">
        <v>39</v>
      </c>
      <c r="AF20" s="637">
        <v>44358</v>
      </c>
      <c r="AG20" s="637">
        <v>44364</v>
      </c>
      <c r="AH20" s="52"/>
      <c r="AI20" s="52"/>
      <c r="AJ20" s="637"/>
      <c r="AK20" s="637"/>
      <c r="AL20" s="52"/>
      <c r="AM20" s="52"/>
      <c r="AN20" s="637"/>
      <c r="AO20" s="637"/>
      <c r="AP20" s="52"/>
      <c r="AQ20" s="52"/>
      <c r="AR20" s="637"/>
      <c r="AS20" s="637"/>
      <c r="AT20" s="52"/>
      <c r="AU20" s="52"/>
      <c r="AV20" s="637"/>
      <c r="AW20" s="637"/>
      <c r="AX20" s="52"/>
      <c r="AY20" s="52"/>
      <c r="AZ20" s="637"/>
      <c r="BA20" s="637"/>
      <c r="BB20" s="52"/>
      <c r="BC20" s="52"/>
      <c r="BD20" s="637"/>
      <c r="BE20" s="637"/>
      <c r="BF20" s="137">
        <f t="shared" si="2"/>
        <v>0</v>
      </c>
      <c r="BG20" s="43">
        <f t="shared" si="3"/>
        <v>0</v>
      </c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</row>
    <row r="21" spans="1:99" s="96" customFormat="1" ht="22.5" customHeight="1">
      <c r="A21" s="39"/>
      <c r="B21" s="51">
        <v>6</v>
      </c>
      <c r="C21" s="51" t="s">
        <v>39</v>
      </c>
      <c r="D21" s="42">
        <v>30072851</v>
      </c>
      <c r="E21" s="52" t="s">
        <v>2696</v>
      </c>
      <c r="F21" s="52" t="s">
        <v>317</v>
      </c>
      <c r="G21" s="56" t="s">
        <v>2686</v>
      </c>
      <c r="H21" s="52" t="s">
        <v>2697</v>
      </c>
      <c r="I21" s="52" t="s">
        <v>2537</v>
      </c>
      <c r="J21" s="636">
        <v>419291</v>
      </c>
      <c r="K21" s="52"/>
      <c r="L21" s="52"/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/>
      <c r="W21" s="54"/>
      <c r="X21" s="54"/>
      <c r="Y21" s="54">
        <f t="shared" si="1"/>
        <v>0</v>
      </c>
      <c r="Z21" s="52">
        <v>1000</v>
      </c>
      <c r="AA21" s="52">
        <v>4</v>
      </c>
      <c r="AB21" s="637">
        <v>44221</v>
      </c>
      <c r="AC21" s="637">
        <v>44280</v>
      </c>
      <c r="AD21" s="52">
        <v>-1000</v>
      </c>
      <c r="AE21" s="52">
        <v>39</v>
      </c>
      <c r="AF21" s="637">
        <v>44358</v>
      </c>
      <c r="AG21" s="637">
        <v>44364</v>
      </c>
      <c r="AH21" s="52"/>
      <c r="AI21" s="52"/>
      <c r="AJ21" s="637"/>
      <c r="AK21" s="637"/>
      <c r="AL21" s="52"/>
      <c r="AM21" s="52"/>
      <c r="AN21" s="637"/>
      <c r="AO21" s="637"/>
      <c r="AP21" s="52"/>
      <c r="AQ21" s="52"/>
      <c r="AR21" s="637"/>
      <c r="AS21" s="637"/>
      <c r="AT21" s="52"/>
      <c r="AU21" s="52"/>
      <c r="AV21" s="637"/>
      <c r="AW21" s="637"/>
      <c r="AX21" s="52"/>
      <c r="AY21" s="52"/>
      <c r="AZ21" s="637"/>
      <c r="BA21" s="637"/>
      <c r="BB21" s="52"/>
      <c r="BC21" s="52"/>
      <c r="BD21" s="637"/>
      <c r="BE21" s="637"/>
      <c r="BF21" s="137">
        <f t="shared" si="2"/>
        <v>0</v>
      </c>
      <c r="BG21" s="43">
        <f t="shared" si="3"/>
        <v>0</v>
      </c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</row>
    <row r="22" spans="1:99" s="96" customFormat="1" ht="36" customHeight="1">
      <c r="A22" s="39"/>
      <c r="B22" s="51">
        <v>7</v>
      </c>
      <c r="C22" s="51" t="s">
        <v>39</v>
      </c>
      <c r="D22" s="42">
        <v>30074676</v>
      </c>
      <c r="E22" s="52" t="s">
        <v>2698</v>
      </c>
      <c r="F22" s="52" t="s">
        <v>317</v>
      </c>
      <c r="G22" s="56" t="s">
        <v>2686</v>
      </c>
      <c r="H22" s="52" t="s">
        <v>2699</v>
      </c>
      <c r="I22" s="52" t="s">
        <v>2537</v>
      </c>
      <c r="J22" s="636">
        <v>48453</v>
      </c>
      <c r="K22" s="52"/>
      <c r="L22" s="52"/>
      <c r="M22" s="54">
        <v>1800</v>
      </c>
      <c r="N22" s="54">
        <v>0</v>
      </c>
      <c r="O22" s="54">
        <v>13890.615</v>
      </c>
      <c r="P22" s="54">
        <v>0</v>
      </c>
      <c r="Q22" s="54">
        <v>0</v>
      </c>
      <c r="R22" s="54">
        <v>9387.8169999999991</v>
      </c>
      <c r="S22" s="54">
        <v>6307</v>
      </c>
      <c r="T22" s="54">
        <v>492.089</v>
      </c>
      <c r="U22" s="54">
        <v>388.96</v>
      </c>
      <c r="V22" s="54"/>
      <c r="W22" s="54"/>
      <c r="X22" s="54"/>
      <c r="Y22" s="54">
        <f t="shared" si="1"/>
        <v>32266.481</v>
      </c>
      <c r="Z22" s="52">
        <v>5400</v>
      </c>
      <c r="AA22" s="52">
        <v>4</v>
      </c>
      <c r="AB22" s="637">
        <v>44221</v>
      </c>
      <c r="AC22" s="637">
        <v>44280</v>
      </c>
      <c r="AD22" s="52">
        <v>17783</v>
      </c>
      <c r="AE22" s="52">
        <v>10</v>
      </c>
      <c r="AF22" s="637">
        <v>44286</v>
      </c>
      <c r="AG22" s="637">
        <v>44306</v>
      </c>
      <c r="AH22" s="52">
        <v>1895</v>
      </c>
      <c r="AI22" s="52">
        <v>26</v>
      </c>
      <c r="AJ22" s="637">
        <v>44358</v>
      </c>
      <c r="AK22" s="637">
        <v>44364</v>
      </c>
      <c r="AL22" s="52">
        <v>6307</v>
      </c>
      <c r="AM22" s="52">
        <v>38</v>
      </c>
      <c r="AN22" s="637">
        <v>44358</v>
      </c>
      <c r="AO22" s="637">
        <v>44364</v>
      </c>
      <c r="AP22" s="52"/>
      <c r="AQ22" s="52"/>
      <c r="AR22" s="637"/>
      <c r="AS22" s="637"/>
      <c r="AT22" s="52"/>
      <c r="AU22" s="52"/>
      <c r="AV22" s="637"/>
      <c r="AW22" s="637"/>
      <c r="AX22" s="52"/>
      <c r="AY22" s="52"/>
      <c r="AZ22" s="637"/>
      <c r="BA22" s="637"/>
      <c r="BB22" s="52"/>
      <c r="BC22" s="52"/>
      <c r="BD22" s="637"/>
      <c r="BE22" s="637"/>
      <c r="BF22" s="137">
        <f t="shared" si="2"/>
        <v>31385</v>
      </c>
      <c r="BG22" s="43">
        <f t="shared" si="3"/>
        <v>-881.48099999999977</v>
      </c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</row>
    <row r="23" spans="1:99" s="96" customFormat="1" ht="45" customHeight="1">
      <c r="A23" s="39"/>
      <c r="B23" s="51">
        <v>8</v>
      </c>
      <c r="C23" s="51" t="s">
        <v>39</v>
      </c>
      <c r="D23" s="42">
        <v>30076137</v>
      </c>
      <c r="E23" s="52" t="s">
        <v>2700</v>
      </c>
      <c r="F23" s="52" t="s">
        <v>47</v>
      </c>
      <c r="G23" s="56" t="s">
        <v>2686</v>
      </c>
      <c r="H23" s="52" t="s">
        <v>2701</v>
      </c>
      <c r="I23" s="52" t="s">
        <v>2537</v>
      </c>
      <c r="J23" s="636">
        <v>48450</v>
      </c>
      <c r="K23" s="52"/>
      <c r="L23" s="52"/>
      <c r="M23" s="54">
        <v>5575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/>
      <c r="W23" s="54"/>
      <c r="X23" s="54"/>
      <c r="Y23" s="54">
        <f t="shared" si="1"/>
        <v>5575</v>
      </c>
      <c r="Z23" s="52">
        <v>48450</v>
      </c>
      <c r="AA23" s="52">
        <v>4</v>
      </c>
      <c r="AB23" s="637">
        <v>44221</v>
      </c>
      <c r="AC23" s="637">
        <v>44280</v>
      </c>
      <c r="AD23" s="52">
        <v>-42875</v>
      </c>
      <c r="AE23" s="52">
        <v>40</v>
      </c>
      <c r="AF23" s="637">
        <v>44358</v>
      </c>
      <c r="AG23" s="637">
        <v>44364</v>
      </c>
      <c r="AH23" s="52"/>
      <c r="AI23" s="52"/>
      <c r="AJ23" s="637"/>
      <c r="AK23" s="637"/>
      <c r="AL23" s="52"/>
      <c r="AM23" s="52"/>
      <c r="AN23" s="637"/>
      <c r="AO23" s="637"/>
      <c r="AP23" s="52"/>
      <c r="AQ23" s="52"/>
      <c r="AR23" s="637"/>
      <c r="AS23" s="637"/>
      <c r="AT23" s="52"/>
      <c r="AU23" s="52"/>
      <c r="AV23" s="637"/>
      <c r="AW23" s="637"/>
      <c r="AX23" s="52"/>
      <c r="AY23" s="52"/>
      <c r="AZ23" s="637"/>
      <c r="BA23" s="637"/>
      <c r="BB23" s="52"/>
      <c r="BC23" s="52"/>
      <c r="BD23" s="637"/>
      <c r="BE23" s="637"/>
      <c r="BF23" s="137">
        <f t="shared" si="2"/>
        <v>5575</v>
      </c>
      <c r="BG23" s="43">
        <f t="shared" si="3"/>
        <v>0</v>
      </c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</row>
    <row r="24" spans="1:99" s="96" customFormat="1" ht="33.75">
      <c r="A24" s="39"/>
      <c r="B24" s="51">
        <v>9</v>
      </c>
      <c r="C24" s="51" t="s">
        <v>39</v>
      </c>
      <c r="D24" s="42">
        <v>30076311</v>
      </c>
      <c r="E24" s="52" t="s">
        <v>2702</v>
      </c>
      <c r="F24" s="52" t="s">
        <v>317</v>
      </c>
      <c r="G24" s="56" t="s">
        <v>2686</v>
      </c>
      <c r="H24" s="52" t="s">
        <v>2703</v>
      </c>
      <c r="I24" s="52" t="s">
        <v>2537</v>
      </c>
      <c r="J24" s="636">
        <v>56300</v>
      </c>
      <c r="K24" s="52"/>
      <c r="L24" s="52"/>
      <c r="M24" s="54">
        <v>31858.912999999997</v>
      </c>
      <c r="N24" s="54">
        <v>0</v>
      </c>
      <c r="O24" s="54">
        <v>1839.8140000000001</v>
      </c>
      <c r="P24" s="54">
        <v>18384.298000000003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/>
      <c r="W24" s="54"/>
      <c r="X24" s="54"/>
      <c r="Y24" s="54">
        <f t="shared" si="1"/>
        <v>52083.025000000001</v>
      </c>
      <c r="Z24" s="52">
        <v>56300</v>
      </c>
      <c r="AA24" s="52">
        <v>4</v>
      </c>
      <c r="AB24" s="637">
        <v>44221</v>
      </c>
      <c r="AC24" s="637">
        <v>44280</v>
      </c>
      <c r="AD24" s="52">
        <v>-3109</v>
      </c>
      <c r="AE24" s="52">
        <v>40</v>
      </c>
      <c r="AF24" s="637">
        <v>44358</v>
      </c>
      <c r="AG24" s="637">
        <v>44364</v>
      </c>
      <c r="AH24" s="52"/>
      <c r="AI24" s="52"/>
      <c r="AJ24" s="637"/>
      <c r="AK24" s="637"/>
      <c r="AL24" s="52"/>
      <c r="AM24" s="52"/>
      <c r="AN24" s="637"/>
      <c r="AO24" s="637"/>
      <c r="AP24" s="52"/>
      <c r="AQ24" s="52"/>
      <c r="AR24" s="637"/>
      <c r="AS24" s="637"/>
      <c r="AT24" s="52"/>
      <c r="AU24" s="52"/>
      <c r="AV24" s="637"/>
      <c r="AW24" s="637"/>
      <c r="AX24" s="52"/>
      <c r="AY24" s="52"/>
      <c r="AZ24" s="637"/>
      <c r="BA24" s="637"/>
      <c r="BB24" s="52"/>
      <c r="BC24" s="52"/>
      <c r="BD24" s="637"/>
      <c r="BE24" s="637"/>
      <c r="BF24" s="137">
        <f t="shared" si="2"/>
        <v>53191</v>
      </c>
      <c r="BG24" s="43">
        <f t="shared" si="3"/>
        <v>1107.9749999999985</v>
      </c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</row>
    <row r="25" spans="1:99" s="96" customFormat="1" ht="22.5" customHeight="1">
      <c r="A25" s="39"/>
      <c r="B25" s="51">
        <v>10</v>
      </c>
      <c r="C25" s="51" t="s">
        <v>39</v>
      </c>
      <c r="D25" s="42">
        <v>30076719</v>
      </c>
      <c r="E25" s="52" t="s">
        <v>2704</v>
      </c>
      <c r="F25" s="52" t="s">
        <v>317</v>
      </c>
      <c r="G25" s="56" t="s">
        <v>2686</v>
      </c>
      <c r="H25" s="52" t="s">
        <v>2705</v>
      </c>
      <c r="I25" s="52" t="s">
        <v>2537</v>
      </c>
      <c r="J25" s="636">
        <v>1583065</v>
      </c>
      <c r="K25" s="52"/>
      <c r="L25" s="52"/>
      <c r="M25" s="54">
        <v>0</v>
      </c>
      <c r="N25" s="54">
        <v>0</v>
      </c>
      <c r="O25" s="54">
        <v>182584.052</v>
      </c>
      <c r="P25" s="54">
        <v>423897.28</v>
      </c>
      <c r="Q25" s="54">
        <v>0</v>
      </c>
      <c r="R25" s="54">
        <v>212164.033</v>
      </c>
      <c r="S25" s="54">
        <v>281536.97100000002</v>
      </c>
      <c r="T25" s="54">
        <v>291889.59899999999</v>
      </c>
      <c r="U25" s="54">
        <v>263469.84400000004</v>
      </c>
      <c r="V25" s="54"/>
      <c r="W25" s="54"/>
      <c r="X25" s="54"/>
      <c r="Y25" s="54">
        <f t="shared" si="1"/>
        <v>1655541.7790000001</v>
      </c>
      <c r="Z25" s="52">
        <v>1000</v>
      </c>
      <c r="AA25" s="52">
        <v>1</v>
      </c>
      <c r="AB25" s="637">
        <v>44207</v>
      </c>
      <c r="AC25" s="637">
        <v>44249</v>
      </c>
      <c r="AD25" s="52">
        <v>850000</v>
      </c>
      <c r="AE25" s="52">
        <v>10</v>
      </c>
      <c r="AF25" s="637">
        <v>44286</v>
      </c>
      <c r="AG25" s="637">
        <v>44306</v>
      </c>
      <c r="AH25" s="52">
        <v>11000</v>
      </c>
      <c r="AI25" s="52">
        <v>26</v>
      </c>
      <c r="AJ25" s="637">
        <v>44358</v>
      </c>
      <c r="AK25" s="637">
        <v>44364</v>
      </c>
      <c r="AL25" s="52">
        <v>242182</v>
      </c>
      <c r="AM25" s="52">
        <v>38</v>
      </c>
      <c r="AN25" s="637">
        <v>44358</v>
      </c>
      <c r="AO25" s="637">
        <v>44364</v>
      </c>
      <c r="AP25" s="52"/>
      <c r="AQ25" s="52"/>
      <c r="AR25" s="637"/>
      <c r="AS25" s="637"/>
      <c r="AT25" s="52"/>
      <c r="AU25" s="52"/>
      <c r="AV25" s="637"/>
      <c r="AW25" s="637"/>
      <c r="AX25" s="52"/>
      <c r="AY25" s="52"/>
      <c r="AZ25" s="637"/>
      <c r="BA25" s="637"/>
      <c r="BB25" s="52"/>
      <c r="BC25" s="52"/>
      <c r="BD25" s="637"/>
      <c r="BE25" s="637"/>
      <c r="BF25" s="137">
        <f t="shared" si="2"/>
        <v>1104182</v>
      </c>
      <c r="BG25" s="43">
        <f t="shared" si="3"/>
        <v>-551359.7790000001</v>
      </c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</row>
    <row r="26" spans="1:99" s="96" customFormat="1" ht="33.75" customHeight="1">
      <c r="A26" s="39"/>
      <c r="B26" s="51">
        <v>11</v>
      </c>
      <c r="C26" s="51" t="s">
        <v>39</v>
      </c>
      <c r="D26" s="42">
        <v>30082319</v>
      </c>
      <c r="E26" s="52" t="s">
        <v>2706</v>
      </c>
      <c r="F26" s="52" t="s">
        <v>47</v>
      </c>
      <c r="G26" s="56" t="s">
        <v>2686</v>
      </c>
      <c r="H26" s="52" t="s">
        <v>2707</v>
      </c>
      <c r="I26" s="52" t="s">
        <v>2537</v>
      </c>
      <c r="J26" s="636">
        <v>12658</v>
      </c>
      <c r="K26" s="52"/>
      <c r="L26" s="52"/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/>
      <c r="W26" s="54"/>
      <c r="X26" s="54"/>
      <c r="Y26" s="54">
        <f t="shared" si="1"/>
        <v>0</v>
      </c>
      <c r="Z26" s="52">
        <v>12000</v>
      </c>
      <c r="AA26" s="52">
        <v>4</v>
      </c>
      <c r="AB26" s="637">
        <v>44221</v>
      </c>
      <c r="AC26" s="637">
        <v>44280</v>
      </c>
      <c r="AD26" s="52">
        <v>-12000</v>
      </c>
      <c r="AE26" s="52">
        <v>40</v>
      </c>
      <c r="AF26" s="637">
        <v>44358</v>
      </c>
      <c r="AG26" s="637">
        <v>44364</v>
      </c>
      <c r="AH26" s="52"/>
      <c r="AI26" s="52"/>
      <c r="AJ26" s="637"/>
      <c r="AK26" s="637"/>
      <c r="AL26" s="52"/>
      <c r="AM26" s="52"/>
      <c r="AN26" s="637"/>
      <c r="AO26" s="637"/>
      <c r="AP26" s="52"/>
      <c r="AQ26" s="52"/>
      <c r="AR26" s="637"/>
      <c r="AS26" s="637"/>
      <c r="AT26" s="52"/>
      <c r="AU26" s="52"/>
      <c r="AV26" s="637"/>
      <c r="AW26" s="637"/>
      <c r="AX26" s="52"/>
      <c r="AY26" s="52"/>
      <c r="AZ26" s="637"/>
      <c r="BA26" s="637"/>
      <c r="BB26" s="52"/>
      <c r="BC26" s="52"/>
      <c r="BD26" s="637"/>
      <c r="BE26" s="637"/>
      <c r="BF26" s="137">
        <f t="shared" si="2"/>
        <v>0</v>
      </c>
      <c r="BG26" s="43">
        <f t="shared" si="3"/>
        <v>0</v>
      </c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</row>
    <row r="27" spans="1:99" s="96" customFormat="1" ht="22.5" customHeight="1">
      <c r="A27" s="39"/>
      <c r="B27" s="51">
        <v>12</v>
      </c>
      <c r="C27" s="51" t="s">
        <v>39</v>
      </c>
      <c r="D27" s="42">
        <v>30091999</v>
      </c>
      <c r="E27" s="52" t="s">
        <v>2708</v>
      </c>
      <c r="F27" s="52" t="s">
        <v>317</v>
      </c>
      <c r="G27" s="56" t="s">
        <v>2686</v>
      </c>
      <c r="H27" s="52" t="s">
        <v>2709</v>
      </c>
      <c r="I27" s="52" t="s">
        <v>2537</v>
      </c>
      <c r="J27" s="636">
        <v>1282519</v>
      </c>
      <c r="K27" s="52"/>
      <c r="L27" s="52"/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/>
      <c r="W27" s="54"/>
      <c r="X27" s="54"/>
      <c r="Y27" s="54">
        <f t="shared" si="1"/>
        <v>0</v>
      </c>
      <c r="Z27" s="52">
        <v>1000</v>
      </c>
      <c r="AA27" s="52">
        <v>1</v>
      </c>
      <c r="AB27" s="637">
        <v>44207</v>
      </c>
      <c r="AC27" s="637">
        <v>44249</v>
      </c>
      <c r="AD27" s="52">
        <v>-1000</v>
      </c>
      <c r="AE27" s="52">
        <v>39</v>
      </c>
      <c r="AF27" s="637">
        <v>44358</v>
      </c>
      <c r="AG27" s="637">
        <v>44364</v>
      </c>
      <c r="AH27" s="52"/>
      <c r="AI27" s="52"/>
      <c r="AJ27" s="637"/>
      <c r="AK27" s="637"/>
      <c r="AL27" s="52"/>
      <c r="AM27" s="52"/>
      <c r="AN27" s="637"/>
      <c r="AO27" s="637"/>
      <c r="AP27" s="52"/>
      <c r="AQ27" s="52"/>
      <c r="AR27" s="637"/>
      <c r="AS27" s="637"/>
      <c r="AT27" s="52"/>
      <c r="AU27" s="52"/>
      <c r="AV27" s="637"/>
      <c r="AW27" s="637"/>
      <c r="AX27" s="52"/>
      <c r="AY27" s="52"/>
      <c r="AZ27" s="637"/>
      <c r="BA27" s="637"/>
      <c r="BB27" s="52"/>
      <c r="BC27" s="52"/>
      <c r="BD27" s="637"/>
      <c r="BE27" s="637"/>
      <c r="BF27" s="137">
        <f t="shared" si="2"/>
        <v>0</v>
      </c>
      <c r="BG27" s="43">
        <f t="shared" si="3"/>
        <v>0</v>
      </c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</row>
    <row r="28" spans="1:99" s="96" customFormat="1" ht="22.5" customHeight="1">
      <c r="A28" s="39"/>
      <c r="B28" s="51">
        <v>13</v>
      </c>
      <c r="C28" s="51" t="s">
        <v>39</v>
      </c>
      <c r="D28" s="42">
        <v>30092387</v>
      </c>
      <c r="E28" s="52" t="s">
        <v>2710</v>
      </c>
      <c r="F28" s="52" t="s">
        <v>317</v>
      </c>
      <c r="G28" s="56" t="s">
        <v>2686</v>
      </c>
      <c r="H28" s="52" t="s">
        <v>2711</v>
      </c>
      <c r="I28" s="52" t="s">
        <v>2537</v>
      </c>
      <c r="J28" s="636">
        <v>206714</v>
      </c>
      <c r="K28" s="52"/>
      <c r="L28" s="52"/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5933.8429999999998</v>
      </c>
      <c r="U28" s="54">
        <v>2499</v>
      </c>
      <c r="V28" s="54"/>
      <c r="W28" s="54"/>
      <c r="X28" s="54"/>
      <c r="Y28" s="54">
        <f t="shared" si="1"/>
        <v>8432.8430000000008</v>
      </c>
      <c r="Z28" s="52">
        <v>1000</v>
      </c>
      <c r="AA28" s="52">
        <v>8</v>
      </c>
      <c r="AB28" s="637">
        <v>44252</v>
      </c>
      <c r="AC28" s="637">
        <v>44292</v>
      </c>
      <c r="AD28" s="52">
        <v>-1000</v>
      </c>
      <c r="AE28" s="52">
        <v>39</v>
      </c>
      <c r="AF28" s="637">
        <v>44358</v>
      </c>
      <c r="AG28" s="637">
        <v>44364</v>
      </c>
      <c r="AH28" s="52"/>
      <c r="AI28" s="52"/>
      <c r="AJ28" s="637"/>
      <c r="AK28" s="637"/>
      <c r="AL28" s="52"/>
      <c r="AM28" s="52"/>
      <c r="AN28" s="637"/>
      <c r="AO28" s="637"/>
      <c r="AP28" s="52"/>
      <c r="AQ28" s="52"/>
      <c r="AR28" s="637"/>
      <c r="AS28" s="637"/>
      <c r="AT28" s="52"/>
      <c r="AU28" s="52"/>
      <c r="AV28" s="637"/>
      <c r="AW28" s="637"/>
      <c r="AX28" s="52"/>
      <c r="AY28" s="52"/>
      <c r="AZ28" s="637"/>
      <c r="BA28" s="637"/>
      <c r="BB28" s="52"/>
      <c r="BC28" s="52"/>
      <c r="BD28" s="637"/>
      <c r="BE28" s="637"/>
      <c r="BF28" s="137">
        <f t="shared" si="2"/>
        <v>0</v>
      </c>
      <c r="BG28" s="43">
        <f t="shared" si="3"/>
        <v>-8432.8430000000008</v>
      </c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</row>
    <row r="29" spans="1:99" s="96" customFormat="1" ht="22.5" customHeight="1">
      <c r="A29" s="39"/>
      <c r="B29" s="51">
        <v>14</v>
      </c>
      <c r="C29" s="51" t="s">
        <v>39</v>
      </c>
      <c r="D29" s="42">
        <v>30092698</v>
      </c>
      <c r="E29" s="52" t="s">
        <v>2712</v>
      </c>
      <c r="F29" s="52" t="s">
        <v>317</v>
      </c>
      <c r="G29" s="56" t="s">
        <v>2686</v>
      </c>
      <c r="H29" s="52" t="s">
        <v>2711</v>
      </c>
      <c r="I29" s="52" t="s">
        <v>2537</v>
      </c>
      <c r="J29" s="636">
        <v>23037</v>
      </c>
      <c r="K29" s="52"/>
      <c r="L29" s="52"/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/>
      <c r="W29" s="54"/>
      <c r="X29" s="54"/>
      <c r="Y29" s="54">
        <f t="shared" si="1"/>
        <v>0</v>
      </c>
      <c r="Z29" s="52">
        <v>12094</v>
      </c>
      <c r="AA29" s="52">
        <v>4</v>
      </c>
      <c r="AB29" s="637">
        <v>44221</v>
      </c>
      <c r="AC29" s="637">
        <v>44280</v>
      </c>
      <c r="AD29" s="52">
        <v>-12094</v>
      </c>
      <c r="AE29" s="52">
        <v>40</v>
      </c>
      <c r="AF29" s="637">
        <v>44358</v>
      </c>
      <c r="AG29" s="637">
        <v>44364</v>
      </c>
      <c r="AH29" s="52"/>
      <c r="AI29" s="52"/>
      <c r="AJ29" s="637"/>
      <c r="AK29" s="637"/>
      <c r="AL29" s="52"/>
      <c r="AM29" s="52"/>
      <c r="AN29" s="637"/>
      <c r="AO29" s="637"/>
      <c r="AP29" s="52"/>
      <c r="AQ29" s="52"/>
      <c r="AR29" s="637"/>
      <c r="AS29" s="637"/>
      <c r="AT29" s="52"/>
      <c r="AU29" s="52"/>
      <c r="AV29" s="637"/>
      <c r="AW29" s="637"/>
      <c r="AX29" s="52"/>
      <c r="AY29" s="52"/>
      <c r="AZ29" s="637"/>
      <c r="BA29" s="637"/>
      <c r="BB29" s="52"/>
      <c r="BC29" s="52"/>
      <c r="BD29" s="637"/>
      <c r="BE29" s="637"/>
      <c r="BF29" s="137">
        <f t="shared" si="2"/>
        <v>0</v>
      </c>
      <c r="BG29" s="43">
        <f t="shared" si="3"/>
        <v>0</v>
      </c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</row>
    <row r="30" spans="1:99" s="96" customFormat="1" ht="22.5" customHeight="1">
      <c r="A30" s="39"/>
      <c r="B30" s="51">
        <v>15</v>
      </c>
      <c r="C30" s="51" t="s">
        <v>39</v>
      </c>
      <c r="D30" s="42">
        <v>30094511</v>
      </c>
      <c r="E30" s="52" t="s">
        <v>2713</v>
      </c>
      <c r="F30" s="52" t="s">
        <v>317</v>
      </c>
      <c r="G30" s="56" t="s">
        <v>2686</v>
      </c>
      <c r="H30" s="52" t="s">
        <v>2714</v>
      </c>
      <c r="I30" s="52" t="s">
        <v>2537</v>
      </c>
      <c r="J30" s="636">
        <v>1089085</v>
      </c>
      <c r="K30" s="52"/>
      <c r="L30" s="52"/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/>
      <c r="W30" s="54"/>
      <c r="X30" s="54"/>
      <c r="Y30" s="54">
        <f t="shared" si="1"/>
        <v>0</v>
      </c>
      <c r="Z30" s="52">
        <v>1000</v>
      </c>
      <c r="AA30" s="52">
        <v>4</v>
      </c>
      <c r="AB30" s="637">
        <v>44221</v>
      </c>
      <c r="AC30" s="637">
        <v>44280</v>
      </c>
      <c r="AD30" s="52">
        <v>-1000</v>
      </c>
      <c r="AE30" s="52">
        <v>39</v>
      </c>
      <c r="AF30" s="637">
        <v>44358</v>
      </c>
      <c r="AG30" s="637">
        <v>44364</v>
      </c>
      <c r="AH30" s="52"/>
      <c r="AI30" s="52"/>
      <c r="AJ30" s="637"/>
      <c r="AK30" s="637"/>
      <c r="AL30" s="52"/>
      <c r="AM30" s="52"/>
      <c r="AN30" s="637"/>
      <c r="AO30" s="637"/>
      <c r="AP30" s="52"/>
      <c r="AQ30" s="52"/>
      <c r="AR30" s="637"/>
      <c r="AS30" s="637"/>
      <c r="AT30" s="52"/>
      <c r="AU30" s="52"/>
      <c r="AV30" s="637"/>
      <c r="AW30" s="637"/>
      <c r="AX30" s="52"/>
      <c r="AY30" s="52"/>
      <c r="AZ30" s="637"/>
      <c r="BA30" s="637"/>
      <c r="BB30" s="52"/>
      <c r="BC30" s="52"/>
      <c r="BD30" s="637"/>
      <c r="BE30" s="637"/>
      <c r="BF30" s="137">
        <f t="shared" si="2"/>
        <v>0</v>
      </c>
      <c r="BG30" s="43">
        <f t="shared" si="3"/>
        <v>0</v>
      </c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</row>
    <row r="31" spans="1:99" s="96" customFormat="1" ht="22.5" customHeight="1">
      <c r="A31" s="39"/>
      <c r="B31" s="51">
        <v>16</v>
      </c>
      <c r="C31" s="51" t="s">
        <v>39</v>
      </c>
      <c r="D31" s="42">
        <v>30094580</v>
      </c>
      <c r="E31" s="52" t="s">
        <v>2715</v>
      </c>
      <c r="F31" s="52" t="s">
        <v>317</v>
      </c>
      <c r="G31" s="56" t="s">
        <v>2686</v>
      </c>
      <c r="H31" s="52" t="s">
        <v>2716</v>
      </c>
      <c r="I31" s="52" t="s">
        <v>2537</v>
      </c>
      <c r="J31" s="636">
        <v>221190</v>
      </c>
      <c r="K31" s="52"/>
      <c r="L31" s="52"/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/>
      <c r="W31" s="54"/>
      <c r="X31" s="54"/>
      <c r="Y31" s="54">
        <f t="shared" si="1"/>
        <v>0</v>
      </c>
      <c r="Z31" s="52">
        <v>1000</v>
      </c>
      <c r="AA31" s="52">
        <v>8</v>
      </c>
      <c r="AB31" s="637">
        <v>44252</v>
      </c>
      <c r="AC31" s="637">
        <v>44292</v>
      </c>
      <c r="AD31" s="52">
        <v>-1000</v>
      </c>
      <c r="AE31" s="52">
        <v>39</v>
      </c>
      <c r="AF31" s="637">
        <v>44358</v>
      </c>
      <c r="AG31" s="637">
        <v>44364</v>
      </c>
      <c r="AH31" s="52"/>
      <c r="AI31" s="52"/>
      <c r="AJ31" s="637"/>
      <c r="AK31" s="637"/>
      <c r="AL31" s="52"/>
      <c r="AM31" s="52"/>
      <c r="AN31" s="637"/>
      <c r="AO31" s="637"/>
      <c r="AP31" s="52"/>
      <c r="AQ31" s="52"/>
      <c r="AR31" s="637"/>
      <c r="AS31" s="637"/>
      <c r="AT31" s="52"/>
      <c r="AU31" s="52"/>
      <c r="AV31" s="637"/>
      <c r="AW31" s="637"/>
      <c r="AX31" s="52"/>
      <c r="AY31" s="52"/>
      <c r="AZ31" s="637"/>
      <c r="BA31" s="637"/>
      <c r="BB31" s="52"/>
      <c r="BC31" s="52"/>
      <c r="BD31" s="637"/>
      <c r="BE31" s="637"/>
      <c r="BF31" s="137">
        <f t="shared" si="2"/>
        <v>0</v>
      </c>
      <c r="BG31" s="43">
        <f t="shared" si="3"/>
        <v>0</v>
      </c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</row>
    <row r="32" spans="1:99" s="96" customFormat="1" ht="22.5" customHeight="1">
      <c r="A32" s="39"/>
      <c r="B32" s="51">
        <v>17</v>
      </c>
      <c r="C32" s="51" t="s">
        <v>39</v>
      </c>
      <c r="D32" s="42">
        <v>30094637</v>
      </c>
      <c r="E32" s="52" t="s">
        <v>2717</v>
      </c>
      <c r="F32" s="52" t="s">
        <v>317</v>
      </c>
      <c r="G32" s="56" t="s">
        <v>2686</v>
      </c>
      <c r="H32" s="52" t="s">
        <v>2718</v>
      </c>
      <c r="I32" s="52" t="s">
        <v>2537</v>
      </c>
      <c r="J32" s="636">
        <v>848549</v>
      </c>
      <c r="K32" s="52"/>
      <c r="L32" s="52"/>
      <c r="M32" s="54">
        <v>74448.2</v>
      </c>
      <c r="N32" s="54">
        <v>60910.822999999997</v>
      </c>
      <c r="O32" s="54">
        <v>1450</v>
      </c>
      <c r="P32" s="54">
        <v>89043.020999999993</v>
      </c>
      <c r="Q32" s="54">
        <v>42748.692999999999</v>
      </c>
      <c r="R32" s="54">
        <v>77119.442999999999</v>
      </c>
      <c r="S32" s="54">
        <v>54268.508000000002</v>
      </c>
      <c r="T32" s="54">
        <v>19198.651999999998</v>
      </c>
      <c r="U32" s="54">
        <v>74595.751999999993</v>
      </c>
      <c r="V32" s="54"/>
      <c r="W32" s="54"/>
      <c r="X32" s="54"/>
      <c r="Y32" s="54">
        <f t="shared" si="1"/>
        <v>493783.09199999995</v>
      </c>
      <c r="Z32" s="52">
        <v>274449</v>
      </c>
      <c r="AA32" s="52">
        <v>4</v>
      </c>
      <c r="AB32" s="637">
        <v>44221</v>
      </c>
      <c r="AC32" s="637">
        <v>44280</v>
      </c>
      <c r="AD32" s="52">
        <v>2900</v>
      </c>
      <c r="AE32" s="52">
        <v>8</v>
      </c>
      <c r="AF32" s="637">
        <v>44252</v>
      </c>
      <c r="AG32" s="637">
        <v>44292</v>
      </c>
      <c r="AH32" s="52">
        <v>202900</v>
      </c>
      <c r="AI32" s="52">
        <v>10</v>
      </c>
      <c r="AJ32" s="637">
        <v>44286</v>
      </c>
      <c r="AK32" s="637">
        <v>44306</v>
      </c>
      <c r="AL32" s="52">
        <v>4350</v>
      </c>
      <c r="AM32" s="52">
        <v>26</v>
      </c>
      <c r="AN32" s="637">
        <v>44358</v>
      </c>
      <c r="AO32" s="637">
        <v>44364</v>
      </c>
      <c r="AP32" s="52"/>
      <c r="AQ32" s="52"/>
      <c r="AR32" s="637"/>
      <c r="AS32" s="637"/>
      <c r="AT32" s="52"/>
      <c r="AU32" s="52"/>
      <c r="AV32" s="637"/>
      <c r="AW32" s="637"/>
      <c r="AX32" s="52"/>
      <c r="AY32" s="52"/>
      <c r="AZ32" s="637"/>
      <c r="BA32" s="637"/>
      <c r="BB32" s="52"/>
      <c r="BC32" s="52"/>
      <c r="BD32" s="637"/>
      <c r="BE32" s="637"/>
      <c r="BF32" s="137">
        <f t="shared" si="2"/>
        <v>484599</v>
      </c>
      <c r="BG32" s="43">
        <f t="shared" si="3"/>
        <v>-9184.091999999946</v>
      </c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</row>
    <row r="33" spans="1:99" s="96" customFormat="1" ht="22.5" customHeight="1">
      <c r="A33" s="39"/>
      <c r="B33" s="51">
        <v>18</v>
      </c>
      <c r="C33" s="51" t="s">
        <v>39</v>
      </c>
      <c r="D33" s="42">
        <v>30094721</v>
      </c>
      <c r="E33" s="52" t="s">
        <v>2719</v>
      </c>
      <c r="F33" s="52" t="s">
        <v>47</v>
      </c>
      <c r="G33" s="56" t="s">
        <v>2686</v>
      </c>
      <c r="H33" s="52" t="s">
        <v>2720</v>
      </c>
      <c r="I33" s="52" t="s">
        <v>2537</v>
      </c>
      <c r="J33" s="636">
        <v>43770</v>
      </c>
      <c r="K33" s="52"/>
      <c r="L33" s="52"/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/>
      <c r="W33" s="54"/>
      <c r="X33" s="54"/>
      <c r="Y33" s="54">
        <f t="shared" si="1"/>
        <v>0</v>
      </c>
      <c r="Z33" s="52">
        <v>1000</v>
      </c>
      <c r="AA33" s="52">
        <v>4</v>
      </c>
      <c r="AB33" s="637">
        <v>44221</v>
      </c>
      <c r="AC33" s="637">
        <v>44280</v>
      </c>
      <c r="AD33" s="52">
        <v>22881</v>
      </c>
      <c r="AE33" s="52">
        <v>10</v>
      </c>
      <c r="AF33" s="637">
        <v>44286</v>
      </c>
      <c r="AG33" s="637">
        <v>44306</v>
      </c>
      <c r="AH33" s="52">
        <v>-23881</v>
      </c>
      <c r="AI33" s="52">
        <v>40</v>
      </c>
      <c r="AJ33" s="637">
        <v>44358</v>
      </c>
      <c r="AK33" s="637">
        <v>44364</v>
      </c>
      <c r="AL33" s="52"/>
      <c r="AM33" s="52"/>
      <c r="AN33" s="637"/>
      <c r="AO33" s="637"/>
      <c r="AP33" s="52"/>
      <c r="AQ33" s="52"/>
      <c r="AR33" s="637"/>
      <c r="AS33" s="637"/>
      <c r="AT33" s="52"/>
      <c r="AU33" s="52"/>
      <c r="AV33" s="637"/>
      <c r="AW33" s="637"/>
      <c r="AX33" s="52"/>
      <c r="AY33" s="52"/>
      <c r="AZ33" s="637"/>
      <c r="BA33" s="637"/>
      <c r="BB33" s="52"/>
      <c r="BC33" s="52"/>
      <c r="BD33" s="637"/>
      <c r="BE33" s="637"/>
      <c r="BF33" s="137">
        <f t="shared" si="2"/>
        <v>0</v>
      </c>
      <c r="BG33" s="43">
        <f t="shared" si="3"/>
        <v>0</v>
      </c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</row>
    <row r="34" spans="1:99" s="96" customFormat="1" ht="22.5">
      <c r="A34" s="39"/>
      <c r="B34" s="51">
        <v>19</v>
      </c>
      <c r="C34" s="51" t="s">
        <v>39</v>
      </c>
      <c r="D34" s="42">
        <v>30094738</v>
      </c>
      <c r="E34" s="52" t="s">
        <v>2721</v>
      </c>
      <c r="F34" s="52" t="s">
        <v>47</v>
      </c>
      <c r="G34" s="56" t="s">
        <v>2686</v>
      </c>
      <c r="H34" s="52" t="s">
        <v>2722</v>
      </c>
      <c r="I34" s="52" t="s">
        <v>2537</v>
      </c>
      <c r="J34" s="636">
        <v>43648</v>
      </c>
      <c r="K34" s="52"/>
      <c r="L34" s="52"/>
      <c r="M34" s="54">
        <v>0</v>
      </c>
      <c r="N34" s="54">
        <v>21450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/>
      <c r="W34" s="54"/>
      <c r="X34" s="54"/>
      <c r="Y34" s="54">
        <f t="shared" si="1"/>
        <v>21450</v>
      </c>
      <c r="Z34" s="52">
        <v>42900</v>
      </c>
      <c r="AA34" s="52">
        <v>8</v>
      </c>
      <c r="AB34" s="637">
        <v>44252</v>
      </c>
      <c r="AC34" s="637">
        <v>44292</v>
      </c>
      <c r="AD34" s="52"/>
      <c r="AE34" s="52"/>
      <c r="AF34" s="637"/>
      <c r="AG34" s="637"/>
      <c r="AH34" s="52"/>
      <c r="AI34" s="52"/>
      <c r="AJ34" s="637"/>
      <c r="AK34" s="637"/>
      <c r="AL34" s="52"/>
      <c r="AM34" s="52"/>
      <c r="AN34" s="637"/>
      <c r="AO34" s="637"/>
      <c r="AP34" s="52"/>
      <c r="AQ34" s="52"/>
      <c r="AR34" s="637"/>
      <c r="AS34" s="637"/>
      <c r="AT34" s="52"/>
      <c r="AU34" s="52"/>
      <c r="AV34" s="637"/>
      <c r="AW34" s="637"/>
      <c r="AX34" s="52"/>
      <c r="AY34" s="52"/>
      <c r="AZ34" s="637"/>
      <c r="BA34" s="637"/>
      <c r="BB34" s="52"/>
      <c r="BC34" s="52"/>
      <c r="BD34" s="637"/>
      <c r="BE34" s="637"/>
      <c r="BF34" s="137">
        <f t="shared" si="2"/>
        <v>42900</v>
      </c>
      <c r="BG34" s="43">
        <f t="shared" si="3"/>
        <v>21450</v>
      </c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</row>
    <row r="35" spans="1:99" s="96" customFormat="1" ht="22.5" customHeight="1">
      <c r="A35" s="39"/>
      <c r="B35" s="51">
        <v>20</v>
      </c>
      <c r="C35" s="51" t="s">
        <v>39</v>
      </c>
      <c r="D35" s="42">
        <v>30094962</v>
      </c>
      <c r="E35" s="52" t="s">
        <v>2723</v>
      </c>
      <c r="F35" s="52" t="s">
        <v>317</v>
      </c>
      <c r="G35" s="56" t="s">
        <v>2686</v>
      </c>
      <c r="H35" s="52" t="s">
        <v>2722</v>
      </c>
      <c r="I35" s="52" t="s">
        <v>2537</v>
      </c>
      <c r="J35" s="636">
        <v>3424021</v>
      </c>
      <c r="K35" s="52"/>
      <c r="L35" s="52"/>
      <c r="M35" s="54">
        <v>112337.004</v>
      </c>
      <c r="N35" s="54">
        <v>0</v>
      </c>
      <c r="O35" s="54">
        <v>72662.759000000005</v>
      </c>
      <c r="P35" s="54">
        <v>1910.771</v>
      </c>
      <c r="Q35" s="54">
        <v>11687.62</v>
      </c>
      <c r="R35" s="54">
        <v>59762.156999999999</v>
      </c>
      <c r="S35" s="54">
        <v>13534.116</v>
      </c>
      <c r="T35" s="54">
        <v>36361.823000000004</v>
      </c>
      <c r="U35" s="54">
        <v>3382.4809999999998</v>
      </c>
      <c r="V35" s="54"/>
      <c r="W35" s="54"/>
      <c r="X35" s="54"/>
      <c r="Y35" s="54">
        <f t="shared" si="1"/>
        <v>311638.73100000003</v>
      </c>
      <c r="Z35" s="52">
        <v>430000</v>
      </c>
      <c r="AA35" s="52">
        <v>4</v>
      </c>
      <c r="AB35" s="637">
        <v>44221</v>
      </c>
      <c r="AC35" s="637">
        <v>44280</v>
      </c>
      <c r="AD35" s="52">
        <v>-140005</v>
      </c>
      <c r="AE35" s="52">
        <v>38</v>
      </c>
      <c r="AF35" s="637">
        <v>44358</v>
      </c>
      <c r="AG35" s="637">
        <v>44364</v>
      </c>
      <c r="AH35" s="52"/>
      <c r="AI35" s="52"/>
      <c r="AJ35" s="637"/>
      <c r="AK35" s="637"/>
      <c r="AL35" s="52"/>
      <c r="AM35" s="52"/>
      <c r="AN35" s="637"/>
      <c r="AO35" s="637"/>
      <c r="AP35" s="52"/>
      <c r="AQ35" s="52"/>
      <c r="AR35" s="637"/>
      <c r="AS35" s="637"/>
      <c r="AT35" s="52"/>
      <c r="AU35" s="52"/>
      <c r="AV35" s="637"/>
      <c r="AW35" s="637"/>
      <c r="AX35" s="52"/>
      <c r="AY35" s="52"/>
      <c r="AZ35" s="637"/>
      <c r="BA35" s="637"/>
      <c r="BB35" s="52"/>
      <c r="BC35" s="52"/>
      <c r="BD35" s="637"/>
      <c r="BE35" s="637"/>
      <c r="BF35" s="137">
        <f t="shared" si="2"/>
        <v>289995</v>
      </c>
      <c r="BG35" s="43">
        <f t="shared" si="3"/>
        <v>-21643.731000000029</v>
      </c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</row>
    <row r="36" spans="1:99" s="96" customFormat="1" ht="22.5" customHeight="1">
      <c r="A36" s="39"/>
      <c r="B36" s="51">
        <v>21</v>
      </c>
      <c r="C36" s="51" t="s">
        <v>39</v>
      </c>
      <c r="D36" s="42">
        <v>30095025</v>
      </c>
      <c r="E36" s="52" t="s">
        <v>2724</v>
      </c>
      <c r="F36" s="52" t="s">
        <v>47</v>
      </c>
      <c r="G36" s="56" t="s">
        <v>2686</v>
      </c>
      <c r="H36" s="52" t="s">
        <v>2725</v>
      </c>
      <c r="I36" s="52" t="s">
        <v>2537</v>
      </c>
      <c r="J36" s="636">
        <v>28856</v>
      </c>
      <c r="K36" s="52"/>
      <c r="L36" s="52"/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/>
      <c r="W36" s="54"/>
      <c r="X36" s="54"/>
      <c r="Y36" s="54">
        <f t="shared" si="1"/>
        <v>0</v>
      </c>
      <c r="Z36" s="52">
        <v>1000</v>
      </c>
      <c r="AA36" s="52">
        <v>8</v>
      </c>
      <c r="AB36" s="637">
        <v>44252</v>
      </c>
      <c r="AC36" s="637">
        <v>44292</v>
      </c>
      <c r="AD36" s="52">
        <v>-1000</v>
      </c>
      <c r="AE36" s="52">
        <v>39</v>
      </c>
      <c r="AF36" s="637">
        <v>44358</v>
      </c>
      <c r="AG36" s="637">
        <v>44364</v>
      </c>
      <c r="AH36" s="52"/>
      <c r="AI36" s="52"/>
      <c r="AJ36" s="637"/>
      <c r="AK36" s="637"/>
      <c r="AL36" s="52"/>
      <c r="AM36" s="52"/>
      <c r="AN36" s="637"/>
      <c r="AO36" s="637"/>
      <c r="AP36" s="52"/>
      <c r="AQ36" s="52"/>
      <c r="AR36" s="637"/>
      <c r="AS36" s="637"/>
      <c r="AT36" s="52"/>
      <c r="AU36" s="52"/>
      <c r="AV36" s="637"/>
      <c r="AW36" s="637"/>
      <c r="AX36" s="52"/>
      <c r="AY36" s="52"/>
      <c r="AZ36" s="637"/>
      <c r="BA36" s="637"/>
      <c r="BB36" s="52"/>
      <c r="BC36" s="52"/>
      <c r="BD36" s="637"/>
      <c r="BE36" s="637"/>
      <c r="BF36" s="137">
        <f t="shared" si="2"/>
        <v>0</v>
      </c>
      <c r="BG36" s="43">
        <f t="shared" si="3"/>
        <v>0</v>
      </c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</row>
    <row r="37" spans="1:99" s="96" customFormat="1" ht="22.5" customHeight="1">
      <c r="A37" s="39"/>
      <c r="B37" s="51">
        <v>22</v>
      </c>
      <c r="C37" s="51" t="s">
        <v>39</v>
      </c>
      <c r="D37" s="42">
        <v>30102523</v>
      </c>
      <c r="E37" s="52" t="s">
        <v>2726</v>
      </c>
      <c r="F37" s="52" t="s">
        <v>317</v>
      </c>
      <c r="G37" s="56" t="s">
        <v>2686</v>
      </c>
      <c r="H37" s="52" t="s">
        <v>2727</v>
      </c>
      <c r="I37" s="52" t="s">
        <v>2537</v>
      </c>
      <c r="J37" s="636">
        <v>73867</v>
      </c>
      <c r="K37" s="52"/>
      <c r="L37" s="52"/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/>
      <c r="W37" s="54"/>
      <c r="X37" s="54"/>
      <c r="Y37" s="54">
        <f t="shared" si="1"/>
        <v>0</v>
      </c>
      <c r="Z37" s="52">
        <v>1000</v>
      </c>
      <c r="AA37" s="52">
        <v>4</v>
      </c>
      <c r="AB37" s="637">
        <v>44221</v>
      </c>
      <c r="AC37" s="637">
        <v>44280</v>
      </c>
      <c r="AD37" s="52">
        <v>28995</v>
      </c>
      <c r="AE37" s="52">
        <v>10</v>
      </c>
      <c r="AF37" s="637">
        <v>44286</v>
      </c>
      <c r="AG37" s="637">
        <v>44306</v>
      </c>
      <c r="AH37" s="52">
        <v>-29995</v>
      </c>
      <c r="AI37" s="52">
        <v>40</v>
      </c>
      <c r="AJ37" s="637">
        <v>44358</v>
      </c>
      <c r="AK37" s="637">
        <v>44364</v>
      </c>
      <c r="AL37" s="52"/>
      <c r="AM37" s="52"/>
      <c r="AN37" s="637"/>
      <c r="AO37" s="637"/>
      <c r="AP37" s="52"/>
      <c r="AQ37" s="52"/>
      <c r="AR37" s="637"/>
      <c r="AS37" s="637"/>
      <c r="AT37" s="52"/>
      <c r="AU37" s="52"/>
      <c r="AV37" s="637"/>
      <c r="AW37" s="637"/>
      <c r="AX37" s="52"/>
      <c r="AY37" s="52"/>
      <c r="AZ37" s="637"/>
      <c r="BA37" s="637"/>
      <c r="BB37" s="52"/>
      <c r="BC37" s="52"/>
      <c r="BD37" s="637"/>
      <c r="BE37" s="637"/>
      <c r="BF37" s="137">
        <f t="shared" si="2"/>
        <v>0</v>
      </c>
      <c r="BG37" s="43">
        <f t="shared" si="3"/>
        <v>0</v>
      </c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</row>
    <row r="38" spans="1:99" s="96" customFormat="1" ht="22.5" customHeight="1">
      <c r="A38" s="39"/>
      <c r="B38" s="51">
        <v>23</v>
      </c>
      <c r="C38" s="51" t="s">
        <v>39</v>
      </c>
      <c r="D38" s="42">
        <v>30102581</v>
      </c>
      <c r="E38" s="52" t="s">
        <v>2728</v>
      </c>
      <c r="F38" s="52" t="s">
        <v>317</v>
      </c>
      <c r="G38" s="56" t="s">
        <v>2686</v>
      </c>
      <c r="H38" s="52" t="s">
        <v>2729</v>
      </c>
      <c r="I38" s="52" t="s">
        <v>2537</v>
      </c>
      <c r="J38" s="636">
        <v>36685</v>
      </c>
      <c r="K38" s="52"/>
      <c r="L38" s="52"/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/>
      <c r="W38" s="54"/>
      <c r="X38" s="54"/>
      <c r="Y38" s="54">
        <f t="shared" si="1"/>
        <v>0</v>
      </c>
      <c r="Z38" s="52">
        <v>1000</v>
      </c>
      <c r="AA38" s="52">
        <v>8</v>
      </c>
      <c r="AB38" s="637">
        <v>44252</v>
      </c>
      <c r="AC38" s="637">
        <v>44292</v>
      </c>
      <c r="AD38" s="52">
        <v>-1000</v>
      </c>
      <c r="AE38" s="52">
        <v>39</v>
      </c>
      <c r="AF38" s="637">
        <v>44358</v>
      </c>
      <c r="AG38" s="637">
        <v>44364</v>
      </c>
      <c r="AH38" s="52"/>
      <c r="AI38" s="52"/>
      <c r="AJ38" s="637"/>
      <c r="AK38" s="637"/>
      <c r="AL38" s="52"/>
      <c r="AM38" s="52"/>
      <c r="AN38" s="637"/>
      <c r="AO38" s="637"/>
      <c r="AP38" s="52"/>
      <c r="AQ38" s="52"/>
      <c r="AR38" s="637"/>
      <c r="AS38" s="637"/>
      <c r="AT38" s="52"/>
      <c r="AU38" s="52"/>
      <c r="AV38" s="637"/>
      <c r="AW38" s="637"/>
      <c r="AX38" s="52"/>
      <c r="AY38" s="52"/>
      <c r="AZ38" s="637"/>
      <c r="BA38" s="637"/>
      <c r="BB38" s="52"/>
      <c r="BC38" s="52"/>
      <c r="BD38" s="637"/>
      <c r="BE38" s="637"/>
      <c r="BF38" s="137">
        <f t="shared" si="2"/>
        <v>0</v>
      </c>
      <c r="BG38" s="43">
        <f t="shared" si="3"/>
        <v>0</v>
      </c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</row>
    <row r="39" spans="1:99" s="96" customFormat="1" ht="22.5" customHeight="1">
      <c r="A39" s="39"/>
      <c r="B39" s="51">
        <v>24</v>
      </c>
      <c r="C39" s="51" t="s">
        <v>39</v>
      </c>
      <c r="D39" s="42">
        <v>30102654</v>
      </c>
      <c r="E39" s="52" t="s">
        <v>2730</v>
      </c>
      <c r="F39" s="52" t="s">
        <v>317</v>
      </c>
      <c r="G39" s="56" t="s">
        <v>2686</v>
      </c>
      <c r="H39" s="52" t="s">
        <v>2729</v>
      </c>
      <c r="I39" s="52" t="s">
        <v>2537</v>
      </c>
      <c r="J39" s="636">
        <v>5120</v>
      </c>
      <c r="K39" s="52"/>
      <c r="L39" s="52"/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/>
      <c r="W39" s="54"/>
      <c r="X39" s="54"/>
      <c r="Y39" s="54">
        <f t="shared" si="1"/>
        <v>0</v>
      </c>
      <c r="Z39" s="52">
        <v>1000</v>
      </c>
      <c r="AA39" s="52">
        <v>4</v>
      </c>
      <c r="AB39" s="637">
        <v>44221</v>
      </c>
      <c r="AC39" s="637">
        <v>44280</v>
      </c>
      <c r="AD39" s="52">
        <v>-1000</v>
      </c>
      <c r="AE39" s="52">
        <v>39</v>
      </c>
      <c r="AF39" s="637">
        <v>44358</v>
      </c>
      <c r="AG39" s="637">
        <v>44364</v>
      </c>
      <c r="AH39" s="52"/>
      <c r="AI39" s="52"/>
      <c r="AJ39" s="637"/>
      <c r="AK39" s="637"/>
      <c r="AL39" s="52"/>
      <c r="AM39" s="52"/>
      <c r="AN39" s="637"/>
      <c r="AO39" s="637"/>
      <c r="AP39" s="52"/>
      <c r="AQ39" s="52"/>
      <c r="AR39" s="637"/>
      <c r="AS39" s="637"/>
      <c r="AT39" s="52"/>
      <c r="AU39" s="52"/>
      <c r="AV39" s="637"/>
      <c r="AW39" s="637"/>
      <c r="AX39" s="52"/>
      <c r="AY39" s="52"/>
      <c r="AZ39" s="637"/>
      <c r="BA39" s="637"/>
      <c r="BB39" s="52"/>
      <c r="BC39" s="52"/>
      <c r="BD39" s="637"/>
      <c r="BE39" s="637"/>
      <c r="BF39" s="137">
        <f t="shared" si="2"/>
        <v>0</v>
      </c>
      <c r="BG39" s="43">
        <f t="shared" si="3"/>
        <v>0</v>
      </c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</row>
    <row r="40" spans="1:99" s="96" customFormat="1" ht="45" customHeight="1">
      <c r="A40" s="39"/>
      <c r="B40" s="51">
        <v>25</v>
      </c>
      <c r="C40" s="51" t="s">
        <v>39</v>
      </c>
      <c r="D40" s="42">
        <v>30102677</v>
      </c>
      <c r="E40" s="52" t="s">
        <v>2731</v>
      </c>
      <c r="F40" s="52" t="s">
        <v>317</v>
      </c>
      <c r="G40" s="56" t="s">
        <v>2686</v>
      </c>
      <c r="H40" s="52" t="s">
        <v>2701</v>
      </c>
      <c r="I40" s="52" t="s">
        <v>2537</v>
      </c>
      <c r="J40" s="636">
        <v>134741</v>
      </c>
      <c r="K40" s="52"/>
      <c r="L40" s="52"/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/>
      <c r="W40" s="54"/>
      <c r="X40" s="54"/>
      <c r="Y40" s="54">
        <f t="shared" si="1"/>
        <v>0</v>
      </c>
      <c r="Z40" s="52">
        <v>1000</v>
      </c>
      <c r="AA40" s="52">
        <v>4</v>
      </c>
      <c r="AB40" s="637">
        <v>44221</v>
      </c>
      <c r="AC40" s="637">
        <v>44280</v>
      </c>
      <c r="AD40" s="52">
        <v>-1000</v>
      </c>
      <c r="AE40" s="52">
        <v>39</v>
      </c>
      <c r="AF40" s="637">
        <v>44358</v>
      </c>
      <c r="AG40" s="637">
        <v>44364</v>
      </c>
      <c r="AH40" s="52"/>
      <c r="AI40" s="52"/>
      <c r="AJ40" s="637"/>
      <c r="AK40" s="637"/>
      <c r="AL40" s="52"/>
      <c r="AM40" s="52"/>
      <c r="AN40" s="637"/>
      <c r="AO40" s="637"/>
      <c r="AP40" s="52"/>
      <c r="AQ40" s="52"/>
      <c r="AR40" s="637"/>
      <c r="AS40" s="637"/>
      <c r="AT40" s="52"/>
      <c r="AU40" s="52"/>
      <c r="AV40" s="637"/>
      <c r="AW40" s="637"/>
      <c r="AX40" s="52"/>
      <c r="AY40" s="52"/>
      <c r="AZ40" s="637"/>
      <c r="BA40" s="637"/>
      <c r="BB40" s="52"/>
      <c r="BC40" s="52"/>
      <c r="BD40" s="637"/>
      <c r="BE40" s="637"/>
      <c r="BF40" s="137">
        <f t="shared" si="2"/>
        <v>0</v>
      </c>
      <c r="BG40" s="43">
        <f t="shared" si="3"/>
        <v>0</v>
      </c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</row>
    <row r="41" spans="1:99" s="96" customFormat="1" ht="22.5" customHeight="1">
      <c r="A41" s="39"/>
      <c r="B41" s="51">
        <v>26</v>
      </c>
      <c r="C41" s="51" t="s">
        <v>39</v>
      </c>
      <c r="D41" s="42">
        <v>30102818</v>
      </c>
      <c r="E41" s="52" t="s">
        <v>2732</v>
      </c>
      <c r="F41" s="52" t="s">
        <v>317</v>
      </c>
      <c r="G41" s="56" t="s">
        <v>2686</v>
      </c>
      <c r="H41" s="52" t="s">
        <v>2733</v>
      </c>
      <c r="I41" s="52" t="s">
        <v>2537</v>
      </c>
      <c r="J41" s="636">
        <v>545664</v>
      </c>
      <c r="K41" s="52"/>
      <c r="L41" s="52"/>
      <c r="M41" s="54">
        <v>0</v>
      </c>
      <c r="N41" s="54">
        <v>0</v>
      </c>
      <c r="O41" s="54">
        <v>0</v>
      </c>
      <c r="P41" s="54">
        <v>15955.077000000001</v>
      </c>
      <c r="Q41" s="54">
        <v>0</v>
      </c>
      <c r="R41" s="54">
        <v>38935.857000000004</v>
      </c>
      <c r="S41" s="54">
        <v>6199.2780000000002</v>
      </c>
      <c r="T41" s="54">
        <v>0</v>
      </c>
      <c r="U41" s="54">
        <v>0</v>
      </c>
      <c r="V41" s="54"/>
      <c r="W41" s="54"/>
      <c r="X41" s="54"/>
      <c r="Y41" s="54">
        <f t="shared" si="1"/>
        <v>61090.212000000007</v>
      </c>
      <c r="Z41" s="52">
        <v>6199</v>
      </c>
      <c r="AA41" s="52">
        <v>8</v>
      </c>
      <c r="AB41" s="637">
        <v>44252</v>
      </c>
      <c r="AC41" s="637">
        <v>44292</v>
      </c>
      <c r="AD41" s="52">
        <v>12577</v>
      </c>
      <c r="AE41" s="52">
        <v>11</v>
      </c>
      <c r="AF41" s="637">
        <v>44299</v>
      </c>
      <c r="AG41" s="637">
        <v>44312</v>
      </c>
      <c r="AH41" s="52">
        <v>28000</v>
      </c>
      <c r="AI41" s="52">
        <v>14</v>
      </c>
      <c r="AJ41" s="637">
        <v>44313</v>
      </c>
      <c r="AK41" s="637">
        <v>44322</v>
      </c>
      <c r="AL41" s="52">
        <v>16428</v>
      </c>
      <c r="AM41" s="52">
        <v>26</v>
      </c>
      <c r="AN41" s="637">
        <v>44358</v>
      </c>
      <c r="AO41" s="637">
        <v>44364</v>
      </c>
      <c r="AP41" s="52"/>
      <c r="AQ41" s="52"/>
      <c r="AR41" s="637"/>
      <c r="AS41" s="637"/>
      <c r="AT41" s="52"/>
      <c r="AU41" s="52"/>
      <c r="AV41" s="637"/>
      <c r="AW41" s="637"/>
      <c r="AX41" s="52"/>
      <c r="AY41" s="52"/>
      <c r="AZ41" s="637"/>
      <c r="BA41" s="637"/>
      <c r="BB41" s="52"/>
      <c r="BC41" s="52"/>
      <c r="BD41" s="637"/>
      <c r="BE41" s="637"/>
      <c r="BF41" s="137">
        <f t="shared" si="2"/>
        <v>63204</v>
      </c>
      <c r="BG41" s="43">
        <f t="shared" si="3"/>
        <v>2113.7879999999932</v>
      </c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</row>
    <row r="42" spans="1:99" s="96" customFormat="1" ht="22.5">
      <c r="A42" s="39"/>
      <c r="B42" s="51">
        <v>27</v>
      </c>
      <c r="C42" s="51" t="s">
        <v>39</v>
      </c>
      <c r="D42" s="42">
        <v>30102860</v>
      </c>
      <c r="E42" s="52" t="s">
        <v>2734</v>
      </c>
      <c r="F42" s="52" t="s">
        <v>317</v>
      </c>
      <c r="G42" s="56" t="s">
        <v>2686</v>
      </c>
      <c r="H42" s="52" t="s">
        <v>2735</v>
      </c>
      <c r="I42" s="52" t="s">
        <v>2537</v>
      </c>
      <c r="J42" s="636">
        <v>85907</v>
      </c>
      <c r="K42" s="52"/>
      <c r="L42" s="52"/>
      <c r="M42" s="54">
        <v>0</v>
      </c>
      <c r="N42" s="54">
        <v>0</v>
      </c>
      <c r="O42" s="54">
        <v>0</v>
      </c>
      <c r="P42" s="54">
        <v>80514.608999999997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/>
      <c r="W42" s="54"/>
      <c r="X42" s="54"/>
      <c r="Y42" s="54">
        <f t="shared" si="1"/>
        <v>80514.608999999997</v>
      </c>
      <c r="Z42" s="52">
        <v>85907</v>
      </c>
      <c r="AA42" s="52">
        <v>4</v>
      </c>
      <c r="AB42" s="637">
        <v>44221</v>
      </c>
      <c r="AC42" s="637">
        <v>44280</v>
      </c>
      <c r="AD42" s="52"/>
      <c r="AE42" s="52"/>
      <c r="AF42" s="637"/>
      <c r="AG42" s="637"/>
      <c r="AH42" s="52"/>
      <c r="AI42" s="52"/>
      <c r="AJ42" s="637"/>
      <c r="AK42" s="637"/>
      <c r="AL42" s="52"/>
      <c r="AM42" s="52"/>
      <c r="AN42" s="637"/>
      <c r="AO42" s="637"/>
      <c r="AP42" s="52"/>
      <c r="AQ42" s="52"/>
      <c r="AR42" s="637"/>
      <c r="AS42" s="637"/>
      <c r="AT42" s="52"/>
      <c r="AU42" s="52"/>
      <c r="AV42" s="637"/>
      <c r="AW42" s="637"/>
      <c r="AX42" s="52"/>
      <c r="AY42" s="52"/>
      <c r="AZ42" s="637"/>
      <c r="BA42" s="637"/>
      <c r="BB42" s="52"/>
      <c r="BC42" s="52"/>
      <c r="BD42" s="637"/>
      <c r="BE42" s="637"/>
      <c r="BF42" s="137">
        <f t="shared" si="2"/>
        <v>85907</v>
      </c>
      <c r="BG42" s="43">
        <f t="shared" si="3"/>
        <v>5392.3910000000033</v>
      </c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</row>
    <row r="43" spans="1:99" s="96" customFormat="1" ht="22.5" customHeight="1">
      <c r="A43" s="39"/>
      <c r="B43" s="51">
        <v>28</v>
      </c>
      <c r="C43" s="51" t="s">
        <v>39</v>
      </c>
      <c r="D43" s="42">
        <v>30102927</v>
      </c>
      <c r="E43" s="52" t="s">
        <v>2736</v>
      </c>
      <c r="F43" s="52" t="s">
        <v>317</v>
      </c>
      <c r="G43" s="56" t="s">
        <v>2686</v>
      </c>
      <c r="H43" s="52" t="s">
        <v>2737</v>
      </c>
      <c r="I43" s="52" t="s">
        <v>2537</v>
      </c>
      <c r="J43" s="636">
        <v>1604747</v>
      </c>
      <c r="K43" s="52"/>
      <c r="L43" s="52"/>
      <c r="M43" s="54">
        <v>0</v>
      </c>
      <c r="N43" s="54">
        <v>83455.074999999997</v>
      </c>
      <c r="O43" s="54">
        <v>74067.608999999997</v>
      </c>
      <c r="P43" s="54">
        <v>58192.646000000001</v>
      </c>
      <c r="Q43" s="54">
        <v>268562.21000000002</v>
      </c>
      <c r="R43" s="54">
        <v>430359.99900000001</v>
      </c>
      <c r="S43" s="54">
        <v>305719.79600000003</v>
      </c>
      <c r="T43" s="54">
        <v>14198.675999999999</v>
      </c>
      <c r="U43" s="54">
        <v>471246.66</v>
      </c>
      <c r="V43" s="54"/>
      <c r="W43" s="54"/>
      <c r="X43" s="54"/>
      <c r="Y43" s="54">
        <f t="shared" si="1"/>
        <v>1705802.6710000001</v>
      </c>
      <c r="Z43" s="52">
        <v>1000</v>
      </c>
      <c r="AA43" s="52">
        <v>1</v>
      </c>
      <c r="AB43" s="637">
        <v>44207</v>
      </c>
      <c r="AC43" s="637">
        <v>44249</v>
      </c>
      <c r="AD43" s="52">
        <v>293000</v>
      </c>
      <c r="AE43" s="52">
        <v>8</v>
      </c>
      <c r="AF43" s="637">
        <v>44252</v>
      </c>
      <c r="AG43" s="637">
        <v>44292</v>
      </c>
      <c r="AH43" s="52">
        <v>35000</v>
      </c>
      <c r="AI43" s="52">
        <v>10</v>
      </c>
      <c r="AJ43" s="637">
        <v>44286</v>
      </c>
      <c r="AK43" s="637">
        <v>44306</v>
      </c>
      <c r="AL43" s="52">
        <v>400000</v>
      </c>
      <c r="AM43" s="52">
        <v>23</v>
      </c>
      <c r="AN43" s="637">
        <v>44340</v>
      </c>
      <c r="AO43" s="637">
        <v>44350</v>
      </c>
      <c r="AP43" s="52">
        <v>185637</v>
      </c>
      <c r="AQ43" s="52">
        <v>26</v>
      </c>
      <c r="AR43" s="637">
        <v>44358</v>
      </c>
      <c r="AS43" s="637">
        <v>44364</v>
      </c>
      <c r="AT43" s="52">
        <v>305721</v>
      </c>
      <c r="AU43" s="52">
        <v>38</v>
      </c>
      <c r="AV43" s="637">
        <v>44358</v>
      </c>
      <c r="AW43" s="637">
        <v>44364</v>
      </c>
      <c r="AX43" s="52">
        <v>15000</v>
      </c>
      <c r="AY43" s="52">
        <v>40</v>
      </c>
      <c r="AZ43" s="637">
        <v>44358</v>
      </c>
      <c r="BA43" s="637">
        <v>44364</v>
      </c>
      <c r="BB43" s="52"/>
      <c r="BC43" s="52"/>
      <c r="BD43" s="637"/>
      <c r="BE43" s="637"/>
      <c r="BF43" s="137">
        <f t="shared" si="2"/>
        <v>1235358</v>
      </c>
      <c r="BG43" s="43">
        <f t="shared" si="3"/>
        <v>-470444.67100000009</v>
      </c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</row>
    <row r="44" spans="1:99" s="96" customFormat="1" ht="22.5" customHeight="1">
      <c r="A44" s="39"/>
      <c r="B44" s="51">
        <v>29</v>
      </c>
      <c r="C44" s="51" t="s">
        <v>39</v>
      </c>
      <c r="D44" s="42">
        <v>30105687</v>
      </c>
      <c r="E44" s="52" t="s">
        <v>2738</v>
      </c>
      <c r="F44" s="52" t="s">
        <v>317</v>
      </c>
      <c r="G44" s="56" t="s">
        <v>2686</v>
      </c>
      <c r="H44" s="52" t="s">
        <v>2687</v>
      </c>
      <c r="I44" s="52" t="s">
        <v>2537</v>
      </c>
      <c r="J44" s="636">
        <v>362567</v>
      </c>
      <c r="K44" s="52"/>
      <c r="L44" s="52"/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/>
      <c r="W44" s="54"/>
      <c r="X44" s="54"/>
      <c r="Y44" s="54">
        <f t="shared" si="1"/>
        <v>0</v>
      </c>
      <c r="Z44" s="52">
        <v>1000</v>
      </c>
      <c r="AA44" s="52">
        <v>1</v>
      </c>
      <c r="AB44" s="637">
        <v>44207</v>
      </c>
      <c r="AC44" s="637">
        <v>44249</v>
      </c>
      <c r="AD44" s="52">
        <v>-1000</v>
      </c>
      <c r="AE44" s="52">
        <v>39</v>
      </c>
      <c r="AF44" s="637">
        <v>44358</v>
      </c>
      <c r="AG44" s="637">
        <v>44364</v>
      </c>
      <c r="AH44" s="52"/>
      <c r="AI44" s="52"/>
      <c r="AJ44" s="637"/>
      <c r="AK44" s="637"/>
      <c r="AL44" s="52"/>
      <c r="AM44" s="52"/>
      <c r="AN44" s="637"/>
      <c r="AO44" s="637"/>
      <c r="AP44" s="52"/>
      <c r="AQ44" s="52"/>
      <c r="AR44" s="637"/>
      <c r="AS44" s="637"/>
      <c r="AT44" s="52"/>
      <c r="AU44" s="52"/>
      <c r="AV44" s="637"/>
      <c r="AW44" s="637"/>
      <c r="AX44" s="52"/>
      <c r="AY44" s="52"/>
      <c r="AZ44" s="637"/>
      <c r="BA44" s="637"/>
      <c r="BB44" s="52"/>
      <c r="BC44" s="52"/>
      <c r="BD44" s="637"/>
      <c r="BE44" s="637"/>
      <c r="BF44" s="137">
        <f t="shared" si="2"/>
        <v>0</v>
      </c>
      <c r="BG44" s="43">
        <f t="shared" si="3"/>
        <v>0</v>
      </c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</row>
    <row r="45" spans="1:99" s="96" customFormat="1" ht="33.75" customHeight="1">
      <c r="A45" s="39"/>
      <c r="B45" s="51">
        <v>30</v>
      </c>
      <c r="C45" s="51" t="s">
        <v>39</v>
      </c>
      <c r="D45" s="42">
        <v>30106557</v>
      </c>
      <c r="E45" s="52" t="s">
        <v>2739</v>
      </c>
      <c r="F45" s="52" t="s">
        <v>317</v>
      </c>
      <c r="G45" s="56" t="s">
        <v>2686</v>
      </c>
      <c r="H45" s="52" t="s">
        <v>2740</v>
      </c>
      <c r="I45" s="52" t="s">
        <v>2537</v>
      </c>
      <c r="J45" s="636">
        <v>5217798</v>
      </c>
      <c r="K45" s="52"/>
      <c r="L45" s="52"/>
      <c r="M45" s="54">
        <v>0</v>
      </c>
      <c r="N45" s="54">
        <v>0</v>
      </c>
      <c r="O45" s="54">
        <v>349523.45299999998</v>
      </c>
      <c r="P45" s="54">
        <v>699046.90599999996</v>
      </c>
      <c r="Q45" s="54">
        <v>604534.56799999997</v>
      </c>
      <c r="R45" s="54">
        <v>0</v>
      </c>
      <c r="S45" s="54">
        <v>793559.24300000002</v>
      </c>
      <c r="T45" s="54">
        <v>0</v>
      </c>
      <c r="U45" s="54">
        <v>1048570.358</v>
      </c>
      <c r="V45" s="54"/>
      <c r="W45" s="54"/>
      <c r="X45" s="54"/>
      <c r="Y45" s="54">
        <f t="shared" si="1"/>
        <v>3495234.5279999999</v>
      </c>
      <c r="Z45" s="52">
        <v>1000</v>
      </c>
      <c r="AA45" s="52">
        <v>8</v>
      </c>
      <c r="AB45" s="637">
        <v>44252</v>
      </c>
      <c r="AC45" s="637">
        <v>44292</v>
      </c>
      <c r="AD45" s="52">
        <v>1200000</v>
      </c>
      <c r="AE45" s="52">
        <v>10</v>
      </c>
      <c r="AF45" s="637">
        <v>44286</v>
      </c>
      <c r="AG45" s="637">
        <v>44306</v>
      </c>
      <c r="AH45" s="52">
        <v>1100000</v>
      </c>
      <c r="AI45" s="52">
        <v>23</v>
      </c>
      <c r="AJ45" s="637">
        <v>44340</v>
      </c>
      <c r="AK45" s="637">
        <v>44350</v>
      </c>
      <c r="AL45" s="52">
        <v>145664</v>
      </c>
      <c r="AM45" s="52">
        <v>38</v>
      </c>
      <c r="AN45" s="637">
        <v>44358</v>
      </c>
      <c r="AO45" s="637">
        <v>44364</v>
      </c>
      <c r="AP45" s="52"/>
      <c r="AQ45" s="52"/>
      <c r="AR45" s="637"/>
      <c r="AS45" s="637"/>
      <c r="AT45" s="52"/>
      <c r="AU45" s="52"/>
      <c r="AV45" s="637"/>
      <c r="AW45" s="637"/>
      <c r="AX45" s="52"/>
      <c r="AY45" s="52"/>
      <c r="AZ45" s="637"/>
      <c r="BA45" s="637"/>
      <c r="BB45" s="52"/>
      <c r="BC45" s="52"/>
      <c r="BD45" s="637"/>
      <c r="BE45" s="637"/>
      <c r="BF45" s="137">
        <f t="shared" si="2"/>
        <v>2446664</v>
      </c>
      <c r="BG45" s="43">
        <f t="shared" si="3"/>
        <v>-1048570.5279999999</v>
      </c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</row>
    <row r="46" spans="1:99" s="96" customFormat="1" ht="33.75">
      <c r="A46" s="39"/>
      <c r="B46" s="51">
        <v>31</v>
      </c>
      <c r="C46" s="51" t="s">
        <v>39</v>
      </c>
      <c r="D46" s="42">
        <v>30107242</v>
      </c>
      <c r="E46" s="52" t="s">
        <v>2741</v>
      </c>
      <c r="F46" s="52" t="s">
        <v>317</v>
      </c>
      <c r="G46" s="56" t="s">
        <v>2686</v>
      </c>
      <c r="H46" s="52" t="s">
        <v>2707</v>
      </c>
      <c r="I46" s="52" t="s">
        <v>2537</v>
      </c>
      <c r="J46" s="636">
        <v>19730</v>
      </c>
      <c r="K46" s="52"/>
      <c r="L46" s="52"/>
      <c r="M46" s="54">
        <v>14808.391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/>
      <c r="W46" s="54"/>
      <c r="X46" s="54"/>
      <c r="Y46" s="54">
        <f t="shared" si="1"/>
        <v>14808.391</v>
      </c>
      <c r="Z46" s="52">
        <v>17295</v>
      </c>
      <c r="AA46" s="52">
        <v>4</v>
      </c>
      <c r="AB46" s="637">
        <v>44221</v>
      </c>
      <c r="AC46" s="637">
        <v>44280</v>
      </c>
      <c r="AD46" s="52"/>
      <c r="AE46" s="52"/>
      <c r="AF46" s="637"/>
      <c r="AG46" s="637"/>
      <c r="AH46" s="52"/>
      <c r="AI46" s="52"/>
      <c r="AJ46" s="637"/>
      <c r="AK46" s="637"/>
      <c r="AL46" s="52"/>
      <c r="AM46" s="52"/>
      <c r="AN46" s="637"/>
      <c r="AO46" s="637"/>
      <c r="AP46" s="52"/>
      <c r="AQ46" s="52"/>
      <c r="AR46" s="637"/>
      <c r="AS46" s="637"/>
      <c r="AT46" s="52"/>
      <c r="AU46" s="52"/>
      <c r="AV46" s="637"/>
      <c r="AW46" s="637"/>
      <c r="AX46" s="52"/>
      <c r="AY46" s="52"/>
      <c r="AZ46" s="637"/>
      <c r="BA46" s="637"/>
      <c r="BB46" s="52"/>
      <c r="BC46" s="52"/>
      <c r="BD46" s="637"/>
      <c r="BE46" s="637"/>
      <c r="BF46" s="137">
        <f t="shared" si="2"/>
        <v>17295</v>
      </c>
      <c r="BG46" s="43">
        <f t="shared" si="3"/>
        <v>2486.6090000000004</v>
      </c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</row>
    <row r="47" spans="1:99" s="96" customFormat="1" ht="22.5" customHeight="1">
      <c r="A47" s="39"/>
      <c r="B47" s="51">
        <v>32</v>
      </c>
      <c r="C47" s="51" t="s">
        <v>39</v>
      </c>
      <c r="D47" s="42">
        <v>30109118</v>
      </c>
      <c r="E47" s="52" t="s">
        <v>2742</v>
      </c>
      <c r="F47" s="52" t="s">
        <v>317</v>
      </c>
      <c r="G47" s="56" t="s">
        <v>2686</v>
      </c>
      <c r="H47" s="52" t="s">
        <v>2689</v>
      </c>
      <c r="I47" s="52" t="s">
        <v>2537</v>
      </c>
      <c r="J47" s="636">
        <v>3618316</v>
      </c>
      <c r="K47" s="52"/>
      <c r="L47" s="52"/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/>
      <c r="W47" s="54"/>
      <c r="X47" s="54"/>
      <c r="Y47" s="54">
        <f t="shared" si="1"/>
        <v>0</v>
      </c>
      <c r="Z47" s="52">
        <v>1000</v>
      </c>
      <c r="AA47" s="52">
        <v>1</v>
      </c>
      <c r="AB47" s="637">
        <v>44207</v>
      </c>
      <c r="AC47" s="637">
        <v>44249</v>
      </c>
      <c r="AD47" s="52">
        <v>-1000</v>
      </c>
      <c r="AE47" s="52">
        <v>39</v>
      </c>
      <c r="AF47" s="637">
        <v>44358</v>
      </c>
      <c r="AG47" s="637">
        <v>44364</v>
      </c>
      <c r="AH47" s="52"/>
      <c r="AI47" s="52"/>
      <c r="AJ47" s="637"/>
      <c r="AK47" s="637"/>
      <c r="AL47" s="52"/>
      <c r="AM47" s="52"/>
      <c r="AN47" s="637"/>
      <c r="AO47" s="637"/>
      <c r="AP47" s="52"/>
      <c r="AQ47" s="52"/>
      <c r="AR47" s="637"/>
      <c r="AS47" s="637"/>
      <c r="AT47" s="52"/>
      <c r="AU47" s="52"/>
      <c r="AV47" s="637"/>
      <c r="AW47" s="637"/>
      <c r="AX47" s="52"/>
      <c r="AY47" s="52"/>
      <c r="AZ47" s="637"/>
      <c r="BA47" s="637"/>
      <c r="BB47" s="52"/>
      <c r="BC47" s="52"/>
      <c r="BD47" s="637"/>
      <c r="BE47" s="637"/>
      <c r="BF47" s="137">
        <f t="shared" si="2"/>
        <v>0</v>
      </c>
      <c r="BG47" s="43">
        <f t="shared" si="3"/>
        <v>0</v>
      </c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</row>
    <row r="48" spans="1:99" s="96" customFormat="1" ht="22.5" customHeight="1">
      <c r="A48" s="39"/>
      <c r="B48" s="51">
        <v>33</v>
      </c>
      <c r="C48" s="51" t="s">
        <v>39</v>
      </c>
      <c r="D48" s="42">
        <v>30109635</v>
      </c>
      <c r="E48" s="52" t="s">
        <v>2743</v>
      </c>
      <c r="F48" s="52" t="s">
        <v>317</v>
      </c>
      <c r="G48" s="56" t="s">
        <v>2686</v>
      </c>
      <c r="H48" s="52" t="s">
        <v>2744</v>
      </c>
      <c r="I48" s="52" t="s">
        <v>2537</v>
      </c>
      <c r="J48" s="636">
        <v>161736</v>
      </c>
      <c r="K48" s="52"/>
      <c r="L48" s="52"/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/>
      <c r="W48" s="54"/>
      <c r="X48" s="54"/>
      <c r="Y48" s="54">
        <f t="shared" si="1"/>
        <v>0</v>
      </c>
      <c r="Z48" s="52">
        <v>1000</v>
      </c>
      <c r="AA48" s="52">
        <v>1</v>
      </c>
      <c r="AB48" s="637">
        <v>44207</v>
      </c>
      <c r="AC48" s="637">
        <v>44249</v>
      </c>
      <c r="AD48" s="52">
        <v>-1000</v>
      </c>
      <c r="AE48" s="52">
        <v>39</v>
      </c>
      <c r="AF48" s="637">
        <v>44358</v>
      </c>
      <c r="AG48" s="637">
        <v>44364</v>
      </c>
      <c r="AH48" s="52"/>
      <c r="AI48" s="52"/>
      <c r="AJ48" s="637"/>
      <c r="AK48" s="637"/>
      <c r="AL48" s="52"/>
      <c r="AM48" s="52"/>
      <c r="AN48" s="637"/>
      <c r="AO48" s="637"/>
      <c r="AP48" s="52"/>
      <c r="AQ48" s="52"/>
      <c r="AR48" s="637"/>
      <c r="AS48" s="637"/>
      <c r="AT48" s="52"/>
      <c r="AU48" s="52"/>
      <c r="AV48" s="637"/>
      <c r="AW48" s="637"/>
      <c r="AX48" s="52"/>
      <c r="AY48" s="52"/>
      <c r="AZ48" s="637"/>
      <c r="BA48" s="637"/>
      <c r="BB48" s="52"/>
      <c r="BC48" s="52"/>
      <c r="BD48" s="637"/>
      <c r="BE48" s="637"/>
      <c r="BF48" s="137">
        <f t="shared" si="2"/>
        <v>0</v>
      </c>
      <c r="BG48" s="43">
        <f t="shared" si="3"/>
        <v>0</v>
      </c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</row>
    <row r="49" spans="1:99" s="96" customFormat="1" ht="22.5" customHeight="1">
      <c r="A49" s="39"/>
      <c r="B49" s="51">
        <v>34</v>
      </c>
      <c r="C49" s="51" t="s">
        <v>39</v>
      </c>
      <c r="D49" s="42">
        <v>30110669</v>
      </c>
      <c r="E49" s="52" t="s">
        <v>2745</v>
      </c>
      <c r="F49" s="52" t="s">
        <v>317</v>
      </c>
      <c r="G49" s="56" t="s">
        <v>2686</v>
      </c>
      <c r="H49" s="52" t="s">
        <v>2746</v>
      </c>
      <c r="I49" s="52" t="s">
        <v>2537</v>
      </c>
      <c r="J49" s="636">
        <v>46066</v>
      </c>
      <c r="K49" s="52"/>
      <c r="L49" s="52"/>
      <c r="M49" s="54">
        <v>0</v>
      </c>
      <c r="N49" s="54">
        <v>0</v>
      </c>
      <c r="O49" s="54">
        <v>0</v>
      </c>
      <c r="P49" s="54">
        <v>19441.454000000002</v>
      </c>
      <c r="Q49" s="54">
        <v>0</v>
      </c>
      <c r="R49" s="54">
        <v>0</v>
      </c>
      <c r="S49" s="54">
        <v>0</v>
      </c>
      <c r="T49" s="54">
        <v>605.00099999999998</v>
      </c>
      <c r="U49" s="54">
        <v>0</v>
      </c>
      <c r="V49" s="54"/>
      <c r="W49" s="54"/>
      <c r="X49" s="54"/>
      <c r="Y49" s="54">
        <f t="shared" si="1"/>
        <v>20046.455000000002</v>
      </c>
      <c r="Z49" s="52">
        <v>1000</v>
      </c>
      <c r="AA49" s="52">
        <v>8</v>
      </c>
      <c r="AB49" s="637">
        <v>44252</v>
      </c>
      <c r="AC49" s="637">
        <v>44292</v>
      </c>
      <c r="AD49" s="52">
        <v>12000</v>
      </c>
      <c r="AE49" s="52">
        <v>11</v>
      </c>
      <c r="AF49" s="637">
        <v>44299</v>
      </c>
      <c r="AG49" s="637">
        <v>44312</v>
      </c>
      <c r="AH49" s="52">
        <v>19432</v>
      </c>
      <c r="AI49" s="52">
        <v>14</v>
      </c>
      <c r="AJ49" s="637">
        <v>44313</v>
      </c>
      <c r="AK49" s="637">
        <v>44322</v>
      </c>
      <c r="AL49" s="52"/>
      <c r="AM49" s="52"/>
      <c r="AN49" s="637"/>
      <c r="AO49" s="637"/>
      <c r="AP49" s="52"/>
      <c r="AQ49" s="52"/>
      <c r="AR49" s="637"/>
      <c r="AS49" s="637"/>
      <c r="AT49" s="52"/>
      <c r="AU49" s="52"/>
      <c r="AV49" s="637"/>
      <c r="AW49" s="637"/>
      <c r="AX49" s="52"/>
      <c r="AY49" s="52"/>
      <c r="AZ49" s="637"/>
      <c r="BA49" s="637"/>
      <c r="BB49" s="52"/>
      <c r="BC49" s="52"/>
      <c r="BD49" s="637"/>
      <c r="BE49" s="637"/>
      <c r="BF49" s="137">
        <f t="shared" si="2"/>
        <v>32432</v>
      </c>
      <c r="BG49" s="43">
        <f t="shared" si="3"/>
        <v>12385.544999999998</v>
      </c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</row>
    <row r="50" spans="1:99" s="96" customFormat="1" ht="22.5" customHeight="1">
      <c r="A50" s="39"/>
      <c r="B50" s="51">
        <v>35</v>
      </c>
      <c r="C50" s="51" t="s">
        <v>39</v>
      </c>
      <c r="D50" s="42">
        <v>30113181</v>
      </c>
      <c r="E50" s="52" t="s">
        <v>2747</v>
      </c>
      <c r="F50" s="52" t="s">
        <v>47</v>
      </c>
      <c r="G50" s="56" t="s">
        <v>2686</v>
      </c>
      <c r="H50" s="52" t="s">
        <v>2748</v>
      </c>
      <c r="I50" s="52" t="s">
        <v>2537</v>
      </c>
      <c r="J50" s="636">
        <v>25026</v>
      </c>
      <c r="K50" s="52"/>
      <c r="L50" s="52"/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/>
      <c r="W50" s="54"/>
      <c r="X50" s="54"/>
      <c r="Y50" s="54">
        <f t="shared" si="1"/>
        <v>0</v>
      </c>
      <c r="Z50" s="52">
        <v>1000</v>
      </c>
      <c r="AA50" s="52">
        <v>8</v>
      </c>
      <c r="AB50" s="637">
        <v>44252</v>
      </c>
      <c r="AC50" s="637">
        <v>44292</v>
      </c>
      <c r="AD50" s="52">
        <v>-1000</v>
      </c>
      <c r="AE50" s="52">
        <v>39</v>
      </c>
      <c r="AF50" s="637">
        <v>44358</v>
      </c>
      <c r="AG50" s="637">
        <v>44364</v>
      </c>
      <c r="AH50" s="52"/>
      <c r="AI50" s="52"/>
      <c r="AJ50" s="637"/>
      <c r="AK50" s="637"/>
      <c r="AL50" s="52"/>
      <c r="AM50" s="52"/>
      <c r="AN50" s="637"/>
      <c r="AO50" s="637"/>
      <c r="AP50" s="52"/>
      <c r="AQ50" s="52"/>
      <c r="AR50" s="637"/>
      <c r="AS50" s="637"/>
      <c r="AT50" s="52"/>
      <c r="AU50" s="52"/>
      <c r="AV50" s="637"/>
      <c r="AW50" s="637"/>
      <c r="AX50" s="52"/>
      <c r="AY50" s="52"/>
      <c r="AZ50" s="637"/>
      <c r="BA50" s="637"/>
      <c r="BB50" s="52"/>
      <c r="BC50" s="52"/>
      <c r="BD50" s="637"/>
      <c r="BE50" s="637"/>
      <c r="BF50" s="137">
        <f t="shared" si="2"/>
        <v>0</v>
      </c>
      <c r="BG50" s="43">
        <f t="shared" si="3"/>
        <v>0</v>
      </c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</row>
    <row r="51" spans="1:99" s="96" customFormat="1" ht="22.5" customHeight="1">
      <c r="A51" s="39"/>
      <c r="B51" s="51">
        <v>36</v>
      </c>
      <c r="C51" s="51" t="s">
        <v>39</v>
      </c>
      <c r="D51" s="42">
        <v>30113459</v>
      </c>
      <c r="E51" s="52" t="s">
        <v>2749</v>
      </c>
      <c r="F51" s="52" t="s">
        <v>317</v>
      </c>
      <c r="G51" s="56" t="s">
        <v>2686</v>
      </c>
      <c r="H51" s="52" t="s">
        <v>2687</v>
      </c>
      <c r="I51" s="52" t="s">
        <v>2540</v>
      </c>
      <c r="J51" s="636">
        <v>472023</v>
      </c>
      <c r="K51" s="52"/>
      <c r="L51" s="52"/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/>
      <c r="W51" s="54"/>
      <c r="X51" s="54"/>
      <c r="Y51" s="54">
        <f t="shared" si="1"/>
        <v>0</v>
      </c>
      <c r="Z51" s="52">
        <v>1000</v>
      </c>
      <c r="AA51" s="52">
        <v>1</v>
      </c>
      <c r="AB51" s="637">
        <v>44207</v>
      </c>
      <c r="AC51" s="637">
        <v>44249</v>
      </c>
      <c r="AD51" s="52">
        <v>-1000</v>
      </c>
      <c r="AE51" s="52">
        <v>39</v>
      </c>
      <c r="AF51" s="637">
        <v>44358</v>
      </c>
      <c r="AG51" s="637">
        <v>44364</v>
      </c>
      <c r="AH51" s="52"/>
      <c r="AI51" s="52"/>
      <c r="AJ51" s="637"/>
      <c r="AK51" s="637"/>
      <c r="AL51" s="52"/>
      <c r="AM51" s="52"/>
      <c r="AN51" s="637"/>
      <c r="AO51" s="637"/>
      <c r="AP51" s="52"/>
      <c r="AQ51" s="52"/>
      <c r="AR51" s="637"/>
      <c r="AS51" s="637"/>
      <c r="AT51" s="52"/>
      <c r="AU51" s="52"/>
      <c r="AV51" s="637"/>
      <c r="AW51" s="637"/>
      <c r="AX51" s="52"/>
      <c r="AY51" s="52"/>
      <c r="AZ51" s="637"/>
      <c r="BA51" s="637"/>
      <c r="BB51" s="52"/>
      <c r="BC51" s="52"/>
      <c r="BD51" s="637"/>
      <c r="BE51" s="637"/>
      <c r="BF51" s="137">
        <f t="shared" si="2"/>
        <v>0</v>
      </c>
      <c r="BG51" s="43">
        <f t="shared" si="3"/>
        <v>0</v>
      </c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</row>
    <row r="52" spans="1:99" s="96" customFormat="1" ht="22.5" customHeight="1">
      <c r="A52" s="39"/>
      <c r="B52" s="51">
        <v>37</v>
      </c>
      <c r="C52" s="51" t="s">
        <v>39</v>
      </c>
      <c r="D52" s="42">
        <v>30114624</v>
      </c>
      <c r="E52" s="52" t="s">
        <v>2750</v>
      </c>
      <c r="F52" s="52" t="s">
        <v>317</v>
      </c>
      <c r="G52" s="56" t="s">
        <v>2686</v>
      </c>
      <c r="H52" s="52" t="s">
        <v>2718</v>
      </c>
      <c r="I52" s="52" t="s">
        <v>2537</v>
      </c>
      <c r="J52" s="636">
        <v>70961</v>
      </c>
      <c r="K52" s="52"/>
      <c r="L52" s="52"/>
      <c r="M52" s="54">
        <v>45607.811999999998</v>
      </c>
      <c r="N52" s="54">
        <v>16646.585999999999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/>
      <c r="W52" s="54"/>
      <c r="X52" s="54"/>
      <c r="Y52" s="54">
        <f t="shared" si="1"/>
        <v>62254.398000000001</v>
      </c>
      <c r="Z52" s="52">
        <v>45607</v>
      </c>
      <c r="AA52" s="52">
        <v>4</v>
      </c>
      <c r="AB52" s="637">
        <v>44221</v>
      </c>
      <c r="AC52" s="637">
        <v>44280</v>
      </c>
      <c r="AD52" s="52">
        <v>16647</v>
      </c>
      <c r="AE52" s="52">
        <v>8</v>
      </c>
      <c r="AF52" s="637">
        <v>44252</v>
      </c>
      <c r="AG52" s="637">
        <v>44292</v>
      </c>
      <c r="AH52" s="52"/>
      <c r="AI52" s="52"/>
      <c r="AJ52" s="637"/>
      <c r="AK52" s="637"/>
      <c r="AL52" s="52"/>
      <c r="AM52" s="52"/>
      <c r="AN52" s="637"/>
      <c r="AO52" s="637"/>
      <c r="AP52" s="52"/>
      <c r="AQ52" s="52"/>
      <c r="AR52" s="637"/>
      <c r="AS52" s="637"/>
      <c r="AT52" s="52"/>
      <c r="AU52" s="52"/>
      <c r="AV52" s="637"/>
      <c r="AW52" s="637"/>
      <c r="AX52" s="52"/>
      <c r="AY52" s="52"/>
      <c r="AZ52" s="637"/>
      <c r="BA52" s="637"/>
      <c r="BB52" s="52"/>
      <c r="BC52" s="52"/>
      <c r="BD52" s="637"/>
      <c r="BE52" s="637"/>
      <c r="BF52" s="137">
        <f t="shared" si="2"/>
        <v>62254</v>
      </c>
      <c r="BG52" s="43">
        <f t="shared" si="3"/>
        <v>-0.39800000000104774</v>
      </c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</row>
    <row r="53" spans="1:99" s="96" customFormat="1" ht="22.5" customHeight="1">
      <c r="A53" s="39"/>
      <c r="B53" s="51">
        <v>38</v>
      </c>
      <c r="C53" s="51" t="s">
        <v>39</v>
      </c>
      <c r="D53" s="42">
        <v>30117533</v>
      </c>
      <c r="E53" s="52" t="s">
        <v>2751</v>
      </c>
      <c r="F53" s="52" t="s">
        <v>47</v>
      </c>
      <c r="G53" s="56" t="s">
        <v>2686</v>
      </c>
      <c r="H53" s="52" t="s">
        <v>2744</v>
      </c>
      <c r="I53" s="52" t="s">
        <v>2537</v>
      </c>
      <c r="J53" s="636">
        <v>13752</v>
      </c>
      <c r="K53" s="52"/>
      <c r="L53" s="52"/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13752.584999999999</v>
      </c>
      <c r="U53" s="54">
        <v>0</v>
      </c>
      <c r="V53" s="54"/>
      <c r="W53" s="54"/>
      <c r="X53" s="54"/>
      <c r="Y53" s="54">
        <f t="shared" si="1"/>
        <v>13752.584999999999</v>
      </c>
      <c r="Z53" s="52">
        <v>1000</v>
      </c>
      <c r="AA53" s="52">
        <v>8</v>
      </c>
      <c r="AB53" s="637">
        <v>44252</v>
      </c>
      <c r="AC53" s="637">
        <v>44292</v>
      </c>
      <c r="AD53" s="52">
        <v>-1000</v>
      </c>
      <c r="AE53" s="52">
        <v>39</v>
      </c>
      <c r="AF53" s="637">
        <v>44358</v>
      </c>
      <c r="AG53" s="637">
        <v>44364</v>
      </c>
      <c r="AH53" s="52"/>
      <c r="AI53" s="52"/>
      <c r="AJ53" s="637"/>
      <c r="AK53" s="637"/>
      <c r="AL53" s="52"/>
      <c r="AM53" s="52"/>
      <c r="AN53" s="637"/>
      <c r="AO53" s="637"/>
      <c r="AP53" s="52"/>
      <c r="AQ53" s="52"/>
      <c r="AR53" s="637"/>
      <c r="AS53" s="637"/>
      <c r="AT53" s="52"/>
      <c r="AU53" s="52"/>
      <c r="AV53" s="637"/>
      <c r="AW53" s="637"/>
      <c r="AX53" s="52"/>
      <c r="AY53" s="52"/>
      <c r="AZ53" s="637"/>
      <c r="BA53" s="637"/>
      <c r="BB53" s="52"/>
      <c r="BC53" s="52"/>
      <c r="BD53" s="637"/>
      <c r="BE53" s="637"/>
      <c r="BF53" s="137">
        <f t="shared" si="2"/>
        <v>0</v>
      </c>
      <c r="BG53" s="43">
        <f t="shared" si="3"/>
        <v>-13752.584999999999</v>
      </c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</row>
    <row r="54" spans="1:99" s="96" customFormat="1" ht="22.5" customHeight="1">
      <c r="A54" s="39"/>
      <c r="B54" s="51">
        <v>39</v>
      </c>
      <c r="C54" s="51" t="s">
        <v>39</v>
      </c>
      <c r="D54" s="42">
        <v>30117624</v>
      </c>
      <c r="E54" s="52" t="s">
        <v>2752</v>
      </c>
      <c r="F54" s="52" t="s">
        <v>47</v>
      </c>
      <c r="G54" s="56" t="s">
        <v>2686</v>
      </c>
      <c r="H54" s="52" t="s">
        <v>2753</v>
      </c>
      <c r="I54" s="52" t="s">
        <v>2537</v>
      </c>
      <c r="J54" s="636">
        <v>30708</v>
      </c>
      <c r="K54" s="52"/>
      <c r="L54" s="52"/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/>
      <c r="W54" s="54"/>
      <c r="X54" s="54"/>
      <c r="Y54" s="54">
        <f t="shared" si="1"/>
        <v>0</v>
      </c>
      <c r="Z54" s="52">
        <v>1000</v>
      </c>
      <c r="AA54" s="52">
        <v>1</v>
      </c>
      <c r="AB54" s="637">
        <v>44207</v>
      </c>
      <c r="AC54" s="637">
        <v>44249</v>
      </c>
      <c r="AD54" s="52">
        <v>-1000</v>
      </c>
      <c r="AE54" s="52">
        <v>39</v>
      </c>
      <c r="AF54" s="637">
        <v>44358</v>
      </c>
      <c r="AG54" s="637">
        <v>44364</v>
      </c>
      <c r="AH54" s="52"/>
      <c r="AI54" s="52"/>
      <c r="AJ54" s="637"/>
      <c r="AK54" s="637"/>
      <c r="AL54" s="52"/>
      <c r="AM54" s="52"/>
      <c r="AN54" s="637"/>
      <c r="AO54" s="637"/>
      <c r="AP54" s="52"/>
      <c r="AQ54" s="52"/>
      <c r="AR54" s="637"/>
      <c r="AS54" s="637"/>
      <c r="AT54" s="52"/>
      <c r="AU54" s="52"/>
      <c r="AV54" s="637"/>
      <c r="AW54" s="637"/>
      <c r="AX54" s="52"/>
      <c r="AY54" s="52"/>
      <c r="AZ54" s="637"/>
      <c r="BA54" s="637"/>
      <c r="BB54" s="52"/>
      <c r="BC54" s="52"/>
      <c r="BD54" s="637"/>
      <c r="BE54" s="637"/>
      <c r="BF54" s="137">
        <f t="shared" si="2"/>
        <v>0</v>
      </c>
      <c r="BG54" s="43">
        <f t="shared" si="3"/>
        <v>0</v>
      </c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</row>
    <row r="55" spans="1:99" s="96" customFormat="1" ht="22.5" customHeight="1">
      <c r="A55" s="39"/>
      <c r="B55" s="51">
        <v>40</v>
      </c>
      <c r="C55" s="51" t="s">
        <v>39</v>
      </c>
      <c r="D55" s="42">
        <v>30121518</v>
      </c>
      <c r="E55" s="52" t="s">
        <v>2754</v>
      </c>
      <c r="F55" s="52" t="s">
        <v>317</v>
      </c>
      <c r="G55" s="56" t="s">
        <v>2686</v>
      </c>
      <c r="H55" s="52" t="s">
        <v>2737</v>
      </c>
      <c r="I55" s="52" t="s">
        <v>2537</v>
      </c>
      <c r="J55" s="636">
        <v>2737277</v>
      </c>
      <c r="K55" s="52"/>
      <c r="L55" s="52"/>
      <c r="M55" s="54">
        <v>106214.11199999999</v>
      </c>
      <c r="N55" s="54">
        <v>272464.93300000002</v>
      </c>
      <c r="O55" s="54">
        <v>0</v>
      </c>
      <c r="P55" s="54">
        <v>141325.80100000001</v>
      </c>
      <c r="Q55" s="54">
        <v>0</v>
      </c>
      <c r="R55" s="54">
        <v>149064.204</v>
      </c>
      <c r="S55" s="54">
        <v>0</v>
      </c>
      <c r="T55" s="54">
        <v>0</v>
      </c>
      <c r="U55" s="54">
        <v>0</v>
      </c>
      <c r="V55" s="54"/>
      <c r="W55" s="54"/>
      <c r="X55" s="54"/>
      <c r="Y55" s="54">
        <f t="shared" si="1"/>
        <v>669069.05000000005</v>
      </c>
      <c r="Z55" s="52">
        <v>220000</v>
      </c>
      <c r="AA55" s="52">
        <v>4</v>
      </c>
      <c r="AB55" s="637">
        <v>44221</v>
      </c>
      <c r="AC55" s="637">
        <v>44280</v>
      </c>
      <c r="AD55" s="52">
        <v>500000</v>
      </c>
      <c r="AE55" s="52">
        <v>8</v>
      </c>
      <c r="AF55" s="637">
        <v>44252</v>
      </c>
      <c r="AG55" s="637">
        <v>44292</v>
      </c>
      <c r="AH55" s="52">
        <v>200000</v>
      </c>
      <c r="AI55" s="52">
        <v>10</v>
      </c>
      <c r="AJ55" s="637">
        <v>44286</v>
      </c>
      <c r="AK55" s="637">
        <v>44306</v>
      </c>
      <c r="AL55" s="52">
        <v>-250930</v>
      </c>
      <c r="AM55" s="52">
        <v>38</v>
      </c>
      <c r="AN55" s="637">
        <v>44358</v>
      </c>
      <c r="AO55" s="637">
        <v>44364</v>
      </c>
      <c r="AP55" s="52"/>
      <c r="AQ55" s="52"/>
      <c r="AR55" s="637"/>
      <c r="AS55" s="637"/>
      <c r="AT55" s="52"/>
      <c r="AU55" s="52"/>
      <c r="AV55" s="637"/>
      <c r="AW55" s="637"/>
      <c r="AX55" s="52"/>
      <c r="AY55" s="52"/>
      <c r="AZ55" s="637"/>
      <c r="BA55" s="637"/>
      <c r="BB55" s="52"/>
      <c r="BC55" s="52"/>
      <c r="BD55" s="637"/>
      <c r="BE55" s="637"/>
      <c r="BF55" s="137">
        <f t="shared" si="2"/>
        <v>669070</v>
      </c>
      <c r="BG55" s="43">
        <f t="shared" si="3"/>
        <v>0.94999999995343387</v>
      </c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</row>
    <row r="56" spans="1:99" s="96" customFormat="1" ht="22.5">
      <c r="A56" s="39"/>
      <c r="B56" s="51">
        <v>41</v>
      </c>
      <c r="C56" s="51" t="s">
        <v>39</v>
      </c>
      <c r="D56" s="42">
        <v>30121829</v>
      </c>
      <c r="E56" s="52" t="s">
        <v>2755</v>
      </c>
      <c r="F56" s="52" t="s">
        <v>317</v>
      </c>
      <c r="G56" s="56" t="s">
        <v>2686</v>
      </c>
      <c r="H56" s="52" t="s">
        <v>2756</v>
      </c>
      <c r="I56" s="52" t="s">
        <v>2537</v>
      </c>
      <c r="J56" s="636">
        <v>486771</v>
      </c>
      <c r="K56" s="52"/>
      <c r="L56" s="52"/>
      <c r="M56" s="54">
        <v>464313.20900000003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22182.204000000002</v>
      </c>
      <c r="T56" s="54">
        <v>0</v>
      </c>
      <c r="U56" s="54">
        <v>0</v>
      </c>
      <c r="V56" s="54"/>
      <c r="W56" s="54"/>
      <c r="X56" s="54"/>
      <c r="Y56" s="54">
        <f t="shared" si="1"/>
        <v>486495.41300000006</v>
      </c>
      <c r="Z56" s="52">
        <v>486769</v>
      </c>
      <c r="AA56" s="52">
        <v>4</v>
      </c>
      <c r="AB56" s="637">
        <v>44221</v>
      </c>
      <c r="AC56" s="637">
        <v>44280</v>
      </c>
      <c r="AD56" s="52"/>
      <c r="AE56" s="52"/>
      <c r="AF56" s="637"/>
      <c r="AG56" s="637"/>
      <c r="AH56" s="52"/>
      <c r="AI56" s="52"/>
      <c r="AJ56" s="637"/>
      <c r="AK56" s="637"/>
      <c r="AL56" s="52"/>
      <c r="AM56" s="52"/>
      <c r="AN56" s="637"/>
      <c r="AO56" s="637"/>
      <c r="AP56" s="52"/>
      <c r="AQ56" s="52"/>
      <c r="AR56" s="637"/>
      <c r="AS56" s="637"/>
      <c r="AT56" s="52"/>
      <c r="AU56" s="52"/>
      <c r="AV56" s="637"/>
      <c r="AW56" s="637"/>
      <c r="AX56" s="52"/>
      <c r="AY56" s="52"/>
      <c r="AZ56" s="637"/>
      <c r="BA56" s="637"/>
      <c r="BB56" s="52"/>
      <c r="BC56" s="52"/>
      <c r="BD56" s="637"/>
      <c r="BE56" s="637"/>
      <c r="BF56" s="137">
        <f t="shared" si="2"/>
        <v>486769</v>
      </c>
      <c r="BG56" s="43">
        <f t="shared" si="3"/>
        <v>273.58699999994133</v>
      </c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</row>
    <row r="57" spans="1:99" s="96" customFormat="1" ht="22.5" customHeight="1">
      <c r="A57" s="39"/>
      <c r="B57" s="51">
        <v>42</v>
      </c>
      <c r="C57" s="51" t="s">
        <v>39</v>
      </c>
      <c r="D57" s="42">
        <v>30122174</v>
      </c>
      <c r="E57" s="52" t="s">
        <v>2757</v>
      </c>
      <c r="F57" s="52" t="s">
        <v>317</v>
      </c>
      <c r="G57" s="56" t="s">
        <v>2686</v>
      </c>
      <c r="H57" s="52" t="s">
        <v>2748</v>
      </c>
      <c r="I57" s="52" t="s">
        <v>2537</v>
      </c>
      <c r="J57" s="636">
        <v>396271</v>
      </c>
      <c r="K57" s="52"/>
      <c r="L57" s="52"/>
      <c r="M57" s="54">
        <v>199500.606</v>
      </c>
      <c r="N57" s="54">
        <v>4800</v>
      </c>
      <c r="O57" s="54">
        <v>80930.510999999999</v>
      </c>
      <c r="P57" s="54">
        <v>1600</v>
      </c>
      <c r="Q57" s="54">
        <v>85702.760999999999</v>
      </c>
      <c r="R57" s="54">
        <v>3200</v>
      </c>
      <c r="S57" s="54">
        <v>0</v>
      </c>
      <c r="T57" s="54">
        <v>0</v>
      </c>
      <c r="U57" s="54">
        <v>0</v>
      </c>
      <c r="V57" s="54"/>
      <c r="W57" s="54"/>
      <c r="X57" s="54"/>
      <c r="Y57" s="54">
        <f t="shared" si="1"/>
        <v>375733.87799999997</v>
      </c>
      <c r="Z57" s="52">
        <v>300000</v>
      </c>
      <c r="AA57" s="52">
        <v>4</v>
      </c>
      <c r="AB57" s="637">
        <v>44221</v>
      </c>
      <c r="AC57" s="637">
        <v>44280</v>
      </c>
      <c r="AD57" s="52">
        <v>9600</v>
      </c>
      <c r="AE57" s="52">
        <v>8</v>
      </c>
      <c r="AF57" s="637">
        <v>44252</v>
      </c>
      <c r="AG57" s="637">
        <v>44292</v>
      </c>
      <c r="AH57" s="52">
        <v>74720</v>
      </c>
      <c r="AI57" s="52">
        <v>18</v>
      </c>
      <c r="AJ57" s="637">
        <v>44327</v>
      </c>
      <c r="AK57" s="637">
        <v>44341</v>
      </c>
      <c r="AL57" s="52">
        <v>3200</v>
      </c>
      <c r="AM57" s="52">
        <v>26</v>
      </c>
      <c r="AN57" s="637">
        <v>44358</v>
      </c>
      <c r="AO57" s="637">
        <v>44364</v>
      </c>
      <c r="AP57" s="52"/>
      <c r="AQ57" s="52"/>
      <c r="AR57" s="637"/>
      <c r="AS57" s="637"/>
      <c r="AT57" s="52"/>
      <c r="AU57" s="52"/>
      <c r="AV57" s="637"/>
      <c r="AW57" s="637"/>
      <c r="AX57" s="52"/>
      <c r="AY57" s="52"/>
      <c r="AZ57" s="637"/>
      <c r="BA57" s="637"/>
      <c r="BB57" s="52"/>
      <c r="BC57" s="52"/>
      <c r="BD57" s="637"/>
      <c r="BE57" s="637"/>
      <c r="BF57" s="137">
        <f t="shared" si="2"/>
        <v>387520</v>
      </c>
      <c r="BG57" s="43">
        <f t="shared" si="3"/>
        <v>11786.122000000032</v>
      </c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</row>
    <row r="58" spans="1:99" s="96" customFormat="1" ht="22.5" customHeight="1">
      <c r="A58" s="39"/>
      <c r="B58" s="51">
        <v>43</v>
      </c>
      <c r="C58" s="51" t="s">
        <v>39</v>
      </c>
      <c r="D58" s="42">
        <v>30123379</v>
      </c>
      <c r="E58" s="52" t="s">
        <v>2758</v>
      </c>
      <c r="F58" s="52" t="s">
        <v>47</v>
      </c>
      <c r="G58" s="56" t="s">
        <v>2686</v>
      </c>
      <c r="H58" s="52" t="s">
        <v>2744</v>
      </c>
      <c r="I58" s="52" t="s">
        <v>2540</v>
      </c>
      <c r="J58" s="636">
        <v>37003</v>
      </c>
      <c r="K58" s="52"/>
      <c r="L58" s="52"/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/>
      <c r="W58" s="54"/>
      <c r="X58" s="54"/>
      <c r="Y58" s="54">
        <f t="shared" si="1"/>
        <v>0</v>
      </c>
      <c r="Z58" s="52">
        <v>1000</v>
      </c>
      <c r="AA58" s="52">
        <v>1</v>
      </c>
      <c r="AB58" s="637">
        <v>44207</v>
      </c>
      <c r="AC58" s="637">
        <v>44249</v>
      </c>
      <c r="AD58" s="52">
        <v>-1000</v>
      </c>
      <c r="AE58" s="52">
        <v>39</v>
      </c>
      <c r="AF58" s="637">
        <v>44358</v>
      </c>
      <c r="AG58" s="637">
        <v>44364</v>
      </c>
      <c r="AH58" s="52"/>
      <c r="AI58" s="52"/>
      <c r="AJ58" s="637"/>
      <c r="AK58" s="637"/>
      <c r="AL58" s="52"/>
      <c r="AM58" s="52"/>
      <c r="AN58" s="637"/>
      <c r="AO58" s="637"/>
      <c r="AP58" s="52"/>
      <c r="AQ58" s="52"/>
      <c r="AR58" s="637"/>
      <c r="AS58" s="637"/>
      <c r="AT58" s="52"/>
      <c r="AU58" s="52"/>
      <c r="AV58" s="637"/>
      <c r="AW58" s="637"/>
      <c r="AX58" s="52"/>
      <c r="AY58" s="52"/>
      <c r="AZ58" s="637"/>
      <c r="BA58" s="637"/>
      <c r="BB58" s="52"/>
      <c r="BC58" s="52"/>
      <c r="BD58" s="637"/>
      <c r="BE58" s="637"/>
      <c r="BF58" s="137">
        <f t="shared" si="2"/>
        <v>0</v>
      </c>
      <c r="BG58" s="43">
        <f t="shared" si="3"/>
        <v>0</v>
      </c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</row>
    <row r="59" spans="1:99" s="96" customFormat="1" ht="33.75" customHeight="1">
      <c r="A59" s="39"/>
      <c r="B59" s="51">
        <v>44</v>
      </c>
      <c r="C59" s="51" t="s">
        <v>39</v>
      </c>
      <c r="D59" s="42">
        <v>30123750</v>
      </c>
      <c r="E59" s="52" t="s">
        <v>2759</v>
      </c>
      <c r="F59" s="52" t="s">
        <v>317</v>
      </c>
      <c r="G59" s="56" t="s">
        <v>2686</v>
      </c>
      <c r="H59" s="52" t="s">
        <v>2718</v>
      </c>
      <c r="I59" s="52" t="s">
        <v>2537</v>
      </c>
      <c r="J59" s="636">
        <v>17826</v>
      </c>
      <c r="K59" s="52"/>
      <c r="L59" s="52"/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/>
      <c r="W59" s="54"/>
      <c r="X59" s="54"/>
      <c r="Y59" s="54">
        <f t="shared" si="1"/>
        <v>0</v>
      </c>
      <c r="Z59" s="52">
        <v>1000</v>
      </c>
      <c r="AA59" s="52">
        <v>8</v>
      </c>
      <c r="AB59" s="637">
        <v>44252</v>
      </c>
      <c r="AC59" s="637">
        <v>44292</v>
      </c>
      <c r="AD59" s="52">
        <v>-1000</v>
      </c>
      <c r="AE59" s="52">
        <v>39</v>
      </c>
      <c r="AF59" s="637">
        <v>44358</v>
      </c>
      <c r="AG59" s="637">
        <v>44364</v>
      </c>
      <c r="AH59" s="52"/>
      <c r="AI59" s="52"/>
      <c r="AJ59" s="637"/>
      <c r="AK59" s="637"/>
      <c r="AL59" s="52"/>
      <c r="AM59" s="52"/>
      <c r="AN59" s="637"/>
      <c r="AO59" s="637"/>
      <c r="AP59" s="52"/>
      <c r="AQ59" s="52"/>
      <c r="AR59" s="637"/>
      <c r="AS59" s="637"/>
      <c r="AT59" s="52"/>
      <c r="AU59" s="52"/>
      <c r="AV59" s="637"/>
      <c r="AW59" s="637"/>
      <c r="AX59" s="52"/>
      <c r="AY59" s="52"/>
      <c r="AZ59" s="637"/>
      <c r="BA59" s="637"/>
      <c r="BB59" s="52"/>
      <c r="BC59" s="52"/>
      <c r="BD59" s="637"/>
      <c r="BE59" s="637"/>
      <c r="BF59" s="137">
        <f t="shared" si="2"/>
        <v>0</v>
      </c>
      <c r="BG59" s="43">
        <f t="shared" si="3"/>
        <v>0</v>
      </c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</row>
    <row r="60" spans="1:99" s="96" customFormat="1" ht="22.5" customHeight="1">
      <c r="A60" s="39"/>
      <c r="B60" s="51">
        <v>45</v>
      </c>
      <c r="C60" s="51" t="s">
        <v>39</v>
      </c>
      <c r="D60" s="42">
        <v>30124066</v>
      </c>
      <c r="E60" s="52" t="s">
        <v>2760</v>
      </c>
      <c r="F60" s="52" t="s">
        <v>317</v>
      </c>
      <c r="G60" s="56" t="s">
        <v>2686</v>
      </c>
      <c r="H60" s="52" t="s">
        <v>2733</v>
      </c>
      <c r="I60" s="52" t="s">
        <v>2537</v>
      </c>
      <c r="J60" s="636">
        <v>1168987</v>
      </c>
      <c r="K60" s="52"/>
      <c r="L60" s="52"/>
      <c r="M60" s="54">
        <v>90033.095000000001</v>
      </c>
      <c r="N60" s="54">
        <v>101312.871</v>
      </c>
      <c r="O60" s="54">
        <v>155064.655</v>
      </c>
      <c r="P60" s="54">
        <v>89214.270999999993</v>
      </c>
      <c r="Q60" s="54">
        <v>76950.164000000004</v>
      </c>
      <c r="R60" s="54">
        <v>4248</v>
      </c>
      <c r="S60" s="54">
        <v>92485.438999999998</v>
      </c>
      <c r="T60" s="54">
        <v>88206.828999999998</v>
      </c>
      <c r="U60" s="54">
        <v>97489.623000000007</v>
      </c>
      <c r="V60" s="54"/>
      <c r="W60" s="54"/>
      <c r="X60" s="54"/>
      <c r="Y60" s="54">
        <f t="shared" si="1"/>
        <v>795004.94700000004</v>
      </c>
      <c r="Z60" s="52">
        <v>1000</v>
      </c>
      <c r="AA60" s="52">
        <v>1</v>
      </c>
      <c r="AB60" s="637">
        <v>44207</v>
      </c>
      <c r="AC60" s="637">
        <v>44249</v>
      </c>
      <c r="AD60" s="52">
        <v>280000</v>
      </c>
      <c r="AE60" s="52">
        <v>4</v>
      </c>
      <c r="AF60" s="637">
        <v>44221</v>
      </c>
      <c r="AG60" s="637">
        <v>44280</v>
      </c>
      <c r="AH60" s="52">
        <v>12750</v>
      </c>
      <c r="AI60" s="52">
        <v>8</v>
      </c>
      <c r="AJ60" s="637">
        <v>44252</v>
      </c>
      <c r="AK60" s="637">
        <v>44292</v>
      </c>
      <c r="AL60" s="52">
        <v>200000</v>
      </c>
      <c r="AM60" s="52">
        <v>10</v>
      </c>
      <c r="AN60" s="637">
        <v>44286</v>
      </c>
      <c r="AO60" s="637">
        <v>44306</v>
      </c>
      <c r="AP60" s="52">
        <v>120000</v>
      </c>
      <c r="AQ60" s="52">
        <v>23</v>
      </c>
      <c r="AR60" s="637">
        <v>44340</v>
      </c>
      <c r="AS60" s="637">
        <v>44350</v>
      </c>
      <c r="AT60" s="52">
        <v>10000</v>
      </c>
      <c r="AU60" s="52">
        <v>26</v>
      </c>
      <c r="AV60" s="637">
        <v>44358</v>
      </c>
      <c r="AW60" s="637">
        <v>44364</v>
      </c>
      <c r="AX60" s="52">
        <v>1060</v>
      </c>
      <c r="AY60" s="52">
        <v>38</v>
      </c>
      <c r="AZ60" s="637">
        <v>44358</v>
      </c>
      <c r="BA60" s="637">
        <v>44364</v>
      </c>
      <c r="BB60" s="52">
        <v>81752</v>
      </c>
      <c r="BC60" s="52">
        <v>40</v>
      </c>
      <c r="BD60" s="637">
        <v>44358</v>
      </c>
      <c r="BE60" s="637">
        <v>44364</v>
      </c>
      <c r="BF60" s="137">
        <f t="shared" si="2"/>
        <v>706562</v>
      </c>
      <c r="BG60" s="43">
        <f t="shared" si="3"/>
        <v>-88442.947000000044</v>
      </c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</row>
    <row r="61" spans="1:99" s="96" customFormat="1" ht="22.5">
      <c r="A61" s="39"/>
      <c r="B61" s="51">
        <v>46</v>
      </c>
      <c r="C61" s="51" t="s">
        <v>131</v>
      </c>
      <c r="D61" s="42">
        <v>30124763</v>
      </c>
      <c r="E61" s="52" t="s">
        <v>2761</v>
      </c>
      <c r="F61" s="52" t="s">
        <v>317</v>
      </c>
      <c r="G61" s="56" t="s">
        <v>2686</v>
      </c>
      <c r="H61" s="52" t="s">
        <v>2695</v>
      </c>
      <c r="I61" s="52" t="s">
        <v>2537</v>
      </c>
      <c r="J61" s="636">
        <v>85904</v>
      </c>
      <c r="K61" s="52"/>
      <c r="L61" s="52"/>
      <c r="M61" s="54">
        <v>1119.8800000000001</v>
      </c>
      <c r="N61" s="54">
        <v>6394.3379999999997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/>
      <c r="W61" s="54"/>
      <c r="X61" s="54"/>
      <c r="Y61" s="54">
        <f t="shared" si="1"/>
        <v>7514.2179999999998</v>
      </c>
      <c r="Z61" s="52">
        <v>85291</v>
      </c>
      <c r="AA61" s="52">
        <v>1</v>
      </c>
      <c r="AB61" s="637">
        <v>44207</v>
      </c>
      <c r="AC61" s="637">
        <v>44249</v>
      </c>
      <c r="AD61" s="52"/>
      <c r="AE61" s="52"/>
      <c r="AF61" s="637"/>
      <c r="AG61" s="637"/>
      <c r="AH61" s="52"/>
      <c r="AI61" s="52"/>
      <c r="AJ61" s="637"/>
      <c r="AK61" s="637"/>
      <c r="AL61" s="52"/>
      <c r="AM61" s="52"/>
      <c r="AN61" s="637"/>
      <c r="AO61" s="637"/>
      <c r="AP61" s="52"/>
      <c r="AQ61" s="52"/>
      <c r="AR61" s="637"/>
      <c r="AS61" s="637"/>
      <c r="AT61" s="52"/>
      <c r="AU61" s="52"/>
      <c r="AV61" s="637"/>
      <c r="AW61" s="637"/>
      <c r="AX61" s="52"/>
      <c r="AY61" s="52"/>
      <c r="AZ61" s="637"/>
      <c r="BA61" s="637"/>
      <c r="BB61" s="52"/>
      <c r="BC61" s="52"/>
      <c r="BD61" s="637"/>
      <c r="BE61" s="637"/>
      <c r="BF61" s="137">
        <f t="shared" si="2"/>
        <v>85291</v>
      </c>
      <c r="BG61" s="43">
        <f t="shared" si="3"/>
        <v>77776.782000000007</v>
      </c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</row>
    <row r="62" spans="1:99" s="96" customFormat="1" ht="22.5">
      <c r="A62" s="39"/>
      <c r="B62" s="51">
        <v>47</v>
      </c>
      <c r="C62" s="51" t="s">
        <v>39</v>
      </c>
      <c r="D62" s="42">
        <v>30127203</v>
      </c>
      <c r="E62" s="52" t="s">
        <v>2762</v>
      </c>
      <c r="F62" s="52" t="s">
        <v>317</v>
      </c>
      <c r="G62" s="56" t="s">
        <v>2686</v>
      </c>
      <c r="H62" s="52" t="s">
        <v>2709</v>
      </c>
      <c r="I62" s="52" t="s">
        <v>2537</v>
      </c>
      <c r="J62" s="636">
        <v>444470</v>
      </c>
      <c r="K62" s="52"/>
      <c r="L62" s="52"/>
      <c r="M62" s="54">
        <v>254596.448</v>
      </c>
      <c r="N62" s="54">
        <v>0</v>
      </c>
      <c r="O62" s="54">
        <v>0</v>
      </c>
      <c r="P62" s="54">
        <v>189874.098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/>
      <c r="W62" s="54"/>
      <c r="X62" s="54"/>
      <c r="Y62" s="54">
        <f t="shared" si="1"/>
        <v>444470.54599999997</v>
      </c>
      <c r="Z62" s="52">
        <v>444470</v>
      </c>
      <c r="AA62" s="52">
        <v>4</v>
      </c>
      <c r="AB62" s="637">
        <v>44221</v>
      </c>
      <c r="AC62" s="637">
        <v>44280</v>
      </c>
      <c r="AD62" s="52"/>
      <c r="AE62" s="52"/>
      <c r="AF62" s="637"/>
      <c r="AG62" s="637"/>
      <c r="AH62" s="52"/>
      <c r="AI62" s="52"/>
      <c r="AJ62" s="637"/>
      <c r="AK62" s="637"/>
      <c r="AL62" s="52"/>
      <c r="AM62" s="52"/>
      <c r="AN62" s="637"/>
      <c r="AO62" s="637"/>
      <c r="AP62" s="52"/>
      <c r="AQ62" s="52"/>
      <c r="AR62" s="637"/>
      <c r="AS62" s="637"/>
      <c r="AT62" s="52"/>
      <c r="AU62" s="52"/>
      <c r="AV62" s="637"/>
      <c r="AW62" s="637"/>
      <c r="AX62" s="52"/>
      <c r="AY62" s="52"/>
      <c r="AZ62" s="637"/>
      <c r="BA62" s="637"/>
      <c r="BB62" s="52"/>
      <c r="BC62" s="52"/>
      <c r="BD62" s="637"/>
      <c r="BE62" s="637"/>
      <c r="BF62" s="137">
        <f t="shared" si="2"/>
        <v>444470</v>
      </c>
      <c r="BG62" s="43">
        <f t="shared" si="3"/>
        <v>-0.54599999997299165</v>
      </c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</row>
    <row r="63" spans="1:99" s="96" customFormat="1" ht="22.5" customHeight="1">
      <c r="A63" s="39"/>
      <c r="B63" s="51">
        <v>48</v>
      </c>
      <c r="C63" s="51" t="s">
        <v>39</v>
      </c>
      <c r="D63" s="42">
        <v>30127410</v>
      </c>
      <c r="E63" s="52" t="s">
        <v>2763</v>
      </c>
      <c r="F63" s="52" t="s">
        <v>317</v>
      </c>
      <c r="G63" s="56" t="s">
        <v>2686</v>
      </c>
      <c r="H63" s="52" t="s">
        <v>2720</v>
      </c>
      <c r="I63" s="52" t="s">
        <v>2537</v>
      </c>
      <c r="J63" s="636">
        <v>138777</v>
      </c>
      <c r="K63" s="52"/>
      <c r="L63" s="52"/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/>
      <c r="W63" s="54"/>
      <c r="X63" s="54"/>
      <c r="Y63" s="54">
        <f t="shared" si="1"/>
        <v>0</v>
      </c>
      <c r="Z63" s="52">
        <v>1000</v>
      </c>
      <c r="AA63" s="52">
        <v>8</v>
      </c>
      <c r="AB63" s="637">
        <v>44252</v>
      </c>
      <c r="AC63" s="637">
        <v>44292</v>
      </c>
      <c r="AD63" s="52">
        <v>137777</v>
      </c>
      <c r="AE63" s="52">
        <v>10</v>
      </c>
      <c r="AF63" s="637">
        <v>44286</v>
      </c>
      <c r="AG63" s="637">
        <v>44306</v>
      </c>
      <c r="AH63" s="52">
        <v>-138777</v>
      </c>
      <c r="AI63" s="52">
        <v>38</v>
      </c>
      <c r="AJ63" s="637">
        <v>44358</v>
      </c>
      <c r="AK63" s="637">
        <v>44364</v>
      </c>
      <c r="AL63" s="52"/>
      <c r="AM63" s="52"/>
      <c r="AN63" s="637"/>
      <c r="AO63" s="637"/>
      <c r="AP63" s="52"/>
      <c r="AQ63" s="52"/>
      <c r="AR63" s="637"/>
      <c r="AS63" s="637"/>
      <c r="AT63" s="52"/>
      <c r="AU63" s="52"/>
      <c r="AV63" s="637"/>
      <c r="AW63" s="637"/>
      <c r="AX63" s="52"/>
      <c r="AY63" s="52"/>
      <c r="AZ63" s="637"/>
      <c r="BA63" s="637"/>
      <c r="BB63" s="52"/>
      <c r="BC63" s="52"/>
      <c r="BD63" s="637"/>
      <c r="BE63" s="637"/>
      <c r="BF63" s="137">
        <f t="shared" si="2"/>
        <v>0</v>
      </c>
      <c r="BG63" s="43">
        <f t="shared" si="3"/>
        <v>0</v>
      </c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</row>
    <row r="64" spans="1:99" s="96" customFormat="1" ht="22.5" customHeight="1">
      <c r="A64" s="39"/>
      <c r="B64" s="51">
        <v>49</v>
      </c>
      <c r="C64" s="51" t="s">
        <v>39</v>
      </c>
      <c r="D64" s="42">
        <v>30128148</v>
      </c>
      <c r="E64" s="52" t="s">
        <v>2764</v>
      </c>
      <c r="F64" s="52" t="s">
        <v>317</v>
      </c>
      <c r="G64" s="56" t="s">
        <v>2686</v>
      </c>
      <c r="H64" s="52" t="s">
        <v>2705</v>
      </c>
      <c r="I64" s="52" t="s">
        <v>2537</v>
      </c>
      <c r="J64" s="636">
        <v>39497</v>
      </c>
      <c r="K64" s="52"/>
      <c r="L64" s="52"/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36437.012999999999</v>
      </c>
      <c r="T64" s="54">
        <v>0</v>
      </c>
      <c r="U64" s="54">
        <v>0</v>
      </c>
      <c r="V64" s="54"/>
      <c r="W64" s="54"/>
      <c r="X64" s="54"/>
      <c r="Y64" s="54">
        <f t="shared" si="1"/>
        <v>36437.012999999999</v>
      </c>
      <c r="Z64" s="52">
        <v>1000</v>
      </c>
      <c r="AA64" s="52">
        <v>8</v>
      </c>
      <c r="AB64" s="637">
        <v>44252</v>
      </c>
      <c r="AC64" s="637">
        <v>44292</v>
      </c>
      <c r="AD64" s="52">
        <v>35438</v>
      </c>
      <c r="AE64" s="52">
        <v>38</v>
      </c>
      <c r="AF64" s="637">
        <v>44358</v>
      </c>
      <c r="AG64" s="637">
        <v>44364</v>
      </c>
      <c r="AH64" s="52"/>
      <c r="AI64" s="52"/>
      <c r="AJ64" s="637"/>
      <c r="AK64" s="637"/>
      <c r="AL64" s="52"/>
      <c r="AM64" s="52"/>
      <c r="AN64" s="637"/>
      <c r="AO64" s="637"/>
      <c r="AP64" s="52"/>
      <c r="AQ64" s="52"/>
      <c r="AR64" s="637"/>
      <c r="AS64" s="637"/>
      <c r="AT64" s="52"/>
      <c r="AU64" s="52"/>
      <c r="AV64" s="637"/>
      <c r="AW64" s="637"/>
      <c r="AX64" s="52"/>
      <c r="AY64" s="52"/>
      <c r="AZ64" s="637"/>
      <c r="BA64" s="637"/>
      <c r="BB64" s="52"/>
      <c r="BC64" s="52"/>
      <c r="BD64" s="637"/>
      <c r="BE64" s="637"/>
      <c r="BF64" s="137">
        <f t="shared" si="2"/>
        <v>36438</v>
      </c>
      <c r="BG64" s="43">
        <f t="shared" si="3"/>
        <v>0.98700000000098953</v>
      </c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</row>
    <row r="65" spans="1:99" s="96" customFormat="1" ht="22.5" customHeight="1">
      <c r="A65" s="39"/>
      <c r="B65" s="51">
        <v>50</v>
      </c>
      <c r="C65" s="51" t="s">
        <v>39</v>
      </c>
      <c r="D65" s="42">
        <v>30128150</v>
      </c>
      <c r="E65" s="52" t="s">
        <v>2765</v>
      </c>
      <c r="F65" s="52" t="s">
        <v>317</v>
      </c>
      <c r="G65" s="56" t="s">
        <v>2686</v>
      </c>
      <c r="H65" s="52" t="s">
        <v>2705</v>
      </c>
      <c r="I65" s="52" t="s">
        <v>2537</v>
      </c>
      <c r="J65" s="636">
        <v>50834</v>
      </c>
      <c r="K65" s="52"/>
      <c r="L65" s="52"/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/>
      <c r="W65" s="54"/>
      <c r="X65" s="54"/>
      <c r="Y65" s="54">
        <f t="shared" si="1"/>
        <v>0</v>
      </c>
      <c r="Z65" s="52">
        <v>1000</v>
      </c>
      <c r="AA65" s="52">
        <v>1</v>
      </c>
      <c r="AB65" s="637">
        <v>44207</v>
      </c>
      <c r="AC65" s="637">
        <v>44249</v>
      </c>
      <c r="AD65" s="52">
        <v>-1000</v>
      </c>
      <c r="AE65" s="52">
        <v>39</v>
      </c>
      <c r="AF65" s="637">
        <v>44358</v>
      </c>
      <c r="AG65" s="637">
        <v>44364</v>
      </c>
      <c r="AH65" s="52"/>
      <c r="AI65" s="52"/>
      <c r="AJ65" s="637"/>
      <c r="AK65" s="637"/>
      <c r="AL65" s="52"/>
      <c r="AM65" s="52"/>
      <c r="AN65" s="637"/>
      <c r="AO65" s="637"/>
      <c r="AP65" s="52"/>
      <c r="AQ65" s="52"/>
      <c r="AR65" s="637"/>
      <c r="AS65" s="637"/>
      <c r="AT65" s="52"/>
      <c r="AU65" s="52"/>
      <c r="AV65" s="637"/>
      <c r="AW65" s="637"/>
      <c r="AX65" s="52"/>
      <c r="AY65" s="52"/>
      <c r="AZ65" s="637"/>
      <c r="BA65" s="637"/>
      <c r="BB65" s="52"/>
      <c r="BC65" s="52"/>
      <c r="BD65" s="637"/>
      <c r="BE65" s="637"/>
      <c r="BF65" s="137">
        <f t="shared" si="2"/>
        <v>0</v>
      </c>
      <c r="BG65" s="43">
        <f t="shared" si="3"/>
        <v>0</v>
      </c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</row>
    <row r="66" spans="1:99" s="96" customFormat="1" ht="45" customHeight="1">
      <c r="A66" s="39"/>
      <c r="B66" s="51">
        <v>51</v>
      </c>
      <c r="C66" s="51" t="s">
        <v>39</v>
      </c>
      <c r="D66" s="42">
        <v>30133749</v>
      </c>
      <c r="E66" s="52" t="s">
        <v>2766</v>
      </c>
      <c r="F66" s="52" t="s">
        <v>317</v>
      </c>
      <c r="G66" s="56" t="s">
        <v>2686</v>
      </c>
      <c r="H66" s="52" t="s">
        <v>2767</v>
      </c>
      <c r="I66" s="52" t="s">
        <v>2537</v>
      </c>
      <c r="J66" s="636">
        <v>748741</v>
      </c>
      <c r="K66" s="52"/>
      <c r="L66" s="52"/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42429.527999999998</v>
      </c>
      <c r="T66" s="54">
        <v>0</v>
      </c>
      <c r="U66" s="54">
        <v>137073.58600000001</v>
      </c>
      <c r="V66" s="54"/>
      <c r="W66" s="54"/>
      <c r="X66" s="54"/>
      <c r="Y66" s="54">
        <f t="shared" si="1"/>
        <v>179503.114</v>
      </c>
      <c r="Z66" s="52">
        <v>1000</v>
      </c>
      <c r="AA66" s="52">
        <v>1</v>
      </c>
      <c r="AB66" s="637">
        <v>44207</v>
      </c>
      <c r="AC66" s="637">
        <v>44249</v>
      </c>
      <c r="AD66" s="52">
        <v>647328</v>
      </c>
      <c r="AE66" s="52">
        <v>8</v>
      </c>
      <c r="AF66" s="637">
        <v>44252</v>
      </c>
      <c r="AG66" s="637">
        <v>44292</v>
      </c>
      <c r="AH66" s="52">
        <v>-605898</v>
      </c>
      <c r="AI66" s="52">
        <v>38</v>
      </c>
      <c r="AJ66" s="637">
        <v>44358</v>
      </c>
      <c r="AK66" s="637">
        <v>44364</v>
      </c>
      <c r="AL66" s="52"/>
      <c r="AM66" s="52"/>
      <c r="AN66" s="637"/>
      <c r="AO66" s="637"/>
      <c r="AP66" s="52"/>
      <c r="AQ66" s="52"/>
      <c r="AR66" s="637"/>
      <c r="AS66" s="637"/>
      <c r="AT66" s="52"/>
      <c r="AU66" s="52"/>
      <c r="AV66" s="637"/>
      <c r="AW66" s="637"/>
      <c r="AX66" s="52"/>
      <c r="AY66" s="52"/>
      <c r="AZ66" s="637"/>
      <c r="BA66" s="637"/>
      <c r="BB66" s="52"/>
      <c r="BC66" s="52"/>
      <c r="BD66" s="637"/>
      <c r="BE66" s="637"/>
      <c r="BF66" s="137">
        <f t="shared" si="2"/>
        <v>42430</v>
      </c>
      <c r="BG66" s="43">
        <f t="shared" si="3"/>
        <v>-137073.114</v>
      </c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</row>
    <row r="67" spans="1:99" s="96" customFormat="1" ht="45" customHeight="1">
      <c r="A67" s="39"/>
      <c r="B67" s="51">
        <v>52</v>
      </c>
      <c r="C67" s="51" t="s">
        <v>39</v>
      </c>
      <c r="D67" s="42">
        <v>30133832</v>
      </c>
      <c r="E67" s="52" t="s">
        <v>2768</v>
      </c>
      <c r="F67" s="52" t="s">
        <v>317</v>
      </c>
      <c r="G67" s="56" t="s">
        <v>2686</v>
      </c>
      <c r="H67" s="52" t="s">
        <v>2767</v>
      </c>
      <c r="I67" s="52" t="s">
        <v>2540</v>
      </c>
      <c r="J67" s="636">
        <v>94721</v>
      </c>
      <c r="K67" s="52"/>
      <c r="L67" s="52"/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/>
      <c r="W67" s="54"/>
      <c r="X67" s="54"/>
      <c r="Y67" s="54">
        <f t="shared" si="1"/>
        <v>0</v>
      </c>
      <c r="Z67" s="52">
        <v>1000</v>
      </c>
      <c r="AA67" s="52">
        <v>1</v>
      </c>
      <c r="AB67" s="637">
        <v>44207</v>
      </c>
      <c r="AC67" s="637">
        <v>44249</v>
      </c>
      <c r="AD67" s="52">
        <v>-1000</v>
      </c>
      <c r="AE67" s="52">
        <v>39</v>
      </c>
      <c r="AF67" s="637">
        <v>44358</v>
      </c>
      <c r="AG67" s="637">
        <v>44364</v>
      </c>
      <c r="AH67" s="52"/>
      <c r="AI67" s="52"/>
      <c r="AJ67" s="637"/>
      <c r="AK67" s="637"/>
      <c r="AL67" s="52"/>
      <c r="AM67" s="52"/>
      <c r="AN67" s="637"/>
      <c r="AO67" s="637"/>
      <c r="AP67" s="52"/>
      <c r="AQ67" s="52"/>
      <c r="AR67" s="637"/>
      <c r="AS67" s="637"/>
      <c r="AT67" s="52"/>
      <c r="AU67" s="52"/>
      <c r="AV67" s="637"/>
      <c r="AW67" s="637"/>
      <c r="AX67" s="52"/>
      <c r="AY67" s="52"/>
      <c r="AZ67" s="637"/>
      <c r="BA67" s="637"/>
      <c r="BB67" s="52"/>
      <c r="BC67" s="52"/>
      <c r="BD67" s="637"/>
      <c r="BE67" s="637"/>
      <c r="BF67" s="137">
        <f t="shared" si="2"/>
        <v>0</v>
      </c>
      <c r="BG67" s="43">
        <f t="shared" si="3"/>
        <v>0</v>
      </c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</row>
    <row r="68" spans="1:99" s="96" customFormat="1" ht="22.5">
      <c r="A68" s="39"/>
      <c r="B68" s="51">
        <v>53</v>
      </c>
      <c r="C68" s="51" t="s">
        <v>39</v>
      </c>
      <c r="D68" s="42">
        <v>30134512</v>
      </c>
      <c r="E68" s="52" t="s">
        <v>2769</v>
      </c>
      <c r="F68" s="52" t="s">
        <v>317</v>
      </c>
      <c r="G68" s="56" t="s">
        <v>2686</v>
      </c>
      <c r="H68" s="52" t="s">
        <v>2770</v>
      </c>
      <c r="I68" s="52" t="s">
        <v>2537</v>
      </c>
      <c r="J68" s="636">
        <v>327291</v>
      </c>
      <c r="K68" s="52"/>
      <c r="L68" s="52"/>
      <c r="M68" s="54">
        <v>44816.887000000002</v>
      </c>
      <c r="N68" s="54">
        <v>90687.20199999999</v>
      </c>
      <c r="O68" s="54">
        <v>137592.58199999999</v>
      </c>
      <c r="P68" s="54">
        <v>46946.561999999998</v>
      </c>
      <c r="Q68" s="54">
        <v>0</v>
      </c>
      <c r="R68" s="54">
        <v>0</v>
      </c>
      <c r="S68" s="54">
        <v>0</v>
      </c>
      <c r="T68" s="54">
        <v>3599.355</v>
      </c>
      <c r="U68" s="54">
        <v>0</v>
      </c>
      <c r="V68" s="54"/>
      <c r="W68" s="54"/>
      <c r="X68" s="54"/>
      <c r="Y68" s="54">
        <f t="shared" si="1"/>
        <v>323642.58799999993</v>
      </c>
      <c r="Z68" s="52">
        <v>323643</v>
      </c>
      <c r="AA68" s="52">
        <v>8</v>
      </c>
      <c r="AB68" s="637">
        <v>44252</v>
      </c>
      <c r="AC68" s="637">
        <v>44292</v>
      </c>
      <c r="AD68" s="52"/>
      <c r="AE68" s="52"/>
      <c r="AF68" s="637"/>
      <c r="AG68" s="637"/>
      <c r="AH68" s="52"/>
      <c r="AI68" s="52"/>
      <c r="AJ68" s="637"/>
      <c r="AK68" s="637"/>
      <c r="AL68" s="52"/>
      <c r="AM68" s="52"/>
      <c r="AN68" s="637"/>
      <c r="AO68" s="637"/>
      <c r="AP68" s="52"/>
      <c r="AQ68" s="52"/>
      <c r="AR68" s="637"/>
      <c r="AS68" s="637"/>
      <c r="AT68" s="52"/>
      <c r="AU68" s="52"/>
      <c r="AV68" s="637"/>
      <c r="AW68" s="637"/>
      <c r="AX68" s="52"/>
      <c r="AY68" s="52"/>
      <c r="AZ68" s="637"/>
      <c r="BA68" s="637"/>
      <c r="BB68" s="52"/>
      <c r="BC68" s="52"/>
      <c r="BD68" s="637"/>
      <c r="BE68" s="637"/>
      <c r="BF68" s="137">
        <f t="shared" si="2"/>
        <v>323643</v>
      </c>
      <c r="BG68" s="43">
        <f t="shared" si="3"/>
        <v>0.41200000006938353</v>
      </c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</row>
    <row r="69" spans="1:99" s="96" customFormat="1" ht="22.5" customHeight="1">
      <c r="A69" s="39"/>
      <c r="B69" s="51">
        <v>54</v>
      </c>
      <c r="C69" s="51" t="s">
        <v>39</v>
      </c>
      <c r="D69" s="42">
        <v>30134665</v>
      </c>
      <c r="E69" s="52" t="s">
        <v>2771</v>
      </c>
      <c r="F69" s="52" t="s">
        <v>317</v>
      </c>
      <c r="G69" s="56" t="s">
        <v>2686</v>
      </c>
      <c r="H69" s="52" t="s">
        <v>2693</v>
      </c>
      <c r="I69" s="52" t="s">
        <v>2537</v>
      </c>
      <c r="J69" s="636">
        <v>7246</v>
      </c>
      <c r="K69" s="52"/>
      <c r="L69" s="52"/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/>
      <c r="W69" s="54"/>
      <c r="X69" s="54"/>
      <c r="Y69" s="54">
        <f t="shared" si="1"/>
        <v>0</v>
      </c>
      <c r="Z69" s="52">
        <v>1000</v>
      </c>
      <c r="AA69" s="52">
        <v>8</v>
      </c>
      <c r="AB69" s="637">
        <v>44252</v>
      </c>
      <c r="AC69" s="637">
        <v>44292</v>
      </c>
      <c r="AD69" s="52">
        <v>-1000</v>
      </c>
      <c r="AE69" s="52">
        <v>39</v>
      </c>
      <c r="AF69" s="637">
        <v>44358</v>
      </c>
      <c r="AG69" s="637">
        <v>44364</v>
      </c>
      <c r="AH69" s="52"/>
      <c r="AI69" s="52"/>
      <c r="AJ69" s="637"/>
      <c r="AK69" s="637"/>
      <c r="AL69" s="52"/>
      <c r="AM69" s="52"/>
      <c r="AN69" s="637"/>
      <c r="AO69" s="637"/>
      <c r="AP69" s="52"/>
      <c r="AQ69" s="52"/>
      <c r="AR69" s="637"/>
      <c r="AS69" s="637"/>
      <c r="AT69" s="52"/>
      <c r="AU69" s="52"/>
      <c r="AV69" s="637"/>
      <c r="AW69" s="637"/>
      <c r="AX69" s="52"/>
      <c r="AY69" s="52"/>
      <c r="AZ69" s="637"/>
      <c r="BA69" s="637"/>
      <c r="BB69" s="52"/>
      <c r="BC69" s="52"/>
      <c r="BD69" s="637"/>
      <c r="BE69" s="637"/>
      <c r="BF69" s="137">
        <f t="shared" si="2"/>
        <v>0</v>
      </c>
      <c r="BG69" s="43">
        <f t="shared" si="3"/>
        <v>0</v>
      </c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</row>
    <row r="70" spans="1:99" s="96" customFormat="1" ht="22.5" customHeight="1">
      <c r="A70" s="39"/>
      <c r="B70" s="51">
        <v>55</v>
      </c>
      <c r="C70" s="51" t="s">
        <v>39</v>
      </c>
      <c r="D70" s="42">
        <v>30136379</v>
      </c>
      <c r="E70" s="52" t="s">
        <v>2772</v>
      </c>
      <c r="F70" s="52" t="s">
        <v>317</v>
      </c>
      <c r="G70" s="56" t="s">
        <v>2686</v>
      </c>
      <c r="H70" s="52" t="s">
        <v>2744</v>
      </c>
      <c r="I70" s="52" t="s">
        <v>2537</v>
      </c>
      <c r="J70" s="636">
        <v>732999</v>
      </c>
      <c r="K70" s="52"/>
      <c r="L70" s="52"/>
      <c r="M70" s="54">
        <v>492611.33799999999</v>
      </c>
      <c r="N70" s="54">
        <v>0</v>
      </c>
      <c r="O70" s="54">
        <v>0</v>
      </c>
      <c r="P70" s="54">
        <v>240387.011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/>
      <c r="W70" s="54"/>
      <c r="X70" s="54"/>
      <c r="Y70" s="54">
        <f t="shared" si="1"/>
        <v>732998.34899999993</v>
      </c>
      <c r="Z70" s="52">
        <v>552383</v>
      </c>
      <c r="AA70" s="52">
        <v>4</v>
      </c>
      <c r="AB70" s="637">
        <v>44221</v>
      </c>
      <c r="AC70" s="637">
        <v>44280</v>
      </c>
      <c r="AD70" s="52">
        <v>180615</v>
      </c>
      <c r="AE70" s="52">
        <v>14</v>
      </c>
      <c r="AF70" s="637">
        <v>44313</v>
      </c>
      <c r="AG70" s="637">
        <v>44322</v>
      </c>
      <c r="AH70" s="52"/>
      <c r="AI70" s="52"/>
      <c r="AJ70" s="637"/>
      <c r="AK70" s="637"/>
      <c r="AL70" s="52"/>
      <c r="AM70" s="52"/>
      <c r="AN70" s="637"/>
      <c r="AO70" s="637"/>
      <c r="AP70" s="52"/>
      <c r="AQ70" s="52"/>
      <c r="AR70" s="637"/>
      <c r="AS70" s="637"/>
      <c r="AT70" s="52"/>
      <c r="AU70" s="52"/>
      <c r="AV70" s="637"/>
      <c r="AW70" s="637"/>
      <c r="AX70" s="52"/>
      <c r="AY70" s="52"/>
      <c r="AZ70" s="637"/>
      <c r="BA70" s="637"/>
      <c r="BB70" s="52"/>
      <c r="BC70" s="52"/>
      <c r="BD70" s="637"/>
      <c r="BE70" s="637"/>
      <c r="BF70" s="137">
        <f t="shared" si="2"/>
        <v>732998</v>
      </c>
      <c r="BG70" s="43">
        <f t="shared" si="3"/>
        <v>-0.34899999992921948</v>
      </c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</row>
    <row r="71" spans="1:99" s="96" customFormat="1" ht="22.5" customHeight="1">
      <c r="A71" s="39"/>
      <c r="B71" s="51">
        <v>56</v>
      </c>
      <c r="C71" s="51" t="s">
        <v>39</v>
      </c>
      <c r="D71" s="42">
        <v>30137965</v>
      </c>
      <c r="E71" s="52" t="s">
        <v>2773</v>
      </c>
      <c r="F71" s="52" t="s">
        <v>317</v>
      </c>
      <c r="G71" s="56" t="s">
        <v>2686</v>
      </c>
      <c r="H71" s="52" t="s">
        <v>2774</v>
      </c>
      <c r="I71" s="52" t="s">
        <v>2537</v>
      </c>
      <c r="J71" s="636">
        <v>141627</v>
      </c>
      <c r="K71" s="52"/>
      <c r="L71" s="52"/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/>
      <c r="W71" s="54"/>
      <c r="X71" s="54"/>
      <c r="Y71" s="54">
        <f t="shared" si="1"/>
        <v>0</v>
      </c>
      <c r="Z71" s="52">
        <v>1000</v>
      </c>
      <c r="AA71" s="52">
        <v>8</v>
      </c>
      <c r="AB71" s="637">
        <v>44252</v>
      </c>
      <c r="AC71" s="637">
        <v>44292</v>
      </c>
      <c r="AD71" s="52">
        <v>-1000</v>
      </c>
      <c r="AE71" s="52">
        <v>39</v>
      </c>
      <c r="AF71" s="637">
        <v>44358</v>
      </c>
      <c r="AG71" s="637">
        <v>44364</v>
      </c>
      <c r="AH71" s="52"/>
      <c r="AI71" s="52"/>
      <c r="AJ71" s="637"/>
      <c r="AK71" s="637"/>
      <c r="AL71" s="52"/>
      <c r="AM71" s="52"/>
      <c r="AN71" s="637"/>
      <c r="AO71" s="637"/>
      <c r="AP71" s="52"/>
      <c r="AQ71" s="52"/>
      <c r="AR71" s="637"/>
      <c r="AS71" s="637"/>
      <c r="AT71" s="52"/>
      <c r="AU71" s="52"/>
      <c r="AV71" s="637"/>
      <c r="AW71" s="637"/>
      <c r="AX71" s="52"/>
      <c r="AY71" s="52"/>
      <c r="AZ71" s="637"/>
      <c r="BA71" s="637"/>
      <c r="BB71" s="52"/>
      <c r="BC71" s="52"/>
      <c r="BD71" s="637"/>
      <c r="BE71" s="637"/>
      <c r="BF71" s="137">
        <f t="shared" si="2"/>
        <v>0</v>
      </c>
      <c r="BG71" s="43">
        <f t="shared" si="3"/>
        <v>0</v>
      </c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</row>
    <row r="72" spans="1:99" s="96" customFormat="1" ht="22.5" customHeight="1">
      <c r="A72" s="39"/>
      <c r="B72" s="51">
        <v>57</v>
      </c>
      <c r="C72" s="51" t="s">
        <v>39</v>
      </c>
      <c r="D72" s="42">
        <v>30140322</v>
      </c>
      <c r="E72" s="52" t="s">
        <v>2775</v>
      </c>
      <c r="F72" s="52" t="s">
        <v>317</v>
      </c>
      <c r="G72" s="56" t="s">
        <v>2686</v>
      </c>
      <c r="H72" s="52" t="s">
        <v>2737</v>
      </c>
      <c r="I72" s="52" t="s">
        <v>2537</v>
      </c>
      <c r="J72" s="636">
        <v>6031</v>
      </c>
      <c r="K72" s="52"/>
      <c r="L72" s="52"/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5958.2950000000001</v>
      </c>
      <c r="T72" s="54">
        <v>0</v>
      </c>
      <c r="U72" s="54">
        <v>0</v>
      </c>
      <c r="V72" s="54"/>
      <c r="W72" s="54"/>
      <c r="X72" s="54"/>
      <c r="Y72" s="54">
        <f t="shared" si="1"/>
        <v>5958.2950000000001</v>
      </c>
      <c r="Z72" s="52">
        <v>1000</v>
      </c>
      <c r="AA72" s="52">
        <v>8</v>
      </c>
      <c r="AB72" s="637">
        <v>44252</v>
      </c>
      <c r="AC72" s="637">
        <v>44292</v>
      </c>
      <c r="AD72" s="52">
        <v>4959</v>
      </c>
      <c r="AE72" s="52">
        <v>38</v>
      </c>
      <c r="AF72" s="637">
        <v>44358</v>
      </c>
      <c r="AG72" s="637">
        <v>44364</v>
      </c>
      <c r="AH72" s="52"/>
      <c r="AI72" s="52"/>
      <c r="AJ72" s="637"/>
      <c r="AK72" s="637"/>
      <c r="AL72" s="52"/>
      <c r="AM72" s="52"/>
      <c r="AN72" s="637"/>
      <c r="AO72" s="637"/>
      <c r="AP72" s="52"/>
      <c r="AQ72" s="52"/>
      <c r="AR72" s="637"/>
      <c r="AS72" s="637"/>
      <c r="AT72" s="52"/>
      <c r="AU72" s="52"/>
      <c r="AV72" s="637"/>
      <c r="AW72" s="637"/>
      <c r="AX72" s="52"/>
      <c r="AY72" s="52"/>
      <c r="AZ72" s="637"/>
      <c r="BA72" s="637"/>
      <c r="BB72" s="52"/>
      <c r="BC72" s="52"/>
      <c r="BD72" s="637"/>
      <c r="BE72" s="637"/>
      <c r="BF72" s="137">
        <f t="shared" si="2"/>
        <v>5959</v>
      </c>
      <c r="BG72" s="43">
        <f t="shared" si="3"/>
        <v>0.70499999999992724</v>
      </c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</row>
    <row r="73" spans="1:99" s="96" customFormat="1" ht="22.5" customHeight="1">
      <c r="A73" s="39"/>
      <c r="B73" s="51">
        <v>58</v>
      </c>
      <c r="C73" s="51" t="s">
        <v>39</v>
      </c>
      <c r="D73" s="42">
        <v>30165823</v>
      </c>
      <c r="E73" s="52" t="s">
        <v>2776</v>
      </c>
      <c r="F73" s="52" t="s">
        <v>317</v>
      </c>
      <c r="G73" s="56" t="s">
        <v>2686</v>
      </c>
      <c r="H73" s="52" t="s">
        <v>2777</v>
      </c>
      <c r="I73" s="52" t="s">
        <v>2537</v>
      </c>
      <c r="J73" s="636">
        <v>547589</v>
      </c>
      <c r="K73" s="52"/>
      <c r="L73" s="52"/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/>
      <c r="W73" s="54"/>
      <c r="X73" s="54"/>
      <c r="Y73" s="54">
        <f t="shared" si="1"/>
        <v>0</v>
      </c>
      <c r="Z73" s="52">
        <v>1000</v>
      </c>
      <c r="AA73" s="52">
        <v>8</v>
      </c>
      <c r="AB73" s="637">
        <v>44252</v>
      </c>
      <c r="AC73" s="637">
        <v>44292</v>
      </c>
      <c r="AD73" s="52">
        <v>-1000</v>
      </c>
      <c r="AE73" s="52">
        <v>39</v>
      </c>
      <c r="AF73" s="637">
        <v>44358</v>
      </c>
      <c r="AG73" s="637">
        <v>44364</v>
      </c>
      <c r="AH73" s="52"/>
      <c r="AI73" s="52"/>
      <c r="AJ73" s="637"/>
      <c r="AK73" s="637"/>
      <c r="AL73" s="52"/>
      <c r="AM73" s="52"/>
      <c r="AN73" s="637"/>
      <c r="AO73" s="637"/>
      <c r="AP73" s="52"/>
      <c r="AQ73" s="52"/>
      <c r="AR73" s="637"/>
      <c r="AS73" s="637"/>
      <c r="AT73" s="52"/>
      <c r="AU73" s="52"/>
      <c r="AV73" s="637"/>
      <c r="AW73" s="637"/>
      <c r="AX73" s="52"/>
      <c r="AY73" s="52"/>
      <c r="AZ73" s="637"/>
      <c r="BA73" s="637"/>
      <c r="BB73" s="52"/>
      <c r="BC73" s="52"/>
      <c r="BD73" s="637"/>
      <c r="BE73" s="637"/>
      <c r="BF73" s="137">
        <f t="shared" si="2"/>
        <v>0</v>
      </c>
      <c r="BG73" s="43">
        <f t="shared" si="3"/>
        <v>0</v>
      </c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</row>
    <row r="74" spans="1:99" s="96" customFormat="1" ht="22.5" customHeight="1">
      <c r="A74" s="39"/>
      <c r="B74" s="51">
        <v>59</v>
      </c>
      <c r="C74" s="51" t="s">
        <v>39</v>
      </c>
      <c r="D74" s="42">
        <v>30173824</v>
      </c>
      <c r="E74" s="52" t="s">
        <v>2778</v>
      </c>
      <c r="F74" s="52" t="s">
        <v>317</v>
      </c>
      <c r="G74" s="56" t="s">
        <v>2686</v>
      </c>
      <c r="H74" s="52" t="s">
        <v>2779</v>
      </c>
      <c r="I74" s="52" t="s">
        <v>2537</v>
      </c>
      <c r="J74" s="636">
        <v>327814</v>
      </c>
      <c r="K74" s="52"/>
      <c r="L74" s="52"/>
      <c r="M74" s="54">
        <v>256842.98</v>
      </c>
      <c r="N74" s="54">
        <v>3515</v>
      </c>
      <c r="O74" s="54">
        <v>0</v>
      </c>
      <c r="P74" s="54">
        <v>0</v>
      </c>
      <c r="Q74" s="54">
        <v>0</v>
      </c>
      <c r="R74" s="54">
        <v>129984.85799999999</v>
      </c>
      <c r="S74" s="54">
        <v>0</v>
      </c>
      <c r="T74" s="54">
        <v>0</v>
      </c>
      <c r="U74" s="54">
        <v>3700</v>
      </c>
      <c r="V74" s="54"/>
      <c r="W74" s="54"/>
      <c r="X74" s="54"/>
      <c r="Y74" s="54">
        <f t="shared" si="1"/>
        <v>394042.83799999999</v>
      </c>
      <c r="Z74" s="52">
        <v>318148</v>
      </c>
      <c r="AA74" s="52">
        <v>4</v>
      </c>
      <c r="AB74" s="637">
        <v>44221</v>
      </c>
      <c r="AC74" s="637">
        <v>44280</v>
      </c>
      <c r="AD74" s="52">
        <v>7030</v>
      </c>
      <c r="AE74" s="52">
        <v>8</v>
      </c>
      <c r="AF74" s="637">
        <v>44252</v>
      </c>
      <c r="AG74" s="637">
        <v>44292</v>
      </c>
      <c r="AH74" s="52">
        <v>68680</v>
      </c>
      <c r="AI74" s="52">
        <v>26</v>
      </c>
      <c r="AJ74" s="637">
        <v>44358</v>
      </c>
      <c r="AK74" s="637">
        <v>44364</v>
      </c>
      <c r="AL74" s="52"/>
      <c r="AM74" s="52"/>
      <c r="AN74" s="637"/>
      <c r="AO74" s="637"/>
      <c r="AP74" s="52"/>
      <c r="AQ74" s="52"/>
      <c r="AR74" s="637"/>
      <c r="AS74" s="637"/>
      <c r="AT74" s="52"/>
      <c r="AU74" s="52"/>
      <c r="AV74" s="637"/>
      <c r="AW74" s="637"/>
      <c r="AX74" s="52"/>
      <c r="AY74" s="52"/>
      <c r="AZ74" s="637"/>
      <c r="BA74" s="637"/>
      <c r="BB74" s="52"/>
      <c r="BC74" s="52"/>
      <c r="BD74" s="637"/>
      <c r="BE74" s="637"/>
      <c r="BF74" s="137">
        <f t="shared" si="2"/>
        <v>393858</v>
      </c>
      <c r="BG74" s="43">
        <f t="shared" si="3"/>
        <v>-184.83799999998882</v>
      </c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</row>
    <row r="75" spans="1:99" s="96" customFormat="1" ht="22.5" customHeight="1">
      <c r="A75" s="39"/>
      <c r="B75" s="51">
        <v>60</v>
      </c>
      <c r="C75" s="51" t="s">
        <v>39</v>
      </c>
      <c r="D75" s="42">
        <v>30207272</v>
      </c>
      <c r="E75" s="52" t="s">
        <v>2780</v>
      </c>
      <c r="F75" s="52" t="s">
        <v>317</v>
      </c>
      <c r="G75" s="56" t="s">
        <v>2686</v>
      </c>
      <c r="H75" s="52" t="s">
        <v>2781</v>
      </c>
      <c r="I75" s="52" t="s">
        <v>2537</v>
      </c>
      <c r="J75" s="636">
        <v>3001809</v>
      </c>
      <c r="K75" s="52"/>
      <c r="L75" s="52"/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/>
      <c r="W75" s="54"/>
      <c r="X75" s="54"/>
      <c r="Y75" s="54">
        <f t="shared" si="1"/>
        <v>0</v>
      </c>
      <c r="Z75" s="52">
        <v>1000</v>
      </c>
      <c r="AA75" s="52">
        <v>8</v>
      </c>
      <c r="AB75" s="637">
        <v>44252</v>
      </c>
      <c r="AC75" s="637">
        <v>44292</v>
      </c>
      <c r="AD75" s="52">
        <v>-1000</v>
      </c>
      <c r="AE75" s="52">
        <v>39</v>
      </c>
      <c r="AF75" s="637">
        <v>44358</v>
      </c>
      <c r="AG75" s="637">
        <v>44364</v>
      </c>
      <c r="AH75" s="52"/>
      <c r="AI75" s="52"/>
      <c r="AJ75" s="637"/>
      <c r="AK75" s="637"/>
      <c r="AL75" s="52"/>
      <c r="AM75" s="52"/>
      <c r="AN75" s="637"/>
      <c r="AO75" s="637"/>
      <c r="AP75" s="52"/>
      <c r="AQ75" s="52"/>
      <c r="AR75" s="637"/>
      <c r="AS75" s="637"/>
      <c r="AT75" s="52"/>
      <c r="AU75" s="52"/>
      <c r="AV75" s="637"/>
      <c r="AW75" s="637"/>
      <c r="AX75" s="52"/>
      <c r="AY75" s="52"/>
      <c r="AZ75" s="637"/>
      <c r="BA75" s="637"/>
      <c r="BB75" s="52"/>
      <c r="BC75" s="52"/>
      <c r="BD75" s="637"/>
      <c r="BE75" s="637"/>
      <c r="BF75" s="137">
        <f t="shared" si="2"/>
        <v>0</v>
      </c>
      <c r="BG75" s="43">
        <f t="shared" si="3"/>
        <v>0</v>
      </c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</row>
    <row r="76" spans="1:99" s="96" customFormat="1" ht="22.5" customHeight="1">
      <c r="A76" s="39"/>
      <c r="B76" s="51">
        <v>61</v>
      </c>
      <c r="C76" s="51" t="s">
        <v>39</v>
      </c>
      <c r="D76" s="42">
        <v>30210672</v>
      </c>
      <c r="E76" s="52" t="s">
        <v>2782</v>
      </c>
      <c r="F76" s="52" t="s">
        <v>47</v>
      </c>
      <c r="G76" s="56" t="s">
        <v>2686</v>
      </c>
      <c r="H76" s="52" t="s">
        <v>2783</v>
      </c>
      <c r="I76" s="52" t="s">
        <v>2537</v>
      </c>
      <c r="J76" s="636">
        <v>42796</v>
      </c>
      <c r="K76" s="52"/>
      <c r="L76" s="52"/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/>
      <c r="W76" s="54"/>
      <c r="X76" s="54"/>
      <c r="Y76" s="54">
        <f t="shared" si="1"/>
        <v>0</v>
      </c>
      <c r="Z76" s="52">
        <v>1000</v>
      </c>
      <c r="AA76" s="52">
        <v>8</v>
      </c>
      <c r="AB76" s="637">
        <v>44252</v>
      </c>
      <c r="AC76" s="637">
        <v>44292</v>
      </c>
      <c r="AD76" s="52">
        <v>-1000</v>
      </c>
      <c r="AE76" s="52">
        <v>39</v>
      </c>
      <c r="AF76" s="637">
        <v>44358</v>
      </c>
      <c r="AG76" s="637">
        <v>44364</v>
      </c>
      <c r="AH76" s="52"/>
      <c r="AI76" s="52"/>
      <c r="AJ76" s="637"/>
      <c r="AK76" s="637"/>
      <c r="AL76" s="52"/>
      <c r="AM76" s="52"/>
      <c r="AN76" s="637"/>
      <c r="AO76" s="637"/>
      <c r="AP76" s="52"/>
      <c r="AQ76" s="52"/>
      <c r="AR76" s="637"/>
      <c r="AS76" s="637"/>
      <c r="AT76" s="52"/>
      <c r="AU76" s="52"/>
      <c r="AV76" s="637"/>
      <c r="AW76" s="637"/>
      <c r="AX76" s="52"/>
      <c r="AY76" s="52"/>
      <c r="AZ76" s="637"/>
      <c r="BA76" s="637"/>
      <c r="BB76" s="52"/>
      <c r="BC76" s="52"/>
      <c r="BD76" s="637"/>
      <c r="BE76" s="637"/>
      <c r="BF76" s="137">
        <f t="shared" si="2"/>
        <v>0</v>
      </c>
      <c r="BG76" s="43">
        <f t="shared" si="3"/>
        <v>0</v>
      </c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</row>
    <row r="77" spans="1:99" s="96" customFormat="1" ht="33.75" customHeight="1">
      <c r="A77" s="39"/>
      <c r="B77" s="51">
        <v>62</v>
      </c>
      <c r="C77" s="51" t="s">
        <v>39</v>
      </c>
      <c r="D77" s="42">
        <v>30217374</v>
      </c>
      <c r="E77" s="52" t="s">
        <v>2784</v>
      </c>
      <c r="F77" s="52" t="s">
        <v>317</v>
      </c>
      <c r="G77" s="56" t="s">
        <v>2686</v>
      </c>
      <c r="H77" s="52" t="s">
        <v>2740</v>
      </c>
      <c r="I77" s="52" t="s">
        <v>2537</v>
      </c>
      <c r="J77" s="636">
        <v>6295</v>
      </c>
      <c r="K77" s="52"/>
      <c r="L77" s="52"/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/>
      <c r="W77" s="54"/>
      <c r="X77" s="54"/>
      <c r="Y77" s="54">
        <f t="shared" si="1"/>
        <v>0</v>
      </c>
      <c r="Z77" s="52">
        <v>1000</v>
      </c>
      <c r="AA77" s="52">
        <v>1</v>
      </c>
      <c r="AB77" s="637">
        <v>44207</v>
      </c>
      <c r="AC77" s="637">
        <v>44249</v>
      </c>
      <c r="AD77" s="52">
        <v>-1000</v>
      </c>
      <c r="AE77" s="52">
        <v>39</v>
      </c>
      <c r="AF77" s="637">
        <v>44358</v>
      </c>
      <c r="AG77" s="637">
        <v>44364</v>
      </c>
      <c r="AH77" s="52"/>
      <c r="AI77" s="52"/>
      <c r="AJ77" s="637"/>
      <c r="AK77" s="637"/>
      <c r="AL77" s="52"/>
      <c r="AM77" s="52"/>
      <c r="AN77" s="637"/>
      <c r="AO77" s="637"/>
      <c r="AP77" s="52"/>
      <c r="AQ77" s="52"/>
      <c r="AR77" s="637"/>
      <c r="AS77" s="637"/>
      <c r="AT77" s="52"/>
      <c r="AU77" s="52"/>
      <c r="AV77" s="637"/>
      <c r="AW77" s="637"/>
      <c r="AX77" s="52"/>
      <c r="AY77" s="52"/>
      <c r="AZ77" s="637"/>
      <c r="BA77" s="637"/>
      <c r="BB77" s="52"/>
      <c r="BC77" s="52"/>
      <c r="BD77" s="637"/>
      <c r="BE77" s="637"/>
      <c r="BF77" s="137">
        <f t="shared" si="2"/>
        <v>0</v>
      </c>
      <c r="BG77" s="43">
        <f t="shared" si="3"/>
        <v>0</v>
      </c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</row>
    <row r="78" spans="1:99" s="96" customFormat="1" ht="22.5">
      <c r="A78" s="39"/>
      <c r="B78" s="51">
        <v>63</v>
      </c>
      <c r="C78" s="51" t="s">
        <v>39</v>
      </c>
      <c r="D78" s="42">
        <v>30264278</v>
      </c>
      <c r="E78" s="52" t="s">
        <v>2785</v>
      </c>
      <c r="F78" s="52" t="s">
        <v>47</v>
      </c>
      <c r="G78" s="56" t="s">
        <v>2686</v>
      </c>
      <c r="H78" s="52" t="s">
        <v>2786</v>
      </c>
      <c r="I78" s="52" t="s">
        <v>2537</v>
      </c>
      <c r="J78" s="636">
        <v>36900</v>
      </c>
      <c r="K78" s="52"/>
      <c r="L78" s="52"/>
      <c r="M78" s="54">
        <v>24600</v>
      </c>
      <c r="N78" s="54">
        <v>0</v>
      </c>
      <c r="O78" s="54">
        <v>0</v>
      </c>
      <c r="P78" s="54">
        <v>12300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/>
      <c r="W78" s="54"/>
      <c r="X78" s="54"/>
      <c r="Y78" s="54">
        <f t="shared" si="1"/>
        <v>36900</v>
      </c>
      <c r="Z78" s="52">
        <v>36900</v>
      </c>
      <c r="AA78" s="52">
        <v>4</v>
      </c>
      <c r="AB78" s="637">
        <v>44221</v>
      </c>
      <c r="AC78" s="637">
        <v>44280</v>
      </c>
      <c r="AD78" s="52"/>
      <c r="AE78" s="52"/>
      <c r="AF78" s="637"/>
      <c r="AG78" s="637"/>
      <c r="AH78" s="52"/>
      <c r="AI78" s="52"/>
      <c r="AJ78" s="637"/>
      <c r="AK78" s="637"/>
      <c r="AL78" s="52"/>
      <c r="AM78" s="52"/>
      <c r="AN78" s="637"/>
      <c r="AO78" s="637"/>
      <c r="AP78" s="52"/>
      <c r="AQ78" s="52"/>
      <c r="AR78" s="637"/>
      <c r="AS78" s="637"/>
      <c r="AT78" s="52"/>
      <c r="AU78" s="52"/>
      <c r="AV78" s="637"/>
      <c r="AW78" s="637"/>
      <c r="AX78" s="52"/>
      <c r="AY78" s="52"/>
      <c r="AZ78" s="637"/>
      <c r="BA78" s="637"/>
      <c r="BB78" s="52"/>
      <c r="BC78" s="52"/>
      <c r="BD78" s="637"/>
      <c r="BE78" s="637"/>
      <c r="BF78" s="137">
        <f t="shared" si="2"/>
        <v>36900</v>
      </c>
      <c r="BG78" s="43">
        <f t="shared" si="3"/>
        <v>0</v>
      </c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</row>
    <row r="79" spans="1:99" s="96" customFormat="1" ht="22.5" customHeight="1">
      <c r="A79" s="39"/>
      <c r="B79" s="51">
        <v>64</v>
      </c>
      <c r="C79" s="51" t="s">
        <v>39</v>
      </c>
      <c r="D79" s="42">
        <v>30274325</v>
      </c>
      <c r="E79" s="52" t="s">
        <v>2787</v>
      </c>
      <c r="F79" s="52" t="s">
        <v>317</v>
      </c>
      <c r="G79" s="56" t="s">
        <v>2686</v>
      </c>
      <c r="H79" s="52" t="s">
        <v>2788</v>
      </c>
      <c r="I79" s="52" t="s">
        <v>2537</v>
      </c>
      <c r="J79" s="636">
        <v>1758535</v>
      </c>
      <c r="K79" s="52"/>
      <c r="L79" s="52"/>
      <c r="M79" s="54">
        <v>176088.49799999999</v>
      </c>
      <c r="N79" s="54">
        <v>52140.61</v>
      </c>
      <c r="O79" s="54">
        <v>0</v>
      </c>
      <c r="P79" s="54">
        <v>94122.603000000003</v>
      </c>
      <c r="Q79" s="54">
        <v>0</v>
      </c>
      <c r="R79" s="54">
        <v>159526.52100000001</v>
      </c>
      <c r="S79" s="54">
        <v>0</v>
      </c>
      <c r="T79" s="54">
        <v>105167.492</v>
      </c>
      <c r="U79" s="54">
        <v>185278.68700000001</v>
      </c>
      <c r="V79" s="54"/>
      <c r="W79" s="54"/>
      <c r="X79" s="54"/>
      <c r="Y79" s="54">
        <f t="shared" si="1"/>
        <v>772324.41100000008</v>
      </c>
      <c r="Z79" s="52">
        <v>400000</v>
      </c>
      <c r="AA79" s="52">
        <v>4</v>
      </c>
      <c r="AB79" s="637">
        <v>44221</v>
      </c>
      <c r="AC79" s="637">
        <v>44280</v>
      </c>
      <c r="AD79" s="52">
        <v>350000</v>
      </c>
      <c r="AE79" s="52">
        <v>10</v>
      </c>
      <c r="AF79" s="637">
        <v>44286</v>
      </c>
      <c r="AG79" s="637">
        <v>44306</v>
      </c>
      <c r="AH79" s="52">
        <v>772</v>
      </c>
      <c r="AI79" s="52">
        <v>14</v>
      </c>
      <c r="AJ79" s="637">
        <v>44313</v>
      </c>
      <c r="AK79" s="637">
        <v>44322</v>
      </c>
      <c r="AL79" s="52">
        <v>-268893</v>
      </c>
      <c r="AM79" s="52">
        <v>38</v>
      </c>
      <c r="AN79" s="637">
        <v>44358</v>
      </c>
      <c r="AO79" s="637">
        <v>44364</v>
      </c>
      <c r="AP79" s="52">
        <v>105167</v>
      </c>
      <c r="AQ79" s="52">
        <v>40</v>
      </c>
      <c r="AR79" s="637">
        <v>44358</v>
      </c>
      <c r="AS79" s="637">
        <v>44364</v>
      </c>
      <c r="AT79" s="52"/>
      <c r="AU79" s="52"/>
      <c r="AV79" s="637"/>
      <c r="AW79" s="637"/>
      <c r="AX79" s="52"/>
      <c r="AY79" s="52"/>
      <c r="AZ79" s="637"/>
      <c r="BA79" s="637"/>
      <c r="BB79" s="52"/>
      <c r="BC79" s="52"/>
      <c r="BD79" s="637"/>
      <c r="BE79" s="637"/>
      <c r="BF79" s="137">
        <f t="shared" si="2"/>
        <v>587046</v>
      </c>
      <c r="BG79" s="43">
        <f t="shared" si="3"/>
        <v>-185278.41100000008</v>
      </c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</row>
    <row r="80" spans="1:99" s="96" customFormat="1" ht="22.5" customHeight="1">
      <c r="A80" s="39"/>
      <c r="B80" s="51">
        <v>65</v>
      </c>
      <c r="C80" s="51" t="s">
        <v>39</v>
      </c>
      <c r="D80" s="42">
        <v>30280272</v>
      </c>
      <c r="E80" s="52" t="s">
        <v>2789</v>
      </c>
      <c r="F80" s="52" t="s">
        <v>317</v>
      </c>
      <c r="G80" s="56" t="s">
        <v>2686</v>
      </c>
      <c r="H80" s="52" t="s">
        <v>2716</v>
      </c>
      <c r="I80" s="52" t="s">
        <v>2537</v>
      </c>
      <c r="J80" s="636">
        <v>13986</v>
      </c>
      <c r="K80" s="52"/>
      <c r="L80" s="52"/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/>
      <c r="W80" s="54"/>
      <c r="X80" s="54"/>
      <c r="Y80" s="54">
        <f t="shared" si="1"/>
        <v>0</v>
      </c>
      <c r="Z80" s="52">
        <v>1000</v>
      </c>
      <c r="AA80" s="52">
        <v>8</v>
      </c>
      <c r="AB80" s="637">
        <v>44252</v>
      </c>
      <c r="AC80" s="637">
        <v>44292</v>
      </c>
      <c r="AD80" s="52">
        <v>-1000</v>
      </c>
      <c r="AE80" s="52">
        <v>39</v>
      </c>
      <c r="AF80" s="637">
        <v>44358</v>
      </c>
      <c r="AG80" s="637">
        <v>44364</v>
      </c>
      <c r="AH80" s="52"/>
      <c r="AI80" s="52"/>
      <c r="AJ80" s="637"/>
      <c r="AK80" s="637"/>
      <c r="AL80" s="52"/>
      <c r="AM80" s="52"/>
      <c r="AN80" s="637"/>
      <c r="AO80" s="637"/>
      <c r="AP80" s="52"/>
      <c r="AQ80" s="52"/>
      <c r="AR80" s="637"/>
      <c r="AS80" s="637"/>
      <c r="AT80" s="52"/>
      <c r="AU80" s="52"/>
      <c r="AV80" s="637"/>
      <c r="AW80" s="637"/>
      <c r="AX80" s="52"/>
      <c r="AY80" s="52"/>
      <c r="AZ80" s="637"/>
      <c r="BA80" s="637"/>
      <c r="BB80" s="52"/>
      <c r="BC80" s="52"/>
      <c r="BD80" s="637"/>
      <c r="BE80" s="637"/>
      <c r="BF80" s="137">
        <f t="shared" si="2"/>
        <v>0</v>
      </c>
      <c r="BG80" s="43">
        <f t="shared" si="3"/>
        <v>0</v>
      </c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</row>
    <row r="81" spans="1:99" s="96" customFormat="1" ht="22.5" customHeight="1">
      <c r="A81" s="39"/>
      <c r="B81" s="51">
        <v>66</v>
      </c>
      <c r="C81" s="51" t="s">
        <v>39</v>
      </c>
      <c r="D81" s="42">
        <v>30282124</v>
      </c>
      <c r="E81" s="52" t="s">
        <v>2790</v>
      </c>
      <c r="F81" s="52" t="s">
        <v>317</v>
      </c>
      <c r="G81" s="56" t="s">
        <v>2686</v>
      </c>
      <c r="H81" s="52" t="s">
        <v>2744</v>
      </c>
      <c r="I81" s="52" t="s">
        <v>2537</v>
      </c>
      <c r="J81" s="636">
        <v>401223</v>
      </c>
      <c r="K81" s="52"/>
      <c r="L81" s="52"/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150711.97399999999</v>
      </c>
      <c r="T81" s="54">
        <v>57704.218999999997</v>
      </c>
      <c r="U81" s="54">
        <v>0</v>
      </c>
      <c r="V81" s="54"/>
      <c r="W81" s="54"/>
      <c r="X81" s="54"/>
      <c r="Y81" s="54">
        <f t="shared" ref="Y81:Y144" si="4">SUM(M81:X81)</f>
        <v>208416.19299999997</v>
      </c>
      <c r="Z81" s="52">
        <v>150000</v>
      </c>
      <c r="AA81" s="52">
        <v>8</v>
      </c>
      <c r="AB81" s="637">
        <v>44252</v>
      </c>
      <c r="AC81" s="637">
        <v>44292</v>
      </c>
      <c r="AD81" s="52">
        <v>66786</v>
      </c>
      <c r="AE81" s="52">
        <v>26</v>
      </c>
      <c r="AF81" s="637">
        <v>44358</v>
      </c>
      <c r="AG81" s="637">
        <v>44364</v>
      </c>
      <c r="AH81" s="52"/>
      <c r="AI81" s="52"/>
      <c r="AJ81" s="637"/>
      <c r="AK81" s="637"/>
      <c r="AL81" s="52"/>
      <c r="AM81" s="52"/>
      <c r="AN81" s="637"/>
      <c r="AO81" s="637"/>
      <c r="AP81" s="52"/>
      <c r="AQ81" s="52"/>
      <c r="AR81" s="637"/>
      <c r="AS81" s="637"/>
      <c r="AT81" s="52"/>
      <c r="AU81" s="52"/>
      <c r="AV81" s="637"/>
      <c r="AW81" s="637"/>
      <c r="AX81" s="52"/>
      <c r="AY81" s="52"/>
      <c r="AZ81" s="637"/>
      <c r="BA81" s="637"/>
      <c r="BB81" s="52"/>
      <c r="BC81" s="52"/>
      <c r="BD81" s="637"/>
      <c r="BE81" s="637"/>
      <c r="BF81" s="137">
        <f t="shared" ref="BF81:BF144" si="5">+Z81+AD81+AH81+AL81+AP81+AT81+AX81+BB81</f>
        <v>216786</v>
      </c>
      <c r="BG81" s="43">
        <f t="shared" si="3"/>
        <v>8369.8070000000298</v>
      </c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</row>
    <row r="82" spans="1:99" s="96" customFormat="1" ht="22.5" customHeight="1">
      <c r="A82" s="39"/>
      <c r="B82" s="51">
        <v>67</v>
      </c>
      <c r="C82" s="51" t="s">
        <v>39</v>
      </c>
      <c r="D82" s="42">
        <v>30301973</v>
      </c>
      <c r="E82" s="52" t="s">
        <v>2791</v>
      </c>
      <c r="F82" s="52" t="s">
        <v>317</v>
      </c>
      <c r="G82" s="56" t="s">
        <v>2686</v>
      </c>
      <c r="H82" s="52" t="s">
        <v>2725</v>
      </c>
      <c r="I82" s="52" t="s">
        <v>2537</v>
      </c>
      <c r="J82" s="636">
        <v>5621338</v>
      </c>
      <c r="K82" s="52"/>
      <c r="L82" s="52"/>
      <c r="M82" s="54">
        <v>0</v>
      </c>
      <c r="N82" s="54">
        <v>5000</v>
      </c>
      <c r="O82" s="54">
        <v>299646.55699999997</v>
      </c>
      <c r="P82" s="54">
        <v>336586.66600000003</v>
      </c>
      <c r="Q82" s="54">
        <v>0</v>
      </c>
      <c r="R82" s="54">
        <v>405176.288</v>
      </c>
      <c r="S82" s="54">
        <v>824885.51199999999</v>
      </c>
      <c r="T82" s="54">
        <v>373820.61099999998</v>
      </c>
      <c r="U82" s="54">
        <v>2500</v>
      </c>
      <c r="V82" s="54"/>
      <c r="W82" s="54"/>
      <c r="X82" s="54"/>
      <c r="Y82" s="54">
        <f t="shared" si="4"/>
        <v>2247615.6340000001</v>
      </c>
      <c r="Z82" s="52">
        <v>15000</v>
      </c>
      <c r="AA82" s="52">
        <v>8</v>
      </c>
      <c r="AB82" s="637">
        <v>44252</v>
      </c>
      <c r="AC82" s="637">
        <v>44292</v>
      </c>
      <c r="AD82" s="52">
        <v>600000</v>
      </c>
      <c r="AE82" s="52">
        <v>10</v>
      </c>
      <c r="AF82" s="637">
        <v>44286</v>
      </c>
      <c r="AG82" s="637">
        <v>44306</v>
      </c>
      <c r="AH82" s="52">
        <v>400000</v>
      </c>
      <c r="AI82" s="52">
        <v>14</v>
      </c>
      <c r="AJ82" s="637">
        <v>44313</v>
      </c>
      <c r="AK82" s="637">
        <v>44322</v>
      </c>
      <c r="AL82" s="52">
        <v>93610</v>
      </c>
      <c r="AM82" s="52">
        <v>26</v>
      </c>
      <c r="AN82" s="637">
        <v>44358</v>
      </c>
      <c r="AO82" s="637">
        <v>44364</v>
      </c>
      <c r="AP82" s="52">
        <v>762686</v>
      </c>
      <c r="AQ82" s="52">
        <v>38</v>
      </c>
      <c r="AR82" s="637">
        <v>44358</v>
      </c>
      <c r="AS82" s="637">
        <v>44364</v>
      </c>
      <c r="AT82" s="52">
        <v>7500</v>
      </c>
      <c r="AU82" s="52">
        <v>40</v>
      </c>
      <c r="AV82" s="637">
        <v>44358</v>
      </c>
      <c r="AW82" s="637">
        <v>44364</v>
      </c>
      <c r="AX82" s="52">
        <v>0</v>
      </c>
      <c r="AY82" s="52">
        <v>0</v>
      </c>
      <c r="AZ82" s="637"/>
      <c r="BA82" s="637"/>
      <c r="BB82" s="52"/>
      <c r="BC82" s="52"/>
      <c r="BD82" s="637"/>
      <c r="BE82" s="637"/>
      <c r="BF82" s="137">
        <f t="shared" si="5"/>
        <v>1878796</v>
      </c>
      <c r="BG82" s="43">
        <f t="shared" si="3"/>
        <v>-368819.63400000008</v>
      </c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</row>
    <row r="83" spans="1:99" s="96" customFormat="1" ht="22.5">
      <c r="A83" s="39"/>
      <c r="B83" s="51">
        <v>68</v>
      </c>
      <c r="C83" s="51" t="s">
        <v>39</v>
      </c>
      <c r="D83" s="42">
        <v>30312723</v>
      </c>
      <c r="E83" s="52" t="s">
        <v>2792</v>
      </c>
      <c r="F83" s="52" t="s">
        <v>317</v>
      </c>
      <c r="G83" s="56" t="s">
        <v>2686</v>
      </c>
      <c r="H83" s="52" t="s">
        <v>2777</v>
      </c>
      <c r="I83" s="52" t="s">
        <v>2537</v>
      </c>
      <c r="J83" s="636">
        <v>9862</v>
      </c>
      <c r="K83" s="52"/>
      <c r="L83" s="52"/>
      <c r="M83" s="54">
        <v>9548.4689999999991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/>
      <c r="W83" s="54"/>
      <c r="X83" s="54"/>
      <c r="Y83" s="54">
        <f t="shared" si="4"/>
        <v>9548.4689999999991</v>
      </c>
      <c r="Z83" s="52">
        <v>9549</v>
      </c>
      <c r="AA83" s="52">
        <v>4</v>
      </c>
      <c r="AB83" s="637">
        <v>44221</v>
      </c>
      <c r="AC83" s="637">
        <v>44280</v>
      </c>
      <c r="AD83" s="52"/>
      <c r="AE83" s="52"/>
      <c r="AF83" s="637"/>
      <c r="AG83" s="637"/>
      <c r="AH83" s="52"/>
      <c r="AI83" s="52"/>
      <c r="AJ83" s="637"/>
      <c r="AK83" s="637"/>
      <c r="AL83" s="52"/>
      <c r="AM83" s="52"/>
      <c r="AN83" s="637"/>
      <c r="AO83" s="637"/>
      <c r="AP83" s="52"/>
      <c r="AQ83" s="52"/>
      <c r="AR83" s="637"/>
      <c r="AS83" s="637"/>
      <c r="AT83" s="52"/>
      <c r="AU83" s="52"/>
      <c r="AV83" s="637"/>
      <c r="AW83" s="637"/>
      <c r="AX83" s="52"/>
      <c r="AY83" s="52"/>
      <c r="AZ83" s="637"/>
      <c r="BA83" s="637"/>
      <c r="BB83" s="52"/>
      <c r="BC83" s="52"/>
      <c r="BD83" s="637"/>
      <c r="BE83" s="637"/>
      <c r="BF83" s="137">
        <f t="shared" si="5"/>
        <v>9549</v>
      </c>
      <c r="BG83" s="43">
        <f t="shared" ref="BG83:BG146" si="6">+BF83-Y83</f>
        <v>0.53100000000085856</v>
      </c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</row>
    <row r="84" spans="1:99" s="96" customFormat="1" ht="22.5" customHeight="1">
      <c r="A84" s="39"/>
      <c r="B84" s="51">
        <v>69</v>
      </c>
      <c r="C84" s="51" t="s">
        <v>39</v>
      </c>
      <c r="D84" s="42">
        <v>30322072</v>
      </c>
      <c r="E84" s="52" t="s">
        <v>2793</v>
      </c>
      <c r="F84" s="52" t="s">
        <v>317</v>
      </c>
      <c r="G84" s="56" t="s">
        <v>2686</v>
      </c>
      <c r="H84" s="52" t="s">
        <v>2735</v>
      </c>
      <c r="I84" s="52" t="s">
        <v>2537</v>
      </c>
      <c r="J84" s="636">
        <v>54926</v>
      </c>
      <c r="K84" s="52"/>
      <c r="L84" s="52"/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/>
      <c r="W84" s="54"/>
      <c r="X84" s="54"/>
      <c r="Y84" s="54">
        <f t="shared" si="4"/>
        <v>0</v>
      </c>
      <c r="Z84" s="52">
        <v>1000</v>
      </c>
      <c r="AA84" s="52">
        <v>8</v>
      </c>
      <c r="AB84" s="637">
        <v>44252</v>
      </c>
      <c r="AC84" s="637">
        <v>44292</v>
      </c>
      <c r="AD84" s="52">
        <v>-1000</v>
      </c>
      <c r="AE84" s="52">
        <v>39</v>
      </c>
      <c r="AF84" s="637">
        <v>44358</v>
      </c>
      <c r="AG84" s="637">
        <v>44364</v>
      </c>
      <c r="AH84" s="52"/>
      <c r="AI84" s="52"/>
      <c r="AJ84" s="637"/>
      <c r="AK84" s="637"/>
      <c r="AL84" s="52"/>
      <c r="AM84" s="52"/>
      <c r="AN84" s="637"/>
      <c r="AO84" s="637"/>
      <c r="AP84" s="52"/>
      <c r="AQ84" s="52"/>
      <c r="AR84" s="637"/>
      <c r="AS84" s="637"/>
      <c r="AT84" s="52"/>
      <c r="AU84" s="52"/>
      <c r="AV84" s="637"/>
      <c r="AW84" s="637"/>
      <c r="AX84" s="52"/>
      <c r="AY84" s="52"/>
      <c r="AZ84" s="637"/>
      <c r="BA84" s="637"/>
      <c r="BB84" s="52"/>
      <c r="BC84" s="52"/>
      <c r="BD84" s="637"/>
      <c r="BE84" s="637"/>
      <c r="BF84" s="137">
        <f t="shared" si="5"/>
        <v>0</v>
      </c>
      <c r="BG84" s="43">
        <f t="shared" si="6"/>
        <v>0</v>
      </c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</row>
    <row r="85" spans="1:99" s="96" customFormat="1" ht="22.5" customHeight="1">
      <c r="A85" s="39"/>
      <c r="B85" s="51">
        <v>70</v>
      </c>
      <c r="C85" s="51" t="s">
        <v>39</v>
      </c>
      <c r="D85" s="42">
        <v>30328276</v>
      </c>
      <c r="E85" s="52" t="s">
        <v>2794</v>
      </c>
      <c r="F85" s="52" t="s">
        <v>317</v>
      </c>
      <c r="G85" s="56" t="s">
        <v>2686</v>
      </c>
      <c r="H85" s="52" t="s">
        <v>2795</v>
      </c>
      <c r="I85" s="52" t="s">
        <v>2537</v>
      </c>
      <c r="J85" s="636">
        <v>3979</v>
      </c>
      <c r="K85" s="52"/>
      <c r="L85" s="52"/>
      <c r="M85" s="54">
        <v>0</v>
      </c>
      <c r="N85" s="54">
        <v>0</v>
      </c>
      <c r="O85" s="54">
        <v>0</v>
      </c>
      <c r="P85" s="54">
        <v>3978.723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/>
      <c r="W85" s="54"/>
      <c r="X85" s="54"/>
      <c r="Y85" s="54">
        <f t="shared" si="4"/>
        <v>3978.723</v>
      </c>
      <c r="Z85" s="52">
        <v>1000</v>
      </c>
      <c r="AA85" s="52">
        <v>8</v>
      </c>
      <c r="AB85" s="637">
        <v>44252</v>
      </c>
      <c r="AC85" s="637">
        <v>44292</v>
      </c>
      <c r="AD85" s="52">
        <v>2979</v>
      </c>
      <c r="AE85" s="52">
        <v>14</v>
      </c>
      <c r="AF85" s="637">
        <v>44313</v>
      </c>
      <c r="AG85" s="637">
        <v>44322</v>
      </c>
      <c r="AH85" s="52"/>
      <c r="AI85" s="52"/>
      <c r="AJ85" s="637"/>
      <c r="AK85" s="637"/>
      <c r="AL85" s="52"/>
      <c r="AM85" s="52"/>
      <c r="AN85" s="637"/>
      <c r="AO85" s="637"/>
      <c r="AP85" s="52"/>
      <c r="AQ85" s="52"/>
      <c r="AR85" s="637"/>
      <c r="AS85" s="637"/>
      <c r="AT85" s="52"/>
      <c r="AU85" s="52"/>
      <c r="AV85" s="637"/>
      <c r="AW85" s="637"/>
      <c r="AX85" s="52"/>
      <c r="AY85" s="52"/>
      <c r="AZ85" s="637"/>
      <c r="BA85" s="637"/>
      <c r="BB85" s="52"/>
      <c r="BC85" s="52"/>
      <c r="BD85" s="637"/>
      <c r="BE85" s="637"/>
      <c r="BF85" s="137">
        <f t="shared" si="5"/>
        <v>3979</v>
      </c>
      <c r="BG85" s="43">
        <f t="shared" si="6"/>
        <v>0.27700000000004366</v>
      </c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</row>
    <row r="86" spans="1:99" s="96" customFormat="1" ht="45" customHeight="1">
      <c r="A86" s="39"/>
      <c r="B86" s="51">
        <v>71</v>
      </c>
      <c r="C86" s="51" t="s">
        <v>39</v>
      </c>
      <c r="D86" s="42">
        <v>30349329</v>
      </c>
      <c r="E86" s="52" t="s">
        <v>2796</v>
      </c>
      <c r="F86" s="52" t="s">
        <v>317</v>
      </c>
      <c r="G86" s="56" t="s">
        <v>2686</v>
      </c>
      <c r="H86" s="52" t="s">
        <v>2699</v>
      </c>
      <c r="I86" s="52" t="s">
        <v>2537</v>
      </c>
      <c r="J86" s="636">
        <v>7498</v>
      </c>
      <c r="K86" s="52"/>
      <c r="L86" s="52"/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/>
      <c r="W86" s="54"/>
      <c r="X86" s="54"/>
      <c r="Y86" s="54">
        <f t="shared" si="4"/>
        <v>0</v>
      </c>
      <c r="Z86" s="52">
        <v>1000</v>
      </c>
      <c r="AA86" s="52">
        <v>8</v>
      </c>
      <c r="AB86" s="637">
        <v>44252</v>
      </c>
      <c r="AC86" s="637">
        <v>44292</v>
      </c>
      <c r="AD86" s="52">
        <v>-1000</v>
      </c>
      <c r="AE86" s="52">
        <v>39</v>
      </c>
      <c r="AF86" s="637">
        <v>44358</v>
      </c>
      <c r="AG86" s="637">
        <v>44364</v>
      </c>
      <c r="AH86" s="52"/>
      <c r="AI86" s="52"/>
      <c r="AJ86" s="637"/>
      <c r="AK86" s="637"/>
      <c r="AL86" s="52"/>
      <c r="AM86" s="52"/>
      <c r="AN86" s="637"/>
      <c r="AO86" s="637"/>
      <c r="AP86" s="52"/>
      <c r="AQ86" s="52"/>
      <c r="AR86" s="637"/>
      <c r="AS86" s="637"/>
      <c r="AT86" s="52"/>
      <c r="AU86" s="52"/>
      <c r="AV86" s="637"/>
      <c r="AW86" s="637"/>
      <c r="AX86" s="52"/>
      <c r="AY86" s="52"/>
      <c r="AZ86" s="637"/>
      <c r="BA86" s="637"/>
      <c r="BB86" s="52"/>
      <c r="BC86" s="52"/>
      <c r="BD86" s="637"/>
      <c r="BE86" s="637"/>
      <c r="BF86" s="137">
        <f t="shared" si="5"/>
        <v>0</v>
      </c>
      <c r="BG86" s="43">
        <f t="shared" si="6"/>
        <v>0</v>
      </c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</row>
    <row r="87" spans="1:99" s="96" customFormat="1" ht="22.5" customHeight="1">
      <c r="A87" s="39"/>
      <c r="B87" s="51">
        <v>72</v>
      </c>
      <c r="C87" s="51" t="s">
        <v>39</v>
      </c>
      <c r="D87" s="42">
        <v>30355674</v>
      </c>
      <c r="E87" s="52" t="s">
        <v>2797</v>
      </c>
      <c r="F87" s="52" t="s">
        <v>47</v>
      </c>
      <c r="G87" s="56" t="s">
        <v>2686</v>
      </c>
      <c r="H87" s="52" t="s">
        <v>2753</v>
      </c>
      <c r="I87" s="52" t="s">
        <v>2537</v>
      </c>
      <c r="J87" s="636">
        <v>27822</v>
      </c>
      <c r="K87" s="52"/>
      <c r="L87" s="52"/>
      <c r="M87" s="54">
        <v>0</v>
      </c>
      <c r="N87" s="54">
        <v>0</v>
      </c>
      <c r="O87" s="54">
        <v>0</v>
      </c>
      <c r="P87" s="54">
        <v>0</v>
      </c>
      <c r="Q87" s="54">
        <v>26814.645</v>
      </c>
      <c r="R87" s="54">
        <v>0</v>
      </c>
      <c r="S87" s="54">
        <v>0</v>
      </c>
      <c r="T87" s="54">
        <v>0</v>
      </c>
      <c r="U87" s="54">
        <v>0</v>
      </c>
      <c r="V87" s="54"/>
      <c r="W87" s="54"/>
      <c r="X87" s="54"/>
      <c r="Y87" s="54">
        <f t="shared" si="4"/>
        <v>26814.645</v>
      </c>
      <c r="Z87" s="52">
        <v>1000</v>
      </c>
      <c r="AA87" s="52">
        <v>8</v>
      </c>
      <c r="AB87" s="637">
        <v>44252</v>
      </c>
      <c r="AC87" s="637">
        <v>44292</v>
      </c>
      <c r="AD87" s="52">
        <v>25814</v>
      </c>
      <c r="AE87" s="52">
        <v>18</v>
      </c>
      <c r="AF87" s="637">
        <v>44327</v>
      </c>
      <c r="AG87" s="637">
        <v>44341</v>
      </c>
      <c r="AH87" s="52"/>
      <c r="AI87" s="52"/>
      <c r="AJ87" s="637"/>
      <c r="AK87" s="637"/>
      <c r="AL87" s="52"/>
      <c r="AM87" s="52"/>
      <c r="AN87" s="637"/>
      <c r="AO87" s="637"/>
      <c r="AP87" s="52"/>
      <c r="AQ87" s="52"/>
      <c r="AR87" s="637"/>
      <c r="AS87" s="637"/>
      <c r="AT87" s="52"/>
      <c r="AU87" s="52"/>
      <c r="AV87" s="637"/>
      <c r="AW87" s="637"/>
      <c r="AX87" s="52"/>
      <c r="AY87" s="52"/>
      <c r="AZ87" s="637"/>
      <c r="BA87" s="637"/>
      <c r="BB87" s="52"/>
      <c r="BC87" s="52"/>
      <c r="BD87" s="637"/>
      <c r="BE87" s="637"/>
      <c r="BF87" s="137">
        <f t="shared" si="5"/>
        <v>26814</v>
      </c>
      <c r="BG87" s="43">
        <f t="shared" si="6"/>
        <v>-0.64500000000043656</v>
      </c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</row>
    <row r="88" spans="1:99" s="96" customFormat="1" ht="22.5" customHeight="1">
      <c r="A88" s="39"/>
      <c r="B88" s="51">
        <v>73</v>
      </c>
      <c r="C88" s="51" t="s">
        <v>39</v>
      </c>
      <c r="D88" s="42">
        <v>30356525</v>
      </c>
      <c r="E88" s="52" t="s">
        <v>2798</v>
      </c>
      <c r="F88" s="52" t="s">
        <v>317</v>
      </c>
      <c r="G88" s="56" t="s">
        <v>2686</v>
      </c>
      <c r="H88" s="52" t="s">
        <v>2788</v>
      </c>
      <c r="I88" s="52" t="s">
        <v>2537</v>
      </c>
      <c r="J88" s="636">
        <v>321411</v>
      </c>
      <c r="K88" s="52"/>
      <c r="L88" s="52"/>
      <c r="M88" s="54">
        <v>25491.381000000001</v>
      </c>
      <c r="N88" s="54">
        <v>42453.258000000002</v>
      </c>
      <c r="O88" s="54">
        <v>52999.332000000002</v>
      </c>
      <c r="P88" s="54">
        <v>49991.754999999997</v>
      </c>
      <c r="Q88" s="54">
        <v>33948.392</v>
      </c>
      <c r="R88" s="54">
        <v>29826.154999999999</v>
      </c>
      <c r="S88" s="54">
        <v>25498.274000000001</v>
      </c>
      <c r="T88" s="54">
        <v>18146.487000000001</v>
      </c>
      <c r="U88" s="54">
        <v>0</v>
      </c>
      <c r="V88" s="54"/>
      <c r="W88" s="54"/>
      <c r="X88" s="54"/>
      <c r="Y88" s="54">
        <f t="shared" si="4"/>
        <v>278355.03399999999</v>
      </c>
      <c r="Z88" s="52">
        <v>150000</v>
      </c>
      <c r="AA88" s="52">
        <v>4</v>
      </c>
      <c r="AB88" s="637">
        <v>44221</v>
      </c>
      <c r="AC88" s="637">
        <v>44280</v>
      </c>
      <c r="AD88" s="52">
        <v>100000</v>
      </c>
      <c r="AE88" s="52">
        <v>10</v>
      </c>
      <c r="AF88" s="637">
        <v>44286</v>
      </c>
      <c r="AG88" s="637">
        <v>44306</v>
      </c>
      <c r="AH88" s="52">
        <v>10209</v>
      </c>
      <c r="AI88" s="52">
        <v>38</v>
      </c>
      <c r="AJ88" s="637">
        <v>44358</v>
      </c>
      <c r="AK88" s="637">
        <v>44364</v>
      </c>
      <c r="AL88" s="52"/>
      <c r="AM88" s="52"/>
      <c r="AN88" s="637"/>
      <c r="AO88" s="637"/>
      <c r="AP88" s="52"/>
      <c r="AQ88" s="52"/>
      <c r="AR88" s="637"/>
      <c r="AS88" s="637"/>
      <c r="AT88" s="52"/>
      <c r="AU88" s="52"/>
      <c r="AV88" s="637"/>
      <c r="AW88" s="637"/>
      <c r="AX88" s="52"/>
      <c r="AY88" s="52"/>
      <c r="AZ88" s="637"/>
      <c r="BA88" s="637"/>
      <c r="BB88" s="52"/>
      <c r="BC88" s="52"/>
      <c r="BD88" s="637"/>
      <c r="BE88" s="637"/>
      <c r="BF88" s="137">
        <f t="shared" si="5"/>
        <v>260209</v>
      </c>
      <c r="BG88" s="43">
        <f t="shared" si="6"/>
        <v>-18146.033999999985</v>
      </c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</row>
    <row r="89" spans="1:99" s="96" customFormat="1" ht="22.5">
      <c r="A89" s="39"/>
      <c r="B89" s="51">
        <v>74</v>
      </c>
      <c r="C89" s="51" t="s">
        <v>39</v>
      </c>
      <c r="D89" s="42">
        <v>30357332</v>
      </c>
      <c r="E89" s="52" t="s">
        <v>2799</v>
      </c>
      <c r="F89" s="52" t="s">
        <v>317</v>
      </c>
      <c r="G89" s="56" t="s">
        <v>2686</v>
      </c>
      <c r="H89" s="52" t="s">
        <v>2697</v>
      </c>
      <c r="I89" s="52" t="s">
        <v>2537</v>
      </c>
      <c r="J89" s="636">
        <v>98684</v>
      </c>
      <c r="K89" s="52"/>
      <c r="L89" s="52"/>
      <c r="M89" s="54">
        <v>60836.546999999999</v>
      </c>
      <c r="N89" s="54">
        <v>0</v>
      </c>
      <c r="O89" s="54">
        <v>34806.428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/>
      <c r="W89" s="54"/>
      <c r="X89" s="54"/>
      <c r="Y89" s="54">
        <f t="shared" si="4"/>
        <v>95642.975000000006</v>
      </c>
      <c r="Z89" s="52">
        <v>98684</v>
      </c>
      <c r="AA89" s="52">
        <v>4</v>
      </c>
      <c r="AB89" s="637">
        <v>44221</v>
      </c>
      <c r="AC89" s="637">
        <v>44280</v>
      </c>
      <c r="AD89" s="52"/>
      <c r="AE89" s="52"/>
      <c r="AF89" s="637"/>
      <c r="AG89" s="637"/>
      <c r="AH89" s="52"/>
      <c r="AI89" s="52"/>
      <c r="AJ89" s="637"/>
      <c r="AK89" s="637"/>
      <c r="AL89" s="52"/>
      <c r="AM89" s="52"/>
      <c r="AN89" s="637"/>
      <c r="AO89" s="637"/>
      <c r="AP89" s="52"/>
      <c r="AQ89" s="52"/>
      <c r="AR89" s="637"/>
      <c r="AS89" s="637"/>
      <c r="AT89" s="52"/>
      <c r="AU89" s="52"/>
      <c r="AV89" s="637"/>
      <c r="AW89" s="637"/>
      <c r="AX89" s="52"/>
      <c r="AY89" s="52"/>
      <c r="AZ89" s="637"/>
      <c r="BA89" s="637"/>
      <c r="BB89" s="52"/>
      <c r="BC89" s="52"/>
      <c r="BD89" s="637"/>
      <c r="BE89" s="637"/>
      <c r="BF89" s="137">
        <f t="shared" si="5"/>
        <v>98684</v>
      </c>
      <c r="BG89" s="43">
        <f t="shared" si="6"/>
        <v>3041.0249999999942</v>
      </c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</row>
    <row r="90" spans="1:99" s="96" customFormat="1" ht="22.5">
      <c r="A90" s="39"/>
      <c r="B90" s="51">
        <v>75</v>
      </c>
      <c r="C90" s="51" t="s">
        <v>39</v>
      </c>
      <c r="D90" s="42">
        <v>30362424</v>
      </c>
      <c r="E90" s="52" t="s">
        <v>2800</v>
      </c>
      <c r="F90" s="52" t="s">
        <v>317</v>
      </c>
      <c r="G90" s="56" t="s">
        <v>2686</v>
      </c>
      <c r="H90" s="52" t="s">
        <v>2753</v>
      </c>
      <c r="I90" s="52" t="s">
        <v>2540</v>
      </c>
      <c r="J90" s="636">
        <v>102</v>
      </c>
      <c r="K90" s="52"/>
      <c r="L90" s="52"/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/>
      <c r="W90" s="54"/>
      <c r="X90" s="54"/>
      <c r="Y90" s="54">
        <f t="shared" si="4"/>
        <v>0</v>
      </c>
      <c r="Z90" s="52">
        <v>102</v>
      </c>
      <c r="AA90" s="52">
        <v>1</v>
      </c>
      <c r="AB90" s="637">
        <v>44207</v>
      </c>
      <c r="AC90" s="637">
        <v>44249</v>
      </c>
      <c r="AD90" s="52"/>
      <c r="AE90" s="52"/>
      <c r="AF90" s="637"/>
      <c r="AG90" s="637"/>
      <c r="AH90" s="52"/>
      <c r="AI90" s="52"/>
      <c r="AJ90" s="637"/>
      <c r="AK90" s="637"/>
      <c r="AL90" s="52"/>
      <c r="AM90" s="52"/>
      <c r="AN90" s="637"/>
      <c r="AO90" s="637"/>
      <c r="AP90" s="52"/>
      <c r="AQ90" s="52"/>
      <c r="AR90" s="637"/>
      <c r="AS90" s="637"/>
      <c r="AT90" s="52"/>
      <c r="AU90" s="52"/>
      <c r="AV90" s="637"/>
      <c r="AW90" s="637"/>
      <c r="AX90" s="52"/>
      <c r="AY90" s="52"/>
      <c r="AZ90" s="637"/>
      <c r="BA90" s="637"/>
      <c r="BB90" s="52"/>
      <c r="BC90" s="52"/>
      <c r="BD90" s="637"/>
      <c r="BE90" s="637"/>
      <c r="BF90" s="137">
        <f t="shared" si="5"/>
        <v>102</v>
      </c>
      <c r="BG90" s="43">
        <f t="shared" si="6"/>
        <v>102</v>
      </c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</row>
    <row r="91" spans="1:99" s="96" customFormat="1" ht="22.5" customHeight="1">
      <c r="A91" s="39"/>
      <c r="B91" s="51">
        <v>76</v>
      </c>
      <c r="C91" s="51" t="s">
        <v>39</v>
      </c>
      <c r="D91" s="42">
        <v>30362573</v>
      </c>
      <c r="E91" s="52" t="s">
        <v>2801</v>
      </c>
      <c r="F91" s="52" t="s">
        <v>47</v>
      </c>
      <c r="G91" s="56" t="s">
        <v>2686</v>
      </c>
      <c r="H91" s="52" t="s">
        <v>2788</v>
      </c>
      <c r="I91" s="52" t="s">
        <v>2537</v>
      </c>
      <c r="J91" s="636">
        <v>48807</v>
      </c>
      <c r="K91" s="52"/>
      <c r="L91" s="52"/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/>
      <c r="W91" s="54"/>
      <c r="X91" s="54"/>
      <c r="Y91" s="54">
        <f t="shared" si="4"/>
        <v>0</v>
      </c>
      <c r="Z91" s="52">
        <v>1000</v>
      </c>
      <c r="AA91" s="52">
        <v>8</v>
      </c>
      <c r="AB91" s="637">
        <v>44252</v>
      </c>
      <c r="AC91" s="637">
        <v>44292</v>
      </c>
      <c r="AD91" s="52">
        <v>-1000</v>
      </c>
      <c r="AE91" s="52">
        <v>39</v>
      </c>
      <c r="AF91" s="637">
        <v>44358</v>
      </c>
      <c r="AG91" s="637">
        <v>44364</v>
      </c>
      <c r="AH91" s="52"/>
      <c r="AI91" s="52"/>
      <c r="AJ91" s="637"/>
      <c r="AK91" s="637"/>
      <c r="AL91" s="52"/>
      <c r="AM91" s="52"/>
      <c r="AN91" s="637"/>
      <c r="AO91" s="637"/>
      <c r="AP91" s="52"/>
      <c r="AQ91" s="52"/>
      <c r="AR91" s="637"/>
      <c r="AS91" s="637"/>
      <c r="AT91" s="52"/>
      <c r="AU91" s="52"/>
      <c r="AV91" s="637"/>
      <c r="AW91" s="637"/>
      <c r="AX91" s="52"/>
      <c r="AY91" s="52"/>
      <c r="AZ91" s="637"/>
      <c r="BA91" s="637"/>
      <c r="BB91" s="52"/>
      <c r="BC91" s="52"/>
      <c r="BD91" s="637"/>
      <c r="BE91" s="637"/>
      <c r="BF91" s="137">
        <f t="shared" si="5"/>
        <v>0</v>
      </c>
      <c r="BG91" s="43">
        <f t="shared" si="6"/>
        <v>0</v>
      </c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</row>
    <row r="92" spans="1:99" s="96" customFormat="1" ht="22.5" customHeight="1">
      <c r="A92" s="39"/>
      <c r="B92" s="51">
        <v>77</v>
      </c>
      <c r="C92" s="51" t="s">
        <v>39</v>
      </c>
      <c r="D92" s="42">
        <v>30367477</v>
      </c>
      <c r="E92" s="52" t="s">
        <v>2802</v>
      </c>
      <c r="F92" s="52" t="s">
        <v>317</v>
      </c>
      <c r="G92" s="56" t="s">
        <v>2686</v>
      </c>
      <c r="H92" s="52" t="s">
        <v>2689</v>
      </c>
      <c r="I92" s="52" t="s">
        <v>2540</v>
      </c>
      <c r="J92" s="636">
        <v>157410</v>
      </c>
      <c r="K92" s="52"/>
      <c r="L92" s="52"/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/>
      <c r="W92" s="54"/>
      <c r="X92" s="54"/>
      <c r="Y92" s="54">
        <f t="shared" si="4"/>
        <v>0</v>
      </c>
      <c r="Z92" s="52">
        <v>1000</v>
      </c>
      <c r="AA92" s="52">
        <v>1</v>
      </c>
      <c r="AB92" s="637">
        <v>44207</v>
      </c>
      <c r="AC92" s="637">
        <v>44249</v>
      </c>
      <c r="AD92" s="52">
        <v>-1000</v>
      </c>
      <c r="AE92" s="52">
        <v>39</v>
      </c>
      <c r="AF92" s="637">
        <v>44358</v>
      </c>
      <c r="AG92" s="637">
        <v>44364</v>
      </c>
      <c r="AH92" s="52"/>
      <c r="AI92" s="52"/>
      <c r="AJ92" s="637"/>
      <c r="AK92" s="637"/>
      <c r="AL92" s="52"/>
      <c r="AM92" s="52"/>
      <c r="AN92" s="637"/>
      <c r="AO92" s="637"/>
      <c r="AP92" s="52"/>
      <c r="AQ92" s="52"/>
      <c r="AR92" s="637"/>
      <c r="AS92" s="637"/>
      <c r="AT92" s="52"/>
      <c r="AU92" s="52"/>
      <c r="AV92" s="637"/>
      <c r="AW92" s="637"/>
      <c r="AX92" s="52"/>
      <c r="AY92" s="52"/>
      <c r="AZ92" s="637"/>
      <c r="BA92" s="637"/>
      <c r="BB92" s="52"/>
      <c r="BC92" s="52"/>
      <c r="BD92" s="637"/>
      <c r="BE92" s="637"/>
      <c r="BF92" s="137">
        <f t="shared" si="5"/>
        <v>0</v>
      </c>
      <c r="BG92" s="43">
        <f t="shared" si="6"/>
        <v>0</v>
      </c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</row>
    <row r="93" spans="1:99" s="96" customFormat="1" ht="22.5" customHeight="1">
      <c r="A93" s="39"/>
      <c r="B93" s="51">
        <v>78</v>
      </c>
      <c r="C93" s="51" t="s">
        <v>39</v>
      </c>
      <c r="D93" s="42">
        <v>30367573</v>
      </c>
      <c r="E93" s="52" t="s">
        <v>2803</v>
      </c>
      <c r="F93" s="52" t="s">
        <v>317</v>
      </c>
      <c r="G93" s="56" t="s">
        <v>2686</v>
      </c>
      <c r="H93" s="52" t="s">
        <v>2689</v>
      </c>
      <c r="I93" s="52" t="s">
        <v>2537</v>
      </c>
      <c r="J93" s="636">
        <v>535002</v>
      </c>
      <c r="K93" s="52"/>
      <c r="L93" s="52"/>
      <c r="M93" s="54">
        <v>247862.51</v>
      </c>
      <c r="N93" s="54">
        <v>111566.766</v>
      </c>
      <c r="O93" s="54">
        <v>101476.04399999999</v>
      </c>
      <c r="P93" s="54">
        <v>54511.353000000003</v>
      </c>
      <c r="Q93" s="54">
        <v>1500</v>
      </c>
      <c r="R93" s="54">
        <v>9896.9539999999997</v>
      </c>
      <c r="S93" s="54">
        <v>0</v>
      </c>
      <c r="T93" s="54">
        <v>0</v>
      </c>
      <c r="U93" s="54">
        <v>205</v>
      </c>
      <c r="V93" s="54"/>
      <c r="W93" s="54"/>
      <c r="X93" s="54"/>
      <c r="Y93" s="54">
        <f t="shared" si="4"/>
        <v>527018.62699999998</v>
      </c>
      <c r="Z93" s="52">
        <v>1350</v>
      </c>
      <c r="AA93" s="52">
        <v>1</v>
      </c>
      <c r="AB93" s="637">
        <v>44207</v>
      </c>
      <c r="AC93" s="637">
        <v>44249</v>
      </c>
      <c r="AD93" s="52">
        <v>533480</v>
      </c>
      <c r="AE93" s="52">
        <v>4</v>
      </c>
      <c r="AF93" s="637">
        <v>44221</v>
      </c>
      <c r="AG93" s="637">
        <v>44280</v>
      </c>
      <c r="AH93" s="52">
        <v>-350</v>
      </c>
      <c r="AI93" s="52">
        <v>40</v>
      </c>
      <c r="AJ93" s="637">
        <v>44358</v>
      </c>
      <c r="AK93" s="637">
        <v>44364</v>
      </c>
      <c r="AL93" s="52"/>
      <c r="AM93" s="52"/>
      <c r="AN93" s="637"/>
      <c r="AO93" s="637"/>
      <c r="AP93" s="52"/>
      <c r="AQ93" s="52"/>
      <c r="AR93" s="637"/>
      <c r="AS93" s="637"/>
      <c r="AT93" s="52"/>
      <c r="AU93" s="52"/>
      <c r="AV93" s="637"/>
      <c r="AW93" s="637"/>
      <c r="AX93" s="52"/>
      <c r="AY93" s="52"/>
      <c r="AZ93" s="637"/>
      <c r="BA93" s="637"/>
      <c r="BB93" s="52"/>
      <c r="BC93" s="52"/>
      <c r="BD93" s="637"/>
      <c r="BE93" s="637"/>
      <c r="BF93" s="137">
        <f t="shared" si="5"/>
        <v>534480</v>
      </c>
      <c r="BG93" s="43">
        <f t="shared" si="6"/>
        <v>7461.3730000000214</v>
      </c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</row>
    <row r="94" spans="1:99" s="96" customFormat="1" ht="22.5" customHeight="1">
      <c r="A94" s="39"/>
      <c r="B94" s="51">
        <v>79</v>
      </c>
      <c r="C94" s="51" t="s">
        <v>39</v>
      </c>
      <c r="D94" s="42">
        <v>30368972</v>
      </c>
      <c r="E94" s="52" t="s">
        <v>2804</v>
      </c>
      <c r="F94" s="52" t="s">
        <v>317</v>
      </c>
      <c r="G94" s="56" t="s">
        <v>2686</v>
      </c>
      <c r="H94" s="52" t="s">
        <v>2805</v>
      </c>
      <c r="I94" s="52" t="s">
        <v>2537</v>
      </c>
      <c r="J94" s="636">
        <v>8481</v>
      </c>
      <c r="K94" s="52"/>
      <c r="L94" s="52"/>
      <c r="M94" s="54">
        <v>0</v>
      </c>
      <c r="N94" s="54">
        <v>0</v>
      </c>
      <c r="O94" s="54">
        <v>3967.625</v>
      </c>
      <c r="P94" s="54">
        <v>582.6</v>
      </c>
      <c r="Q94" s="54">
        <v>0</v>
      </c>
      <c r="R94" s="54">
        <v>321.988</v>
      </c>
      <c r="S94" s="54">
        <v>0</v>
      </c>
      <c r="T94" s="54">
        <v>0</v>
      </c>
      <c r="U94" s="54">
        <v>0</v>
      </c>
      <c r="V94" s="54"/>
      <c r="W94" s="54"/>
      <c r="X94" s="54"/>
      <c r="Y94" s="54">
        <f t="shared" si="4"/>
        <v>4872.2130000000006</v>
      </c>
      <c r="Z94" s="52">
        <v>1000</v>
      </c>
      <c r="AA94" s="52">
        <v>8</v>
      </c>
      <c r="AB94" s="637">
        <v>44252</v>
      </c>
      <c r="AC94" s="637">
        <v>44292</v>
      </c>
      <c r="AD94" s="52">
        <v>4067</v>
      </c>
      <c r="AE94" s="52">
        <v>10</v>
      </c>
      <c r="AF94" s="637">
        <v>44286</v>
      </c>
      <c r="AG94" s="637">
        <v>44306</v>
      </c>
      <c r="AH94" s="52">
        <v>2000</v>
      </c>
      <c r="AI94" s="52">
        <v>14</v>
      </c>
      <c r="AJ94" s="637">
        <v>44313</v>
      </c>
      <c r="AK94" s="637">
        <v>44322</v>
      </c>
      <c r="AL94" s="52"/>
      <c r="AM94" s="52"/>
      <c r="AN94" s="637"/>
      <c r="AO94" s="637"/>
      <c r="AP94" s="52"/>
      <c r="AQ94" s="52"/>
      <c r="AR94" s="637"/>
      <c r="AS94" s="637"/>
      <c r="AT94" s="52"/>
      <c r="AU94" s="52"/>
      <c r="AV94" s="637"/>
      <c r="AW94" s="637"/>
      <c r="AX94" s="52"/>
      <c r="AY94" s="52"/>
      <c r="AZ94" s="637"/>
      <c r="BA94" s="637"/>
      <c r="BB94" s="52"/>
      <c r="BC94" s="52"/>
      <c r="BD94" s="637"/>
      <c r="BE94" s="637"/>
      <c r="BF94" s="137">
        <f t="shared" si="5"/>
        <v>7067</v>
      </c>
      <c r="BG94" s="43">
        <f t="shared" si="6"/>
        <v>2194.7869999999994</v>
      </c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</row>
    <row r="95" spans="1:99" s="96" customFormat="1" ht="22.5" customHeight="1">
      <c r="A95" s="39"/>
      <c r="B95" s="51">
        <v>80</v>
      </c>
      <c r="C95" s="51" t="s">
        <v>39</v>
      </c>
      <c r="D95" s="42">
        <v>30369533</v>
      </c>
      <c r="E95" s="52" t="s">
        <v>2806</v>
      </c>
      <c r="F95" s="52" t="s">
        <v>317</v>
      </c>
      <c r="G95" s="56" t="s">
        <v>2686</v>
      </c>
      <c r="H95" s="52" t="s">
        <v>2777</v>
      </c>
      <c r="I95" s="52" t="s">
        <v>2537</v>
      </c>
      <c r="J95" s="636">
        <v>885603</v>
      </c>
      <c r="K95" s="52"/>
      <c r="L95" s="52"/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/>
      <c r="W95" s="54"/>
      <c r="X95" s="54"/>
      <c r="Y95" s="54">
        <f t="shared" si="4"/>
        <v>0</v>
      </c>
      <c r="Z95" s="52">
        <v>1000</v>
      </c>
      <c r="AA95" s="52">
        <v>8</v>
      </c>
      <c r="AB95" s="637">
        <v>44252</v>
      </c>
      <c r="AC95" s="637">
        <v>44292</v>
      </c>
      <c r="AD95" s="52">
        <v>-1000</v>
      </c>
      <c r="AE95" s="52">
        <v>39</v>
      </c>
      <c r="AF95" s="637">
        <v>44358</v>
      </c>
      <c r="AG95" s="637">
        <v>44364</v>
      </c>
      <c r="AH95" s="52"/>
      <c r="AI95" s="52"/>
      <c r="AJ95" s="637"/>
      <c r="AK95" s="637"/>
      <c r="AL95" s="52"/>
      <c r="AM95" s="52"/>
      <c r="AN95" s="637"/>
      <c r="AO95" s="637"/>
      <c r="AP95" s="52"/>
      <c r="AQ95" s="52"/>
      <c r="AR95" s="637"/>
      <c r="AS95" s="637"/>
      <c r="AT95" s="52"/>
      <c r="AU95" s="52"/>
      <c r="AV95" s="637"/>
      <c r="AW95" s="637"/>
      <c r="AX95" s="52"/>
      <c r="AY95" s="52"/>
      <c r="AZ95" s="637"/>
      <c r="BA95" s="637"/>
      <c r="BB95" s="52"/>
      <c r="BC95" s="52"/>
      <c r="BD95" s="637"/>
      <c r="BE95" s="637"/>
      <c r="BF95" s="137">
        <f t="shared" si="5"/>
        <v>0</v>
      </c>
      <c r="BG95" s="43">
        <f t="shared" si="6"/>
        <v>0</v>
      </c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</row>
    <row r="96" spans="1:99" s="96" customFormat="1" ht="22.5" customHeight="1">
      <c r="A96" s="39"/>
      <c r="B96" s="51">
        <v>81</v>
      </c>
      <c r="C96" s="51" t="s">
        <v>39</v>
      </c>
      <c r="D96" s="42">
        <v>30369572</v>
      </c>
      <c r="E96" s="52" t="s">
        <v>2807</v>
      </c>
      <c r="F96" s="52" t="s">
        <v>47</v>
      </c>
      <c r="G96" s="56" t="s">
        <v>2686</v>
      </c>
      <c r="H96" s="52" t="s">
        <v>2718</v>
      </c>
      <c r="I96" s="52" t="s">
        <v>2537</v>
      </c>
      <c r="J96" s="636">
        <v>27420</v>
      </c>
      <c r="K96" s="52"/>
      <c r="L96" s="52"/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/>
      <c r="W96" s="54"/>
      <c r="X96" s="54"/>
      <c r="Y96" s="54">
        <f t="shared" si="4"/>
        <v>0</v>
      </c>
      <c r="Z96" s="52">
        <v>1000</v>
      </c>
      <c r="AA96" s="52">
        <v>8</v>
      </c>
      <c r="AB96" s="637">
        <v>44252</v>
      </c>
      <c r="AC96" s="637">
        <v>44292</v>
      </c>
      <c r="AD96" s="52">
        <v>-1000</v>
      </c>
      <c r="AE96" s="52">
        <v>39</v>
      </c>
      <c r="AF96" s="637">
        <v>44358</v>
      </c>
      <c r="AG96" s="637">
        <v>44364</v>
      </c>
      <c r="AH96" s="52"/>
      <c r="AI96" s="52"/>
      <c r="AJ96" s="637"/>
      <c r="AK96" s="637"/>
      <c r="AL96" s="52"/>
      <c r="AM96" s="52"/>
      <c r="AN96" s="637"/>
      <c r="AO96" s="637"/>
      <c r="AP96" s="52"/>
      <c r="AQ96" s="52"/>
      <c r="AR96" s="637"/>
      <c r="AS96" s="637"/>
      <c r="AT96" s="52"/>
      <c r="AU96" s="52"/>
      <c r="AV96" s="637"/>
      <c r="AW96" s="637"/>
      <c r="AX96" s="52"/>
      <c r="AY96" s="52"/>
      <c r="AZ96" s="637"/>
      <c r="BA96" s="637"/>
      <c r="BB96" s="52"/>
      <c r="BC96" s="52"/>
      <c r="BD96" s="637"/>
      <c r="BE96" s="637"/>
      <c r="BF96" s="137">
        <f t="shared" si="5"/>
        <v>0</v>
      </c>
      <c r="BG96" s="43">
        <f t="shared" si="6"/>
        <v>0</v>
      </c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</row>
    <row r="97" spans="1:99" s="96" customFormat="1" ht="22.5" customHeight="1">
      <c r="A97" s="39"/>
      <c r="B97" s="51">
        <v>82</v>
      </c>
      <c r="C97" s="51" t="s">
        <v>39</v>
      </c>
      <c r="D97" s="42">
        <v>30376528</v>
      </c>
      <c r="E97" s="52" t="s">
        <v>2808</v>
      </c>
      <c r="F97" s="52" t="s">
        <v>317</v>
      </c>
      <c r="G97" s="56" t="s">
        <v>2686</v>
      </c>
      <c r="H97" s="52" t="s">
        <v>2748</v>
      </c>
      <c r="I97" s="52" t="s">
        <v>2537</v>
      </c>
      <c r="J97" s="636">
        <v>2156766</v>
      </c>
      <c r="K97" s="52"/>
      <c r="L97" s="52"/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/>
      <c r="W97" s="54"/>
      <c r="X97" s="54"/>
      <c r="Y97" s="54">
        <f t="shared" si="4"/>
        <v>0</v>
      </c>
      <c r="Z97" s="52">
        <v>1000</v>
      </c>
      <c r="AA97" s="52">
        <v>8</v>
      </c>
      <c r="AB97" s="637">
        <v>44252</v>
      </c>
      <c r="AC97" s="637">
        <v>44292</v>
      </c>
      <c r="AD97" s="52">
        <v>-1000</v>
      </c>
      <c r="AE97" s="52">
        <v>39</v>
      </c>
      <c r="AF97" s="637">
        <v>44358</v>
      </c>
      <c r="AG97" s="637">
        <v>44364</v>
      </c>
      <c r="AH97" s="52"/>
      <c r="AI97" s="52"/>
      <c r="AJ97" s="637"/>
      <c r="AK97" s="637"/>
      <c r="AL97" s="52"/>
      <c r="AM97" s="52"/>
      <c r="AN97" s="637"/>
      <c r="AO97" s="637"/>
      <c r="AP97" s="52"/>
      <c r="AQ97" s="52"/>
      <c r="AR97" s="637"/>
      <c r="AS97" s="637"/>
      <c r="AT97" s="52"/>
      <c r="AU97" s="52"/>
      <c r="AV97" s="637"/>
      <c r="AW97" s="637"/>
      <c r="AX97" s="52"/>
      <c r="AY97" s="52"/>
      <c r="AZ97" s="637"/>
      <c r="BA97" s="637"/>
      <c r="BB97" s="52"/>
      <c r="BC97" s="52"/>
      <c r="BD97" s="637"/>
      <c r="BE97" s="637"/>
      <c r="BF97" s="137">
        <f t="shared" si="5"/>
        <v>0</v>
      </c>
      <c r="BG97" s="43">
        <f t="shared" si="6"/>
        <v>0</v>
      </c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</row>
    <row r="98" spans="1:99" s="96" customFormat="1" ht="22.5" customHeight="1">
      <c r="A98" s="39"/>
      <c r="B98" s="51">
        <v>83</v>
      </c>
      <c r="C98" s="51" t="s">
        <v>39</v>
      </c>
      <c r="D98" s="42">
        <v>30388029</v>
      </c>
      <c r="E98" s="52" t="s">
        <v>2809</v>
      </c>
      <c r="F98" s="52" t="s">
        <v>317</v>
      </c>
      <c r="G98" s="56" t="s">
        <v>2686</v>
      </c>
      <c r="H98" s="52" t="s">
        <v>2770</v>
      </c>
      <c r="I98" s="52" t="s">
        <v>2537</v>
      </c>
      <c r="J98" s="636">
        <v>55089</v>
      </c>
      <c r="K98" s="52"/>
      <c r="L98" s="52"/>
      <c r="M98" s="54">
        <v>43860.648999999998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67.293999999999997</v>
      </c>
      <c r="T98" s="54">
        <v>0</v>
      </c>
      <c r="U98" s="54">
        <v>0</v>
      </c>
      <c r="V98" s="54"/>
      <c r="W98" s="54"/>
      <c r="X98" s="54"/>
      <c r="Y98" s="54">
        <f t="shared" si="4"/>
        <v>43927.942999999999</v>
      </c>
      <c r="Z98" s="52">
        <v>43861</v>
      </c>
      <c r="AA98" s="52">
        <v>4</v>
      </c>
      <c r="AB98" s="637">
        <v>44221</v>
      </c>
      <c r="AC98" s="637">
        <v>44280</v>
      </c>
      <c r="AD98" s="52">
        <v>67</v>
      </c>
      <c r="AE98" s="52">
        <v>38</v>
      </c>
      <c r="AF98" s="637">
        <v>44358</v>
      </c>
      <c r="AG98" s="637">
        <v>44364</v>
      </c>
      <c r="AH98" s="52"/>
      <c r="AI98" s="52"/>
      <c r="AJ98" s="637"/>
      <c r="AK98" s="637"/>
      <c r="AL98" s="52"/>
      <c r="AM98" s="52"/>
      <c r="AN98" s="637"/>
      <c r="AO98" s="637"/>
      <c r="AP98" s="52"/>
      <c r="AQ98" s="52"/>
      <c r="AR98" s="637"/>
      <c r="AS98" s="637"/>
      <c r="AT98" s="52"/>
      <c r="AU98" s="52"/>
      <c r="AV98" s="637"/>
      <c r="AW98" s="637"/>
      <c r="AX98" s="52"/>
      <c r="AY98" s="52"/>
      <c r="AZ98" s="637"/>
      <c r="BA98" s="637"/>
      <c r="BB98" s="52"/>
      <c r="BC98" s="52"/>
      <c r="BD98" s="637"/>
      <c r="BE98" s="637"/>
      <c r="BF98" s="137">
        <f t="shared" si="5"/>
        <v>43928</v>
      </c>
      <c r="BG98" s="43">
        <f t="shared" si="6"/>
        <v>5.7000000000698492E-2</v>
      </c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</row>
    <row r="99" spans="1:99" s="96" customFormat="1" ht="22.5">
      <c r="A99" s="39"/>
      <c r="B99" s="51">
        <v>84</v>
      </c>
      <c r="C99" s="51" t="s">
        <v>39</v>
      </c>
      <c r="D99" s="42">
        <v>30389274</v>
      </c>
      <c r="E99" s="52" t="s">
        <v>2810</v>
      </c>
      <c r="F99" s="52" t="s">
        <v>317</v>
      </c>
      <c r="G99" s="56" t="s">
        <v>2686</v>
      </c>
      <c r="H99" s="52" t="s">
        <v>2729</v>
      </c>
      <c r="I99" s="52" t="s">
        <v>2537</v>
      </c>
      <c r="J99" s="636">
        <v>1528</v>
      </c>
      <c r="K99" s="52"/>
      <c r="L99" s="52"/>
      <c r="M99" s="54">
        <v>0</v>
      </c>
      <c r="N99" s="54">
        <v>0</v>
      </c>
      <c r="O99" s="54">
        <v>0</v>
      </c>
      <c r="P99" s="54">
        <v>0</v>
      </c>
      <c r="Q99" s="54">
        <v>1527.3530000000001</v>
      </c>
      <c r="R99" s="54">
        <v>0</v>
      </c>
      <c r="S99" s="54">
        <v>0</v>
      </c>
      <c r="T99" s="54">
        <v>0</v>
      </c>
      <c r="U99" s="54">
        <v>0</v>
      </c>
      <c r="V99" s="54"/>
      <c r="W99" s="54"/>
      <c r="X99" s="54"/>
      <c r="Y99" s="54">
        <f t="shared" si="4"/>
        <v>1527.3530000000001</v>
      </c>
      <c r="Z99" s="52">
        <v>1528</v>
      </c>
      <c r="AA99" s="52">
        <v>8</v>
      </c>
      <c r="AB99" s="637">
        <v>44252</v>
      </c>
      <c r="AC99" s="637">
        <v>44292</v>
      </c>
      <c r="AD99" s="52"/>
      <c r="AE99" s="52"/>
      <c r="AF99" s="637"/>
      <c r="AG99" s="637"/>
      <c r="AH99" s="52"/>
      <c r="AI99" s="52"/>
      <c r="AJ99" s="637"/>
      <c r="AK99" s="637"/>
      <c r="AL99" s="52"/>
      <c r="AM99" s="52"/>
      <c r="AN99" s="637"/>
      <c r="AO99" s="637"/>
      <c r="AP99" s="52"/>
      <c r="AQ99" s="52"/>
      <c r="AR99" s="637"/>
      <c r="AS99" s="637"/>
      <c r="AT99" s="52"/>
      <c r="AU99" s="52"/>
      <c r="AV99" s="637"/>
      <c r="AW99" s="637"/>
      <c r="AX99" s="52"/>
      <c r="AY99" s="52"/>
      <c r="AZ99" s="637"/>
      <c r="BA99" s="637"/>
      <c r="BB99" s="52"/>
      <c r="BC99" s="52"/>
      <c r="BD99" s="637"/>
      <c r="BE99" s="637"/>
      <c r="BF99" s="137">
        <f t="shared" si="5"/>
        <v>1528</v>
      </c>
      <c r="BG99" s="43">
        <f t="shared" si="6"/>
        <v>0.64699999999993452</v>
      </c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</row>
    <row r="100" spans="1:99" s="96" customFormat="1" ht="22.5" customHeight="1">
      <c r="A100" s="39"/>
      <c r="B100" s="51">
        <v>85</v>
      </c>
      <c r="C100" s="51" t="s">
        <v>39</v>
      </c>
      <c r="D100" s="42">
        <v>30399923</v>
      </c>
      <c r="E100" s="52" t="s">
        <v>2811</v>
      </c>
      <c r="F100" s="52" t="s">
        <v>83</v>
      </c>
      <c r="G100" s="56" t="s">
        <v>2686</v>
      </c>
      <c r="H100" s="52" t="s">
        <v>2729</v>
      </c>
      <c r="I100" s="52" t="s">
        <v>2537</v>
      </c>
      <c r="J100" s="636">
        <v>399511</v>
      </c>
      <c r="K100" s="52"/>
      <c r="L100" s="52"/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/>
      <c r="W100" s="54"/>
      <c r="X100" s="54"/>
      <c r="Y100" s="54">
        <f t="shared" si="4"/>
        <v>0</v>
      </c>
      <c r="Z100" s="52">
        <v>1000</v>
      </c>
      <c r="AA100" s="52">
        <v>1</v>
      </c>
      <c r="AB100" s="637">
        <v>44207</v>
      </c>
      <c r="AC100" s="637">
        <v>44249</v>
      </c>
      <c r="AD100" s="52">
        <v>-1000</v>
      </c>
      <c r="AE100" s="52">
        <v>39</v>
      </c>
      <c r="AF100" s="637">
        <v>44358</v>
      </c>
      <c r="AG100" s="637">
        <v>44364</v>
      </c>
      <c r="AH100" s="52"/>
      <c r="AI100" s="52"/>
      <c r="AJ100" s="637"/>
      <c r="AK100" s="637"/>
      <c r="AL100" s="52"/>
      <c r="AM100" s="52"/>
      <c r="AN100" s="637"/>
      <c r="AO100" s="637"/>
      <c r="AP100" s="52"/>
      <c r="AQ100" s="52"/>
      <c r="AR100" s="637"/>
      <c r="AS100" s="637"/>
      <c r="AT100" s="52"/>
      <c r="AU100" s="52"/>
      <c r="AV100" s="637"/>
      <c r="AW100" s="637"/>
      <c r="AX100" s="52"/>
      <c r="AY100" s="52"/>
      <c r="AZ100" s="637"/>
      <c r="BA100" s="637"/>
      <c r="BB100" s="52"/>
      <c r="BC100" s="52"/>
      <c r="BD100" s="637"/>
      <c r="BE100" s="637"/>
      <c r="BF100" s="137">
        <f t="shared" si="5"/>
        <v>0</v>
      </c>
      <c r="BG100" s="43">
        <f t="shared" si="6"/>
        <v>0</v>
      </c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</row>
    <row r="101" spans="1:99" s="96" customFormat="1" ht="22.5">
      <c r="A101" s="39"/>
      <c r="B101" s="51">
        <v>86</v>
      </c>
      <c r="C101" s="51" t="s">
        <v>39</v>
      </c>
      <c r="D101" s="42">
        <v>30402326</v>
      </c>
      <c r="E101" s="52" t="s">
        <v>2812</v>
      </c>
      <c r="F101" s="52" t="s">
        <v>317</v>
      </c>
      <c r="G101" s="56" t="s">
        <v>2686</v>
      </c>
      <c r="H101" s="52" t="s">
        <v>2770</v>
      </c>
      <c r="I101" s="52" t="s">
        <v>2537</v>
      </c>
      <c r="J101" s="636">
        <v>54535</v>
      </c>
      <c r="K101" s="52"/>
      <c r="L101" s="52"/>
      <c r="M101" s="54">
        <v>54534.275000000001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/>
      <c r="W101" s="54"/>
      <c r="X101" s="54"/>
      <c r="Y101" s="54">
        <f t="shared" si="4"/>
        <v>54534.275000000001</v>
      </c>
      <c r="Z101" s="52">
        <v>54534</v>
      </c>
      <c r="AA101" s="52">
        <v>4</v>
      </c>
      <c r="AB101" s="637">
        <v>44221</v>
      </c>
      <c r="AC101" s="637">
        <v>44280</v>
      </c>
      <c r="AD101" s="52"/>
      <c r="AE101" s="52"/>
      <c r="AF101" s="637"/>
      <c r="AG101" s="637"/>
      <c r="AH101" s="52"/>
      <c r="AI101" s="52"/>
      <c r="AJ101" s="637"/>
      <c r="AK101" s="637"/>
      <c r="AL101" s="52"/>
      <c r="AM101" s="52"/>
      <c r="AN101" s="637"/>
      <c r="AO101" s="637"/>
      <c r="AP101" s="52"/>
      <c r="AQ101" s="52"/>
      <c r="AR101" s="637"/>
      <c r="AS101" s="637"/>
      <c r="AT101" s="52"/>
      <c r="AU101" s="52"/>
      <c r="AV101" s="637"/>
      <c r="AW101" s="637"/>
      <c r="AX101" s="52"/>
      <c r="AY101" s="52"/>
      <c r="AZ101" s="637"/>
      <c r="BA101" s="637"/>
      <c r="BB101" s="52"/>
      <c r="BC101" s="52"/>
      <c r="BD101" s="637"/>
      <c r="BE101" s="637"/>
      <c r="BF101" s="137">
        <f t="shared" si="5"/>
        <v>54534</v>
      </c>
      <c r="BG101" s="43">
        <f t="shared" si="6"/>
        <v>-0.27500000000145519</v>
      </c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</row>
    <row r="102" spans="1:99" s="96" customFormat="1" ht="22.5" customHeight="1">
      <c r="A102" s="39"/>
      <c r="B102" s="51">
        <v>87</v>
      </c>
      <c r="C102" s="51" t="s">
        <v>39</v>
      </c>
      <c r="D102" s="42">
        <v>30403623</v>
      </c>
      <c r="E102" s="52" t="s">
        <v>2813</v>
      </c>
      <c r="F102" s="52" t="s">
        <v>317</v>
      </c>
      <c r="G102" s="56" t="s">
        <v>2686</v>
      </c>
      <c r="H102" s="52" t="s">
        <v>2814</v>
      </c>
      <c r="I102" s="52" t="s">
        <v>2537</v>
      </c>
      <c r="J102" s="636">
        <v>1431926</v>
      </c>
      <c r="K102" s="52"/>
      <c r="L102" s="52"/>
      <c r="M102" s="54">
        <v>0</v>
      </c>
      <c r="N102" s="54">
        <v>240732.41399999999</v>
      </c>
      <c r="O102" s="54">
        <v>164870.98199999999</v>
      </c>
      <c r="P102" s="54">
        <v>319325.65700000001</v>
      </c>
      <c r="Q102" s="54">
        <v>0</v>
      </c>
      <c r="R102" s="54">
        <v>208285.193</v>
      </c>
      <c r="S102" s="54">
        <v>2407.25</v>
      </c>
      <c r="T102" s="54">
        <v>108588.924</v>
      </c>
      <c r="U102" s="54">
        <v>2407.25</v>
      </c>
      <c r="V102" s="54"/>
      <c r="W102" s="54"/>
      <c r="X102" s="54"/>
      <c r="Y102" s="54">
        <f t="shared" si="4"/>
        <v>1046617.6699999999</v>
      </c>
      <c r="Z102" s="52">
        <v>518000</v>
      </c>
      <c r="AA102" s="52">
        <v>8</v>
      </c>
      <c r="AB102" s="637">
        <v>44252</v>
      </c>
      <c r="AC102" s="637">
        <v>44292</v>
      </c>
      <c r="AD102" s="52">
        <v>500000</v>
      </c>
      <c r="AE102" s="52">
        <v>11</v>
      </c>
      <c r="AF102" s="637">
        <v>44299</v>
      </c>
      <c r="AG102" s="637">
        <v>44312</v>
      </c>
      <c r="AH102" s="52">
        <v>9000</v>
      </c>
      <c r="AI102" s="52">
        <v>38</v>
      </c>
      <c r="AJ102" s="637">
        <v>44358</v>
      </c>
      <c r="AK102" s="637">
        <v>44364</v>
      </c>
      <c r="AL102" s="52"/>
      <c r="AM102" s="52"/>
      <c r="AN102" s="637"/>
      <c r="AO102" s="637"/>
      <c r="AP102" s="52"/>
      <c r="AQ102" s="52"/>
      <c r="AR102" s="637"/>
      <c r="AS102" s="637"/>
      <c r="AT102" s="52"/>
      <c r="AU102" s="52"/>
      <c r="AV102" s="637"/>
      <c r="AW102" s="637"/>
      <c r="AX102" s="52"/>
      <c r="AY102" s="52"/>
      <c r="AZ102" s="637"/>
      <c r="BA102" s="637"/>
      <c r="BB102" s="52"/>
      <c r="BC102" s="52"/>
      <c r="BD102" s="637"/>
      <c r="BE102" s="637"/>
      <c r="BF102" s="137">
        <f t="shared" si="5"/>
        <v>1027000</v>
      </c>
      <c r="BG102" s="43">
        <f t="shared" si="6"/>
        <v>-19617.669999999925</v>
      </c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</row>
    <row r="103" spans="1:99" s="96" customFormat="1" ht="45" customHeight="1">
      <c r="A103" s="39"/>
      <c r="B103" s="51">
        <v>88</v>
      </c>
      <c r="C103" s="51" t="s">
        <v>39</v>
      </c>
      <c r="D103" s="42">
        <v>30407980</v>
      </c>
      <c r="E103" s="52" t="s">
        <v>2815</v>
      </c>
      <c r="F103" s="52" t="s">
        <v>317</v>
      </c>
      <c r="G103" s="56" t="s">
        <v>2686</v>
      </c>
      <c r="H103" s="52" t="s">
        <v>2699</v>
      </c>
      <c r="I103" s="52" t="s">
        <v>2537</v>
      </c>
      <c r="J103" s="636">
        <v>14823881</v>
      </c>
      <c r="K103" s="52"/>
      <c r="L103" s="52"/>
      <c r="M103" s="54">
        <v>0</v>
      </c>
      <c r="N103" s="54">
        <v>3365.2080000000001</v>
      </c>
      <c r="O103" s="54">
        <v>10067.624</v>
      </c>
      <c r="P103" s="54">
        <v>329107.25699999998</v>
      </c>
      <c r="Q103" s="54">
        <v>269109.42200000002</v>
      </c>
      <c r="R103" s="54">
        <v>209290.571</v>
      </c>
      <c r="S103" s="54">
        <v>797082.88</v>
      </c>
      <c r="T103" s="54">
        <v>263945.42300000001</v>
      </c>
      <c r="U103" s="54">
        <v>0</v>
      </c>
      <c r="V103" s="54"/>
      <c r="W103" s="54"/>
      <c r="X103" s="54"/>
      <c r="Y103" s="54">
        <f t="shared" si="4"/>
        <v>1881968.3849999998</v>
      </c>
      <c r="Z103" s="52">
        <v>1000</v>
      </c>
      <c r="AA103" s="52">
        <v>1</v>
      </c>
      <c r="AB103" s="637">
        <v>44207</v>
      </c>
      <c r="AC103" s="637">
        <v>44249</v>
      </c>
      <c r="AD103" s="52">
        <v>150000</v>
      </c>
      <c r="AE103" s="52">
        <v>8</v>
      </c>
      <c r="AF103" s="637">
        <v>44252</v>
      </c>
      <c r="AG103" s="637">
        <v>44292</v>
      </c>
      <c r="AH103" s="52">
        <v>233000</v>
      </c>
      <c r="AI103" s="52">
        <v>10</v>
      </c>
      <c r="AJ103" s="637">
        <v>44286</v>
      </c>
      <c r="AK103" s="637">
        <v>44306</v>
      </c>
      <c r="AL103" s="52">
        <v>700000</v>
      </c>
      <c r="AM103" s="52">
        <v>14</v>
      </c>
      <c r="AN103" s="637">
        <v>44313</v>
      </c>
      <c r="AO103" s="637">
        <v>44322</v>
      </c>
      <c r="AP103" s="52">
        <v>197993</v>
      </c>
      <c r="AQ103" s="52">
        <v>26</v>
      </c>
      <c r="AR103" s="637">
        <v>44358</v>
      </c>
      <c r="AS103" s="637">
        <v>44364</v>
      </c>
      <c r="AT103" s="52">
        <v>451832</v>
      </c>
      <c r="AU103" s="52">
        <v>38</v>
      </c>
      <c r="AV103" s="637">
        <v>44358</v>
      </c>
      <c r="AW103" s="637">
        <v>44364</v>
      </c>
      <c r="AX103" s="52">
        <v>-60000</v>
      </c>
      <c r="AY103" s="52">
        <v>40</v>
      </c>
      <c r="AZ103" s="637">
        <v>44358</v>
      </c>
      <c r="BA103" s="637">
        <v>44364</v>
      </c>
      <c r="BB103" s="52"/>
      <c r="BC103" s="52"/>
      <c r="BD103" s="637"/>
      <c r="BE103" s="637"/>
      <c r="BF103" s="137">
        <f t="shared" si="5"/>
        <v>1673825</v>
      </c>
      <c r="BG103" s="43">
        <f t="shared" si="6"/>
        <v>-208143.38499999978</v>
      </c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</row>
    <row r="104" spans="1:99" s="96" customFormat="1" ht="22.5" customHeight="1">
      <c r="A104" s="39"/>
      <c r="B104" s="51">
        <v>89</v>
      </c>
      <c r="C104" s="51" t="s">
        <v>39</v>
      </c>
      <c r="D104" s="42">
        <v>30413124</v>
      </c>
      <c r="E104" s="52" t="s">
        <v>2816</v>
      </c>
      <c r="F104" s="52" t="s">
        <v>317</v>
      </c>
      <c r="G104" s="56" t="s">
        <v>2686</v>
      </c>
      <c r="H104" s="52" t="s">
        <v>2817</v>
      </c>
      <c r="I104" s="52" t="s">
        <v>2537</v>
      </c>
      <c r="J104" s="636">
        <v>82933</v>
      </c>
      <c r="K104" s="52"/>
      <c r="L104" s="52"/>
      <c r="M104" s="54">
        <v>12940.674000000001</v>
      </c>
      <c r="N104" s="54">
        <v>0</v>
      </c>
      <c r="O104" s="54">
        <v>0</v>
      </c>
      <c r="P104" s="54">
        <v>40011.898000000001</v>
      </c>
      <c r="Q104" s="54">
        <v>0</v>
      </c>
      <c r="R104" s="54">
        <v>0</v>
      </c>
      <c r="S104" s="54">
        <v>11160.771000000001</v>
      </c>
      <c r="T104" s="54">
        <v>0</v>
      </c>
      <c r="U104" s="54">
        <v>0</v>
      </c>
      <c r="V104" s="54"/>
      <c r="W104" s="54"/>
      <c r="X104" s="54"/>
      <c r="Y104" s="54">
        <f t="shared" si="4"/>
        <v>64113.343000000001</v>
      </c>
      <c r="Z104" s="52">
        <v>73857</v>
      </c>
      <c r="AA104" s="52">
        <v>4</v>
      </c>
      <c r="AB104" s="637">
        <v>44221</v>
      </c>
      <c r="AC104" s="637">
        <v>44280</v>
      </c>
      <c r="AD104" s="52">
        <v>-9744</v>
      </c>
      <c r="AE104" s="52">
        <v>40</v>
      </c>
      <c r="AF104" s="637">
        <v>44358</v>
      </c>
      <c r="AG104" s="637">
        <v>44364</v>
      </c>
      <c r="AH104" s="52"/>
      <c r="AI104" s="52"/>
      <c r="AJ104" s="637"/>
      <c r="AK104" s="637"/>
      <c r="AL104" s="52"/>
      <c r="AM104" s="52"/>
      <c r="AN104" s="637"/>
      <c r="AO104" s="637"/>
      <c r="AP104" s="52"/>
      <c r="AQ104" s="52"/>
      <c r="AR104" s="637"/>
      <c r="AS104" s="637"/>
      <c r="AT104" s="52"/>
      <c r="AU104" s="52"/>
      <c r="AV104" s="637"/>
      <c r="AW104" s="637"/>
      <c r="AX104" s="52"/>
      <c r="AY104" s="52"/>
      <c r="AZ104" s="637"/>
      <c r="BA104" s="637"/>
      <c r="BB104" s="52"/>
      <c r="BC104" s="52"/>
      <c r="BD104" s="637"/>
      <c r="BE104" s="637"/>
      <c r="BF104" s="137">
        <f t="shared" si="5"/>
        <v>64113</v>
      </c>
      <c r="BG104" s="43">
        <f t="shared" si="6"/>
        <v>-0.3430000000007567</v>
      </c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</row>
    <row r="105" spans="1:99" s="96" customFormat="1" ht="22.5" customHeight="1">
      <c r="A105" s="39"/>
      <c r="B105" s="51">
        <v>90</v>
      </c>
      <c r="C105" s="51" t="s">
        <v>39</v>
      </c>
      <c r="D105" s="42">
        <v>30418930</v>
      </c>
      <c r="E105" s="52" t="s">
        <v>2818</v>
      </c>
      <c r="F105" s="52" t="s">
        <v>317</v>
      </c>
      <c r="G105" s="56" t="s">
        <v>2686</v>
      </c>
      <c r="H105" s="52" t="s">
        <v>2722</v>
      </c>
      <c r="I105" s="52" t="s">
        <v>2537</v>
      </c>
      <c r="J105" s="636">
        <v>128177</v>
      </c>
      <c r="K105" s="52"/>
      <c r="L105" s="52"/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99816.18</v>
      </c>
      <c r="V105" s="54"/>
      <c r="W105" s="54"/>
      <c r="X105" s="54"/>
      <c r="Y105" s="54">
        <f t="shared" si="4"/>
        <v>99816.18</v>
      </c>
      <c r="Z105" s="52">
        <v>1000</v>
      </c>
      <c r="AA105" s="52">
        <v>1</v>
      </c>
      <c r="AB105" s="637">
        <v>44207</v>
      </c>
      <c r="AC105" s="637">
        <v>44249</v>
      </c>
      <c r="AD105" s="52">
        <v>-1000</v>
      </c>
      <c r="AE105" s="52">
        <v>39</v>
      </c>
      <c r="AF105" s="637">
        <v>44358</v>
      </c>
      <c r="AG105" s="637">
        <v>44364</v>
      </c>
      <c r="AH105" s="52"/>
      <c r="AI105" s="52"/>
      <c r="AJ105" s="637"/>
      <c r="AK105" s="637"/>
      <c r="AL105" s="52"/>
      <c r="AM105" s="52"/>
      <c r="AN105" s="637"/>
      <c r="AO105" s="637"/>
      <c r="AP105" s="52"/>
      <c r="AQ105" s="52"/>
      <c r="AR105" s="637"/>
      <c r="AS105" s="637"/>
      <c r="AT105" s="52"/>
      <c r="AU105" s="52"/>
      <c r="AV105" s="637"/>
      <c r="AW105" s="637"/>
      <c r="AX105" s="52"/>
      <c r="AY105" s="52"/>
      <c r="AZ105" s="637"/>
      <c r="BA105" s="637"/>
      <c r="BB105" s="52"/>
      <c r="BC105" s="52"/>
      <c r="BD105" s="637"/>
      <c r="BE105" s="637"/>
      <c r="BF105" s="137">
        <f t="shared" si="5"/>
        <v>0</v>
      </c>
      <c r="BG105" s="43">
        <f t="shared" si="6"/>
        <v>-99816.18</v>
      </c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</row>
    <row r="106" spans="1:99" s="96" customFormat="1" ht="22.5" customHeight="1">
      <c r="A106" s="39"/>
      <c r="B106" s="51">
        <v>91</v>
      </c>
      <c r="C106" s="51" t="s">
        <v>39</v>
      </c>
      <c r="D106" s="42">
        <v>30418937</v>
      </c>
      <c r="E106" s="52" t="s">
        <v>2819</v>
      </c>
      <c r="F106" s="52" t="s">
        <v>317</v>
      </c>
      <c r="G106" s="56" t="s">
        <v>2686</v>
      </c>
      <c r="H106" s="52" t="s">
        <v>2722</v>
      </c>
      <c r="I106" s="52" t="s">
        <v>2537</v>
      </c>
      <c r="J106" s="636">
        <v>103651</v>
      </c>
      <c r="K106" s="52"/>
      <c r="L106" s="52"/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17776.721000000001</v>
      </c>
      <c r="U106" s="54">
        <v>57037.07</v>
      </c>
      <c r="V106" s="54"/>
      <c r="W106" s="54"/>
      <c r="X106" s="54"/>
      <c r="Y106" s="54">
        <f t="shared" si="4"/>
        <v>74813.790999999997</v>
      </c>
      <c r="Z106" s="52">
        <v>1000</v>
      </c>
      <c r="AA106" s="52">
        <v>1</v>
      </c>
      <c r="AB106" s="637">
        <v>44207</v>
      </c>
      <c r="AC106" s="637">
        <v>44249</v>
      </c>
      <c r="AD106" s="52">
        <v>-1000</v>
      </c>
      <c r="AE106" s="52">
        <v>39</v>
      </c>
      <c r="AF106" s="637">
        <v>44358</v>
      </c>
      <c r="AG106" s="637">
        <v>44364</v>
      </c>
      <c r="AH106" s="52"/>
      <c r="AI106" s="52"/>
      <c r="AJ106" s="637"/>
      <c r="AK106" s="637"/>
      <c r="AL106" s="52"/>
      <c r="AM106" s="52"/>
      <c r="AN106" s="637"/>
      <c r="AO106" s="637"/>
      <c r="AP106" s="52"/>
      <c r="AQ106" s="52"/>
      <c r="AR106" s="637"/>
      <c r="AS106" s="637"/>
      <c r="AT106" s="52"/>
      <c r="AU106" s="52"/>
      <c r="AV106" s="637"/>
      <c r="AW106" s="637"/>
      <c r="AX106" s="52"/>
      <c r="AY106" s="52"/>
      <c r="AZ106" s="637"/>
      <c r="BA106" s="637"/>
      <c r="BB106" s="52"/>
      <c r="BC106" s="52"/>
      <c r="BD106" s="637"/>
      <c r="BE106" s="637"/>
      <c r="BF106" s="137">
        <f t="shared" si="5"/>
        <v>0</v>
      </c>
      <c r="BG106" s="43">
        <f t="shared" si="6"/>
        <v>-74813.790999999997</v>
      </c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</row>
    <row r="107" spans="1:99" s="96" customFormat="1" ht="22.5" customHeight="1">
      <c r="A107" s="39"/>
      <c r="B107" s="51">
        <v>92</v>
      </c>
      <c r="C107" s="51" t="s">
        <v>39</v>
      </c>
      <c r="D107" s="42">
        <v>30422491</v>
      </c>
      <c r="E107" s="52" t="s">
        <v>2820</v>
      </c>
      <c r="F107" s="52" t="s">
        <v>317</v>
      </c>
      <c r="G107" s="56" t="s">
        <v>2686</v>
      </c>
      <c r="H107" s="52" t="s">
        <v>2753</v>
      </c>
      <c r="I107" s="52" t="s">
        <v>2537</v>
      </c>
      <c r="J107" s="636">
        <v>27364</v>
      </c>
      <c r="K107" s="52"/>
      <c r="L107" s="52"/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/>
      <c r="W107" s="54"/>
      <c r="X107" s="54"/>
      <c r="Y107" s="54">
        <f t="shared" si="4"/>
        <v>0</v>
      </c>
      <c r="Z107" s="52">
        <v>1000</v>
      </c>
      <c r="AA107" s="52">
        <v>8</v>
      </c>
      <c r="AB107" s="637">
        <v>44252</v>
      </c>
      <c r="AC107" s="637">
        <v>44292</v>
      </c>
      <c r="AD107" s="52">
        <v>-1000</v>
      </c>
      <c r="AE107" s="52">
        <v>39</v>
      </c>
      <c r="AF107" s="637">
        <v>44358</v>
      </c>
      <c r="AG107" s="637">
        <v>44364</v>
      </c>
      <c r="AH107" s="52"/>
      <c r="AI107" s="52"/>
      <c r="AJ107" s="637"/>
      <c r="AK107" s="637"/>
      <c r="AL107" s="52"/>
      <c r="AM107" s="52"/>
      <c r="AN107" s="637"/>
      <c r="AO107" s="637"/>
      <c r="AP107" s="52"/>
      <c r="AQ107" s="52"/>
      <c r="AR107" s="637"/>
      <c r="AS107" s="637"/>
      <c r="AT107" s="52"/>
      <c r="AU107" s="52"/>
      <c r="AV107" s="637"/>
      <c r="AW107" s="637"/>
      <c r="AX107" s="52"/>
      <c r="AY107" s="52"/>
      <c r="AZ107" s="637"/>
      <c r="BA107" s="637"/>
      <c r="BB107" s="52"/>
      <c r="BC107" s="52"/>
      <c r="BD107" s="637"/>
      <c r="BE107" s="637"/>
      <c r="BF107" s="137">
        <f t="shared" si="5"/>
        <v>0</v>
      </c>
      <c r="BG107" s="43">
        <f t="shared" si="6"/>
        <v>0</v>
      </c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</row>
    <row r="108" spans="1:99" s="96" customFormat="1" ht="22.5" customHeight="1">
      <c r="A108" s="39"/>
      <c r="B108" s="51">
        <v>93</v>
      </c>
      <c r="C108" s="51" t="s">
        <v>39</v>
      </c>
      <c r="D108" s="42">
        <v>30423472</v>
      </c>
      <c r="E108" s="52" t="s">
        <v>2821</v>
      </c>
      <c r="F108" s="52" t="s">
        <v>317</v>
      </c>
      <c r="G108" s="56" t="s">
        <v>2686</v>
      </c>
      <c r="H108" s="52" t="s">
        <v>2788</v>
      </c>
      <c r="I108" s="52" t="s">
        <v>2537</v>
      </c>
      <c r="J108" s="636">
        <v>44192</v>
      </c>
      <c r="K108" s="52"/>
      <c r="L108" s="52"/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15887.79</v>
      </c>
      <c r="V108" s="54"/>
      <c r="W108" s="54"/>
      <c r="X108" s="54"/>
      <c r="Y108" s="54">
        <f t="shared" si="4"/>
        <v>15887.79</v>
      </c>
      <c r="Z108" s="52">
        <v>1000</v>
      </c>
      <c r="AA108" s="52">
        <v>8</v>
      </c>
      <c r="AB108" s="637">
        <v>44252</v>
      </c>
      <c r="AC108" s="637">
        <v>44292</v>
      </c>
      <c r="AD108" s="52">
        <v>-1000</v>
      </c>
      <c r="AE108" s="52">
        <v>39</v>
      </c>
      <c r="AF108" s="637">
        <v>44358</v>
      </c>
      <c r="AG108" s="637">
        <v>44364</v>
      </c>
      <c r="AH108" s="52"/>
      <c r="AI108" s="52"/>
      <c r="AJ108" s="637"/>
      <c r="AK108" s="637"/>
      <c r="AL108" s="52"/>
      <c r="AM108" s="52"/>
      <c r="AN108" s="637"/>
      <c r="AO108" s="637"/>
      <c r="AP108" s="52"/>
      <c r="AQ108" s="52"/>
      <c r="AR108" s="637"/>
      <c r="AS108" s="637"/>
      <c r="AT108" s="52"/>
      <c r="AU108" s="52"/>
      <c r="AV108" s="637"/>
      <c r="AW108" s="637"/>
      <c r="AX108" s="52"/>
      <c r="AY108" s="52"/>
      <c r="AZ108" s="637"/>
      <c r="BA108" s="637"/>
      <c r="BB108" s="52"/>
      <c r="BC108" s="52"/>
      <c r="BD108" s="637"/>
      <c r="BE108" s="637"/>
      <c r="BF108" s="137">
        <f t="shared" si="5"/>
        <v>0</v>
      </c>
      <c r="BG108" s="43">
        <f t="shared" si="6"/>
        <v>-15887.79</v>
      </c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</row>
    <row r="109" spans="1:99" s="96" customFormat="1" ht="22.5">
      <c r="A109" s="39"/>
      <c r="B109" s="51">
        <v>94</v>
      </c>
      <c r="C109" s="51" t="s">
        <v>39</v>
      </c>
      <c r="D109" s="42">
        <v>30425724</v>
      </c>
      <c r="E109" s="52" t="s">
        <v>2822</v>
      </c>
      <c r="F109" s="52" t="s">
        <v>317</v>
      </c>
      <c r="G109" s="56" t="s">
        <v>2686</v>
      </c>
      <c r="H109" s="52" t="s">
        <v>2770</v>
      </c>
      <c r="I109" s="52" t="s">
        <v>2537</v>
      </c>
      <c r="J109" s="636">
        <v>168658</v>
      </c>
      <c r="K109" s="52"/>
      <c r="L109" s="52"/>
      <c r="M109" s="54">
        <v>13469.460999999999</v>
      </c>
      <c r="N109" s="54">
        <v>0</v>
      </c>
      <c r="O109" s="54">
        <v>146462.973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/>
      <c r="W109" s="54"/>
      <c r="X109" s="54"/>
      <c r="Y109" s="54">
        <f t="shared" si="4"/>
        <v>159932.43400000001</v>
      </c>
      <c r="Z109" s="52">
        <v>162824</v>
      </c>
      <c r="AA109" s="52">
        <v>4</v>
      </c>
      <c r="AB109" s="637">
        <v>44221</v>
      </c>
      <c r="AC109" s="637">
        <v>44280</v>
      </c>
      <c r="AD109" s="52"/>
      <c r="AE109" s="52"/>
      <c r="AF109" s="637"/>
      <c r="AG109" s="637"/>
      <c r="AH109" s="52"/>
      <c r="AI109" s="52"/>
      <c r="AJ109" s="637"/>
      <c r="AK109" s="637"/>
      <c r="AL109" s="52"/>
      <c r="AM109" s="52"/>
      <c r="AN109" s="637"/>
      <c r="AO109" s="637"/>
      <c r="AP109" s="52"/>
      <c r="AQ109" s="52"/>
      <c r="AR109" s="637"/>
      <c r="AS109" s="637"/>
      <c r="AT109" s="52"/>
      <c r="AU109" s="52"/>
      <c r="AV109" s="637"/>
      <c r="AW109" s="637"/>
      <c r="AX109" s="52"/>
      <c r="AY109" s="52"/>
      <c r="AZ109" s="637"/>
      <c r="BA109" s="637"/>
      <c r="BB109" s="52"/>
      <c r="BC109" s="52"/>
      <c r="BD109" s="637"/>
      <c r="BE109" s="637"/>
      <c r="BF109" s="137">
        <f t="shared" si="5"/>
        <v>162824</v>
      </c>
      <c r="BG109" s="43">
        <f t="shared" si="6"/>
        <v>2891.5659999999916</v>
      </c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</row>
    <row r="110" spans="1:99" s="96" customFormat="1" ht="22.5">
      <c r="A110" s="39"/>
      <c r="B110" s="51">
        <v>95</v>
      </c>
      <c r="C110" s="51" t="s">
        <v>39</v>
      </c>
      <c r="D110" s="42">
        <v>30427930</v>
      </c>
      <c r="E110" s="52" t="s">
        <v>2823</v>
      </c>
      <c r="F110" s="52" t="s">
        <v>317</v>
      </c>
      <c r="G110" s="56" t="s">
        <v>2686</v>
      </c>
      <c r="H110" s="52" t="s">
        <v>2737</v>
      </c>
      <c r="I110" s="52" t="s">
        <v>2537</v>
      </c>
      <c r="J110" s="636">
        <v>491856</v>
      </c>
      <c r="K110" s="52"/>
      <c r="L110" s="52"/>
      <c r="M110" s="54">
        <v>203498.166</v>
      </c>
      <c r="N110" s="54">
        <v>0</v>
      </c>
      <c r="O110" s="54">
        <v>195709.864</v>
      </c>
      <c r="P110" s="54">
        <v>0</v>
      </c>
      <c r="Q110" s="54">
        <v>0</v>
      </c>
      <c r="R110" s="54">
        <v>60178.074000000001</v>
      </c>
      <c r="S110" s="54">
        <v>0</v>
      </c>
      <c r="T110" s="54">
        <v>0</v>
      </c>
      <c r="U110" s="54">
        <v>0</v>
      </c>
      <c r="V110" s="54"/>
      <c r="W110" s="54"/>
      <c r="X110" s="54"/>
      <c r="Y110" s="54">
        <f t="shared" si="4"/>
        <v>459386.10400000005</v>
      </c>
      <c r="Z110" s="52">
        <v>491856</v>
      </c>
      <c r="AA110" s="52">
        <v>4</v>
      </c>
      <c r="AB110" s="637">
        <v>44221</v>
      </c>
      <c r="AC110" s="637">
        <v>44280</v>
      </c>
      <c r="AD110" s="52"/>
      <c r="AE110" s="52"/>
      <c r="AF110" s="637"/>
      <c r="AG110" s="637"/>
      <c r="AH110" s="52"/>
      <c r="AI110" s="52"/>
      <c r="AJ110" s="637"/>
      <c r="AK110" s="637"/>
      <c r="AL110" s="52"/>
      <c r="AM110" s="52"/>
      <c r="AN110" s="637"/>
      <c r="AO110" s="637"/>
      <c r="AP110" s="52"/>
      <c r="AQ110" s="52"/>
      <c r="AR110" s="637"/>
      <c r="AS110" s="637"/>
      <c r="AT110" s="52"/>
      <c r="AU110" s="52"/>
      <c r="AV110" s="637"/>
      <c r="AW110" s="637"/>
      <c r="AX110" s="52"/>
      <c r="AY110" s="52"/>
      <c r="AZ110" s="637"/>
      <c r="BA110" s="637"/>
      <c r="BB110" s="52"/>
      <c r="BC110" s="52"/>
      <c r="BD110" s="637"/>
      <c r="BE110" s="637"/>
      <c r="BF110" s="137">
        <f t="shared" si="5"/>
        <v>491856</v>
      </c>
      <c r="BG110" s="43">
        <f t="shared" si="6"/>
        <v>32469.89599999995</v>
      </c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</row>
    <row r="111" spans="1:99" s="96" customFormat="1" ht="22.5" customHeight="1">
      <c r="A111" s="39"/>
      <c r="B111" s="51">
        <v>96</v>
      </c>
      <c r="C111" s="51" t="s">
        <v>39</v>
      </c>
      <c r="D111" s="42">
        <v>30436276</v>
      </c>
      <c r="E111" s="52" t="s">
        <v>2824</v>
      </c>
      <c r="F111" s="52" t="s">
        <v>317</v>
      </c>
      <c r="G111" s="56" t="s">
        <v>2686</v>
      </c>
      <c r="H111" s="52" t="s">
        <v>2729</v>
      </c>
      <c r="I111" s="52" t="s">
        <v>2537</v>
      </c>
      <c r="J111" s="636">
        <v>445998</v>
      </c>
      <c r="K111" s="52"/>
      <c r="L111" s="52"/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/>
      <c r="W111" s="54"/>
      <c r="X111" s="54"/>
      <c r="Y111" s="54">
        <f t="shared" si="4"/>
        <v>0</v>
      </c>
      <c r="Z111" s="52">
        <v>1000</v>
      </c>
      <c r="AA111" s="52">
        <v>1</v>
      </c>
      <c r="AB111" s="637">
        <v>44207</v>
      </c>
      <c r="AC111" s="637">
        <v>44249</v>
      </c>
      <c r="AD111" s="52">
        <v>-1000</v>
      </c>
      <c r="AE111" s="52">
        <v>39</v>
      </c>
      <c r="AF111" s="637">
        <v>44358</v>
      </c>
      <c r="AG111" s="637">
        <v>44364</v>
      </c>
      <c r="AH111" s="52"/>
      <c r="AI111" s="52"/>
      <c r="AJ111" s="637"/>
      <c r="AK111" s="637"/>
      <c r="AL111" s="52"/>
      <c r="AM111" s="52"/>
      <c r="AN111" s="637"/>
      <c r="AO111" s="637"/>
      <c r="AP111" s="52"/>
      <c r="AQ111" s="52"/>
      <c r="AR111" s="637"/>
      <c r="AS111" s="637"/>
      <c r="AT111" s="52"/>
      <c r="AU111" s="52"/>
      <c r="AV111" s="637"/>
      <c r="AW111" s="637"/>
      <c r="AX111" s="52"/>
      <c r="AY111" s="52"/>
      <c r="AZ111" s="637"/>
      <c r="BA111" s="637"/>
      <c r="BB111" s="52"/>
      <c r="BC111" s="52"/>
      <c r="BD111" s="637"/>
      <c r="BE111" s="637"/>
      <c r="BF111" s="137">
        <f t="shared" si="5"/>
        <v>0</v>
      </c>
      <c r="BG111" s="43">
        <f t="shared" si="6"/>
        <v>0</v>
      </c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</row>
    <row r="112" spans="1:99" s="96" customFormat="1" ht="22.5" customHeight="1">
      <c r="A112" s="39"/>
      <c r="B112" s="51">
        <v>97</v>
      </c>
      <c r="C112" s="51" t="s">
        <v>39</v>
      </c>
      <c r="D112" s="42">
        <v>30437922</v>
      </c>
      <c r="E112" s="52" t="s">
        <v>2825</v>
      </c>
      <c r="F112" s="52" t="s">
        <v>317</v>
      </c>
      <c r="G112" s="56" t="s">
        <v>2686</v>
      </c>
      <c r="H112" s="52" t="s">
        <v>2746</v>
      </c>
      <c r="I112" s="52" t="s">
        <v>2537</v>
      </c>
      <c r="J112" s="636">
        <v>1292186</v>
      </c>
      <c r="K112" s="52"/>
      <c r="L112" s="52"/>
      <c r="M112" s="54">
        <v>995815.17500000005</v>
      </c>
      <c r="N112" s="54">
        <v>120312.77800000001</v>
      </c>
      <c r="O112" s="54">
        <v>103377.034</v>
      </c>
      <c r="P112" s="54">
        <v>37290.502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/>
      <c r="W112" s="54"/>
      <c r="X112" s="54"/>
      <c r="Y112" s="54">
        <f t="shared" si="4"/>
        <v>1256795.4890000001</v>
      </c>
      <c r="Z112" s="52">
        <v>1003000</v>
      </c>
      <c r="AA112" s="52">
        <v>4</v>
      </c>
      <c r="AB112" s="637">
        <v>44221</v>
      </c>
      <c r="AC112" s="637">
        <v>44280</v>
      </c>
      <c r="AD112" s="52">
        <v>200000</v>
      </c>
      <c r="AE112" s="52">
        <v>8</v>
      </c>
      <c r="AF112" s="637">
        <v>44252</v>
      </c>
      <c r="AG112" s="637">
        <v>44292</v>
      </c>
      <c r="AH112" s="52">
        <v>16505</v>
      </c>
      <c r="AI112" s="52">
        <v>10</v>
      </c>
      <c r="AJ112" s="637">
        <v>44286</v>
      </c>
      <c r="AK112" s="637">
        <v>44306</v>
      </c>
      <c r="AL112" s="52">
        <v>72681</v>
      </c>
      <c r="AM112" s="52">
        <v>14</v>
      </c>
      <c r="AN112" s="637">
        <v>44313</v>
      </c>
      <c r="AO112" s="637">
        <v>44322</v>
      </c>
      <c r="AP112" s="52"/>
      <c r="AQ112" s="52"/>
      <c r="AR112" s="637"/>
      <c r="AS112" s="637"/>
      <c r="AT112" s="52"/>
      <c r="AU112" s="52"/>
      <c r="AV112" s="637"/>
      <c r="AW112" s="637"/>
      <c r="AX112" s="52"/>
      <c r="AY112" s="52"/>
      <c r="AZ112" s="637"/>
      <c r="BA112" s="637"/>
      <c r="BB112" s="52"/>
      <c r="BC112" s="52"/>
      <c r="BD112" s="637"/>
      <c r="BE112" s="637"/>
      <c r="BF112" s="137">
        <f t="shared" si="5"/>
        <v>1292186</v>
      </c>
      <c r="BG112" s="43">
        <f t="shared" si="6"/>
        <v>35390.51099999994</v>
      </c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</row>
    <row r="113" spans="1:99" s="96" customFormat="1" ht="22.5" customHeight="1">
      <c r="A113" s="39"/>
      <c r="B113" s="51">
        <v>98</v>
      </c>
      <c r="C113" s="51" t="s">
        <v>39</v>
      </c>
      <c r="D113" s="42">
        <v>30438223</v>
      </c>
      <c r="E113" s="52" t="s">
        <v>2826</v>
      </c>
      <c r="F113" s="52" t="s">
        <v>317</v>
      </c>
      <c r="G113" s="56" t="s">
        <v>2686</v>
      </c>
      <c r="H113" s="52" t="s">
        <v>2720</v>
      </c>
      <c r="I113" s="52" t="s">
        <v>2537</v>
      </c>
      <c r="J113" s="636">
        <v>156954</v>
      </c>
      <c r="K113" s="52"/>
      <c r="L113" s="52"/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/>
      <c r="W113" s="54"/>
      <c r="X113" s="54"/>
      <c r="Y113" s="54">
        <f t="shared" si="4"/>
        <v>0</v>
      </c>
      <c r="Z113" s="52">
        <v>1000</v>
      </c>
      <c r="AA113" s="52">
        <v>1</v>
      </c>
      <c r="AB113" s="637">
        <v>44207</v>
      </c>
      <c r="AC113" s="637">
        <v>44249</v>
      </c>
      <c r="AD113" s="52">
        <v>-1000</v>
      </c>
      <c r="AE113" s="52">
        <v>39</v>
      </c>
      <c r="AF113" s="637">
        <v>44358</v>
      </c>
      <c r="AG113" s="637">
        <v>44364</v>
      </c>
      <c r="AH113" s="52"/>
      <c r="AI113" s="52"/>
      <c r="AJ113" s="637"/>
      <c r="AK113" s="637"/>
      <c r="AL113" s="52"/>
      <c r="AM113" s="52"/>
      <c r="AN113" s="637"/>
      <c r="AO113" s="637"/>
      <c r="AP113" s="52"/>
      <c r="AQ113" s="52"/>
      <c r="AR113" s="637"/>
      <c r="AS113" s="637"/>
      <c r="AT113" s="52"/>
      <c r="AU113" s="52"/>
      <c r="AV113" s="637"/>
      <c r="AW113" s="637"/>
      <c r="AX113" s="52"/>
      <c r="AY113" s="52"/>
      <c r="AZ113" s="637"/>
      <c r="BA113" s="637"/>
      <c r="BB113" s="52"/>
      <c r="BC113" s="52"/>
      <c r="BD113" s="637"/>
      <c r="BE113" s="637"/>
      <c r="BF113" s="137">
        <f t="shared" si="5"/>
        <v>0</v>
      </c>
      <c r="BG113" s="43">
        <f t="shared" si="6"/>
        <v>0</v>
      </c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</row>
    <row r="114" spans="1:99" s="96" customFormat="1" ht="22.5">
      <c r="A114" s="39"/>
      <c r="B114" s="51">
        <v>99</v>
      </c>
      <c r="C114" s="51" t="s">
        <v>39</v>
      </c>
      <c r="D114" s="42">
        <v>30440874</v>
      </c>
      <c r="E114" s="52" t="s">
        <v>2827</v>
      </c>
      <c r="F114" s="52" t="s">
        <v>317</v>
      </c>
      <c r="G114" s="56" t="s">
        <v>2686</v>
      </c>
      <c r="H114" s="52" t="s">
        <v>2828</v>
      </c>
      <c r="I114" s="52" t="s">
        <v>2537</v>
      </c>
      <c r="J114" s="636">
        <v>215731</v>
      </c>
      <c r="K114" s="52"/>
      <c r="L114" s="52"/>
      <c r="M114" s="54">
        <v>72917.107999999993</v>
      </c>
      <c r="N114" s="54">
        <v>38191.589999999997</v>
      </c>
      <c r="O114" s="54">
        <v>41338.296999999999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/>
      <c r="W114" s="54"/>
      <c r="X114" s="54"/>
      <c r="Y114" s="54">
        <f t="shared" si="4"/>
        <v>152446.995</v>
      </c>
      <c r="Z114" s="52">
        <v>201989</v>
      </c>
      <c r="AA114" s="52">
        <v>4</v>
      </c>
      <c r="AB114" s="637">
        <v>44221</v>
      </c>
      <c r="AC114" s="637">
        <v>44280</v>
      </c>
      <c r="AD114" s="52"/>
      <c r="AE114" s="52"/>
      <c r="AF114" s="637"/>
      <c r="AG114" s="637"/>
      <c r="AH114" s="52"/>
      <c r="AI114" s="52"/>
      <c r="AJ114" s="637"/>
      <c r="AK114" s="637"/>
      <c r="AL114" s="52"/>
      <c r="AM114" s="52"/>
      <c r="AN114" s="637"/>
      <c r="AO114" s="637"/>
      <c r="AP114" s="52"/>
      <c r="AQ114" s="52"/>
      <c r="AR114" s="637"/>
      <c r="AS114" s="637"/>
      <c r="AT114" s="52"/>
      <c r="AU114" s="52"/>
      <c r="AV114" s="637"/>
      <c r="AW114" s="637"/>
      <c r="AX114" s="52"/>
      <c r="AY114" s="52"/>
      <c r="AZ114" s="637"/>
      <c r="BA114" s="637"/>
      <c r="BB114" s="52"/>
      <c r="BC114" s="52"/>
      <c r="BD114" s="637"/>
      <c r="BE114" s="637"/>
      <c r="BF114" s="137">
        <f t="shared" si="5"/>
        <v>201989</v>
      </c>
      <c r="BG114" s="43">
        <f t="shared" si="6"/>
        <v>49542.005000000005</v>
      </c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</row>
    <row r="115" spans="1:99" s="96" customFormat="1" ht="22.5">
      <c r="A115" s="39"/>
      <c r="B115" s="51">
        <v>100</v>
      </c>
      <c r="C115" s="51" t="s">
        <v>39</v>
      </c>
      <c r="D115" s="42">
        <v>30441226</v>
      </c>
      <c r="E115" s="52" t="s">
        <v>2829</v>
      </c>
      <c r="F115" s="52" t="s">
        <v>317</v>
      </c>
      <c r="G115" s="56" t="s">
        <v>2686</v>
      </c>
      <c r="H115" s="52" t="s">
        <v>2693</v>
      </c>
      <c r="I115" s="52" t="s">
        <v>2537</v>
      </c>
      <c r="J115" s="636">
        <v>14524</v>
      </c>
      <c r="K115" s="52"/>
      <c r="L115" s="52"/>
      <c r="M115" s="54">
        <v>3717.2910000000002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/>
      <c r="W115" s="54"/>
      <c r="X115" s="54"/>
      <c r="Y115" s="54">
        <f t="shared" si="4"/>
        <v>3717.2910000000002</v>
      </c>
      <c r="Z115" s="52">
        <v>3718</v>
      </c>
      <c r="AA115" s="52">
        <v>4</v>
      </c>
      <c r="AB115" s="637">
        <v>44221</v>
      </c>
      <c r="AC115" s="637">
        <v>44280</v>
      </c>
      <c r="AD115" s="52"/>
      <c r="AE115" s="52"/>
      <c r="AF115" s="637"/>
      <c r="AG115" s="637"/>
      <c r="AH115" s="52"/>
      <c r="AI115" s="52"/>
      <c r="AJ115" s="637"/>
      <c r="AK115" s="637"/>
      <c r="AL115" s="52"/>
      <c r="AM115" s="52"/>
      <c r="AN115" s="637"/>
      <c r="AO115" s="637"/>
      <c r="AP115" s="52"/>
      <c r="AQ115" s="52"/>
      <c r="AR115" s="637"/>
      <c r="AS115" s="637"/>
      <c r="AT115" s="52"/>
      <c r="AU115" s="52"/>
      <c r="AV115" s="637"/>
      <c r="AW115" s="637"/>
      <c r="AX115" s="52"/>
      <c r="AY115" s="52"/>
      <c r="AZ115" s="637"/>
      <c r="BA115" s="637"/>
      <c r="BB115" s="52"/>
      <c r="BC115" s="52"/>
      <c r="BD115" s="637"/>
      <c r="BE115" s="637"/>
      <c r="BF115" s="137">
        <f t="shared" si="5"/>
        <v>3718</v>
      </c>
      <c r="BG115" s="43">
        <f t="shared" si="6"/>
        <v>0.70899999999983265</v>
      </c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</row>
    <row r="116" spans="1:99" s="96" customFormat="1" ht="22.5" customHeight="1">
      <c r="A116" s="39"/>
      <c r="B116" s="51">
        <v>101</v>
      </c>
      <c r="C116" s="51" t="s">
        <v>39</v>
      </c>
      <c r="D116" s="42">
        <v>30442022</v>
      </c>
      <c r="E116" s="52" t="s">
        <v>2830</v>
      </c>
      <c r="F116" s="52" t="s">
        <v>317</v>
      </c>
      <c r="G116" s="56" t="s">
        <v>2686</v>
      </c>
      <c r="H116" s="52" t="s">
        <v>2828</v>
      </c>
      <c r="I116" s="52" t="s">
        <v>2537</v>
      </c>
      <c r="J116" s="636">
        <v>35924</v>
      </c>
      <c r="K116" s="52"/>
      <c r="L116" s="52"/>
      <c r="M116" s="54">
        <v>0</v>
      </c>
      <c r="N116" s="54">
        <v>0</v>
      </c>
      <c r="O116" s="54">
        <v>24775.8</v>
      </c>
      <c r="P116" s="54">
        <v>0</v>
      </c>
      <c r="Q116" s="54">
        <v>2287.701</v>
      </c>
      <c r="R116" s="54">
        <v>0</v>
      </c>
      <c r="S116" s="54">
        <v>0</v>
      </c>
      <c r="T116" s="54">
        <v>0</v>
      </c>
      <c r="U116" s="54">
        <v>0</v>
      </c>
      <c r="V116" s="54"/>
      <c r="W116" s="54"/>
      <c r="X116" s="54"/>
      <c r="Y116" s="54">
        <f t="shared" si="4"/>
        <v>27063.501</v>
      </c>
      <c r="Z116" s="52">
        <v>1000</v>
      </c>
      <c r="AA116" s="52">
        <v>8</v>
      </c>
      <c r="AB116" s="637">
        <v>44252</v>
      </c>
      <c r="AC116" s="637">
        <v>44292</v>
      </c>
      <c r="AD116" s="52">
        <v>24775</v>
      </c>
      <c r="AE116" s="52">
        <v>10</v>
      </c>
      <c r="AF116" s="637">
        <v>44286</v>
      </c>
      <c r="AG116" s="637">
        <v>44306</v>
      </c>
      <c r="AH116" s="52">
        <v>2288</v>
      </c>
      <c r="AI116" s="52">
        <v>23</v>
      </c>
      <c r="AJ116" s="637">
        <v>44340</v>
      </c>
      <c r="AK116" s="637">
        <v>44350</v>
      </c>
      <c r="AL116" s="52">
        <v>-1000</v>
      </c>
      <c r="AM116" s="52">
        <v>39</v>
      </c>
      <c r="AN116" s="637">
        <v>44358</v>
      </c>
      <c r="AO116" s="637">
        <v>44364</v>
      </c>
      <c r="AP116" s="52"/>
      <c r="AQ116" s="52"/>
      <c r="AR116" s="637"/>
      <c r="AS116" s="637"/>
      <c r="AT116" s="52"/>
      <c r="AU116" s="52"/>
      <c r="AV116" s="637"/>
      <c r="AW116" s="637"/>
      <c r="AX116" s="52"/>
      <c r="AY116" s="52"/>
      <c r="AZ116" s="637"/>
      <c r="BA116" s="637"/>
      <c r="BB116" s="52"/>
      <c r="BC116" s="52"/>
      <c r="BD116" s="637"/>
      <c r="BE116" s="637"/>
      <c r="BF116" s="137">
        <f t="shared" si="5"/>
        <v>27063</v>
      </c>
      <c r="BG116" s="43">
        <f t="shared" si="6"/>
        <v>-0.50100000000020373</v>
      </c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</row>
    <row r="117" spans="1:99" s="96" customFormat="1" ht="22.5">
      <c r="A117" s="39"/>
      <c r="B117" s="51">
        <v>102</v>
      </c>
      <c r="C117" s="51" t="s">
        <v>39</v>
      </c>
      <c r="D117" s="42">
        <v>30442622</v>
      </c>
      <c r="E117" s="52" t="s">
        <v>2831</v>
      </c>
      <c r="F117" s="52" t="s">
        <v>317</v>
      </c>
      <c r="G117" s="56" t="s">
        <v>2686</v>
      </c>
      <c r="H117" s="52" t="s">
        <v>2832</v>
      </c>
      <c r="I117" s="52" t="s">
        <v>2537</v>
      </c>
      <c r="J117" s="636">
        <v>28889</v>
      </c>
      <c r="K117" s="52"/>
      <c r="L117" s="52"/>
      <c r="M117" s="54">
        <v>28889.828000000001</v>
      </c>
      <c r="N117" s="54">
        <v>0</v>
      </c>
      <c r="O117" s="54">
        <v>1E-3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/>
      <c r="W117" s="54"/>
      <c r="X117" s="54"/>
      <c r="Y117" s="54">
        <f t="shared" si="4"/>
        <v>28889.829000000002</v>
      </c>
      <c r="Z117" s="52">
        <v>28889</v>
      </c>
      <c r="AA117" s="52">
        <v>4</v>
      </c>
      <c r="AB117" s="637">
        <v>44221</v>
      </c>
      <c r="AC117" s="637">
        <v>44280</v>
      </c>
      <c r="AD117" s="52"/>
      <c r="AE117" s="52"/>
      <c r="AF117" s="637"/>
      <c r="AG117" s="637"/>
      <c r="AH117" s="52"/>
      <c r="AI117" s="52"/>
      <c r="AJ117" s="637"/>
      <c r="AK117" s="637"/>
      <c r="AL117" s="52"/>
      <c r="AM117" s="52"/>
      <c r="AN117" s="637"/>
      <c r="AO117" s="637"/>
      <c r="AP117" s="52"/>
      <c r="AQ117" s="52"/>
      <c r="AR117" s="637"/>
      <c r="AS117" s="637"/>
      <c r="AT117" s="52"/>
      <c r="AU117" s="52"/>
      <c r="AV117" s="637"/>
      <c r="AW117" s="637"/>
      <c r="AX117" s="52"/>
      <c r="AY117" s="52"/>
      <c r="AZ117" s="637"/>
      <c r="BA117" s="637"/>
      <c r="BB117" s="52"/>
      <c r="BC117" s="52"/>
      <c r="BD117" s="637"/>
      <c r="BE117" s="637"/>
      <c r="BF117" s="137">
        <f t="shared" si="5"/>
        <v>28889</v>
      </c>
      <c r="BG117" s="43">
        <f t="shared" si="6"/>
        <v>-0.8290000000015425</v>
      </c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</row>
    <row r="118" spans="1:99" s="96" customFormat="1" ht="22.5" customHeight="1">
      <c r="A118" s="39"/>
      <c r="B118" s="51">
        <v>103</v>
      </c>
      <c r="C118" s="51" t="s">
        <v>39</v>
      </c>
      <c r="D118" s="42">
        <v>30442824</v>
      </c>
      <c r="E118" s="52" t="s">
        <v>2833</v>
      </c>
      <c r="F118" s="52" t="s">
        <v>317</v>
      </c>
      <c r="G118" s="56" t="s">
        <v>2686</v>
      </c>
      <c r="H118" s="52" t="s">
        <v>2834</v>
      </c>
      <c r="I118" s="52" t="s">
        <v>2537</v>
      </c>
      <c r="J118" s="636">
        <v>265098</v>
      </c>
      <c r="K118" s="52"/>
      <c r="L118" s="52"/>
      <c r="M118" s="54">
        <v>167501.55799999999</v>
      </c>
      <c r="N118" s="54">
        <v>1500</v>
      </c>
      <c r="O118" s="54">
        <v>33154.370000000003</v>
      </c>
      <c r="P118" s="54">
        <v>16545.647000000001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/>
      <c r="W118" s="54"/>
      <c r="X118" s="54"/>
      <c r="Y118" s="54">
        <f t="shared" si="4"/>
        <v>218701.57499999998</v>
      </c>
      <c r="Z118" s="52">
        <v>1500</v>
      </c>
      <c r="AA118" s="52">
        <v>1</v>
      </c>
      <c r="AB118" s="637">
        <v>44207</v>
      </c>
      <c r="AC118" s="637">
        <v>44249</v>
      </c>
      <c r="AD118" s="52">
        <v>203618</v>
      </c>
      <c r="AE118" s="52">
        <v>4</v>
      </c>
      <c r="AF118" s="637">
        <v>44221</v>
      </c>
      <c r="AG118" s="637">
        <v>44280</v>
      </c>
      <c r="AH118" s="52">
        <v>3000</v>
      </c>
      <c r="AI118" s="52">
        <v>8</v>
      </c>
      <c r="AJ118" s="637">
        <v>44252</v>
      </c>
      <c r="AK118" s="637">
        <v>44292</v>
      </c>
      <c r="AL118" s="52">
        <v>16546</v>
      </c>
      <c r="AM118" s="52">
        <v>14</v>
      </c>
      <c r="AN118" s="637">
        <v>44313</v>
      </c>
      <c r="AO118" s="637">
        <v>44322</v>
      </c>
      <c r="AP118" s="52"/>
      <c r="AQ118" s="52"/>
      <c r="AR118" s="637"/>
      <c r="AS118" s="637"/>
      <c r="AT118" s="52"/>
      <c r="AU118" s="52"/>
      <c r="AV118" s="637"/>
      <c r="AW118" s="637"/>
      <c r="AX118" s="52"/>
      <c r="AY118" s="52"/>
      <c r="AZ118" s="637"/>
      <c r="BA118" s="637"/>
      <c r="BB118" s="52"/>
      <c r="BC118" s="52"/>
      <c r="BD118" s="637"/>
      <c r="BE118" s="637"/>
      <c r="BF118" s="137">
        <f t="shared" si="5"/>
        <v>224664</v>
      </c>
      <c r="BG118" s="43">
        <f t="shared" si="6"/>
        <v>5962.4250000000175</v>
      </c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</row>
    <row r="119" spans="1:99" s="96" customFormat="1" ht="22.5" customHeight="1">
      <c r="A119" s="39"/>
      <c r="B119" s="51">
        <v>104</v>
      </c>
      <c r="C119" s="51" t="s">
        <v>39</v>
      </c>
      <c r="D119" s="42">
        <v>30442825</v>
      </c>
      <c r="E119" s="52" t="s">
        <v>2835</v>
      </c>
      <c r="F119" s="52" t="s">
        <v>317</v>
      </c>
      <c r="G119" s="56" t="s">
        <v>2686</v>
      </c>
      <c r="H119" s="52" t="s">
        <v>2834</v>
      </c>
      <c r="I119" s="52" t="s">
        <v>2537</v>
      </c>
      <c r="J119" s="636">
        <v>416979</v>
      </c>
      <c r="K119" s="52"/>
      <c r="L119" s="52"/>
      <c r="M119" s="54">
        <v>131671.087</v>
      </c>
      <c r="N119" s="54">
        <v>146248.117</v>
      </c>
      <c r="O119" s="54">
        <v>105149.88499999999</v>
      </c>
      <c r="P119" s="54">
        <v>0</v>
      </c>
      <c r="Q119" s="54">
        <v>37722.946000000004</v>
      </c>
      <c r="R119" s="54">
        <v>24026.65</v>
      </c>
      <c r="S119" s="54">
        <v>0</v>
      </c>
      <c r="T119" s="54">
        <v>0</v>
      </c>
      <c r="U119" s="54">
        <v>0</v>
      </c>
      <c r="V119" s="54"/>
      <c r="W119" s="54"/>
      <c r="X119" s="54"/>
      <c r="Y119" s="54">
        <f t="shared" si="4"/>
        <v>444818.68500000006</v>
      </c>
      <c r="Z119" s="52">
        <v>3000</v>
      </c>
      <c r="AA119" s="52">
        <v>1</v>
      </c>
      <c r="AB119" s="637">
        <v>44207</v>
      </c>
      <c r="AC119" s="637">
        <v>44249</v>
      </c>
      <c r="AD119" s="52">
        <v>300000</v>
      </c>
      <c r="AE119" s="52">
        <v>4</v>
      </c>
      <c r="AF119" s="637">
        <v>44221</v>
      </c>
      <c r="AG119" s="637">
        <v>44280</v>
      </c>
      <c r="AH119" s="52">
        <v>110000</v>
      </c>
      <c r="AI119" s="52">
        <v>8</v>
      </c>
      <c r="AJ119" s="637">
        <v>44252</v>
      </c>
      <c r="AK119" s="637">
        <v>44292</v>
      </c>
      <c r="AL119" s="52">
        <v>20000</v>
      </c>
      <c r="AM119" s="52">
        <v>18</v>
      </c>
      <c r="AN119" s="637">
        <v>44327</v>
      </c>
      <c r="AO119" s="637">
        <v>44341</v>
      </c>
      <c r="AP119" s="52">
        <v>13861</v>
      </c>
      <c r="AQ119" s="52">
        <v>26</v>
      </c>
      <c r="AR119" s="637">
        <v>44358</v>
      </c>
      <c r="AS119" s="637">
        <v>44364</v>
      </c>
      <c r="AT119" s="52"/>
      <c r="AU119" s="52"/>
      <c r="AV119" s="637"/>
      <c r="AW119" s="637"/>
      <c r="AX119" s="52"/>
      <c r="AY119" s="52"/>
      <c r="AZ119" s="637"/>
      <c r="BA119" s="637"/>
      <c r="BB119" s="52"/>
      <c r="BC119" s="52"/>
      <c r="BD119" s="637"/>
      <c r="BE119" s="637"/>
      <c r="BF119" s="137">
        <f t="shared" si="5"/>
        <v>446861</v>
      </c>
      <c r="BG119" s="43">
        <f t="shared" si="6"/>
        <v>2042.3149999999441</v>
      </c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</row>
    <row r="120" spans="1:99" s="96" customFormat="1" ht="22.5">
      <c r="A120" s="39"/>
      <c r="B120" s="51">
        <v>105</v>
      </c>
      <c r="C120" s="51" t="s">
        <v>39</v>
      </c>
      <c r="D120" s="42">
        <v>30442826</v>
      </c>
      <c r="E120" s="52" t="s">
        <v>2836</v>
      </c>
      <c r="F120" s="52" t="s">
        <v>317</v>
      </c>
      <c r="G120" s="56" t="s">
        <v>2686</v>
      </c>
      <c r="H120" s="52" t="s">
        <v>2834</v>
      </c>
      <c r="I120" s="52" t="s">
        <v>2537</v>
      </c>
      <c r="J120" s="636">
        <v>5858</v>
      </c>
      <c r="K120" s="52"/>
      <c r="L120" s="52"/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/>
      <c r="W120" s="54"/>
      <c r="X120" s="54"/>
      <c r="Y120" s="54">
        <f t="shared" si="4"/>
        <v>0</v>
      </c>
      <c r="Z120" s="52">
        <v>5858</v>
      </c>
      <c r="AA120" s="52">
        <v>8</v>
      </c>
      <c r="AB120" s="637">
        <v>44252</v>
      </c>
      <c r="AC120" s="637">
        <v>44292</v>
      </c>
      <c r="AD120" s="52"/>
      <c r="AE120" s="52"/>
      <c r="AF120" s="637"/>
      <c r="AG120" s="637"/>
      <c r="AH120" s="52"/>
      <c r="AI120" s="52"/>
      <c r="AJ120" s="637"/>
      <c r="AK120" s="637"/>
      <c r="AL120" s="52"/>
      <c r="AM120" s="52"/>
      <c r="AN120" s="637"/>
      <c r="AO120" s="637"/>
      <c r="AP120" s="52"/>
      <c r="AQ120" s="52"/>
      <c r="AR120" s="637"/>
      <c r="AS120" s="637"/>
      <c r="AT120" s="52"/>
      <c r="AU120" s="52"/>
      <c r="AV120" s="637"/>
      <c r="AW120" s="637"/>
      <c r="AX120" s="52"/>
      <c r="AY120" s="52"/>
      <c r="AZ120" s="637"/>
      <c r="BA120" s="637"/>
      <c r="BB120" s="52"/>
      <c r="BC120" s="52"/>
      <c r="BD120" s="637"/>
      <c r="BE120" s="637"/>
      <c r="BF120" s="137">
        <f t="shared" si="5"/>
        <v>5858</v>
      </c>
      <c r="BG120" s="43">
        <f t="shared" si="6"/>
        <v>5858</v>
      </c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</row>
    <row r="121" spans="1:99" s="96" customFormat="1" ht="22.5" customHeight="1">
      <c r="A121" s="39"/>
      <c r="B121" s="51">
        <v>106</v>
      </c>
      <c r="C121" s="51" t="s">
        <v>131</v>
      </c>
      <c r="D121" s="42">
        <v>30442829</v>
      </c>
      <c r="E121" s="52" t="s">
        <v>2837</v>
      </c>
      <c r="F121" s="52" t="s">
        <v>317</v>
      </c>
      <c r="G121" s="56" t="s">
        <v>2686</v>
      </c>
      <c r="H121" s="52" t="s">
        <v>2834</v>
      </c>
      <c r="I121" s="52" t="s">
        <v>2537</v>
      </c>
      <c r="J121" s="636">
        <v>71846</v>
      </c>
      <c r="K121" s="52"/>
      <c r="L121" s="52"/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6384.4219999999996</v>
      </c>
      <c r="U121" s="54">
        <v>0</v>
      </c>
      <c r="V121" s="54"/>
      <c r="W121" s="54"/>
      <c r="X121" s="54"/>
      <c r="Y121" s="54">
        <f t="shared" si="4"/>
        <v>6384.4219999999996</v>
      </c>
      <c r="Z121" s="52">
        <v>1000</v>
      </c>
      <c r="AA121" s="52">
        <v>8</v>
      </c>
      <c r="AB121" s="637">
        <v>44252</v>
      </c>
      <c r="AC121" s="637">
        <v>44292</v>
      </c>
      <c r="AD121" s="52">
        <v>-1000</v>
      </c>
      <c r="AE121" s="52">
        <v>39</v>
      </c>
      <c r="AF121" s="637">
        <v>44358</v>
      </c>
      <c r="AG121" s="637">
        <v>44364</v>
      </c>
      <c r="AH121" s="52"/>
      <c r="AI121" s="52"/>
      <c r="AJ121" s="637"/>
      <c r="AK121" s="637"/>
      <c r="AL121" s="52"/>
      <c r="AM121" s="52"/>
      <c r="AN121" s="637"/>
      <c r="AO121" s="637"/>
      <c r="AP121" s="52"/>
      <c r="AQ121" s="52"/>
      <c r="AR121" s="637"/>
      <c r="AS121" s="637"/>
      <c r="AT121" s="52"/>
      <c r="AU121" s="52"/>
      <c r="AV121" s="637"/>
      <c r="AW121" s="637"/>
      <c r="AX121" s="52"/>
      <c r="AY121" s="52"/>
      <c r="AZ121" s="637"/>
      <c r="BA121" s="637"/>
      <c r="BB121" s="52"/>
      <c r="BC121" s="52"/>
      <c r="BD121" s="637"/>
      <c r="BE121" s="637"/>
      <c r="BF121" s="137">
        <f t="shared" si="5"/>
        <v>0</v>
      </c>
      <c r="BG121" s="43">
        <f t="shared" si="6"/>
        <v>-6384.4219999999996</v>
      </c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</row>
    <row r="122" spans="1:99" s="96" customFormat="1" ht="22.5" customHeight="1">
      <c r="A122" s="39"/>
      <c r="B122" s="51">
        <v>107</v>
      </c>
      <c r="C122" s="51" t="s">
        <v>39</v>
      </c>
      <c r="D122" s="42">
        <v>30448824</v>
      </c>
      <c r="E122" s="52" t="s">
        <v>2838</v>
      </c>
      <c r="F122" s="52" t="s">
        <v>317</v>
      </c>
      <c r="G122" s="56" t="s">
        <v>2686</v>
      </c>
      <c r="H122" s="52" t="s">
        <v>2788</v>
      </c>
      <c r="I122" s="52" t="s">
        <v>2537</v>
      </c>
      <c r="J122" s="636">
        <v>103643</v>
      </c>
      <c r="K122" s="52"/>
      <c r="L122" s="52"/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/>
      <c r="W122" s="54"/>
      <c r="X122" s="54"/>
      <c r="Y122" s="54">
        <f t="shared" si="4"/>
        <v>0</v>
      </c>
      <c r="Z122" s="52">
        <v>1000</v>
      </c>
      <c r="AA122" s="52">
        <v>8</v>
      </c>
      <c r="AB122" s="637">
        <v>44252</v>
      </c>
      <c r="AC122" s="637">
        <v>44292</v>
      </c>
      <c r="AD122" s="52">
        <v>-1000</v>
      </c>
      <c r="AE122" s="52">
        <v>39</v>
      </c>
      <c r="AF122" s="637">
        <v>44358</v>
      </c>
      <c r="AG122" s="637">
        <v>44364</v>
      </c>
      <c r="AH122" s="52"/>
      <c r="AI122" s="52"/>
      <c r="AJ122" s="637"/>
      <c r="AK122" s="637"/>
      <c r="AL122" s="52"/>
      <c r="AM122" s="52"/>
      <c r="AN122" s="637"/>
      <c r="AO122" s="637"/>
      <c r="AP122" s="52"/>
      <c r="AQ122" s="52"/>
      <c r="AR122" s="637"/>
      <c r="AS122" s="637"/>
      <c r="AT122" s="52"/>
      <c r="AU122" s="52"/>
      <c r="AV122" s="637"/>
      <c r="AW122" s="637"/>
      <c r="AX122" s="52"/>
      <c r="AY122" s="52"/>
      <c r="AZ122" s="637"/>
      <c r="BA122" s="637"/>
      <c r="BB122" s="52"/>
      <c r="BC122" s="52"/>
      <c r="BD122" s="637"/>
      <c r="BE122" s="637"/>
      <c r="BF122" s="137">
        <f t="shared" si="5"/>
        <v>0</v>
      </c>
      <c r="BG122" s="43">
        <f t="shared" si="6"/>
        <v>0</v>
      </c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</row>
    <row r="123" spans="1:99" s="96" customFormat="1" ht="22.5" customHeight="1">
      <c r="A123" s="39"/>
      <c r="B123" s="51">
        <v>108</v>
      </c>
      <c r="C123" s="51" t="s">
        <v>39</v>
      </c>
      <c r="D123" s="42">
        <v>30450573</v>
      </c>
      <c r="E123" s="52" t="s">
        <v>2839</v>
      </c>
      <c r="F123" s="52" t="s">
        <v>47</v>
      </c>
      <c r="G123" s="56" t="s">
        <v>2686</v>
      </c>
      <c r="H123" s="52" t="s">
        <v>2828</v>
      </c>
      <c r="I123" s="52" t="s">
        <v>2537</v>
      </c>
      <c r="J123" s="636">
        <v>7671</v>
      </c>
      <c r="K123" s="52"/>
      <c r="L123" s="52"/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/>
      <c r="W123" s="54"/>
      <c r="X123" s="54"/>
      <c r="Y123" s="54">
        <f t="shared" si="4"/>
        <v>0</v>
      </c>
      <c r="Z123" s="52">
        <v>1000</v>
      </c>
      <c r="AA123" s="52">
        <v>8</v>
      </c>
      <c r="AB123" s="637">
        <v>44252</v>
      </c>
      <c r="AC123" s="637">
        <v>44292</v>
      </c>
      <c r="AD123" s="52">
        <v>-1000</v>
      </c>
      <c r="AE123" s="52">
        <v>39</v>
      </c>
      <c r="AF123" s="637">
        <v>44358</v>
      </c>
      <c r="AG123" s="637">
        <v>44364</v>
      </c>
      <c r="AH123" s="52"/>
      <c r="AI123" s="52"/>
      <c r="AJ123" s="637"/>
      <c r="AK123" s="637"/>
      <c r="AL123" s="52"/>
      <c r="AM123" s="52"/>
      <c r="AN123" s="637"/>
      <c r="AO123" s="637"/>
      <c r="AP123" s="52"/>
      <c r="AQ123" s="52"/>
      <c r="AR123" s="637"/>
      <c r="AS123" s="637"/>
      <c r="AT123" s="52"/>
      <c r="AU123" s="52"/>
      <c r="AV123" s="637"/>
      <c r="AW123" s="637"/>
      <c r="AX123" s="52"/>
      <c r="AY123" s="52"/>
      <c r="AZ123" s="637"/>
      <c r="BA123" s="637"/>
      <c r="BB123" s="52"/>
      <c r="BC123" s="52"/>
      <c r="BD123" s="637"/>
      <c r="BE123" s="637"/>
      <c r="BF123" s="137">
        <f t="shared" si="5"/>
        <v>0</v>
      </c>
      <c r="BG123" s="43">
        <f t="shared" si="6"/>
        <v>0</v>
      </c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</row>
    <row r="124" spans="1:99" s="96" customFormat="1" ht="22.5" customHeight="1">
      <c r="A124" s="39"/>
      <c r="B124" s="51">
        <v>109</v>
      </c>
      <c r="C124" s="51" t="s">
        <v>131</v>
      </c>
      <c r="D124" s="42">
        <v>30452677</v>
      </c>
      <c r="E124" s="52" t="s">
        <v>2840</v>
      </c>
      <c r="F124" s="52" t="s">
        <v>317</v>
      </c>
      <c r="G124" s="56" t="s">
        <v>2686</v>
      </c>
      <c r="H124" s="52" t="s">
        <v>2746</v>
      </c>
      <c r="I124" s="52" t="s">
        <v>2537</v>
      </c>
      <c r="J124" s="636">
        <v>207783</v>
      </c>
      <c r="K124" s="52"/>
      <c r="L124" s="52"/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79600</v>
      </c>
      <c r="T124" s="54">
        <v>0</v>
      </c>
      <c r="U124" s="54">
        <v>0</v>
      </c>
      <c r="V124" s="54"/>
      <c r="W124" s="54"/>
      <c r="X124" s="54"/>
      <c r="Y124" s="54">
        <f t="shared" si="4"/>
        <v>79600</v>
      </c>
      <c r="Z124" s="52">
        <v>1000</v>
      </c>
      <c r="AA124" s="52">
        <v>1</v>
      </c>
      <c r="AB124" s="637">
        <v>44207</v>
      </c>
      <c r="AC124" s="637">
        <v>44249</v>
      </c>
      <c r="AD124" s="52">
        <v>150000</v>
      </c>
      <c r="AE124" s="52">
        <v>38</v>
      </c>
      <c r="AF124" s="637">
        <v>44358</v>
      </c>
      <c r="AG124" s="637">
        <v>44364</v>
      </c>
      <c r="AH124" s="52"/>
      <c r="AI124" s="52"/>
      <c r="AJ124" s="637"/>
      <c r="AK124" s="637"/>
      <c r="AL124" s="52"/>
      <c r="AM124" s="52"/>
      <c r="AN124" s="637"/>
      <c r="AO124" s="637"/>
      <c r="AP124" s="52"/>
      <c r="AQ124" s="52"/>
      <c r="AR124" s="637"/>
      <c r="AS124" s="637"/>
      <c r="AT124" s="52"/>
      <c r="AU124" s="52"/>
      <c r="AV124" s="637"/>
      <c r="AW124" s="637"/>
      <c r="AX124" s="52"/>
      <c r="AY124" s="52"/>
      <c r="AZ124" s="637"/>
      <c r="BA124" s="637"/>
      <c r="BB124" s="52"/>
      <c r="BC124" s="52"/>
      <c r="BD124" s="637"/>
      <c r="BE124" s="637"/>
      <c r="BF124" s="137">
        <f t="shared" si="5"/>
        <v>151000</v>
      </c>
      <c r="BG124" s="43">
        <f t="shared" si="6"/>
        <v>71400</v>
      </c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</row>
    <row r="125" spans="1:99" s="96" customFormat="1" ht="45" customHeight="1">
      <c r="A125" s="39"/>
      <c r="B125" s="51">
        <v>110</v>
      </c>
      <c r="C125" s="51" t="s">
        <v>39</v>
      </c>
      <c r="D125" s="42">
        <v>30453028</v>
      </c>
      <c r="E125" s="52" t="s">
        <v>2841</v>
      </c>
      <c r="F125" s="52" t="s">
        <v>47</v>
      </c>
      <c r="G125" s="56" t="s">
        <v>2686</v>
      </c>
      <c r="H125" s="52" t="s">
        <v>2701</v>
      </c>
      <c r="I125" s="52" t="s">
        <v>2537</v>
      </c>
      <c r="J125" s="636">
        <v>74319</v>
      </c>
      <c r="K125" s="52"/>
      <c r="L125" s="52"/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/>
      <c r="W125" s="54"/>
      <c r="X125" s="54"/>
      <c r="Y125" s="54">
        <f t="shared" si="4"/>
        <v>0</v>
      </c>
      <c r="Z125" s="52">
        <v>1000</v>
      </c>
      <c r="AA125" s="52">
        <v>8</v>
      </c>
      <c r="AB125" s="637">
        <v>44252</v>
      </c>
      <c r="AC125" s="637">
        <v>44292</v>
      </c>
      <c r="AD125" s="52">
        <v>-1000</v>
      </c>
      <c r="AE125" s="52">
        <v>39</v>
      </c>
      <c r="AF125" s="637">
        <v>44358</v>
      </c>
      <c r="AG125" s="637">
        <v>44364</v>
      </c>
      <c r="AH125" s="52"/>
      <c r="AI125" s="52"/>
      <c r="AJ125" s="637"/>
      <c r="AK125" s="637"/>
      <c r="AL125" s="52"/>
      <c r="AM125" s="52"/>
      <c r="AN125" s="637"/>
      <c r="AO125" s="637"/>
      <c r="AP125" s="52"/>
      <c r="AQ125" s="52"/>
      <c r="AR125" s="637"/>
      <c r="AS125" s="637"/>
      <c r="AT125" s="52"/>
      <c r="AU125" s="52"/>
      <c r="AV125" s="637"/>
      <c r="AW125" s="637"/>
      <c r="AX125" s="52"/>
      <c r="AY125" s="52"/>
      <c r="AZ125" s="637"/>
      <c r="BA125" s="637"/>
      <c r="BB125" s="52"/>
      <c r="BC125" s="52"/>
      <c r="BD125" s="637"/>
      <c r="BE125" s="637"/>
      <c r="BF125" s="137">
        <f t="shared" si="5"/>
        <v>0</v>
      </c>
      <c r="BG125" s="43">
        <f t="shared" si="6"/>
        <v>0</v>
      </c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</row>
    <row r="126" spans="1:99" s="96" customFormat="1" ht="22.5" customHeight="1">
      <c r="A126" s="39"/>
      <c r="B126" s="51">
        <v>111</v>
      </c>
      <c r="C126" s="51" t="s">
        <v>39</v>
      </c>
      <c r="D126" s="42">
        <v>30453924</v>
      </c>
      <c r="E126" s="52" t="s">
        <v>2842</v>
      </c>
      <c r="F126" s="52" t="s">
        <v>317</v>
      </c>
      <c r="G126" s="56" t="s">
        <v>2686</v>
      </c>
      <c r="H126" s="52" t="s">
        <v>2709</v>
      </c>
      <c r="I126" s="52" t="s">
        <v>2537</v>
      </c>
      <c r="J126" s="636">
        <v>4507751</v>
      </c>
      <c r="K126" s="52"/>
      <c r="L126" s="52"/>
      <c r="M126" s="54">
        <v>126568.253</v>
      </c>
      <c r="N126" s="54">
        <v>0</v>
      </c>
      <c r="O126" s="54">
        <v>96633.192999999999</v>
      </c>
      <c r="P126" s="54">
        <v>36692.678999999996</v>
      </c>
      <c r="Q126" s="54">
        <v>9000</v>
      </c>
      <c r="R126" s="54">
        <v>170606.658</v>
      </c>
      <c r="S126" s="54">
        <v>4500</v>
      </c>
      <c r="T126" s="54">
        <v>68560.634000000005</v>
      </c>
      <c r="U126" s="54">
        <v>0</v>
      </c>
      <c r="V126" s="54"/>
      <c r="W126" s="54"/>
      <c r="X126" s="54"/>
      <c r="Y126" s="54">
        <f t="shared" si="4"/>
        <v>512561.41700000002</v>
      </c>
      <c r="Z126" s="52">
        <v>430000</v>
      </c>
      <c r="AA126" s="52">
        <v>4</v>
      </c>
      <c r="AB126" s="637">
        <v>44221</v>
      </c>
      <c r="AC126" s="637">
        <v>44280</v>
      </c>
      <c r="AD126" s="52">
        <v>11899</v>
      </c>
      <c r="AE126" s="52">
        <v>23</v>
      </c>
      <c r="AF126" s="637">
        <v>44340</v>
      </c>
      <c r="AG126" s="637">
        <v>44350</v>
      </c>
      <c r="AH126" s="52">
        <v>200000</v>
      </c>
      <c r="AI126" s="52">
        <v>26</v>
      </c>
      <c r="AJ126" s="637">
        <v>44358</v>
      </c>
      <c r="AK126" s="637">
        <v>44364</v>
      </c>
      <c r="AL126" s="52">
        <v>-196499</v>
      </c>
      <c r="AM126" s="52">
        <v>38</v>
      </c>
      <c r="AN126" s="637">
        <v>44358</v>
      </c>
      <c r="AO126" s="637">
        <v>44364</v>
      </c>
      <c r="AP126" s="52"/>
      <c r="AQ126" s="52"/>
      <c r="AR126" s="637"/>
      <c r="AS126" s="637"/>
      <c r="AT126" s="52"/>
      <c r="AU126" s="52"/>
      <c r="AV126" s="637"/>
      <c r="AW126" s="637"/>
      <c r="AX126" s="52"/>
      <c r="AY126" s="52"/>
      <c r="AZ126" s="637"/>
      <c r="BA126" s="637"/>
      <c r="BB126" s="52"/>
      <c r="BC126" s="52"/>
      <c r="BD126" s="637"/>
      <c r="BE126" s="637"/>
      <c r="BF126" s="137">
        <f t="shared" si="5"/>
        <v>445400</v>
      </c>
      <c r="BG126" s="43">
        <f t="shared" si="6"/>
        <v>-67161.417000000016</v>
      </c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</row>
    <row r="127" spans="1:99" s="96" customFormat="1" ht="22.5" customHeight="1">
      <c r="A127" s="39"/>
      <c r="B127" s="51">
        <v>112</v>
      </c>
      <c r="C127" s="51" t="s">
        <v>39</v>
      </c>
      <c r="D127" s="42">
        <v>30455673</v>
      </c>
      <c r="E127" s="52" t="s">
        <v>2843</v>
      </c>
      <c r="F127" s="52" t="s">
        <v>317</v>
      </c>
      <c r="G127" s="56" t="s">
        <v>2686</v>
      </c>
      <c r="H127" s="52" t="s">
        <v>2770</v>
      </c>
      <c r="I127" s="52" t="s">
        <v>2537</v>
      </c>
      <c r="J127" s="636">
        <v>482988</v>
      </c>
      <c r="K127" s="52"/>
      <c r="L127" s="52"/>
      <c r="M127" s="54">
        <v>0</v>
      </c>
      <c r="N127" s="54">
        <v>57355.682000000001</v>
      </c>
      <c r="O127" s="54">
        <v>44963.517999999996</v>
      </c>
      <c r="P127" s="54">
        <v>28616.725999999999</v>
      </c>
      <c r="Q127" s="54">
        <v>88670.040999999997</v>
      </c>
      <c r="R127" s="54">
        <v>43358.898000000001</v>
      </c>
      <c r="S127" s="54">
        <v>56521.5</v>
      </c>
      <c r="T127" s="54">
        <v>61084.290999999997</v>
      </c>
      <c r="U127" s="54">
        <v>66583.880999999994</v>
      </c>
      <c r="V127" s="54"/>
      <c r="W127" s="54"/>
      <c r="X127" s="54"/>
      <c r="Y127" s="54">
        <f t="shared" si="4"/>
        <v>447154.53699999995</v>
      </c>
      <c r="Z127" s="52">
        <v>1000</v>
      </c>
      <c r="AA127" s="52">
        <v>1</v>
      </c>
      <c r="AB127" s="637">
        <v>44207</v>
      </c>
      <c r="AC127" s="637">
        <v>44249</v>
      </c>
      <c r="AD127" s="52">
        <v>257000</v>
      </c>
      <c r="AE127" s="52">
        <v>8</v>
      </c>
      <c r="AF127" s="637">
        <v>44252</v>
      </c>
      <c r="AG127" s="637">
        <v>44292</v>
      </c>
      <c r="AH127" s="52">
        <v>10800</v>
      </c>
      <c r="AI127" s="52">
        <v>11</v>
      </c>
      <c r="AJ127" s="637">
        <v>44299</v>
      </c>
      <c r="AK127" s="637">
        <v>44312</v>
      </c>
      <c r="AL127" s="52">
        <v>51687</v>
      </c>
      <c r="AM127" s="52">
        <v>38</v>
      </c>
      <c r="AN127" s="637">
        <v>44358</v>
      </c>
      <c r="AO127" s="637">
        <v>44364</v>
      </c>
      <c r="AP127" s="52">
        <v>5400</v>
      </c>
      <c r="AQ127" s="52">
        <v>40</v>
      </c>
      <c r="AR127" s="637">
        <v>44358</v>
      </c>
      <c r="AS127" s="637">
        <v>44364</v>
      </c>
      <c r="AT127" s="52"/>
      <c r="AU127" s="52"/>
      <c r="AV127" s="637"/>
      <c r="AW127" s="637"/>
      <c r="AX127" s="52"/>
      <c r="AY127" s="52"/>
      <c r="AZ127" s="637"/>
      <c r="BA127" s="637"/>
      <c r="BB127" s="52"/>
      <c r="BC127" s="52"/>
      <c r="BD127" s="637"/>
      <c r="BE127" s="637"/>
      <c r="BF127" s="137">
        <f t="shared" si="5"/>
        <v>325887</v>
      </c>
      <c r="BG127" s="43">
        <f t="shared" si="6"/>
        <v>-121267.53699999995</v>
      </c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</row>
    <row r="128" spans="1:99" s="96" customFormat="1" ht="22.5" customHeight="1">
      <c r="A128" s="39"/>
      <c r="B128" s="51">
        <v>113</v>
      </c>
      <c r="C128" s="51" t="s">
        <v>39</v>
      </c>
      <c r="D128" s="42">
        <v>30457982</v>
      </c>
      <c r="E128" s="52" t="s">
        <v>2844</v>
      </c>
      <c r="F128" s="52" t="s">
        <v>317</v>
      </c>
      <c r="G128" s="56" t="s">
        <v>2686</v>
      </c>
      <c r="H128" s="52" t="s">
        <v>2729</v>
      </c>
      <c r="I128" s="52" t="s">
        <v>2537</v>
      </c>
      <c r="J128" s="636">
        <v>49686</v>
      </c>
      <c r="K128" s="52"/>
      <c r="L128" s="52"/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/>
      <c r="W128" s="54"/>
      <c r="X128" s="54"/>
      <c r="Y128" s="54">
        <f t="shared" si="4"/>
        <v>0</v>
      </c>
      <c r="Z128" s="52">
        <v>1000</v>
      </c>
      <c r="AA128" s="52">
        <v>8</v>
      </c>
      <c r="AB128" s="637">
        <v>44252</v>
      </c>
      <c r="AC128" s="637">
        <v>44292</v>
      </c>
      <c r="AD128" s="52">
        <v>-1000</v>
      </c>
      <c r="AE128" s="52">
        <v>39</v>
      </c>
      <c r="AF128" s="637">
        <v>44358</v>
      </c>
      <c r="AG128" s="637">
        <v>44364</v>
      </c>
      <c r="AH128" s="52"/>
      <c r="AI128" s="52"/>
      <c r="AJ128" s="637"/>
      <c r="AK128" s="637"/>
      <c r="AL128" s="52"/>
      <c r="AM128" s="52"/>
      <c r="AN128" s="637"/>
      <c r="AO128" s="637"/>
      <c r="AP128" s="52"/>
      <c r="AQ128" s="52"/>
      <c r="AR128" s="637"/>
      <c r="AS128" s="637"/>
      <c r="AT128" s="52"/>
      <c r="AU128" s="52"/>
      <c r="AV128" s="637"/>
      <c r="AW128" s="637"/>
      <c r="AX128" s="52"/>
      <c r="AY128" s="52"/>
      <c r="AZ128" s="637"/>
      <c r="BA128" s="637"/>
      <c r="BB128" s="52"/>
      <c r="BC128" s="52"/>
      <c r="BD128" s="637"/>
      <c r="BE128" s="637"/>
      <c r="BF128" s="137">
        <f t="shared" si="5"/>
        <v>0</v>
      </c>
      <c r="BG128" s="43">
        <f t="shared" si="6"/>
        <v>0</v>
      </c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</row>
    <row r="129" spans="1:99" s="96" customFormat="1" ht="22.5" customHeight="1">
      <c r="A129" s="39"/>
      <c r="B129" s="51">
        <v>114</v>
      </c>
      <c r="C129" s="51" t="s">
        <v>39</v>
      </c>
      <c r="D129" s="42">
        <v>30458281</v>
      </c>
      <c r="E129" s="52" t="s">
        <v>2845</v>
      </c>
      <c r="F129" s="52" t="s">
        <v>317</v>
      </c>
      <c r="G129" s="56" t="s">
        <v>2686</v>
      </c>
      <c r="H129" s="52" t="s">
        <v>2705</v>
      </c>
      <c r="I129" s="52" t="s">
        <v>2537</v>
      </c>
      <c r="J129" s="636">
        <v>11817</v>
      </c>
      <c r="K129" s="52"/>
      <c r="L129" s="52"/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3498.3850000000002</v>
      </c>
      <c r="S129" s="54">
        <v>0</v>
      </c>
      <c r="T129" s="54">
        <v>0</v>
      </c>
      <c r="U129" s="54">
        <v>0</v>
      </c>
      <c r="V129" s="54"/>
      <c r="W129" s="54"/>
      <c r="X129" s="54"/>
      <c r="Y129" s="54">
        <f t="shared" si="4"/>
        <v>3498.3850000000002</v>
      </c>
      <c r="Z129" s="52">
        <v>1000</v>
      </c>
      <c r="AA129" s="52">
        <v>8</v>
      </c>
      <c r="AB129" s="637">
        <v>44252</v>
      </c>
      <c r="AC129" s="637">
        <v>44292</v>
      </c>
      <c r="AD129" s="52">
        <v>-1000</v>
      </c>
      <c r="AE129" s="52">
        <v>39</v>
      </c>
      <c r="AF129" s="637">
        <v>44358</v>
      </c>
      <c r="AG129" s="637">
        <v>44364</v>
      </c>
      <c r="AH129" s="52"/>
      <c r="AI129" s="52"/>
      <c r="AJ129" s="637"/>
      <c r="AK129" s="637"/>
      <c r="AL129" s="52"/>
      <c r="AM129" s="52"/>
      <c r="AN129" s="637"/>
      <c r="AO129" s="637"/>
      <c r="AP129" s="52"/>
      <c r="AQ129" s="52"/>
      <c r="AR129" s="637"/>
      <c r="AS129" s="637"/>
      <c r="AT129" s="52"/>
      <c r="AU129" s="52"/>
      <c r="AV129" s="637"/>
      <c r="AW129" s="637"/>
      <c r="AX129" s="52"/>
      <c r="AY129" s="52"/>
      <c r="AZ129" s="637"/>
      <c r="BA129" s="637"/>
      <c r="BB129" s="52"/>
      <c r="BC129" s="52"/>
      <c r="BD129" s="637"/>
      <c r="BE129" s="637"/>
      <c r="BF129" s="137">
        <f t="shared" si="5"/>
        <v>0</v>
      </c>
      <c r="BG129" s="43">
        <f t="shared" si="6"/>
        <v>-3498.3850000000002</v>
      </c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</row>
    <row r="130" spans="1:99" s="96" customFormat="1" ht="22.5" customHeight="1">
      <c r="A130" s="39"/>
      <c r="B130" s="51">
        <v>115</v>
      </c>
      <c r="C130" s="51" t="s">
        <v>39</v>
      </c>
      <c r="D130" s="42">
        <v>30459339</v>
      </c>
      <c r="E130" s="52" t="s">
        <v>2846</v>
      </c>
      <c r="F130" s="52" t="s">
        <v>317</v>
      </c>
      <c r="G130" s="56" t="s">
        <v>2686</v>
      </c>
      <c r="H130" s="52" t="s">
        <v>2774</v>
      </c>
      <c r="I130" s="52" t="s">
        <v>2537</v>
      </c>
      <c r="J130" s="636">
        <v>11130</v>
      </c>
      <c r="K130" s="52"/>
      <c r="L130" s="52"/>
      <c r="M130" s="54">
        <v>0</v>
      </c>
      <c r="N130" s="54">
        <v>0</v>
      </c>
      <c r="O130" s="54">
        <v>0</v>
      </c>
      <c r="P130" s="54">
        <v>11129.453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/>
      <c r="W130" s="54"/>
      <c r="X130" s="54"/>
      <c r="Y130" s="54">
        <f t="shared" si="4"/>
        <v>11129.453</v>
      </c>
      <c r="Z130" s="52">
        <v>1000</v>
      </c>
      <c r="AA130" s="52">
        <v>8</v>
      </c>
      <c r="AB130" s="637">
        <v>44252</v>
      </c>
      <c r="AC130" s="637">
        <v>44292</v>
      </c>
      <c r="AD130" s="52">
        <v>10129</v>
      </c>
      <c r="AE130" s="52">
        <v>14</v>
      </c>
      <c r="AF130" s="637">
        <v>44313</v>
      </c>
      <c r="AG130" s="637">
        <v>44322</v>
      </c>
      <c r="AH130" s="52"/>
      <c r="AI130" s="52"/>
      <c r="AJ130" s="637"/>
      <c r="AK130" s="637"/>
      <c r="AL130" s="52"/>
      <c r="AM130" s="52"/>
      <c r="AN130" s="637"/>
      <c r="AO130" s="637"/>
      <c r="AP130" s="52"/>
      <c r="AQ130" s="52"/>
      <c r="AR130" s="637"/>
      <c r="AS130" s="637"/>
      <c r="AT130" s="52"/>
      <c r="AU130" s="52"/>
      <c r="AV130" s="637"/>
      <c r="AW130" s="637"/>
      <c r="AX130" s="52"/>
      <c r="AY130" s="52"/>
      <c r="AZ130" s="637"/>
      <c r="BA130" s="637"/>
      <c r="BB130" s="52"/>
      <c r="BC130" s="52"/>
      <c r="BD130" s="637"/>
      <c r="BE130" s="637"/>
      <c r="BF130" s="137">
        <f t="shared" si="5"/>
        <v>11129</v>
      </c>
      <c r="BG130" s="43">
        <f t="shared" si="6"/>
        <v>-0.45299999999951979</v>
      </c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</row>
    <row r="131" spans="1:99" s="96" customFormat="1" ht="22.5" customHeight="1">
      <c r="A131" s="39"/>
      <c r="B131" s="51">
        <v>116</v>
      </c>
      <c r="C131" s="51" t="s">
        <v>39</v>
      </c>
      <c r="D131" s="42">
        <v>30459343</v>
      </c>
      <c r="E131" s="52" t="s">
        <v>2847</v>
      </c>
      <c r="F131" s="52" t="s">
        <v>317</v>
      </c>
      <c r="G131" s="56" t="s">
        <v>2686</v>
      </c>
      <c r="H131" s="52" t="s">
        <v>2774</v>
      </c>
      <c r="I131" s="52" t="s">
        <v>2537</v>
      </c>
      <c r="J131" s="636">
        <v>4143</v>
      </c>
      <c r="K131" s="52"/>
      <c r="L131" s="52"/>
      <c r="M131" s="54">
        <v>0</v>
      </c>
      <c r="N131" s="54">
        <v>0</v>
      </c>
      <c r="O131" s="54">
        <v>0</v>
      </c>
      <c r="P131" s="54">
        <v>4142.0940000000001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/>
      <c r="W131" s="54"/>
      <c r="X131" s="54"/>
      <c r="Y131" s="54">
        <f t="shared" si="4"/>
        <v>4142.0940000000001</v>
      </c>
      <c r="Z131" s="52">
        <v>1000</v>
      </c>
      <c r="AA131" s="52">
        <v>8</v>
      </c>
      <c r="AB131" s="637">
        <v>44252</v>
      </c>
      <c r="AC131" s="637">
        <v>44292</v>
      </c>
      <c r="AD131" s="52">
        <v>3142</v>
      </c>
      <c r="AE131" s="52">
        <v>14</v>
      </c>
      <c r="AF131" s="637">
        <v>44313</v>
      </c>
      <c r="AG131" s="637">
        <v>44322</v>
      </c>
      <c r="AH131" s="52"/>
      <c r="AI131" s="52"/>
      <c r="AJ131" s="637"/>
      <c r="AK131" s="637"/>
      <c r="AL131" s="52"/>
      <c r="AM131" s="52"/>
      <c r="AN131" s="637"/>
      <c r="AO131" s="637"/>
      <c r="AP131" s="52"/>
      <c r="AQ131" s="52"/>
      <c r="AR131" s="637"/>
      <c r="AS131" s="637"/>
      <c r="AT131" s="52"/>
      <c r="AU131" s="52"/>
      <c r="AV131" s="637"/>
      <c r="AW131" s="637"/>
      <c r="AX131" s="52"/>
      <c r="AY131" s="52"/>
      <c r="AZ131" s="637"/>
      <c r="BA131" s="637"/>
      <c r="BB131" s="52"/>
      <c r="BC131" s="52"/>
      <c r="BD131" s="637"/>
      <c r="BE131" s="637"/>
      <c r="BF131" s="137">
        <f t="shared" si="5"/>
        <v>4142</v>
      </c>
      <c r="BG131" s="43">
        <f t="shared" si="6"/>
        <v>-9.4000000000050932E-2</v>
      </c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</row>
    <row r="132" spans="1:99" s="96" customFormat="1" ht="22.5" customHeight="1">
      <c r="A132" s="39"/>
      <c r="B132" s="51">
        <v>117</v>
      </c>
      <c r="C132" s="51" t="s">
        <v>131</v>
      </c>
      <c r="D132" s="42">
        <v>30459346</v>
      </c>
      <c r="E132" s="52" t="s">
        <v>2848</v>
      </c>
      <c r="F132" s="52" t="s">
        <v>317</v>
      </c>
      <c r="G132" s="56" t="s">
        <v>2686</v>
      </c>
      <c r="H132" s="52" t="s">
        <v>2774</v>
      </c>
      <c r="I132" s="52" t="s">
        <v>2537</v>
      </c>
      <c r="J132" s="636">
        <v>210</v>
      </c>
      <c r="K132" s="52"/>
      <c r="L132" s="52"/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/>
      <c r="W132" s="54"/>
      <c r="X132" s="54"/>
      <c r="Y132" s="54">
        <f t="shared" si="4"/>
        <v>0</v>
      </c>
      <c r="Z132" s="52">
        <v>210</v>
      </c>
      <c r="AA132" s="52">
        <v>8</v>
      </c>
      <c r="AB132" s="637">
        <v>44252</v>
      </c>
      <c r="AC132" s="637">
        <v>44292</v>
      </c>
      <c r="AD132" s="52">
        <v>-210</v>
      </c>
      <c r="AE132" s="52">
        <v>39</v>
      </c>
      <c r="AF132" s="637">
        <v>44358</v>
      </c>
      <c r="AG132" s="637">
        <v>44364</v>
      </c>
      <c r="AH132" s="52"/>
      <c r="AI132" s="52"/>
      <c r="AJ132" s="637"/>
      <c r="AK132" s="637"/>
      <c r="AL132" s="52"/>
      <c r="AM132" s="52"/>
      <c r="AN132" s="637"/>
      <c r="AO132" s="637"/>
      <c r="AP132" s="52"/>
      <c r="AQ132" s="52"/>
      <c r="AR132" s="637"/>
      <c r="AS132" s="637"/>
      <c r="AT132" s="52"/>
      <c r="AU132" s="52"/>
      <c r="AV132" s="637"/>
      <c r="AW132" s="637"/>
      <c r="AX132" s="52"/>
      <c r="AY132" s="52"/>
      <c r="AZ132" s="637"/>
      <c r="BA132" s="637"/>
      <c r="BB132" s="52"/>
      <c r="BC132" s="52"/>
      <c r="BD132" s="637"/>
      <c r="BE132" s="637"/>
      <c r="BF132" s="137">
        <f t="shared" si="5"/>
        <v>0</v>
      </c>
      <c r="BG132" s="43">
        <f t="shared" si="6"/>
        <v>0</v>
      </c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</row>
    <row r="133" spans="1:99" s="96" customFormat="1" ht="22.5" customHeight="1">
      <c r="A133" s="39"/>
      <c r="B133" s="51">
        <v>118</v>
      </c>
      <c r="C133" s="51" t="s">
        <v>39</v>
      </c>
      <c r="D133" s="42">
        <v>30459372</v>
      </c>
      <c r="E133" s="52" t="s">
        <v>2849</v>
      </c>
      <c r="F133" s="52" t="s">
        <v>317</v>
      </c>
      <c r="G133" s="56" t="s">
        <v>2686</v>
      </c>
      <c r="H133" s="52" t="s">
        <v>2774</v>
      </c>
      <c r="I133" s="52" t="s">
        <v>2537</v>
      </c>
      <c r="J133" s="636">
        <v>16605</v>
      </c>
      <c r="K133" s="52"/>
      <c r="L133" s="52"/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/>
      <c r="W133" s="54"/>
      <c r="X133" s="54"/>
      <c r="Y133" s="54">
        <f t="shared" si="4"/>
        <v>0</v>
      </c>
      <c r="Z133" s="52">
        <v>1000</v>
      </c>
      <c r="AA133" s="52">
        <v>8</v>
      </c>
      <c r="AB133" s="637">
        <v>44252</v>
      </c>
      <c r="AC133" s="637">
        <v>44292</v>
      </c>
      <c r="AD133" s="52">
        <v>-1000</v>
      </c>
      <c r="AE133" s="52">
        <v>39</v>
      </c>
      <c r="AF133" s="637">
        <v>44358</v>
      </c>
      <c r="AG133" s="637">
        <v>44364</v>
      </c>
      <c r="AH133" s="52"/>
      <c r="AI133" s="52"/>
      <c r="AJ133" s="637"/>
      <c r="AK133" s="637"/>
      <c r="AL133" s="52"/>
      <c r="AM133" s="52"/>
      <c r="AN133" s="637"/>
      <c r="AO133" s="637"/>
      <c r="AP133" s="52"/>
      <c r="AQ133" s="52"/>
      <c r="AR133" s="637"/>
      <c r="AS133" s="637"/>
      <c r="AT133" s="52"/>
      <c r="AU133" s="52"/>
      <c r="AV133" s="637"/>
      <c r="AW133" s="637"/>
      <c r="AX133" s="52"/>
      <c r="AY133" s="52"/>
      <c r="AZ133" s="637"/>
      <c r="BA133" s="637"/>
      <c r="BB133" s="52"/>
      <c r="BC133" s="52"/>
      <c r="BD133" s="637"/>
      <c r="BE133" s="637"/>
      <c r="BF133" s="137">
        <f t="shared" si="5"/>
        <v>0</v>
      </c>
      <c r="BG133" s="43">
        <f t="shared" si="6"/>
        <v>0</v>
      </c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</row>
    <row r="134" spans="1:99" s="96" customFormat="1" ht="45" customHeight="1">
      <c r="A134" s="39"/>
      <c r="B134" s="51">
        <v>119</v>
      </c>
      <c r="C134" s="51" t="s">
        <v>39</v>
      </c>
      <c r="D134" s="42">
        <v>30459952</v>
      </c>
      <c r="E134" s="52" t="s">
        <v>2850</v>
      </c>
      <c r="F134" s="52" t="s">
        <v>317</v>
      </c>
      <c r="G134" s="56" t="s">
        <v>2686</v>
      </c>
      <c r="H134" s="52" t="s">
        <v>2851</v>
      </c>
      <c r="I134" s="52" t="s">
        <v>2537</v>
      </c>
      <c r="J134" s="636">
        <v>433853</v>
      </c>
      <c r="K134" s="52"/>
      <c r="L134" s="52"/>
      <c r="M134" s="54">
        <v>18863.746999999999</v>
      </c>
      <c r="N134" s="54">
        <v>15940.794</v>
      </c>
      <c r="O134" s="54">
        <v>21929.953000000001</v>
      </c>
      <c r="P134" s="54">
        <v>3531.2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/>
      <c r="W134" s="54"/>
      <c r="X134" s="54"/>
      <c r="Y134" s="54">
        <f t="shared" si="4"/>
        <v>60265.693999999996</v>
      </c>
      <c r="Z134" s="52">
        <v>111501</v>
      </c>
      <c r="AA134" s="52">
        <v>4</v>
      </c>
      <c r="AB134" s="637">
        <v>44221</v>
      </c>
      <c r="AC134" s="637">
        <v>44280</v>
      </c>
      <c r="AD134" s="52">
        <v>254516</v>
      </c>
      <c r="AE134" s="52">
        <v>10</v>
      </c>
      <c r="AF134" s="637">
        <v>44286</v>
      </c>
      <c r="AG134" s="637">
        <v>44306</v>
      </c>
      <c r="AH134" s="52">
        <v>-206482</v>
      </c>
      <c r="AI134" s="52">
        <v>38</v>
      </c>
      <c r="AJ134" s="637">
        <v>44358</v>
      </c>
      <c r="AK134" s="637">
        <v>44364</v>
      </c>
      <c r="AL134" s="52">
        <v>-92941</v>
      </c>
      <c r="AM134" s="52">
        <v>40</v>
      </c>
      <c r="AN134" s="637">
        <v>44358</v>
      </c>
      <c r="AO134" s="637">
        <v>44364</v>
      </c>
      <c r="AP134" s="52"/>
      <c r="AQ134" s="52"/>
      <c r="AR134" s="637"/>
      <c r="AS134" s="637"/>
      <c r="AT134" s="52"/>
      <c r="AU134" s="52"/>
      <c r="AV134" s="637"/>
      <c r="AW134" s="637"/>
      <c r="AX134" s="52"/>
      <c r="AY134" s="52"/>
      <c r="AZ134" s="637"/>
      <c r="BA134" s="637"/>
      <c r="BB134" s="52"/>
      <c r="BC134" s="52"/>
      <c r="BD134" s="637"/>
      <c r="BE134" s="637"/>
      <c r="BF134" s="137">
        <f t="shared" si="5"/>
        <v>66594</v>
      </c>
      <c r="BG134" s="43">
        <f t="shared" si="6"/>
        <v>6328.3060000000041</v>
      </c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</row>
    <row r="135" spans="1:99" s="96" customFormat="1" ht="22.5" customHeight="1">
      <c r="A135" s="39"/>
      <c r="B135" s="51">
        <v>120</v>
      </c>
      <c r="C135" s="51" t="s">
        <v>39</v>
      </c>
      <c r="D135" s="42">
        <v>30459992</v>
      </c>
      <c r="E135" s="52" t="s">
        <v>2852</v>
      </c>
      <c r="F135" s="52" t="s">
        <v>317</v>
      </c>
      <c r="G135" s="56" t="s">
        <v>2686</v>
      </c>
      <c r="H135" s="52" t="s">
        <v>2756</v>
      </c>
      <c r="I135" s="52" t="s">
        <v>2537</v>
      </c>
      <c r="J135" s="636">
        <v>905234</v>
      </c>
      <c r="K135" s="52"/>
      <c r="L135" s="52"/>
      <c r="M135" s="54">
        <v>0</v>
      </c>
      <c r="N135" s="54">
        <v>0</v>
      </c>
      <c r="O135" s="54">
        <v>323541.62099999998</v>
      </c>
      <c r="P135" s="54">
        <v>0</v>
      </c>
      <c r="Q135" s="54">
        <v>178658.88699999999</v>
      </c>
      <c r="R135" s="54">
        <v>2432.6129999999998</v>
      </c>
      <c r="S135" s="54">
        <v>126575.51</v>
      </c>
      <c r="T135" s="54">
        <v>0</v>
      </c>
      <c r="U135" s="54">
        <v>105403.29300000001</v>
      </c>
      <c r="V135" s="54"/>
      <c r="W135" s="54"/>
      <c r="X135" s="54"/>
      <c r="Y135" s="54">
        <f t="shared" si="4"/>
        <v>736611.92399999988</v>
      </c>
      <c r="Z135" s="52">
        <v>1000</v>
      </c>
      <c r="AA135" s="52">
        <v>1</v>
      </c>
      <c r="AB135" s="637">
        <v>44207</v>
      </c>
      <c r="AC135" s="637">
        <v>44249</v>
      </c>
      <c r="AD135" s="52">
        <v>725000</v>
      </c>
      <c r="AE135" s="52">
        <v>10</v>
      </c>
      <c r="AF135" s="637">
        <v>44286</v>
      </c>
      <c r="AG135" s="637">
        <v>44306</v>
      </c>
      <c r="AH135" s="52">
        <v>3865</v>
      </c>
      <c r="AI135" s="52">
        <v>26</v>
      </c>
      <c r="AJ135" s="637">
        <v>44358</v>
      </c>
      <c r="AK135" s="637">
        <v>44364</v>
      </c>
      <c r="AL135" s="52">
        <v>28000</v>
      </c>
      <c r="AM135" s="52">
        <v>40</v>
      </c>
      <c r="AN135" s="637">
        <v>44358</v>
      </c>
      <c r="AO135" s="637">
        <v>44364</v>
      </c>
      <c r="AP135" s="52"/>
      <c r="AQ135" s="52"/>
      <c r="AR135" s="637"/>
      <c r="AS135" s="637"/>
      <c r="AT135" s="52"/>
      <c r="AU135" s="52"/>
      <c r="AV135" s="637"/>
      <c r="AW135" s="637"/>
      <c r="AX135" s="52"/>
      <c r="AY135" s="52"/>
      <c r="AZ135" s="637"/>
      <c r="BA135" s="637"/>
      <c r="BB135" s="52"/>
      <c r="BC135" s="52"/>
      <c r="BD135" s="637"/>
      <c r="BE135" s="637"/>
      <c r="BF135" s="137">
        <f t="shared" si="5"/>
        <v>757865</v>
      </c>
      <c r="BG135" s="43">
        <f t="shared" si="6"/>
        <v>21253.076000000117</v>
      </c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</row>
    <row r="136" spans="1:99" s="96" customFormat="1" ht="22.5" customHeight="1">
      <c r="A136" s="39"/>
      <c r="B136" s="51">
        <v>121</v>
      </c>
      <c r="C136" s="51" t="s">
        <v>39</v>
      </c>
      <c r="D136" s="42">
        <v>30460031</v>
      </c>
      <c r="E136" s="52" t="s">
        <v>2853</v>
      </c>
      <c r="F136" s="52" t="s">
        <v>317</v>
      </c>
      <c r="G136" s="56" t="s">
        <v>2686</v>
      </c>
      <c r="H136" s="52" t="s">
        <v>2854</v>
      </c>
      <c r="I136" s="52" t="s">
        <v>2537</v>
      </c>
      <c r="J136" s="636">
        <v>1120653</v>
      </c>
      <c r="K136" s="52"/>
      <c r="L136" s="52"/>
      <c r="M136" s="54">
        <v>153011.875</v>
      </c>
      <c r="N136" s="54">
        <v>21382.93</v>
      </c>
      <c r="O136" s="54">
        <v>124228.05</v>
      </c>
      <c r="P136" s="54">
        <v>25541.370999999999</v>
      </c>
      <c r="Q136" s="54">
        <v>57563.360999999997</v>
      </c>
      <c r="R136" s="54">
        <v>62376.222000000002</v>
      </c>
      <c r="S136" s="54">
        <v>92340.850999999995</v>
      </c>
      <c r="T136" s="54">
        <v>80002.726999999999</v>
      </c>
      <c r="U136" s="54">
        <v>82227.801999999996</v>
      </c>
      <c r="V136" s="54"/>
      <c r="W136" s="54"/>
      <c r="X136" s="54"/>
      <c r="Y136" s="54">
        <f t="shared" si="4"/>
        <v>698675.1889999999</v>
      </c>
      <c r="Z136" s="52">
        <v>300000</v>
      </c>
      <c r="AA136" s="52">
        <v>4</v>
      </c>
      <c r="AB136" s="637">
        <v>44221</v>
      </c>
      <c r="AC136" s="637">
        <v>44280</v>
      </c>
      <c r="AD136" s="52">
        <v>21382</v>
      </c>
      <c r="AE136" s="52">
        <v>8</v>
      </c>
      <c r="AF136" s="637">
        <v>44252</v>
      </c>
      <c r="AG136" s="637">
        <v>44292</v>
      </c>
      <c r="AH136" s="52">
        <v>130000</v>
      </c>
      <c r="AI136" s="52">
        <v>10</v>
      </c>
      <c r="AJ136" s="637">
        <v>44286</v>
      </c>
      <c r="AK136" s="637">
        <v>44306</v>
      </c>
      <c r="AL136" s="52">
        <v>85062</v>
      </c>
      <c r="AM136" s="52">
        <v>38</v>
      </c>
      <c r="AN136" s="637">
        <v>44358</v>
      </c>
      <c r="AO136" s="637">
        <v>44364</v>
      </c>
      <c r="AP136" s="52"/>
      <c r="AQ136" s="52"/>
      <c r="AR136" s="637"/>
      <c r="AS136" s="637"/>
      <c r="AT136" s="52"/>
      <c r="AU136" s="52"/>
      <c r="AV136" s="637"/>
      <c r="AW136" s="637"/>
      <c r="AX136" s="52"/>
      <c r="AY136" s="52"/>
      <c r="AZ136" s="637"/>
      <c r="BA136" s="637"/>
      <c r="BB136" s="52"/>
      <c r="BC136" s="52"/>
      <c r="BD136" s="637"/>
      <c r="BE136" s="637"/>
      <c r="BF136" s="137">
        <f t="shared" si="5"/>
        <v>536444</v>
      </c>
      <c r="BG136" s="43">
        <f t="shared" si="6"/>
        <v>-162231.1889999999</v>
      </c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</row>
    <row r="137" spans="1:99" s="96" customFormat="1" ht="22.5" customHeight="1">
      <c r="A137" s="39"/>
      <c r="B137" s="51">
        <v>122</v>
      </c>
      <c r="C137" s="51" t="s">
        <v>39</v>
      </c>
      <c r="D137" s="42">
        <v>30462783</v>
      </c>
      <c r="E137" s="52" t="s">
        <v>2855</v>
      </c>
      <c r="F137" s="52" t="s">
        <v>317</v>
      </c>
      <c r="G137" s="56" t="s">
        <v>2686</v>
      </c>
      <c r="H137" s="52" t="s">
        <v>2856</v>
      </c>
      <c r="I137" s="52" t="s">
        <v>2537</v>
      </c>
      <c r="J137" s="636">
        <v>24558</v>
      </c>
      <c r="K137" s="52"/>
      <c r="L137" s="52"/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/>
      <c r="W137" s="54"/>
      <c r="X137" s="54"/>
      <c r="Y137" s="54">
        <f t="shared" si="4"/>
        <v>0</v>
      </c>
      <c r="Z137" s="52">
        <v>1000</v>
      </c>
      <c r="AA137" s="52">
        <v>8</v>
      </c>
      <c r="AB137" s="637">
        <v>44252</v>
      </c>
      <c r="AC137" s="637">
        <v>44292</v>
      </c>
      <c r="AD137" s="52">
        <v>-1000</v>
      </c>
      <c r="AE137" s="52">
        <v>39</v>
      </c>
      <c r="AF137" s="637">
        <v>44358</v>
      </c>
      <c r="AG137" s="637">
        <v>44364</v>
      </c>
      <c r="AH137" s="52"/>
      <c r="AI137" s="52"/>
      <c r="AJ137" s="637"/>
      <c r="AK137" s="637"/>
      <c r="AL137" s="52"/>
      <c r="AM137" s="52"/>
      <c r="AN137" s="637"/>
      <c r="AO137" s="637"/>
      <c r="AP137" s="52"/>
      <c r="AQ137" s="52"/>
      <c r="AR137" s="637"/>
      <c r="AS137" s="637"/>
      <c r="AT137" s="52"/>
      <c r="AU137" s="52"/>
      <c r="AV137" s="637"/>
      <c r="AW137" s="637"/>
      <c r="AX137" s="52"/>
      <c r="AY137" s="52"/>
      <c r="AZ137" s="637"/>
      <c r="BA137" s="637"/>
      <c r="BB137" s="52"/>
      <c r="BC137" s="52"/>
      <c r="BD137" s="637"/>
      <c r="BE137" s="637"/>
      <c r="BF137" s="137">
        <f t="shared" si="5"/>
        <v>0</v>
      </c>
      <c r="BG137" s="43">
        <f t="shared" si="6"/>
        <v>0</v>
      </c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</row>
    <row r="138" spans="1:99" s="96" customFormat="1" ht="22.5" customHeight="1">
      <c r="A138" s="39"/>
      <c r="B138" s="51">
        <v>123</v>
      </c>
      <c r="C138" s="51" t="s">
        <v>39</v>
      </c>
      <c r="D138" s="42">
        <v>30464292</v>
      </c>
      <c r="E138" s="52" t="s">
        <v>2857</v>
      </c>
      <c r="F138" s="52" t="s">
        <v>317</v>
      </c>
      <c r="G138" s="56" t="s">
        <v>2686</v>
      </c>
      <c r="H138" s="52" t="s">
        <v>2716</v>
      </c>
      <c r="I138" s="52" t="s">
        <v>2537</v>
      </c>
      <c r="J138" s="636">
        <v>15799</v>
      </c>
      <c r="K138" s="52"/>
      <c r="L138" s="52"/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3790.0259999999998</v>
      </c>
      <c r="T138" s="54">
        <v>0</v>
      </c>
      <c r="U138" s="54">
        <v>0</v>
      </c>
      <c r="V138" s="54"/>
      <c r="W138" s="54"/>
      <c r="X138" s="54"/>
      <c r="Y138" s="54">
        <f t="shared" si="4"/>
        <v>3790.0259999999998</v>
      </c>
      <c r="Z138" s="52">
        <v>1000</v>
      </c>
      <c r="AA138" s="52">
        <v>8</v>
      </c>
      <c r="AB138" s="637">
        <v>44252</v>
      </c>
      <c r="AC138" s="637">
        <v>44292</v>
      </c>
      <c r="AD138" s="52">
        <v>2790</v>
      </c>
      <c r="AE138" s="52">
        <v>38</v>
      </c>
      <c r="AF138" s="637">
        <v>44358</v>
      </c>
      <c r="AG138" s="637">
        <v>44364</v>
      </c>
      <c r="AH138" s="52"/>
      <c r="AI138" s="52"/>
      <c r="AJ138" s="637"/>
      <c r="AK138" s="637"/>
      <c r="AL138" s="52"/>
      <c r="AM138" s="52"/>
      <c r="AN138" s="637"/>
      <c r="AO138" s="637"/>
      <c r="AP138" s="52"/>
      <c r="AQ138" s="52"/>
      <c r="AR138" s="637"/>
      <c r="AS138" s="637"/>
      <c r="AT138" s="52"/>
      <c r="AU138" s="52"/>
      <c r="AV138" s="637"/>
      <c r="AW138" s="637"/>
      <c r="AX138" s="52"/>
      <c r="AY138" s="52"/>
      <c r="AZ138" s="637"/>
      <c r="BA138" s="637"/>
      <c r="BB138" s="52"/>
      <c r="BC138" s="52"/>
      <c r="BD138" s="637"/>
      <c r="BE138" s="637"/>
      <c r="BF138" s="137">
        <f t="shared" si="5"/>
        <v>3790</v>
      </c>
      <c r="BG138" s="43">
        <f t="shared" si="6"/>
        <v>-2.5999999999839929E-2</v>
      </c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</row>
    <row r="139" spans="1:99" s="96" customFormat="1" ht="22.5" customHeight="1">
      <c r="A139" s="39"/>
      <c r="B139" s="51">
        <v>124</v>
      </c>
      <c r="C139" s="51" t="s">
        <v>39</v>
      </c>
      <c r="D139" s="42">
        <v>30467934</v>
      </c>
      <c r="E139" s="52" t="s">
        <v>2858</v>
      </c>
      <c r="F139" s="52" t="s">
        <v>317</v>
      </c>
      <c r="G139" s="56" t="s">
        <v>2686</v>
      </c>
      <c r="H139" s="52" t="s">
        <v>2781</v>
      </c>
      <c r="I139" s="52" t="s">
        <v>2537</v>
      </c>
      <c r="J139" s="636">
        <v>743939</v>
      </c>
      <c r="K139" s="52"/>
      <c r="L139" s="52"/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/>
      <c r="W139" s="54"/>
      <c r="X139" s="54"/>
      <c r="Y139" s="54">
        <f t="shared" si="4"/>
        <v>0</v>
      </c>
      <c r="Z139" s="52">
        <v>1000</v>
      </c>
      <c r="AA139" s="52">
        <v>1</v>
      </c>
      <c r="AB139" s="637">
        <v>44207</v>
      </c>
      <c r="AC139" s="637">
        <v>44249</v>
      </c>
      <c r="AD139" s="52">
        <v>-1000</v>
      </c>
      <c r="AE139" s="52">
        <v>39</v>
      </c>
      <c r="AF139" s="637">
        <v>44358</v>
      </c>
      <c r="AG139" s="637">
        <v>44364</v>
      </c>
      <c r="AH139" s="52"/>
      <c r="AI139" s="52"/>
      <c r="AJ139" s="637"/>
      <c r="AK139" s="637"/>
      <c r="AL139" s="52"/>
      <c r="AM139" s="52"/>
      <c r="AN139" s="637"/>
      <c r="AO139" s="637"/>
      <c r="AP139" s="52"/>
      <c r="AQ139" s="52"/>
      <c r="AR139" s="637"/>
      <c r="AS139" s="637"/>
      <c r="AT139" s="52"/>
      <c r="AU139" s="52"/>
      <c r="AV139" s="637"/>
      <c r="AW139" s="637"/>
      <c r="AX139" s="52"/>
      <c r="AY139" s="52"/>
      <c r="AZ139" s="637"/>
      <c r="BA139" s="637"/>
      <c r="BB139" s="52"/>
      <c r="BC139" s="52"/>
      <c r="BD139" s="637"/>
      <c r="BE139" s="637"/>
      <c r="BF139" s="137">
        <f t="shared" si="5"/>
        <v>0</v>
      </c>
      <c r="BG139" s="43">
        <f t="shared" si="6"/>
        <v>0</v>
      </c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</row>
    <row r="140" spans="1:99" s="96" customFormat="1" ht="22.5" customHeight="1">
      <c r="A140" s="39"/>
      <c r="B140" s="51">
        <v>125</v>
      </c>
      <c r="C140" s="51" t="s">
        <v>39</v>
      </c>
      <c r="D140" s="42">
        <v>30468051</v>
      </c>
      <c r="E140" s="52" t="s">
        <v>2859</v>
      </c>
      <c r="F140" s="52" t="s">
        <v>317</v>
      </c>
      <c r="G140" s="56" t="s">
        <v>2686</v>
      </c>
      <c r="H140" s="52" t="s">
        <v>2725</v>
      </c>
      <c r="I140" s="52" t="s">
        <v>2537</v>
      </c>
      <c r="J140" s="636">
        <v>1674599</v>
      </c>
      <c r="K140" s="52"/>
      <c r="L140" s="52"/>
      <c r="M140" s="54">
        <v>0</v>
      </c>
      <c r="N140" s="54">
        <v>0</v>
      </c>
      <c r="O140" s="54">
        <v>0</v>
      </c>
      <c r="P140" s="54">
        <v>1750</v>
      </c>
      <c r="Q140" s="54">
        <v>54945.73</v>
      </c>
      <c r="R140" s="54">
        <v>279966.97700000001</v>
      </c>
      <c r="S140" s="54">
        <v>1750</v>
      </c>
      <c r="T140" s="54">
        <v>348289.08799999999</v>
      </c>
      <c r="U140" s="54">
        <v>184863.041</v>
      </c>
      <c r="V140" s="54"/>
      <c r="W140" s="54"/>
      <c r="X140" s="54"/>
      <c r="Y140" s="54">
        <f t="shared" si="4"/>
        <v>871564.83599999989</v>
      </c>
      <c r="Z140" s="52">
        <v>1000</v>
      </c>
      <c r="AA140" s="52">
        <v>1</v>
      </c>
      <c r="AB140" s="637">
        <v>44207</v>
      </c>
      <c r="AC140" s="637">
        <v>44249</v>
      </c>
      <c r="AD140" s="52">
        <v>13000</v>
      </c>
      <c r="AE140" s="52">
        <v>11</v>
      </c>
      <c r="AF140" s="637">
        <v>44299</v>
      </c>
      <c r="AG140" s="637">
        <v>44312</v>
      </c>
      <c r="AH140" s="52">
        <v>241000</v>
      </c>
      <c r="AI140" s="52">
        <v>18</v>
      </c>
      <c r="AJ140" s="637">
        <v>44327</v>
      </c>
      <c r="AK140" s="637">
        <v>44341</v>
      </c>
      <c r="AL140" s="52">
        <v>90412</v>
      </c>
      <c r="AM140" s="52">
        <v>26</v>
      </c>
      <c r="AN140" s="637">
        <v>44358</v>
      </c>
      <c r="AO140" s="637">
        <v>44364</v>
      </c>
      <c r="AP140" s="52"/>
      <c r="AQ140" s="52"/>
      <c r="AR140" s="637"/>
      <c r="AS140" s="637"/>
      <c r="AT140" s="52"/>
      <c r="AU140" s="52"/>
      <c r="AV140" s="637"/>
      <c r="AW140" s="637"/>
      <c r="AX140" s="52"/>
      <c r="AY140" s="52"/>
      <c r="AZ140" s="637"/>
      <c r="BA140" s="637"/>
      <c r="BB140" s="52"/>
      <c r="BC140" s="52"/>
      <c r="BD140" s="637"/>
      <c r="BE140" s="637"/>
      <c r="BF140" s="137">
        <f t="shared" si="5"/>
        <v>345412</v>
      </c>
      <c r="BG140" s="43">
        <f t="shared" si="6"/>
        <v>-526152.83599999989</v>
      </c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</row>
    <row r="141" spans="1:99" s="96" customFormat="1" ht="22.5" customHeight="1">
      <c r="A141" s="39"/>
      <c r="B141" s="51">
        <v>126</v>
      </c>
      <c r="C141" s="51" t="s">
        <v>39</v>
      </c>
      <c r="D141" s="42">
        <v>30469983</v>
      </c>
      <c r="E141" s="52" t="s">
        <v>2860</v>
      </c>
      <c r="F141" s="52" t="s">
        <v>317</v>
      </c>
      <c r="G141" s="56" t="s">
        <v>2686</v>
      </c>
      <c r="H141" s="52" t="s">
        <v>2861</v>
      </c>
      <c r="I141" s="52" t="s">
        <v>2537</v>
      </c>
      <c r="J141" s="636">
        <v>3918</v>
      </c>
      <c r="K141" s="52"/>
      <c r="L141" s="52"/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/>
      <c r="W141" s="54"/>
      <c r="X141" s="54"/>
      <c r="Y141" s="54">
        <f t="shared" si="4"/>
        <v>0</v>
      </c>
      <c r="Z141" s="52">
        <v>1000</v>
      </c>
      <c r="AA141" s="52">
        <v>8</v>
      </c>
      <c r="AB141" s="637">
        <v>44252</v>
      </c>
      <c r="AC141" s="637">
        <v>44292</v>
      </c>
      <c r="AD141" s="52">
        <v>-1000</v>
      </c>
      <c r="AE141" s="52">
        <v>39</v>
      </c>
      <c r="AF141" s="637">
        <v>44358</v>
      </c>
      <c r="AG141" s="637">
        <v>44364</v>
      </c>
      <c r="AH141" s="52"/>
      <c r="AI141" s="52"/>
      <c r="AJ141" s="637"/>
      <c r="AK141" s="637"/>
      <c r="AL141" s="52"/>
      <c r="AM141" s="52"/>
      <c r="AN141" s="637"/>
      <c r="AO141" s="637"/>
      <c r="AP141" s="52"/>
      <c r="AQ141" s="52"/>
      <c r="AR141" s="637"/>
      <c r="AS141" s="637"/>
      <c r="AT141" s="52"/>
      <c r="AU141" s="52"/>
      <c r="AV141" s="637"/>
      <c r="AW141" s="637"/>
      <c r="AX141" s="52"/>
      <c r="AY141" s="52"/>
      <c r="AZ141" s="637"/>
      <c r="BA141" s="637"/>
      <c r="BB141" s="52"/>
      <c r="BC141" s="52"/>
      <c r="BD141" s="637"/>
      <c r="BE141" s="637"/>
      <c r="BF141" s="137">
        <f t="shared" si="5"/>
        <v>0</v>
      </c>
      <c r="BG141" s="43">
        <f t="shared" si="6"/>
        <v>0</v>
      </c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</row>
    <row r="142" spans="1:99" s="96" customFormat="1" ht="22.5">
      <c r="A142" s="39"/>
      <c r="B142" s="51">
        <v>127</v>
      </c>
      <c r="C142" s="51" t="s">
        <v>39</v>
      </c>
      <c r="D142" s="42">
        <v>30471091</v>
      </c>
      <c r="E142" s="52" t="s">
        <v>2862</v>
      </c>
      <c r="F142" s="52" t="s">
        <v>317</v>
      </c>
      <c r="G142" s="56" t="s">
        <v>2686</v>
      </c>
      <c r="H142" s="52" t="s">
        <v>2735</v>
      </c>
      <c r="I142" s="52" t="s">
        <v>2537</v>
      </c>
      <c r="J142" s="636">
        <v>285915</v>
      </c>
      <c r="K142" s="52"/>
      <c r="L142" s="52"/>
      <c r="M142" s="54">
        <v>146300.26199999999</v>
      </c>
      <c r="N142" s="54">
        <v>0</v>
      </c>
      <c r="O142" s="54">
        <v>83136.125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/>
      <c r="W142" s="54"/>
      <c r="X142" s="54"/>
      <c r="Y142" s="54">
        <f t="shared" si="4"/>
        <v>229436.38699999999</v>
      </c>
      <c r="Z142" s="52">
        <v>285915</v>
      </c>
      <c r="AA142" s="52">
        <v>4</v>
      </c>
      <c r="AB142" s="637">
        <v>44221</v>
      </c>
      <c r="AC142" s="637">
        <v>44280</v>
      </c>
      <c r="AD142" s="52"/>
      <c r="AE142" s="52"/>
      <c r="AF142" s="637"/>
      <c r="AG142" s="637"/>
      <c r="AH142" s="52"/>
      <c r="AI142" s="52"/>
      <c r="AJ142" s="637"/>
      <c r="AK142" s="637"/>
      <c r="AL142" s="52"/>
      <c r="AM142" s="52"/>
      <c r="AN142" s="637"/>
      <c r="AO142" s="637"/>
      <c r="AP142" s="52"/>
      <c r="AQ142" s="52"/>
      <c r="AR142" s="637"/>
      <c r="AS142" s="637"/>
      <c r="AT142" s="52"/>
      <c r="AU142" s="52"/>
      <c r="AV142" s="637"/>
      <c r="AW142" s="637"/>
      <c r="AX142" s="52"/>
      <c r="AY142" s="52"/>
      <c r="AZ142" s="637"/>
      <c r="BA142" s="637"/>
      <c r="BB142" s="52"/>
      <c r="BC142" s="52"/>
      <c r="BD142" s="637"/>
      <c r="BE142" s="637"/>
      <c r="BF142" s="137">
        <f t="shared" si="5"/>
        <v>285915</v>
      </c>
      <c r="BG142" s="43">
        <f t="shared" si="6"/>
        <v>56478.613000000012</v>
      </c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</row>
    <row r="143" spans="1:99" s="96" customFormat="1" ht="22.5" customHeight="1">
      <c r="A143" s="39"/>
      <c r="B143" s="51">
        <v>128</v>
      </c>
      <c r="C143" s="51" t="s">
        <v>39</v>
      </c>
      <c r="D143" s="42">
        <v>30471586</v>
      </c>
      <c r="E143" s="52" t="s">
        <v>2863</v>
      </c>
      <c r="F143" s="52" t="s">
        <v>317</v>
      </c>
      <c r="G143" s="56" t="s">
        <v>2686</v>
      </c>
      <c r="H143" s="52" t="s">
        <v>2856</v>
      </c>
      <c r="I143" s="52" t="s">
        <v>2537</v>
      </c>
      <c r="J143" s="636">
        <v>51241</v>
      </c>
      <c r="K143" s="52"/>
      <c r="L143" s="52"/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51240.637999999999</v>
      </c>
      <c r="T143" s="54">
        <v>0</v>
      </c>
      <c r="U143" s="54">
        <v>0</v>
      </c>
      <c r="V143" s="54"/>
      <c r="W143" s="54"/>
      <c r="X143" s="54"/>
      <c r="Y143" s="54">
        <f t="shared" si="4"/>
        <v>51240.637999999999</v>
      </c>
      <c r="Z143" s="52">
        <v>1000</v>
      </c>
      <c r="AA143" s="52">
        <v>8</v>
      </c>
      <c r="AB143" s="637">
        <v>44252</v>
      </c>
      <c r="AC143" s="637">
        <v>44292</v>
      </c>
      <c r="AD143" s="52">
        <v>50240</v>
      </c>
      <c r="AE143" s="52">
        <v>38</v>
      </c>
      <c r="AF143" s="637">
        <v>44358</v>
      </c>
      <c r="AG143" s="637">
        <v>44364</v>
      </c>
      <c r="AH143" s="52"/>
      <c r="AI143" s="52"/>
      <c r="AJ143" s="637"/>
      <c r="AK143" s="637"/>
      <c r="AL143" s="52"/>
      <c r="AM143" s="52"/>
      <c r="AN143" s="637"/>
      <c r="AO143" s="637"/>
      <c r="AP143" s="52"/>
      <c r="AQ143" s="52"/>
      <c r="AR143" s="637"/>
      <c r="AS143" s="637"/>
      <c r="AT143" s="52"/>
      <c r="AU143" s="52"/>
      <c r="AV143" s="637"/>
      <c r="AW143" s="637"/>
      <c r="AX143" s="52"/>
      <c r="AY143" s="52"/>
      <c r="AZ143" s="637"/>
      <c r="BA143" s="637"/>
      <c r="BB143" s="52"/>
      <c r="BC143" s="52"/>
      <c r="BD143" s="637"/>
      <c r="BE143" s="637"/>
      <c r="BF143" s="137">
        <f t="shared" si="5"/>
        <v>51240</v>
      </c>
      <c r="BG143" s="43">
        <f t="shared" si="6"/>
        <v>-0.63799999999901047</v>
      </c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</row>
    <row r="144" spans="1:99" s="96" customFormat="1" ht="22.5">
      <c r="A144" s="39"/>
      <c r="B144" s="51">
        <v>129</v>
      </c>
      <c r="C144" s="51" t="s">
        <v>39</v>
      </c>
      <c r="D144" s="42">
        <v>30471634</v>
      </c>
      <c r="E144" s="52" t="s">
        <v>2864</v>
      </c>
      <c r="F144" s="52" t="s">
        <v>317</v>
      </c>
      <c r="G144" s="56" t="s">
        <v>2686</v>
      </c>
      <c r="H144" s="52" t="s">
        <v>2714</v>
      </c>
      <c r="I144" s="52" t="s">
        <v>2537</v>
      </c>
      <c r="J144" s="636">
        <v>34438</v>
      </c>
      <c r="K144" s="52"/>
      <c r="L144" s="52"/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/>
      <c r="W144" s="54"/>
      <c r="X144" s="54"/>
      <c r="Y144" s="54">
        <f t="shared" si="4"/>
        <v>0</v>
      </c>
      <c r="Z144" s="52">
        <v>34438</v>
      </c>
      <c r="AA144" s="52">
        <v>8</v>
      </c>
      <c r="AB144" s="637">
        <v>44252</v>
      </c>
      <c r="AC144" s="637">
        <v>44292</v>
      </c>
      <c r="AD144" s="52"/>
      <c r="AE144" s="52"/>
      <c r="AF144" s="637"/>
      <c r="AG144" s="637"/>
      <c r="AH144" s="52"/>
      <c r="AI144" s="52"/>
      <c r="AJ144" s="637"/>
      <c r="AK144" s="637"/>
      <c r="AL144" s="52"/>
      <c r="AM144" s="52"/>
      <c r="AN144" s="637"/>
      <c r="AO144" s="637"/>
      <c r="AP144" s="52"/>
      <c r="AQ144" s="52"/>
      <c r="AR144" s="637"/>
      <c r="AS144" s="637"/>
      <c r="AT144" s="52"/>
      <c r="AU144" s="52"/>
      <c r="AV144" s="637"/>
      <c r="AW144" s="637"/>
      <c r="AX144" s="52"/>
      <c r="AY144" s="52"/>
      <c r="AZ144" s="637"/>
      <c r="BA144" s="637"/>
      <c r="BB144" s="52"/>
      <c r="BC144" s="52"/>
      <c r="BD144" s="637"/>
      <c r="BE144" s="637"/>
      <c r="BF144" s="137">
        <f t="shared" si="5"/>
        <v>34438</v>
      </c>
      <c r="BG144" s="43">
        <f t="shared" si="6"/>
        <v>34438</v>
      </c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</row>
    <row r="145" spans="1:99" s="96" customFormat="1" ht="22.5" customHeight="1">
      <c r="A145" s="39"/>
      <c r="B145" s="51">
        <v>130</v>
      </c>
      <c r="C145" s="51" t="s">
        <v>39</v>
      </c>
      <c r="D145" s="42">
        <v>30472638</v>
      </c>
      <c r="E145" s="52" t="s">
        <v>2865</v>
      </c>
      <c r="F145" s="52" t="s">
        <v>317</v>
      </c>
      <c r="G145" s="56" t="s">
        <v>2686</v>
      </c>
      <c r="H145" s="52" t="s">
        <v>2856</v>
      </c>
      <c r="I145" s="52" t="s">
        <v>2537</v>
      </c>
      <c r="J145" s="636">
        <v>79521</v>
      </c>
      <c r="K145" s="52"/>
      <c r="L145" s="52"/>
      <c r="M145" s="54">
        <v>0</v>
      </c>
      <c r="N145" s="54">
        <v>0</v>
      </c>
      <c r="O145" s="54">
        <v>13077.58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/>
      <c r="W145" s="54"/>
      <c r="X145" s="54"/>
      <c r="Y145" s="54">
        <f t="shared" ref="Y145:Y208" si="7">SUM(M145:X145)</f>
        <v>13077.58</v>
      </c>
      <c r="Z145" s="52">
        <v>1000</v>
      </c>
      <c r="AA145" s="52">
        <v>8</v>
      </c>
      <c r="AB145" s="637">
        <v>44252</v>
      </c>
      <c r="AC145" s="637">
        <v>44292</v>
      </c>
      <c r="AD145" s="52">
        <v>12077</v>
      </c>
      <c r="AE145" s="52">
        <v>10</v>
      </c>
      <c r="AF145" s="637">
        <v>44286</v>
      </c>
      <c r="AG145" s="637">
        <v>44306</v>
      </c>
      <c r="AH145" s="52"/>
      <c r="AI145" s="52"/>
      <c r="AJ145" s="637"/>
      <c r="AK145" s="637"/>
      <c r="AL145" s="52"/>
      <c r="AM145" s="52"/>
      <c r="AN145" s="637"/>
      <c r="AO145" s="637"/>
      <c r="AP145" s="52"/>
      <c r="AQ145" s="52"/>
      <c r="AR145" s="637"/>
      <c r="AS145" s="637"/>
      <c r="AT145" s="52"/>
      <c r="AU145" s="52"/>
      <c r="AV145" s="637"/>
      <c r="AW145" s="637"/>
      <c r="AX145" s="52"/>
      <c r="AY145" s="52"/>
      <c r="AZ145" s="637"/>
      <c r="BA145" s="637"/>
      <c r="BB145" s="52"/>
      <c r="BC145" s="52"/>
      <c r="BD145" s="637"/>
      <c r="BE145" s="637"/>
      <c r="BF145" s="137">
        <f t="shared" ref="BF145:BF208" si="8">+Z145+AD145+AH145+AL145+AP145+AT145+AX145+BB145</f>
        <v>13077</v>
      </c>
      <c r="BG145" s="43">
        <f t="shared" si="6"/>
        <v>-0.57999999999992724</v>
      </c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</row>
    <row r="146" spans="1:99" s="96" customFormat="1" ht="22.5" customHeight="1">
      <c r="A146" s="39"/>
      <c r="B146" s="51">
        <v>131</v>
      </c>
      <c r="C146" s="51" t="s">
        <v>39</v>
      </c>
      <c r="D146" s="42">
        <v>30476592</v>
      </c>
      <c r="E146" s="52" t="s">
        <v>2866</v>
      </c>
      <c r="F146" s="52" t="s">
        <v>317</v>
      </c>
      <c r="G146" s="56" t="s">
        <v>2686</v>
      </c>
      <c r="H146" s="52" t="s">
        <v>2727</v>
      </c>
      <c r="I146" s="52" t="s">
        <v>2537</v>
      </c>
      <c r="J146" s="636">
        <v>702911</v>
      </c>
      <c r="K146" s="52"/>
      <c r="L146" s="52"/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/>
      <c r="W146" s="54"/>
      <c r="X146" s="54"/>
      <c r="Y146" s="54">
        <f t="shared" si="7"/>
        <v>0</v>
      </c>
      <c r="Z146" s="52">
        <v>1000</v>
      </c>
      <c r="AA146" s="52">
        <v>1</v>
      </c>
      <c r="AB146" s="637">
        <v>44207</v>
      </c>
      <c r="AC146" s="637">
        <v>44249</v>
      </c>
      <c r="AD146" s="52">
        <v>-1000</v>
      </c>
      <c r="AE146" s="52">
        <v>39</v>
      </c>
      <c r="AF146" s="637">
        <v>44358</v>
      </c>
      <c r="AG146" s="637">
        <v>44364</v>
      </c>
      <c r="AH146" s="52"/>
      <c r="AI146" s="52"/>
      <c r="AJ146" s="637"/>
      <c r="AK146" s="637"/>
      <c r="AL146" s="52"/>
      <c r="AM146" s="52"/>
      <c r="AN146" s="637"/>
      <c r="AO146" s="637"/>
      <c r="AP146" s="52"/>
      <c r="AQ146" s="52"/>
      <c r="AR146" s="637"/>
      <c r="AS146" s="637"/>
      <c r="AT146" s="52"/>
      <c r="AU146" s="52"/>
      <c r="AV146" s="637"/>
      <c r="AW146" s="637"/>
      <c r="AX146" s="52"/>
      <c r="AY146" s="52"/>
      <c r="AZ146" s="637"/>
      <c r="BA146" s="637"/>
      <c r="BB146" s="52"/>
      <c r="BC146" s="52"/>
      <c r="BD146" s="637"/>
      <c r="BE146" s="637"/>
      <c r="BF146" s="137">
        <f t="shared" si="8"/>
        <v>0</v>
      </c>
      <c r="BG146" s="43">
        <f t="shared" si="6"/>
        <v>0</v>
      </c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</row>
    <row r="147" spans="1:99" s="96" customFormat="1" ht="22.5" customHeight="1">
      <c r="A147" s="39"/>
      <c r="B147" s="51">
        <v>132</v>
      </c>
      <c r="C147" s="51" t="s">
        <v>39</v>
      </c>
      <c r="D147" s="42">
        <v>30477033</v>
      </c>
      <c r="E147" s="52" t="s">
        <v>2867</v>
      </c>
      <c r="F147" s="52" t="s">
        <v>317</v>
      </c>
      <c r="G147" s="56" t="s">
        <v>2686</v>
      </c>
      <c r="H147" s="52" t="s">
        <v>2781</v>
      </c>
      <c r="I147" s="52" t="s">
        <v>2537</v>
      </c>
      <c r="J147" s="636">
        <v>47514</v>
      </c>
      <c r="K147" s="52"/>
      <c r="L147" s="52"/>
      <c r="M147" s="54">
        <v>0</v>
      </c>
      <c r="N147" s="54">
        <v>0</v>
      </c>
      <c r="O147" s="54">
        <v>0</v>
      </c>
      <c r="P147" s="54">
        <v>0</v>
      </c>
      <c r="Q147" s="54">
        <v>47513.527000000002</v>
      </c>
      <c r="R147" s="54">
        <v>0</v>
      </c>
      <c r="S147" s="54">
        <v>0</v>
      </c>
      <c r="T147" s="54">
        <v>0</v>
      </c>
      <c r="U147" s="54">
        <v>0</v>
      </c>
      <c r="V147" s="54"/>
      <c r="W147" s="54"/>
      <c r="X147" s="54"/>
      <c r="Y147" s="54">
        <f t="shared" si="7"/>
        <v>47513.527000000002</v>
      </c>
      <c r="Z147" s="52">
        <v>1000</v>
      </c>
      <c r="AA147" s="52">
        <v>8</v>
      </c>
      <c r="AB147" s="637">
        <v>44252</v>
      </c>
      <c r="AC147" s="637">
        <v>44292</v>
      </c>
      <c r="AD147" s="52">
        <v>46513</v>
      </c>
      <c r="AE147" s="52">
        <v>18</v>
      </c>
      <c r="AF147" s="637">
        <v>44327</v>
      </c>
      <c r="AG147" s="637">
        <v>44341</v>
      </c>
      <c r="AH147" s="52"/>
      <c r="AI147" s="52"/>
      <c r="AJ147" s="637"/>
      <c r="AK147" s="637"/>
      <c r="AL147" s="52"/>
      <c r="AM147" s="52"/>
      <c r="AN147" s="637"/>
      <c r="AO147" s="637"/>
      <c r="AP147" s="52"/>
      <c r="AQ147" s="52"/>
      <c r="AR147" s="637"/>
      <c r="AS147" s="637"/>
      <c r="AT147" s="52"/>
      <c r="AU147" s="52"/>
      <c r="AV147" s="637"/>
      <c r="AW147" s="637"/>
      <c r="AX147" s="52"/>
      <c r="AY147" s="52"/>
      <c r="AZ147" s="637"/>
      <c r="BA147" s="637"/>
      <c r="BB147" s="52"/>
      <c r="BC147" s="52"/>
      <c r="BD147" s="637"/>
      <c r="BE147" s="637"/>
      <c r="BF147" s="137">
        <f t="shared" si="8"/>
        <v>47513</v>
      </c>
      <c r="BG147" s="43">
        <f t="shared" ref="BG147:BG210" si="9">+BF147-Y147</f>
        <v>-0.52700000000186265</v>
      </c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</row>
    <row r="148" spans="1:99" s="96" customFormat="1" ht="22.5" customHeight="1">
      <c r="A148" s="39"/>
      <c r="B148" s="51">
        <v>133</v>
      </c>
      <c r="C148" s="51" t="s">
        <v>39</v>
      </c>
      <c r="D148" s="42">
        <v>30479336</v>
      </c>
      <c r="E148" s="52" t="s">
        <v>2868</v>
      </c>
      <c r="F148" s="52" t="s">
        <v>47</v>
      </c>
      <c r="G148" s="56" t="s">
        <v>2686</v>
      </c>
      <c r="H148" s="52" t="s">
        <v>2861</v>
      </c>
      <c r="I148" s="52" t="s">
        <v>2537</v>
      </c>
      <c r="J148" s="636">
        <v>55650</v>
      </c>
      <c r="K148" s="52"/>
      <c r="L148" s="52"/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/>
      <c r="W148" s="54"/>
      <c r="X148" s="54"/>
      <c r="Y148" s="54">
        <f t="shared" si="7"/>
        <v>0</v>
      </c>
      <c r="Z148" s="52">
        <v>1000</v>
      </c>
      <c r="AA148" s="52">
        <v>8</v>
      </c>
      <c r="AB148" s="637">
        <v>44252</v>
      </c>
      <c r="AC148" s="637">
        <v>44292</v>
      </c>
      <c r="AD148" s="52">
        <v>-1000</v>
      </c>
      <c r="AE148" s="52">
        <v>39</v>
      </c>
      <c r="AF148" s="637">
        <v>44358</v>
      </c>
      <c r="AG148" s="637">
        <v>44364</v>
      </c>
      <c r="AH148" s="52"/>
      <c r="AI148" s="52"/>
      <c r="AJ148" s="637"/>
      <c r="AK148" s="637"/>
      <c r="AL148" s="52"/>
      <c r="AM148" s="52"/>
      <c r="AN148" s="637"/>
      <c r="AO148" s="637"/>
      <c r="AP148" s="52"/>
      <c r="AQ148" s="52"/>
      <c r="AR148" s="637"/>
      <c r="AS148" s="637"/>
      <c r="AT148" s="52"/>
      <c r="AU148" s="52"/>
      <c r="AV148" s="637"/>
      <c r="AW148" s="637"/>
      <c r="AX148" s="52"/>
      <c r="AY148" s="52"/>
      <c r="AZ148" s="637"/>
      <c r="BA148" s="637"/>
      <c r="BB148" s="52"/>
      <c r="BC148" s="52"/>
      <c r="BD148" s="637"/>
      <c r="BE148" s="637"/>
      <c r="BF148" s="137">
        <f t="shared" si="8"/>
        <v>0</v>
      </c>
      <c r="BG148" s="43">
        <f t="shared" si="9"/>
        <v>0</v>
      </c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</row>
    <row r="149" spans="1:99" s="96" customFormat="1" ht="22.5" customHeight="1">
      <c r="A149" s="39"/>
      <c r="B149" s="51">
        <v>134</v>
      </c>
      <c r="C149" s="51" t="s">
        <v>39</v>
      </c>
      <c r="D149" s="42">
        <v>30479437</v>
      </c>
      <c r="E149" s="52" t="s">
        <v>2869</v>
      </c>
      <c r="F149" s="52" t="s">
        <v>317</v>
      </c>
      <c r="G149" s="56" t="s">
        <v>2686</v>
      </c>
      <c r="H149" s="52" t="s">
        <v>2746</v>
      </c>
      <c r="I149" s="52" t="s">
        <v>2537</v>
      </c>
      <c r="J149" s="636">
        <v>596175</v>
      </c>
      <c r="K149" s="52"/>
      <c r="L149" s="52"/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/>
      <c r="W149" s="54"/>
      <c r="X149" s="54"/>
      <c r="Y149" s="54">
        <f t="shared" si="7"/>
        <v>0</v>
      </c>
      <c r="Z149" s="52">
        <v>1000</v>
      </c>
      <c r="AA149" s="52">
        <v>1</v>
      </c>
      <c r="AB149" s="637">
        <v>44207</v>
      </c>
      <c r="AC149" s="637">
        <v>44249</v>
      </c>
      <c r="AD149" s="52">
        <v>-1000</v>
      </c>
      <c r="AE149" s="52">
        <v>39</v>
      </c>
      <c r="AF149" s="637">
        <v>44358</v>
      </c>
      <c r="AG149" s="637">
        <v>44364</v>
      </c>
      <c r="AH149" s="52"/>
      <c r="AI149" s="52"/>
      <c r="AJ149" s="637"/>
      <c r="AK149" s="637"/>
      <c r="AL149" s="52"/>
      <c r="AM149" s="52"/>
      <c r="AN149" s="637"/>
      <c r="AO149" s="637"/>
      <c r="AP149" s="52"/>
      <c r="AQ149" s="52"/>
      <c r="AR149" s="637"/>
      <c r="AS149" s="637"/>
      <c r="AT149" s="52"/>
      <c r="AU149" s="52"/>
      <c r="AV149" s="637"/>
      <c r="AW149" s="637"/>
      <c r="AX149" s="52"/>
      <c r="AY149" s="52"/>
      <c r="AZ149" s="637"/>
      <c r="BA149" s="637"/>
      <c r="BB149" s="52"/>
      <c r="BC149" s="52"/>
      <c r="BD149" s="637"/>
      <c r="BE149" s="637"/>
      <c r="BF149" s="137">
        <f t="shared" si="8"/>
        <v>0</v>
      </c>
      <c r="BG149" s="43">
        <f t="shared" si="9"/>
        <v>0</v>
      </c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</row>
    <row r="150" spans="1:99" s="96" customFormat="1" ht="22.5" customHeight="1">
      <c r="A150" s="39"/>
      <c r="B150" s="51">
        <v>135</v>
      </c>
      <c r="C150" s="51" t="s">
        <v>39</v>
      </c>
      <c r="D150" s="42">
        <v>30480702</v>
      </c>
      <c r="E150" s="52" t="s">
        <v>2870</v>
      </c>
      <c r="F150" s="52" t="s">
        <v>47</v>
      </c>
      <c r="G150" s="56" t="s">
        <v>2686</v>
      </c>
      <c r="H150" s="52" t="s">
        <v>2871</v>
      </c>
      <c r="I150" s="52" t="s">
        <v>2537</v>
      </c>
      <c r="J150" s="636">
        <v>621422</v>
      </c>
      <c r="K150" s="52"/>
      <c r="L150" s="52"/>
      <c r="M150" s="54">
        <v>0</v>
      </c>
      <c r="N150" s="54">
        <v>0</v>
      </c>
      <c r="O150" s="54">
        <v>44619.853000000003</v>
      </c>
      <c r="P150" s="54">
        <v>175950.527</v>
      </c>
      <c r="Q150" s="54">
        <v>1850</v>
      </c>
      <c r="R150" s="54">
        <v>134513.25899999999</v>
      </c>
      <c r="S150" s="54">
        <v>81205.356</v>
      </c>
      <c r="T150" s="54">
        <v>0</v>
      </c>
      <c r="U150" s="54">
        <v>1850</v>
      </c>
      <c r="V150" s="54"/>
      <c r="W150" s="54"/>
      <c r="X150" s="54"/>
      <c r="Y150" s="54">
        <f t="shared" si="7"/>
        <v>439988.995</v>
      </c>
      <c r="Z150" s="52">
        <v>1000</v>
      </c>
      <c r="AA150" s="52">
        <v>1</v>
      </c>
      <c r="AB150" s="637">
        <v>44207</v>
      </c>
      <c r="AC150" s="637">
        <v>44249</v>
      </c>
      <c r="AD150" s="52">
        <v>257400</v>
      </c>
      <c r="AE150" s="52">
        <v>10</v>
      </c>
      <c r="AF150" s="637">
        <v>44286</v>
      </c>
      <c r="AG150" s="637">
        <v>44306</v>
      </c>
      <c r="AH150" s="52">
        <v>158250</v>
      </c>
      <c r="AI150" s="52">
        <v>26</v>
      </c>
      <c r="AJ150" s="637">
        <v>44358</v>
      </c>
      <c r="AK150" s="637">
        <v>44364</v>
      </c>
      <c r="AL150" s="52">
        <v>27039</v>
      </c>
      <c r="AM150" s="52">
        <v>38</v>
      </c>
      <c r="AN150" s="637">
        <v>44358</v>
      </c>
      <c r="AO150" s="637">
        <v>44364</v>
      </c>
      <c r="AP150" s="52"/>
      <c r="AQ150" s="52"/>
      <c r="AR150" s="637"/>
      <c r="AS150" s="637"/>
      <c r="AT150" s="52"/>
      <c r="AU150" s="52"/>
      <c r="AV150" s="637"/>
      <c r="AW150" s="637"/>
      <c r="AX150" s="52"/>
      <c r="AY150" s="52"/>
      <c r="AZ150" s="637"/>
      <c r="BA150" s="637"/>
      <c r="BB150" s="52"/>
      <c r="BC150" s="52"/>
      <c r="BD150" s="637"/>
      <c r="BE150" s="637"/>
      <c r="BF150" s="137">
        <f t="shared" si="8"/>
        <v>443689</v>
      </c>
      <c r="BG150" s="43">
        <f t="shared" si="9"/>
        <v>3700.0050000000047</v>
      </c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</row>
    <row r="151" spans="1:99" s="96" customFormat="1" ht="22.5" customHeight="1">
      <c r="A151" s="39"/>
      <c r="B151" s="51">
        <v>136</v>
      </c>
      <c r="C151" s="51" t="s">
        <v>39</v>
      </c>
      <c r="D151" s="42">
        <v>30480944</v>
      </c>
      <c r="E151" s="52" t="s">
        <v>2872</v>
      </c>
      <c r="F151" s="52" t="s">
        <v>317</v>
      </c>
      <c r="G151" s="56" t="s">
        <v>2686</v>
      </c>
      <c r="H151" s="52" t="s">
        <v>2697</v>
      </c>
      <c r="I151" s="52" t="s">
        <v>2537</v>
      </c>
      <c r="J151" s="636">
        <v>15505</v>
      </c>
      <c r="K151" s="52"/>
      <c r="L151" s="52"/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15504.909</v>
      </c>
      <c r="S151" s="54">
        <v>0</v>
      </c>
      <c r="T151" s="54">
        <v>0</v>
      </c>
      <c r="U151" s="54">
        <v>0</v>
      </c>
      <c r="V151" s="54"/>
      <c r="W151" s="54"/>
      <c r="X151" s="54"/>
      <c r="Y151" s="54">
        <f t="shared" si="7"/>
        <v>15504.909</v>
      </c>
      <c r="Z151" s="52">
        <v>1000</v>
      </c>
      <c r="AA151" s="52">
        <v>8</v>
      </c>
      <c r="AB151" s="637">
        <v>44252</v>
      </c>
      <c r="AC151" s="637">
        <v>44292</v>
      </c>
      <c r="AD151" s="52">
        <v>14504</v>
      </c>
      <c r="AE151" s="52">
        <v>26</v>
      </c>
      <c r="AF151" s="637">
        <v>44358</v>
      </c>
      <c r="AG151" s="637">
        <v>44364</v>
      </c>
      <c r="AH151" s="52"/>
      <c r="AI151" s="52"/>
      <c r="AJ151" s="637"/>
      <c r="AK151" s="637"/>
      <c r="AL151" s="52"/>
      <c r="AM151" s="52"/>
      <c r="AN151" s="637"/>
      <c r="AO151" s="637"/>
      <c r="AP151" s="52"/>
      <c r="AQ151" s="52"/>
      <c r="AR151" s="637"/>
      <c r="AS151" s="637"/>
      <c r="AT151" s="52"/>
      <c r="AU151" s="52"/>
      <c r="AV151" s="637"/>
      <c r="AW151" s="637"/>
      <c r="AX151" s="52"/>
      <c r="AY151" s="52"/>
      <c r="AZ151" s="637"/>
      <c r="BA151" s="637"/>
      <c r="BB151" s="52"/>
      <c r="BC151" s="52"/>
      <c r="BD151" s="637"/>
      <c r="BE151" s="637"/>
      <c r="BF151" s="137">
        <f t="shared" si="8"/>
        <v>15504</v>
      </c>
      <c r="BG151" s="43">
        <f t="shared" si="9"/>
        <v>-0.90899999999965075</v>
      </c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</row>
    <row r="152" spans="1:99" s="96" customFormat="1" ht="22.5" customHeight="1">
      <c r="A152" s="39"/>
      <c r="B152" s="51">
        <v>137</v>
      </c>
      <c r="C152" s="51" t="s">
        <v>39</v>
      </c>
      <c r="D152" s="42">
        <v>30481690</v>
      </c>
      <c r="E152" s="52" t="s">
        <v>2873</v>
      </c>
      <c r="F152" s="52" t="s">
        <v>317</v>
      </c>
      <c r="G152" s="56" t="s">
        <v>2686</v>
      </c>
      <c r="H152" s="52" t="s">
        <v>2746</v>
      </c>
      <c r="I152" s="52" t="s">
        <v>2537</v>
      </c>
      <c r="J152" s="636">
        <v>2219</v>
      </c>
      <c r="K152" s="52"/>
      <c r="L152" s="52"/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/>
      <c r="W152" s="54"/>
      <c r="X152" s="54"/>
      <c r="Y152" s="54">
        <f t="shared" si="7"/>
        <v>0</v>
      </c>
      <c r="Z152" s="52">
        <v>1000</v>
      </c>
      <c r="AA152" s="52">
        <v>8</v>
      </c>
      <c r="AB152" s="637">
        <v>44252</v>
      </c>
      <c r="AC152" s="637">
        <v>44292</v>
      </c>
      <c r="AD152" s="52">
        <v>-1000</v>
      </c>
      <c r="AE152" s="52">
        <v>39</v>
      </c>
      <c r="AF152" s="637">
        <v>44358</v>
      </c>
      <c r="AG152" s="637">
        <v>44364</v>
      </c>
      <c r="AH152" s="52"/>
      <c r="AI152" s="52"/>
      <c r="AJ152" s="637"/>
      <c r="AK152" s="637"/>
      <c r="AL152" s="52"/>
      <c r="AM152" s="52"/>
      <c r="AN152" s="637"/>
      <c r="AO152" s="637"/>
      <c r="AP152" s="52"/>
      <c r="AQ152" s="52"/>
      <c r="AR152" s="637"/>
      <c r="AS152" s="637"/>
      <c r="AT152" s="52"/>
      <c r="AU152" s="52"/>
      <c r="AV152" s="637"/>
      <c r="AW152" s="637"/>
      <c r="AX152" s="52"/>
      <c r="AY152" s="52"/>
      <c r="AZ152" s="637"/>
      <c r="BA152" s="637"/>
      <c r="BB152" s="52"/>
      <c r="BC152" s="52"/>
      <c r="BD152" s="637"/>
      <c r="BE152" s="637"/>
      <c r="BF152" s="137">
        <f t="shared" si="8"/>
        <v>0</v>
      </c>
      <c r="BG152" s="43">
        <f t="shared" si="9"/>
        <v>0</v>
      </c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</row>
    <row r="153" spans="1:99" s="96" customFormat="1" ht="22.5" customHeight="1">
      <c r="A153" s="39"/>
      <c r="B153" s="51">
        <v>138</v>
      </c>
      <c r="C153" s="51" t="s">
        <v>131</v>
      </c>
      <c r="D153" s="42">
        <v>30482317</v>
      </c>
      <c r="E153" s="52" t="s">
        <v>2874</v>
      </c>
      <c r="F153" s="52" t="s">
        <v>317</v>
      </c>
      <c r="G153" s="56" t="s">
        <v>2686</v>
      </c>
      <c r="H153" s="52" t="s">
        <v>2756</v>
      </c>
      <c r="I153" s="52" t="s">
        <v>2537</v>
      </c>
      <c r="J153" s="636">
        <v>251172</v>
      </c>
      <c r="K153" s="52"/>
      <c r="L153" s="52"/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82756.134000000005</v>
      </c>
      <c r="T153" s="54">
        <v>90141.964999999997</v>
      </c>
      <c r="U153" s="54">
        <v>38100.463000000003</v>
      </c>
      <c r="V153" s="54"/>
      <c r="W153" s="54"/>
      <c r="X153" s="54"/>
      <c r="Y153" s="54">
        <f t="shared" si="7"/>
        <v>210998.56199999998</v>
      </c>
      <c r="Z153" s="52">
        <v>1000</v>
      </c>
      <c r="AA153" s="52">
        <v>1</v>
      </c>
      <c r="AB153" s="637">
        <v>44207</v>
      </c>
      <c r="AC153" s="637">
        <v>44249</v>
      </c>
      <c r="AD153" s="52">
        <v>200000</v>
      </c>
      <c r="AE153" s="52">
        <v>38</v>
      </c>
      <c r="AF153" s="637">
        <v>44358</v>
      </c>
      <c r="AG153" s="637">
        <v>44364</v>
      </c>
      <c r="AH153" s="52">
        <v>-1000</v>
      </c>
      <c r="AI153" s="52">
        <v>39</v>
      </c>
      <c r="AJ153" s="637">
        <v>44358</v>
      </c>
      <c r="AK153" s="637">
        <v>44364</v>
      </c>
      <c r="AL153" s="52"/>
      <c r="AM153" s="52"/>
      <c r="AN153" s="637"/>
      <c r="AO153" s="637"/>
      <c r="AP153" s="52"/>
      <c r="AQ153" s="52"/>
      <c r="AR153" s="637"/>
      <c r="AS153" s="637"/>
      <c r="AT153" s="52"/>
      <c r="AU153" s="52"/>
      <c r="AV153" s="637"/>
      <c r="AW153" s="637"/>
      <c r="AX153" s="52"/>
      <c r="AY153" s="52"/>
      <c r="AZ153" s="637"/>
      <c r="BA153" s="637"/>
      <c r="BB153" s="52"/>
      <c r="BC153" s="52"/>
      <c r="BD153" s="637"/>
      <c r="BE153" s="637"/>
      <c r="BF153" s="137">
        <f t="shared" si="8"/>
        <v>200000</v>
      </c>
      <c r="BG153" s="43">
        <f t="shared" si="9"/>
        <v>-10998.561999999976</v>
      </c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</row>
    <row r="154" spans="1:99" s="96" customFormat="1" ht="22.5" customHeight="1">
      <c r="A154" s="39"/>
      <c r="B154" s="51">
        <v>139</v>
      </c>
      <c r="C154" s="51" t="s">
        <v>39</v>
      </c>
      <c r="D154" s="42">
        <v>30483517</v>
      </c>
      <c r="E154" s="52" t="s">
        <v>2875</v>
      </c>
      <c r="F154" s="52" t="s">
        <v>317</v>
      </c>
      <c r="G154" s="56" t="s">
        <v>2686</v>
      </c>
      <c r="H154" s="52" t="s">
        <v>2788</v>
      </c>
      <c r="I154" s="52" t="s">
        <v>2540</v>
      </c>
      <c r="J154" s="636">
        <v>1500991</v>
      </c>
      <c r="K154" s="52"/>
      <c r="L154" s="52"/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/>
      <c r="W154" s="54"/>
      <c r="X154" s="54"/>
      <c r="Y154" s="54">
        <f t="shared" si="7"/>
        <v>0</v>
      </c>
      <c r="Z154" s="52">
        <v>1000</v>
      </c>
      <c r="AA154" s="52">
        <v>1</v>
      </c>
      <c r="AB154" s="637">
        <v>44207</v>
      </c>
      <c r="AC154" s="637">
        <v>44249</v>
      </c>
      <c r="AD154" s="52">
        <v>-1000</v>
      </c>
      <c r="AE154" s="52">
        <v>39</v>
      </c>
      <c r="AF154" s="637">
        <v>44358</v>
      </c>
      <c r="AG154" s="637">
        <v>44364</v>
      </c>
      <c r="AH154" s="52"/>
      <c r="AI154" s="52"/>
      <c r="AJ154" s="637"/>
      <c r="AK154" s="637"/>
      <c r="AL154" s="52"/>
      <c r="AM154" s="52"/>
      <c r="AN154" s="637"/>
      <c r="AO154" s="637"/>
      <c r="AP154" s="52"/>
      <c r="AQ154" s="52"/>
      <c r="AR154" s="637"/>
      <c r="AS154" s="637"/>
      <c r="AT154" s="52"/>
      <c r="AU154" s="52"/>
      <c r="AV154" s="637"/>
      <c r="AW154" s="637"/>
      <c r="AX154" s="52"/>
      <c r="AY154" s="52"/>
      <c r="AZ154" s="637"/>
      <c r="BA154" s="637"/>
      <c r="BB154" s="52"/>
      <c r="BC154" s="52"/>
      <c r="BD154" s="637"/>
      <c r="BE154" s="637"/>
      <c r="BF154" s="137">
        <f t="shared" si="8"/>
        <v>0</v>
      </c>
      <c r="BG154" s="43">
        <f t="shared" si="9"/>
        <v>0</v>
      </c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</row>
    <row r="155" spans="1:99" s="96" customFormat="1" ht="22.5" customHeight="1">
      <c r="A155" s="39"/>
      <c r="B155" s="51">
        <v>140</v>
      </c>
      <c r="C155" s="51" t="s">
        <v>39</v>
      </c>
      <c r="D155" s="42">
        <v>30483641</v>
      </c>
      <c r="E155" s="52" t="s">
        <v>2876</v>
      </c>
      <c r="F155" s="52" t="s">
        <v>317</v>
      </c>
      <c r="G155" s="56" t="s">
        <v>2686</v>
      </c>
      <c r="H155" s="52" t="s">
        <v>2718</v>
      </c>
      <c r="I155" s="52" t="s">
        <v>2537</v>
      </c>
      <c r="J155" s="636">
        <v>31244</v>
      </c>
      <c r="K155" s="52"/>
      <c r="L155" s="52"/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/>
      <c r="W155" s="54"/>
      <c r="X155" s="54"/>
      <c r="Y155" s="54">
        <f t="shared" si="7"/>
        <v>0</v>
      </c>
      <c r="Z155" s="52">
        <v>1000</v>
      </c>
      <c r="AA155" s="52">
        <v>1</v>
      </c>
      <c r="AB155" s="637">
        <v>44207</v>
      </c>
      <c r="AC155" s="637">
        <v>44249</v>
      </c>
      <c r="AD155" s="52">
        <v>-1000</v>
      </c>
      <c r="AE155" s="52">
        <v>39</v>
      </c>
      <c r="AF155" s="637">
        <v>44358</v>
      </c>
      <c r="AG155" s="637">
        <v>44364</v>
      </c>
      <c r="AH155" s="52"/>
      <c r="AI155" s="52"/>
      <c r="AJ155" s="637"/>
      <c r="AK155" s="637"/>
      <c r="AL155" s="52"/>
      <c r="AM155" s="52"/>
      <c r="AN155" s="637"/>
      <c r="AO155" s="637"/>
      <c r="AP155" s="52"/>
      <c r="AQ155" s="52"/>
      <c r="AR155" s="637"/>
      <c r="AS155" s="637"/>
      <c r="AT155" s="52"/>
      <c r="AU155" s="52"/>
      <c r="AV155" s="637"/>
      <c r="AW155" s="637"/>
      <c r="AX155" s="52"/>
      <c r="AY155" s="52"/>
      <c r="AZ155" s="637"/>
      <c r="BA155" s="637"/>
      <c r="BB155" s="52"/>
      <c r="BC155" s="52"/>
      <c r="BD155" s="637"/>
      <c r="BE155" s="637"/>
      <c r="BF155" s="137">
        <f t="shared" si="8"/>
        <v>0</v>
      </c>
      <c r="BG155" s="43">
        <f t="shared" si="9"/>
        <v>0</v>
      </c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</row>
    <row r="156" spans="1:99" s="96" customFormat="1" ht="33.75" customHeight="1">
      <c r="A156" s="39"/>
      <c r="B156" s="51">
        <v>141</v>
      </c>
      <c r="C156" s="51" t="s">
        <v>39</v>
      </c>
      <c r="D156" s="42">
        <v>30484245</v>
      </c>
      <c r="E156" s="52" t="s">
        <v>2877</v>
      </c>
      <c r="F156" s="52" t="s">
        <v>317</v>
      </c>
      <c r="G156" s="56" t="s">
        <v>2686</v>
      </c>
      <c r="H156" s="52" t="s">
        <v>2740</v>
      </c>
      <c r="I156" s="52" t="s">
        <v>2537</v>
      </c>
      <c r="J156" s="636">
        <v>2060782</v>
      </c>
      <c r="K156" s="52"/>
      <c r="L156" s="52"/>
      <c r="M156" s="54">
        <v>0</v>
      </c>
      <c r="N156" s="54">
        <v>169259.56099999999</v>
      </c>
      <c r="O156" s="54">
        <v>0</v>
      </c>
      <c r="P156" s="54">
        <v>0</v>
      </c>
      <c r="Q156" s="54">
        <v>338519.12099999998</v>
      </c>
      <c r="R156" s="54">
        <v>211825.44899999999</v>
      </c>
      <c r="S156" s="54">
        <v>631533.11800000002</v>
      </c>
      <c r="T156" s="54">
        <v>0</v>
      </c>
      <c r="U156" s="54">
        <v>328458.359</v>
      </c>
      <c r="V156" s="54"/>
      <c r="W156" s="54"/>
      <c r="X156" s="54"/>
      <c r="Y156" s="54">
        <f t="shared" si="7"/>
        <v>1679595.6079999998</v>
      </c>
      <c r="Z156" s="52">
        <v>1000</v>
      </c>
      <c r="AA156" s="52">
        <v>1</v>
      </c>
      <c r="AB156" s="637">
        <v>44207</v>
      </c>
      <c r="AC156" s="637">
        <v>44249</v>
      </c>
      <c r="AD156" s="52">
        <v>320000</v>
      </c>
      <c r="AE156" s="52">
        <v>8</v>
      </c>
      <c r="AF156" s="637">
        <v>44252</v>
      </c>
      <c r="AG156" s="637">
        <v>44292</v>
      </c>
      <c r="AH156" s="52">
        <v>600000</v>
      </c>
      <c r="AI156" s="52">
        <v>18</v>
      </c>
      <c r="AJ156" s="637">
        <v>44327</v>
      </c>
      <c r="AK156" s="637">
        <v>44341</v>
      </c>
      <c r="AL156" s="52">
        <v>51454</v>
      </c>
      <c r="AM156" s="52">
        <v>26</v>
      </c>
      <c r="AN156" s="637">
        <v>44358</v>
      </c>
      <c r="AO156" s="637">
        <v>44364</v>
      </c>
      <c r="AP156" s="52">
        <v>431138</v>
      </c>
      <c r="AQ156" s="52">
        <v>38</v>
      </c>
      <c r="AR156" s="637">
        <v>44358</v>
      </c>
      <c r="AS156" s="637">
        <v>44364</v>
      </c>
      <c r="AT156" s="52">
        <v>-52454</v>
      </c>
      <c r="AU156" s="52">
        <v>40</v>
      </c>
      <c r="AV156" s="637">
        <v>44358</v>
      </c>
      <c r="AW156" s="637">
        <v>44364</v>
      </c>
      <c r="AX156" s="52">
        <v>0</v>
      </c>
      <c r="AY156" s="52">
        <v>0</v>
      </c>
      <c r="AZ156" s="637"/>
      <c r="BA156" s="637"/>
      <c r="BB156" s="52"/>
      <c r="BC156" s="52"/>
      <c r="BD156" s="637"/>
      <c r="BE156" s="637"/>
      <c r="BF156" s="137">
        <f t="shared" si="8"/>
        <v>1351138</v>
      </c>
      <c r="BG156" s="43">
        <f t="shared" si="9"/>
        <v>-328457.60799999977</v>
      </c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</row>
    <row r="157" spans="1:99" s="96" customFormat="1" ht="22.5" customHeight="1">
      <c r="A157" s="39"/>
      <c r="B157" s="51">
        <v>142</v>
      </c>
      <c r="C157" s="51" t="s">
        <v>39</v>
      </c>
      <c r="D157" s="42">
        <v>30484489</v>
      </c>
      <c r="E157" s="52" t="s">
        <v>2878</v>
      </c>
      <c r="F157" s="52" t="s">
        <v>317</v>
      </c>
      <c r="G157" s="56" t="s">
        <v>2686</v>
      </c>
      <c r="H157" s="52" t="s">
        <v>2729</v>
      </c>
      <c r="I157" s="52" t="s">
        <v>2537</v>
      </c>
      <c r="J157" s="636">
        <v>91242</v>
      </c>
      <c r="K157" s="52"/>
      <c r="L157" s="52"/>
      <c r="M157" s="54">
        <v>21081.200000000001</v>
      </c>
      <c r="N157" s="54">
        <v>2500</v>
      </c>
      <c r="O157" s="54">
        <v>1250</v>
      </c>
      <c r="P157" s="54">
        <v>1250</v>
      </c>
      <c r="Q157" s="54">
        <v>0</v>
      </c>
      <c r="R157" s="54">
        <v>21081.200000000001</v>
      </c>
      <c r="S157" s="54">
        <v>1250</v>
      </c>
      <c r="T157" s="54">
        <v>0</v>
      </c>
      <c r="U157" s="54">
        <v>0</v>
      </c>
      <c r="V157" s="54"/>
      <c r="W157" s="54"/>
      <c r="X157" s="54"/>
      <c r="Y157" s="54">
        <f t="shared" si="7"/>
        <v>48412.4</v>
      </c>
      <c r="Z157" s="52">
        <v>1000</v>
      </c>
      <c r="AA157" s="52">
        <v>1</v>
      </c>
      <c r="AB157" s="637">
        <v>44207</v>
      </c>
      <c r="AC157" s="637">
        <v>44249</v>
      </c>
      <c r="AD157" s="52">
        <v>80000</v>
      </c>
      <c r="AE157" s="52">
        <v>4</v>
      </c>
      <c r="AF157" s="637">
        <v>44221</v>
      </c>
      <c r="AG157" s="637">
        <v>44280</v>
      </c>
      <c r="AH157" s="52"/>
      <c r="AI157" s="52"/>
      <c r="AJ157" s="637"/>
      <c r="AK157" s="637"/>
      <c r="AL157" s="52"/>
      <c r="AM157" s="52"/>
      <c r="AN157" s="637"/>
      <c r="AO157" s="637"/>
      <c r="AP157" s="52"/>
      <c r="AQ157" s="52"/>
      <c r="AR157" s="637"/>
      <c r="AS157" s="637"/>
      <c r="AT157" s="52"/>
      <c r="AU157" s="52"/>
      <c r="AV157" s="637"/>
      <c r="AW157" s="637"/>
      <c r="AX157" s="52"/>
      <c r="AY157" s="52"/>
      <c r="AZ157" s="637"/>
      <c r="BA157" s="637"/>
      <c r="BB157" s="52"/>
      <c r="BC157" s="52"/>
      <c r="BD157" s="637"/>
      <c r="BE157" s="637"/>
      <c r="BF157" s="137">
        <f t="shared" si="8"/>
        <v>81000</v>
      </c>
      <c r="BG157" s="43">
        <f t="shared" si="9"/>
        <v>32587.599999999999</v>
      </c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</row>
    <row r="158" spans="1:99" s="96" customFormat="1" ht="22.5" customHeight="1">
      <c r="A158" s="39"/>
      <c r="B158" s="51">
        <v>143</v>
      </c>
      <c r="C158" s="51" t="s">
        <v>39</v>
      </c>
      <c r="D158" s="42">
        <v>30484574</v>
      </c>
      <c r="E158" s="52" t="s">
        <v>2879</v>
      </c>
      <c r="F158" s="52" t="s">
        <v>317</v>
      </c>
      <c r="G158" s="56" t="s">
        <v>2686</v>
      </c>
      <c r="H158" s="52" t="s">
        <v>2880</v>
      </c>
      <c r="I158" s="52" t="s">
        <v>2537</v>
      </c>
      <c r="J158" s="636">
        <v>228500</v>
      </c>
      <c r="K158" s="52"/>
      <c r="L158" s="52"/>
      <c r="M158" s="54">
        <v>79106.737999999998</v>
      </c>
      <c r="N158" s="54">
        <v>55722.449000000001</v>
      </c>
      <c r="O158" s="54">
        <v>0</v>
      </c>
      <c r="P158" s="54">
        <v>0</v>
      </c>
      <c r="Q158" s="54">
        <v>0</v>
      </c>
      <c r="R158" s="54">
        <v>91772.769</v>
      </c>
      <c r="S158" s="54">
        <v>0</v>
      </c>
      <c r="T158" s="54">
        <v>0</v>
      </c>
      <c r="U158" s="54">
        <v>0</v>
      </c>
      <c r="V158" s="54"/>
      <c r="W158" s="54"/>
      <c r="X158" s="54"/>
      <c r="Y158" s="54">
        <f t="shared" si="7"/>
        <v>226601.95600000001</v>
      </c>
      <c r="Z158" s="52">
        <v>160000</v>
      </c>
      <c r="AA158" s="52">
        <v>4</v>
      </c>
      <c r="AB158" s="637">
        <v>44221</v>
      </c>
      <c r="AC158" s="637">
        <v>44280</v>
      </c>
      <c r="AD158" s="52">
        <v>28000</v>
      </c>
      <c r="AE158" s="52">
        <v>8</v>
      </c>
      <c r="AF158" s="637">
        <v>44252</v>
      </c>
      <c r="AG158" s="637">
        <v>44292</v>
      </c>
      <c r="AH158" s="52">
        <v>38601</v>
      </c>
      <c r="AI158" s="52">
        <v>26</v>
      </c>
      <c r="AJ158" s="637">
        <v>44358</v>
      </c>
      <c r="AK158" s="637">
        <v>44364</v>
      </c>
      <c r="AL158" s="52"/>
      <c r="AM158" s="52"/>
      <c r="AN158" s="637"/>
      <c r="AO158" s="637"/>
      <c r="AP158" s="52"/>
      <c r="AQ158" s="52"/>
      <c r="AR158" s="637"/>
      <c r="AS158" s="637"/>
      <c r="AT158" s="52"/>
      <c r="AU158" s="52"/>
      <c r="AV158" s="637"/>
      <c r="AW158" s="637"/>
      <c r="AX158" s="52"/>
      <c r="AY158" s="52"/>
      <c r="AZ158" s="637"/>
      <c r="BA158" s="637"/>
      <c r="BB158" s="52"/>
      <c r="BC158" s="52"/>
      <c r="BD158" s="637"/>
      <c r="BE158" s="637"/>
      <c r="BF158" s="137">
        <f t="shared" si="8"/>
        <v>226601</v>
      </c>
      <c r="BG158" s="43">
        <f t="shared" si="9"/>
        <v>-0.95600000000558794</v>
      </c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</row>
    <row r="159" spans="1:99" s="96" customFormat="1" ht="22.5" customHeight="1">
      <c r="A159" s="39"/>
      <c r="B159" s="51">
        <v>144</v>
      </c>
      <c r="C159" s="51" t="s">
        <v>39</v>
      </c>
      <c r="D159" s="42">
        <v>30485484</v>
      </c>
      <c r="E159" s="52" t="s">
        <v>2881</v>
      </c>
      <c r="F159" s="52" t="s">
        <v>317</v>
      </c>
      <c r="G159" s="56" t="s">
        <v>2686</v>
      </c>
      <c r="H159" s="52" t="s">
        <v>2697</v>
      </c>
      <c r="I159" s="52" t="s">
        <v>2540</v>
      </c>
      <c r="J159" s="636">
        <v>1840</v>
      </c>
      <c r="K159" s="52"/>
      <c r="L159" s="52"/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/>
      <c r="W159" s="54"/>
      <c r="X159" s="54"/>
      <c r="Y159" s="54">
        <f t="shared" si="7"/>
        <v>0</v>
      </c>
      <c r="Z159" s="52">
        <v>1000</v>
      </c>
      <c r="AA159" s="52">
        <v>1</v>
      </c>
      <c r="AB159" s="637">
        <v>44207</v>
      </c>
      <c r="AC159" s="637">
        <v>44249</v>
      </c>
      <c r="AD159" s="52">
        <v>-1000</v>
      </c>
      <c r="AE159" s="52">
        <v>39</v>
      </c>
      <c r="AF159" s="637">
        <v>44358</v>
      </c>
      <c r="AG159" s="637">
        <v>44364</v>
      </c>
      <c r="AH159" s="52"/>
      <c r="AI159" s="52"/>
      <c r="AJ159" s="637"/>
      <c r="AK159" s="637"/>
      <c r="AL159" s="52"/>
      <c r="AM159" s="52"/>
      <c r="AN159" s="637"/>
      <c r="AO159" s="637"/>
      <c r="AP159" s="52"/>
      <c r="AQ159" s="52"/>
      <c r="AR159" s="637"/>
      <c r="AS159" s="637"/>
      <c r="AT159" s="52"/>
      <c r="AU159" s="52"/>
      <c r="AV159" s="637"/>
      <c r="AW159" s="637"/>
      <c r="AX159" s="52"/>
      <c r="AY159" s="52"/>
      <c r="AZ159" s="637"/>
      <c r="BA159" s="637"/>
      <c r="BB159" s="52"/>
      <c r="BC159" s="52"/>
      <c r="BD159" s="637"/>
      <c r="BE159" s="637"/>
      <c r="BF159" s="137">
        <f t="shared" si="8"/>
        <v>0</v>
      </c>
      <c r="BG159" s="43">
        <f t="shared" si="9"/>
        <v>0</v>
      </c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</row>
    <row r="160" spans="1:99" s="96" customFormat="1" ht="22.5">
      <c r="A160" s="39"/>
      <c r="B160" s="51">
        <v>145</v>
      </c>
      <c r="C160" s="51" t="s">
        <v>39</v>
      </c>
      <c r="D160" s="42">
        <v>30485488</v>
      </c>
      <c r="E160" s="52" t="s">
        <v>2882</v>
      </c>
      <c r="F160" s="52" t="s">
        <v>317</v>
      </c>
      <c r="G160" s="56" t="s">
        <v>2686</v>
      </c>
      <c r="H160" s="52" t="s">
        <v>2697</v>
      </c>
      <c r="I160" s="52" t="s">
        <v>2537</v>
      </c>
      <c r="J160" s="636">
        <v>19930</v>
      </c>
      <c r="K160" s="52"/>
      <c r="L160" s="52"/>
      <c r="M160" s="54">
        <v>0</v>
      </c>
      <c r="N160" s="54">
        <v>19929.670999999998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2595.6</v>
      </c>
      <c r="U160" s="54">
        <v>0</v>
      </c>
      <c r="V160" s="54"/>
      <c r="W160" s="54"/>
      <c r="X160" s="54"/>
      <c r="Y160" s="54">
        <f t="shared" si="7"/>
        <v>22525.270999999997</v>
      </c>
      <c r="Z160" s="52">
        <v>19930</v>
      </c>
      <c r="AA160" s="52">
        <v>8</v>
      </c>
      <c r="AB160" s="637">
        <v>44252</v>
      </c>
      <c r="AC160" s="637">
        <v>44292</v>
      </c>
      <c r="AD160" s="52"/>
      <c r="AE160" s="52"/>
      <c r="AF160" s="637"/>
      <c r="AG160" s="637"/>
      <c r="AH160" s="52"/>
      <c r="AI160" s="52"/>
      <c r="AJ160" s="637"/>
      <c r="AK160" s="637"/>
      <c r="AL160" s="52"/>
      <c r="AM160" s="52"/>
      <c r="AN160" s="637"/>
      <c r="AO160" s="637"/>
      <c r="AP160" s="52"/>
      <c r="AQ160" s="52"/>
      <c r="AR160" s="637"/>
      <c r="AS160" s="637"/>
      <c r="AT160" s="52"/>
      <c r="AU160" s="52"/>
      <c r="AV160" s="637"/>
      <c r="AW160" s="637"/>
      <c r="AX160" s="52"/>
      <c r="AY160" s="52"/>
      <c r="AZ160" s="637"/>
      <c r="BA160" s="637"/>
      <c r="BB160" s="52"/>
      <c r="BC160" s="52"/>
      <c r="BD160" s="637"/>
      <c r="BE160" s="637"/>
      <c r="BF160" s="137">
        <f t="shared" si="8"/>
        <v>19930</v>
      </c>
      <c r="BG160" s="43">
        <f t="shared" si="9"/>
        <v>-2595.270999999997</v>
      </c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</row>
    <row r="161" spans="1:99" s="96" customFormat="1" ht="22.5" customHeight="1">
      <c r="A161" s="39"/>
      <c r="B161" s="51">
        <v>146</v>
      </c>
      <c r="C161" s="51" t="s">
        <v>39</v>
      </c>
      <c r="D161" s="42">
        <v>30486066</v>
      </c>
      <c r="E161" s="52" t="s">
        <v>2883</v>
      </c>
      <c r="F161" s="52" t="s">
        <v>317</v>
      </c>
      <c r="G161" s="56" t="s">
        <v>2686</v>
      </c>
      <c r="H161" s="52" t="s">
        <v>2777</v>
      </c>
      <c r="I161" s="52" t="s">
        <v>2537</v>
      </c>
      <c r="J161" s="636">
        <v>405915</v>
      </c>
      <c r="K161" s="52"/>
      <c r="L161" s="52"/>
      <c r="M161" s="54">
        <v>0</v>
      </c>
      <c r="N161" s="54">
        <v>58235.005999999994</v>
      </c>
      <c r="O161" s="54">
        <v>6315.5680000000002</v>
      </c>
      <c r="P161" s="54">
        <v>0</v>
      </c>
      <c r="Q161" s="54">
        <v>62610.66</v>
      </c>
      <c r="R161" s="54">
        <v>100369.591</v>
      </c>
      <c r="S161" s="54">
        <v>0</v>
      </c>
      <c r="T161" s="54">
        <v>0</v>
      </c>
      <c r="U161" s="54">
        <v>0</v>
      </c>
      <c r="V161" s="54"/>
      <c r="W161" s="54"/>
      <c r="X161" s="54"/>
      <c r="Y161" s="54">
        <f t="shared" si="7"/>
        <v>227530.82500000001</v>
      </c>
      <c r="Z161" s="52">
        <v>200000</v>
      </c>
      <c r="AA161" s="52">
        <v>8</v>
      </c>
      <c r="AB161" s="637">
        <v>44252</v>
      </c>
      <c r="AC161" s="637">
        <v>44292</v>
      </c>
      <c r="AD161" s="52">
        <v>140000</v>
      </c>
      <c r="AE161" s="52">
        <v>26</v>
      </c>
      <c r="AF161" s="637">
        <v>44358</v>
      </c>
      <c r="AG161" s="637">
        <v>44364</v>
      </c>
      <c r="AH161" s="52">
        <v>37195</v>
      </c>
      <c r="AI161" s="52">
        <v>40</v>
      </c>
      <c r="AJ161" s="637">
        <v>44358</v>
      </c>
      <c r="AK161" s="637">
        <v>44364</v>
      </c>
      <c r="AL161" s="52"/>
      <c r="AM161" s="52"/>
      <c r="AN161" s="637"/>
      <c r="AO161" s="637"/>
      <c r="AP161" s="52"/>
      <c r="AQ161" s="52"/>
      <c r="AR161" s="637"/>
      <c r="AS161" s="637"/>
      <c r="AT161" s="52"/>
      <c r="AU161" s="52"/>
      <c r="AV161" s="637"/>
      <c r="AW161" s="637"/>
      <c r="AX161" s="52"/>
      <c r="AY161" s="52"/>
      <c r="AZ161" s="637"/>
      <c r="BA161" s="637"/>
      <c r="BB161" s="52"/>
      <c r="BC161" s="52"/>
      <c r="BD161" s="637"/>
      <c r="BE161" s="637"/>
      <c r="BF161" s="137">
        <f t="shared" si="8"/>
        <v>377195</v>
      </c>
      <c r="BG161" s="43">
        <f t="shared" si="9"/>
        <v>149664.17499999999</v>
      </c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</row>
    <row r="162" spans="1:99" s="96" customFormat="1" ht="22.5" customHeight="1">
      <c r="A162" s="39"/>
      <c r="B162" s="51">
        <v>147</v>
      </c>
      <c r="C162" s="51" t="s">
        <v>39</v>
      </c>
      <c r="D162" s="42">
        <v>30486419</v>
      </c>
      <c r="E162" s="52" t="s">
        <v>2884</v>
      </c>
      <c r="F162" s="52" t="s">
        <v>317</v>
      </c>
      <c r="G162" s="56" t="s">
        <v>2686</v>
      </c>
      <c r="H162" s="52" t="s">
        <v>2805</v>
      </c>
      <c r="I162" s="52" t="s">
        <v>2537</v>
      </c>
      <c r="J162" s="636">
        <v>469931</v>
      </c>
      <c r="K162" s="52"/>
      <c r="L162" s="52"/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17858.567999999999</v>
      </c>
      <c r="S162" s="54">
        <v>0</v>
      </c>
      <c r="T162" s="54">
        <v>0</v>
      </c>
      <c r="U162" s="54">
        <v>34255.263999999996</v>
      </c>
      <c r="V162" s="54"/>
      <c r="W162" s="54"/>
      <c r="X162" s="54"/>
      <c r="Y162" s="54">
        <f t="shared" si="7"/>
        <v>52113.831999999995</v>
      </c>
      <c r="Z162" s="52">
        <v>1000</v>
      </c>
      <c r="AA162" s="52">
        <v>1</v>
      </c>
      <c r="AB162" s="637">
        <v>44207</v>
      </c>
      <c r="AC162" s="637">
        <v>44249</v>
      </c>
      <c r="AD162" s="52">
        <v>16859</v>
      </c>
      <c r="AE162" s="52">
        <v>26</v>
      </c>
      <c r="AF162" s="637">
        <v>44358</v>
      </c>
      <c r="AG162" s="637">
        <v>44364</v>
      </c>
      <c r="AH162" s="52">
        <v>34255</v>
      </c>
      <c r="AI162" s="52">
        <v>40</v>
      </c>
      <c r="AJ162" s="637">
        <v>44358</v>
      </c>
      <c r="AK162" s="637">
        <v>44364</v>
      </c>
      <c r="AL162" s="52"/>
      <c r="AM162" s="52"/>
      <c r="AN162" s="637"/>
      <c r="AO162" s="637"/>
      <c r="AP162" s="52"/>
      <c r="AQ162" s="52"/>
      <c r="AR162" s="637"/>
      <c r="AS162" s="637"/>
      <c r="AT162" s="52"/>
      <c r="AU162" s="52"/>
      <c r="AV162" s="637"/>
      <c r="AW162" s="637"/>
      <c r="AX162" s="52"/>
      <c r="AY162" s="52"/>
      <c r="AZ162" s="637"/>
      <c r="BA162" s="637"/>
      <c r="BB162" s="52"/>
      <c r="BC162" s="52"/>
      <c r="BD162" s="637"/>
      <c r="BE162" s="637"/>
      <c r="BF162" s="137">
        <f t="shared" si="8"/>
        <v>52114</v>
      </c>
      <c r="BG162" s="43">
        <f t="shared" si="9"/>
        <v>0.16800000000512227</v>
      </c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</row>
    <row r="163" spans="1:99" s="96" customFormat="1" ht="22.5" customHeight="1">
      <c r="A163" s="39"/>
      <c r="B163" s="51">
        <v>148</v>
      </c>
      <c r="C163" s="51" t="s">
        <v>39</v>
      </c>
      <c r="D163" s="42">
        <v>30486659</v>
      </c>
      <c r="E163" s="52" t="s">
        <v>2885</v>
      </c>
      <c r="F163" s="52" t="s">
        <v>317</v>
      </c>
      <c r="G163" s="56" t="s">
        <v>2686</v>
      </c>
      <c r="H163" s="52" t="s">
        <v>2777</v>
      </c>
      <c r="I163" s="52" t="s">
        <v>2537</v>
      </c>
      <c r="J163" s="636">
        <v>615872</v>
      </c>
      <c r="K163" s="52"/>
      <c r="L163" s="52"/>
      <c r="M163" s="54">
        <v>34874.498</v>
      </c>
      <c r="N163" s="54">
        <v>12671.746999999999</v>
      </c>
      <c r="O163" s="54">
        <v>36130.258000000002</v>
      </c>
      <c r="P163" s="54">
        <v>114600.41800000001</v>
      </c>
      <c r="Q163" s="54">
        <v>0</v>
      </c>
      <c r="R163" s="54">
        <v>121477.27800000001</v>
      </c>
      <c r="S163" s="54">
        <v>0</v>
      </c>
      <c r="T163" s="54">
        <v>88160.07</v>
      </c>
      <c r="U163" s="54">
        <v>0</v>
      </c>
      <c r="V163" s="54"/>
      <c r="W163" s="54"/>
      <c r="X163" s="54"/>
      <c r="Y163" s="54">
        <f t="shared" si="7"/>
        <v>407914.26900000003</v>
      </c>
      <c r="Z163" s="52">
        <v>1000</v>
      </c>
      <c r="AA163" s="52">
        <v>1</v>
      </c>
      <c r="AB163" s="637">
        <v>44207</v>
      </c>
      <c r="AC163" s="637">
        <v>44249</v>
      </c>
      <c r="AD163" s="52">
        <v>200000</v>
      </c>
      <c r="AE163" s="52">
        <v>4</v>
      </c>
      <c r="AF163" s="637">
        <v>44221</v>
      </c>
      <c r="AG163" s="637">
        <v>44280</v>
      </c>
      <c r="AH163" s="52">
        <v>220000</v>
      </c>
      <c r="AI163" s="52">
        <v>26</v>
      </c>
      <c r="AJ163" s="637">
        <v>44358</v>
      </c>
      <c r="AK163" s="637">
        <v>44364</v>
      </c>
      <c r="AL163" s="52">
        <v>-1000</v>
      </c>
      <c r="AM163" s="52">
        <v>39</v>
      </c>
      <c r="AN163" s="637">
        <v>44358</v>
      </c>
      <c r="AO163" s="637">
        <v>44364</v>
      </c>
      <c r="AP163" s="52"/>
      <c r="AQ163" s="52"/>
      <c r="AR163" s="637"/>
      <c r="AS163" s="637"/>
      <c r="AT163" s="52"/>
      <c r="AU163" s="52"/>
      <c r="AV163" s="637"/>
      <c r="AW163" s="637"/>
      <c r="AX163" s="52"/>
      <c r="AY163" s="52"/>
      <c r="AZ163" s="637"/>
      <c r="BA163" s="637"/>
      <c r="BB163" s="52"/>
      <c r="BC163" s="52"/>
      <c r="BD163" s="637"/>
      <c r="BE163" s="637"/>
      <c r="BF163" s="137">
        <f t="shared" si="8"/>
        <v>420000</v>
      </c>
      <c r="BG163" s="43">
        <f t="shared" si="9"/>
        <v>12085.730999999971</v>
      </c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</row>
    <row r="164" spans="1:99" s="96" customFormat="1" ht="22.5">
      <c r="A164" s="39"/>
      <c r="B164" s="51">
        <v>149</v>
      </c>
      <c r="C164" s="51" t="s">
        <v>39</v>
      </c>
      <c r="D164" s="42">
        <v>30486687</v>
      </c>
      <c r="E164" s="52" t="s">
        <v>2886</v>
      </c>
      <c r="F164" s="52" t="s">
        <v>317</v>
      </c>
      <c r="G164" s="56" t="s">
        <v>2686</v>
      </c>
      <c r="H164" s="52" t="s">
        <v>2697</v>
      </c>
      <c r="I164" s="52" t="s">
        <v>2537</v>
      </c>
      <c r="J164" s="636">
        <v>144375</v>
      </c>
      <c r="K164" s="52"/>
      <c r="L164" s="52"/>
      <c r="M164" s="54">
        <v>74813.534</v>
      </c>
      <c r="N164" s="54">
        <v>0</v>
      </c>
      <c r="O164" s="54">
        <v>69560.493000000002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/>
      <c r="W164" s="54"/>
      <c r="X164" s="54"/>
      <c r="Y164" s="54">
        <f t="shared" si="7"/>
        <v>144374.027</v>
      </c>
      <c r="Z164" s="52">
        <v>144374</v>
      </c>
      <c r="AA164" s="52">
        <v>4</v>
      </c>
      <c r="AB164" s="637">
        <v>44221</v>
      </c>
      <c r="AC164" s="637">
        <v>44280</v>
      </c>
      <c r="AD164" s="52"/>
      <c r="AE164" s="52"/>
      <c r="AF164" s="637"/>
      <c r="AG164" s="637"/>
      <c r="AH164" s="52"/>
      <c r="AI164" s="52"/>
      <c r="AJ164" s="637"/>
      <c r="AK164" s="637"/>
      <c r="AL164" s="52"/>
      <c r="AM164" s="52"/>
      <c r="AN164" s="637"/>
      <c r="AO164" s="637"/>
      <c r="AP164" s="52"/>
      <c r="AQ164" s="52"/>
      <c r="AR164" s="637"/>
      <c r="AS164" s="637"/>
      <c r="AT164" s="52"/>
      <c r="AU164" s="52"/>
      <c r="AV164" s="637"/>
      <c r="AW164" s="637"/>
      <c r="AX164" s="52"/>
      <c r="AY164" s="52"/>
      <c r="AZ164" s="637"/>
      <c r="BA164" s="637"/>
      <c r="BB164" s="52"/>
      <c r="BC164" s="52"/>
      <c r="BD164" s="637"/>
      <c r="BE164" s="637"/>
      <c r="BF164" s="137">
        <f t="shared" si="8"/>
        <v>144374</v>
      </c>
      <c r="BG164" s="43">
        <f t="shared" si="9"/>
        <v>-2.7000000001862645E-2</v>
      </c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</row>
    <row r="165" spans="1:99" s="96" customFormat="1" ht="22.5" customHeight="1">
      <c r="A165" s="39"/>
      <c r="B165" s="51">
        <v>150</v>
      </c>
      <c r="C165" s="51" t="s">
        <v>39</v>
      </c>
      <c r="D165" s="42">
        <v>30486983</v>
      </c>
      <c r="E165" s="52" t="s">
        <v>2887</v>
      </c>
      <c r="F165" s="52" t="s">
        <v>317</v>
      </c>
      <c r="G165" s="56" t="s">
        <v>2686</v>
      </c>
      <c r="H165" s="52" t="s">
        <v>2777</v>
      </c>
      <c r="I165" s="52" t="s">
        <v>2537</v>
      </c>
      <c r="J165" s="636">
        <v>1321691</v>
      </c>
      <c r="K165" s="52"/>
      <c r="L165" s="52"/>
      <c r="M165" s="54">
        <v>328564.03899999999</v>
      </c>
      <c r="N165" s="54">
        <v>0</v>
      </c>
      <c r="O165" s="54">
        <v>0</v>
      </c>
      <c r="P165" s="54">
        <v>0</v>
      </c>
      <c r="Q165" s="54">
        <v>339935.38099999999</v>
      </c>
      <c r="R165" s="54">
        <v>0</v>
      </c>
      <c r="S165" s="54">
        <v>139893.345</v>
      </c>
      <c r="T165" s="54">
        <v>0</v>
      </c>
      <c r="U165" s="54">
        <v>0</v>
      </c>
      <c r="V165" s="54"/>
      <c r="W165" s="54"/>
      <c r="X165" s="54"/>
      <c r="Y165" s="54">
        <f t="shared" si="7"/>
        <v>808392.7649999999</v>
      </c>
      <c r="Z165" s="52">
        <v>1000</v>
      </c>
      <c r="AA165" s="52">
        <v>1</v>
      </c>
      <c r="AB165" s="637">
        <v>44207</v>
      </c>
      <c r="AC165" s="637">
        <v>44249</v>
      </c>
      <c r="AD165" s="52">
        <v>600000</v>
      </c>
      <c r="AE165" s="52">
        <v>4</v>
      </c>
      <c r="AF165" s="637">
        <v>44221</v>
      </c>
      <c r="AG165" s="637">
        <v>44280</v>
      </c>
      <c r="AH165" s="52">
        <v>200000</v>
      </c>
      <c r="AI165" s="52">
        <v>23</v>
      </c>
      <c r="AJ165" s="637">
        <v>44340</v>
      </c>
      <c r="AK165" s="637">
        <v>44350</v>
      </c>
      <c r="AL165" s="52">
        <v>7393</v>
      </c>
      <c r="AM165" s="52">
        <v>38</v>
      </c>
      <c r="AN165" s="637">
        <v>44358</v>
      </c>
      <c r="AO165" s="637">
        <v>44364</v>
      </c>
      <c r="AP165" s="52"/>
      <c r="AQ165" s="52"/>
      <c r="AR165" s="637"/>
      <c r="AS165" s="637"/>
      <c r="AT165" s="52"/>
      <c r="AU165" s="52"/>
      <c r="AV165" s="637"/>
      <c r="AW165" s="637"/>
      <c r="AX165" s="52"/>
      <c r="AY165" s="52"/>
      <c r="AZ165" s="637"/>
      <c r="BA165" s="637"/>
      <c r="BB165" s="52"/>
      <c r="BC165" s="52"/>
      <c r="BD165" s="637"/>
      <c r="BE165" s="637"/>
      <c r="BF165" s="137">
        <f t="shared" si="8"/>
        <v>808393</v>
      </c>
      <c r="BG165" s="43">
        <f t="shared" si="9"/>
        <v>0.23500000010244548</v>
      </c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</row>
    <row r="166" spans="1:99" s="96" customFormat="1" ht="22.5" customHeight="1">
      <c r="A166" s="39"/>
      <c r="B166" s="51">
        <v>151</v>
      </c>
      <c r="C166" s="51" t="s">
        <v>39</v>
      </c>
      <c r="D166" s="42">
        <v>30487072</v>
      </c>
      <c r="E166" s="52" t="s">
        <v>2888</v>
      </c>
      <c r="F166" s="52" t="s">
        <v>317</v>
      </c>
      <c r="G166" s="56" t="s">
        <v>2686</v>
      </c>
      <c r="H166" s="52" t="s">
        <v>2756</v>
      </c>
      <c r="I166" s="52" t="s">
        <v>2537</v>
      </c>
      <c r="J166" s="636">
        <v>1482032</v>
      </c>
      <c r="K166" s="52"/>
      <c r="L166" s="52"/>
      <c r="M166" s="54">
        <v>0</v>
      </c>
      <c r="N166" s="54">
        <v>290540.23700000002</v>
      </c>
      <c r="O166" s="54">
        <v>358396.13</v>
      </c>
      <c r="P166" s="54">
        <v>236418.66399999999</v>
      </c>
      <c r="Q166" s="54">
        <v>249488.49</v>
      </c>
      <c r="R166" s="54">
        <v>168654.88500000001</v>
      </c>
      <c r="S166" s="54">
        <v>0</v>
      </c>
      <c r="T166" s="54">
        <v>4696.7740000000003</v>
      </c>
      <c r="U166" s="54">
        <v>0</v>
      </c>
      <c r="V166" s="54"/>
      <c r="W166" s="54"/>
      <c r="X166" s="54"/>
      <c r="Y166" s="54">
        <f t="shared" si="7"/>
        <v>1308195.1800000002</v>
      </c>
      <c r="Z166" s="52">
        <v>1000</v>
      </c>
      <c r="AA166" s="52">
        <v>1</v>
      </c>
      <c r="AB166" s="637">
        <v>44207</v>
      </c>
      <c r="AC166" s="637">
        <v>44249</v>
      </c>
      <c r="AD166" s="52">
        <v>600000</v>
      </c>
      <c r="AE166" s="52">
        <v>8</v>
      </c>
      <c r="AF166" s="637">
        <v>44252</v>
      </c>
      <c r="AG166" s="637">
        <v>44292</v>
      </c>
      <c r="AH166" s="52">
        <v>505400</v>
      </c>
      <c r="AI166" s="52">
        <v>10</v>
      </c>
      <c r="AJ166" s="637">
        <v>44286</v>
      </c>
      <c r="AK166" s="637">
        <v>44306</v>
      </c>
      <c r="AL166" s="52">
        <v>640</v>
      </c>
      <c r="AM166" s="52">
        <v>11</v>
      </c>
      <c r="AN166" s="637">
        <v>44299</v>
      </c>
      <c r="AO166" s="637">
        <v>44312</v>
      </c>
      <c r="AP166" s="52">
        <v>227997</v>
      </c>
      <c r="AQ166" s="52">
        <v>23</v>
      </c>
      <c r="AR166" s="637">
        <v>44340</v>
      </c>
      <c r="AS166" s="637">
        <v>44350</v>
      </c>
      <c r="AT166" s="52">
        <v>4697</v>
      </c>
      <c r="AU166" s="52">
        <v>40</v>
      </c>
      <c r="AV166" s="637">
        <v>44358</v>
      </c>
      <c r="AW166" s="637">
        <v>44364</v>
      </c>
      <c r="AX166" s="52">
        <v>0</v>
      </c>
      <c r="AY166" s="52">
        <v>0</v>
      </c>
      <c r="AZ166" s="637"/>
      <c r="BA166" s="637"/>
      <c r="BB166" s="52"/>
      <c r="BC166" s="52"/>
      <c r="BD166" s="637"/>
      <c r="BE166" s="637"/>
      <c r="BF166" s="137">
        <f t="shared" si="8"/>
        <v>1339734</v>
      </c>
      <c r="BG166" s="43">
        <f t="shared" si="9"/>
        <v>31538.819999999832</v>
      </c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</row>
    <row r="167" spans="1:99" s="96" customFormat="1" ht="22.5" customHeight="1">
      <c r="A167" s="39"/>
      <c r="B167" s="51">
        <v>152</v>
      </c>
      <c r="C167" s="51" t="s">
        <v>39</v>
      </c>
      <c r="D167" s="42">
        <v>30487184</v>
      </c>
      <c r="E167" s="52" t="s">
        <v>2889</v>
      </c>
      <c r="F167" s="52" t="s">
        <v>317</v>
      </c>
      <c r="G167" s="56" t="s">
        <v>2686</v>
      </c>
      <c r="H167" s="52" t="s">
        <v>2756</v>
      </c>
      <c r="I167" s="52" t="s">
        <v>2537</v>
      </c>
      <c r="J167" s="636">
        <v>68862</v>
      </c>
      <c r="K167" s="52"/>
      <c r="L167" s="52"/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/>
      <c r="W167" s="54"/>
      <c r="X167" s="54"/>
      <c r="Y167" s="54">
        <f t="shared" si="7"/>
        <v>0</v>
      </c>
      <c r="Z167" s="52">
        <v>1000</v>
      </c>
      <c r="AA167" s="52">
        <v>8</v>
      </c>
      <c r="AB167" s="637">
        <v>44252</v>
      </c>
      <c r="AC167" s="637">
        <v>44292</v>
      </c>
      <c r="AD167" s="52">
        <v>-1000</v>
      </c>
      <c r="AE167" s="52">
        <v>39</v>
      </c>
      <c r="AF167" s="637">
        <v>44358</v>
      </c>
      <c r="AG167" s="637">
        <v>44364</v>
      </c>
      <c r="AH167" s="52"/>
      <c r="AI167" s="52"/>
      <c r="AJ167" s="637"/>
      <c r="AK167" s="637"/>
      <c r="AL167" s="52"/>
      <c r="AM167" s="52"/>
      <c r="AN167" s="637"/>
      <c r="AO167" s="637"/>
      <c r="AP167" s="52"/>
      <c r="AQ167" s="52"/>
      <c r="AR167" s="637"/>
      <c r="AS167" s="637"/>
      <c r="AT167" s="52"/>
      <c r="AU167" s="52"/>
      <c r="AV167" s="637"/>
      <c r="AW167" s="637"/>
      <c r="AX167" s="52"/>
      <c r="AY167" s="52"/>
      <c r="AZ167" s="637"/>
      <c r="BA167" s="637"/>
      <c r="BB167" s="52"/>
      <c r="BC167" s="52"/>
      <c r="BD167" s="637"/>
      <c r="BE167" s="637"/>
      <c r="BF167" s="137">
        <f t="shared" si="8"/>
        <v>0</v>
      </c>
      <c r="BG167" s="43">
        <f t="shared" si="9"/>
        <v>0</v>
      </c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</row>
    <row r="168" spans="1:99" s="96" customFormat="1" ht="33.75" customHeight="1">
      <c r="A168" s="39"/>
      <c r="B168" s="51">
        <v>153</v>
      </c>
      <c r="C168" s="51" t="s">
        <v>39</v>
      </c>
      <c r="D168" s="42">
        <v>30487218</v>
      </c>
      <c r="E168" s="52" t="s">
        <v>2890</v>
      </c>
      <c r="F168" s="52" t="s">
        <v>317</v>
      </c>
      <c r="G168" s="56" t="s">
        <v>2686</v>
      </c>
      <c r="H168" s="52" t="s">
        <v>2744</v>
      </c>
      <c r="I168" s="52" t="s">
        <v>2537</v>
      </c>
      <c r="J168" s="636">
        <v>1345954</v>
      </c>
      <c r="K168" s="52"/>
      <c r="L168" s="52"/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/>
      <c r="W168" s="54"/>
      <c r="X168" s="54"/>
      <c r="Y168" s="54">
        <f t="shared" si="7"/>
        <v>0</v>
      </c>
      <c r="Z168" s="52">
        <v>1000</v>
      </c>
      <c r="AA168" s="52">
        <v>1</v>
      </c>
      <c r="AB168" s="637">
        <v>44207</v>
      </c>
      <c r="AC168" s="637">
        <v>44249</v>
      </c>
      <c r="AD168" s="52">
        <v>-1000</v>
      </c>
      <c r="AE168" s="52">
        <v>39</v>
      </c>
      <c r="AF168" s="637">
        <v>44358</v>
      </c>
      <c r="AG168" s="637">
        <v>44364</v>
      </c>
      <c r="AH168" s="52"/>
      <c r="AI168" s="52"/>
      <c r="AJ168" s="637"/>
      <c r="AK168" s="637"/>
      <c r="AL168" s="52"/>
      <c r="AM168" s="52"/>
      <c r="AN168" s="637"/>
      <c r="AO168" s="637"/>
      <c r="AP168" s="52"/>
      <c r="AQ168" s="52"/>
      <c r="AR168" s="637"/>
      <c r="AS168" s="637"/>
      <c r="AT168" s="52"/>
      <c r="AU168" s="52"/>
      <c r="AV168" s="637"/>
      <c r="AW168" s="637"/>
      <c r="AX168" s="52"/>
      <c r="AY168" s="52"/>
      <c r="AZ168" s="637"/>
      <c r="BA168" s="637"/>
      <c r="BB168" s="52"/>
      <c r="BC168" s="52"/>
      <c r="BD168" s="637"/>
      <c r="BE168" s="637"/>
      <c r="BF168" s="137">
        <f t="shared" si="8"/>
        <v>0</v>
      </c>
      <c r="BG168" s="43">
        <f t="shared" si="9"/>
        <v>0</v>
      </c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</row>
    <row r="169" spans="1:99" s="96" customFormat="1" ht="22.5" customHeight="1">
      <c r="A169" s="39"/>
      <c r="B169" s="51">
        <v>154</v>
      </c>
      <c r="C169" s="51" t="s">
        <v>39</v>
      </c>
      <c r="D169" s="42">
        <v>30487247</v>
      </c>
      <c r="E169" s="52" t="s">
        <v>2891</v>
      </c>
      <c r="F169" s="52" t="s">
        <v>317</v>
      </c>
      <c r="G169" s="56" t="s">
        <v>2686</v>
      </c>
      <c r="H169" s="52" t="s">
        <v>2691</v>
      </c>
      <c r="I169" s="52" t="s">
        <v>2537</v>
      </c>
      <c r="J169" s="636">
        <v>899492</v>
      </c>
      <c r="K169" s="52"/>
      <c r="L169" s="52"/>
      <c r="M169" s="54">
        <v>2600</v>
      </c>
      <c r="N169" s="54">
        <v>149555.424</v>
      </c>
      <c r="O169" s="54">
        <v>94612.672000000006</v>
      </c>
      <c r="P169" s="54">
        <v>53011.947999999997</v>
      </c>
      <c r="Q169" s="54">
        <v>1300</v>
      </c>
      <c r="R169" s="54">
        <v>312078.84999999998</v>
      </c>
      <c r="S169" s="54">
        <v>1300</v>
      </c>
      <c r="T169" s="54">
        <v>0</v>
      </c>
      <c r="U169" s="54">
        <v>0</v>
      </c>
      <c r="V169" s="54"/>
      <c r="W169" s="54"/>
      <c r="X169" s="54"/>
      <c r="Y169" s="54">
        <f t="shared" si="7"/>
        <v>614458.89399999997</v>
      </c>
      <c r="Z169" s="52">
        <v>6500</v>
      </c>
      <c r="AA169" s="52">
        <v>4</v>
      </c>
      <c r="AB169" s="637">
        <v>44221</v>
      </c>
      <c r="AC169" s="637">
        <v>44280</v>
      </c>
      <c r="AD169" s="52">
        <v>400000</v>
      </c>
      <c r="AE169" s="52">
        <v>8</v>
      </c>
      <c r="AF169" s="637">
        <v>44252</v>
      </c>
      <c r="AG169" s="637">
        <v>44292</v>
      </c>
      <c r="AH169" s="52">
        <v>80000</v>
      </c>
      <c r="AI169" s="52">
        <v>14</v>
      </c>
      <c r="AJ169" s="637">
        <v>44313</v>
      </c>
      <c r="AK169" s="637">
        <v>44322</v>
      </c>
      <c r="AL169" s="52">
        <v>1300</v>
      </c>
      <c r="AM169" s="52">
        <v>23</v>
      </c>
      <c r="AN169" s="637">
        <v>44340</v>
      </c>
      <c r="AO169" s="637">
        <v>44350</v>
      </c>
      <c r="AP169" s="52">
        <v>212746</v>
      </c>
      <c r="AQ169" s="52">
        <v>26</v>
      </c>
      <c r="AR169" s="637">
        <v>44358</v>
      </c>
      <c r="AS169" s="637">
        <v>44364</v>
      </c>
      <c r="AT169" s="52"/>
      <c r="AU169" s="52"/>
      <c r="AV169" s="637"/>
      <c r="AW169" s="637"/>
      <c r="AX169" s="52"/>
      <c r="AY169" s="52"/>
      <c r="AZ169" s="637"/>
      <c r="BA169" s="637"/>
      <c r="BB169" s="52"/>
      <c r="BC169" s="52"/>
      <c r="BD169" s="637"/>
      <c r="BE169" s="637"/>
      <c r="BF169" s="137">
        <f t="shared" si="8"/>
        <v>700546</v>
      </c>
      <c r="BG169" s="43">
        <f t="shared" si="9"/>
        <v>86087.106000000029</v>
      </c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</row>
    <row r="170" spans="1:99" s="96" customFormat="1" ht="22.5" customHeight="1">
      <c r="A170" s="39"/>
      <c r="B170" s="51">
        <v>155</v>
      </c>
      <c r="C170" s="51" t="s">
        <v>39</v>
      </c>
      <c r="D170" s="42">
        <v>30488914</v>
      </c>
      <c r="E170" s="52" t="s">
        <v>2892</v>
      </c>
      <c r="F170" s="52" t="s">
        <v>317</v>
      </c>
      <c r="G170" s="56" t="s">
        <v>2686</v>
      </c>
      <c r="H170" s="52" t="s">
        <v>2856</v>
      </c>
      <c r="I170" s="52" t="s">
        <v>2537</v>
      </c>
      <c r="J170" s="636">
        <v>90709</v>
      </c>
      <c r="K170" s="52"/>
      <c r="L170" s="52"/>
      <c r="M170" s="54">
        <v>90712.457000000009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/>
      <c r="W170" s="54"/>
      <c r="X170" s="54"/>
      <c r="Y170" s="54">
        <f t="shared" si="7"/>
        <v>90712.457000000009</v>
      </c>
      <c r="Z170" s="52">
        <v>90708</v>
      </c>
      <c r="AA170" s="52">
        <v>4</v>
      </c>
      <c r="AB170" s="637">
        <v>44221</v>
      </c>
      <c r="AC170" s="637">
        <v>44280</v>
      </c>
      <c r="AD170" s="52">
        <v>1028</v>
      </c>
      <c r="AE170" s="52">
        <v>23</v>
      </c>
      <c r="AF170" s="637">
        <v>44340</v>
      </c>
      <c r="AG170" s="637">
        <v>44350</v>
      </c>
      <c r="AH170" s="52"/>
      <c r="AI170" s="52"/>
      <c r="AJ170" s="637"/>
      <c r="AK170" s="637"/>
      <c r="AL170" s="52"/>
      <c r="AM170" s="52"/>
      <c r="AN170" s="637"/>
      <c r="AO170" s="637"/>
      <c r="AP170" s="52"/>
      <c r="AQ170" s="52"/>
      <c r="AR170" s="637"/>
      <c r="AS170" s="637"/>
      <c r="AT170" s="52"/>
      <c r="AU170" s="52"/>
      <c r="AV170" s="637"/>
      <c r="AW170" s="637"/>
      <c r="AX170" s="52"/>
      <c r="AY170" s="52"/>
      <c r="AZ170" s="637"/>
      <c r="BA170" s="637"/>
      <c r="BB170" s="52"/>
      <c r="BC170" s="52"/>
      <c r="BD170" s="637"/>
      <c r="BE170" s="637"/>
      <c r="BF170" s="137">
        <f t="shared" si="8"/>
        <v>91736</v>
      </c>
      <c r="BG170" s="43">
        <f t="shared" si="9"/>
        <v>1023.5429999999906</v>
      </c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</row>
    <row r="171" spans="1:99" s="96" customFormat="1" ht="22.5" customHeight="1">
      <c r="A171" s="39"/>
      <c r="B171" s="51">
        <v>156</v>
      </c>
      <c r="C171" s="51" t="s">
        <v>39</v>
      </c>
      <c r="D171" s="42">
        <v>30488916</v>
      </c>
      <c r="E171" s="52" t="s">
        <v>2893</v>
      </c>
      <c r="F171" s="52" t="s">
        <v>317</v>
      </c>
      <c r="G171" s="56" t="s">
        <v>2686</v>
      </c>
      <c r="H171" s="52" t="s">
        <v>2856</v>
      </c>
      <c r="I171" s="52" t="s">
        <v>2537</v>
      </c>
      <c r="J171" s="636">
        <v>1067965</v>
      </c>
      <c r="K171" s="52"/>
      <c r="L171" s="52"/>
      <c r="M171" s="54">
        <v>0</v>
      </c>
      <c r="N171" s="54">
        <v>0</v>
      </c>
      <c r="O171" s="54">
        <v>1500</v>
      </c>
      <c r="P171" s="54">
        <v>1500</v>
      </c>
      <c r="Q171" s="54">
        <v>1500</v>
      </c>
      <c r="R171" s="54">
        <v>1500</v>
      </c>
      <c r="S171" s="54">
        <v>1500</v>
      </c>
      <c r="T171" s="54">
        <v>109101.26</v>
      </c>
      <c r="U171" s="54">
        <v>1500</v>
      </c>
      <c r="V171" s="54"/>
      <c r="W171" s="54"/>
      <c r="X171" s="54"/>
      <c r="Y171" s="54">
        <f t="shared" si="7"/>
        <v>118101.26</v>
      </c>
      <c r="Z171" s="52">
        <v>1000</v>
      </c>
      <c r="AA171" s="52">
        <v>1</v>
      </c>
      <c r="AB171" s="637">
        <v>44207</v>
      </c>
      <c r="AC171" s="637">
        <v>44249</v>
      </c>
      <c r="AD171" s="52">
        <v>15500</v>
      </c>
      <c r="AE171" s="52">
        <v>10</v>
      </c>
      <c r="AF171" s="637">
        <v>44286</v>
      </c>
      <c r="AG171" s="637">
        <v>44306</v>
      </c>
      <c r="AH171" s="52"/>
      <c r="AI171" s="52"/>
      <c r="AJ171" s="637"/>
      <c r="AK171" s="637"/>
      <c r="AL171" s="52"/>
      <c r="AM171" s="52"/>
      <c r="AN171" s="637"/>
      <c r="AO171" s="637"/>
      <c r="AP171" s="52"/>
      <c r="AQ171" s="52"/>
      <c r="AR171" s="637"/>
      <c r="AS171" s="637"/>
      <c r="AT171" s="52"/>
      <c r="AU171" s="52"/>
      <c r="AV171" s="637"/>
      <c r="AW171" s="637"/>
      <c r="AX171" s="52"/>
      <c r="AY171" s="52"/>
      <c r="AZ171" s="637"/>
      <c r="BA171" s="637"/>
      <c r="BB171" s="52"/>
      <c r="BC171" s="52"/>
      <c r="BD171" s="637"/>
      <c r="BE171" s="637"/>
      <c r="BF171" s="137">
        <f t="shared" si="8"/>
        <v>16500</v>
      </c>
      <c r="BG171" s="43">
        <f t="shared" si="9"/>
        <v>-101601.26</v>
      </c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</row>
    <row r="172" spans="1:99" s="96" customFormat="1" ht="33.75">
      <c r="A172" s="39"/>
      <c r="B172" s="51">
        <v>157</v>
      </c>
      <c r="C172" s="51" t="s">
        <v>39</v>
      </c>
      <c r="D172" s="42">
        <v>30488925</v>
      </c>
      <c r="E172" s="52" t="s">
        <v>2894</v>
      </c>
      <c r="F172" s="52" t="s">
        <v>317</v>
      </c>
      <c r="G172" s="56" t="s">
        <v>2686</v>
      </c>
      <c r="H172" s="52" t="s">
        <v>2817</v>
      </c>
      <c r="I172" s="52" t="s">
        <v>2537</v>
      </c>
      <c r="J172" s="636">
        <v>590613</v>
      </c>
      <c r="K172" s="52"/>
      <c r="L172" s="52"/>
      <c r="M172" s="54">
        <v>196952.823</v>
      </c>
      <c r="N172" s="54">
        <v>0</v>
      </c>
      <c r="O172" s="54">
        <v>132014.693</v>
      </c>
      <c r="P172" s="54">
        <v>0</v>
      </c>
      <c r="Q172" s="54">
        <v>0</v>
      </c>
      <c r="R172" s="54">
        <v>5232.5739999999996</v>
      </c>
      <c r="S172" s="54">
        <v>0</v>
      </c>
      <c r="T172" s="54">
        <v>0</v>
      </c>
      <c r="U172" s="54">
        <v>0</v>
      </c>
      <c r="V172" s="54"/>
      <c r="W172" s="54"/>
      <c r="X172" s="54"/>
      <c r="Y172" s="54">
        <f t="shared" si="7"/>
        <v>334200.09000000003</v>
      </c>
      <c r="Z172" s="52">
        <v>400000</v>
      </c>
      <c r="AA172" s="52">
        <v>4</v>
      </c>
      <c r="AB172" s="637">
        <v>44221</v>
      </c>
      <c r="AC172" s="637">
        <v>44280</v>
      </c>
      <c r="AD172" s="52"/>
      <c r="AE172" s="52"/>
      <c r="AF172" s="637"/>
      <c r="AG172" s="637"/>
      <c r="AH172" s="52"/>
      <c r="AI172" s="52"/>
      <c r="AJ172" s="637"/>
      <c r="AK172" s="637"/>
      <c r="AL172" s="52"/>
      <c r="AM172" s="52"/>
      <c r="AN172" s="637"/>
      <c r="AO172" s="637"/>
      <c r="AP172" s="52"/>
      <c r="AQ172" s="52"/>
      <c r="AR172" s="637"/>
      <c r="AS172" s="637"/>
      <c r="AT172" s="52"/>
      <c r="AU172" s="52"/>
      <c r="AV172" s="637"/>
      <c r="AW172" s="637"/>
      <c r="AX172" s="52"/>
      <c r="AY172" s="52"/>
      <c r="AZ172" s="637"/>
      <c r="BA172" s="637"/>
      <c r="BB172" s="52"/>
      <c r="BC172" s="52"/>
      <c r="BD172" s="637"/>
      <c r="BE172" s="637"/>
      <c r="BF172" s="137">
        <f t="shared" si="8"/>
        <v>400000</v>
      </c>
      <c r="BG172" s="43">
        <f t="shared" si="9"/>
        <v>65799.909999999974</v>
      </c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</row>
    <row r="173" spans="1:99" s="96" customFormat="1" ht="22.5" customHeight="1">
      <c r="A173" s="39"/>
      <c r="B173" s="51">
        <v>158</v>
      </c>
      <c r="C173" s="51" t="s">
        <v>39</v>
      </c>
      <c r="D173" s="42">
        <v>40000150</v>
      </c>
      <c r="E173" s="52" t="s">
        <v>2895</v>
      </c>
      <c r="F173" s="52" t="s">
        <v>317</v>
      </c>
      <c r="G173" s="56" t="s">
        <v>2686</v>
      </c>
      <c r="H173" s="52" t="s">
        <v>2880</v>
      </c>
      <c r="I173" s="52" t="s">
        <v>2537</v>
      </c>
      <c r="J173" s="636">
        <v>2817139</v>
      </c>
      <c r="K173" s="52"/>
      <c r="L173" s="52"/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8323.6869999999999</v>
      </c>
      <c r="V173" s="54"/>
      <c r="W173" s="54"/>
      <c r="X173" s="54"/>
      <c r="Y173" s="54">
        <f t="shared" si="7"/>
        <v>8323.6869999999999</v>
      </c>
      <c r="Z173" s="52">
        <v>1000</v>
      </c>
      <c r="AA173" s="52">
        <v>1</v>
      </c>
      <c r="AB173" s="637">
        <v>44207</v>
      </c>
      <c r="AC173" s="637">
        <v>44249</v>
      </c>
      <c r="AD173" s="52">
        <v>-1000</v>
      </c>
      <c r="AE173" s="52">
        <v>39</v>
      </c>
      <c r="AF173" s="637">
        <v>44358</v>
      </c>
      <c r="AG173" s="637">
        <v>44364</v>
      </c>
      <c r="AH173" s="52"/>
      <c r="AI173" s="52"/>
      <c r="AJ173" s="637"/>
      <c r="AK173" s="637"/>
      <c r="AL173" s="52"/>
      <c r="AM173" s="52"/>
      <c r="AN173" s="637"/>
      <c r="AO173" s="637"/>
      <c r="AP173" s="52"/>
      <c r="AQ173" s="52"/>
      <c r="AR173" s="637"/>
      <c r="AS173" s="637"/>
      <c r="AT173" s="52"/>
      <c r="AU173" s="52"/>
      <c r="AV173" s="637"/>
      <c r="AW173" s="637"/>
      <c r="AX173" s="52"/>
      <c r="AY173" s="52"/>
      <c r="AZ173" s="637"/>
      <c r="BA173" s="637"/>
      <c r="BB173" s="52"/>
      <c r="BC173" s="52"/>
      <c r="BD173" s="637"/>
      <c r="BE173" s="637"/>
      <c r="BF173" s="137">
        <f t="shared" si="8"/>
        <v>0</v>
      </c>
      <c r="BG173" s="43">
        <f t="shared" si="9"/>
        <v>-8323.6869999999999</v>
      </c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</row>
    <row r="174" spans="1:99" s="96" customFormat="1" ht="22.5" customHeight="1">
      <c r="A174" s="39"/>
      <c r="B174" s="51">
        <v>159</v>
      </c>
      <c r="C174" s="51" t="s">
        <v>39</v>
      </c>
      <c r="D174" s="42">
        <v>40000345</v>
      </c>
      <c r="E174" s="52" t="s">
        <v>2896</v>
      </c>
      <c r="F174" s="52" t="s">
        <v>317</v>
      </c>
      <c r="G174" s="56" t="s">
        <v>2686</v>
      </c>
      <c r="H174" s="52" t="s">
        <v>2695</v>
      </c>
      <c r="I174" s="52" t="s">
        <v>2537</v>
      </c>
      <c r="J174" s="636">
        <v>1049082</v>
      </c>
      <c r="K174" s="52"/>
      <c r="L174" s="52"/>
      <c r="M174" s="54">
        <v>0</v>
      </c>
      <c r="N174" s="54">
        <v>0</v>
      </c>
      <c r="O174" s="54">
        <v>0</v>
      </c>
      <c r="P174" s="54">
        <v>173722.30100000001</v>
      </c>
      <c r="Q174" s="54">
        <v>0</v>
      </c>
      <c r="R174" s="54">
        <v>210472.451</v>
      </c>
      <c r="S174" s="54">
        <v>93333.569000000003</v>
      </c>
      <c r="T174" s="54">
        <v>99760.198999999993</v>
      </c>
      <c r="U174" s="54">
        <v>0</v>
      </c>
      <c r="V174" s="54"/>
      <c r="W174" s="54"/>
      <c r="X174" s="54"/>
      <c r="Y174" s="54">
        <f t="shared" si="7"/>
        <v>577288.52</v>
      </c>
      <c r="Z174" s="52">
        <v>1000</v>
      </c>
      <c r="AA174" s="52">
        <v>1</v>
      </c>
      <c r="AB174" s="637">
        <v>44207</v>
      </c>
      <c r="AC174" s="637">
        <v>44249</v>
      </c>
      <c r="AD174" s="52">
        <v>600000</v>
      </c>
      <c r="AE174" s="52">
        <v>14</v>
      </c>
      <c r="AF174" s="637">
        <v>44313</v>
      </c>
      <c r="AG174" s="637">
        <v>44322</v>
      </c>
      <c r="AH174" s="52">
        <v>-123472</v>
      </c>
      <c r="AI174" s="52">
        <v>38</v>
      </c>
      <c r="AJ174" s="637">
        <v>44358</v>
      </c>
      <c r="AK174" s="637">
        <v>44364</v>
      </c>
      <c r="AL174" s="52"/>
      <c r="AM174" s="52"/>
      <c r="AN174" s="637"/>
      <c r="AO174" s="637"/>
      <c r="AP174" s="52"/>
      <c r="AQ174" s="52"/>
      <c r="AR174" s="637"/>
      <c r="AS174" s="637"/>
      <c r="AT174" s="52"/>
      <c r="AU174" s="52"/>
      <c r="AV174" s="637"/>
      <c r="AW174" s="637"/>
      <c r="AX174" s="52"/>
      <c r="AY174" s="52"/>
      <c r="AZ174" s="637"/>
      <c r="BA174" s="637"/>
      <c r="BB174" s="52"/>
      <c r="BC174" s="52"/>
      <c r="BD174" s="637"/>
      <c r="BE174" s="637"/>
      <c r="BF174" s="137">
        <f t="shared" si="8"/>
        <v>477528</v>
      </c>
      <c r="BG174" s="43">
        <f t="shared" si="9"/>
        <v>-99760.520000000019</v>
      </c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</row>
    <row r="175" spans="1:99" s="96" customFormat="1" ht="22.5" customHeight="1">
      <c r="A175" s="39"/>
      <c r="B175" s="51">
        <v>160</v>
      </c>
      <c r="C175" s="51" t="s">
        <v>131</v>
      </c>
      <c r="D175" s="42">
        <v>40000375</v>
      </c>
      <c r="E175" s="52" t="s">
        <v>2897</v>
      </c>
      <c r="F175" s="52" t="s">
        <v>317</v>
      </c>
      <c r="G175" s="56" t="s">
        <v>2686</v>
      </c>
      <c r="H175" s="52" t="s">
        <v>2898</v>
      </c>
      <c r="I175" s="52" t="s">
        <v>2537</v>
      </c>
      <c r="J175" s="636">
        <v>137062</v>
      </c>
      <c r="K175" s="52"/>
      <c r="L175" s="52"/>
      <c r="M175" s="54">
        <v>0</v>
      </c>
      <c r="N175" s="54">
        <v>13053.1</v>
      </c>
      <c r="O175" s="54">
        <v>0</v>
      </c>
      <c r="P175" s="54">
        <v>0</v>
      </c>
      <c r="Q175" s="54">
        <v>39159.300000000003</v>
      </c>
      <c r="R175" s="54">
        <v>0</v>
      </c>
      <c r="S175" s="54">
        <v>0</v>
      </c>
      <c r="T175" s="54">
        <v>26106.2</v>
      </c>
      <c r="U175" s="54">
        <v>12159.42</v>
      </c>
      <c r="V175" s="54"/>
      <c r="W175" s="54"/>
      <c r="X175" s="54"/>
      <c r="Y175" s="54">
        <f t="shared" si="7"/>
        <v>90478.02</v>
      </c>
      <c r="Z175" s="52">
        <v>1000</v>
      </c>
      <c r="AA175" s="52">
        <v>1</v>
      </c>
      <c r="AB175" s="637">
        <v>44207</v>
      </c>
      <c r="AC175" s="637">
        <v>44249</v>
      </c>
      <c r="AD175" s="52">
        <v>80000</v>
      </c>
      <c r="AE175" s="52">
        <v>8</v>
      </c>
      <c r="AF175" s="637">
        <v>44252</v>
      </c>
      <c r="AG175" s="637">
        <v>44292</v>
      </c>
      <c r="AH175" s="52"/>
      <c r="AI175" s="52"/>
      <c r="AJ175" s="637"/>
      <c r="AK175" s="637"/>
      <c r="AL175" s="52"/>
      <c r="AM175" s="52"/>
      <c r="AN175" s="637"/>
      <c r="AO175" s="637"/>
      <c r="AP175" s="52"/>
      <c r="AQ175" s="52"/>
      <c r="AR175" s="637"/>
      <c r="AS175" s="637"/>
      <c r="AT175" s="52"/>
      <c r="AU175" s="52"/>
      <c r="AV175" s="637"/>
      <c r="AW175" s="637"/>
      <c r="AX175" s="52"/>
      <c r="AY175" s="52"/>
      <c r="AZ175" s="637"/>
      <c r="BA175" s="637"/>
      <c r="BB175" s="52"/>
      <c r="BC175" s="52"/>
      <c r="BD175" s="637"/>
      <c r="BE175" s="637"/>
      <c r="BF175" s="137">
        <f t="shared" si="8"/>
        <v>81000</v>
      </c>
      <c r="BG175" s="43">
        <f t="shared" si="9"/>
        <v>-9478.0200000000041</v>
      </c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</row>
    <row r="176" spans="1:99" s="96" customFormat="1" ht="22.5" customHeight="1">
      <c r="A176" s="39"/>
      <c r="B176" s="51">
        <v>161</v>
      </c>
      <c r="C176" s="51" t="s">
        <v>39</v>
      </c>
      <c r="D176" s="42">
        <v>40000408</v>
      </c>
      <c r="E176" s="52" t="s">
        <v>2899</v>
      </c>
      <c r="F176" s="52" t="s">
        <v>317</v>
      </c>
      <c r="G176" s="56" t="s">
        <v>2686</v>
      </c>
      <c r="H176" s="52" t="s">
        <v>2691</v>
      </c>
      <c r="I176" s="52" t="s">
        <v>2537</v>
      </c>
      <c r="J176" s="636">
        <v>860572</v>
      </c>
      <c r="K176" s="52"/>
      <c r="L176" s="52"/>
      <c r="M176" s="54">
        <v>309771.44300000003</v>
      </c>
      <c r="N176" s="54">
        <v>118632.537</v>
      </c>
      <c r="O176" s="54">
        <v>96645.989000000001</v>
      </c>
      <c r="P176" s="54">
        <v>182158.80299999999</v>
      </c>
      <c r="Q176" s="54">
        <v>140781.73800000001</v>
      </c>
      <c r="R176" s="54">
        <v>1300</v>
      </c>
      <c r="S176" s="54">
        <v>1300</v>
      </c>
      <c r="T176" s="54">
        <v>0</v>
      </c>
      <c r="U176" s="54">
        <v>0</v>
      </c>
      <c r="V176" s="54"/>
      <c r="W176" s="54"/>
      <c r="X176" s="54"/>
      <c r="Y176" s="54">
        <f t="shared" si="7"/>
        <v>850590.51</v>
      </c>
      <c r="Z176" s="52">
        <v>700000</v>
      </c>
      <c r="AA176" s="52">
        <v>4</v>
      </c>
      <c r="AB176" s="637">
        <v>44221</v>
      </c>
      <c r="AC176" s="637">
        <v>44280</v>
      </c>
      <c r="AD176" s="52">
        <v>2600</v>
      </c>
      <c r="AE176" s="52">
        <v>8</v>
      </c>
      <c r="AF176" s="637">
        <v>44252</v>
      </c>
      <c r="AG176" s="637">
        <v>44292</v>
      </c>
      <c r="AH176" s="52">
        <v>1900</v>
      </c>
      <c r="AI176" s="52">
        <v>10</v>
      </c>
      <c r="AJ176" s="637">
        <v>44286</v>
      </c>
      <c r="AK176" s="637">
        <v>44306</v>
      </c>
      <c r="AL176" s="52">
        <v>156072</v>
      </c>
      <c r="AM176" s="52">
        <v>14</v>
      </c>
      <c r="AN176" s="637">
        <v>44313</v>
      </c>
      <c r="AO176" s="637">
        <v>44322</v>
      </c>
      <c r="AP176" s="52">
        <v>3734</v>
      </c>
      <c r="AQ176" s="52">
        <v>26</v>
      </c>
      <c r="AR176" s="637">
        <v>44358</v>
      </c>
      <c r="AS176" s="637">
        <v>44364</v>
      </c>
      <c r="AT176" s="52"/>
      <c r="AU176" s="52"/>
      <c r="AV176" s="637"/>
      <c r="AW176" s="637"/>
      <c r="AX176" s="52"/>
      <c r="AY176" s="52"/>
      <c r="AZ176" s="637"/>
      <c r="BA176" s="637"/>
      <c r="BB176" s="52"/>
      <c r="BC176" s="52"/>
      <c r="BD176" s="637"/>
      <c r="BE176" s="637"/>
      <c r="BF176" s="137">
        <f t="shared" si="8"/>
        <v>864306</v>
      </c>
      <c r="BG176" s="43">
        <f t="shared" si="9"/>
        <v>13715.489999999991</v>
      </c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</row>
    <row r="177" spans="1:99" s="96" customFormat="1" ht="22.5" customHeight="1">
      <c r="A177" s="39"/>
      <c r="B177" s="51">
        <v>162</v>
      </c>
      <c r="C177" s="51" t="s">
        <v>39</v>
      </c>
      <c r="D177" s="42">
        <v>40000418</v>
      </c>
      <c r="E177" s="52" t="s">
        <v>2900</v>
      </c>
      <c r="F177" s="52" t="s">
        <v>317</v>
      </c>
      <c r="G177" s="56" t="s">
        <v>2686</v>
      </c>
      <c r="H177" s="52" t="s">
        <v>2901</v>
      </c>
      <c r="I177" s="52" t="s">
        <v>2537</v>
      </c>
      <c r="J177" s="636">
        <v>149249</v>
      </c>
      <c r="K177" s="52"/>
      <c r="L177" s="52"/>
      <c r="M177" s="54">
        <v>0</v>
      </c>
      <c r="N177" s="54">
        <v>0</v>
      </c>
      <c r="O177" s="54">
        <v>0</v>
      </c>
      <c r="P177" s="54">
        <v>50977.786999999997</v>
      </c>
      <c r="Q177" s="54">
        <v>0</v>
      </c>
      <c r="R177" s="54">
        <v>52729.114999999998</v>
      </c>
      <c r="S177" s="54">
        <v>0</v>
      </c>
      <c r="T177" s="54">
        <v>0</v>
      </c>
      <c r="U177" s="54">
        <v>0</v>
      </c>
      <c r="V177" s="54"/>
      <c r="W177" s="54"/>
      <c r="X177" s="54"/>
      <c r="Y177" s="54">
        <f t="shared" si="7"/>
        <v>103706.902</v>
      </c>
      <c r="Z177" s="52">
        <v>1000</v>
      </c>
      <c r="AA177" s="52">
        <v>1</v>
      </c>
      <c r="AB177" s="637">
        <v>44207</v>
      </c>
      <c r="AC177" s="637">
        <v>44249</v>
      </c>
      <c r="AD177" s="52">
        <v>140000</v>
      </c>
      <c r="AE177" s="52">
        <v>14</v>
      </c>
      <c r="AF177" s="637">
        <v>44313</v>
      </c>
      <c r="AG177" s="637">
        <v>44322</v>
      </c>
      <c r="AH177" s="52"/>
      <c r="AI177" s="52"/>
      <c r="AJ177" s="637"/>
      <c r="AK177" s="637"/>
      <c r="AL177" s="52"/>
      <c r="AM177" s="52"/>
      <c r="AN177" s="637"/>
      <c r="AO177" s="637"/>
      <c r="AP177" s="52"/>
      <c r="AQ177" s="52"/>
      <c r="AR177" s="637"/>
      <c r="AS177" s="637"/>
      <c r="AT177" s="52"/>
      <c r="AU177" s="52"/>
      <c r="AV177" s="637"/>
      <c r="AW177" s="637"/>
      <c r="AX177" s="52"/>
      <c r="AY177" s="52"/>
      <c r="AZ177" s="637"/>
      <c r="BA177" s="637"/>
      <c r="BB177" s="52"/>
      <c r="BC177" s="52"/>
      <c r="BD177" s="637"/>
      <c r="BE177" s="637"/>
      <c r="BF177" s="137">
        <f t="shared" si="8"/>
        <v>141000</v>
      </c>
      <c r="BG177" s="43">
        <f t="shared" si="9"/>
        <v>37293.097999999998</v>
      </c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</row>
    <row r="178" spans="1:99" s="96" customFormat="1" ht="45" customHeight="1">
      <c r="A178" s="39"/>
      <c r="B178" s="51">
        <v>163</v>
      </c>
      <c r="C178" s="51" t="s">
        <v>39</v>
      </c>
      <c r="D178" s="42">
        <v>40000609</v>
      </c>
      <c r="E178" s="52" t="s">
        <v>2902</v>
      </c>
      <c r="F178" s="52" t="s">
        <v>317</v>
      </c>
      <c r="G178" s="56" t="s">
        <v>2686</v>
      </c>
      <c r="H178" s="52" t="s">
        <v>2699</v>
      </c>
      <c r="I178" s="52" t="s">
        <v>2537</v>
      </c>
      <c r="J178" s="636">
        <v>2000</v>
      </c>
      <c r="K178" s="52"/>
      <c r="L178" s="52"/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/>
      <c r="W178" s="54"/>
      <c r="X178" s="54"/>
      <c r="Y178" s="54">
        <f t="shared" si="7"/>
        <v>0</v>
      </c>
      <c r="Z178" s="52">
        <v>1000</v>
      </c>
      <c r="AA178" s="52">
        <v>8</v>
      </c>
      <c r="AB178" s="637">
        <v>44252</v>
      </c>
      <c r="AC178" s="637">
        <v>44292</v>
      </c>
      <c r="AD178" s="52">
        <v>-1000</v>
      </c>
      <c r="AE178" s="52">
        <v>39</v>
      </c>
      <c r="AF178" s="637">
        <v>44358</v>
      </c>
      <c r="AG178" s="637">
        <v>44364</v>
      </c>
      <c r="AH178" s="52"/>
      <c r="AI178" s="52"/>
      <c r="AJ178" s="637"/>
      <c r="AK178" s="637"/>
      <c r="AL178" s="52"/>
      <c r="AM178" s="52"/>
      <c r="AN178" s="637"/>
      <c r="AO178" s="637"/>
      <c r="AP178" s="52"/>
      <c r="AQ178" s="52"/>
      <c r="AR178" s="637"/>
      <c r="AS178" s="637"/>
      <c r="AT178" s="52"/>
      <c r="AU178" s="52"/>
      <c r="AV178" s="637"/>
      <c r="AW178" s="637"/>
      <c r="AX178" s="52"/>
      <c r="AY178" s="52"/>
      <c r="AZ178" s="637"/>
      <c r="BA178" s="637"/>
      <c r="BB178" s="52"/>
      <c r="BC178" s="52"/>
      <c r="BD178" s="637"/>
      <c r="BE178" s="637"/>
      <c r="BF178" s="137">
        <f t="shared" si="8"/>
        <v>0</v>
      </c>
      <c r="BG178" s="43">
        <f t="shared" si="9"/>
        <v>0</v>
      </c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</row>
    <row r="179" spans="1:99" s="96" customFormat="1" ht="22.5" customHeight="1">
      <c r="A179" s="39"/>
      <c r="B179" s="51">
        <v>164</v>
      </c>
      <c r="C179" s="51" t="s">
        <v>39</v>
      </c>
      <c r="D179" s="42">
        <v>40000615</v>
      </c>
      <c r="E179" s="52" t="s">
        <v>2903</v>
      </c>
      <c r="F179" s="52" t="s">
        <v>317</v>
      </c>
      <c r="G179" s="56" t="s">
        <v>2686</v>
      </c>
      <c r="H179" s="52" t="s">
        <v>2880</v>
      </c>
      <c r="I179" s="52" t="s">
        <v>2537</v>
      </c>
      <c r="J179" s="636">
        <v>180867</v>
      </c>
      <c r="K179" s="52"/>
      <c r="L179" s="52"/>
      <c r="M179" s="54">
        <v>36464.688000000002</v>
      </c>
      <c r="N179" s="54">
        <v>0</v>
      </c>
      <c r="O179" s="54">
        <v>0</v>
      </c>
      <c r="P179" s="54">
        <v>0</v>
      </c>
      <c r="Q179" s="54">
        <v>17494.689999999999</v>
      </c>
      <c r="R179" s="54">
        <v>203671.603</v>
      </c>
      <c r="S179" s="54">
        <v>0</v>
      </c>
      <c r="T179" s="54">
        <v>0</v>
      </c>
      <c r="U179" s="54">
        <v>0</v>
      </c>
      <c r="V179" s="54"/>
      <c r="W179" s="54"/>
      <c r="X179" s="54"/>
      <c r="Y179" s="54">
        <f t="shared" si="7"/>
        <v>257630.981</v>
      </c>
      <c r="Z179" s="52">
        <v>180867</v>
      </c>
      <c r="AA179" s="52">
        <v>4</v>
      </c>
      <c r="AB179" s="637">
        <v>44221</v>
      </c>
      <c r="AC179" s="637">
        <v>44280</v>
      </c>
      <c r="AD179" s="52">
        <v>76763</v>
      </c>
      <c r="AE179" s="52">
        <v>26</v>
      </c>
      <c r="AF179" s="637">
        <v>44358</v>
      </c>
      <c r="AG179" s="637">
        <v>44364</v>
      </c>
      <c r="AH179" s="52"/>
      <c r="AI179" s="52"/>
      <c r="AJ179" s="637"/>
      <c r="AK179" s="637"/>
      <c r="AL179" s="52"/>
      <c r="AM179" s="52"/>
      <c r="AN179" s="637"/>
      <c r="AO179" s="637"/>
      <c r="AP179" s="52"/>
      <c r="AQ179" s="52"/>
      <c r="AR179" s="637"/>
      <c r="AS179" s="637"/>
      <c r="AT179" s="52"/>
      <c r="AU179" s="52"/>
      <c r="AV179" s="637"/>
      <c r="AW179" s="637"/>
      <c r="AX179" s="52"/>
      <c r="AY179" s="52"/>
      <c r="AZ179" s="637"/>
      <c r="BA179" s="637"/>
      <c r="BB179" s="52"/>
      <c r="BC179" s="52"/>
      <c r="BD179" s="637"/>
      <c r="BE179" s="637"/>
      <c r="BF179" s="137">
        <f t="shared" si="8"/>
        <v>257630</v>
      </c>
      <c r="BG179" s="43">
        <f t="shared" si="9"/>
        <v>-0.98099999999976717</v>
      </c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</row>
    <row r="180" spans="1:99" s="96" customFormat="1" ht="22.5" customHeight="1">
      <c r="A180" s="39"/>
      <c r="B180" s="51">
        <v>165</v>
      </c>
      <c r="C180" s="51" t="s">
        <v>39</v>
      </c>
      <c r="D180" s="42">
        <v>40000764</v>
      </c>
      <c r="E180" s="52" t="s">
        <v>2904</v>
      </c>
      <c r="F180" s="52" t="s">
        <v>317</v>
      </c>
      <c r="G180" s="56" t="s">
        <v>2686</v>
      </c>
      <c r="H180" s="52" t="s">
        <v>2716</v>
      </c>
      <c r="I180" s="52" t="s">
        <v>2537</v>
      </c>
      <c r="J180" s="636">
        <v>96252</v>
      </c>
      <c r="K180" s="52"/>
      <c r="L180" s="52"/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96252.095000000001</v>
      </c>
      <c r="S180" s="54">
        <v>0</v>
      </c>
      <c r="T180" s="54">
        <v>0</v>
      </c>
      <c r="U180" s="54">
        <v>0</v>
      </c>
      <c r="V180" s="54"/>
      <c r="W180" s="54"/>
      <c r="X180" s="54"/>
      <c r="Y180" s="54">
        <f t="shared" si="7"/>
        <v>96252.095000000001</v>
      </c>
      <c r="Z180" s="52">
        <v>1000</v>
      </c>
      <c r="AA180" s="52">
        <v>8</v>
      </c>
      <c r="AB180" s="637">
        <v>44252</v>
      </c>
      <c r="AC180" s="637">
        <v>44292</v>
      </c>
      <c r="AD180" s="52">
        <v>95252</v>
      </c>
      <c r="AE180" s="52">
        <v>26</v>
      </c>
      <c r="AF180" s="637">
        <v>44358</v>
      </c>
      <c r="AG180" s="637">
        <v>44364</v>
      </c>
      <c r="AH180" s="52"/>
      <c r="AI180" s="52"/>
      <c r="AJ180" s="637"/>
      <c r="AK180" s="637"/>
      <c r="AL180" s="52"/>
      <c r="AM180" s="52"/>
      <c r="AN180" s="637"/>
      <c r="AO180" s="637"/>
      <c r="AP180" s="52"/>
      <c r="AQ180" s="52"/>
      <c r="AR180" s="637"/>
      <c r="AS180" s="637"/>
      <c r="AT180" s="52"/>
      <c r="AU180" s="52"/>
      <c r="AV180" s="637"/>
      <c r="AW180" s="637"/>
      <c r="AX180" s="52"/>
      <c r="AY180" s="52"/>
      <c r="AZ180" s="637"/>
      <c r="BA180" s="637"/>
      <c r="BB180" s="52"/>
      <c r="BC180" s="52"/>
      <c r="BD180" s="637"/>
      <c r="BE180" s="637"/>
      <c r="BF180" s="137">
        <f t="shared" si="8"/>
        <v>96252</v>
      </c>
      <c r="BG180" s="43">
        <f t="shared" si="9"/>
        <v>-9.5000000001164153E-2</v>
      </c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</row>
    <row r="181" spans="1:99" s="96" customFormat="1" ht="22.5" customHeight="1">
      <c r="A181" s="39"/>
      <c r="B181" s="51">
        <v>166</v>
      </c>
      <c r="C181" s="51" t="s">
        <v>39</v>
      </c>
      <c r="D181" s="42">
        <v>40000809</v>
      </c>
      <c r="E181" s="52" t="s">
        <v>2905</v>
      </c>
      <c r="F181" s="52" t="s">
        <v>317</v>
      </c>
      <c r="G181" s="56" t="s">
        <v>2686</v>
      </c>
      <c r="H181" s="52" t="s">
        <v>2805</v>
      </c>
      <c r="I181" s="52" t="s">
        <v>2537</v>
      </c>
      <c r="J181" s="636">
        <v>271486</v>
      </c>
      <c r="K181" s="52"/>
      <c r="L181" s="52"/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/>
      <c r="W181" s="54"/>
      <c r="X181" s="54"/>
      <c r="Y181" s="54">
        <f t="shared" si="7"/>
        <v>0</v>
      </c>
      <c r="Z181" s="52">
        <v>1000</v>
      </c>
      <c r="AA181" s="52">
        <v>1</v>
      </c>
      <c r="AB181" s="637">
        <v>44207</v>
      </c>
      <c r="AC181" s="637">
        <v>44249</v>
      </c>
      <c r="AD181" s="52">
        <v>-1000</v>
      </c>
      <c r="AE181" s="52">
        <v>39</v>
      </c>
      <c r="AF181" s="637">
        <v>44358</v>
      </c>
      <c r="AG181" s="637">
        <v>44364</v>
      </c>
      <c r="AH181" s="52"/>
      <c r="AI181" s="52"/>
      <c r="AJ181" s="637"/>
      <c r="AK181" s="637"/>
      <c r="AL181" s="52"/>
      <c r="AM181" s="52"/>
      <c r="AN181" s="637"/>
      <c r="AO181" s="637"/>
      <c r="AP181" s="52"/>
      <c r="AQ181" s="52"/>
      <c r="AR181" s="637"/>
      <c r="AS181" s="637"/>
      <c r="AT181" s="52"/>
      <c r="AU181" s="52"/>
      <c r="AV181" s="637"/>
      <c r="AW181" s="637"/>
      <c r="AX181" s="52"/>
      <c r="AY181" s="52"/>
      <c r="AZ181" s="637"/>
      <c r="BA181" s="637"/>
      <c r="BB181" s="52"/>
      <c r="BC181" s="52"/>
      <c r="BD181" s="637"/>
      <c r="BE181" s="637"/>
      <c r="BF181" s="137">
        <f t="shared" si="8"/>
        <v>0</v>
      </c>
      <c r="BG181" s="43">
        <f t="shared" si="9"/>
        <v>0</v>
      </c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</row>
    <row r="182" spans="1:99" s="96" customFormat="1" ht="22.5">
      <c r="A182" s="39"/>
      <c r="B182" s="51">
        <v>167</v>
      </c>
      <c r="C182" s="51" t="s">
        <v>39</v>
      </c>
      <c r="D182" s="42">
        <v>40000892</v>
      </c>
      <c r="E182" s="52" t="s">
        <v>2906</v>
      </c>
      <c r="F182" s="52" t="s">
        <v>317</v>
      </c>
      <c r="G182" s="56" t="s">
        <v>2686</v>
      </c>
      <c r="H182" s="52" t="s">
        <v>2729</v>
      </c>
      <c r="I182" s="52" t="s">
        <v>2537</v>
      </c>
      <c r="J182" s="636">
        <v>268560</v>
      </c>
      <c r="K182" s="52"/>
      <c r="L182" s="52"/>
      <c r="M182" s="54">
        <v>0</v>
      </c>
      <c r="N182" s="54">
        <v>266690.78700000001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/>
      <c r="W182" s="54"/>
      <c r="X182" s="54"/>
      <c r="Y182" s="54">
        <f t="shared" si="7"/>
        <v>266690.78700000001</v>
      </c>
      <c r="Z182" s="52">
        <v>266692</v>
      </c>
      <c r="AA182" s="52">
        <v>8</v>
      </c>
      <c r="AB182" s="637">
        <v>44252</v>
      </c>
      <c r="AC182" s="637">
        <v>44292</v>
      </c>
      <c r="AD182" s="52"/>
      <c r="AE182" s="52"/>
      <c r="AF182" s="637"/>
      <c r="AG182" s="637"/>
      <c r="AH182" s="52"/>
      <c r="AI182" s="52"/>
      <c r="AJ182" s="637"/>
      <c r="AK182" s="637"/>
      <c r="AL182" s="52"/>
      <c r="AM182" s="52"/>
      <c r="AN182" s="637"/>
      <c r="AO182" s="637"/>
      <c r="AP182" s="52"/>
      <c r="AQ182" s="52"/>
      <c r="AR182" s="637"/>
      <c r="AS182" s="637"/>
      <c r="AT182" s="52"/>
      <c r="AU182" s="52"/>
      <c r="AV182" s="637"/>
      <c r="AW182" s="637"/>
      <c r="AX182" s="52"/>
      <c r="AY182" s="52"/>
      <c r="AZ182" s="637"/>
      <c r="BA182" s="637"/>
      <c r="BB182" s="52"/>
      <c r="BC182" s="52"/>
      <c r="BD182" s="637"/>
      <c r="BE182" s="637"/>
      <c r="BF182" s="137">
        <f t="shared" si="8"/>
        <v>266692</v>
      </c>
      <c r="BG182" s="43">
        <f t="shared" si="9"/>
        <v>1.2129999999888241</v>
      </c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</row>
    <row r="183" spans="1:99" s="96" customFormat="1" ht="22.5" customHeight="1">
      <c r="A183" s="39"/>
      <c r="B183" s="51">
        <v>168</v>
      </c>
      <c r="C183" s="51" t="s">
        <v>39</v>
      </c>
      <c r="D183" s="42">
        <v>40001075</v>
      </c>
      <c r="E183" s="52" t="s">
        <v>2907</v>
      </c>
      <c r="F183" s="52" t="s">
        <v>317</v>
      </c>
      <c r="G183" s="56" t="s">
        <v>2686</v>
      </c>
      <c r="H183" s="52" t="s">
        <v>2786</v>
      </c>
      <c r="I183" s="52" t="s">
        <v>2537</v>
      </c>
      <c r="J183" s="636">
        <v>14246</v>
      </c>
      <c r="K183" s="52"/>
      <c r="L183" s="52"/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39166.468999999997</v>
      </c>
      <c r="U183" s="54">
        <v>0</v>
      </c>
      <c r="V183" s="54"/>
      <c r="W183" s="54"/>
      <c r="X183" s="54"/>
      <c r="Y183" s="54">
        <f t="shared" si="7"/>
        <v>39166.468999999997</v>
      </c>
      <c r="Z183" s="52">
        <v>1000</v>
      </c>
      <c r="AA183" s="52">
        <v>8</v>
      </c>
      <c r="AB183" s="637">
        <v>44252</v>
      </c>
      <c r="AC183" s="637">
        <v>44292</v>
      </c>
      <c r="AD183" s="52">
        <v>-1000</v>
      </c>
      <c r="AE183" s="52">
        <v>39</v>
      </c>
      <c r="AF183" s="637">
        <v>44358</v>
      </c>
      <c r="AG183" s="637">
        <v>44364</v>
      </c>
      <c r="AH183" s="52"/>
      <c r="AI183" s="52"/>
      <c r="AJ183" s="637"/>
      <c r="AK183" s="637"/>
      <c r="AL183" s="52"/>
      <c r="AM183" s="52"/>
      <c r="AN183" s="637"/>
      <c r="AO183" s="637"/>
      <c r="AP183" s="52"/>
      <c r="AQ183" s="52"/>
      <c r="AR183" s="637"/>
      <c r="AS183" s="637"/>
      <c r="AT183" s="52"/>
      <c r="AU183" s="52"/>
      <c r="AV183" s="637"/>
      <c r="AW183" s="637"/>
      <c r="AX183" s="52"/>
      <c r="AY183" s="52"/>
      <c r="AZ183" s="637"/>
      <c r="BA183" s="637"/>
      <c r="BB183" s="52"/>
      <c r="BC183" s="52"/>
      <c r="BD183" s="637"/>
      <c r="BE183" s="637"/>
      <c r="BF183" s="137">
        <f t="shared" si="8"/>
        <v>0</v>
      </c>
      <c r="BG183" s="43">
        <f t="shared" si="9"/>
        <v>-39166.468999999997</v>
      </c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</row>
    <row r="184" spans="1:99" s="96" customFormat="1" ht="22.5">
      <c r="A184" s="39"/>
      <c r="B184" s="51">
        <v>169</v>
      </c>
      <c r="C184" s="51" t="s">
        <v>39</v>
      </c>
      <c r="D184" s="42">
        <v>40001158</v>
      </c>
      <c r="E184" s="52" t="s">
        <v>2908</v>
      </c>
      <c r="F184" s="52" t="s">
        <v>317</v>
      </c>
      <c r="G184" s="56" t="s">
        <v>2686</v>
      </c>
      <c r="H184" s="52" t="s">
        <v>2814</v>
      </c>
      <c r="I184" s="52" t="s">
        <v>2537</v>
      </c>
      <c r="J184" s="636">
        <v>7086</v>
      </c>
      <c r="K184" s="52"/>
      <c r="L184" s="52"/>
      <c r="M184" s="54">
        <v>0</v>
      </c>
      <c r="N184" s="54">
        <v>7085.7150000000001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/>
      <c r="W184" s="54"/>
      <c r="X184" s="54"/>
      <c r="Y184" s="54">
        <f t="shared" si="7"/>
        <v>7085.7150000000001</v>
      </c>
      <c r="Z184" s="52">
        <v>7086</v>
      </c>
      <c r="AA184" s="52">
        <v>8</v>
      </c>
      <c r="AB184" s="637">
        <v>44252</v>
      </c>
      <c r="AC184" s="637">
        <v>44292</v>
      </c>
      <c r="AD184" s="52"/>
      <c r="AE184" s="52"/>
      <c r="AF184" s="637"/>
      <c r="AG184" s="637"/>
      <c r="AH184" s="52"/>
      <c r="AI184" s="52"/>
      <c r="AJ184" s="637"/>
      <c r="AK184" s="637"/>
      <c r="AL184" s="52"/>
      <c r="AM184" s="52"/>
      <c r="AN184" s="637"/>
      <c r="AO184" s="637"/>
      <c r="AP184" s="52"/>
      <c r="AQ184" s="52"/>
      <c r="AR184" s="637"/>
      <c r="AS184" s="637"/>
      <c r="AT184" s="52"/>
      <c r="AU184" s="52"/>
      <c r="AV184" s="637"/>
      <c r="AW184" s="637"/>
      <c r="AX184" s="52"/>
      <c r="AY184" s="52"/>
      <c r="AZ184" s="637"/>
      <c r="BA184" s="637"/>
      <c r="BB184" s="52"/>
      <c r="BC184" s="52"/>
      <c r="BD184" s="637"/>
      <c r="BE184" s="637"/>
      <c r="BF184" s="137">
        <f t="shared" si="8"/>
        <v>7086</v>
      </c>
      <c r="BG184" s="43">
        <f t="shared" si="9"/>
        <v>0.28499999999985448</v>
      </c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</row>
    <row r="185" spans="1:99" s="96" customFormat="1" ht="22.5" customHeight="1">
      <c r="A185" s="39"/>
      <c r="B185" s="51">
        <v>170</v>
      </c>
      <c r="C185" s="51" t="s">
        <v>39</v>
      </c>
      <c r="D185" s="42">
        <v>40001188</v>
      </c>
      <c r="E185" s="52" t="s">
        <v>2909</v>
      </c>
      <c r="F185" s="52" t="s">
        <v>317</v>
      </c>
      <c r="G185" s="56" t="s">
        <v>2686</v>
      </c>
      <c r="H185" s="52" t="s">
        <v>2689</v>
      </c>
      <c r="I185" s="52" t="s">
        <v>2537</v>
      </c>
      <c r="J185" s="636">
        <v>1124748</v>
      </c>
      <c r="K185" s="52"/>
      <c r="L185" s="52"/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/>
      <c r="W185" s="54"/>
      <c r="X185" s="54"/>
      <c r="Y185" s="54">
        <f t="shared" si="7"/>
        <v>0</v>
      </c>
      <c r="Z185" s="52">
        <v>1000</v>
      </c>
      <c r="AA185" s="52">
        <v>1</v>
      </c>
      <c r="AB185" s="637">
        <v>44207</v>
      </c>
      <c r="AC185" s="637">
        <v>44249</v>
      </c>
      <c r="AD185" s="52">
        <v>-1000</v>
      </c>
      <c r="AE185" s="52">
        <v>39</v>
      </c>
      <c r="AF185" s="637">
        <v>44358</v>
      </c>
      <c r="AG185" s="637">
        <v>44364</v>
      </c>
      <c r="AH185" s="52"/>
      <c r="AI185" s="52"/>
      <c r="AJ185" s="637"/>
      <c r="AK185" s="637"/>
      <c r="AL185" s="52"/>
      <c r="AM185" s="52"/>
      <c r="AN185" s="637"/>
      <c r="AO185" s="637"/>
      <c r="AP185" s="52"/>
      <c r="AQ185" s="52"/>
      <c r="AR185" s="637"/>
      <c r="AS185" s="637"/>
      <c r="AT185" s="52"/>
      <c r="AU185" s="52"/>
      <c r="AV185" s="637"/>
      <c r="AW185" s="637"/>
      <c r="AX185" s="52"/>
      <c r="AY185" s="52"/>
      <c r="AZ185" s="637"/>
      <c r="BA185" s="637"/>
      <c r="BB185" s="52"/>
      <c r="BC185" s="52"/>
      <c r="BD185" s="637"/>
      <c r="BE185" s="637"/>
      <c r="BF185" s="137">
        <f t="shared" si="8"/>
        <v>0</v>
      </c>
      <c r="BG185" s="43">
        <f t="shared" si="9"/>
        <v>0</v>
      </c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</row>
    <row r="186" spans="1:99" s="96" customFormat="1" ht="45" customHeight="1">
      <c r="A186" s="39"/>
      <c r="B186" s="51">
        <v>171</v>
      </c>
      <c r="C186" s="51" t="s">
        <v>131</v>
      </c>
      <c r="D186" s="42">
        <v>40001193</v>
      </c>
      <c r="E186" s="52" t="s">
        <v>2910</v>
      </c>
      <c r="F186" s="52" t="s">
        <v>317</v>
      </c>
      <c r="G186" s="56" t="s">
        <v>2686</v>
      </c>
      <c r="H186" s="52" t="s">
        <v>2699</v>
      </c>
      <c r="I186" s="52" t="s">
        <v>2537</v>
      </c>
      <c r="J186" s="636">
        <v>1825878</v>
      </c>
      <c r="K186" s="52"/>
      <c r="L186" s="52"/>
      <c r="M186" s="54">
        <v>88855.972999999998</v>
      </c>
      <c r="N186" s="54">
        <v>34348.5</v>
      </c>
      <c r="O186" s="54">
        <v>128626.05599999998</v>
      </c>
      <c r="P186" s="54">
        <v>70305.277000000002</v>
      </c>
      <c r="Q186" s="54">
        <v>122747.306</v>
      </c>
      <c r="R186" s="54">
        <v>87413.947</v>
      </c>
      <c r="S186" s="54">
        <v>94423.040999999997</v>
      </c>
      <c r="T186" s="54">
        <v>133736.571</v>
      </c>
      <c r="U186" s="54">
        <v>73386.892999999996</v>
      </c>
      <c r="V186" s="54"/>
      <c r="W186" s="54"/>
      <c r="X186" s="54"/>
      <c r="Y186" s="54">
        <f t="shared" si="7"/>
        <v>833843.56400000001</v>
      </c>
      <c r="Z186" s="52">
        <v>270000</v>
      </c>
      <c r="AA186" s="52">
        <v>1</v>
      </c>
      <c r="AB186" s="637">
        <v>44207</v>
      </c>
      <c r="AC186" s="637">
        <v>44249</v>
      </c>
      <c r="AD186" s="52">
        <v>250000</v>
      </c>
      <c r="AE186" s="52">
        <v>10</v>
      </c>
      <c r="AF186" s="637">
        <v>44286</v>
      </c>
      <c r="AG186" s="637">
        <v>44306</v>
      </c>
      <c r="AH186" s="52">
        <v>354962</v>
      </c>
      <c r="AI186" s="52">
        <v>26</v>
      </c>
      <c r="AJ186" s="637">
        <v>44358</v>
      </c>
      <c r="AK186" s="637">
        <v>44364</v>
      </c>
      <c r="AL186" s="52"/>
      <c r="AM186" s="52"/>
      <c r="AN186" s="637"/>
      <c r="AO186" s="637"/>
      <c r="AP186" s="52"/>
      <c r="AQ186" s="52"/>
      <c r="AR186" s="637"/>
      <c r="AS186" s="637"/>
      <c r="AT186" s="52"/>
      <c r="AU186" s="52"/>
      <c r="AV186" s="637"/>
      <c r="AW186" s="637"/>
      <c r="AX186" s="52"/>
      <c r="AY186" s="52"/>
      <c r="AZ186" s="637"/>
      <c r="BA186" s="637"/>
      <c r="BB186" s="52"/>
      <c r="BC186" s="52"/>
      <c r="BD186" s="637"/>
      <c r="BE186" s="637"/>
      <c r="BF186" s="137">
        <f t="shared" si="8"/>
        <v>874962</v>
      </c>
      <c r="BG186" s="43">
        <f t="shared" si="9"/>
        <v>41118.435999999987</v>
      </c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</row>
    <row r="187" spans="1:99" s="96" customFormat="1" ht="22.5" customHeight="1">
      <c r="A187" s="39"/>
      <c r="B187" s="51">
        <v>172</v>
      </c>
      <c r="C187" s="51" t="s">
        <v>39</v>
      </c>
      <c r="D187" s="42">
        <v>40001393</v>
      </c>
      <c r="E187" s="52" t="s">
        <v>2911</v>
      </c>
      <c r="F187" s="52" t="s">
        <v>317</v>
      </c>
      <c r="G187" s="56" t="s">
        <v>2686</v>
      </c>
      <c r="H187" s="52" t="s">
        <v>2695</v>
      </c>
      <c r="I187" s="52" t="s">
        <v>2537</v>
      </c>
      <c r="J187" s="636">
        <v>55393</v>
      </c>
      <c r="K187" s="52"/>
      <c r="L187" s="52"/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49269.533000000003</v>
      </c>
      <c r="V187" s="54"/>
      <c r="W187" s="54"/>
      <c r="X187" s="54"/>
      <c r="Y187" s="54">
        <f t="shared" si="7"/>
        <v>49269.533000000003</v>
      </c>
      <c r="Z187" s="52">
        <v>1000</v>
      </c>
      <c r="AA187" s="52">
        <v>8</v>
      </c>
      <c r="AB187" s="637">
        <v>44252</v>
      </c>
      <c r="AC187" s="637">
        <v>44292</v>
      </c>
      <c r="AD187" s="52">
        <v>-1000</v>
      </c>
      <c r="AE187" s="52">
        <v>39</v>
      </c>
      <c r="AF187" s="637">
        <v>44358</v>
      </c>
      <c r="AG187" s="637">
        <v>44364</v>
      </c>
      <c r="AH187" s="52"/>
      <c r="AI187" s="52"/>
      <c r="AJ187" s="637"/>
      <c r="AK187" s="637"/>
      <c r="AL187" s="52"/>
      <c r="AM187" s="52"/>
      <c r="AN187" s="637"/>
      <c r="AO187" s="637"/>
      <c r="AP187" s="52"/>
      <c r="AQ187" s="52"/>
      <c r="AR187" s="637"/>
      <c r="AS187" s="637"/>
      <c r="AT187" s="52"/>
      <c r="AU187" s="52"/>
      <c r="AV187" s="637"/>
      <c r="AW187" s="637"/>
      <c r="AX187" s="52"/>
      <c r="AY187" s="52"/>
      <c r="AZ187" s="637"/>
      <c r="BA187" s="637"/>
      <c r="BB187" s="52"/>
      <c r="BC187" s="52"/>
      <c r="BD187" s="637"/>
      <c r="BE187" s="637"/>
      <c r="BF187" s="137">
        <f t="shared" si="8"/>
        <v>0</v>
      </c>
      <c r="BG187" s="43">
        <f t="shared" si="9"/>
        <v>-49269.533000000003</v>
      </c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</row>
    <row r="188" spans="1:99" s="96" customFormat="1" ht="33.75" customHeight="1">
      <c r="A188" s="39"/>
      <c r="B188" s="51">
        <v>173</v>
      </c>
      <c r="C188" s="51" t="s">
        <v>39</v>
      </c>
      <c r="D188" s="42">
        <v>40001420</v>
      </c>
      <c r="E188" s="52" t="s">
        <v>2912</v>
      </c>
      <c r="F188" s="52" t="s">
        <v>317</v>
      </c>
      <c r="G188" s="56" t="s">
        <v>2686</v>
      </c>
      <c r="H188" s="52" t="s">
        <v>2740</v>
      </c>
      <c r="I188" s="52" t="s">
        <v>2537</v>
      </c>
      <c r="J188" s="636">
        <v>39651</v>
      </c>
      <c r="K188" s="52"/>
      <c r="L188" s="52"/>
      <c r="M188" s="54">
        <v>0</v>
      </c>
      <c r="N188" s="54">
        <v>0</v>
      </c>
      <c r="O188" s="54">
        <v>5153.0499999999993</v>
      </c>
      <c r="P188" s="54">
        <v>735.40200000000004</v>
      </c>
      <c r="Q188" s="54">
        <v>0</v>
      </c>
      <c r="R188" s="54">
        <v>4177.7349999999997</v>
      </c>
      <c r="S188" s="54">
        <v>1355.3309999999999</v>
      </c>
      <c r="T188" s="54">
        <v>0</v>
      </c>
      <c r="U188" s="54">
        <v>0</v>
      </c>
      <c r="V188" s="54"/>
      <c r="W188" s="54"/>
      <c r="X188" s="54"/>
      <c r="Y188" s="54">
        <f t="shared" si="7"/>
        <v>11421.517999999998</v>
      </c>
      <c r="Z188" s="52">
        <v>1000</v>
      </c>
      <c r="AA188" s="52">
        <v>8</v>
      </c>
      <c r="AB188" s="637">
        <v>44252</v>
      </c>
      <c r="AC188" s="637">
        <v>44292</v>
      </c>
      <c r="AD188" s="52">
        <v>12000</v>
      </c>
      <c r="AE188" s="52">
        <v>10</v>
      </c>
      <c r="AF188" s="637">
        <v>44286</v>
      </c>
      <c r="AG188" s="637">
        <v>44306</v>
      </c>
      <c r="AH188" s="52">
        <v>15000</v>
      </c>
      <c r="AI188" s="52">
        <v>40</v>
      </c>
      <c r="AJ188" s="637">
        <v>44358</v>
      </c>
      <c r="AK188" s="637">
        <v>44364</v>
      </c>
      <c r="AL188" s="52"/>
      <c r="AM188" s="52"/>
      <c r="AN188" s="637"/>
      <c r="AO188" s="637"/>
      <c r="AP188" s="52"/>
      <c r="AQ188" s="52"/>
      <c r="AR188" s="637"/>
      <c r="AS188" s="637"/>
      <c r="AT188" s="52"/>
      <c r="AU188" s="52"/>
      <c r="AV188" s="637"/>
      <c r="AW188" s="637"/>
      <c r="AX188" s="52"/>
      <c r="AY188" s="52"/>
      <c r="AZ188" s="637"/>
      <c r="BA188" s="637"/>
      <c r="BB188" s="52"/>
      <c r="BC188" s="52"/>
      <c r="BD188" s="637"/>
      <c r="BE188" s="637"/>
      <c r="BF188" s="137">
        <f t="shared" si="8"/>
        <v>28000</v>
      </c>
      <c r="BG188" s="43">
        <f t="shared" si="9"/>
        <v>16578.482000000004</v>
      </c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</row>
    <row r="189" spans="1:99" s="96" customFormat="1" ht="22.5">
      <c r="A189" s="39"/>
      <c r="B189" s="51">
        <v>174</v>
      </c>
      <c r="C189" s="51" t="s">
        <v>39</v>
      </c>
      <c r="D189" s="42">
        <v>40001576</v>
      </c>
      <c r="E189" s="52" t="s">
        <v>2913</v>
      </c>
      <c r="F189" s="52" t="s">
        <v>317</v>
      </c>
      <c r="G189" s="56" t="s">
        <v>2686</v>
      </c>
      <c r="H189" s="52" t="s">
        <v>2914</v>
      </c>
      <c r="I189" s="52" t="s">
        <v>2537</v>
      </c>
      <c r="J189" s="636">
        <v>185272</v>
      </c>
      <c r="K189" s="52"/>
      <c r="L189" s="52"/>
      <c r="M189" s="54">
        <v>167346.89799999999</v>
      </c>
      <c r="N189" s="54">
        <v>0</v>
      </c>
      <c r="O189" s="54">
        <v>0</v>
      </c>
      <c r="P189" s="54">
        <v>17924.903999999999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/>
      <c r="W189" s="54"/>
      <c r="X189" s="54"/>
      <c r="Y189" s="54">
        <f t="shared" si="7"/>
        <v>185271.802</v>
      </c>
      <c r="Z189" s="52">
        <v>185272</v>
      </c>
      <c r="AA189" s="52">
        <v>4</v>
      </c>
      <c r="AB189" s="637">
        <v>44221</v>
      </c>
      <c r="AC189" s="637">
        <v>44280</v>
      </c>
      <c r="AD189" s="52"/>
      <c r="AE189" s="52"/>
      <c r="AF189" s="637"/>
      <c r="AG189" s="637"/>
      <c r="AH189" s="52"/>
      <c r="AI189" s="52"/>
      <c r="AJ189" s="637"/>
      <c r="AK189" s="637"/>
      <c r="AL189" s="52"/>
      <c r="AM189" s="52"/>
      <c r="AN189" s="637"/>
      <c r="AO189" s="637"/>
      <c r="AP189" s="52"/>
      <c r="AQ189" s="52"/>
      <c r="AR189" s="637"/>
      <c r="AS189" s="637"/>
      <c r="AT189" s="52"/>
      <c r="AU189" s="52"/>
      <c r="AV189" s="637"/>
      <c r="AW189" s="637"/>
      <c r="AX189" s="52"/>
      <c r="AY189" s="52"/>
      <c r="AZ189" s="637"/>
      <c r="BA189" s="637"/>
      <c r="BB189" s="52"/>
      <c r="BC189" s="52"/>
      <c r="BD189" s="637"/>
      <c r="BE189" s="637"/>
      <c r="BF189" s="137">
        <f t="shared" si="8"/>
        <v>185272</v>
      </c>
      <c r="BG189" s="43">
        <f t="shared" si="9"/>
        <v>0.19800000000395812</v>
      </c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</row>
    <row r="190" spans="1:99" s="96" customFormat="1" ht="22.5" customHeight="1">
      <c r="A190" s="39"/>
      <c r="B190" s="51">
        <v>175</v>
      </c>
      <c r="C190" s="51" t="s">
        <v>39</v>
      </c>
      <c r="D190" s="42">
        <v>40001641</v>
      </c>
      <c r="E190" s="52" t="s">
        <v>2915</v>
      </c>
      <c r="F190" s="52" t="s">
        <v>317</v>
      </c>
      <c r="G190" s="56" t="s">
        <v>2686</v>
      </c>
      <c r="H190" s="52" t="s">
        <v>2828</v>
      </c>
      <c r="I190" s="52" t="s">
        <v>2537</v>
      </c>
      <c r="J190" s="636">
        <v>418698</v>
      </c>
      <c r="K190" s="52"/>
      <c r="L190" s="52"/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/>
      <c r="W190" s="54"/>
      <c r="X190" s="54"/>
      <c r="Y190" s="54">
        <f t="shared" si="7"/>
        <v>0</v>
      </c>
      <c r="Z190" s="52">
        <v>1000</v>
      </c>
      <c r="AA190" s="52">
        <v>1</v>
      </c>
      <c r="AB190" s="637">
        <v>44207</v>
      </c>
      <c r="AC190" s="637">
        <v>44249</v>
      </c>
      <c r="AD190" s="52">
        <v>-1000</v>
      </c>
      <c r="AE190" s="52">
        <v>39</v>
      </c>
      <c r="AF190" s="637">
        <v>44358</v>
      </c>
      <c r="AG190" s="637">
        <v>44364</v>
      </c>
      <c r="AH190" s="52"/>
      <c r="AI190" s="52"/>
      <c r="AJ190" s="637"/>
      <c r="AK190" s="637"/>
      <c r="AL190" s="52"/>
      <c r="AM190" s="52"/>
      <c r="AN190" s="637"/>
      <c r="AO190" s="637"/>
      <c r="AP190" s="52"/>
      <c r="AQ190" s="52"/>
      <c r="AR190" s="637"/>
      <c r="AS190" s="637"/>
      <c r="AT190" s="52"/>
      <c r="AU190" s="52"/>
      <c r="AV190" s="637"/>
      <c r="AW190" s="637"/>
      <c r="AX190" s="52"/>
      <c r="AY190" s="52"/>
      <c r="AZ190" s="637"/>
      <c r="BA190" s="637"/>
      <c r="BB190" s="52"/>
      <c r="BC190" s="52"/>
      <c r="BD190" s="637"/>
      <c r="BE190" s="637"/>
      <c r="BF190" s="137">
        <f t="shared" si="8"/>
        <v>0</v>
      </c>
      <c r="BG190" s="43">
        <f t="shared" si="9"/>
        <v>0</v>
      </c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</row>
    <row r="191" spans="1:99" s="96" customFormat="1" ht="33.75" customHeight="1">
      <c r="A191" s="39"/>
      <c r="B191" s="51">
        <v>176</v>
      </c>
      <c r="C191" s="51" t="s">
        <v>39</v>
      </c>
      <c r="D191" s="42">
        <v>40001838</v>
      </c>
      <c r="E191" s="52" t="s">
        <v>2916</v>
      </c>
      <c r="F191" s="52" t="s">
        <v>317</v>
      </c>
      <c r="G191" s="56" t="s">
        <v>2686</v>
      </c>
      <c r="H191" s="52" t="s">
        <v>2716</v>
      </c>
      <c r="I191" s="52" t="s">
        <v>2537</v>
      </c>
      <c r="J191" s="636">
        <v>224214</v>
      </c>
      <c r="K191" s="52"/>
      <c r="L191" s="52"/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167276.592</v>
      </c>
      <c r="V191" s="54"/>
      <c r="W191" s="54"/>
      <c r="X191" s="54"/>
      <c r="Y191" s="54">
        <f t="shared" si="7"/>
        <v>167276.592</v>
      </c>
      <c r="Z191" s="52">
        <v>1000</v>
      </c>
      <c r="AA191" s="52">
        <v>1</v>
      </c>
      <c r="AB191" s="637">
        <v>44207</v>
      </c>
      <c r="AC191" s="637">
        <v>44249</v>
      </c>
      <c r="AD191" s="52">
        <v>-1000</v>
      </c>
      <c r="AE191" s="52">
        <v>39</v>
      </c>
      <c r="AF191" s="637">
        <v>44358</v>
      </c>
      <c r="AG191" s="637">
        <v>44364</v>
      </c>
      <c r="AH191" s="52"/>
      <c r="AI191" s="52"/>
      <c r="AJ191" s="637"/>
      <c r="AK191" s="637"/>
      <c r="AL191" s="52"/>
      <c r="AM191" s="52"/>
      <c r="AN191" s="637"/>
      <c r="AO191" s="637"/>
      <c r="AP191" s="52"/>
      <c r="AQ191" s="52"/>
      <c r="AR191" s="637"/>
      <c r="AS191" s="637"/>
      <c r="AT191" s="52"/>
      <c r="AU191" s="52"/>
      <c r="AV191" s="637"/>
      <c r="AW191" s="637"/>
      <c r="AX191" s="52"/>
      <c r="AY191" s="52"/>
      <c r="AZ191" s="637"/>
      <c r="BA191" s="637"/>
      <c r="BB191" s="52"/>
      <c r="BC191" s="52"/>
      <c r="BD191" s="637"/>
      <c r="BE191" s="637"/>
      <c r="BF191" s="137">
        <f t="shared" si="8"/>
        <v>0</v>
      </c>
      <c r="BG191" s="43">
        <f t="shared" si="9"/>
        <v>-167276.592</v>
      </c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</row>
    <row r="192" spans="1:99" s="96" customFormat="1" ht="33.75" customHeight="1">
      <c r="A192" s="39"/>
      <c r="B192" s="51">
        <v>177</v>
      </c>
      <c r="C192" s="51" t="s">
        <v>39</v>
      </c>
      <c r="D192" s="42">
        <v>40001866</v>
      </c>
      <c r="E192" s="52" t="s">
        <v>2917</v>
      </c>
      <c r="F192" s="52" t="s">
        <v>47</v>
      </c>
      <c r="G192" s="56" t="s">
        <v>2686</v>
      </c>
      <c r="H192" s="52" t="s">
        <v>2737</v>
      </c>
      <c r="I192" s="52" t="s">
        <v>2537</v>
      </c>
      <c r="J192" s="636">
        <v>1748834</v>
      </c>
      <c r="K192" s="52"/>
      <c r="L192" s="52"/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/>
      <c r="W192" s="54"/>
      <c r="X192" s="54"/>
      <c r="Y192" s="54">
        <f t="shared" si="7"/>
        <v>0</v>
      </c>
      <c r="Z192" s="52">
        <v>1000</v>
      </c>
      <c r="AA192" s="52">
        <v>1</v>
      </c>
      <c r="AB192" s="637">
        <v>44207</v>
      </c>
      <c r="AC192" s="637">
        <v>44249</v>
      </c>
      <c r="AD192" s="52">
        <v>-1000</v>
      </c>
      <c r="AE192" s="52">
        <v>39</v>
      </c>
      <c r="AF192" s="637">
        <v>44358</v>
      </c>
      <c r="AG192" s="637">
        <v>44364</v>
      </c>
      <c r="AH192" s="52"/>
      <c r="AI192" s="52"/>
      <c r="AJ192" s="637"/>
      <c r="AK192" s="637"/>
      <c r="AL192" s="52"/>
      <c r="AM192" s="52"/>
      <c r="AN192" s="637"/>
      <c r="AO192" s="637"/>
      <c r="AP192" s="52"/>
      <c r="AQ192" s="52"/>
      <c r="AR192" s="637"/>
      <c r="AS192" s="637"/>
      <c r="AT192" s="52"/>
      <c r="AU192" s="52"/>
      <c r="AV192" s="637"/>
      <c r="AW192" s="637"/>
      <c r="AX192" s="52"/>
      <c r="AY192" s="52"/>
      <c r="AZ192" s="637"/>
      <c r="BA192" s="637"/>
      <c r="BB192" s="52"/>
      <c r="BC192" s="52"/>
      <c r="BD192" s="637"/>
      <c r="BE192" s="637"/>
      <c r="BF192" s="137">
        <f t="shared" si="8"/>
        <v>0</v>
      </c>
      <c r="BG192" s="43">
        <f t="shared" si="9"/>
        <v>0</v>
      </c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</row>
    <row r="193" spans="1:99" s="96" customFormat="1" ht="22.5" customHeight="1">
      <c r="A193" s="39"/>
      <c r="B193" s="51">
        <v>178</v>
      </c>
      <c r="C193" s="51" t="s">
        <v>39</v>
      </c>
      <c r="D193" s="42">
        <v>40002058</v>
      </c>
      <c r="E193" s="52" t="s">
        <v>2918</v>
      </c>
      <c r="F193" s="52" t="s">
        <v>317</v>
      </c>
      <c r="G193" s="56" t="s">
        <v>2686</v>
      </c>
      <c r="H193" s="52" t="s">
        <v>2814</v>
      </c>
      <c r="I193" s="52" t="s">
        <v>2537</v>
      </c>
      <c r="J193" s="636">
        <v>1835817</v>
      </c>
      <c r="K193" s="52"/>
      <c r="L193" s="52"/>
      <c r="M193" s="54">
        <v>758331.79200000002</v>
      </c>
      <c r="N193" s="54">
        <v>310453.21299999999</v>
      </c>
      <c r="O193" s="54">
        <v>409081.06799999997</v>
      </c>
      <c r="P193" s="54">
        <v>159756.584</v>
      </c>
      <c r="Q193" s="54">
        <v>79385.812000000005</v>
      </c>
      <c r="R193" s="54">
        <v>1176.472</v>
      </c>
      <c r="S193" s="54">
        <v>0</v>
      </c>
      <c r="T193" s="54">
        <v>0</v>
      </c>
      <c r="U193" s="54">
        <v>69343.133000000002</v>
      </c>
      <c r="V193" s="54"/>
      <c r="W193" s="54"/>
      <c r="X193" s="54"/>
      <c r="Y193" s="54">
        <f t="shared" si="7"/>
        <v>1787528.0739999998</v>
      </c>
      <c r="Z193" s="52">
        <v>810000</v>
      </c>
      <c r="AA193" s="52">
        <v>4</v>
      </c>
      <c r="AB193" s="637">
        <v>44221</v>
      </c>
      <c r="AC193" s="637">
        <v>44280</v>
      </c>
      <c r="AD193" s="52">
        <v>485000</v>
      </c>
      <c r="AE193" s="52">
        <v>8</v>
      </c>
      <c r="AF193" s="637">
        <v>44252</v>
      </c>
      <c r="AG193" s="637">
        <v>44292</v>
      </c>
      <c r="AH193" s="52">
        <v>388160</v>
      </c>
      <c r="AI193" s="52">
        <v>10</v>
      </c>
      <c r="AJ193" s="637">
        <v>44286</v>
      </c>
      <c r="AK193" s="637">
        <v>44306</v>
      </c>
      <c r="AL193" s="52">
        <v>2352</v>
      </c>
      <c r="AM193" s="52">
        <v>14</v>
      </c>
      <c r="AN193" s="637">
        <v>44313</v>
      </c>
      <c r="AO193" s="637">
        <v>44322</v>
      </c>
      <c r="AP193" s="52">
        <v>149127</v>
      </c>
      <c r="AQ193" s="52">
        <v>23</v>
      </c>
      <c r="AR193" s="637">
        <v>44340</v>
      </c>
      <c r="AS193" s="637">
        <v>44350</v>
      </c>
      <c r="AT193" s="52">
        <v>1176</v>
      </c>
      <c r="AU193" s="52">
        <v>26</v>
      </c>
      <c r="AV193" s="637">
        <v>44358</v>
      </c>
      <c r="AW193" s="637">
        <v>44364</v>
      </c>
      <c r="AX193" s="52">
        <v>-117630</v>
      </c>
      <c r="AY193" s="52">
        <v>38</v>
      </c>
      <c r="AZ193" s="637">
        <v>44358</v>
      </c>
      <c r="BA193" s="637">
        <v>44364</v>
      </c>
      <c r="BB193" s="52"/>
      <c r="BC193" s="52"/>
      <c r="BD193" s="637"/>
      <c r="BE193" s="637"/>
      <c r="BF193" s="137">
        <f t="shared" si="8"/>
        <v>1718185</v>
      </c>
      <c r="BG193" s="43">
        <f t="shared" si="9"/>
        <v>-69343.07399999979</v>
      </c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</row>
    <row r="194" spans="1:99" s="96" customFormat="1" ht="22.5" customHeight="1">
      <c r="A194" s="39"/>
      <c r="B194" s="51">
        <v>179</v>
      </c>
      <c r="C194" s="51" t="s">
        <v>39</v>
      </c>
      <c r="D194" s="42">
        <v>40002059</v>
      </c>
      <c r="E194" s="52" t="s">
        <v>2919</v>
      </c>
      <c r="F194" s="52" t="s">
        <v>317</v>
      </c>
      <c r="G194" s="56" t="s">
        <v>2686</v>
      </c>
      <c r="H194" s="52" t="s">
        <v>2814</v>
      </c>
      <c r="I194" s="52" t="s">
        <v>2537</v>
      </c>
      <c r="J194" s="636">
        <v>822501</v>
      </c>
      <c r="K194" s="52"/>
      <c r="L194" s="52"/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372380.13099999999</v>
      </c>
      <c r="S194" s="54">
        <v>0</v>
      </c>
      <c r="T194" s="54">
        <v>4104</v>
      </c>
      <c r="U194" s="54">
        <v>293240.359</v>
      </c>
      <c r="V194" s="54"/>
      <c r="W194" s="54"/>
      <c r="X194" s="54"/>
      <c r="Y194" s="54">
        <f t="shared" si="7"/>
        <v>669724.49</v>
      </c>
      <c r="Z194" s="52">
        <v>1000</v>
      </c>
      <c r="AA194" s="52">
        <v>1</v>
      </c>
      <c r="AB194" s="637">
        <v>44207</v>
      </c>
      <c r="AC194" s="637">
        <v>44249</v>
      </c>
      <c r="AD194" s="52">
        <v>372380</v>
      </c>
      <c r="AE194" s="52">
        <v>26</v>
      </c>
      <c r="AF194" s="637">
        <v>44358</v>
      </c>
      <c r="AG194" s="637">
        <v>44364</v>
      </c>
      <c r="AH194" s="52">
        <v>-1000</v>
      </c>
      <c r="AI194" s="52">
        <v>39</v>
      </c>
      <c r="AJ194" s="637">
        <v>44358</v>
      </c>
      <c r="AK194" s="637">
        <v>44364</v>
      </c>
      <c r="AL194" s="52"/>
      <c r="AM194" s="52"/>
      <c r="AN194" s="637"/>
      <c r="AO194" s="637"/>
      <c r="AP194" s="52"/>
      <c r="AQ194" s="52"/>
      <c r="AR194" s="637"/>
      <c r="AS194" s="637"/>
      <c r="AT194" s="52"/>
      <c r="AU194" s="52"/>
      <c r="AV194" s="637"/>
      <c r="AW194" s="637"/>
      <c r="AX194" s="52"/>
      <c r="AY194" s="52"/>
      <c r="AZ194" s="637"/>
      <c r="BA194" s="637"/>
      <c r="BB194" s="52"/>
      <c r="BC194" s="52"/>
      <c r="BD194" s="637"/>
      <c r="BE194" s="637"/>
      <c r="BF194" s="137">
        <f t="shared" si="8"/>
        <v>372380</v>
      </c>
      <c r="BG194" s="43">
        <f t="shared" si="9"/>
        <v>-297344.49</v>
      </c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</row>
    <row r="195" spans="1:99" s="96" customFormat="1" ht="45" customHeight="1">
      <c r="A195" s="39"/>
      <c r="B195" s="51">
        <v>180</v>
      </c>
      <c r="C195" s="51" t="s">
        <v>39</v>
      </c>
      <c r="D195" s="42">
        <v>40002816</v>
      </c>
      <c r="E195" s="52" t="s">
        <v>2920</v>
      </c>
      <c r="F195" s="52" t="s">
        <v>47</v>
      </c>
      <c r="G195" s="56" t="s">
        <v>2686</v>
      </c>
      <c r="H195" s="52" t="s">
        <v>2699</v>
      </c>
      <c r="I195" s="52" t="s">
        <v>2537</v>
      </c>
      <c r="J195" s="636">
        <v>158891</v>
      </c>
      <c r="K195" s="52"/>
      <c r="L195" s="52"/>
      <c r="M195" s="54">
        <v>11000</v>
      </c>
      <c r="N195" s="54">
        <v>11000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/>
      <c r="W195" s="54"/>
      <c r="X195" s="54"/>
      <c r="Y195" s="54">
        <f t="shared" si="7"/>
        <v>22000</v>
      </c>
      <c r="Z195" s="52">
        <v>1000</v>
      </c>
      <c r="AA195" s="52">
        <v>1</v>
      </c>
      <c r="AB195" s="637">
        <v>44207</v>
      </c>
      <c r="AC195" s="637">
        <v>44249</v>
      </c>
      <c r="AD195" s="52">
        <v>99000</v>
      </c>
      <c r="AE195" s="52">
        <v>4</v>
      </c>
      <c r="AF195" s="637">
        <v>44221</v>
      </c>
      <c r="AG195" s="637">
        <v>44280</v>
      </c>
      <c r="AH195" s="52"/>
      <c r="AI195" s="52"/>
      <c r="AJ195" s="637"/>
      <c r="AK195" s="637"/>
      <c r="AL195" s="52"/>
      <c r="AM195" s="52"/>
      <c r="AN195" s="637"/>
      <c r="AO195" s="637"/>
      <c r="AP195" s="52"/>
      <c r="AQ195" s="52"/>
      <c r="AR195" s="637"/>
      <c r="AS195" s="637"/>
      <c r="AT195" s="52"/>
      <c r="AU195" s="52"/>
      <c r="AV195" s="637"/>
      <c r="AW195" s="637"/>
      <c r="AX195" s="52"/>
      <c r="AY195" s="52"/>
      <c r="AZ195" s="637"/>
      <c r="BA195" s="637"/>
      <c r="BB195" s="52"/>
      <c r="BC195" s="52"/>
      <c r="BD195" s="637"/>
      <c r="BE195" s="637"/>
      <c r="BF195" s="137">
        <f t="shared" si="8"/>
        <v>100000</v>
      </c>
      <c r="BG195" s="43">
        <f t="shared" si="9"/>
        <v>78000</v>
      </c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</row>
    <row r="196" spans="1:99" s="96" customFormat="1" ht="22.5" customHeight="1">
      <c r="A196" s="39"/>
      <c r="B196" s="51">
        <v>181</v>
      </c>
      <c r="C196" s="51" t="s">
        <v>39</v>
      </c>
      <c r="D196" s="42">
        <v>40002833</v>
      </c>
      <c r="E196" s="52" t="s">
        <v>2921</v>
      </c>
      <c r="F196" s="52" t="s">
        <v>317</v>
      </c>
      <c r="G196" s="56" t="s">
        <v>2686</v>
      </c>
      <c r="H196" s="52" t="s">
        <v>2871</v>
      </c>
      <c r="I196" s="52" t="s">
        <v>2540</v>
      </c>
      <c r="J196" s="636">
        <v>1837568</v>
      </c>
      <c r="K196" s="52"/>
      <c r="L196" s="52"/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/>
      <c r="W196" s="54"/>
      <c r="X196" s="54"/>
      <c r="Y196" s="54">
        <f t="shared" si="7"/>
        <v>0</v>
      </c>
      <c r="Z196" s="52">
        <v>1000</v>
      </c>
      <c r="AA196" s="52">
        <v>1</v>
      </c>
      <c r="AB196" s="637">
        <v>44207</v>
      </c>
      <c r="AC196" s="637">
        <v>44249</v>
      </c>
      <c r="AD196" s="52">
        <v>-1000</v>
      </c>
      <c r="AE196" s="52">
        <v>39</v>
      </c>
      <c r="AF196" s="637">
        <v>44358</v>
      </c>
      <c r="AG196" s="637">
        <v>44364</v>
      </c>
      <c r="AH196" s="52"/>
      <c r="AI196" s="52"/>
      <c r="AJ196" s="637"/>
      <c r="AK196" s="637"/>
      <c r="AL196" s="52"/>
      <c r="AM196" s="52"/>
      <c r="AN196" s="637"/>
      <c r="AO196" s="637"/>
      <c r="AP196" s="52"/>
      <c r="AQ196" s="52"/>
      <c r="AR196" s="637"/>
      <c r="AS196" s="637"/>
      <c r="AT196" s="52"/>
      <c r="AU196" s="52"/>
      <c r="AV196" s="637"/>
      <c r="AW196" s="637"/>
      <c r="AX196" s="52"/>
      <c r="AY196" s="52"/>
      <c r="AZ196" s="637"/>
      <c r="BA196" s="637"/>
      <c r="BB196" s="52"/>
      <c r="BC196" s="52"/>
      <c r="BD196" s="637"/>
      <c r="BE196" s="637"/>
      <c r="BF196" s="137">
        <f t="shared" si="8"/>
        <v>0</v>
      </c>
      <c r="BG196" s="43">
        <f t="shared" si="9"/>
        <v>0</v>
      </c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</row>
    <row r="197" spans="1:99" s="96" customFormat="1" ht="33.75" customHeight="1">
      <c r="A197" s="39"/>
      <c r="B197" s="51">
        <v>182</v>
      </c>
      <c r="C197" s="51" t="s">
        <v>39</v>
      </c>
      <c r="D197" s="42">
        <v>40003010</v>
      </c>
      <c r="E197" s="52" t="s">
        <v>2922</v>
      </c>
      <c r="F197" s="52" t="s">
        <v>317</v>
      </c>
      <c r="G197" s="56" t="s">
        <v>2686</v>
      </c>
      <c r="H197" s="52" t="s">
        <v>2697</v>
      </c>
      <c r="I197" s="52" t="s">
        <v>2537</v>
      </c>
      <c r="J197" s="636">
        <v>44145</v>
      </c>
      <c r="K197" s="52"/>
      <c r="L197" s="52"/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/>
      <c r="W197" s="54"/>
      <c r="X197" s="54"/>
      <c r="Y197" s="54">
        <f t="shared" si="7"/>
        <v>0</v>
      </c>
      <c r="Z197" s="52">
        <v>1000</v>
      </c>
      <c r="AA197" s="52">
        <v>8</v>
      </c>
      <c r="AB197" s="637">
        <v>44252</v>
      </c>
      <c r="AC197" s="637">
        <v>44292</v>
      </c>
      <c r="AD197" s="52">
        <v>-1000</v>
      </c>
      <c r="AE197" s="52">
        <v>39</v>
      </c>
      <c r="AF197" s="637">
        <v>44358</v>
      </c>
      <c r="AG197" s="637">
        <v>44364</v>
      </c>
      <c r="AH197" s="52"/>
      <c r="AI197" s="52"/>
      <c r="AJ197" s="637"/>
      <c r="AK197" s="637"/>
      <c r="AL197" s="52"/>
      <c r="AM197" s="52"/>
      <c r="AN197" s="637"/>
      <c r="AO197" s="637"/>
      <c r="AP197" s="52"/>
      <c r="AQ197" s="52"/>
      <c r="AR197" s="637"/>
      <c r="AS197" s="637"/>
      <c r="AT197" s="52"/>
      <c r="AU197" s="52"/>
      <c r="AV197" s="637"/>
      <c r="AW197" s="637"/>
      <c r="AX197" s="52"/>
      <c r="AY197" s="52"/>
      <c r="AZ197" s="637"/>
      <c r="BA197" s="637"/>
      <c r="BB197" s="52"/>
      <c r="BC197" s="52"/>
      <c r="BD197" s="637"/>
      <c r="BE197" s="637"/>
      <c r="BF197" s="137">
        <f t="shared" si="8"/>
        <v>0</v>
      </c>
      <c r="BG197" s="43">
        <f t="shared" si="9"/>
        <v>0</v>
      </c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</row>
    <row r="198" spans="1:99" s="96" customFormat="1" ht="22.5" customHeight="1">
      <c r="A198" s="39"/>
      <c r="B198" s="51">
        <v>183</v>
      </c>
      <c r="C198" s="51" t="s">
        <v>39</v>
      </c>
      <c r="D198" s="42">
        <v>40003085</v>
      </c>
      <c r="E198" s="52" t="s">
        <v>2923</v>
      </c>
      <c r="F198" s="52" t="s">
        <v>317</v>
      </c>
      <c r="G198" s="56" t="s">
        <v>2686</v>
      </c>
      <c r="H198" s="52" t="s">
        <v>2898</v>
      </c>
      <c r="I198" s="52" t="s">
        <v>2537</v>
      </c>
      <c r="J198" s="636">
        <v>942085</v>
      </c>
      <c r="K198" s="52"/>
      <c r="L198" s="52"/>
      <c r="M198" s="54">
        <v>124945.4</v>
      </c>
      <c r="N198" s="54">
        <v>115300.217</v>
      </c>
      <c r="O198" s="54">
        <v>310804.24699999997</v>
      </c>
      <c r="P198" s="54">
        <v>136284.038</v>
      </c>
      <c r="Q198" s="54">
        <v>231163.59100000001</v>
      </c>
      <c r="R198" s="54">
        <v>124112.39300000001</v>
      </c>
      <c r="S198" s="54">
        <v>132104.867</v>
      </c>
      <c r="T198" s="54">
        <v>321791.761</v>
      </c>
      <c r="U198" s="54">
        <v>350195.75300000003</v>
      </c>
      <c r="V198" s="54"/>
      <c r="W198" s="54"/>
      <c r="X198" s="54"/>
      <c r="Y198" s="54">
        <f t="shared" si="7"/>
        <v>1846702.267</v>
      </c>
      <c r="Z198" s="52">
        <v>1000</v>
      </c>
      <c r="AA198" s="52">
        <v>1</v>
      </c>
      <c r="AB198" s="637">
        <v>44207</v>
      </c>
      <c r="AC198" s="637">
        <v>44249</v>
      </c>
      <c r="AD198" s="52">
        <v>550000</v>
      </c>
      <c r="AE198" s="52">
        <v>4</v>
      </c>
      <c r="AF198" s="637">
        <v>44221</v>
      </c>
      <c r="AG198" s="637">
        <v>44280</v>
      </c>
      <c r="AH198" s="52">
        <v>150000</v>
      </c>
      <c r="AI198" s="52">
        <v>10</v>
      </c>
      <c r="AJ198" s="637">
        <v>44286</v>
      </c>
      <c r="AK198" s="637">
        <v>44306</v>
      </c>
      <c r="AL198" s="52">
        <v>350000</v>
      </c>
      <c r="AM198" s="52">
        <v>18</v>
      </c>
      <c r="AN198" s="637">
        <v>44327</v>
      </c>
      <c r="AO198" s="637">
        <v>44341</v>
      </c>
      <c r="AP198" s="52">
        <v>170000</v>
      </c>
      <c r="AQ198" s="52">
        <v>38</v>
      </c>
      <c r="AR198" s="637">
        <v>44358</v>
      </c>
      <c r="AS198" s="637">
        <v>44364</v>
      </c>
      <c r="AT198" s="52"/>
      <c r="AU198" s="52"/>
      <c r="AV198" s="637"/>
      <c r="AW198" s="637"/>
      <c r="AX198" s="52"/>
      <c r="AY198" s="52"/>
      <c r="AZ198" s="637"/>
      <c r="BA198" s="637"/>
      <c r="BB198" s="52"/>
      <c r="BC198" s="52"/>
      <c r="BD198" s="637"/>
      <c r="BE198" s="637"/>
      <c r="BF198" s="137">
        <f t="shared" si="8"/>
        <v>1221000</v>
      </c>
      <c r="BG198" s="43">
        <f t="shared" si="9"/>
        <v>-625702.26699999999</v>
      </c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</row>
    <row r="199" spans="1:99" s="96" customFormat="1" ht="33.75">
      <c r="A199" s="39"/>
      <c r="B199" s="51">
        <v>184</v>
      </c>
      <c r="C199" s="51" t="s">
        <v>39</v>
      </c>
      <c r="D199" s="42">
        <v>40003255</v>
      </c>
      <c r="E199" s="52" t="s">
        <v>2924</v>
      </c>
      <c r="F199" s="52" t="s">
        <v>317</v>
      </c>
      <c r="G199" s="56" t="s">
        <v>2686</v>
      </c>
      <c r="H199" s="52" t="s">
        <v>2733</v>
      </c>
      <c r="I199" s="52" t="s">
        <v>2537</v>
      </c>
      <c r="J199" s="636">
        <v>82572</v>
      </c>
      <c r="K199" s="52"/>
      <c r="L199" s="52"/>
      <c r="M199" s="54">
        <v>82356.444000000003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/>
      <c r="W199" s="54"/>
      <c r="X199" s="54"/>
      <c r="Y199" s="54">
        <f t="shared" si="7"/>
        <v>82356.444000000003</v>
      </c>
      <c r="Z199" s="52">
        <v>82357</v>
      </c>
      <c r="AA199" s="52">
        <v>4</v>
      </c>
      <c r="AB199" s="637">
        <v>44221</v>
      </c>
      <c r="AC199" s="637">
        <v>44280</v>
      </c>
      <c r="AD199" s="52"/>
      <c r="AE199" s="52"/>
      <c r="AF199" s="637"/>
      <c r="AG199" s="637"/>
      <c r="AH199" s="52"/>
      <c r="AI199" s="52"/>
      <c r="AJ199" s="637"/>
      <c r="AK199" s="637"/>
      <c r="AL199" s="52"/>
      <c r="AM199" s="52"/>
      <c r="AN199" s="637"/>
      <c r="AO199" s="637"/>
      <c r="AP199" s="52"/>
      <c r="AQ199" s="52"/>
      <c r="AR199" s="637"/>
      <c r="AS199" s="637"/>
      <c r="AT199" s="52"/>
      <c r="AU199" s="52"/>
      <c r="AV199" s="637"/>
      <c r="AW199" s="637"/>
      <c r="AX199" s="52"/>
      <c r="AY199" s="52"/>
      <c r="AZ199" s="637"/>
      <c r="BA199" s="637"/>
      <c r="BB199" s="52"/>
      <c r="BC199" s="52"/>
      <c r="BD199" s="637"/>
      <c r="BE199" s="637"/>
      <c r="BF199" s="137">
        <f t="shared" si="8"/>
        <v>82357</v>
      </c>
      <c r="BG199" s="43">
        <f t="shared" si="9"/>
        <v>0.55599999999685679</v>
      </c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</row>
    <row r="200" spans="1:99" s="96" customFormat="1" ht="22.5" customHeight="1">
      <c r="A200" s="39"/>
      <c r="B200" s="51">
        <v>185</v>
      </c>
      <c r="C200" s="51" t="s">
        <v>39</v>
      </c>
      <c r="D200" s="42">
        <v>40003393</v>
      </c>
      <c r="E200" s="52" t="s">
        <v>2925</v>
      </c>
      <c r="F200" s="52" t="s">
        <v>317</v>
      </c>
      <c r="G200" s="56" t="s">
        <v>2686</v>
      </c>
      <c r="H200" s="52" t="s">
        <v>2817</v>
      </c>
      <c r="I200" s="52" t="s">
        <v>2540</v>
      </c>
      <c r="J200" s="636">
        <v>8167</v>
      </c>
      <c r="K200" s="52"/>
      <c r="L200" s="52"/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/>
      <c r="W200" s="54"/>
      <c r="X200" s="54"/>
      <c r="Y200" s="54">
        <f t="shared" si="7"/>
        <v>0</v>
      </c>
      <c r="Z200" s="52">
        <v>1000</v>
      </c>
      <c r="AA200" s="52">
        <v>1</v>
      </c>
      <c r="AB200" s="637">
        <v>44207</v>
      </c>
      <c r="AC200" s="637">
        <v>44249</v>
      </c>
      <c r="AD200" s="52">
        <v>-1000</v>
      </c>
      <c r="AE200" s="52">
        <v>39</v>
      </c>
      <c r="AF200" s="637">
        <v>44358</v>
      </c>
      <c r="AG200" s="637">
        <v>44364</v>
      </c>
      <c r="AH200" s="52"/>
      <c r="AI200" s="52"/>
      <c r="AJ200" s="637"/>
      <c r="AK200" s="637"/>
      <c r="AL200" s="52"/>
      <c r="AM200" s="52"/>
      <c r="AN200" s="637"/>
      <c r="AO200" s="637"/>
      <c r="AP200" s="52"/>
      <c r="AQ200" s="52"/>
      <c r="AR200" s="637"/>
      <c r="AS200" s="637"/>
      <c r="AT200" s="52"/>
      <c r="AU200" s="52"/>
      <c r="AV200" s="637"/>
      <c r="AW200" s="637"/>
      <c r="AX200" s="52"/>
      <c r="AY200" s="52"/>
      <c r="AZ200" s="637"/>
      <c r="BA200" s="637"/>
      <c r="BB200" s="52"/>
      <c r="BC200" s="52"/>
      <c r="BD200" s="637"/>
      <c r="BE200" s="637"/>
      <c r="BF200" s="137">
        <f t="shared" si="8"/>
        <v>0</v>
      </c>
      <c r="BG200" s="43">
        <f t="shared" si="9"/>
        <v>0</v>
      </c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</row>
    <row r="201" spans="1:99" s="96" customFormat="1" ht="22.5" customHeight="1">
      <c r="A201" s="39"/>
      <c r="B201" s="51">
        <v>186</v>
      </c>
      <c r="C201" s="51" t="s">
        <v>39</v>
      </c>
      <c r="D201" s="42">
        <v>40003612</v>
      </c>
      <c r="E201" s="52" t="s">
        <v>2926</v>
      </c>
      <c r="F201" s="52" t="s">
        <v>317</v>
      </c>
      <c r="G201" s="56" t="s">
        <v>2686</v>
      </c>
      <c r="H201" s="52" t="s">
        <v>2733</v>
      </c>
      <c r="I201" s="52" t="s">
        <v>2537</v>
      </c>
      <c r="J201" s="636">
        <v>328229</v>
      </c>
      <c r="K201" s="52"/>
      <c r="L201" s="52"/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/>
      <c r="W201" s="54"/>
      <c r="X201" s="54"/>
      <c r="Y201" s="54">
        <f t="shared" si="7"/>
        <v>0</v>
      </c>
      <c r="Z201" s="52">
        <v>1000</v>
      </c>
      <c r="AA201" s="52">
        <v>1</v>
      </c>
      <c r="AB201" s="637">
        <v>44207</v>
      </c>
      <c r="AC201" s="637">
        <v>44249</v>
      </c>
      <c r="AD201" s="52">
        <v>-1000</v>
      </c>
      <c r="AE201" s="52">
        <v>39</v>
      </c>
      <c r="AF201" s="637">
        <v>44358</v>
      </c>
      <c r="AG201" s="637">
        <v>44364</v>
      </c>
      <c r="AH201" s="52"/>
      <c r="AI201" s="52"/>
      <c r="AJ201" s="637"/>
      <c r="AK201" s="637"/>
      <c r="AL201" s="52"/>
      <c r="AM201" s="52"/>
      <c r="AN201" s="637"/>
      <c r="AO201" s="637"/>
      <c r="AP201" s="52"/>
      <c r="AQ201" s="52"/>
      <c r="AR201" s="637"/>
      <c r="AS201" s="637"/>
      <c r="AT201" s="52"/>
      <c r="AU201" s="52"/>
      <c r="AV201" s="637"/>
      <c r="AW201" s="637"/>
      <c r="AX201" s="52"/>
      <c r="AY201" s="52"/>
      <c r="AZ201" s="637"/>
      <c r="BA201" s="637"/>
      <c r="BB201" s="52"/>
      <c r="BC201" s="52"/>
      <c r="BD201" s="637"/>
      <c r="BE201" s="637"/>
      <c r="BF201" s="137">
        <f t="shared" si="8"/>
        <v>0</v>
      </c>
      <c r="BG201" s="43">
        <f t="shared" si="9"/>
        <v>0</v>
      </c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</row>
    <row r="202" spans="1:99" s="96" customFormat="1" ht="22.5" customHeight="1">
      <c r="A202" s="39"/>
      <c r="B202" s="51">
        <v>187</v>
      </c>
      <c r="C202" s="51" t="s">
        <v>39</v>
      </c>
      <c r="D202" s="42">
        <v>40003652</v>
      </c>
      <c r="E202" s="52" t="s">
        <v>2927</v>
      </c>
      <c r="F202" s="52" t="s">
        <v>317</v>
      </c>
      <c r="G202" s="56" t="s">
        <v>2686</v>
      </c>
      <c r="H202" s="52" t="s">
        <v>2714</v>
      </c>
      <c r="I202" s="52" t="s">
        <v>2537</v>
      </c>
      <c r="J202" s="636">
        <v>1056932</v>
      </c>
      <c r="K202" s="52"/>
      <c r="L202" s="52"/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/>
      <c r="W202" s="54"/>
      <c r="X202" s="54"/>
      <c r="Y202" s="54">
        <f t="shared" si="7"/>
        <v>0</v>
      </c>
      <c r="Z202" s="52">
        <v>1000</v>
      </c>
      <c r="AA202" s="52">
        <v>1</v>
      </c>
      <c r="AB202" s="637">
        <v>44207</v>
      </c>
      <c r="AC202" s="637">
        <v>44249</v>
      </c>
      <c r="AD202" s="52">
        <v>-1000</v>
      </c>
      <c r="AE202" s="52">
        <v>39</v>
      </c>
      <c r="AF202" s="637">
        <v>44358</v>
      </c>
      <c r="AG202" s="637">
        <v>44364</v>
      </c>
      <c r="AH202" s="52"/>
      <c r="AI202" s="52"/>
      <c r="AJ202" s="637"/>
      <c r="AK202" s="637"/>
      <c r="AL202" s="52"/>
      <c r="AM202" s="52"/>
      <c r="AN202" s="637"/>
      <c r="AO202" s="637"/>
      <c r="AP202" s="52"/>
      <c r="AQ202" s="52"/>
      <c r="AR202" s="637"/>
      <c r="AS202" s="637"/>
      <c r="AT202" s="52"/>
      <c r="AU202" s="52"/>
      <c r="AV202" s="637"/>
      <c r="AW202" s="637"/>
      <c r="AX202" s="52"/>
      <c r="AY202" s="52"/>
      <c r="AZ202" s="637"/>
      <c r="BA202" s="637"/>
      <c r="BB202" s="52"/>
      <c r="BC202" s="52"/>
      <c r="BD202" s="637"/>
      <c r="BE202" s="637"/>
      <c r="BF202" s="137">
        <f t="shared" si="8"/>
        <v>0</v>
      </c>
      <c r="BG202" s="43">
        <f t="shared" si="9"/>
        <v>0</v>
      </c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</row>
    <row r="203" spans="1:99" s="96" customFormat="1" ht="22.5" customHeight="1">
      <c r="A203" s="39"/>
      <c r="B203" s="51">
        <v>188</v>
      </c>
      <c r="C203" s="51" t="s">
        <v>39</v>
      </c>
      <c r="D203" s="42">
        <v>40003725</v>
      </c>
      <c r="E203" s="52" t="s">
        <v>2928</v>
      </c>
      <c r="F203" s="52" t="s">
        <v>317</v>
      </c>
      <c r="G203" s="56" t="s">
        <v>2686</v>
      </c>
      <c r="H203" s="52" t="s">
        <v>2786</v>
      </c>
      <c r="I203" s="52" t="s">
        <v>2537</v>
      </c>
      <c r="J203" s="636">
        <v>2859559</v>
      </c>
      <c r="K203" s="52"/>
      <c r="L203" s="52"/>
      <c r="M203" s="54">
        <v>123435.40399999999</v>
      </c>
      <c r="N203" s="54">
        <v>115641.553</v>
      </c>
      <c r="O203" s="54">
        <v>0</v>
      </c>
      <c r="P203" s="54">
        <v>96708.182000000001</v>
      </c>
      <c r="Q203" s="54">
        <v>117757.88400000001</v>
      </c>
      <c r="R203" s="54">
        <v>0</v>
      </c>
      <c r="S203" s="54">
        <v>69873.491999999998</v>
      </c>
      <c r="T203" s="54">
        <v>0</v>
      </c>
      <c r="U203" s="54">
        <v>107895.478</v>
      </c>
      <c r="V203" s="54"/>
      <c r="W203" s="54"/>
      <c r="X203" s="54"/>
      <c r="Y203" s="54">
        <f t="shared" si="7"/>
        <v>631311.99300000002</v>
      </c>
      <c r="Z203" s="52">
        <v>400000</v>
      </c>
      <c r="AA203" s="52">
        <v>4</v>
      </c>
      <c r="AB203" s="637">
        <v>44221</v>
      </c>
      <c r="AC203" s="637">
        <v>44280</v>
      </c>
      <c r="AD203" s="52">
        <v>3000</v>
      </c>
      <c r="AE203" s="52">
        <v>11</v>
      </c>
      <c r="AF203" s="637">
        <v>44299</v>
      </c>
      <c r="AG203" s="637">
        <v>44312</v>
      </c>
      <c r="AH203" s="52">
        <v>250000</v>
      </c>
      <c r="AI203" s="52">
        <v>23</v>
      </c>
      <c r="AJ203" s="637">
        <v>44340</v>
      </c>
      <c r="AK203" s="637">
        <v>44350</v>
      </c>
      <c r="AL203" s="52"/>
      <c r="AM203" s="52"/>
      <c r="AN203" s="637"/>
      <c r="AO203" s="637"/>
      <c r="AP203" s="52"/>
      <c r="AQ203" s="52"/>
      <c r="AR203" s="637"/>
      <c r="AS203" s="637"/>
      <c r="AT203" s="52"/>
      <c r="AU203" s="52"/>
      <c r="AV203" s="637"/>
      <c r="AW203" s="637"/>
      <c r="AX203" s="52"/>
      <c r="AY203" s="52"/>
      <c r="AZ203" s="637"/>
      <c r="BA203" s="637"/>
      <c r="BB203" s="52"/>
      <c r="BC203" s="52"/>
      <c r="BD203" s="637"/>
      <c r="BE203" s="637"/>
      <c r="BF203" s="137">
        <f t="shared" si="8"/>
        <v>653000</v>
      </c>
      <c r="BG203" s="43">
        <f t="shared" si="9"/>
        <v>21688.006999999983</v>
      </c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</row>
    <row r="204" spans="1:99" s="96" customFormat="1" ht="22.5" customHeight="1">
      <c r="A204" s="39"/>
      <c r="B204" s="51">
        <v>189</v>
      </c>
      <c r="C204" s="51" t="s">
        <v>39</v>
      </c>
      <c r="D204" s="42">
        <v>40003910</v>
      </c>
      <c r="E204" s="52" t="s">
        <v>2929</v>
      </c>
      <c r="F204" s="52" t="s">
        <v>317</v>
      </c>
      <c r="G204" s="56" t="s">
        <v>2686</v>
      </c>
      <c r="H204" s="52" t="s">
        <v>2733</v>
      </c>
      <c r="I204" s="52" t="s">
        <v>2537</v>
      </c>
      <c r="J204" s="636">
        <v>1625156</v>
      </c>
      <c r="K204" s="52"/>
      <c r="L204" s="52"/>
      <c r="M204" s="54">
        <v>0</v>
      </c>
      <c r="N204" s="54">
        <v>0</v>
      </c>
      <c r="O204" s="54">
        <v>0</v>
      </c>
      <c r="P204" s="54">
        <v>215187.72</v>
      </c>
      <c r="Q204" s="54">
        <v>326946.65399999998</v>
      </c>
      <c r="R204" s="54">
        <v>420746.37599999999</v>
      </c>
      <c r="S204" s="54">
        <v>0</v>
      </c>
      <c r="T204" s="54">
        <v>0</v>
      </c>
      <c r="U204" s="54">
        <v>1000</v>
      </c>
      <c r="V204" s="54"/>
      <c r="W204" s="54"/>
      <c r="X204" s="54"/>
      <c r="Y204" s="54">
        <f t="shared" si="7"/>
        <v>963880.75</v>
      </c>
      <c r="Z204" s="52">
        <v>1000</v>
      </c>
      <c r="AA204" s="52">
        <v>1</v>
      </c>
      <c r="AB204" s="637">
        <v>44207</v>
      </c>
      <c r="AC204" s="637">
        <v>44249</v>
      </c>
      <c r="AD204" s="52">
        <v>500000</v>
      </c>
      <c r="AE204" s="52">
        <v>11</v>
      </c>
      <c r="AF204" s="637">
        <v>44299</v>
      </c>
      <c r="AG204" s="637">
        <v>44312</v>
      </c>
      <c r="AH204" s="52">
        <v>350000</v>
      </c>
      <c r="AI204" s="52">
        <v>18</v>
      </c>
      <c r="AJ204" s="637">
        <v>44327</v>
      </c>
      <c r="AK204" s="637">
        <v>44341</v>
      </c>
      <c r="AL204" s="52">
        <v>200942</v>
      </c>
      <c r="AM204" s="52">
        <v>26</v>
      </c>
      <c r="AN204" s="637">
        <v>44358</v>
      </c>
      <c r="AO204" s="637">
        <v>44364</v>
      </c>
      <c r="AP204" s="52"/>
      <c r="AQ204" s="52"/>
      <c r="AR204" s="637"/>
      <c r="AS204" s="637"/>
      <c r="AT204" s="52"/>
      <c r="AU204" s="52"/>
      <c r="AV204" s="637"/>
      <c r="AW204" s="637"/>
      <c r="AX204" s="52"/>
      <c r="AY204" s="52"/>
      <c r="AZ204" s="637"/>
      <c r="BA204" s="637"/>
      <c r="BB204" s="52"/>
      <c r="BC204" s="52"/>
      <c r="BD204" s="637"/>
      <c r="BE204" s="637"/>
      <c r="BF204" s="137">
        <f t="shared" si="8"/>
        <v>1051942</v>
      </c>
      <c r="BG204" s="43">
        <f t="shared" si="9"/>
        <v>88061.25</v>
      </c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</row>
    <row r="205" spans="1:99" s="96" customFormat="1" ht="22.5" customHeight="1">
      <c r="A205" s="39"/>
      <c r="B205" s="51">
        <v>190</v>
      </c>
      <c r="C205" s="51" t="s">
        <v>39</v>
      </c>
      <c r="D205" s="42">
        <v>40004435</v>
      </c>
      <c r="E205" s="52" t="s">
        <v>2930</v>
      </c>
      <c r="F205" s="52" t="s">
        <v>317</v>
      </c>
      <c r="G205" s="56" t="s">
        <v>2686</v>
      </c>
      <c r="H205" s="52" t="s">
        <v>2727</v>
      </c>
      <c r="I205" s="52" t="s">
        <v>2537</v>
      </c>
      <c r="J205" s="636">
        <v>2309952</v>
      </c>
      <c r="K205" s="52"/>
      <c r="L205" s="52"/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/>
      <c r="W205" s="54"/>
      <c r="X205" s="54"/>
      <c r="Y205" s="54">
        <f t="shared" si="7"/>
        <v>0</v>
      </c>
      <c r="Z205" s="52">
        <v>1000</v>
      </c>
      <c r="AA205" s="52">
        <v>1</v>
      </c>
      <c r="AB205" s="637">
        <v>44207</v>
      </c>
      <c r="AC205" s="637">
        <v>44249</v>
      </c>
      <c r="AD205" s="52">
        <v>-1000</v>
      </c>
      <c r="AE205" s="52">
        <v>39</v>
      </c>
      <c r="AF205" s="637">
        <v>44358</v>
      </c>
      <c r="AG205" s="637">
        <v>44364</v>
      </c>
      <c r="AH205" s="52"/>
      <c r="AI205" s="52"/>
      <c r="AJ205" s="637"/>
      <c r="AK205" s="637"/>
      <c r="AL205" s="52"/>
      <c r="AM205" s="52"/>
      <c r="AN205" s="637"/>
      <c r="AO205" s="637"/>
      <c r="AP205" s="52"/>
      <c r="AQ205" s="52"/>
      <c r="AR205" s="637"/>
      <c r="AS205" s="637"/>
      <c r="AT205" s="52"/>
      <c r="AU205" s="52"/>
      <c r="AV205" s="637"/>
      <c r="AW205" s="637"/>
      <c r="AX205" s="52"/>
      <c r="AY205" s="52"/>
      <c r="AZ205" s="637"/>
      <c r="BA205" s="637"/>
      <c r="BB205" s="52"/>
      <c r="BC205" s="52"/>
      <c r="BD205" s="637"/>
      <c r="BE205" s="637"/>
      <c r="BF205" s="137">
        <f t="shared" si="8"/>
        <v>0</v>
      </c>
      <c r="BG205" s="43">
        <f t="shared" si="9"/>
        <v>0</v>
      </c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</row>
    <row r="206" spans="1:99" s="96" customFormat="1" ht="33.75" customHeight="1">
      <c r="A206" s="39"/>
      <c r="B206" s="51">
        <v>191</v>
      </c>
      <c r="C206" s="51" t="s">
        <v>39</v>
      </c>
      <c r="D206" s="42">
        <v>40004445</v>
      </c>
      <c r="E206" s="52" t="s">
        <v>2931</v>
      </c>
      <c r="F206" s="52" t="s">
        <v>317</v>
      </c>
      <c r="G206" s="56" t="s">
        <v>2686</v>
      </c>
      <c r="H206" s="52" t="s">
        <v>2756</v>
      </c>
      <c r="I206" s="52" t="s">
        <v>2537</v>
      </c>
      <c r="J206" s="636">
        <v>917828</v>
      </c>
      <c r="K206" s="52"/>
      <c r="L206" s="52"/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/>
      <c r="W206" s="54"/>
      <c r="X206" s="54"/>
      <c r="Y206" s="54">
        <f t="shared" si="7"/>
        <v>0</v>
      </c>
      <c r="Z206" s="52">
        <v>1000</v>
      </c>
      <c r="AA206" s="52">
        <v>1</v>
      </c>
      <c r="AB206" s="637">
        <v>44207</v>
      </c>
      <c r="AC206" s="637">
        <v>44249</v>
      </c>
      <c r="AD206" s="52">
        <v>-1000</v>
      </c>
      <c r="AE206" s="52">
        <v>39</v>
      </c>
      <c r="AF206" s="637">
        <v>44358</v>
      </c>
      <c r="AG206" s="637">
        <v>44364</v>
      </c>
      <c r="AH206" s="52"/>
      <c r="AI206" s="52"/>
      <c r="AJ206" s="637"/>
      <c r="AK206" s="637"/>
      <c r="AL206" s="52"/>
      <c r="AM206" s="52"/>
      <c r="AN206" s="637"/>
      <c r="AO206" s="637"/>
      <c r="AP206" s="52"/>
      <c r="AQ206" s="52"/>
      <c r="AR206" s="637"/>
      <c r="AS206" s="637"/>
      <c r="AT206" s="52"/>
      <c r="AU206" s="52"/>
      <c r="AV206" s="637"/>
      <c r="AW206" s="637"/>
      <c r="AX206" s="52"/>
      <c r="AY206" s="52"/>
      <c r="AZ206" s="637"/>
      <c r="BA206" s="637"/>
      <c r="BB206" s="52"/>
      <c r="BC206" s="52"/>
      <c r="BD206" s="637"/>
      <c r="BE206" s="637"/>
      <c r="BF206" s="137">
        <f t="shared" si="8"/>
        <v>0</v>
      </c>
      <c r="BG206" s="43">
        <f t="shared" si="9"/>
        <v>0</v>
      </c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</row>
    <row r="207" spans="1:99" s="96" customFormat="1" ht="22.5" customHeight="1">
      <c r="A207" s="39"/>
      <c r="B207" s="51">
        <v>192</v>
      </c>
      <c r="C207" s="51" t="s">
        <v>39</v>
      </c>
      <c r="D207" s="42">
        <v>40004582</v>
      </c>
      <c r="E207" s="52" t="s">
        <v>2932</v>
      </c>
      <c r="F207" s="52" t="s">
        <v>317</v>
      </c>
      <c r="G207" s="56" t="s">
        <v>2686</v>
      </c>
      <c r="H207" s="52" t="s">
        <v>2786</v>
      </c>
      <c r="I207" s="52" t="s">
        <v>2537</v>
      </c>
      <c r="J207" s="636">
        <v>758447</v>
      </c>
      <c r="K207" s="52"/>
      <c r="L207" s="52"/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/>
      <c r="W207" s="54"/>
      <c r="X207" s="54"/>
      <c r="Y207" s="54">
        <f t="shared" si="7"/>
        <v>0</v>
      </c>
      <c r="Z207" s="52">
        <v>1000</v>
      </c>
      <c r="AA207" s="52">
        <v>1</v>
      </c>
      <c r="AB207" s="637">
        <v>44207</v>
      </c>
      <c r="AC207" s="637">
        <v>44249</v>
      </c>
      <c r="AD207" s="52">
        <v>-1000</v>
      </c>
      <c r="AE207" s="52">
        <v>39</v>
      </c>
      <c r="AF207" s="637">
        <v>44358</v>
      </c>
      <c r="AG207" s="637">
        <v>44364</v>
      </c>
      <c r="AH207" s="52"/>
      <c r="AI207" s="52"/>
      <c r="AJ207" s="637"/>
      <c r="AK207" s="637"/>
      <c r="AL207" s="52"/>
      <c r="AM207" s="52"/>
      <c r="AN207" s="637"/>
      <c r="AO207" s="637"/>
      <c r="AP207" s="52"/>
      <c r="AQ207" s="52"/>
      <c r="AR207" s="637"/>
      <c r="AS207" s="637"/>
      <c r="AT207" s="52"/>
      <c r="AU207" s="52"/>
      <c r="AV207" s="637"/>
      <c r="AW207" s="637"/>
      <c r="AX207" s="52"/>
      <c r="AY207" s="52"/>
      <c r="AZ207" s="637"/>
      <c r="BA207" s="637"/>
      <c r="BB207" s="52"/>
      <c r="BC207" s="52"/>
      <c r="BD207" s="637"/>
      <c r="BE207" s="637"/>
      <c r="BF207" s="137">
        <f t="shared" si="8"/>
        <v>0</v>
      </c>
      <c r="BG207" s="43">
        <f t="shared" si="9"/>
        <v>0</v>
      </c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</row>
    <row r="208" spans="1:99" s="96" customFormat="1" ht="22.5" customHeight="1">
      <c r="A208" s="39"/>
      <c r="B208" s="51">
        <v>193</v>
      </c>
      <c r="C208" s="51" t="s">
        <v>39</v>
      </c>
      <c r="D208" s="42">
        <v>40004985</v>
      </c>
      <c r="E208" s="52" t="s">
        <v>2933</v>
      </c>
      <c r="F208" s="52" t="s">
        <v>317</v>
      </c>
      <c r="G208" s="56" t="s">
        <v>2686</v>
      </c>
      <c r="H208" s="52" t="s">
        <v>2716</v>
      </c>
      <c r="I208" s="52" t="s">
        <v>2537</v>
      </c>
      <c r="J208" s="636">
        <v>768579</v>
      </c>
      <c r="K208" s="52"/>
      <c r="L208" s="52"/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/>
      <c r="W208" s="54"/>
      <c r="X208" s="54"/>
      <c r="Y208" s="54">
        <f t="shared" si="7"/>
        <v>0</v>
      </c>
      <c r="Z208" s="52">
        <v>1000</v>
      </c>
      <c r="AA208" s="52">
        <v>1</v>
      </c>
      <c r="AB208" s="637">
        <v>44207</v>
      </c>
      <c r="AC208" s="637">
        <v>44249</v>
      </c>
      <c r="AD208" s="52">
        <v>-1000</v>
      </c>
      <c r="AE208" s="52">
        <v>39</v>
      </c>
      <c r="AF208" s="637">
        <v>44358</v>
      </c>
      <c r="AG208" s="637">
        <v>44364</v>
      </c>
      <c r="AH208" s="52"/>
      <c r="AI208" s="52"/>
      <c r="AJ208" s="637"/>
      <c r="AK208" s="637"/>
      <c r="AL208" s="52"/>
      <c r="AM208" s="52"/>
      <c r="AN208" s="637"/>
      <c r="AO208" s="637"/>
      <c r="AP208" s="52"/>
      <c r="AQ208" s="52"/>
      <c r="AR208" s="637"/>
      <c r="AS208" s="637"/>
      <c r="AT208" s="52"/>
      <c r="AU208" s="52"/>
      <c r="AV208" s="637"/>
      <c r="AW208" s="637"/>
      <c r="AX208" s="52"/>
      <c r="AY208" s="52"/>
      <c r="AZ208" s="637"/>
      <c r="BA208" s="637"/>
      <c r="BB208" s="52"/>
      <c r="BC208" s="52"/>
      <c r="BD208" s="637"/>
      <c r="BE208" s="637"/>
      <c r="BF208" s="137">
        <f t="shared" si="8"/>
        <v>0</v>
      </c>
      <c r="BG208" s="43">
        <f t="shared" si="9"/>
        <v>0</v>
      </c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</row>
    <row r="209" spans="1:99" s="96" customFormat="1" ht="22.5" customHeight="1">
      <c r="A209" s="39"/>
      <c r="B209" s="51">
        <v>194</v>
      </c>
      <c r="C209" s="51" t="s">
        <v>39</v>
      </c>
      <c r="D209" s="42">
        <v>40005925</v>
      </c>
      <c r="E209" s="52" t="s">
        <v>2934</v>
      </c>
      <c r="F209" s="52" t="s">
        <v>317</v>
      </c>
      <c r="G209" s="56" t="s">
        <v>2686</v>
      </c>
      <c r="H209" s="52" t="s">
        <v>2709</v>
      </c>
      <c r="I209" s="52" t="s">
        <v>2537</v>
      </c>
      <c r="J209" s="636">
        <v>767402</v>
      </c>
      <c r="K209" s="52"/>
      <c r="L209" s="52"/>
      <c r="M209" s="54">
        <v>0</v>
      </c>
      <c r="N209" s="54">
        <v>0</v>
      </c>
      <c r="O209" s="54">
        <v>0</v>
      </c>
      <c r="P209" s="54">
        <v>0</v>
      </c>
      <c r="Q209" s="54">
        <v>83005.368000000002</v>
      </c>
      <c r="R209" s="54">
        <v>62802.879000000001</v>
      </c>
      <c r="S209" s="54">
        <v>121661.95699999999</v>
      </c>
      <c r="T209" s="54">
        <v>64299.663</v>
      </c>
      <c r="U209" s="54">
        <v>0</v>
      </c>
      <c r="V209" s="54"/>
      <c r="W209" s="54"/>
      <c r="X209" s="54"/>
      <c r="Y209" s="54">
        <f t="shared" ref="Y209:Y272" si="10">SUM(M209:X209)</f>
        <v>331769.86700000003</v>
      </c>
      <c r="Z209" s="52">
        <v>1000</v>
      </c>
      <c r="AA209" s="52">
        <v>1</v>
      </c>
      <c r="AB209" s="637">
        <v>44207</v>
      </c>
      <c r="AC209" s="637">
        <v>44249</v>
      </c>
      <c r="AD209" s="52">
        <v>200000</v>
      </c>
      <c r="AE209" s="52">
        <v>23</v>
      </c>
      <c r="AF209" s="637">
        <v>44340</v>
      </c>
      <c r="AG209" s="637">
        <v>44350</v>
      </c>
      <c r="AH209" s="52">
        <v>77498</v>
      </c>
      <c r="AI209" s="52">
        <v>38</v>
      </c>
      <c r="AJ209" s="637">
        <v>44358</v>
      </c>
      <c r="AK209" s="637">
        <v>44364</v>
      </c>
      <c r="AL209" s="52">
        <v>4000</v>
      </c>
      <c r="AM209" s="52">
        <v>40</v>
      </c>
      <c r="AN209" s="637">
        <v>44358</v>
      </c>
      <c r="AO209" s="637">
        <v>44364</v>
      </c>
      <c r="AP209" s="52"/>
      <c r="AQ209" s="52"/>
      <c r="AR209" s="637"/>
      <c r="AS209" s="637"/>
      <c r="AT209" s="52"/>
      <c r="AU209" s="52"/>
      <c r="AV209" s="637"/>
      <c r="AW209" s="637"/>
      <c r="AX209" s="52"/>
      <c r="AY209" s="52"/>
      <c r="AZ209" s="637"/>
      <c r="BA209" s="637"/>
      <c r="BB209" s="52"/>
      <c r="BC209" s="52"/>
      <c r="BD209" s="637"/>
      <c r="BE209" s="637"/>
      <c r="BF209" s="137">
        <f t="shared" ref="BF209:BF272" si="11">+Z209+AD209+AH209+AL209+AP209+AT209+AX209+BB209</f>
        <v>282498</v>
      </c>
      <c r="BG209" s="43">
        <f t="shared" si="9"/>
        <v>-49271.867000000027</v>
      </c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</row>
    <row r="210" spans="1:99" s="96" customFormat="1" ht="33.75" customHeight="1">
      <c r="A210" s="39"/>
      <c r="B210" s="51">
        <v>195</v>
      </c>
      <c r="C210" s="51" t="s">
        <v>39</v>
      </c>
      <c r="D210" s="42">
        <v>40006131</v>
      </c>
      <c r="E210" s="52" t="s">
        <v>2935</v>
      </c>
      <c r="F210" s="52" t="s">
        <v>317</v>
      </c>
      <c r="G210" s="56" t="s">
        <v>2686</v>
      </c>
      <c r="H210" s="52" t="s">
        <v>2856</v>
      </c>
      <c r="I210" s="52" t="s">
        <v>2537</v>
      </c>
      <c r="J210" s="636">
        <v>828577</v>
      </c>
      <c r="K210" s="52"/>
      <c r="L210" s="52"/>
      <c r="M210" s="54">
        <v>385133.10200000001</v>
      </c>
      <c r="N210" s="54">
        <v>1399.9</v>
      </c>
      <c r="O210" s="54">
        <v>291624.88799999998</v>
      </c>
      <c r="P210" s="54">
        <v>32579.969000000001</v>
      </c>
      <c r="Q210" s="54">
        <v>110400.95</v>
      </c>
      <c r="R210" s="54">
        <v>0</v>
      </c>
      <c r="S210" s="54">
        <v>0</v>
      </c>
      <c r="T210" s="54">
        <v>0</v>
      </c>
      <c r="U210" s="54">
        <v>0</v>
      </c>
      <c r="V210" s="54"/>
      <c r="W210" s="54"/>
      <c r="X210" s="54"/>
      <c r="Y210" s="54">
        <f t="shared" si="10"/>
        <v>821138.80900000001</v>
      </c>
      <c r="Z210" s="52">
        <v>702800</v>
      </c>
      <c r="AA210" s="52">
        <v>4</v>
      </c>
      <c r="AB210" s="637">
        <v>44221</v>
      </c>
      <c r="AC210" s="637">
        <v>44280</v>
      </c>
      <c r="AD210" s="52">
        <v>125777</v>
      </c>
      <c r="AE210" s="52">
        <v>14</v>
      </c>
      <c r="AF210" s="637">
        <v>44313</v>
      </c>
      <c r="AG210" s="637">
        <v>44322</v>
      </c>
      <c r="AH210" s="52"/>
      <c r="AI210" s="52"/>
      <c r="AJ210" s="637"/>
      <c r="AK210" s="637"/>
      <c r="AL210" s="52"/>
      <c r="AM210" s="52"/>
      <c r="AN210" s="637"/>
      <c r="AO210" s="637"/>
      <c r="AP210" s="52"/>
      <c r="AQ210" s="52"/>
      <c r="AR210" s="637"/>
      <c r="AS210" s="637"/>
      <c r="AT210" s="52"/>
      <c r="AU210" s="52"/>
      <c r="AV210" s="637"/>
      <c r="AW210" s="637"/>
      <c r="AX210" s="52"/>
      <c r="AY210" s="52"/>
      <c r="AZ210" s="637"/>
      <c r="BA210" s="637"/>
      <c r="BB210" s="52"/>
      <c r="BC210" s="52"/>
      <c r="BD210" s="637"/>
      <c r="BE210" s="637"/>
      <c r="BF210" s="137">
        <f t="shared" si="11"/>
        <v>828577</v>
      </c>
      <c r="BG210" s="43">
        <f t="shared" si="9"/>
        <v>7438.1909999999916</v>
      </c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</row>
    <row r="211" spans="1:99" s="96" customFormat="1" ht="22.5" customHeight="1">
      <c r="A211" s="39"/>
      <c r="B211" s="51">
        <v>196</v>
      </c>
      <c r="C211" s="51" t="s">
        <v>39</v>
      </c>
      <c r="D211" s="42">
        <v>40006186</v>
      </c>
      <c r="E211" s="52" t="s">
        <v>2936</v>
      </c>
      <c r="F211" s="52" t="s">
        <v>317</v>
      </c>
      <c r="G211" s="56" t="s">
        <v>2686</v>
      </c>
      <c r="H211" s="52" t="s">
        <v>2817</v>
      </c>
      <c r="I211" s="52" t="s">
        <v>2537</v>
      </c>
      <c r="J211" s="636">
        <v>3207300</v>
      </c>
      <c r="K211" s="52"/>
      <c r="L211" s="52"/>
      <c r="M211" s="54">
        <v>251656.82500000001</v>
      </c>
      <c r="N211" s="54">
        <v>249178.304</v>
      </c>
      <c r="O211" s="54">
        <v>1650</v>
      </c>
      <c r="P211" s="54">
        <v>392619.83399999997</v>
      </c>
      <c r="Q211" s="54">
        <v>306891.41399999999</v>
      </c>
      <c r="R211" s="54">
        <v>251022.58600000001</v>
      </c>
      <c r="S211" s="54">
        <v>221828.772</v>
      </c>
      <c r="T211" s="54">
        <v>1650</v>
      </c>
      <c r="U211" s="54">
        <v>453641.27</v>
      </c>
      <c r="V211" s="54"/>
      <c r="W211" s="54"/>
      <c r="X211" s="54"/>
      <c r="Y211" s="54">
        <f t="shared" si="10"/>
        <v>2130139.0049999999</v>
      </c>
      <c r="Z211" s="52">
        <v>500000</v>
      </c>
      <c r="AA211" s="52">
        <v>4</v>
      </c>
      <c r="AB211" s="637">
        <v>44221</v>
      </c>
      <c r="AC211" s="637">
        <v>44280</v>
      </c>
      <c r="AD211" s="52">
        <v>6600</v>
      </c>
      <c r="AE211" s="52">
        <v>8</v>
      </c>
      <c r="AF211" s="637">
        <v>44252</v>
      </c>
      <c r="AG211" s="637">
        <v>44292</v>
      </c>
      <c r="AH211" s="52">
        <v>250000</v>
      </c>
      <c r="AI211" s="52">
        <v>10</v>
      </c>
      <c r="AJ211" s="637">
        <v>44286</v>
      </c>
      <c r="AK211" s="637">
        <v>44306</v>
      </c>
      <c r="AL211" s="52">
        <v>706600</v>
      </c>
      <c r="AM211" s="52">
        <v>11</v>
      </c>
      <c r="AN211" s="637">
        <v>44299</v>
      </c>
      <c r="AO211" s="637">
        <v>44312</v>
      </c>
      <c r="AP211" s="52">
        <v>211648</v>
      </c>
      <c r="AQ211" s="52">
        <v>38</v>
      </c>
      <c r="AR211" s="637">
        <v>44358</v>
      </c>
      <c r="AS211" s="637">
        <v>44364</v>
      </c>
      <c r="AT211" s="52">
        <v>3300</v>
      </c>
      <c r="AU211" s="52">
        <v>40</v>
      </c>
      <c r="AV211" s="637">
        <v>44358</v>
      </c>
      <c r="AW211" s="637">
        <v>44364</v>
      </c>
      <c r="AX211" s="52">
        <v>0</v>
      </c>
      <c r="AY211" s="52">
        <v>0</v>
      </c>
      <c r="AZ211" s="637"/>
      <c r="BA211" s="637"/>
      <c r="BB211" s="52"/>
      <c r="BC211" s="52"/>
      <c r="BD211" s="637"/>
      <c r="BE211" s="637"/>
      <c r="BF211" s="137">
        <f t="shared" si="11"/>
        <v>1678148</v>
      </c>
      <c r="BG211" s="43">
        <f t="shared" ref="BG211:BG274" si="12">+BF211-Y211</f>
        <v>-451991.00499999989</v>
      </c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</row>
    <row r="212" spans="1:99" s="96" customFormat="1" ht="22.5" customHeight="1">
      <c r="A212" s="39"/>
      <c r="B212" s="51">
        <v>197</v>
      </c>
      <c r="C212" s="51" t="s">
        <v>39</v>
      </c>
      <c r="D212" s="42">
        <v>40006512</v>
      </c>
      <c r="E212" s="52" t="s">
        <v>2937</v>
      </c>
      <c r="F212" s="52" t="s">
        <v>317</v>
      </c>
      <c r="G212" s="56" t="s">
        <v>2686</v>
      </c>
      <c r="H212" s="52" t="s">
        <v>2756</v>
      </c>
      <c r="I212" s="52" t="s">
        <v>2537</v>
      </c>
      <c r="J212" s="636">
        <v>613164</v>
      </c>
      <c r="K212" s="52"/>
      <c r="L212" s="52"/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/>
      <c r="W212" s="54"/>
      <c r="X212" s="54"/>
      <c r="Y212" s="54">
        <f t="shared" si="10"/>
        <v>0</v>
      </c>
      <c r="Z212" s="52">
        <v>1000</v>
      </c>
      <c r="AA212" s="52">
        <v>1</v>
      </c>
      <c r="AB212" s="637">
        <v>44207</v>
      </c>
      <c r="AC212" s="637">
        <v>44249</v>
      </c>
      <c r="AD212" s="52">
        <v>-1000</v>
      </c>
      <c r="AE212" s="52">
        <v>39</v>
      </c>
      <c r="AF212" s="637">
        <v>44358</v>
      </c>
      <c r="AG212" s="637">
        <v>44364</v>
      </c>
      <c r="AH212" s="52"/>
      <c r="AI212" s="52"/>
      <c r="AJ212" s="637"/>
      <c r="AK212" s="637"/>
      <c r="AL212" s="52"/>
      <c r="AM212" s="52"/>
      <c r="AN212" s="637"/>
      <c r="AO212" s="637"/>
      <c r="AP212" s="52"/>
      <c r="AQ212" s="52"/>
      <c r="AR212" s="637"/>
      <c r="AS212" s="637"/>
      <c r="AT212" s="52"/>
      <c r="AU212" s="52"/>
      <c r="AV212" s="637"/>
      <c r="AW212" s="637"/>
      <c r="AX212" s="52"/>
      <c r="AY212" s="52"/>
      <c r="AZ212" s="637"/>
      <c r="BA212" s="637"/>
      <c r="BB212" s="52"/>
      <c r="BC212" s="52"/>
      <c r="BD212" s="637"/>
      <c r="BE212" s="637"/>
      <c r="BF212" s="137">
        <f t="shared" si="11"/>
        <v>0</v>
      </c>
      <c r="BG212" s="43">
        <f t="shared" si="12"/>
        <v>0</v>
      </c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</row>
    <row r="213" spans="1:99" s="96" customFormat="1" ht="22.5" customHeight="1">
      <c r="A213" s="39"/>
      <c r="B213" s="51">
        <v>198</v>
      </c>
      <c r="C213" s="51" t="s">
        <v>39</v>
      </c>
      <c r="D213" s="42">
        <v>40007611</v>
      </c>
      <c r="E213" s="52" t="s">
        <v>2938</v>
      </c>
      <c r="F213" s="52" t="s">
        <v>317</v>
      </c>
      <c r="G213" s="56" t="s">
        <v>2686</v>
      </c>
      <c r="H213" s="52" t="s">
        <v>2729</v>
      </c>
      <c r="I213" s="52" t="s">
        <v>2537</v>
      </c>
      <c r="J213" s="636">
        <v>753602</v>
      </c>
      <c r="K213" s="52"/>
      <c r="L213" s="52"/>
      <c r="M213" s="54">
        <v>87331.089000000007</v>
      </c>
      <c r="N213" s="54">
        <v>57545.339</v>
      </c>
      <c r="O213" s="54">
        <v>47370.608999999997</v>
      </c>
      <c r="P213" s="54">
        <v>240403.443</v>
      </c>
      <c r="Q213" s="54">
        <v>175408.59400000001</v>
      </c>
      <c r="R213" s="54">
        <v>1500</v>
      </c>
      <c r="S213" s="54">
        <v>105750.448</v>
      </c>
      <c r="T213" s="54">
        <v>0</v>
      </c>
      <c r="U213" s="54">
        <v>0</v>
      </c>
      <c r="V213" s="54"/>
      <c r="W213" s="54"/>
      <c r="X213" s="54"/>
      <c r="Y213" s="54">
        <f t="shared" si="10"/>
        <v>715309.522</v>
      </c>
      <c r="Z213" s="52">
        <v>200000</v>
      </c>
      <c r="AA213" s="52">
        <v>4</v>
      </c>
      <c r="AB213" s="637">
        <v>44221</v>
      </c>
      <c r="AC213" s="637">
        <v>44280</v>
      </c>
      <c r="AD213" s="52">
        <v>9000</v>
      </c>
      <c r="AE213" s="52">
        <v>10</v>
      </c>
      <c r="AF213" s="637">
        <v>44286</v>
      </c>
      <c r="AG213" s="637">
        <v>44306</v>
      </c>
      <c r="AH213" s="52">
        <v>250000</v>
      </c>
      <c r="AI213" s="52">
        <v>11</v>
      </c>
      <c r="AJ213" s="637">
        <v>44299</v>
      </c>
      <c r="AK213" s="637">
        <v>44312</v>
      </c>
      <c r="AL213" s="52">
        <v>287125</v>
      </c>
      <c r="AM213" s="52">
        <v>23</v>
      </c>
      <c r="AN213" s="637">
        <v>44340</v>
      </c>
      <c r="AO213" s="637">
        <v>44350</v>
      </c>
      <c r="AP213" s="52">
        <v>6000</v>
      </c>
      <c r="AQ213" s="52">
        <v>38</v>
      </c>
      <c r="AR213" s="637">
        <v>44358</v>
      </c>
      <c r="AS213" s="637">
        <v>44364</v>
      </c>
      <c r="AT213" s="52"/>
      <c r="AU213" s="52"/>
      <c r="AV213" s="637"/>
      <c r="AW213" s="637"/>
      <c r="AX213" s="52"/>
      <c r="AY213" s="52"/>
      <c r="AZ213" s="637"/>
      <c r="BA213" s="637"/>
      <c r="BB213" s="52"/>
      <c r="BC213" s="52"/>
      <c r="BD213" s="637"/>
      <c r="BE213" s="637"/>
      <c r="BF213" s="137">
        <f t="shared" si="11"/>
        <v>752125</v>
      </c>
      <c r="BG213" s="43">
        <f t="shared" si="12"/>
        <v>36815.478000000003</v>
      </c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</row>
    <row r="214" spans="1:99" s="96" customFormat="1" ht="22.5" customHeight="1">
      <c r="A214" s="39"/>
      <c r="B214" s="51">
        <v>199</v>
      </c>
      <c r="C214" s="51" t="s">
        <v>39</v>
      </c>
      <c r="D214" s="42">
        <v>40007655</v>
      </c>
      <c r="E214" s="52" t="s">
        <v>2939</v>
      </c>
      <c r="F214" s="52" t="s">
        <v>317</v>
      </c>
      <c r="G214" s="56" t="s">
        <v>2686</v>
      </c>
      <c r="H214" s="52" t="s">
        <v>2770</v>
      </c>
      <c r="I214" s="52" t="s">
        <v>2537</v>
      </c>
      <c r="J214" s="636">
        <v>127426</v>
      </c>
      <c r="K214" s="52"/>
      <c r="L214" s="52"/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440501.73599999998</v>
      </c>
      <c r="S214" s="54">
        <v>151081.223</v>
      </c>
      <c r="T214" s="54">
        <v>163188.68900000001</v>
      </c>
      <c r="U214" s="54">
        <v>0</v>
      </c>
      <c r="V214" s="54"/>
      <c r="W214" s="54"/>
      <c r="X214" s="54"/>
      <c r="Y214" s="54">
        <f t="shared" si="10"/>
        <v>754771.64800000004</v>
      </c>
      <c r="Z214" s="52">
        <v>1000</v>
      </c>
      <c r="AA214" s="52">
        <v>1</v>
      </c>
      <c r="AB214" s="637">
        <v>44207</v>
      </c>
      <c r="AC214" s="637">
        <v>44249</v>
      </c>
      <c r="AD214" s="52">
        <v>439502</v>
      </c>
      <c r="AE214" s="52">
        <v>26</v>
      </c>
      <c r="AF214" s="637">
        <v>44358</v>
      </c>
      <c r="AG214" s="637">
        <v>44364</v>
      </c>
      <c r="AH214" s="52">
        <v>151081</v>
      </c>
      <c r="AI214" s="52">
        <v>38</v>
      </c>
      <c r="AJ214" s="637">
        <v>44358</v>
      </c>
      <c r="AK214" s="637">
        <v>44364</v>
      </c>
      <c r="AL214" s="52"/>
      <c r="AM214" s="52"/>
      <c r="AN214" s="637"/>
      <c r="AO214" s="637"/>
      <c r="AP214" s="52"/>
      <c r="AQ214" s="52"/>
      <c r="AR214" s="637"/>
      <c r="AS214" s="637"/>
      <c r="AT214" s="52"/>
      <c r="AU214" s="52"/>
      <c r="AV214" s="637"/>
      <c r="AW214" s="637"/>
      <c r="AX214" s="52"/>
      <c r="AY214" s="52"/>
      <c r="AZ214" s="637"/>
      <c r="BA214" s="637"/>
      <c r="BB214" s="52"/>
      <c r="BC214" s="52"/>
      <c r="BD214" s="637"/>
      <c r="BE214" s="637"/>
      <c r="BF214" s="137">
        <f t="shared" si="11"/>
        <v>591583</v>
      </c>
      <c r="BG214" s="43">
        <f t="shared" si="12"/>
        <v>-163188.64800000004</v>
      </c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</row>
    <row r="215" spans="1:99" s="96" customFormat="1" ht="33.75" customHeight="1">
      <c r="A215" s="39"/>
      <c r="B215" s="51">
        <v>200</v>
      </c>
      <c r="C215" s="51" t="s">
        <v>39</v>
      </c>
      <c r="D215" s="42">
        <v>40007826</v>
      </c>
      <c r="E215" s="52" t="s">
        <v>2940</v>
      </c>
      <c r="F215" s="52" t="s">
        <v>47</v>
      </c>
      <c r="G215" s="56" t="s">
        <v>2686</v>
      </c>
      <c r="H215" s="52" t="s">
        <v>2898</v>
      </c>
      <c r="I215" s="52" t="s">
        <v>2537</v>
      </c>
      <c r="J215" s="636">
        <v>124523</v>
      </c>
      <c r="K215" s="52"/>
      <c r="L215" s="52"/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9519.1999999999989</v>
      </c>
      <c r="V215" s="54"/>
      <c r="W215" s="54"/>
      <c r="X215" s="54"/>
      <c r="Y215" s="54">
        <f t="shared" si="10"/>
        <v>9519.1999999999989</v>
      </c>
      <c r="Z215" s="52">
        <v>1000</v>
      </c>
      <c r="AA215" s="52">
        <v>1</v>
      </c>
      <c r="AB215" s="637">
        <v>44207</v>
      </c>
      <c r="AC215" s="637">
        <v>44249</v>
      </c>
      <c r="AD215" s="52">
        <v>-1000</v>
      </c>
      <c r="AE215" s="52">
        <v>39</v>
      </c>
      <c r="AF215" s="637">
        <v>44358</v>
      </c>
      <c r="AG215" s="637">
        <v>44364</v>
      </c>
      <c r="AH215" s="52"/>
      <c r="AI215" s="52"/>
      <c r="AJ215" s="637"/>
      <c r="AK215" s="637"/>
      <c r="AL215" s="52"/>
      <c r="AM215" s="52"/>
      <c r="AN215" s="637"/>
      <c r="AO215" s="637"/>
      <c r="AP215" s="52"/>
      <c r="AQ215" s="52"/>
      <c r="AR215" s="637"/>
      <c r="AS215" s="637"/>
      <c r="AT215" s="52"/>
      <c r="AU215" s="52"/>
      <c r="AV215" s="637"/>
      <c r="AW215" s="637"/>
      <c r="AX215" s="52"/>
      <c r="AY215" s="52"/>
      <c r="AZ215" s="637"/>
      <c r="BA215" s="637"/>
      <c r="BB215" s="52"/>
      <c r="BC215" s="52"/>
      <c r="BD215" s="637"/>
      <c r="BE215" s="637"/>
      <c r="BF215" s="137">
        <f t="shared" si="11"/>
        <v>0</v>
      </c>
      <c r="BG215" s="43">
        <f t="shared" si="12"/>
        <v>-9519.1999999999989</v>
      </c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</row>
    <row r="216" spans="1:99" s="96" customFormat="1" ht="45" customHeight="1">
      <c r="A216" s="39"/>
      <c r="B216" s="51">
        <v>201</v>
      </c>
      <c r="C216" s="51" t="s">
        <v>39</v>
      </c>
      <c r="D216" s="42">
        <v>40008013</v>
      </c>
      <c r="E216" s="52" t="s">
        <v>2941</v>
      </c>
      <c r="F216" s="52" t="s">
        <v>317</v>
      </c>
      <c r="G216" s="56" t="s">
        <v>2686</v>
      </c>
      <c r="H216" s="52" t="s">
        <v>2699</v>
      </c>
      <c r="I216" s="52" t="s">
        <v>2537</v>
      </c>
      <c r="J216" s="636">
        <v>503464</v>
      </c>
      <c r="K216" s="52"/>
      <c r="L216" s="52"/>
      <c r="M216" s="54">
        <v>174.40799999999999</v>
      </c>
      <c r="N216" s="54">
        <v>92557.906000000003</v>
      </c>
      <c r="O216" s="54">
        <v>0</v>
      </c>
      <c r="P216" s="54">
        <v>26102.618999999999</v>
      </c>
      <c r="Q216" s="54">
        <v>0</v>
      </c>
      <c r="R216" s="54">
        <v>16024.034</v>
      </c>
      <c r="S216" s="54">
        <v>0</v>
      </c>
      <c r="T216" s="54">
        <v>0</v>
      </c>
      <c r="U216" s="54">
        <v>0</v>
      </c>
      <c r="V216" s="54"/>
      <c r="W216" s="54"/>
      <c r="X216" s="54"/>
      <c r="Y216" s="54">
        <f t="shared" si="10"/>
        <v>134858.967</v>
      </c>
      <c r="Z216" s="52">
        <v>253500</v>
      </c>
      <c r="AA216" s="52">
        <v>4</v>
      </c>
      <c r="AB216" s="637">
        <v>44221</v>
      </c>
      <c r="AC216" s="637">
        <v>44280</v>
      </c>
      <c r="AD216" s="52">
        <v>-115315</v>
      </c>
      <c r="AE216" s="52">
        <v>40</v>
      </c>
      <c r="AF216" s="637">
        <v>44358</v>
      </c>
      <c r="AG216" s="637">
        <v>44364</v>
      </c>
      <c r="AH216" s="52"/>
      <c r="AI216" s="52"/>
      <c r="AJ216" s="637"/>
      <c r="AK216" s="637"/>
      <c r="AL216" s="52"/>
      <c r="AM216" s="52"/>
      <c r="AN216" s="637"/>
      <c r="AO216" s="637"/>
      <c r="AP216" s="52"/>
      <c r="AQ216" s="52"/>
      <c r="AR216" s="637"/>
      <c r="AS216" s="637"/>
      <c r="AT216" s="52"/>
      <c r="AU216" s="52"/>
      <c r="AV216" s="637"/>
      <c r="AW216" s="637"/>
      <c r="AX216" s="52"/>
      <c r="AY216" s="52"/>
      <c r="AZ216" s="637"/>
      <c r="BA216" s="637"/>
      <c r="BB216" s="52"/>
      <c r="BC216" s="52"/>
      <c r="BD216" s="637"/>
      <c r="BE216" s="637"/>
      <c r="BF216" s="137">
        <f t="shared" si="11"/>
        <v>138185</v>
      </c>
      <c r="BG216" s="43">
        <f t="shared" si="12"/>
        <v>3326.0329999999958</v>
      </c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</row>
    <row r="217" spans="1:99" s="96" customFormat="1" ht="45">
      <c r="A217" s="39"/>
      <c r="B217" s="51">
        <v>202</v>
      </c>
      <c r="C217" s="51" t="s">
        <v>39</v>
      </c>
      <c r="D217" s="42">
        <v>40008038</v>
      </c>
      <c r="E217" s="52" t="s">
        <v>2942</v>
      </c>
      <c r="F217" s="52" t="s">
        <v>47</v>
      </c>
      <c r="G217" s="56" t="s">
        <v>2686</v>
      </c>
      <c r="H217" s="52" t="s">
        <v>2699</v>
      </c>
      <c r="I217" s="52" t="s">
        <v>2537</v>
      </c>
      <c r="J217" s="636">
        <v>323041</v>
      </c>
      <c r="K217" s="52"/>
      <c r="L217" s="52"/>
      <c r="M217" s="54">
        <v>0</v>
      </c>
      <c r="N217" s="54">
        <v>0</v>
      </c>
      <c r="O217" s="54">
        <v>50445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/>
      <c r="W217" s="54"/>
      <c r="X217" s="54"/>
      <c r="Y217" s="54">
        <f t="shared" si="10"/>
        <v>50445</v>
      </c>
      <c r="Z217" s="52">
        <v>100000</v>
      </c>
      <c r="AA217" s="52">
        <v>8</v>
      </c>
      <c r="AB217" s="637">
        <v>44252</v>
      </c>
      <c r="AC217" s="637">
        <v>44292</v>
      </c>
      <c r="AD217" s="52"/>
      <c r="AE217" s="52"/>
      <c r="AF217" s="637"/>
      <c r="AG217" s="637"/>
      <c r="AH217" s="52"/>
      <c r="AI217" s="52"/>
      <c r="AJ217" s="637"/>
      <c r="AK217" s="637"/>
      <c r="AL217" s="52"/>
      <c r="AM217" s="52"/>
      <c r="AN217" s="637"/>
      <c r="AO217" s="637"/>
      <c r="AP217" s="52"/>
      <c r="AQ217" s="52"/>
      <c r="AR217" s="637"/>
      <c r="AS217" s="637"/>
      <c r="AT217" s="52"/>
      <c r="AU217" s="52"/>
      <c r="AV217" s="637"/>
      <c r="AW217" s="637"/>
      <c r="AX217" s="52"/>
      <c r="AY217" s="52"/>
      <c r="AZ217" s="637"/>
      <c r="BA217" s="637"/>
      <c r="BB217" s="52"/>
      <c r="BC217" s="52"/>
      <c r="BD217" s="637"/>
      <c r="BE217" s="637"/>
      <c r="BF217" s="137">
        <f t="shared" si="11"/>
        <v>100000</v>
      </c>
      <c r="BG217" s="43">
        <f t="shared" si="12"/>
        <v>49555</v>
      </c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</row>
    <row r="218" spans="1:99" s="96" customFormat="1" ht="22.5" customHeight="1">
      <c r="A218" s="39"/>
      <c r="B218" s="51">
        <v>203</v>
      </c>
      <c r="C218" s="51" t="s">
        <v>39</v>
      </c>
      <c r="D218" s="42">
        <v>40008135</v>
      </c>
      <c r="E218" s="52" t="s">
        <v>2943</v>
      </c>
      <c r="F218" s="52" t="s">
        <v>317</v>
      </c>
      <c r="G218" s="56" t="s">
        <v>2686</v>
      </c>
      <c r="H218" s="52" t="s">
        <v>2748</v>
      </c>
      <c r="I218" s="52" t="s">
        <v>2537</v>
      </c>
      <c r="J218" s="636">
        <v>311123</v>
      </c>
      <c r="K218" s="52"/>
      <c r="L218" s="52"/>
      <c r="M218" s="54">
        <v>0</v>
      </c>
      <c r="N218" s="54">
        <v>0</v>
      </c>
      <c r="O218" s="54">
        <v>2240.8960000000002</v>
      </c>
      <c r="P218" s="54">
        <v>4519.7740000000003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/>
      <c r="W218" s="54"/>
      <c r="X218" s="54"/>
      <c r="Y218" s="54">
        <f t="shared" si="10"/>
        <v>6760.67</v>
      </c>
      <c r="Z218" s="52">
        <v>1000</v>
      </c>
      <c r="AA218" s="52">
        <v>8</v>
      </c>
      <c r="AB218" s="637">
        <v>44252</v>
      </c>
      <c r="AC218" s="637">
        <v>44292</v>
      </c>
      <c r="AD218" s="52">
        <v>4480</v>
      </c>
      <c r="AE218" s="52">
        <v>10</v>
      </c>
      <c r="AF218" s="637">
        <v>44286</v>
      </c>
      <c r="AG218" s="637">
        <v>44306</v>
      </c>
      <c r="AH218" s="52">
        <v>4353</v>
      </c>
      <c r="AI218" s="52">
        <v>23</v>
      </c>
      <c r="AJ218" s="637">
        <v>44340</v>
      </c>
      <c r="AK218" s="637">
        <v>44350</v>
      </c>
      <c r="AL218" s="52">
        <v>-1000</v>
      </c>
      <c r="AM218" s="52">
        <v>39</v>
      </c>
      <c r="AN218" s="637">
        <v>44358</v>
      </c>
      <c r="AO218" s="637">
        <v>44364</v>
      </c>
      <c r="AP218" s="52"/>
      <c r="AQ218" s="52"/>
      <c r="AR218" s="637"/>
      <c r="AS218" s="637"/>
      <c r="AT218" s="52"/>
      <c r="AU218" s="52"/>
      <c r="AV218" s="637"/>
      <c r="AW218" s="637"/>
      <c r="AX218" s="52"/>
      <c r="AY218" s="52"/>
      <c r="AZ218" s="637"/>
      <c r="BA218" s="637"/>
      <c r="BB218" s="52"/>
      <c r="BC218" s="52"/>
      <c r="BD218" s="637"/>
      <c r="BE218" s="637"/>
      <c r="BF218" s="137">
        <f t="shared" si="11"/>
        <v>8833</v>
      </c>
      <c r="BG218" s="43">
        <f t="shared" si="12"/>
        <v>2072.33</v>
      </c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</row>
    <row r="219" spans="1:99" s="96" customFormat="1" ht="45">
      <c r="A219" s="39"/>
      <c r="B219" s="51">
        <v>204</v>
      </c>
      <c r="C219" s="51" t="s">
        <v>39</v>
      </c>
      <c r="D219" s="42">
        <v>40008207</v>
      </c>
      <c r="E219" s="52" t="s">
        <v>2944</v>
      </c>
      <c r="F219" s="52" t="s">
        <v>47</v>
      </c>
      <c r="G219" s="56" t="s">
        <v>2686</v>
      </c>
      <c r="H219" s="52" t="s">
        <v>2699</v>
      </c>
      <c r="I219" s="52" t="s">
        <v>2537</v>
      </c>
      <c r="J219" s="636">
        <v>264227</v>
      </c>
      <c r="K219" s="52"/>
      <c r="L219" s="52"/>
      <c r="M219" s="54">
        <v>0</v>
      </c>
      <c r="N219" s="54">
        <v>145641.62299999999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/>
      <c r="W219" s="54"/>
      <c r="X219" s="54"/>
      <c r="Y219" s="54">
        <f t="shared" si="10"/>
        <v>145641.62299999999</v>
      </c>
      <c r="Z219" s="52">
        <v>145642</v>
      </c>
      <c r="AA219" s="52">
        <v>8</v>
      </c>
      <c r="AB219" s="637">
        <v>44252</v>
      </c>
      <c r="AC219" s="637">
        <v>44292</v>
      </c>
      <c r="AD219" s="52"/>
      <c r="AE219" s="52"/>
      <c r="AF219" s="637"/>
      <c r="AG219" s="637"/>
      <c r="AH219" s="52"/>
      <c r="AI219" s="52"/>
      <c r="AJ219" s="637"/>
      <c r="AK219" s="637"/>
      <c r="AL219" s="52"/>
      <c r="AM219" s="52"/>
      <c r="AN219" s="637"/>
      <c r="AO219" s="637"/>
      <c r="AP219" s="52"/>
      <c r="AQ219" s="52"/>
      <c r="AR219" s="637"/>
      <c r="AS219" s="637"/>
      <c r="AT219" s="52"/>
      <c r="AU219" s="52"/>
      <c r="AV219" s="637"/>
      <c r="AW219" s="637"/>
      <c r="AX219" s="52"/>
      <c r="AY219" s="52"/>
      <c r="AZ219" s="637"/>
      <c r="BA219" s="637"/>
      <c r="BB219" s="52"/>
      <c r="BC219" s="52"/>
      <c r="BD219" s="637"/>
      <c r="BE219" s="637"/>
      <c r="BF219" s="137">
        <f t="shared" si="11"/>
        <v>145642</v>
      </c>
      <c r="BG219" s="43">
        <f t="shared" si="12"/>
        <v>0.37700000000768341</v>
      </c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</row>
    <row r="220" spans="1:99" s="96" customFormat="1" ht="33.75" customHeight="1">
      <c r="A220" s="39"/>
      <c r="B220" s="51">
        <v>205</v>
      </c>
      <c r="C220" s="51" t="s">
        <v>39</v>
      </c>
      <c r="D220" s="42">
        <v>40008264</v>
      </c>
      <c r="E220" s="52" t="s">
        <v>2945</v>
      </c>
      <c r="F220" s="52" t="s">
        <v>317</v>
      </c>
      <c r="G220" s="56" t="s">
        <v>2686</v>
      </c>
      <c r="H220" s="52" t="s">
        <v>2733</v>
      </c>
      <c r="I220" s="52" t="s">
        <v>2537</v>
      </c>
      <c r="J220" s="636">
        <v>228423</v>
      </c>
      <c r="K220" s="52"/>
      <c r="L220" s="52"/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/>
      <c r="W220" s="54"/>
      <c r="X220" s="54"/>
      <c r="Y220" s="54">
        <f t="shared" si="10"/>
        <v>0</v>
      </c>
      <c r="Z220" s="52">
        <v>1000</v>
      </c>
      <c r="AA220" s="52">
        <v>1</v>
      </c>
      <c r="AB220" s="637">
        <v>44207</v>
      </c>
      <c r="AC220" s="637">
        <v>44249</v>
      </c>
      <c r="AD220" s="52">
        <v>-1000</v>
      </c>
      <c r="AE220" s="52">
        <v>39</v>
      </c>
      <c r="AF220" s="637">
        <v>44358</v>
      </c>
      <c r="AG220" s="637">
        <v>44364</v>
      </c>
      <c r="AH220" s="52"/>
      <c r="AI220" s="52"/>
      <c r="AJ220" s="637"/>
      <c r="AK220" s="637"/>
      <c r="AL220" s="52"/>
      <c r="AM220" s="52"/>
      <c r="AN220" s="637"/>
      <c r="AO220" s="637"/>
      <c r="AP220" s="52"/>
      <c r="AQ220" s="52"/>
      <c r="AR220" s="637"/>
      <c r="AS220" s="637"/>
      <c r="AT220" s="52"/>
      <c r="AU220" s="52"/>
      <c r="AV220" s="637"/>
      <c r="AW220" s="637"/>
      <c r="AX220" s="52"/>
      <c r="AY220" s="52"/>
      <c r="AZ220" s="637"/>
      <c r="BA220" s="637"/>
      <c r="BB220" s="52"/>
      <c r="BC220" s="52"/>
      <c r="BD220" s="637"/>
      <c r="BE220" s="637"/>
      <c r="BF220" s="137">
        <f t="shared" si="11"/>
        <v>0</v>
      </c>
      <c r="BG220" s="43">
        <f t="shared" si="12"/>
        <v>0</v>
      </c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</row>
    <row r="221" spans="1:99" s="96" customFormat="1" ht="22.5" customHeight="1">
      <c r="A221" s="39"/>
      <c r="B221" s="51">
        <v>206</v>
      </c>
      <c r="C221" s="51" t="s">
        <v>39</v>
      </c>
      <c r="D221" s="42">
        <v>40008352</v>
      </c>
      <c r="E221" s="52" t="s">
        <v>2946</v>
      </c>
      <c r="F221" s="52" t="s">
        <v>317</v>
      </c>
      <c r="G221" s="56" t="s">
        <v>2686</v>
      </c>
      <c r="H221" s="52" t="s">
        <v>2733</v>
      </c>
      <c r="I221" s="52" t="s">
        <v>2537</v>
      </c>
      <c r="J221" s="636">
        <v>29829</v>
      </c>
      <c r="K221" s="52"/>
      <c r="L221" s="52"/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/>
      <c r="W221" s="54"/>
      <c r="X221" s="54"/>
      <c r="Y221" s="54">
        <f t="shared" si="10"/>
        <v>0</v>
      </c>
      <c r="Z221" s="52">
        <v>1000</v>
      </c>
      <c r="AA221" s="52">
        <v>1</v>
      </c>
      <c r="AB221" s="637">
        <v>44207</v>
      </c>
      <c r="AC221" s="637">
        <v>44249</v>
      </c>
      <c r="AD221" s="52">
        <v>-1000</v>
      </c>
      <c r="AE221" s="52">
        <v>39</v>
      </c>
      <c r="AF221" s="637">
        <v>44358</v>
      </c>
      <c r="AG221" s="637">
        <v>44364</v>
      </c>
      <c r="AH221" s="52"/>
      <c r="AI221" s="52"/>
      <c r="AJ221" s="637"/>
      <c r="AK221" s="637"/>
      <c r="AL221" s="52"/>
      <c r="AM221" s="52"/>
      <c r="AN221" s="637"/>
      <c r="AO221" s="637"/>
      <c r="AP221" s="52"/>
      <c r="AQ221" s="52"/>
      <c r="AR221" s="637"/>
      <c r="AS221" s="637"/>
      <c r="AT221" s="52"/>
      <c r="AU221" s="52"/>
      <c r="AV221" s="637"/>
      <c r="AW221" s="637"/>
      <c r="AX221" s="52"/>
      <c r="AY221" s="52"/>
      <c r="AZ221" s="637"/>
      <c r="BA221" s="637"/>
      <c r="BB221" s="52"/>
      <c r="BC221" s="52"/>
      <c r="BD221" s="637"/>
      <c r="BE221" s="637"/>
      <c r="BF221" s="137">
        <f t="shared" si="11"/>
        <v>0</v>
      </c>
      <c r="BG221" s="43">
        <f t="shared" si="12"/>
        <v>0</v>
      </c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</row>
    <row r="222" spans="1:99" s="96" customFormat="1" ht="22.5" customHeight="1">
      <c r="A222" s="39"/>
      <c r="B222" s="51">
        <v>207</v>
      </c>
      <c r="C222" s="51" t="s">
        <v>39</v>
      </c>
      <c r="D222" s="42">
        <v>40008374</v>
      </c>
      <c r="E222" s="52" t="s">
        <v>2947</v>
      </c>
      <c r="F222" s="52" t="s">
        <v>317</v>
      </c>
      <c r="G222" s="56" t="s">
        <v>2686</v>
      </c>
      <c r="H222" s="52" t="s">
        <v>2856</v>
      </c>
      <c r="I222" s="52" t="s">
        <v>2537</v>
      </c>
      <c r="J222" s="636">
        <v>52778</v>
      </c>
      <c r="K222" s="52"/>
      <c r="L222" s="52"/>
      <c r="M222" s="54">
        <v>0</v>
      </c>
      <c r="N222" s="54">
        <v>0</v>
      </c>
      <c r="O222" s="54">
        <v>0</v>
      </c>
      <c r="P222" s="54">
        <v>0</v>
      </c>
      <c r="Q222" s="54">
        <v>47166.697</v>
      </c>
      <c r="R222" s="54">
        <v>42564.680999999997</v>
      </c>
      <c r="S222" s="54">
        <v>66451.837</v>
      </c>
      <c r="T222" s="54">
        <v>45655.588000000003</v>
      </c>
      <c r="U222" s="54">
        <v>0</v>
      </c>
      <c r="V222" s="54"/>
      <c r="W222" s="54"/>
      <c r="X222" s="54"/>
      <c r="Y222" s="54">
        <f t="shared" si="10"/>
        <v>201838.80300000001</v>
      </c>
      <c r="Z222" s="52">
        <v>1000</v>
      </c>
      <c r="AA222" s="52">
        <v>1</v>
      </c>
      <c r="AB222" s="637">
        <v>44207</v>
      </c>
      <c r="AC222" s="637">
        <v>44249</v>
      </c>
      <c r="AD222" s="52">
        <v>150000</v>
      </c>
      <c r="AE222" s="52">
        <v>14</v>
      </c>
      <c r="AF222" s="637">
        <v>44313</v>
      </c>
      <c r="AG222" s="637">
        <v>44322</v>
      </c>
      <c r="AH222" s="52">
        <v>50000</v>
      </c>
      <c r="AI222" s="52">
        <v>38</v>
      </c>
      <c r="AJ222" s="637">
        <v>44358</v>
      </c>
      <c r="AK222" s="637">
        <v>44364</v>
      </c>
      <c r="AL222" s="52">
        <v>14000</v>
      </c>
      <c r="AM222" s="52">
        <v>40</v>
      </c>
      <c r="AN222" s="637">
        <v>44358</v>
      </c>
      <c r="AO222" s="637">
        <v>44364</v>
      </c>
      <c r="AP222" s="52"/>
      <c r="AQ222" s="52"/>
      <c r="AR222" s="637"/>
      <c r="AS222" s="637"/>
      <c r="AT222" s="52"/>
      <c r="AU222" s="52"/>
      <c r="AV222" s="637"/>
      <c r="AW222" s="637"/>
      <c r="AX222" s="52"/>
      <c r="AY222" s="52"/>
      <c r="AZ222" s="637"/>
      <c r="BA222" s="637"/>
      <c r="BB222" s="52"/>
      <c r="BC222" s="52"/>
      <c r="BD222" s="637"/>
      <c r="BE222" s="637"/>
      <c r="BF222" s="137">
        <f t="shared" si="11"/>
        <v>215000</v>
      </c>
      <c r="BG222" s="43">
        <f t="shared" si="12"/>
        <v>13161.196999999986</v>
      </c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</row>
    <row r="223" spans="1:99" s="96" customFormat="1" ht="22.5" customHeight="1">
      <c r="A223" s="39"/>
      <c r="B223" s="51">
        <v>208</v>
      </c>
      <c r="C223" s="51" t="s">
        <v>39</v>
      </c>
      <c r="D223" s="42">
        <v>40008567</v>
      </c>
      <c r="E223" s="52" t="s">
        <v>2948</v>
      </c>
      <c r="F223" s="52" t="s">
        <v>317</v>
      </c>
      <c r="G223" s="56" t="s">
        <v>2686</v>
      </c>
      <c r="H223" s="52" t="s">
        <v>2786</v>
      </c>
      <c r="I223" s="52" t="s">
        <v>2537</v>
      </c>
      <c r="J223" s="636">
        <v>54763</v>
      </c>
      <c r="K223" s="52"/>
      <c r="L223" s="52"/>
      <c r="M223" s="54">
        <v>0</v>
      </c>
      <c r="N223" s="54">
        <v>0</v>
      </c>
      <c r="O223" s="54">
        <v>0</v>
      </c>
      <c r="P223" s="54">
        <v>5540.64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/>
      <c r="W223" s="54"/>
      <c r="X223" s="54"/>
      <c r="Y223" s="54">
        <f t="shared" si="10"/>
        <v>5540.64</v>
      </c>
      <c r="Z223" s="52">
        <v>1000</v>
      </c>
      <c r="AA223" s="52">
        <v>8</v>
      </c>
      <c r="AB223" s="637">
        <v>44252</v>
      </c>
      <c r="AC223" s="637">
        <v>44292</v>
      </c>
      <c r="AD223" s="52">
        <v>5541</v>
      </c>
      <c r="AE223" s="52">
        <v>11</v>
      </c>
      <c r="AF223" s="637">
        <v>44299</v>
      </c>
      <c r="AG223" s="637">
        <v>44312</v>
      </c>
      <c r="AH223" s="52"/>
      <c r="AI223" s="52"/>
      <c r="AJ223" s="637"/>
      <c r="AK223" s="637"/>
      <c r="AL223" s="52"/>
      <c r="AM223" s="52"/>
      <c r="AN223" s="637"/>
      <c r="AO223" s="637"/>
      <c r="AP223" s="52"/>
      <c r="AQ223" s="52"/>
      <c r="AR223" s="637"/>
      <c r="AS223" s="637"/>
      <c r="AT223" s="52"/>
      <c r="AU223" s="52"/>
      <c r="AV223" s="637"/>
      <c r="AW223" s="637"/>
      <c r="AX223" s="52"/>
      <c r="AY223" s="52"/>
      <c r="AZ223" s="637"/>
      <c r="BA223" s="637"/>
      <c r="BB223" s="52"/>
      <c r="BC223" s="52"/>
      <c r="BD223" s="637"/>
      <c r="BE223" s="637"/>
      <c r="BF223" s="137">
        <f t="shared" si="11"/>
        <v>6541</v>
      </c>
      <c r="BG223" s="43">
        <f t="shared" si="12"/>
        <v>1000.3599999999997</v>
      </c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</row>
    <row r="224" spans="1:99" s="96" customFormat="1" ht="22.5" customHeight="1">
      <c r="A224" s="39"/>
      <c r="B224" s="51">
        <v>209</v>
      </c>
      <c r="C224" s="51" t="s">
        <v>39</v>
      </c>
      <c r="D224" s="42">
        <v>40008570</v>
      </c>
      <c r="E224" s="52" t="s">
        <v>2949</v>
      </c>
      <c r="F224" s="52" t="s">
        <v>317</v>
      </c>
      <c r="G224" s="56" t="s">
        <v>2686</v>
      </c>
      <c r="H224" s="52" t="s">
        <v>2786</v>
      </c>
      <c r="I224" s="52" t="s">
        <v>2537</v>
      </c>
      <c r="J224" s="636">
        <v>155647</v>
      </c>
      <c r="K224" s="52"/>
      <c r="L224" s="52"/>
      <c r="M224" s="54">
        <v>1652.5530000000001</v>
      </c>
      <c r="N224" s="54">
        <v>0</v>
      </c>
      <c r="O224" s="54">
        <v>0</v>
      </c>
      <c r="P224" s="54">
        <v>1603.299</v>
      </c>
      <c r="Q224" s="54">
        <v>3105.9</v>
      </c>
      <c r="R224" s="54">
        <v>86999.403999999995</v>
      </c>
      <c r="S224" s="54">
        <v>0</v>
      </c>
      <c r="T224" s="54">
        <v>0</v>
      </c>
      <c r="U224" s="54">
        <v>0</v>
      </c>
      <c r="V224" s="54"/>
      <c r="W224" s="54"/>
      <c r="X224" s="54"/>
      <c r="Y224" s="54">
        <f t="shared" si="10"/>
        <v>93361.155999999988</v>
      </c>
      <c r="Z224" s="52">
        <v>9000</v>
      </c>
      <c r="AA224" s="52">
        <v>4</v>
      </c>
      <c r="AB224" s="637">
        <v>44221</v>
      </c>
      <c r="AC224" s="637">
        <v>44280</v>
      </c>
      <c r="AD224" s="52">
        <v>9000</v>
      </c>
      <c r="AE224" s="52">
        <v>18</v>
      </c>
      <c r="AF224" s="637">
        <v>44327</v>
      </c>
      <c r="AG224" s="637">
        <v>44341</v>
      </c>
      <c r="AH224" s="52">
        <v>86999</v>
      </c>
      <c r="AI224" s="52">
        <v>26</v>
      </c>
      <c r="AJ224" s="637">
        <v>44358</v>
      </c>
      <c r="AK224" s="637">
        <v>44364</v>
      </c>
      <c r="AL224" s="52">
        <v>-6497</v>
      </c>
      <c r="AM224" s="52">
        <v>40</v>
      </c>
      <c r="AN224" s="637">
        <v>44358</v>
      </c>
      <c r="AO224" s="637">
        <v>44364</v>
      </c>
      <c r="AP224" s="52"/>
      <c r="AQ224" s="52"/>
      <c r="AR224" s="637"/>
      <c r="AS224" s="637"/>
      <c r="AT224" s="52"/>
      <c r="AU224" s="52"/>
      <c r="AV224" s="637"/>
      <c r="AW224" s="637"/>
      <c r="AX224" s="52"/>
      <c r="AY224" s="52"/>
      <c r="AZ224" s="637"/>
      <c r="BA224" s="637"/>
      <c r="BB224" s="52"/>
      <c r="BC224" s="52"/>
      <c r="BD224" s="637"/>
      <c r="BE224" s="637"/>
      <c r="BF224" s="137">
        <f t="shared" si="11"/>
        <v>98502</v>
      </c>
      <c r="BG224" s="43">
        <f t="shared" si="12"/>
        <v>5140.8440000000119</v>
      </c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</row>
    <row r="225" spans="1:99" s="96" customFormat="1" ht="22.5">
      <c r="A225" s="39"/>
      <c r="B225" s="51">
        <v>210</v>
      </c>
      <c r="C225" s="51" t="s">
        <v>39</v>
      </c>
      <c r="D225" s="42">
        <v>40008571</v>
      </c>
      <c r="E225" s="52" t="s">
        <v>2950</v>
      </c>
      <c r="F225" s="52" t="s">
        <v>317</v>
      </c>
      <c r="G225" s="56" t="s">
        <v>2686</v>
      </c>
      <c r="H225" s="52" t="s">
        <v>2880</v>
      </c>
      <c r="I225" s="52" t="s">
        <v>2537</v>
      </c>
      <c r="J225" s="636">
        <v>677</v>
      </c>
      <c r="K225" s="52"/>
      <c r="L225" s="52"/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/>
      <c r="W225" s="54"/>
      <c r="X225" s="54"/>
      <c r="Y225" s="54">
        <f t="shared" si="10"/>
        <v>0</v>
      </c>
      <c r="Z225" s="52">
        <v>677</v>
      </c>
      <c r="AA225" s="52">
        <v>8</v>
      </c>
      <c r="AB225" s="637">
        <v>44252</v>
      </c>
      <c r="AC225" s="637">
        <v>44292</v>
      </c>
      <c r="AD225" s="52"/>
      <c r="AE225" s="52"/>
      <c r="AF225" s="637"/>
      <c r="AG225" s="637"/>
      <c r="AH225" s="52"/>
      <c r="AI225" s="52"/>
      <c r="AJ225" s="637"/>
      <c r="AK225" s="637"/>
      <c r="AL225" s="52"/>
      <c r="AM225" s="52"/>
      <c r="AN225" s="637"/>
      <c r="AO225" s="637"/>
      <c r="AP225" s="52"/>
      <c r="AQ225" s="52"/>
      <c r="AR225" s="637"/>
      <c r="AS225" s="637"/>
      <c r="AT225" s="52"/>
      <c r="AU225" s="52"/>
      <c r="AV225" s="637"/>
      <c r="AW225" s="637"/>
      <c r="AX225" s="52"/>
      <c r="AY225" s="52"/>
      <c r="AZ225" s="637"/>
      <c r="BA225" s="637"/>
      <c r="BB225" s="52"/>
      <c r="BC225" s="52"/>
      <c r="BD225" s="637"/>
      <c r="BE225" s="637"/>
      <c r="BF225" s="137">
        <f t="shared" si="11"/>
        <v>677</v>
      </c>
      <c r="BG225" s="43">
        <f t="shared" si="12"/>
        <v>677</v>
      </c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</row>
    <row r="226" spans="1:99" s="96" customFormat="1" ht="22.5" customHeight="1">
      <c r="A226" s="39"/>
      <c r="B226" s="51">
        <v>211</v>
      </c>
      <c r="C226" s="51" t="s">
        <v>39</v>
      </c>
      <c r="D226" s="42">
        <v>40008589</v>
      </c>
      <c r="E226" s="52" t="s">
        <v>2951</v>
      </c>
      <c r="F226" s="52" t="s">
        <v>317</v>
      </c>
      <c r="G226" s="56" t="s">
        <v>2686</v>
      </c>
      <c r="H226" s="52" t="s">
        <v>2695</v>
      </c>
      <c r="I226" s="52" t="s">
        <v>2537</v>
      </c>
      <c r="J226" s="636">
        <v>162824</v>
      </c>
      <c r="K226" s="52"/>
      <c r="L226" s="52"/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13357.119000000001</v>
      </c>
      <c r="S226" s="54">
        <v>0</v>
      </c>
      <c r="T226" s="54">
        <v>0</v>
      </c>
      <c r="U226" s="54">
        <v>0</v>
      </c>
      <c r="V226" s="54"/>
      <c r="W226" s="54"/>
      <c r="X226" s="54"/>
      <c r="Y226" s="54">
        <f t="shared" si="10"/>
        <v>13357.119000000001</v>
      </c>
      <c r="Z226" s="52">
        <v>1000</v>
      </c>
      <c r="AA226" s="52">
        <v>1</v>
      </c>
      <c r="AB226" s="637">
        <v>44207</v>
      </c>
      <c r="AC226" s="637">
        <v>44249</v>
      </c>
      <c r="AD226" s="52">
        <v>12357</v>
      </c>
      <c r="AE226" s="52">
        <v>26</v>
      </c>
      <c r="AF226" s="637">
        <v>44358</v>
      </c>
      <c r="AG226" s="637">
        <v>44364</v>
      </c>
      <c r="AH226" s="52">
        <v>27500</v>
      </c>
      <c r="AI226" s="52">
        <v>40</v>
      </c>
      <c r="AJ226" s="637">
        <v>44358</v>
      </c>
      <c r="AK226" s="637">
        <v>44364</v>
      </c>
      <c r="AL226" s="52"/>
      <c r="AM226" s="52"/>
      <c r="AN226" s="637"/>
      <c r="AO226" s="637"/>
      <c r="AP226" s="52"/>
      <c r="AQ226" s="52"/>
      <c r="AR226" s="637"/>
      <c r="AS226" s="637"/>
      <c r="AT226" s="52"/>
      <c r="AU226" s="52"/>
      <c r="AV226" s="637"/>
      <c r="AW226" s="637"/>
      <c r="AX226" s="52"/>
      <c r="AY226" s="52"/>
      <c r="AZ226" s="637"/>
      <c r="BA226" s="637"/>
      <c r="BB226" s="52"/>
      <c r="BC226" s="52"/>
      <c r="BD226" s="637"/>
      <c r="BE226" s="637"/>
      <c r="BF226" s="137">
        <f t="shared" si="11"/>
        <v>40857</v>
      </c>
      <c r="BG226" s="43">
        <f t="shared" si="12"/>
        <v>27499.881000000001</v>
      </c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</row>
    <row r="227" spans="1:99" s="96" customFormat="1" ht="22.5" customHeight="1">
      <c r="A227" s="39"/>
      <c r="B227" s="51">
        <v>212</v>
      </c>
      <c r="C227" s="51" t="s">
        <v>39</v>
      </c>
      <c r="D227" s="42">
        <v>40008592</v>
      </c>
      <c r="E227" s="52" t="s">
        <v>2952</v>
      </c>
      <c r="F227" s="52" t="s">
        <v>317</v>
      </c>
      <c r="G227" s="56" t="s">
        <v>2686</v>
      </c>
      <c r="H227" s="52" t="s">
        <v>2805</v>
      </c>
      <c r="I227" s="52" t="s">
        <v>2537</v>
      </c>
      <c r="J227" s="636">
        <v>320974</v>
      </c>
      <c r="K227" s="52"/>
      <c r="L227" s="52"/>
      <c r="M227" s="54">
        <v>0</v>
      </c>
      <c r="N227" s="54">
        <v>0</v>
      </c>
      <c r="O227" s="54">
        <v>100868.008</v>
      </c>
      <c r="P227" s="54">
        <v>79944.562999999995</v>
      </c>
      <c r="Q227" s="54">
        <v>0</v>
      </c>
      <c r="R227" s="54">
        <v>50.448999999999998</v>
      </c>
      <c r="S227" s="54">
        <v>0</v>
      </c>
      <c r="T227" s="54">
        <v>1311.9880000000001</v>
      </c>
      <c r="U227" s="54">
        <v>98.287999999999997</v>
      </c>
      <c r="V227" s="54"/>
      <c r="W227" s="54"/>
      <c r="X227" s="54"/>
      <c r="Y227" s="54">
        <f t="shared" si="10"/>
        <v>182273.296</v>
      </c>
      <c r="Z227" s="52">
        <v>1000</v>
      </c>
      <c r="AA227" s="52">
        <v>1</v>
      </c>
      <c r="AB227" s="637">
        <v>44207</v>
      </c>
      <c r="AC227" s="637">
        <v>44249</v>
      </c>
      <c r="AD227" s="52">
        <v>200000</v>
      </c>
      <c r="AE227" s="52">
        <v>10</v>
      </c>
      <c r="AF227" s="637">
        <v>44286</v>
      </c>
      <c r="AG227" s="637">
        <v>44306</v>
      </c>
      <c r="AH227" s="52">
        <v>50</v>
      </c>
      <c r="AI227" s="52">
        <v>26</v>
      </c>
      <c r="AJ227" s="637">
        <v>44358</v>
      </c>
      <c r="AK227" s="637">
        <v>44364</v>
      </c>
      <c r="AL227" s="52"/>
      <c r="AM227" s="52"/>
      <c r="AN227" s="637"/>
      <c r="AO227" s="637"/>
      <c r="AP227" s="52"/>
      <c r="AQ227" s="52"/>
      <c r="AR227" s="637"/>
      <c r="AS227" s="637"/>
      <c r="AT227" s="52"/>
      <c r="AU227" s="52"/>
      <c r="AV227" s="637"/>
      <c r="AW227" s="637"/>
      <c r="AX227" s="52"/>
      <c r="AY227" s="52"/>
      <c r="AZ227" s="637"/>
      <c r="BA227" s="637"/>
      <c r="BB227" s="52"/>
      <c r="BC227" s="52"/>
      <c r="BD227" s="637"/>
      <c r="BE227" s="637"/>
      <c r="BF227" s="137">
        <f t="shared" si="11"/>
        <v>201050</v>
      </c>
      <c r="BG227" s="43">
        <f t="shared" si="12"/>
        <v>18776.703999999998</v>
      </c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</row>
    <row r="228" spans="1:99" s="96" customFormat="1" ht="22.5" customHeight="1">
      <c r="A228" s="39"/>
      <c r="B228" s="51">
        <v>213</v>
      </c>
      <c r="C228" s="51" t="s">
        <v>39</v>
      </c>
      <c r="D228" s="42">
        <v>40008642</v>
      </c>
      <c r="E228" s="52" t="s">
        <v>2953</v>
      </c>
      <c r="F228" s="52" t="s">
        <v>317</v>
      </c>
      <c r="G228" s="56" t="s">
        <v>2686</v>
      </c>
      <c r="H228" s="52" t="s">
        <v>2711</v>
      </c>
      <c r="I228" s="52" t="s">
        <v>2537</v>
      </c>
      <c r="J228" s="636">
        <v>59430</v>
      </c>
      <c r="K228" s="52"/>
      <c r="L228" s="52"/>
      <c r="M228" s="54">
        <v>0</v>
      </c>
      <c r="N228" s="54">
        <v>18947.864000000001</v>
      </c>
      <c r="O228" s="54">
        <v>0</v>
      </c>
      <c r="P228" s="54">
        <v>15015.234</v>
      </c>
      <c r="Q228" s="54">
        <v>11257.585999999999</v>
      </c>
      <c r="R228" s="54">
        <v>10489.719000000001</v>
      </c>
      <c r="S228" s="54">
        <v>0</v>
      </c>
      <c r="T228" s="54">
        <v>0</v>
      </c>
      <c r="U228" s="54">
        <v>0</v>
      </c>
      <c r="V228" s="54"/>
      <c r="W228" s="54"/>
      <c r="X228" s="54"/>
      <c r="Y228" s="54">
        <f t="shared" si="10"/>
        <v>55710.402999999991</v>
      </c>
      <c r="Z228" s="52">
        <v>1000</v>
      </c>
      <c r="AA228" s="52">
        <v>1</v>
      </c>
      <c r="AB228" s="637">
        <v>44207</v>
      </c>
      <c r="AC228" s="637">
        <v>44249</v>
      </c>
      <c r="AD228" s="52">
        <v>56212</v>
      </c>
      <c r="AE228" s="52">
        <v>8</v>
      </c>
      <c r="AF228" s="637">
        <v>44252</v>
      </c>
      <c r="AG228" s="637">
        <v>44292</v>
      </c>
      <c r="AH228" s="52">
        <v>2138</v>
      </c>
      <c r="AI228" s="52">
        <v>26</v>
      </c>
      <c r="AJ228" s="637">
        <v>44358</v>
      </c>
      <c r="AK228" s="637">
        <v>44364</v>
      </c>
      <c r="AL228" s="52"/>
      <c r="AM228" s="52"/>
      <c r="AN228" s="637"/>
      <c r="AO228" s="637"/>
      <c r="AP228" s="52"/>
      <c r="AQ228" s="52"/>
      <c r="AR228" s="637"/>
      <c r="AS228" s="637"/>
      <c r="AT228" s="52"/>
      <c r="AU228" s="52"/>
      <c r="AV228" s="637"/>
      <c r="AW228" s="637"/>
      <c r="AX228" s="52"/>
      <c r="AY228" s="52"/>
      <c r="AZ228" s="637"/>
      <c r="BA228" s="637"/>
      <c r="BB228" s="52"/>
      <c r="BC228" s="52"/>
      <c r="BD228" s="637"/>
      <c r="BE228" s="637"/>
      <c r="BF228" s="137">
        <f t="shared" si="11"/>
        <v>59350</v>
      </c>
      <c r="BG228" s="43">
        <f t="shared" si="12"/>
        <v>3639.5970000000088</v>
      </c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</row>
    <row r="229" spans="1:99" s="96" customFormat="1" ht="22.5" customHeight="1">
      <c r="A229" s="39"/>
      <c r="B229" s="51">
        <v>214</v>
      </c>
      <c r="C229" s="51" t="s">
        <v>39</v>
      </c>
      <c r="D229" s="42">
        <v>40008668</v>
      </c>
      <c r="E229" s="52" t="s">
        <v>2954</v>
      </c>
      <c r="F229" s="52" t="s">
        <v>317</v>
      </c>
      <c r="G229" s="56" t="s">
        <v>2686</v>
      </c>
      <c r="H229" s="52" t="s">
        <v>2748</v>
      </c>
      <c r="I229" s="52" t="s">
        <v>2537</v>
      </c>
      <c r="J229" s="636">
        <v>2757</v>
      </c>
      <c r="K229" s="52"/>
      <c r="L229" s="52"/>
      <c r="M229" s="54">
        <v>1594.6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/>
      <c r="W229" s="54"/>
      <c r="X229" s="54"/>
      <c r="Y229" s="54">
        <f t="shared" si="10"/>
        <v>1594.6</v>
      </c>
      <c r="Z229" s="52">
        <v>2757</v>
      </c>
      <c r="AA229" s="52">
        <v>4</v>
      </c>
      <c r="AB229" s="637">
        <v>44221</v>
      </c>
      <c r="AC229" s="637">
        <v>44280</v>
      </c>
      <c r="AD229" s="52">
        <v>-1162</v>
      </c>
      <c r="AE229" s="52">
        <v>40</v>
      </c>
      <c r="AF229" s="637">
        <v>44358</v>
      </c>
      <c r="AG229" s="637">
        <v>44364</v>
      </c>
      <c r="AH229" s="52"/>
      <c r="AI229" s="52"/>
      <c r="AJ229" s="637"/>
      <c r="AK229" s="637"/>
      <c r="AL229" s="52"/>
      <c r="AM229" s="52"/>
      <c r="AN229" s="637"/>
      <c r="AO229" s="637"/>
      <c r="AP229" s="52"/>
      <c r="AQ229" s="52"/>
      <c r="AR229" s="637"/>
      <c r="AS229" s="637"/>
      <c r="AT229" s="52"/>
      <c r="AU229" s="52"/>
      <c r="AV229" s="637"/>
      <c r="AW229" s="637"/>
      <c r="AX229" s="52"/>
      <c r="AY229" s="52"/>
      <c r="AZ229" s="637"/>
      <c r="BA229" s="637"/>
      <c r="BB229" s="52"/>
      <c r="BC229" s="52"/>
      <c r="BD229" s="637"/>
      <c r="BE229" s="637"/>
      <c r="BF229" s="137">
        <f t="shared" si="11"/>
        <v>1595</v>
      </c>
      <c r="BG229" s="43">
        <f t="shared" si="12"/>
        <v>0.40000000000009095</v>
      </c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</row>
    <row r="230" spans="1:99" s="96" customFormat="1" ht="22.5">
      <c r="A230" s="39"/>
      <c r="B230" s="51">
        <v>215</v>
      </c>
      <c r="C230" s="51" t="s">
        <v>39</v>
      </c>
      <c r="D230" s="42">
        <v>40008671</v>
      </c>
      <c r="E230" s="52" t="s">
        <v>2955</v>
      </c>
      <c r="F230" s="52" t="s">
        <v>317</v>
      </c>
      <c r="G230" s="56" t="s">
        <v>2686</v>
      </c>
      <c r="H230" s="52" t="s">
        <v>2748</v>
      </c>
      <c r="I230" s="52" t="s">
        <v>2537</v>
      </c>
      <c r="J230" s="636">
        <v>4772</v>
      </c>
      <c r="K230" s="52"/>
      <c r="L230" s="52"/>
      <c r="M230" s="54">
        <v>2391.9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/>
      <c r="W230" s="54"/>
      <c r="X230" s="54"/>
      <c r="Y230" s="54">
        <f t="shared" si="10"/>
        <v>2391.9</v>
      </c>
      <c r="Z230" s="52">
        <v>2392</v>
      </c>
      <c r="AA230" s="52">
        <v>4</v>
      </c>
      <c r="AB230" s="637">
        <v>44221</v>
      </c>
      <c r="AC230" s="637">
        <v>44280</v>
      </c>
      <c r="AD230" s="52"/>
      <c r="AE230" s="52"/>
      <c r="AF230" s="637"/>
      <c r="AG230" s="637"/>
      <c r="AH230" s="52"/>
      <c r="AI230" s="52"/>
      <c r="AJ230" s="637"/>
      <c r="AK230" s="637"/>
      <c r="AL230" s="52"/>
      <c r="AM230" s="52"/>
      <c r="AN230" s="637"/>
      <c r="AO230" s="637"/>
      <c r="AP230" s="52"/>
      <c r="AQ230" s="52"/>
      <c r="AR230" s="637"/>
      <c r="AS230" s="637"/>
      <c r="AT230" s="52"/>
      <c r="AU230" s="52"/>
      <c r="AV230" s="637"/>
      <c r="AW230" s="637"/>
      <c r="AX230" s="52"/>
      <c r="AY230" s="52"/>
      <c r="AZ230" s="637"/>
      <c r="BA230" s="637"/>
      <c r="BB230" s="52"/>
      <c r="BC230" s="52"/>
      <c r="BD230" s="637"/>
      <c r="BE230" s="637"/>
      <c r="BF230" s="137">
        <f t="shared" si="11"/>
        <v>2392</v>
      </c>
      <c r="BG230" s="43">
        <f t="shared" si="12"/>
        <v>9.9999999999909051E-2</v>
      </c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</row>
    <row r="231" spans="1:99" s="96" customFormat="1" ht="22.5" customHeight="1">
      <c r="A231" s="39"/>
      <c r="B231" s="51">
        <v>216</v>
      </c>
      <c r="C231" s="51" t="s">
        <v>39</v>
      </c>
      <c r="D231" s="42">
        <v>40008690</v>
      </c>
      <c r="E231" s="52" t="s">
        <v>2956</v>
      </c>
      <c r="F231" s="52" t="s">
        <v>317</v>
      </c>
      <c r="G231" s="56" t="s">
        <v>2686</v>
      </c>
      <c r="H231" s="52" t="s">
        <v>2756</v>
      </c>
      <c r="I231" s="52" t="s">
        <v>2537</v>
      </c>
      <c r="J231" s="636">
        <v>192712</v>
      </c>
      <c r="K231" s="52"/>
      <c r="L231" s="52"/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/>
      <c r="W231" s="54"/>
      <c r="X231" s="54"/>
      <c r="Y231" s="54">
        <f t="shared" si="10"/>
        <v>0</v>
      </c>
      <c r="Z231" s="52">
        <v>1000</v>
      </c>
      <c r="AA231" s="52">
        <v>1</v>
      </c>
      <c r="AB231" s="637">
        <v>44207</v>
      </c>
      <c r="AC231" s="637">
        <v>44249</v>
      </c>
      <c r="AD231" s="52">
        <v>-1000</v>
      </c>
      <c r="AE231" s="52">
        <v>39</v>
      </c>
      <c r="AF231" s="637">
        <v>44358</v>
      </c>
      <c r="AG231" s="637">
        <v>44364</v>
      </c>
      <c r="AH231" s="52"/>
      <c r="AI231" s="52"/>
      <c r="AJ231" s="637"/>
      <c r="AK231" s="637"/>
      <c r="AL231" s="52"/>
      <c r="AM231" s="52"/>
      <c r="AN231" s="637"/>
      <c r="AO231" s="637"/>
      <c r="AP231" s="52"/>
      <c r="AQ231" s="52"/>
      <c r="AR231" s="637"/>
      <c r="AS231" s="637"/>
      <c r="AT231" s="52"/>
      <c r="AU231" s="52"/>
      <c r="AV231" s="637"/>
      <c r="AW231" s="637"/>
      <c r="AX231" s="52"/>
      <c r="AY231" s="52"/>
      <c r="AZ231" s="637"/>
      <c r="BA231" s="637"/>
      <c r="BB231" s="52"/>
      <c r="BC231" s="52"/>
      <c r="BD231" s="637"/>
      <c r="BE231" s="637"/>
      <c r="BF231" s="137">
        <f t="shared" si="11"/>
        <v>0</v>
      </c>
      <c r="BG231" s="43">
        <f t="shared" si="12"/>
        <v>0</v>
      </c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</row>
    <row r="232" spans="1:99" s="96" customFormat="1" ht="33.75" customHeight="1">
      <c r="A232" s="39"/>
      <c r="B232" s="51">
        <v>217</v>
      </c>
      <c r="C232" s="51" t="s">
        <v>39</v>
      </c>
      <c r="D232" s="42">
        <v>40008696</v>
      </c>
      <c r="E232" s="52" t="s">
        <v>2957</v>
      </c>
      <c r="F232" s="52" t="s">
        <v>317</v>
      </c>
      <c r="G232" s="56" t="s">
        <v>2686</v>
      </c>
      <c r="H232" s="52" t="s">
        <v>2718</v>
      </c>
      <c r="I232" s="52" t="s">
        <v>2537</v>
      </c>
      <c r="J232" s="636">
        <v>587535</v>
      </c>
      <c r="K232" s="52"/>
      <c r="L232" s="52"/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/>
      <c r="W232" s="54"/>
      <c r="X232" s="54"/>
      <c r="Y232" s="54">
        <f t="shared" si="10"/>
        <v>0</v>
      </c>
      <c r="Z232" s="52">
        <v>1000</v>
      </c>
      <c r="AA232" s="52">
        <v>1</v>
      </c>
      <c r="AB232" s="637">
        <v>44207</v>
      </c>
      <c r="AC232" s="637">
        <v>44249</v>
      </c>
      <c r="AD232" s="52">
        <v>-1000</v>
      </c>
      <c r="AE232" s="52">
        <v>39</v>
      </c>
      <c r="AF232" s="637">
        <v>44358</v>
      </c>
      <c r="AG232" s="637">
        <v>44364</v>
      </c>
      <c r="AH232" s="52"/>
      <c r="AI232" s="52"/>
      <c r="AJ232" s="637"/>
      <c r="AK232" s="637"/>
      <c r="AL232" s="52"/>
      <c r="AM232" s="52"/>
      <c r="AN232" s="637"/>
      <c r="AO232" s="637"/>
      <c r="AP232" s="52"/>
      <c r="AQ232" s="52"/>
      <c r="AR232" s="637"/>
      <c r="AS232" s="637"/>
      <c r="AT232" s="52"/>
      <c r="AU232" s="52"/>
      <c r="AV232" s="637"/>
      <c r="AW232" s="637"/>
      <c r="AX232" s="52"/>
      <c r="AY232" s="52"/>
      <c r="AZ232" s="637"/>
      <c r="BA232" s="637"/>
      <c r="BB232" s="52"/>
      <c r="BC232" s="52"/>
      <c r="BD232" s="637"/>
      <c r="BE232" s="637"/>
      <c r="BF232" s="137">
        <f t="shared" si="11"/>
        <v>0</v>
      </c>
      <c r="BG232" s="43">
        <f t="shared" si="12"/>
        <v>0</v>
      </c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</row>
    <row r="233" spans="1:99" s="96" customFormat="1" ht="33.75" customHeight="1">
      <c r="A233" s="39"/>
      <c r="B233" s="51">
        <v>218</v>
      </c>
      <c r="C233" s="51" t="s">
        <v>39</v>
      </c>
      <c r="D233" s="42">
        <v>40008699</v>
      </c>
      <c r="E233" s="52" t="s">
        <v>2958</v>
      </c>
      <c r="F233" s="52" t="s">
        <v>317</v>
      </c>
      <c r="G233" s="56" t="s">
        <v>2686</v>
      </c>
      <c r="H233" s="52" t="s">
        <v>2756</v>
      </c>
      <c r="I233" s="52" t="s">
        <v>2537</v>
      </c>
      <c r="J233" s="636">
        <v>370725</v>
      </c>
      <c r="K233" s="52"/>
      <c r="L233" s="52"/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/>
      <c r="W233" s="54"/>
      <c r="X233" s="54"/>
      <c r="Y233" s="54">
        <f t="shared" si="10"/>
        <v>0</v>
      </c>
      <c r="Z233" s="52">
        <v>1000</v>
      </c>
      <c r="AA233" s="52">
        <v>1</v>
      </c>
      <c r="AB233" s="637">
        <v>44207</v>
      </c>
      <c r="AC233" s="637">
        <v>44249</v>
      </c>
      <c r="AD233" s="52">
        <v>-1000</v>
      </c>
      <c r="AE233" s="52">
        <v>39</v>
      </c>
      <c r="AF233" s="637">
        <v>44358</v>
      </c>
      <c r="AG233" s="637">
        <v>44364</v>
      </c>
      <c r="AH233" s="52"/>
      <c r="AI233" s="52"/>
      <c r="AJ233" s="637"/>
      <c r="AK233" s="637"/>
      <c r="AL233" s="52"/>
      <c r="AM233" s="52"/>
      <c r="AN233" s="637"/>
      <c r="AO233" s="637"/>
      <c r="AP233" s="52"/>
      <c r="AQ233" s="52"/>
      <c r="AR233" s="637"/>
      <c r="AS233" s="637"/>
      <c r="AT233" s="52"/>
      <c r="AU233" s="52"/>
      <c r="AV233" s="637"/>
      <c r="AW233" s="637"/>
      <c r="AX233" s="52"/>
      <c r="AY233" s="52"/>
      <c r="AZ233" s="637"/>
      <c r="BA233" s="637"/>
      <c r="BB233" s="52"/>
      <c r="BC233" s="52"/>
      <c r="BD233" s="637"/>
      <c r="BE233" s="637"/>
      <c r="BF233" s="137">
        <f t="shared" si="11"/>
        <v>0</v>
      </c>
      <c r="BG233" s="43">
        <f t="shared" si="12"/>
        <v>0</v>
      </c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</row>
    <row r="234" spans="1:99" s="96" customFormat="1" ht="22.5" customHeight="1">
      <c r="A234" s="39"/>
      <c r="B234" s="51">
        <v>219</v>
      </c>
      <c r="C234" s="51" t="s">
        <v>39</v>
      </c>
      <c r="D234" s="42">
        <v>40008728</v>
      </c>
      <c r="E234" s="52" t="s">
        <v>2959</v>
      </c>
      <c r="F234" s="52" t="s">
        <v>317</v>
      </c>
      <c r="G234" s="56" t="s">
        <v>2686</v>
      </c>
      <c r="H234" s="52" t="s">
        <v>2689</v>
      </c>
      <c r="I234" s="52" t="s">
        <v>2537</v>
      </c>
      <c r="J234" s="636">
        <v>1023963</v>
      </c>
      <c r="K234" s="52"/>
      <c r="L234" s="52"/>
      <c r="M234" s="54">
        <v>356688.853</v>
      </c>
      <c r="N234" s="54">
        <v>0</v>
      </c>
      <c r="O234" s="54">
        <v>142474.46900000001</v>
      </c>
      <c r="P234" s="54">
        <v>105558.01700000001</v>
      </c>
      <c r="Q234" s="54">
        <v>135474.46799999999</v>
      </c>
      <c r="R234" s="54">
        <v>0</v>
      </c>
      <c r="S234" s="54">
        <v>0</v>
      </c>
      <c r="T234" s="54">
        <v>0</v>
      </c>
      <c r="U234" s="54">
        <v>0</v>
      </c>
      <c r="V234" s="54"/>
      <c r="W234" s="54"/>
      <c r="X234" s="54"/>
      <c r="Y234" s="54">
        <f t="shared" si="10"/>
        <v>740195.80700000003</v>
      </c>
      <c r="Z234" s="52">
        <v>1000</v>
      </c>
      <c r="AA234" s="52">
        <v>1</v>
      </c>
      <c r="AB234" s="637">
        <v>44207</v>
      </c>
      <c r="AC234" s="637">
        <v>44249</v>
      </c>
      <c r="AD234" s="52">
        <v>700000</v>
      </c>
      <c r="AE234" s="52">
        <v>4</v>
      </c>
      <c r="AF234" s="637">
        <v>44221</v>
      </c>
      <c r="AG234" s="637">
        <v>44280</v>
      </c>
      <c r="AH234" s="52">
        <v>170000</v>
      </c>
      <c r="AI234" s="52">
        <v>23</v>
      </c>
      <c r="AJ234" s="637">
        <v>44340</v>
      </c>
      <c r="AK234" s="637">
        <v>44350</v>
      </c>
      <c r="AL234" s="52">
        <v>-130805</v>
      </c>
      <c r="AM234" s="52">
        <v>38</v>
      </c>
      <c r="AN234" s="637">
        <v>44358</v>
      </c>
      <c r="AO234" s="637">
        <v>44364</v>
      </c>
      <c r="AP234" s="52"/>
      <c r="AQ234" s="52"/>
      <c r="AR234" s="637"/>
      <c r="AS234" s="637"/>
      <c r="AT234" s="52"/>
      <c r="AU234" s="52"/>
      <c r="AV234" s="637"/>
      <c r="AW234" s="637"/>
      <c r="AX234" s="52"/>
      <c r="AY234" s="52"/>
      <c r="AZ234" s="637"/>
      <c r="BA234" s="637"/>
      <c r="BB234" s="52"/>
      <c r="BC234" s="52"/>
      <c r="BD234" s="637"/>
      <c r="BE234" s="637"/>
      <c r="BF234" s="137">
        <f t="shared" si="11"/>
        <v>740195</v>
      </c>
      <c r="BG234" s="43">
        <f t="shared" si="12"/>
        <v>-0.80700000002980232</v>
      </c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</row>
    <row r="235" spans="1:99" s="96" customFormat="1" ht="22.5" customHeight="1">
      <c r="A235" s="39"/>
      <c r="B235" s="51">
        <v>220</v>
      </c>
      <c r="C235" s="51" t="s">
        <v>39</v>
      </c>
      <c r="D235" s="42">
        <v>40008730</v>
      </c>
      <c r="E235" s="52" t="s">
        <v>2960</v>
      </c>
      <c r="F235" s="52" t="s">
        <v>317</v>
      </c>
      <c r="G235" s="56" t="s">
        <v>2686</v>
      </c>
      <c r="H235" s="52" t="s">
        <v>2737</v>
      </c>
      <c r="I235" s="52" t="s">
        <v>2537</v>
      </c>
      <c r="J235" s="636">
        <v>412453</v>
      </c>
      <c r="K235" s="52"/>
      <c r="L235" s="52"/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/>
      <c r="W235" s="54"/>
      <c r="X235" s="54"/>
      <c r="Y235" s="54">
        <f t="shared" si="10"/>
        <v>0</v>
      </c>
      <c r="Z235" s="52">
        <v>1000</v>
      </c>
      <c r="AA235" s="52">
        <v>1</v>
      </c>
      <c r="AB235" s="637">
        <v>44207</v>
      </c>
      <c r="AC235" s="637">
        <v>44249</v>
      </c>
      <c r="AD235" s="52">
        <v>-1000</v>
      </c>
      <c r="AE235" s="52">
        <v>39</v>
      </c>
      <c r="AF235" s="637">
        <v>44358</v>
      </c>
      <c r="AG235" s="637">
        <v>44364</v>
      </c>
      <c r="AH235" s="52"/>
      <c r="AI235" s="52"/>
      <c r="AJ235" s="637"/>
      <c r="AK235" s="637"/>
      <c r="AL235" s="52"/>
      <c r="AM235" s="52"/>
      <c r="AN235" s="637"/>
      <c r="AO235" s="637"/>
      <c r="AP235" s="52"/>
      <c r="AQ235" s="52"/>
      <c r="AR235" s="637"/>
      <c r="AS235" s="637"/>
      <c r="AT235" s="52"/>
      <c r="AU235" s="52"/>
      <c r="AV235" s="637"/>
      <c r="AW235" s="637"/>
      <c r="AX235" s="52"/>
      <c r="AY235" s="52"/>
      <c r="AZ235" s="637"/>
      <c r="BA235" s="637"/>
      <c r="BB235" s="52"/>
      <c r="BC235" s="52"/>
      <c r="BD235" s="637"/>
      <c r="BE235" s="637"/>
      <c r="BF235" s="137">
        <f t="shared" si="11"/>
        <v>0</v>
      </c>
      <c r="BG235" s="43">
        <f t="shared" si="12"/>
        <v>0</v>
      </c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</row>
    <row r="236" spans="1:99" s="96" customFormat="1" ht="22.5" customHeight="1">
      <c r="A236" s="39"/>
      <c r="B236" s="51">
        <v>221</v>
      </c>
      <c r="C236" s="51" t="s">
        <v>39</v>
      </c>
      <c r="D236" s="42">
        <v>40008736</v>
      </c>
      <c r="E236" s="52" t="s">
        <v>2961</v>
      </c>
      <c r="F236" s="52" t="s">
        <v>317</v>
      </c>
      <c r="G236" s="56" t="s">
        <v>2686</v>
      </c>
      <c r="H236" s="52" t="s">
        <v>2746</v>
      </c>
      <c r="I236" s="52" t="s">
        <v>2537</v>
      </c>
      <c r="J236" s="636">
        <v>417445</v>
      </c>
      <c r="K236" s="52"/>
      <c r="L236" s="52"/>
      <c r="M236" s="54">
        <v>207930.576</v>
      </c>
      <c r="N236" s="54">
        <v>0</v>
      </c>
      <c r="O236" s="54">
        <v>62397.381999999998</v>
      </c>
      <c r="P236" s="54">
        <v>108273.889</v>
      </c>
      <c r="Q236" s="54">
        <v>0</v>
      </c>
      <c r="R236" s="54">
        <v>41026.006999999998</v>
      </c>
      <c r="S236" s="54">
        <v>0</v>
      </c>
      <c r="T236" s="54">
        <v>0</v>
      </c>
      <c r="U236" s="54">
        <v>0</v>
      </c>
      <c r="V236" s="54"/>
      <c r="W236" s="54"/>
      <c r="X236" s="54"/>
      <c r="Y236" s="54">
        <f t="shared" si="10"/>
        <v>419627.85399999993</v>
      </c>
      <c r="Z236" s="52">
        <v>1000</v>
      </c>
      <c r="AA236" s="52">
        <v>1</v>
      </c>
      <c r="AB236" s="637">
        <v>44207</v>
      </c>
      <c r="AC236" s="637">
        <v>44249</v>
      </c>
      <c r="AD236" s="52">
        <v>280000</v>
      </c>
      <c r="AE236" s="52">
        <v>4</v>
      </c>
      <c r="AF236" s="637">
        <v>44221</v>
      </c>
      <c r="AG236" s="637">
        <v>44280</v>
      </c>
      <c r="AH236" s="52">
        <v>100000</v>
      </c>
      <c r="AI236" s="52">
        <v>10</v>
      </c>
      <c r="AJ236" s="637">
        <v>44286</v>
      </c>
      <c r="AK236" s="637">
        <v>44306</v>
      </c>
      <c r="AL236" s="52">
        <v>38628</v>
      </c>
      <c r="AM236" s="52">
        <v>26</v>
      </c>
      <c r="AN236" s="637">
        <v>44358</v>
      </c>
      <c r="AO236" s="637">
        <v>44364</v>
      </c>
      <c r="AP236" s="52"/>
      <c r="AQ236" s="52"/>
      <c r="AR236" s="637"/>
      <c r="AS236" s="637"/>
      <c r="AT236" s="52"/>
      <c r="AU236" s="52"/>
      <c r="AV236" s="637"/>
      <c r="AW236" s="637"/>
      <c r="AX236" s="52"/>
      <c r="AY236" s="52"/>
      <c r="AZ236" s="637"/>
      <c r="BA236" s="637"/>
      <c r="BB236" s="52"/>
      <c r="BC236" s="52"/>
      <c r="BD236" s="637"/>
      <c r="BE236" s="637"/>
      <c r="BF236" s="137">
        <f t="shared" si="11"/>
        <v>419628</v>
      </c>
      <c r="BG236" s="43">
        <f t="shared" si="12"/>
        <v>0.1460000000661239</v>
      </c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</row>
    <row r="237" spans="1:99" s="96" customFormat="1" ht="22.5" customHeight="1">
      <c r="A237" s="39"/>
      <c r="B237" s="51">
        <v>222</v>
      </c>
      <c r="C237" s="51" t="s">
        <v>39</v>
      </c>
      <c r="D237" s="42">
        <v>40008744</v>
      </c>
      <c r="E237" s="52" t="s">
        <v>2962</v>
      </c>
      <c r="F237" s="52" t="s">
        <v>317</v>
      </c>
      <c r="G237" s="56" t="s">
        <v>2686</v>
      </c>
      <c r="H237" s="52" t="s">
        <v>2814</v>
      </c>
      <c r="I237" s="52" t="s">
        <v>2537</v>
      </c>
      <c r="J237" s="636">
        <v>231630</v>
      </c>
      <c r="K237" s="52"/>
      <c r="L237" s="52"/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181763.92199999999</v>
      </c>
      <c r="S237" s="54">
        <v>0</v>
      </c>
      <c r="T237" s="54">
        <v>0</v>
      </c>
      <c r="U237" s="54">
        <v>38892.794999999998</v>
      </c>
      <c r="V237" s="54"/>
      <c r="W237" s="54"/>
      <c r="X237" s="54"/>
      <c r="Y237" s="54">
        <f t="shared" si="10"/>
        <v>220656.717</v>
      </c>
      <c r="Z237" s="52">
        <v>1000</v>
      </c>
      <c r="AA237" s="52">
        <v>1</v>
      </c>
      <c r="AB237" s="637">
        <v>44207</v>
      </c>
      <c r="AC237" s="637">
        <v>44249</v>
      </c>
      <c r="AD237" s="52">
        <v>180764</v>
      </c>
      <c r="AE237" s="52">
        <v>26</v>
      </c>
      <c r="AF237" s="637">
        <v>44358</v>
      </c>
      <c r="AG237" s="637">
        <v>44364</v>
      </c>
      <c r="AH237" s="52"/>
      <c r="AI237" s="52"/>
      <c r="AJ237" s="637"/>
      <c r="AK237" s="637"/>
      <c r="AL237" s="52"/>
      <c r="AM237" s="52"/>
      <c r="AN237" s="637"/>
      <c r="AO237" s="637"/>
      <c r="AP237" s="52"/>
      <c r="AQ237" s="52"/>
      <c r="AR237" s="637"/>
      <c r="AS237" s="637"/>
      <c r="AT237" s="52"/>
      <c r="AU237" s="52"/>
      <c r="AV237" s="637"/>
      <c r="AW237" s="637"/>
      <c r="AX237" s="52"/>
      <c r="AY237" s="52"/>
      <c r="AZ237" s="637"/>
      <c r="BA237" s="637"/>
      <c r="BB237" s="52"/>
      <c r="BC237" s="52"/>
      <c r="BD237" s="637"/>
      <c r="BE237" s="637"/>
      <c r="BF237" s="137">
        <f t="shared" si="11"/>
        <v>181764</v>
      </c>
      <c r="BG237" s="43">
        <f t="shared" si="12"/>
        <v>-38892.717000000004</v>
      </c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</row>
    <row r="238" spans="1:99" s="96" customFormat="1" ht="22.5" customHeight="1">
      <c r="A238" s="39"/>
      <c r="B238" s="51">
        <v>223</v>
      </c>
      <c r="C238" s="51" t="s">
        <v>39</v>
      </c>
      <c r="D238" s="42">
        <v>40008751</v>
      </c>
      <c r="E238" s="52" t="s">
        <v>2963</v>
      </c>
      <c r="F238" s="52" t="s">
        <v>317</v>
      </c>
      <c r="G238" s="56" t="s">
        <v>2686</v>
      </c>
      <c r="H238" s="52" t="s">
        <v>2744</v>
      </c>
      <c r="I238" s="52" t="s">
        <v>2537</v>
      </c>
      <c r="J238" s="636">
        <v>113481</v>
      </c>
      <c r="K238" s="52"/>
      <c r="L238" s="52"/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/>
      <c r="W238" s="54"/>
      <c r="X238" s="54"/>
      <c r="Y238" s="54">
        <f t="shared" si="10"/>
        <v>0</v>
      </c>
      <c r="Z238" s="52">
        <v>1000</v>
      </c>
      <c r="AA238" s="52">
        <v>1</v>
      </c>
      <c r="AB238" s="637">
        <v>44207</v>
      </c>
      <c r="AC238" s="637">
        <v>44249</v>
      </c>
      <c r="AD238" s="52">
        <v>-1000</v>
      </c>
      <c r="AE238" s="52">
        <v>39</v>
      </c>
      <c r="AF238" s="637">
        <v>44358</v>
      </c>
      <c r="AG238" s="637">
        <v>44364</v>
      </c>
      <c r="AH238" s="52"/>
      <c r="AI238" s="52"/>
      <c r="AJ238" s="637"/>
      <c r="AK238" s="637"/>
      <c r="AL238" s="52"/>
      <c r="AM238" s="52"/>
      <c r="AN238" s="637"/>
      <c r="AO238" s="637"/>
      <c r="AP238" s="52"/>
      <c r="AQ238" s="52"/>
      <c r="AR238" s="637"/>
      <c r="AS238" s="637"/>
      <c r="AT238" s="52"/>
      <c r="AU238" s="52"/>
      <c r="AV238" s="637"/>
      <c r="AW238" s="637"/>
      <c r="AX238" s="52"/>
      <c r="AY238" s="52"/>
      <c r="AZ238" s="637"/>
      <c r="BA238" s="637"/>
      <c r="BB238" s="52"/>
      <c r="BC238" s="52"/>
      <c r="BD238" s="637"/>
      <c r="BE238" s="637"/>
      <c r="BF238" s="137">
        <f t="shared" si="11"/>
        <v>0</v>
      </c>
      <c r="BG238" s="43">
        <f t="shared" si="12"/>
        <v>0</v>
      </c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</row>
    <row r="239" spans="1:99" s="96" customFormat="1" ht="22.5" customHeight="1">
      <c r="A239" s="39"/>
      <c r="B239" s="51">
        <v>224</v>
      </c>
      <c r="C239" s="51" t="s">
        <v>39</v>
      </c>
      <c r="D239" s="42">
        <v>40008759</v>
      </c>
      <c r="E239" s="52" t="s">
        <v>2964</v>
      </c>
      <c r="F239" s="52" t="s">
        <v>317</v>
      </c>
      <c r="G239" s="56" t="s">
        <v>2686</v>
      </c>
      <c r="H239" s="52" t="s">
        <v>2861</v>
      </c>
      <c r="I239" s="52" t="s">
        <v>2537</v>
      </c>
      <c r="J239" s="636">
        <v>224049</v>
      </c>
      <c r="K239" s="52"/>
      <c r="L239" s="52"/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63486.635000000002</v>
      </c>
      <c r="U239" s="54">
        <v>0</v>
      </c>
      <c r="V239" s="54"/>
      <c r="W239" s="54"/>
      <c r="X239" s="54"/>
      <c r="Y239" s="54">
        <f t="shared" si="10"/>
        <v>63486.635000000002</v>
      </c>
      <c r="Z239" s="52">
        <v>1000</v>
      </c>
      <c r="AA239" s="52">
        <v>8</v>
      </c>
      <c r="AB239" s="637">
        <v>44252</v>
      </c>
      <c r="AC239" s="637">
        <v>44292</v>
      </c>
      <c r="AD239" s="52">
        <v>-1000</v>
      </c>
      <c r="AE239" s="52">
        <v>39</v>
      </c>
      <c r="AF239" s="637">
        <v>44358</v>
      </c>
      <c r="AG239" s="637">
        <v>44364</v>
      </c>
      <c r="AH239" s="52"/>
      <c r="AI239" s="52"/>
      <c r="AJ239" s="637"/>
      <c r="AK239" s="637"/>
      <c r="AL239" s="52"/>
      <c r="AM239" s="52"/>
      <c r="AN239" s="637"/>
      <c r="AO239" s="637"/>
      <c r="AP239" s="52"/>
      <c r="AQ239" s="52"/>
      <c r="AR239" s="637"/>
      <c r="AS239" s="637"/>
      <c r="AT239" s="52"/>
      <c r="AU239" s="52"/>
      <c r="AV239" s="637"/>
      <c r="AW239" s="637"/>
      <c r="AX239" s="52"/>
      <c r="AY239" s="52"/>
      <c r="AZ239" s="637"/>
      <c r="BA239" s="637"/>
      <c r="BB239" s="52"/>
      <c r="BC239" s="52"/>
      <c r="BD239" s="637"/>
      <c r="BE239" s="637"/>
      <c r="BF239" s="137">
        <f t="shared" si="11"/>
        <v>0</v>
      </c>
      <c r="BG239" s="43">
        <f t="shared" si="12"/>
        <v>-63486.635000000002</v>
      </c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</row>
    <row r="240" spans="1:99" s="96" customFormat="1" ht="22.5" customHeight="1">
      <c r="A240" s="39"/>
      <c r="B240" s="51">
        <v>225</v>
      </c>
      <c r="C240" s="51" t="s">
        <v>39</v>
      </c>
      <c r="D240" s="42">
        <v>40008761</v>
      </c>
      <c r="E240" s="52" t="s">
        <v>2965</v>
      </c>
      <c r="F240" s="52" t="s">
        <v>317</v>
      </c>
      <c r="G240" s="56" t="s">
        <v>2686</v>
      </c>
      <c r="H240" s="52" t="s">
        <v>2861</v>
      </c>
      <c r="I240" s="52" t="s">
        <v>2537</v>
      </c>
      <c r="J240" s="636">
        <v>89577</v>
      </c>
      <c r="K240" s="52"/>
      <c r="L240" s="52"/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13529.857</v>
      </c>
      <c r="U240" s="54">
        <v>0</v>
      </c>
      <c r="V240" s="54"/>
      <c r="W240" s="54"/>
      <c r="X240" s="54"/>
      <c r="Y240" s="54">
        <f t="shared" si="10"/>
        <v>13529.857</v>
      </c>
      <c r="Z240" s="52">
        <v>1000</v>
      </c>
      <c r="AA240" s="52">
        <v>8</v>
      </c>
      <c r="AB240" s="637">
        <v>44252</v>
      </c>
      <c r="AC240" s="637">
        <v>44292</v>
      </c>
      <c r="AD240" s="52">
        <v>-1000</v>
      </c>
      <c r="AE240" s="52">
        <v>39</v>
      </c>
      <c r="AF240" s="637">
        <v>44358</v>
      </c>
      <c r="AG240" s="637">
        <v>44364</v>
      </c>
      <c r="AH240" s="52"/>
      <c r="AI240" s="52"/>
      <c r="AJ240" s="637"/>
      <c r="AK240" s="637"/>
      <c r="AL240" s="52"/>
      <c r="AM240" s="52"/>
      <c r="AN240" s="637"/>
      <c r="AO240" s="637"/>
      <c r="AP240" s="52"/>
      <c r="AQ240" s="52"/>
      <c r="AR240" s="637"/>
      <c r="AS240" s="637"/>
      <c r="AT240" s="52"/>
      <c r="AU240" s="52"/>
      <c r="AV240" s="637"/>
      <c r="AW240" s="637"/>
      <c r="AX240" s="52"/>
      <c r="AY240" s="52"/>
      <c r="AZ240" s="637"/>
      <c r="BA240" s="637"/>
      <c r="BB240" s="52"/>
      <c r="BC240" s="52"/>
      <c r="BD240" s="637"/>
      <c r="BE240" s="637"/>
      <c r="BF240" s="137">
        <f t="shared" si="11"/>
        <v>0</v>
      </c>
      <c r="BG240" s="43">
        <f t="shared" si="12"/>
        <v>-13529.857</v>
      </c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</row>
    <row r="241" spans="1:99" s="96" customFormat="1" ht="33.75" customHeight="1">
      <c r="A241" s="39"/>
      <c r="B241" s="51">
        <v>226</v>
      </c>
      <c r="C241" s="51" t="s">
        <v>39</v>
      </c>
      <c r="D241" s="42">
        <v>40008770</v>
      </c>
      <c r="E241" s="52" t="s">
        <v>2966</v>
      </c>
      <c r="F241" s="52" t="s">
        <v>47</v>
      </c>
      <c r="G241" s="56" t="s">
        <v>2686</v>
      </c>
      <c r="H241" s="52" t="s">
        <v>2828</v>
      </c>
      <c r="I241" s="52" t="s">
        <v>2537</v>
      </c>
      <c r="J241" s="636">
        <v>57832</v>
      </c>
      <c r="K241" s="52"/>
      <c r="L241" s="52"/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/>
      <c r="W241" s="54"/>
      <c r="X241" s="54"/>
      <c r="Y241" s="54">
        <f t="shared" si="10"/>
        <v>0</v>
      </c>
      <c r="Z241" s="52">
        <v>1000</v>
      </c>
      <c r="AA241" s="52">
        <v>1</v>
      </c>
      <c r="AB241" s="637">
        <v>44207</v>
      </c>
      <c r="AC241" s="637">
        <v>44249</v>
      </c>
      <c r="AD241" s="52">
        <v>-1000</v>
      </c>
      <c r="AE241" s="52">
        <v>39</v>
      </c>
      <c r="AF241" s="637">
        <v>44358</v>
      </c>
      <c r="AG241" s="637">
        <v>44364</v>
      </c>
      <c r="AH241" s="52"/>
      <c r="AI241" s="52"/>
      <c r="AJ241" s="637"/>
      <c r="AK241" s="637"/>
      <c r="AL241" s="52"/>
      <c r="AM241" s="52"/>
      <c r="AN241" s="637"/>
      <c r="AO241" s="637"/>
      <c r="AP241" s="52"/>
      <c r="AQ241" s="52"/>
      <c r="AR241" s="637"/>
      <c r="AS241" s="637"/>
      <c r="AT241" s="52"/>
      <c r="AU241" s="52"/>
      <c r="AV241" s="637"/>
      <c r="AW241" s="637"/>
      <c r="AX241" s="52"/>
      <c r="AY241" s="52"/>
      <c r="AZ241" s="637"/>
      <c r="BA241" s="637"/>
      <c r="BB241" s="52"/>
      <c r="BC241" s="52"/>
      <c r="BD241" s="637"/>
      <c r="BE241" s="637"/>
      <c r="BF241" s="137">
        <f t="shared" si="11"/>
        <v>0</v>
      </c>
      <c r="BG241" s="43">
        <f t="shared" si="12"/>
        <v>0</v>
      </c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</row>
    <row r="242" spans="1:99" s="96" customFormat="1" ht="33.75" customHeight="1">
      <c r="A242" s="39"/>
      <c r="B242" s="51">
        <v>227</v>
      </c>
      <c r="C242" s="51" t="s">
        <v>39</v>
      </c>
      <c r="D242" s="42">
        <v>40008771</v>
      </c>
      <c r="E242" s="52" t="s">
        <v>2967</v>
      </c>
      <c r="F242" s="52" t="s">
        <v>83</v>
      </c>
      <c r="G242" s="56" t="s">
        <v>2686</v>
      </c>
      <c r="H242" s="52" t="s">
        <v>2828</v>
      </c>
      <c r="I242" s="52" t="s">
        <v>2537</v>
      </c>
      <c r="J242" s="636">
        <v>21594</v>
      </c>
      <c r="K242" s="52"/>
      <c r="L242" s="52"/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/>
      <c r="W242" s="54"/>
      <c r="X242" s="54"/>
      <c r="Y242" s="54">
        <f t="shared" si="10"/>
        <v>0</v>
      </c>
      <c r="Z242" s="52">
        <v>1000</v>
      </c>
      <c r="AA242" s="52">
        <v>1</v>
      </c>
      <c r="AB242" s="637">
        <v>44207</v>
      </c>
      <c r="AC242" s="637">
        <v>44249</v>
      </c>
      <c r="AD242" s="52">
        <v>-1000</v>
      </c>
      <c r="AE242" s="52">
        <v>39</v>
      </c>
      <c r="AF242" s="637">
        <v>44358</v>
      </c>
      <c r="AG242" s="637">
        <v>44364</v>
      </c>
      <c r="AH242" s="52"/>
      <c r="AI242" s="52"/>
      <c r="AJ242" s="637"/>
      <c r="AK242" s="637"/>
      <c r="AL242" s="52"/>
      <c r="AM242" s="52"/>
      <c r="AN242" s="637"/>
      <c r="AO242" s="637"/>
      <c r="AP242" s="52"/>
      <c r="AQ242" s="52"/>
      <c r="AR242" s="637"/>
      <c r="AS242" s="637"/>
      <c r="AT242" s="52"/>
      <c r="AU242" s="52"/>
      <c r="AV242" s="637"/>
      <c r="AW242" s="637"/>
      <c r="AX242" s="52"/>
      <c r="AY242" s="52"/>
      <c r="AZ242" s="637"/>
      <c r="BA242" s="637"/>
      <c r="BB242" s="52"/>
      <c r="BC242" s="52"/>
      <c r="BD242" s="637"/>
      <c r="BE242" s="637"/>
      <c r="BF242" s="137">
        <f t="shared" si="11"/>
        <v>0</v>
      </c>
      <c r="BG242" s="43">
        <f t="shared" si="12"/>
        <v>0</v>
      </c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</row>
    <row r="243" spans="1:99" s="96" customFormat="1" ht="33.75" customHeight="1">
      <c r="A243" s="39"/>
      <c r="B243" s="51">
        <v>228</v>
      </c>
      <c r="C243" s="51" t="s">
        <v>39</v>
      </c>
      <c r="D243" s="42">
        <v>40008772</v>
      </c>
      <c r="E243" s="52" t="s">
        <v>2968</v>
      </c>
      <c r="F243" s="52" t="s">
        <v>47</v>
      </c>
      <c r="G243" s="56" t="s">
        <v>2686</v>
      </c>
      <c r="H243" s="52" t="s">
        <v>2828</v>
      </c>
      <c r="I243" s="52" t="s">
        <v>2537</v>
      </c>
      <c r="J243" s="636">
        <v>131368</v>
      </c>
      <c r="K243" s="52"/>
      <c r="L243" s="52"/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/>
      <c r="W243" s="54"/>
      <c r="X243" s="54"/>
      <c r="Y243" s="54">
        <f t="shared" si="10"/>
        <v>0</v>
      </c>
      <c r="Z243" s="52">
        <v>1000</v>
      </c>
      <c r="AA243" s="52">
        <v>1</v>
      </c>
      <c r="AB243" s="637">
        <v>44207</v>
      </c>
      <c r="AC243" s="637">
        <v>44249</v>
      </c>
      <c r="AD243" s="52">
        <v>-1000</v>
      </c>
      <c r="AE243" s="52">
        <v>39</v>
      </c>
      <c r="AF243" s="637">
        <v>44358</v>
      </c>
      <c r="AG243" s="637">
        <v>44364</v>
      </c>
      <c r="AH243" s="52"/>
      <c r="AI243" s="52"/>
      <c r="AJ243" s="637"/>
      <c r="AK243" s="637"/>
      <c r="AL243" s="52"/>
      <c r="AM243" s="52"/>
      <c r="AN243" s="637"/>
      <c r="AO243" s="637"/>
      <c r="AP243" s="52"/>
      <c r="AQ243" s="52"/>
      <c r="AR243" s="637"/>
      <c r="AS243" s="637"/>
      <c r="AT243" s="52"/>
      <c r="AU243" s="52"/>
      <c r="AV243" s="637"/>
      <c r="AW243" s="637"/>
      <c r="AX243" s="52"/>
      <c r="AY243" s="52"/>
      <c r="AZ243" s="637"/>
      <c r="BA243" s="637"/>
      <c r="BB243" s="52"/>
      <c r="BC243" s="52"/>
      <c r="BD243" s="637"/>
      <c r="BE243" s="637"/>
      <c r="BF243" s="137">
        <f t="shared" si="11"/>
        <v>0</v>
      </c>
      <c r="BG243" s="43">
        <f t="shared" si="12"/>
        <v>0</v>
      </c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</row>
    <row r="244" spans="1:99" s="96" customFormat="1" ht="22.5" customHeight="1">
      <c r="A244" s="39"/>
      <c r="B244" s="51">
        <v>229</v>
      </c>
      <c r="C244" s="51" t="s">
        <v>39</v>
      </c>
      <c r="D244" s="42">
        <v>40008773</v>
      </c>
      <c r="E244" s="52" t="s">
        <v>2969</v>
      </c>
      <c r="F244" s="52" t="s">
        <v>317</v>
      </c>
      <c r="G244" s="56" t="s">
        <v>2686</v>
      </c>
      <c r="H244" s="52" t="s">
        <v>2828</v>
      </c>
      <c r="I244" s="52" t="s">
        <v>2537</v>
      </c>
      <c r="J244" s="636">
        <v>20341</v>
      </c>
      <c r="K244" s="52"/>
      <c r="L244" s="52"/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/>
      <c r="W244" s="54"/>
      <c r="X244" s="54"/>
      <c r="Y244" s="54">
        <f t="shared" si="10"/>
        <v>0</v>
      </c>
      <c r="Z244" s="52">
        <v>1000</v>
      </c>
      <c r="AA244" s="52">
        <v>1</v>
      </c>
      <c r="AB244" s="637">
        <v>44207</v>
      </c>
      <c r="AC244" s="637">
        <v>44249</v>
      </c>
      <c r="AD244" s="52">
        <v>-1000</v>
      </c>
      <c r="AE244" s="52">
        <v>39</v>
      </c>
      <c r="AF244" s="637">
        <v>44358</v>
      </c>
      <c r="AG244" s="637">
        <v>44364</v>
      </c>
      <c r="AH244" s="52"/>
      <c r="AI244" s="52"/>
      <c r="AJ244" s="637"/>
      <c r="AK244" s="637"/>
      <c r="AL244" s="52"/>
      <c r="AM244" s="52"/>
      <c r="AN244" s="637"/>
      <c r="AO244" s="637"/>
      <c r="AP244" s="52"/>
      <c r="AQ244" s="52"/>
      <c r="AR244" s="637"/>
      <c r="AS244" s="637"/>
      <c r="AT244" s="52"/>
      <c r="AU244" s="52"/>
      <c r="AV244" s="637"/>
      <c r="AW244" s="637"/>
      <c r="AX244" s="52"/>
      <c r="AY244" s="52"/>
      <c r="AZ244" s="637"/>
      <c r="BA244" s="637"/>
      <c r="BB244" s="52"/>
      <c r="BC244" s="52"/>
      <c r="BD244" s="637"/>
      <c r="BE244" s="637"/>
      <c r="BF244" s="137">
        <f t="shared" si="11"/>
        <v>0</v>
      </c>
      <c r="BG244" s="43">
        <f t="shared" si="12"/>
        <v>0</v>
      </c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</row>
    <row r="245" spans="1:99" s="96" customFormat="1" ht="45" customHeight="1">
      <c r="A245" s="39"/>
      <c r="B245" s="51">
        <v>230</v>
      </c>
      <c r="C245" s="51" t="s">
        <v>39</v>
      </c>
      <c r="D245" s="42">
        <v>40008808</v>
      </c>
      <c r="E245" s="52" t="s">
        <v>2970</v>
      </c>
      <c r="F245" s="52" t="s">
        <v>317</v>
      </c>
      <c r="G245" s="56" t="s">
        <v>2686</v>
      </c>
      <c r="H245" s="52" t="s">
        <v>2699</v>
      </c>
      <c r="I245" s="52" t="s">
        <v>2537</v>
      </c>
      <c r="J245" s="636">
        <v>219984</v>
      </c>
      <c r="K245" s="52"/>
      <c r="L245" s="52"/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/>
      <c r="W245" s="54"/>
      <c r="X245" s="54"/>
      <c r="Y245" s="54">
        <f t="shared" si="10"/>
        <v>0</v>
      </c>
      <c r="Z245" s="52">
        <v>1000</v>
      </c>
      <c r="AA245" s="52">
        <v>1</v>
      </c>
      <c r="AB245" s="637">
        <v>44207</v>
      </c>
      <c r="AC245" s="637">
        <v>44249</v>
      </c>
      <c r="AD245" s="52">
        <v>-1000</v>
      </c>
      <c r="AE245" s="52">
        <v>39</v>
      </c>
      <c r="AF245" s="637">
        <v>44358</v>
      </c>
      <c r="AG245" s="637">
        <v>44364</v>
      </c>
      <c r="AH245" s="52"/>
      <c r="AI245" s="52"/>
      <c r="AJ245" s="637"/>
      <c r="AK245" s="637"/>
      <c r="AL245" s="52"/>
      <c r="AM245" s="52"/>
      <c r="AN245" s="637"/>
      <c r="AO245" s="637"/>
      <c r="AP245" s="52"/>
      <c r="AQ245" s="52"/>
      <c r="AR245" s="637"/>
      <c r="AS245" s="637"/>
      <c r="AT245" s="52"/>
      <c r="AU245" s="52"/>
      <c r="AV245" s="637"/>
      <c r="AW245" s="637"/>
      <c r="AX245" s="52"/>
      <c r="AY245" s="52"/>
      <c r="AZ245" s="637"/>
      <c r="BA245" s="637"/>
      <c r="BB245" s="52"/>
      <c r="BC245" s="52"/>
      <c r="BD245" s="637"/>
      <c r="BE245" s="637"/>
      <c r="BF245" s="137">
        <f t="shared" si="11"/>
        <v>0</v>
      </c>
      <c r="BG245" s="43">
        <f t="shared" si="12"/>
        <v>0</v>
      </c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</row>
    <row r="246" spans="1:99" s="96" customFormat="1" ht="22.5" customHeight="1">
      <c r="A246" s="39"/>
      <c r="B246" s="51">
        <v>231</v>
      </c>
      <c r="C246" s="51" t="s">
        <v>39</v>
      </c>
      <c r="D246" s="42">
        <v>40008864</v>
      </c>
      <c r="E246" s="52" t="s">
        <v>2971</v>
      </c>
      <c r="F246" s="52" t="s">
        <v>317</v>
      </c>
      <c r="G246" s="56" t="s">
        <v>2686</v>
      </c>
      <c r="H246" s="52" t="s">
        <v>2832</v>
      </c>
      <c r="I246" s="52" t="s">
        <v>2537</v>
      </c>
      <c r="J246" s="636">
        <v>27308</v>
      </c>
      <c r="K246" s="52"/>
      <c r="L246" s="52"/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11842.87</v>
      </c>
      <c r="T246" s="54">
        <v>0</v>
      </c>
      <c r="U246" s="54">
        <v>0</v>
      </c>
      <c r="V246" s="54"/>
      <c r="W246" s="54"/>
      <c r="X246" s="54"/>
      <c r="Y246" s="54">
        <f t="shared" si="10"/>
        <v>11842.87</v>
      </c>
      <c r="Z246" s="52">
        <v>1000</v>
      </c>
      <c r="AA246" s="52">
        <v>8</v>
      </c>
      <c r="AB246" s="637">
        <v>44252</v>
      </c>
      <c r="AC246" s="637">
        <v>44292</v>
      </c>
      <c r="AD246" s="52">
        <v>11843</v>
      </c>
      <c r="AE246" s="52">
        <v>38</v>
      </c>
      <c r="AF246" s="637">
        <v>44358</v>
      </c>
      <c r="AG246" s="637">
        <v>44364</v>
      </c>
      <c r="AH246" s="52">
        <v>-1000</v>
      </c>
      <c r="AI246" s="52">
        <v>39</v>
      </c>
      <c r="AJ246" s="637">
        <v>44358</v>
      </c>
      <c r="AK246" s="637">
        <v>44364</v>
      </c>
      <c r="AL246" s="52"/>
      <c r="AM246" s="52"/>
      <c r="AN246" s="637"/>
      <c r="AO246" s="637"/>
      <c r="AP246" s="52"/>
      <c r="AQ246" s="52"/>
      <c r="AR246" s="637"/>
      <c r="AS246" s="637"/>
      <c r="AT246" s="52"/>
      <c r="AU246" s="52"/>
      <c r="AV246" s="637"/>
      <c r="AW246" s="637"/>
      <c r="AX246" s="52"/>
      <c r="AY246" s="52"/>
      <c r="AZ246" s="637"/>
      <c r="BA246" s="637"/>
      <c r="BB246" s="52"/>
      <c r="BC246" s="52"/>
      <c r="BD246" s="637"/>
      <c r="BE246" s="637"/>
      <c r="BF246" s="137">
        <f t="shared" si="11"/>
        <v>11843</v>
      </c>
      <c r="BG246" s="43">
        <f t="shared" si="12"/>
        <v>0.12999999999919964</v>
      </c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</row>
    <row r="247" spans="1:99" s="96" customFormat="1" ht="22.5" customHeight="1">
      <c r="A247" s="39"/>
      <c r="B247" s="51">
        <v>232</v>
      </c>
      <c r="C247" s="51" t="s">
        <v>39</v>
      </c>
      <c r="D247" s="42">
        <v>40008866</v>
      </c>
      <c r="E247" s="52" t="s">
        <v>2972</v>
      </c>
      <c r="F247" s="52" t="s">
        <v>47</v>
      </c>
      <c r="G247" s="56" t="s">
        <v>2686</v>
      </c>
      <c r="H247" s="52" t="s">
        <v>2832</v>
      </c>
      <c r="I247" s="52" t="s">
        <v>2537</v>
      </c>
      <c r="J247" s="636">
        <v>3328</v>
      </c>
      <c r="K247" s="52"/>
      <c r="L247" s="52"/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/>
      <c r="W247" s="54"/>
      <c r="X247" s="54"/>
      <c r="Y247" s="54">
        <f t="shared" si="10"/>
        <v>0</v>
      </c>
      <c r="Z247" s="52">
        <v>1000</v>
      </c>
      <c r="AA247" s="52">
        <v>1</v>
      </c>
      <c r="AB247" s="637">
        <v>44207</v>
      </c>
      <c r="AC247" s="637">
        <v>44249</v>
      </c>
      <c r="AD247" s="52">
        <v>-1000</v>
      </c>
      <c r="AE247" s="52">
        <v>39</v>
      </c>
      <c r="AF247" s="637">
        <v>44358</v>
      </c>
      <c r="AG247" s="637">
        <v>44364</v>
      </c>
      <c r="AH247" s="52"/>
      <c r="AI247" s="52"/>
      <c r="AJ247" s="637"/>
      <c r="AK247" s="637"/>
      <c r="AL247" s="52"/>
      <c r="AM247" s="52"/>
      <c r="AN247" s="637"/>
      <c r="AO247" s="637"/>
      <c r="AP247" s="52"/>
      <c r="AQ247" s="52"/>
      <c r="AR247" s="637"/>
      <c r="AS247" s="637"/>
      <c r="AT247" s="52"/>
      <c r="AU247" s="52"/>
      <c r="AV247" s="637"/>
      <c r="AW247" s="637"/>
      <c r="AX247" s="52"/>
      <c r="AY247" s="52"/>
      <c r="AZ247" s="637"/>
      <c r="BA247" s="637"/>
      <c r="BB247" s="52"/>
      <c r="BC247" s="52"/>
      <c r="BD247" s="637"/>
      <c r="BE247" s="637"/>
      <c r="BF247" s="137">
        <f t="shared" si="11"/>
        <v>0</v>
      </c>
      <c r="BG247" s="43">
        <f t="shared" si="12"/>
        <v>0</v>
      </c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</row>
    <row r="248" spans="1:99" s="96" customFormat="1" ht="33.75" customHeight="1">
      <c r="A248" s="39"/>
      <c r="B248" s="51">
        <v>233</v>
      </c>
      <c r="C248" s="51" t="s">
        <v>39</v>
      </c>
      <c r="D248" s="42">
        <v>40009176</v>
      </c>
      <c r="E248" s="52" t="s">
        <v>2973</v>
      </c>
      <c r="F248" s="52" t="s">
        <v>317</v>
      </c>
      <c r="G248" s="56" t="s">
        <v>2686</v>
      </c>
      <c r="H248" s="52" t="s">
        <v>2733</v>
      </c>
      <c r="I248" s="52" t="s">
        <v>2537</v>
      </c>
      <c r="J248" s="636">
        <v>339283</v>
      </c>
      <c r="K248" s="52"/>
      <c r="L248" s="52"/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/>
      <c r="W248" s="54"/>
      <c r="X248" s="54"/>
      <c r="Y248" s="54">
        <f t="shared" si="10"/>
        <v>0</v>
      </c>
      <c r="Z248" s="52">
        <v>1000</v>
      </c>
      <c r="AA248" s="52">
        <v>1</v>
      </c>
      <c r="AB248" s="637">
        <v>44207</v>
      </c>
      <c r="AC248" s="637">
        <v>44249</v>
      </c>
      <c r="AD248" s="52">
        <v>-1000</v>
      </c>
      <c r="AE248" s="52">
        <v>39</v>
      </c>
      <c r="AF248" s="637">
        <v>44358</v>
      </c>
      <c r="AG248" s="637">
        <v>44364</v>
      </c>
      <c r="AH248" s="52"/>
      <c r="AI248" s="52"/>
      <c r="AJ248" s="637"/>
      <c r="AK248" s="637"/>
      <c r="AL248" s="52"/>
      <c r="AM248" s="52"/>
      <c r="AN248" s="637"/>
      <c r="AO248" s="637"/>
      <c r="AP248" s="52"/>
      <c r="AQ248" s="52"/>
      <c r="AR248" s="637"/>
      <c r="AS248" s="637"/>
      <c r="AT248" s="52"/>
      <c r="AU248" s="52"/>
      <c r="AV248" s="637"/>
      <c r="AW248" s="637"/>
      <c r="AX248" s="52"/>
      <c r="AY248" s="52"/>
      <c r="AZ248" s="637"/>
      <c r="BA248" s="637"/>
      <c r="BB248" s="52"/>
      <c r="BC248" s="52"/>
      <c r="BD248" s="637"/>
      <c r="BE248" s="637"/>
      <c r="BF248" s="137">
        <f t="shared" si="11"/>
        <v>0</v>
      </c>
      <c r="BG248" s="43">
        <f t="shared" si="12"/>
        <v>0</v>
      </c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</row>
    <row r="249" spans="1:99" s="96" customFormat="1" ht="22.5" customHeight="1">
      <c r="A249" s="39"/>
      <c r="B249" s="51">
        <v>234</v>
      </c>
      <c r="C249" s="51" t="s">
        <v>39</v>
      </c>
      <c r="D249" s="42">
        <v>40009221</v>
      </c>
      <c r="E249" s="52" t="s">
        <v>2974</v>
      </c>
      <c r="F249" s="52" t="s">
        <v>317</v>
      </c>
      <c r="G249" s="56" t="s">
        <v>2686</v>
      </c>
      <c r="H249" s="52" t="s">
        <v>2795</v>
      </c>
      <c r="I249" s="52" t="s">
        <v>2537</v>
      </c>
      <c r="J249" s="636">
        <v>1931437</v>
      </c>
      <c r="K249" s="52"/>
      <c r="L249" s="52"/>
      <c r="M249" s="54">
        <v>516560.66399999999</v>
      </c>
      <c r="N249" s="54">
        <v>0</v>
      </c>
      <c r="O249" s="54">
        <v>478876.87599999999</v>
      </c>
      <c r="P249" s="54">
        <v>167032.18700000001</v>
      </c>
      <c r="Q249" s="54">
        <v>232510.96900000001</v>
      </c>
      <c r="R249" s="54">
        <v>186914.60800000001</v>
      </c>
      <c r="S249" s="54">
        <v>162899.77600000001</v>
      </c>
      <c r="T249" s="54">
        <v>0</v>
      </c>
      <c r="U249" s="54">
        <v>166634.44</v>
      </c>
      <c r="V249" s="54"/>
      <c r="W249" s="54"/>
      <c r="X249" s="54"/>
      <c r="Y249" s="54">
        <f t="shared" si="10"/>
        <v>1911429.52</v>
      </c>
      <c r="Z249" s="52">
        <v>900000</v>
      </c>
      <c r="AA249" s="52">
        <v>4</v>
      </c>
      <c r="AB249" s="637">
        <v>44221</v>
      </c>
      <c r="AC249" s="637">
        <v>44280</v>
      </c>
      <c r="AD249" s="52">
        <v>250000</v>
      </c>
      <c r="AE249" s="52">
        <v>10</v>
      </c>
      <c r="AF249" s="637">
        <v>44286</v>
      </c>
      <c r="AG249" s="637">
        <v>44306</v>
      </c>
      <c r="AH249" s="52">
        <v>400000</v>
      </c>
      <c r="AI249" s="52">
        <v>14</v>
      </c>
      <c r="AJ249" s="637">
        <v>44313</v>
      </c>
      <c r="AK249" s="637">
        <v>44322</v>
      </c>
      <c r="AL249" s="52">
        <v>31896</v>
      </c>
      <c r="AM249" s="52">
        <v>26</v>
      </c>
      <c r="AN249" s="637">
        <v>44358</v>
      </c>
      <c r="AO249" s="637">
        <v>44364</v>
      </c>
      <c r="AP249" s="52">
        <v>162900</v>
      </c>
      <c r="AQ249" s="52">
        <v>38</v>
      </c>
      <c r="AR249" s="637">
        <v>44358</v>
      </c>
      <c r="AS249" s="637">
        <v>44364</v>
      </c>
      <c r="AT249" s="52"/>
      <c r="AU249" s="52"/>
      <c r="AV249" s="637"/>
      <c r="AW249" s="637"/>
      <c r="AX249" s="52"/>
      <c r="AY249" s="52"/>
      <c r="AZ249" s="637"/>
      <c r="BA249" s="637"/>
      <c r="BB249" s="52"/>
      <c r="BC249" s="52"/>
      <c r="BD249" s="637"/>
      <c r="BE249" s="637"/>
      <c r="BF249" s="137">
        <f t="shared" si="11"/>
        <v>1744796</v>
      </c>
      <c r="BG249" s="43">
        <f t="shared" si="12"/>
        <v>-166633.52000000002</v>
      </c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</row>
    <row r="250" spans="1:99" s="96" customFormat="1" ht="22.5" customHeight="1">
      <c r="A250" s="39"/>
      <c r="B250" s="51">
        <v>235</v>
      </c>
      <c r="C250" s="51" t="s">
        <v>39</v>
      </c>
      <c r="D250" s="42">
        <v>40009323</v>
      </c>
      <c r="E250" s="52" t="s">
        <v>2975</v>
      </c>
      <c r="F250" s="52" t="s">
        <v>317</v>
      </c>
      <c r="G250" s="56" t="s">
        <v>2686</v>
      </c>
      <c r="H250" s="52" t="s">
        <v>2718</v>
      </c>
      <c r="I250" s="52" t="s">
        <v>2537</v>
      </c>
      <c r="J250" s="636">
        <v>71861</v>
      </c>
      <c r="K250" s="52"/>
      <c r="L250" s="52"/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16997.329000000002</v>
      </c>
      <c r="S250" s="54">
        <v>44744.231</v>
      </c>
      <c r="T250" s="54">
        <v>60731.341</v>
      </c>
      <c r="U250" s="54">
        <v>0</v>
      </c>
      <c r="V250" s="54"/>
      <c r="W250" s="54"/>
      <c r="X250" s="54"/>
      <c r="Y250" s="54">
        <f t="shared" si="10"/>
        <v>122472.901</v>
      </c>
      <c r="Z250" s="52">
        <v>1000</v>
      </c>
      <c r="AA250" s="52">
        <v>1</v>
      </c>
      <c r="AB250" s="637">
        <v>44207</v>
      </c>
      <c r="AC250" s="637">
        <v>44249</v>
      </c>
      <c r="AD250" s="52">
        <v>15998</v>
      </c>
      <c r="AE250" s="52">
        <v>26</v>
      </c>
      <c r="AF250" s="637">
        <v>44358</v>
      </c>
      <c r="AG250" s="637">
        <v>44364</v>
      </c>
      <c r="AH250" s="52">
        <v>44744</v>
      </c>
      <c r="AI250" s="52">
        <v>38</v>
      </c>
      <c r="AJ250" s="637">
        <v>44358</v>
      </c>
      <c r="AK250" s="637">
        <v>44364</v>
      </c>
      <c r="AL250" s="52"/>
      <c r="AM250" s="52"/>
      <c r="AN250" s="637"/>
      <c r="AO250" s="637"/>
      <c r="AP250" s="52"/>
      <c r="AQ250" s="52"/>
      <c r="AR250" s="637"/>
      <c r="AS250" s="637"/>
      <c r="AT250" s="52"/>
      <c r="AU250" s="52"/>
      <c r="AV250" s="637"/>
      <c r="AW250" s="637"/>
      <c r="AX250" s="52"/>
      <c r="AY250" s="52"/>
      <c r="AZ250" s="637"/>
      <c r="BA250" s="637"/>
      <c r="BB250" s="52"/>
      <c r="BC250" s="52"/>
      <c r="BD250" s="637"/>
      <c r="BE250" s="637"/>
      <c r="BF250" s="137">
        <f t="shared" si="11"/>
        <v>61742</v>
      </c>
      <c r="BG250" s="43">
        <f t="shared" si="12"/>
        <v>-60730.900999999998</v>
      </c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</row>
    <row r="251" spans="1:99" s="96" customFormat="1" ht="22.5" customHeight="1">
      <c r="A251" s="39"/>
      <c r="B251" s="51">
        <v>236</v>
      </c>
      <c r="C251" s="51" t="s">
        <v>39</v>
      </c>
      <c r="D251" s="42">
        <v>40009595</v>
      </c>
      <c r="E251" s="52" t="s">
        <v>2976</v>
      </c>
      <c r="F251" s="52" t="s">
        <v>317</v>
      </c>
      <c r="G251" s="56" t="s">
        <v>2686</v>
      </c>
      <c r="H251" s="52" t="s">
        <v>2729</v>
      </c>
      <c r="I251" s="52" t="s">
        <v>2537</v>
      </c>
      <c r="J251" s="636">
        <v>1099048</v>
      </c>
      <c r="K251" s="52"/>
      <c r="L251" s="52"/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360251.11</v>
      </c>
      <c r="V251" s="54"/>
      <c r="W251" s="54"/>
      <c r="X251" s="54"/>
      <c r="Y251" s="54">
        <f t="shared" si="10"/>
        <v>360251.11</v>
      </c>
      <c r="Z251" s="52">
        <v>1000</v>
      </c>
      <c r="AA251" s="52">
        <v>1</v>
      </c>
      <c r="AB251" s="637">
        <v>44207</v>
      </c>
      <c r="AC251" s="637">
        <v>44249</v>
      </c>
      <c r="AD251" s="52">
        <v>-1000</v>
      </c>
      <c r="AE251" s="52">
        <v>39</v>
      </c>
      <c r="AF251" s="637">
        <v>44358</v>
      </c>
      <c r="AG251" s="637">
        <v>44364</v>
      </c>
      <c r="AH251" s="52"/>
      <c r="AI251" s="52"/>
      <c r="AJ251" s="637"/>
      <c r="AK251" s="637"/>
      <c r="AL251" s="52"/>
      <c r="AM251" s="52"/>
      <c r="AN251" s="637"/>
      <c r="AO251" s="637"/>
      <c r="AP251" s="52"/>
      <c r="AQ251" s="52"/>
      <c r="AR251" s="637"/>
      <c r="AS251" s="637"/>
      <c r="AT251" s="52"/>
      <c r="AU251" s="52"/>
      <c r="AV251" s="637"/>
      <c r="AW251" s="637"/>
      <c r="AX251" s="52"/>
      <c r="AY251" s="52"/>
      <c r="AZ251" s="637"/>
      <c r="BA251" s="637"/>
      <c r="BB251" s="52"/>
      <c r="BC251" s="52"/>
      <c r="BD251" s="637"/>
      <c r="BE251" s="637"/>
      <c r="BF251" s="137">
        <f t="shared" si="11"/>
        <v>0</v>
      </c>
      <c r="BG251" s="43">
        <f t="shared" si="12"/>
        <v>-360251.11</v>
      </c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</row>
    <row r="252" spans="1:99" s="96" customFormat="1" ht="22.5" customHeight="1">
      <c r="A252" s="39"/>
      <c r="B252" s="51">
        <v>237</v>
      </c>
      <c r="C252" s="51" t="s">
        <v>39</v>
      </c>
      <c r="D252" s="42">
        <v>40009877</v>
      </c>
      <c r="E252" s="52" t="s">
        <v>2977</v>
      </c>
      <c r="F252" s="52" t="s">
        <v>317</v>
      </c>
      <c r="G252" s="56" t="s">
        <v>2686</v>
      </c>
      <c r="H252" s="52" t="s">
        <v>2777</v>
      </c>
      <c r="I252" s="52" t="s">
        <v>2537</v>
      </c>
      <c r="J252" s="636">
        <v>862526</v>
      </c>
      <c r="K252" s="52"/>
      <c r="L252" s="52"/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/>
      <c r="W252" s="54"/>
      <c r="X252" s="54"/>
      <c r="Y252" s="54">
        <f t="shared" si="10"/>
        <v>0</v>
      </c>
      <c r="Z252" s="52">
        <v>1000</v>
      </c>
      <c r="AA252" s="52">
        <v>1</v>
      </c>
      <c r="AB252" s="637">
        <v>44207</v>
      </c>
      <c r="AC252" s="637">
        <v>44249</v>
      </c>
      <c r="AD252" s="52">
        <v>-1000</v>
      </c>
      <c r="AE252" s="52">
        <v>39</v>
      </c>
      <c r="AF252" s="637">
        <v>44358</v>
      </c>
      <c r="AG252" s="637">
        <v>44364</v>
      </c>
      <c r="AH252" s="52"/>
      <c r="AI252" s="52"/>
      <c r="AJ252" s="637"/>
      <c r="AK252" s="637"/>
      <c r="AL252" s="52"/>
      <c r="AM252" s="52"/>
      <c r="AN252" s="637"/>
      <c r="AO252" s="637"/>
      <c r="AP252" s="52"/>
      <c r="AQ252" s="52"/>
      <c r="AR252" s="637"/>
      <c r="AS252" s="637"/>
      <c r="AT252" s="52"/>
      <c r="AU252" s="52"/>
      <c r="AV252" s="637"/>
      <c r="AW252" s="637"/>
      <c r="AX252" s="52"/>
      <c r="AY252" s="52"/>
      <c r="AZ252" s="637"/>
      <c r="BA252" s="637"/>
      <c r="BB252" s="52"/>
      <c r="BC252" s="52"/>
      <c r="BD252" s="637"/>
      <c r="BE252" s="637"/>
      <c r="BF252" s="137">
        <f t="shared" si="11"/>
        <v>0</v>
      </c>
      <c r="BG252" s="43">
        <f t="shared" si="12"/>
        <v>0</v>
      </c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</row>
    <row r="253" spans="1:99" s="96" customFormat="1" ht="22.5" customHeight="1">
      <c r="A253" s="39"/>
      <c r="B253" s="51">
        <v>238</v>
      </c>
      <c r="C253" s="51" t="s">
        <v>39</v>
      </c>
      <c r="D253" s="42">
        <v>40009952</v>
      </c>
      <c r="E253" s="52" t="s">
        <v>2978</v>
      </c>
      <c r="F253" s="52" t="s">
        <v>317</v>
      </c>
      <c r="G253" s="56" t="s">
        <v>2686</v>
      </c>
      <c r="H253" s="52" t="s">
        <v>2861</v>
      </c>
      <c r="I253" s="52" t="s">
        <v>2537</v>
      </c>
      <c r="J253" s="636">
        <v>891874</v>
      </c>
      <c r="K253" s="52"/>
      <c r="L253" s="52"/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/>
      <c r="W253" s="54"/>
      <c r="X253" s="54"/>
      <c r="Y253" s="54">
        <f t="shared" si="10"/>
        <v>0</v>
      </c>
      <c r="Z253" s="52">
        <v>1000</v>
      </c>
      <c r="AA253" s="52">
        <v>1</v>
      </c>
      <c r="AB253" s="637">
        <v>44207</v>
      </c>
      <c r="AC253" s="637">
        <v>44249</v>
      </c>
      <c r="AD253" s="52">
        <v>-1000</v>
      </c>
      <c r="AE253" s="52">
        <v>39</v>
      </c>
      <c r="AF253" s="637">
        <v>44358</v>
      </c>
      <c r="AG253" s="637">
        <v>44364</v>
      </c>
      <c r="AH253" s="52"/>
      <c r="AI253" s="52"/>
      <c r="AJ253" s="637"/>
      <c r="AK253" s="637"/>
      <c r="AL253" s="52"/>
      <c r="AM253" s="52"/>
      <c r="AN253" s="637"/>
      <c r="AO253" s="637"/>
      <c r="AP253" s="52"/>
      <c r="AQ253" s="52"/>
      <c r="AR253" s="637"/>
      <c r="AS253" s="637"/>
      <c r="AT253" s="52"/>
      <c r="AU253" s="52"/>
      <c r="AV253" s="637"/>
      <c r="AW253" s="637"/>
      <c r="AX253" s="52"/>
      <c r="AY253" s="52"/>
      <c r="AZ253" s="637"/>
      <c r="BA253" s="637"/>
      <c r="BB253" s="52"/>
      <c r="BC253" s="52"/>
      <c r="BD253" s="637"/>
      <c r="BE253" s="637"/>
      <c r="BF253" s="137">
        <f t="shared" si="11"/>
        <v>0</v>
      </c>
      <c r="BG253" s="43">
        <f t="shared" si="12"/>
        <v>0</v>
      </c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</row>
    <row r="254" spans="1:99" s="96" customFormat="1" ht="33.75" customHeight="1">
      <c r="A254" s="39"/>
      <c r="B254" s="51">
        <v>239</v>
      </c>
      <c r="C254" s="51" t="s">
        <v>39</v>
      </c>
      <c r="D254" s="42">
        <v>40009964</v>
      </c>
      <c r="E254" s="52" t="s">
        <v>2979</v>
      </c>
      <c r="F254" s="52" t="s">
        <v>47</v>
      </c>
      <c r="G254" s="56" t="s">
        <v>2686</v>
      </c>
      <c r="H254" s="52" t="s">
        <v>2744</v>
      </c>
      <c r="I254" s="52" t="s">
        <v>2537</v>
      </c>
      <c r="J254" s="636">
        <v>29740</v>
      </c>
      <c r="K254" s="52"/>
      <c r="L254" s="52"/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/>
      <c r="W254" s="54"/>
      <c r="X254" s="54"/>
      <c r="Y254" s="54">
        <f t="shared" si="10"/>
        <v>0</v>
      </c>
      <c r="Z254" s="52">
        <v>1000</v>
      </c>
      <c r="AA254" s="52">
        <v>8</v>
      </c>
      <c r="AB254" s="637">
        <v>44252</v>
      </c>
      <c r="AC254" s="637">
        <v>44292</v>
      </c>
      <c r="AD254" s="52">
        <v>-1000</v>
      </c>
      <c r="AE254" s="52">
        <v>39</v>
      </c>
      <c r="AF254" s="637">
        <v>44358</v>
      </c>
      <c r="AG254" s="637">
        <v>44364</v>
      </c>
      <c r="AH254" s="52"/>
      <c r="AI254" s="52"/>
      <c r="AJ254" s="637"/>
      <c r="AK254" s="637"/>
      <c r="AL254" s="52"/>
      <c r="AM254" s="52"/>
      <c r="AN254" s="637"/>
      <c r="AO254" s="637"/>
      <c r="AP254" s="52"/>
      <c r="AQ254" s="52"/>
      <c r="AR254" s="637"/>
      <c r="AS254" s="637"/>
      <c r="AT254" s="52"/>
      <c r="AU254" s="52"/>
      <c r="AV254" s="637"/>
      <c r="AW254" s="637"/>
      <c r="AX254" s="52"/>
      <c r="AY254" s="52"/>
      <c r="AZ254" s="637"/>
      <c r="BA254" s="637"/>
      <c r="BB254" s="52"/>
      <c r="BC254" s="52"/>
      <c r="BD254" s="637"/>
      <c r="BE254" s="637"/>
      <c r="BF254" s="137">
        <f t="shared" si="11"/>
        <v>0</v>
      </c>
      <c r="BG254" s="43">
        <f t="shared" si="12"/>
        <v>0</v>
      </c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</row>
    <row r="255" spans="1:99" s="96" customFormat="1" ht="22.5" customHeight="1">
      <c r="A255" s="39"/>
      <c r="B255" s="51">
        <v>240</v>
      </c>
      <c r="C255" s="51" t="s">
        <v>39</v>
      </c>
      <c r="D255" s="42">
        <v>40009971</v>
      </c>
      <c r="E255" s="52" t="s">
        <v>2980</v>
      </c>
      <c r="F255" s="52" t="s">
        <v>317</v>
      </c>
      <c r="G255" s="56" t="s">
        <v>2686</v>
      </c>
      <c r="H255" s="52" t="s">
        <v>2720</v>
      </c>
      <c r="I255" s="52" t="s">
        <v>2537</v>
      </c>
      <c r="J255" s="636">
        <v>71575</v>
      </c>
      <c r="K255" s="52"/>
      <c r="L255" s="52"/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/>
      <c r="W255" s="54"/>
      <c r="X255" s="54"/>
      <c r="Y255" s="54">
        <f t="shared" si="10"/>
        <v>0</v>
      </c>
      <c r="Z255" s="52">
        <v>1000</v>
      </c>
      <c r="AA255" s="52">
        <v>1</v>
      </c>
      <c r="AB255" s="637">
        <v>44207</v>
      </c>
      <c r="AC255" s="637">
        <v>44249</v>
      </c>
      <c r="AD255" s="52">
        <v>-1000</v>
      </c>
      <c r="AE255" s="52">
        <v>39</v>
      </c>
      <c r="AF255" s="637">
        <v>44358</v>
      </c>
      <c r="AG255" s="637">
        <v>44364</v>
      </c>
      <c r="AH255" s="52"/>
      <c r="AI255" s="52"/>
      <c r="AJ255" s="637"/>
      <c r="AK255" s="637"/>
      <c r="AL255" s="52"/>
      <c r="AM255" s="52"/>
      <c r="AN255" s="637"/>
      <c r="AO255" s="637"/>
      <c r="AP255" s="52"/>
      <c r="AQ255" s="52"/>
      <c r="AR255" s="637"/>
      <c r="AS255" s="637"/>
      <c r="AT255" s="52"/>
      <c r="AU255" s="52"/>
      <c r="AV255" s="637"/>
      <c r="AW255" s="637"/>
      <c r="AX255" s="52"/>
      <c r="AY255" s="52"/>
      <c r="AZ255" s="637"/>
      <c r="BA255" s="637"/>
      <c r="BB255" s="52"/>
      <c r="BC255" s="52"/>
      <c r="BD255" s="637"/>
      <c r="BE255" s="637"/>
      <c r="BF255" s="137">
        <f t="shared" si="11"/>
        <v>0</v>
      </c>
      <c r="BG255" s="43">
        <f t="shared" si="12"/>
        <v>0</v>
      </c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</row>
    <row r="256" spans="1:99" s="96" customFormat="1" ht="22.5" customHeight="1">
      <c r="A256" s="39"/>
      <c r="B256" s="51">
        <v>241</v>
      </c>
      <c r="C256" s="51" t="s">
        <v>39</v>
      </c>
      <c r="D256" s="42">
        <v>40010289</v>
      </c>
      <c r="E256" s="52" t="s">
        <v>2981</v>
      </c>
      <c r="F256" s="52" t="s">
        <v>317</v>
      </c>
      <c r="G256" s="56" t="s">
        <v>2686</v>
      </c>
      <c r="H256" s="52" t="s">
        <v>2982</v>
      </c>
      <c r="I256" s="52" t="s">
        <v>2537</v>
      </c>
      <c r="J256" s="636">
        <v>468570</v>
      </c>
      <c r="K256" s="52"/>
      <c r="L256" s="52"/>
      <c r="M256" s="54">
        <v>0</v>
      </c>
      <c r="N256" s="54">
        <v>179892.639</v>
      </c>
      <c r="O256" s="54">
        <v>2175.9830000000002</v>
      </c>
      <c r="P256" s="54">
        <v>120639.79300000001</v>
      </c>
      <c r="Q256" s="54">
        <v>1523.2560000000001</v>
      </c>
      <c r="R256" s="54">
        <v>0</v>
      </c>
      <c r="S256" s="54">
        <v>107309.603</v>
      </c>
      <c r="T256" s="54">
        <v>0</v>
      </c>
      <c r="U256" s="54">
        <v>0</v>
      </c>
      <c r="V256" s="54"/>
      <c r="W256" s="54"/>
      <c r="X256" s="54"/>
      <c r="Y256" s="54">
        <f t="shared" si="10"/>
        <v>411541.27400000003</v>
      </c>
      <c r="Z256" s="52">
        <v>381351</v>
      </c>
      <c r="AA256" s="52">
        <v>8</v>
      </c>
      <c r="AB256" s="637">
        <v>44252</v>
      </c>
      <c r="AC256" s="637">
        <v>44292</v>
      </c>
      <c r="AD256" s="52">
        <v>3752</v>
      </c>
      <c r="AE256" s="52">
        <v>11</v>
      </c>
      <c r="AF256" s="637">
        <v>44299</v>
      </c>
      <c r="AG256" s="637">
        <v>44312</v>
      </c>
      <c r="AH256" s="52">
        <v>26490</v>
      </c>
      <c r="AI256" s="52">
        <v>38</v>
      </c>
      <c r="AJ256" s="637">
        <v>44358</v>
      </c>
      <c r="AK256" s="637">
        <v>44364</v>
      </c>
      <c r="AL256" s="52">
        <v>38960</v>
      </c>
      <c r="AM256" s="52">
        <v>40</v>
      </c>
      <c r="AN256" s="637">
        <v>44358</v>
      </c>
      <c r="AO256" s="637">
        <v>44364</v>
      </c>
      <c r="AP256" s="52"/>
      <c r="AQ256" s="52"/>
      <c r="AR256" s="637"/>
      <c r="AS256" s="637"/>
      <c r="AT256" s="52"/>
      <c r="AU256" s="52"/>
      <c r="AV256" s="637"/>
      <c r="AW256" s="637"/>
      <c r="AX256" s="52"/>
      <c r="AY256" s="52"/>
      <c r="AZ256" s="637"/>
      <c r="BA256" s="637"/>
      <c r="BB256" s="52"/>
      <c r="BC256" s="52"/>
      <c r="BD256" s="637"/>
      <c r="BE256" s="637"/>
      <c r="BF256" s="137">
        <f t="shared" si="11"/>
        <v>450553</v>
      </c>
      <c r="BG256" s="43">
        <f t="shared" si="12"/>
        <v>39011.725999999966</v>
      </c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</row>
    <row r="257" spans="1:99" s="96" customFormat="1" ht="33.75" customHeight="1">
      <c r="A257" s="39"/>
      <c r="B257" s="51">
        <v>242</v>
      </c>
      <c r="C257" s="51" t="s">
        <v>39</v>
      </c>
      <c r="D257" s="42">
        <v>40010354</v>
      </c>
      <c r="E257" s="52" t="s">
        <v>2983</v>
      </c>
      <c r="F257" s="52" t="s">
        <v>317</v>
      </c>
      <c r="G257" s="56" t="s">
        <v>2686</v>
      </c>
      <c r="H257" s="52" t="s">
        <v>2727</v>
      </c>
      <c r="I257" s="52" t="s">
        <v>2537</v>
      </c>
      <c r="J257" s="636">
        <v>612772</v>
      </c>
      <c r="K257" s="52"/>
      <c r="L257" s="52"/>
      <c r="M257" s="54">
        <v>0</v>
      </c>
      <c r="N257" s="54">
        <v>0</v>
      </c>
      <c r="O257" s="54">
        <v>0</v>
      </c>
      <c r="P257" s="54">
        <v>0</v>
      </c>
      <c r="Q257" s="54">
        <v>28977.195</v>
      </c>
      <c r="R257" s="54">
        <v>259460.826</v>
      </c>
      <c r="S257" s="54">
        <v>0</v>
      </c>
      <c r="T257" s="54">
        <v>41601.218999999997</v>
      </c>
      <c r="U257" s="54">
        <v>0</v>
      </c>
      <c r="V257" s="54"/>
      <c r="W257" s="54"/>
      <c r="X257" s="54"/>
      <c r="Y257" s="54">
        <f t="shared" si="10"/>
        <v>330039.24</v>
      </c>
      <c r="Z257" s="52">
        <v>1000</v>
      </c>
      <c r="AA257" s="52">
        <v>1</v>
      </c>
      <c r="AB257" s="637">
        <v>44207</v>
      </c>
      <c r="AC257" s="637">
        <v>44249</v>
      </c>
      <c r="AD257" s="52">
        <v>120000</v>
      </c>
      <c r="AE257" s="52">
        <v>23</v>
      </c>
      <c r="AF257" s="637">
        <v>44340</v>
      </c>
      <c r="AG257" s="637">
        <v>44350</v>
      </c>
      <c r="AH257" s="52">
        <v>220000</v>
      </c>
      <c r="AI257" s="52">
        <v>26</v>
      </c>
      <c r="AJ257" s="637">
        <v>44358</v>
      </c>
      <c r="AK257" s="637">
        <v>44364</v>
      </c>
      <c r="AL257" s="52"/>
      <c r="AM257" s="52"/>
      <c r="AN257" s="637"/>
      <c r="AO257" s="637"/>
      <c r="AP257" s="52"/>
      <c r="AQ257" s="52"/>
      <c r="AR257" s="637"/>
      <c r="AS257" s="637"/>
      <c r="AT257" s="52"/>
      <c r="AU257" s="52"/>
      <c r="AV257" s="637"/>
      <c r="AW257" s="637"/>
      <c r="AX257" s="52"/>
      <c r="AY257" s="52"/>
      <c r="AZ257" s="637"/>
      <c r="BA257" s="637"/>
      <c r="BB257" s="52"/>
      <c r="BC257" s="52"/>
      <c r="BD257" s="637"/>
      <c r="BE257" s="637"/>
      <c r="BF257" s="137">
        <f t="shared" si="11"/>
        <v>341000</v>
      </c>
      <c r="BG257" s="43">
        <f t="shared" si="12"/>
        <v>10960.760000000009</v>
      </c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</row>
    <row r="258" spans="1:99" s="96" customFormat="1" ht="45" customHeight="1">
      <c r="A258" s="39"/>
      <c r="B258" s="51">
        <v>243</v>
      </c>
      <c r="C258" s="51" t="s">
        <v>39</v>
      </c>
      <c r="D258" s="42">
        <v>40010467</v>
      </c>
      <c r="E258" s="52" t="s">
        <v>2984</v>
      </c>
      <c r="F258" s="52" t="s">
        <v>317</v>
      </c>
      <c r="G258" s="56" t="s">
        <v>2686</v>
      </c>
      <c r="H258" s="52" t="s">
        <v>2699</v>
      </c>
      <c r="I258" s="52" t="s">
        <v>2537</v>
      </c>
      <c r="J258" s="636">
        <v>553436</v>
      </c>
      <c r="K258" s="52"/>
      <c r="L258" s="52"/>
      <c r="M258" s="54">
        <v>35603.464999999997</v>
      </c>
      <c r="N258" s="54">
        <v>0</v>
      </c>
      <c r="O258" s="54">
        <v>40727.517999999996</v>
      </c>
      <c r="P258" s="54">
        <v>92978.152000000002</v>
      </c>
      <c r="Q258" s="54">
        <v>55626.792000000001</v>
      </c>
      <c r="R258" s="54">
        <v>72027.433000000005</v>
      </c>
      <c r="S258" s="54">
        <v>61250.277000000002</v>
      </c>
      <c r="T258" s="54">
        <v>62988.864999999998</v>
      </c>
      <c r="U258" s="54">
        <v>0</v>
      </c>
      <c r="V258" s="54"/>
      <c r="W258" s="54"/>
      <c r="X258" s="54"/>
      <c r="Y258" s="54">
        <f t="shared" si="10"/>
        <v>421202.50200000004</v>
      </c>
      <c r="Z258" s="52">
        <v>206000</v>
      </c>
      <c r="AA258" s="52">
        <v>4</v>
      </c>
      <c r="AB258" s="637">
        <v>44221</v>
      </c>
      <c r="AC258" s="637">
        <v>44280</v>
      </c>
      <c r="AD258" s="52">
        <v>4330</v>
      </c>
      <c r="AE258" s="52">
        <v>14</v>
      </c>
      <c r="AF258" s="637">
        <v>44313</v>
      </c>
      <c r="AG258" s="637">
        <v>44322</v>
      </c>
      <c r="AH258" s="52">
        <v>120000</v>
      </c>
      <c r="AI258" s="52">
        <v>23</v>
      </c>
      <c r="AJ258" s="637">
        <v>44340</v>
      </c>
      <c r="AK258" s="637">
        <v>44350</v>
      </c>
      <c r="AL258" s="52">
        <v>5670</v>
      </c>
      <c r="AM258" s="52">
        <v>26</v>
      </c>
      <c r="AN258" s="637">
        <v>44358</v>
      </c>
      <c r="AO258" s="637">
        <v>44364</v>
      </c>
      <c r="AP258" s="52">
        <v>24214</v>
      </c>
      <c r="AQ258" s="52">
        <v>38</v>
      </c>
      <c r="AR258" s="637">
        <v>44358</v>
      </c>
      <c r="AS258" s="637">
        <v>44364</v>
      </c>
      <c r="AT258" s="52"/>
      <c r="AU258" s="52"/>
      <c r="AV258" s="637"/>
      <c r="AW258" s="637"/>
      <c r="AX258" s="52"/>
      <c r="AY258" s="52"/>
      <c r="AZ258" s="637"/>
      <c r="BA258" s="637"/>
      <c r="BB258" s="52"/>
      <c r="BC258" s="52"/>
      <c r="BD258" s="637"/>
      <c r="BE258" s="637"/>
      <c r="BF258" s="137">
        <f t="shared" si="11"/>
        <v>360214</v>
      </c>
      <c r="BG258" s="43">
        <f t="shared" si="12"/>
        <v>-60988.502000000037</v>
      </c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</row>
    <row r="259" spans="1:99" s="96" customFormat="1" ht="33.75" customHeight="1">
      <c r="A259" s="39"/>
      <c r="B259" s="51">
        <v>244</v>
      </c>
      <c r="C259" s="51" t="s">
        <v>39</v>
      </c>
      <c r="D259" s="42">
        <v>40010743</v>
      </c>
      <c r="E259" s="52" t="s">
        <v>2985</v>
      </c>
      <c r="F259" s="52" t="s">
        <v>317</v>
      </c>
      <c r="G259" s="56" t="s">
        <v>2686</v>
      </c>
      <c r="H259" s="52" t="s">
        <v>2737</v>
      </c>
      <c r="I259" s="52" t="s">
        <v>2537</v>
      </c>
      <c r="J259" s="636">
        <v>338204</v>
      </c>
      <c r="K259" s="52"/>
      <c r="L259" s="52"/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1538</v>
      </c>
      <c r="V259" s="54"/>
      <c r="W259" s="54"/>
      <c r="X259" s="54"/>
      <c r="Y259" s="54">
        <f t="shared" si="10"/>
        <v>1538</v>
      </c>
      <c r="Z259" s="52">
        <v>1000</v>
      </c>
      <c r="AA259" s="52">
        <v>1</v>
      </c>
      <c r="AB259" s="637">
        <v>44207</v>
      </c>
      <c r="AC259" s="637">
        <v>44249</v>
      </c>
      <c r="AD259" s="52">
        <v>-1000</v>
      </c>
      <c r="AE259" s="52">
        <v>39</v>
      </c>
      <c r="AF259" s="637">
        <v>44358</v>
      </c>
      <c r="AG259" s="637">
        <v>44364</v>
      </c>
      <c r="AH259" s="52"/>
      <c r="AI259" s="52"/>
      <c r="AJ259" s="637"/>
      <c r="AK259" s="637"/>
      <c r="AL259" s="52"/>
      <c r="AM259" s="52"/>
      <c r="AN259" s="637"/>
      <c r="AO259" s="637"/>
      <c r="AP259" s="52"/>
      <c r="AQ259" s="52"/>
      <c r="AR259" s="637"/>
      <c r="AS259" s="637"/>
      <c r="AT259" s="52"/>
      <c r="AU259" s="52"/>
      <c r="AV259" s="637"/>
      <c r="AW259" s="637"/>
      <c r="AX259" s="52"/>
      <c r="AY259" s="52"/>
      <c r="AZ259" s="637"/>
      <c r="BA259" s="637"/>
      <c r="BB259" s="52"/>
      <c r="BC259" s="52"/>
      <c r="BD259" s="637"/>
      <c r="BE259" s="637"/>
      <c r="BF259" s="137">
        <f t="shared" si="11"/>
        <v>0</v>
      </c>
      <c r="BG259" s="43">
        <f t="shared" si="12"/>
        <v>-1538</v>
      </c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</row>
    <row r="260" spans="1:99" s="96" customFormat="1" ht="33.75" customHeight="1">
      <c r="A260" s="39"/>
      <c r="B260" s="51">
        <v>245</v>
      </c>
      <c r="C260" s="51" t="s">
        <v>39</v>
      </c>
      <c r="D260" s="42">
        <v>40011341</v>
      </c>
      <c r="E260" s="52" t="s">
        <v>2986</v>
      </c>
      <c r="F260" s="52" t="s">
        <v>317</v>
      </c>
      <c r="G260" s="56" t="s">
        <v>2686</v>
      </c>
      <c r="H260" s="52" t="s">
        <v>2711</v>
      </c>
      <c r="I260" s="52" t="s">
        <v>2537</v>
      </c>
      <c r="J260" s="636">
        <v>611189</v>
      </c>
      <c r="K260" s="52"/>
      <c r="L260" s="52"/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205391.70199999999</v>
      </c>
      <c r="T260" s="54">
        <v>0</v>
      </c>
      <c r="U260" s="54">
        <v>134160.89499999999</v>
      </c>
      <c r="V260" s="54"/>
      <c r="W260" s="54"/>
      <c r="X260" s="54"/>
      <c r="Y260" s="54">
        <f t="shared" si="10"/>
        <v>339552.59699999995</v>
      </c>
      <c r="Z260" s="52">
        <v>1000</v>
      </c>
      <c r="AA260" s="52">
        <v>1</v>
      </c>
      <c r="AB260" s="637">
        <v>44207</v>
      </c>
      <c r="AC260" s="637">
        <v>44249</v>
      </c>
      <c r="AD260" s="52">
        <v>205391</v>
      </c>
      <c r="AE260" s="52">
        <v>38</v>
      </c>
      <c r="AF260" s="637">
        <v>44358</v>
      </c>
      <c r="AG260" s="637">
        <v>44364</v>
      </c>
      <c r="AH260" s="52">
        <v>-1000</v>
      </c>
      <c r="AI260" s="52">
        <v>39</v>
      </c>
      <c r="AJ260" s="637">
        <v>44358</v>
      </c>
      <c r="AK260" s="637">
        <v>44364</v>
      </c>
      <c r="AL260" s="52"/>
      <c r="AM260" s="52"/>
      <c r="AN260" s="637"/>
      <c r="AO260" s="637"/>
      <c r="AP260" s="52"/>
      <c r="AQ260" s="52"/>
      <c r="AR260" s="637"/>
      <c r="AS260" s="637"/>
      <c r="AT260" s="52"/>
      <c r="AU260" s="52"/>
      <c r="AV260" s="637"/>
      <c r="AW260" s="637"/>
      <c r="AX260" s="52"/>
      <c r="AY260" s="52"/>
      <c r="AZ260" s="637"/>
      <c r="BA260" s="637"/>
      <c r="BB260" s="52"/>
      <c r="BC260" s="52"/>
      <c r="BD260" s="637"/>
      <c r="BE260" s="637"/>
      <c r="BF260" s="137">
        <f t="shared" si="11"/>
        <v>205391</v>
      </c>
      <c r="BG260" s="43">
        <f t="shared" si="12"/>
        <v>-134161.59699999995</v>
      </c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</row>
    <row r="261" spans="1:99" s="96" customFormat="1" ht="33.75" customHeight="1">
      <c r="A261" s="39"/>
      <c r="B261" s="51">
        <v>246</v>
      </c>
      <c r="C261" s="51" t="s">
        <v>39</v>
      </c>
      <c r="D261" s="42">
        <v>40011357</v>
      </c>
      <c r="E261" s="52" t="s">
        <v>2987</v>
      </c>
      <c r="F261" s="52" t="s">
        <v>317</v>
      </c>
      <c r="G261" s="56" t="s">
        <v>2686</v>
      </c>
      <c r="H261" s="52" t="s">
        <v>2753</v>
      </c>
      <c r="I261" s="52" t="s">
        <v>2537</v>
      </c>
      <c r="J261" s="636">
        <v>1258898</v>
      </c>
      <c r="K261" s="52"/>
      <c r="L261" s="52"/>
      <c r="M261" s="54">
        <v>0</v>
      </c>
      <c r="N261" s="54">
        <v>471303.96299999999</v>
      </c>
      <c r="O261" s="54">
        <v>229094.337</v>
      </c>
      <c r="P261" s="54">
        <v>266328.24800000002</v>
      </c>
      <c r="Q261" s="54">
        <v>0</v>
      </c>
      <c r="R261" s="54">
        <v>0</v>
      </c>
      <c r="S261" s="54">
        <v>65899.088000000003</v>
      </c>
      <c r="T261" s="54">
        <v>0</v>
      </c>
      <c r="U261" s="54">
        <v>0</v>
      </c>
      <c r="V261" s="54"/>
      <c r="W261" s="54"/>
      <c r="X261" s="54"/>
      <c r="Y261" s="54">
        <f t="shared" si="10"/>
        <v>1032625.6360000001</v>
      </c>
      <c r="Z261" s="52">
        <v>1000</v>
      </c>
      <c r="AA261" s="52">
        <v>1</v>
      </c>
      <c r="AB261" s="637">
        <v>44207</v>
      </c>
      <c r="AC261" s="637">
        <v>44249</v>
      </c>
      <c r="AD261" s="52">
        <v>400000</v>
      </c>
      <c r="AE261" s="52">
        <v>4</v>
      </c>
      <c r="AF261" s="637">
        <v>44221</v>
      </c>
      <c r="AG261" s="637">
        <v>44280</v>
      </c>
      <c r="AH261" s="52">
        <v>55285</v>
      </c>
      <c r="AI261" s="52">
        <v>8</v>
      </c>
      <c r="AJ261" s="637">
        <v>44252</v>
      </c>
      <c r="AK261" s="637">
        <v>44292</v>
      </c>
      <c r="AL261" s="52">
        <v>450000</v>
      </c>
      <c r="AM261" s="52">
        <v>10</v>
      </c>
      <c r="AN261" s="637">
        <v>44286</v>
      </c>
      <c r="AO261" s="637">
        <v>44306</v>
      </c>
      <c r="AP261" s="52">
        <v>173715</v>
      </c>
      <c r="AQ261" s="52">
        <v>14</v>
      </c>
      <c r="AR261" s="637">
        <v>44313</v>
      </c>
      <c r="AS261" s="637">
        <v>44322</v>
      </c>
      <c r="AT261" s="52"/>
      <c r="AU261" s="52"/>
      <c r="AV261" s="637"/>
      <c r="AW261" s="637"/>
      <c r="AX261" s="52"/>
      <c r="AY261" s="52"/>
      <c r="AZ261" s="637"/>
      <c r="BA261" s="637"/>
      <c r="BB261" s="52"/>
      <c r="BC261" s="52"/>
      <c r="BD261" s="637"/>
      <c r="BE261" s="637"/>
      <c r="BF261" s="137">
        <f t="shared" si="11"/>
        <v>1080000</v>
      </c>
      <c r="BG261" s="43">
        <f t="shared" si="12"/>
        <v>47374.363999999943</v>
      </c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</row>
    <row r="262" spans="1:99" s="96" customFormat="1" ht="22.5" customHeight="1">
      <c r="A262" s="39"/>
      <c r="B262" s="51">
        <v>247</v>
      </c>
      <c r="C262" s="51" t="s">
        <v>39</v>
      </c>
      <c r="D262" s="42">
        <v>40011534</v>
      </c>
      <c r="E262" s="52" t="s">
        <v>2988</v>
      </c>
      <c r="F262" s="52" t="s">
        <v>47</v>
      </c>
      <c r="G262" s="56" t="s">
        <v>2686</v>
      </c>
      <c r="H262" s="52" t="s">
        <v>2744</v>
      </c>
      <c r="I262" s="52" t="s">
        <v>2540</v>
      </c>
      <c r="J262" s="636">
        <v>2352073</v>
      </c>
      <c r="K262" s="52"/>
      <c r="L262" s="52"/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/>
      <c r="W262" s="54"/>
      <c r="X262" s="54"/>
      <c r="Y262" s="54">
        <f t="shared" si="10"/>
        <v>0</v>
      </c>
      <c r="Z262" s="52">
        <v>1000</v>
      </c>
      <c r="AA262" s="52">
        <v>1</v>
      </c>
      <c r="AB262" s="637">
        <v>44207</v>
      </c>
      <c r="AC262" s="637">
        <v>44249</v>
      </c>
      <c r="AD262" s="52">
        <v>-1000</v>
      </c>
      <c r="AE262" s="52">
        <v>39</v>
      </c>
      <c r="AF262" s="637">
        <v>44358</v>
      </c>
      <c r="AG262" s="637">
        <v>44364</v>
      </c>
      <c r="AH262" s="52"/>
      <c r="AI262" s="52"/>
      <c r="AJ262" s="637"/>
      <c r="AK262" s="637"/>
      <c r="AL262" s="52"/>
      <c r="AM262" s="52"/>
      <c r="AN262" s="637"/>
      <c r="AO262" s="637"/>
      <c r="AP262" s="52"/>
      <c r="AQ262" s="52"/>
      <c r="AR262" s="637"/>
      <c r="AS262" s="637"/>
      <c r="AT262" s="52"/>
      <c r="AU262" s="52"/>
      <c r="AV262" s="637"/>
      <c r="AW262" s="637"/>
      <c r="AX262" s="52"/>
      <c r="AY262" s="52"/>
      <c r="AZ262" s="637"/>
      <c r="BA262" s="637"/>
      <c r="BB262" s="52"/>
      <c r="BC262" s="52"/>
      <c r="BD262" s="637"/>
      <c r="BE262" s="637"/>
      <c r="BF262" s="137">
        <f t="shared" si="11"/>
        <v>0</v>
      </c>
      <c r="BG262" s="43">
        <f t="shared" si="12"/>
        <v>0</v>
      </c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</row>
    <row r="263" spans="1:99" s="96" customFormat="1" ht="33.75" customHeight="1">
      <c r="A263" s="39"/>
      <c r="B263" s="51">
        <v>248</v>
      </c>
      <c r="C263" s="51" t="s">
        <v>39</v>
      </c>
      <c r="D263" s="42">
        <v>40012114</v>
      </c>
      <c r="E263" s="52" t="s">
        <v>2989</v>
      </c>
      <c r="F263" s="52" t="s">
        <v>317</v>
      </c>
      <c r="G263" s="56" t="s">
        <v>2686</v>
      </c>
      <c r="H263" s="52" t="s">
        <v>2729</v>
      </c>
      <c r="I263" s="52" t="s">
        <v>2537</v>
      </c>
      <c r="J263" s="636">
        <v>392624</v>
      </c>
      <c r="K263" s="52"/>
      <c r="L263" s="52"/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705</v>
      </c>
      <c r="V263" s="54"/>
      <c r="W263" s="54"/>
      <c r="X263" s="54"/>
      <c r="Y263" s="54">
        <f t="shared" si="10"/>
        <v>705</v>
      </c>
      <c r="Z263" s="52">
        <v>1000</v>
      </c>
      <c r="AA263" s="52">
        <v>1</v>
      </c>
      <c r="AB263" s="637">
        <v>44207</v>
      </c>
      <c r="AC263" s="637">
        <v>44249</v>
      </c>
      <c r="AD263" s="52">
        <v>-1000</v>
      </c>
      <c r="AE263" s="52">
        <v>39</v>
      </c>
      <c r="AF263" s="637">
        <v>44358</v>
      </c>
      <c r="AG263" s="637">
        <v>44364</v>
      </c>
      <c r="AH263" s="52"/>
      <c r="AI263" s="52"/>
      <c r="AJ263" s="637"/>
      <c r="AK263" s="637"/>
      <c r="AL263" s="52"/>
      <c r="AM263" s="52"/>
      <c r="AN263" s="637"/>
      <c r="AO263" s="637"/>
      <c r="AP263" s="52"/>
      <c r="AQ263" s="52"/>
      <c r="AR263" s="637"/>
      <c r="AS263" s="637"/>
      <c r="AT263" s="52"/>
      <c r="AU263" s="52"/>
      <c r="AV263" s="637"/>
      <c r="AW263" s="637"/>
      <c r="AX263" s="52"/>
      <c r="AY263" s="52"/>
      <c r="AZ263" s="637"/>
      <c r="BA263" s="637"/>
      <c r="BB263" s="52"/>
      <c r="BC263" s="52"/>
      <c r="BD263" s="637"/>
      <c r="BE263" s="637"/>
      <c r="BF263" s="137">
        <f t="shared" si="11"/>
        <v>0</v>
      </c>
      <c r="BG263" s="43">
        <f t="shared" si="12"/>
        <v>-705</v>
      </c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</row>
    <row r="264" spans="1:99" s="96" customFormat="1" ht="22.5" customHeight="1">
      <c r="A264" s="39"/>
      <c r="B264" s="51">
        <v>249</v>
      </c>
      <c r="C264" s="51" t="s">
        <v>39</v>
      </c>
      <c r="D264" s="42">
        <v>40012235</v>
      </c>
      <c r="E264" s="52" t="s">
        <v>2990</v>
      </c>
      <c r="F264" s="52" t="s">
        <v>317</v>
      </c>
      <c r="G264" s="56" t="s">
        <v>2686</v>
      </c>
      <c r="H264" s="52" t="s">
        <v>2991</v>
      </c>
      <c r="I264" s="52" t="s">
        <v>2540</v>
      </c>
      <c r="J264" s="636">
        <v>77867</v>
      </c>
      <c r="K264" s="52"/>
      <c r="L264" s="52"/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/>
      <c r="W264" s="54"/>
      <c r="X264" s="54"/>
      <c r="Y264" s="54">
        <f t="shared" si="10"/>
        <v>0</v>
      </c>
      <c r="Z264" s="52">
        <v>1000</v>
      </c>
      <c r="AA264" s="52">
        <v>1</v>
      </c>
      <c r="AB264" s="637">
        <v>44207</v>
      </c>
      <c r="AC264" s="637">
        <v>44249</v>
      </c>
      <c r="AD264" s="52">
        <v>-1000</v>
      </c>
      <c r="AE264" s="52">
        <v>39</v>
      </c>
      <c r="AF264" s="637">
        <v>44358</v>
      </c>
      <c r="AG264" s="637">
        <v>44364</v>
      </c>
      <c r="AH264" s="52"/>
      <c r="AI264" s="52"/>
      <c r="AJ264" s="637"/>
      <c r="AK264" s="637"/>
      <c r="AL264" s="52"/>
      <c r="AM264" s="52"/>
      <c r="AN264" s="637"/>
      <c r="AO264" s="637"/>
      <c r="AP264" s="52"/>
      <c r="AQ264" s="52"/>
      <c r="AR264" s="637"/>
      <c r="AS264" s="637"/>
      <c r="AT264" s="52"/>
      <c r="AU264" s="52"/>
      <c r="AV264" s="637"/>
      <c r="AW264" s="637"/>
      <c r="AX264" s="52"/>
      <c r="AY264" s="52"/>
      <c r="AZ264" s="637"/>
      <c r="BA264" s="637"/>
      <c r="BB264" s="52"/>
      <c r="BC264" s="52"/>
      <c r="BD264" s="637"/>
      <c r="BE264" s="637"/>
      <c r="BF264" s="137">
        <f t="shared" si="11"/>
        <v>0</v>
      </c>
      <c r="BG264" s="43">
        <f t="shared" si="12"/>
        <v>0</v>
      </c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</row>
    <row r="265" spans="1:99" s="96" customFormat="1" ht="22.5" customHeight="1">
      <c r="A265" s="39"/>
      <c r="B265" s="51">
        <v>250</v>
      </c>
      <c r="C265" s="51" t="s">
        <v>39</v>
      </c>
      <c r="D265" s="42">
        <v>40012251</v>
      </c>
      <c r="E265" s="52" t="s">
        <v>2992</v>
      </c>
      <c r="F265" s="52" t="s">
        <v>317</v>
      </c>
      <c r="G265" s="56" t="s">
        <v>2686</v>
      </c>
      <c r="H265" s="52" t="s">
        <v>2695</v>
      </c>
      <c r="I265" s="52" t="s">
        <v>2537</v>
      </c>
      <c r="J265" s="636">
        <v>1049082</v>
      </c>
      <c r="K265" s="52"/>
      <c r="L265" s="52"/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/>
      <c r="W265" s="54"/>
      <c r="X265" s="54"/>
      <c r="Y265" s="54">
        <f t="shared" si="10"/>
        <v>0</v>
      </c>
      <c r="Z265" s="52">
        <v>1000</v>
      </c>
      <c r="AA265" s="52">
        <v>1</v>
      </c>
      <c r="AB265" s="637">
        <v>44207</v>
      </c>
      <c r="AC265" s="637">
        <v>44249</v>
      </c>
      <c r="AD265" s="52">
        <v>-1000</v>
      </c>
      <c r="AE265" s="52">
        <v>39</v>
      </c>
      <c r="AF265" s="637">
        <v>44358</v>
      </c>
      <c r="AG265" s="637">
        <v>44364</v>
      </c>
      <c r="AH265" s="52"/>
      <c r="AI265" s="52"/>
      <c r="AJ265" s="637"/>
      <c r="AK265" s="637"/>
      <c r="AL265" s="52"/>
      <c r="AM265" s="52"/>
      <c r="AN265" s="637"/>
      <c r="AO265" s="637"/>
      <c r="AP265" s="52"/>
      <c r="AQ265" s="52"/>
      <c r="AR265" s="637"/>
      <c r="AS265" s="637"/>
      <c r="AT265" s="52"/>
      <c r="AU265" s="52"/>
      <c r="AV265" s="637"/>
      <c r="AW265" s="637"/>
      <c r="AX265" s="52"/>
      <c r="AY265" s="52"/>
      <c r="AZ265" s="637"/>
      <c r="BA265" s="637"/>
      <c r="BB265" s="52"/>
      <c r="BC265" s="52"/>
      <c r="BD265" s="637"/>
      <c r="BE265" s="637"/>
      <c r="BF265" s="137">
        <f t="shared" si="11"/>
        <v>0</v>
      </c>
      <c r="BG265" s="43">
        <f t="shared" si="12"/>
        <v>0</v>
      </c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</row>
    <row r="266" spans="1:99" s="96" customFormat="1" ht="22.5" customHeight="1">
      <c r="A266" s="39"/>
      <c r="B266" s="51">
        <v>251</v>
      </c>
      <c r="C266" s="51" t="s">
        <v>39</v>
      </c>
      <c r="D266" s="42">
        <v>40012382</v>
      </c>
      <c r="E266" s="52" t="s">
        <v>2993</v>
      </c>
      <c r="F266" s="52" t="s">
        <v>317</v>
      </c>
      <c r="G266" s="56" t="s">
        <v>2686</v>
      </c>
      <c r="H266" s="52" t="s">
        <v>2832</v>
      </c>
      <c r="I266" s="52" t="s">
        <v>2537</v>
      </c>
      <c r="J266" s="636">
        <v>31275</v>
      </c>
      <c r="K266" s="52"/>
      <c r="L266" s="52"/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/>
      <c r="W266" s="54"/>
      <c r="X266" s="54"/>
      <c r="Y266" s="54">
        <f t="shared" si="10"/>
        <v>0</v>
      </c>
      <c r="Z266" s="52">
        <v>1000</v>
      </c>
      <c r="AA266" s="52">
        <v>1</v>
      </c>
      <c r="AB266" s="637">
        <v>44207</v>
      </c>
      <c r="AC266" s="637">
        <v>44249</v>
      </c>
      <c r="AD266" s="52">
        <v>-1000</v>
      </c>
      <c r="AE266" s="52">
        <v>39</v>
      </c>
      <c r="AF266" s="637">
        <v>44358</v>
      </c>
      <c r="AG266" s="637">
        <v>44364</v>
      </c>
      <c r="AH266" s="52"/>
      <c r="AI266" s="52"/>
      <c r="AJ266" s="637"/>
      <c r="AK266" s="637"/>
      <c r="AL266" s="52"/>
      <c r="AM266" s="52"/>
      <c r="AN266" s="637"/>
      <c r="AO266" s="637"/>
      <c r="AP266" s="52"/>
      <c r="AQ266" s="52"/>
      <c r="AR266" s="637"/>
      <c r="AS266" s="637"/>
      <c r="AT266" s="52"/>
      <c r="AU266" s="52"/>
      <c r="AV266" s="637"/>
      <c r="AW266" s="637"/>
      <c r="AX266" s="52"/>
      <c r="AY266" s="52"/>
      <c r="AZ266" s="637"/>
      <c r="BA266" s="637"/>
      <c r="BB266" s="52"/>
      <c r="BC266" s="52"/>
      <c r="BD266" s="637"/>
      <c r="BE266" s="637"/>
      <c r="BF266" s="137">
        <f t="shared" si="11"/>
        <v>0</v>
      </c>
      <c r="BG266" s="43">
        <f t="shared" si="12"/>
        <v>0</v>
      </c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</row>
    <row r="267" spans="1:99" s="96" customFormat="1" ht="33.75" customHeight="1">
      <c r="A267" s="39"/>
      <c r="B267" s="51">
        <v>252</v>
      </c>
      <c r="C267" s="51" t="s">
        <v>39</v>
      </c>
      <c r="D267" s="42">
        <v>40012390</v>
      </c>
      <c r="E267" s="52" t="s">
        <v>2994</v>
      </c>
      <c r="F267" s="52" t="s">
        <v>47</v>
      </c>
      <c r="G267" s="56" t="s">
        <v>2686</v>
      </c>
      <c r="H267" s="52" t="s">
        <v>2861</v>
      </c>
      <c r="I267" s="52" t="s">
        <v>2537</v>
      </c>
      <c r="J267" s="636">
        <v>104</v>
      </c>
      <c r="K267" s="52"/>
      <c r="L267" s="52"/>
      <c r="M267" s="54">
        <v>0</v>
      </c>
      <c r="N267" s="54">
        <v>0</v>
      </c>
      <c r="O267" s="54">
        <v>0</v>
      </c>
      <c r="P267" s="54">
        <v>174314.06099999999</v>
      </c>
      <c r="Q267" s="54">
        <v>1714.2850000000001</v>
      </c>
      <c r="R267" s="54">
        <v>140779.929</v>
      </c>
      <c r="S267" s="54">
        <v>131685.70799999998</v>
      </c>
      <c r="T267" s="54">
        <v>101993.334</v>
      </c>
      <c r="U267" s="54">
        <v>30560.652999999998</v>
      </c>
      <c r="V267" s="54"/>
      <c r="W267" s="54"/>
      <c r="X267" s="54"/>
      <c r="Y267" s="54">
        <f t="shared" si="10"/>
        <v>581047.97000000009</v>
      </c>
      <c r="Z267" s="52">
        <v>100</v>
      </c>
      <c r="AA267" s="52">
        <v>1</v>
      </c>
      <c r="AB267" s="637">
        <v>44207</v>
      </c>
      <c r="AC267" s="637">
        <v>44249</v>
      </c>
      <c r="AD267" s="52">
        <v>458000</v>
      </c>
      <c r="AE267" s="52">
        <v>11</v>
      </c>
      <c r="AF267" s="637">
        <v>44299</v>
      </c>
      <c r="AG267" s="637">
        <v>44312</v>
      </c>
      <c r="AH267" s="52">
        <v>95915</v>
      </c>
      <c r="AI267" s="52">
        <v>40</v>
      </c>
      <c r="AJ267" s="637">
        <v>44358</v>
      </c>
      <c r="AK267" s="637">
        <v>44364</v>
      </c>
      <c r="AL267" s="52"/>
      <c r="AM267" s="52"/>
      <c r="AN267" s="637"/>
      <c r="AO267" s="637"/>
      <c r="AP267" s="52"/>
      <c r="AQ267" s="52"/>
      <c r="AR267" s="637"/>
      <c r="AS267" s="637"/>
      <c r="AT267" s="52"/>
      <c r="AU267" s="52"/>
      <c r="AV267" s="637"/>
      <c r="AW267" s="637"/>
      <c r="AX267" s="52"/>
      <c r="AY267" s="52"/>
      <c r="AZ267" s="637"/>
      <c r="BA267" s="637"/>
      <c r="BB267" s="52"/>
      <c r="BC267" s="52"/>
      <c r="BD267" s="637"/>
      <c r="BE267" s="637"/>
      <c r="BF267" s="137">
        <f t="shared" si="11"/>
        <v>554015</v>
      </c>
      <c r="BG267" s="43">
        <f t="shared" si="12"/>
        <v>-27032.970000000088</v>
      </c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</row>
    <row r="268" spans="1:99" s="96" customFormat="1" ht="33.75" customHeight="1">
      <c r="A268" s="39"/>
      <c r="B268" s="51">
        <v>253</v>
      </c>
      <c r="C268" s="51" t="s">
        <v>39</v>
      </c>
      <c r="D268" s="42">
        <v>40012393</v>
      </c>
      <c r="E268" s="52" t="s">
        <v>2995</v>
      </c>
      <c r="F268" s="52" t="s">
        <v>317</v>
      </c>
      <c r="G268" s="56" t="s">
        <v>2686</v>
      </c>
      <c r="H268" s="52" t="s">
        <v>2861</v>
      </c>
      <c r="I268" s="52" t="s">
        <v>2537</v>
      </c>
      <c r="J268" s="636">
        <v>159935</v>
      </c>
      <c r="K268" s="52"/>
      <c r="L268" s="52"/>
      <c r="M268" s="54">
        <v>28706.005000000001</v>
      </c>
      <c r="N268" s="54">
        <v>53671.381000000001</v>
      </c>
      <c r="O268" s="54">
        <v>40670.517999999996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34972.491999999998</v>
      </c>
      <c r="V268" s="54"/>
      <c r="W268" s="54"/>
      <c r="X268" s="54"/>
      <c r="Y268" s="54">
        <f t="shared" si="10"/>
        <v>158020.39600000001</v>
      </c>
      <c r="Z268" s="52">
        <v>88550</v>
      </c>
      <c r="AA268" s="52">
        <v>1</v>
      </c>
      <c r="AB268" s="637">
        <v>44207</v>
      </c>
      <c r="AC268" s="637">
        <v>44249</v>
      </c>
      <c r="AD268" s="52">
        <v>4800</v>
      </c>
      <c r="AE268" s="52">
        <v>8</v>
      </c>
      <c r="AF268" s="637">
        <v>44252</v>
      </c>
      <c r="AG268" s="637">
        <v>44292</v>
      </c>
      <c r="AH268" s="52">
        <v>33698</v>
      </c>
      <c r="AI268" s="52">
        <v>10</v>
      </c>
      <c r="AJ268" s="637">
        <v>44286</v>
      </c>
      <c r="AK268" s="637">
        <v>44306</v>
      </c>
      <c r="AL268" s="52"/>
      <c r="AM268" s="52"/>
      <c r="AN268" s="637"/>
      <c r="AO268" s="637"/>
      <c r="AP268" s="52"/>
      <c r="AQ268" s="52"/>
      <c r="AR268" s="637"/>
      <c r="AS268" s="637"/>
      <c r="AT268" s="52"/>
      <c r="AU268" s="52"/>
      <c r="AV268" s="637"/>
      <c r="AW268" s="637"/>
      <c r="AX268" s="52"/>
      <c r="AY268" s="52"/>
      <c r="AZ268" s="637"/>
      <c r="BA268" s="637"/>
      <c r="BB268" s="52"/>
      <c r="BC268" s="52"/>
      <c r="BD268" s="637"/>
      <c r="BE268" s="637"/>
      <c r="BF268" s="137">
        <f t="shared" si="11"/>
        <v>127048</v>
      </c>
      <c r="BG268" s="43">
        <f t="shared" si="12"/>
        <v>-30972.396000000008</v>
      </c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</row>
    <row r="269" spans="1:99" s="96" customFormat="1" ht="22.5" customHeight="1">
      <c r="A269" s="39"/>
      <c r="B269" s="51">
        <v>254</v>
      </c>
      <c r="C269" s="51" t="s">
        <v>39</v>
      </c>
      <c r="D269" s="42">
        <v>40012795</v>
      </c>
      <c r="E269" s="52" t="s">
        <v>2996</v>
      </c>
      <c r="F269" s="52" t="s">
        <v>317</v>
      </c>
      <c r="G269" s="56" t="s">
        <v>2686</v>
      </c>
      <c r="H269" s="52" t="s">
        <v>2735</v>
      </c>
      <c r="I269" s="52" t="s">
        <v>2537</v>
      </c>
      <c r="J269" s="636">
        <v>508279</v>
      </c>
      <c r="K269" s="52"/>
      <c r="L269" s="52"/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/>
      <c r="W269" s="54"/>
      <c r="X269" s="54"/>
      <c r="Y269" s="54">
        <f t="shared" si="10"/>
        <v>0</v>
      </c>
      <c r="Z269" s="52">
        <v>1000</v>
      </c>
      <c r="AA269" s="52">
        <v>1</v>
      </c>
      <c r="AB269" s="637">
        <v>44207</v>
      </c>
      <c r="AC269" s="637">
        <v>44249</v>
      </c>
      <c r="AD269" s="52">
        <v>-1000</v>
      </c>
      <c r="AE269" s="52">
        <v>39</v>
      </c>
      <c r="AF269" s="637">
        <v>44358</v>
      </c>
      <c r="AG269" s="637">
        <v>44364</v>
      </c>
      <c r="AH269" s="52"/>
      <c r="AI269" s="52"/>
      <c r="AJ269" s="637"/>
      <c r="AK269" s="637"/>
      <c r="AL269" s="52"/>
      <c r="AM269" s="52"/>
      <c r="AN269" s="637"/>
      <c r="AO269" s="637"/>
      <c r="AP269" s="52"/>
      <c r="AQ269" s="52"/>
      <c r="AR269" s="637"/>
      <c r="AS269" s="637"/>
      <c r="AT269" s="52"/>
      <c r="AU269" s="52"/>
      <c r="AV269" s="637"/>
      <c r="AW269" s="637"/>
      <c r="AX269" s="52"/>
      <c r="AY269" s="52"/>
      <c r="AZ269" s="637"/>
      <c r="BA269" s="637"/>
      <c r="BB269" s="52"/>
      <c r="BC269" s="52"/>
      <c r="BD269" s="637"/>
      <c r="BE269" s="637"/>
      <c r="BF269" s="137">
        <f t="shared" si="11"/>
        <v>0</v>
      </c>
      <c r="BG269" s="43">
        <f t="shared" si="12"/>
        <v>0</v>
      </c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</row>
    <row r="270" spans="1:99" s="96" customFormat="1" ht="22.5" customHeight="1">
      <c r="A270" s="39"/>
      <c r="B270" s="51">
        <v>255</v>
      </c>
      <c r="C270" s="51" t="s">
        <v>39</v>
      </c>
      <c r="D270" s="42">
        <v>40013067</v>
      </c>
      <c r="E270" s="52" t="s">
        <v>2997</v>
      </c>
      <c r="F270" s="52" t="s">
        <v>317</v>
      </c>
      <c r="G270" s="56" t="s">
        <v>2686</v>
      </c>
      <c r="H270" s="52" t="s">
        <v>2733</v>
      </c>
      <c r="I270" s="52" t="s">
        <v>2537</v>
      </c>
      <c r="J270" s="636">
        <v>1214645</v>
      </c>
      <c r="K270" s="52"/>
      <c r="L270" s="52"/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/>
      <c r="W270" s="54"/>
      <c r="X270" s="54"/>
      <c r="Y270" s="54">
        <f t="shared" si="10"/>
        <v>0</v>
      </c>
      <c r="Z270" s="52">
        <v>1000</v>
      </c>
      <c r="AA270" s="52">
        <v>1</v>
      </c>
      <c r="AB270" s="637">
        <v>44207</v>
      </c>
      <c r="AC270" s="637">
        <v>44249</v>
      </c>
      <c r="AD270" s="52">
        <v>-1000</v>
      </c>
      <c r="AE270" s="52">
        <v>39</v>
      </c>
      <c r="AF270" s="637">
        <v>44358</v>
      </c>
      <c r="AG270" s="637">
        <v>44364</v>
      </c>
      <c r="AH270" s="52"/>
      <c r="AI270" s="52"/>
      <c r="AJ270" s="637"/>
      <c r="AK270" s="637"/>
      <c r="AL270" s="52"/>
      <c r="AM270" s="52"/>
      <c r="AN270" s="637"/>
      <c r="AO270" s="637"/>
      <c r="AP270" s="52"/>
      <c r="AQ270" s="52"/>
      <c r="AR270" s="637"/>
      <c r="AS270" s="637"/>
      <c r="AT270" s="52"/>
      <c r="AU270" s="52"/>
      <c r="AV270" s="637"/>
      <c r="AW270" s="637"/>
      <c r="AX270" s="52"/>
      <c r="AY270" s="52"/>
      <c r="AZ270" s="637"/>
      <c r="BA270" s="637"/>
      <c r="BB270" s="52"/>
      <c r="BC270" s="52"/>
      <c r="BD270" s="637"/>
      <c r="BE270" s="637"/>
      <c r="BF270" s="137">
        <f t="shared" si="11"/>
        <v>0</v>
      </c>
      <c r="BG270" s="43">
        <f t="shared" si="12"/>
        <v>0</v>
      </c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</row>
    <row r="271" spans="1:99" s="96" customFormat="1" ht="22.5" customHeight="1">
      <c r="A271" s="39"/>
      <c r="B271" s="51">
        <v>256</v>
      </c>
      <c r="C271" s="51" t="s">
        <v>39</v>
      </c>
      <c r="D271" s="42">
        <v>40013069</v>
      </c>
      <c r="E271" s="52" t="s">
        <v>2998</v>
      </c>
      <c r="F271" s="52" t="s">
        <v>317</v>
      </c>
      <c r="G271" s="56" t="s">
        <v>2686</v>
      </c>
      <c r="H271" s="52" t="s">
        <v>2733</v>
      </c>
      <c r="I271" s="52" t="s">
        <v>2537</v>
      </c>
      <c r="J271" s="636">
        <v>1320013</v>
      </c>
      <c r="K271" s="52"/>
      <c r="L271" s="52"/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/>
      <c r="W271" s="54"/>
      <c r="X271" s="54"/>
      <c r="Y271" s="54">
        <f t="shared" si="10"/>
        <v>0</v>
      </c>
      <c r="Z271" s="52">
        <v>1000</v>
      </c>
      <c r="AA271" s="52">
        <v>1</v>
      </c>
      <c r="AB271" s="637">
        <v>44207</v>
      </c>
      <c r="AC271" s="637">
        <v>44249</v>
      </c>
      <c r="AD271" s="52">
        <v>-1000</v>
      </c>
      <c r="AE271" s="52">
        <v>39</v>
      </c>
      <c r="AF271" s="637">
        <v>44358</v>
      </c>
      <c r="AG271" s="637">
        <v>44364</v>
      </c>
      <c r="AH271" s="52"/>
      <c r="AI271" s="52"/>
      <c r="AJ271" s="637"/>
      <c r="AK271" s="637"/>
      <c r="AL271" s="52"/>
      <c r="AM271" s="52"/>
      <c r="AN271" s="637"/>
      <c r="AO271" s="637"/>
      <c r="AP271" s="52"/>
      <c r="AQ271" s="52"/>
      <c r="AR271" s="637"/>
      <c r="AS271" s="637"/>
      <c r="AT271" s="52"/>
      <c r="AU271" s="52"/>
      <c r="AV271" s="637"/>
      <c r="AW271" s="637"/>
      <c r="AX271" s="52"/>
      <c r="AY271" s="52"/>
      <c r="AZ271" s="637"/>
      <c r="BA271" s="637"/>
      <c r="BB271" s="52"/>
      <c r="BC271" s="52"/>
      <c r="BD271" s="637"/>
      <c r="BE271" s="637"/>
      <c r="BF271" s="137">
        <f t="shared" si="11"/>
        <v>0</v>
      </c>
      <c r="BG271" s="43">
        <f t="shared" si="12"/>
        <v>0</v>
      </c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</row>
    <row r="272" spans="1:99" s="96" customFormat="1" ht="22.5" customHeight="1">
      <c r="A272" s="39"/>
      <c r="B272" s="51">
        <v>257</v>
      </c>
      <c r="C272" s="51" t="s">
        <v>39</v>
      </c>
      <c r="D272" s="42">
        <v>40013124</v>
      </c>
      <c r="E272" s="52" t="s">
        <v>2999</v>
      </c>
      <c r="F272" s="52" t="s">
        <v>317</v>
      </c>
      <c r="G272" s="56" t="s">
        <v>2686</v>
      </c>
      <c r="H272" s="52" t="s">
        <v>2693</v>
      </c>
      <c r="I272" s="52" t="s">
        <v>2537</v>
      </c>
      <c r="J272" s="636">
        <v>233181</v>
      </c>
      <c r="K272" s="52"/>
      <c r="L272" s="52"/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/>
      <c r="W272" s="54"/>
      <c r="X272" s="54"/>
      <c r="Y272" s="54">
        <f t="shared" si="10"/>
        <v>0</v>
      </c>
      <c r="Z272" s="52">
        <v>1000</v>
      </c>
      <c r="AA272" s="52">
        <v>1</v>
      </c>
      <c r="AB272" s="637">
        <v>44207</v>
      </c>
      <c r="AC272" s="637">
        <v>44249</v>
      </c>
      <c r="AD272" s="52">
        <v>-1000</v>
      </c>
      <c r="AE272" s="52">
        <v>39</v>
      </c>
      <c r="AF272" s="637">
        <v>44358</v>
      </c>
      <c r="AG272" s="637">
        <v>44364</v>
      </c>
      <c r="AH272" s="52"/>
      <c r="AI272" s="52"/>
      <c r="AJ272" s="637"/>
      <c r="AK272" s="637"/>
      <c r="AL272" s="52"/>
      <c r="AM272" s="52"/>
      <c r="AN272" s="637"/>
      <c r="AO272" s="637"/>
      <c r="AP272" s="52"/>
      <c r="AQ272" s="52"/>
      <c r="AR272" s="637"/>
      <c r="AS272" s="637"/>
      <c r="AT272" s="52"/>
      <c r="AU272" s="52"/>
      <c r="AV272" s="637"/>
      <c r="AW272" s="637"/>
      <c r="AX272" s="52"/>
      <c r="AY272" s="52"/>
      <c r="AZ272" s="637"/>
      <c r="BA272" s="637"/>
      <c r="BB272" s="52"/>
      <c r="BC272" s="52"/>
      <c r="BD272" s="637"/>
      <c r="BE272" s="637"/>
      <c r="BF272" s="137">
        <f t="shared" si="11"/>
        <v>0</v>
      </c>
      <c r="BG272" s="43">
        <f t="shared" si="12"/>
        <v>0</v>
      </c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</row>
    <row r="273" spans="1:99" s="96" customFormat="1" ht="22.5" customHeight="1">
      <c r="A273" s="39"/>
      <c r="B273" s="51">
        <v>258</v>
      </c>
      <c r="C273" s="51" t="s">
        <v>39</v>
      </c>
      <c r="D273" s="42">
        <v>40013210</v>
      </c>
      <c r="E273" s="52" t="s">
        <v>3000</v>
      </c>
      <c r="F273" s="52" t="s">
        <v>317</v>
      </c>
      <c r="G273" s="56" t="s">
        <v>2686</v>
      </c>
      <c r="H273" s="52" t="s">
        <v>2689</v>
      </c>
      <c r="I273" s="52" t="s">
        <v>2540</v>
      </c>
      <c r="J273" s="636">
        <v>740766</v>
      </c>
      <c r="K273" s="52"/>
      <c r="L273" s="52"/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/>
      <c r="W273" s="54"/>
      <c r="X273" s="54"/>
      <c r="Y273" s="54">
        <f t="shared" ref="Y273:Y328" si="13">SUM(M273:X273)</f>
        <v>0</v>
      </c>
      <c r="Z273" s="52">
        <v>1000</v>
      </c>
      <c r="AA273" s="52">
        <v>1</v>
      </c>
      <c r="AB273" s="637">
        <v>44207</v>
      </c>
      <c r="AC273" s="637">
        <v>44249</v>
      </c>
      <c r="AD273" s="52">
        <v>-1000</v>
      </c>
      <c r="AE273" s="52">
        <v>39</v>
      </c>
      <c r="AF273" s="637">
        <v>44358</v>
      </c>
      <c r="AG273" s="637">
        <v>44364</v>
      </c>
      <c r="AH273" s="52"/>
      <c r="AI273" s="52"/>
      <c r="AJ273" s="637"/>
      <c r="AK273" s="637"/>
      <c r="AL273" s="52"/>
      <c r="AM273" s="52"/>
      <c r="AN273" s="637"/>
      <c r="AO273" s="637"/>
      <c r="AP273" s="52"/>
      <c r="AQ273" s="52"/>
      <c r="AR273" s="637"/>
      <c r="AS273" s="637"/>
      <c r="AT273" s="52"/>
      <c r="AU273" s="52"/>
      <c r="AV273" s="637"/>
      <c r="AW273" s="637"/>
      <c r="AX273" s="52"/>
      <c r="AY273" s="52"/>
      <c r="AZ273" s="637"/>
      <c r="BA273" s="637"/>
      <c r="BB273" s="52"/>
      <c r="BC273" s="52"/>
      <c r="BD273" s="637"/>
      <c r="BE273" s="637"/>
      <c r="BF273" s="137">
        <f t="shared" ref="BF273:BF336" si="14">+Z273+AD273+AH273+AL273+AP273+AT273+AX273+BB273</f>
        <v>0</v>
      </c>
      <c r="BG273" s="43">
        <f t="shared" si="12"/>
        <v>0</v>
      </c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</row>
    <row r="274" spans="1:99" s="96" customFormat="1" ht="22.5" customHeight="1">
      <c r="A274" s="39"/>
      <c r="B274" s="51">
        <v>259</v>
      </c>
      <c r="C274" s="51" t="s">
        <v>39</v>
      </c>
      <c r="D274" s="42">
        <v>40013965</v>
      </c>
      <c r="E274" s="52" t="s">
        <v>3001</v>
      </c>
      <c r="F274" s="52" t="s">
        <v>47</v>
      </c>
      <c r="G274" s="56" t="s">
        <v>2686</v>
      </c>
      <c r="H274" s="52" t="s">
        <v>2795</v>
      </c>
      <c r="I274" s="52" t="s">
        <v>2540</v>
      </c>
      <c r="J274" s="636">
        <v>1694740</v>
      </c>
      <c r="K274" s="52"/>
      <c r="L274" s="52"/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1500000</v>
      </c>
      <c r="T274" s="54">
        <v>300</v>
      </c>
      <c r="U274" s="54">
        <v>0</v>
      </c>
      <c r="V274" s="54"/>
      <c r="W274" s="54"/>
      <c r="X274" s="54"/>
      <c r="Y274" s="54">
        <f t="shared" si="13"/>
        <v>1500300</v>
      </c>
      <c r="Z274" s="52">
        <v>1000</v>
      </c>
      <c r="AA274" s="52">
        <v>1</v>
      </c>
      <c r="AB274" s="637">
        <v>44207</v>
      </c>
      <c r="AC274" s="637">
        <v>44249</v>
      </c>
      <c r="AD274" s="52">
        <v>1500000</v>
      </c>
      <c r="AE274" s="52">
        <v>38</v>
      </c>
      <c r="AF274" s="637">
        <v>44358</v>
      </c>
      <c r="AG274" s="637">
        <v>44364</v>
      </c>
      <c r="AH274" s="52">
        <v>-1000</v>
      </c>
      <c r="AI274" s="52">
        <v>39</v>
      </c>
      <c r="AJ274" s="637">
        <v>44358</v>
      </c>
      <c r="AK274" s="637">
        <v>44364</v>
      </c>
      <c r="AL274" s="52"/>
      <c r="AM274" s="52"/>
      <c r="AN274" s="637"/>
      <c r="AO274" s="637"/>
      <c r="AP274" s="52"/>
      <c r="AQ274" s="52"/>
      <c r="AR274" s="637"/>
      <c r="AS274" s="637"/>
      <c r="AT274" s="52"/>
      <c r="AU274" s="52"/>
      <c r="AV274" s="637"/>
      <c r="AW274" s="637"/>
      <c r="AX274" s="52"/>
      <c r="AY274" s="52"/>
      <c r="AZ274" s="637"/>
      <c r="BA274" s="637"/>
      <c r="BB274" s="52"/>
      <c r="BC274" s="52"/>
      <c r="BD274" s="637"/>
      <c r="BE274" s="637"/>
      <c r="BF274" s="137">
        <f t="shared" si="14"/>
        <v>1500000</v>
      </c>
      <c r="BG274" s="43">
        <f t="shared" si="12"/>
        <v>-300</v>
      </c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</row>
    <row r="275" spans="1:99" s="96" customFormat="1" ht="33.75" customHeight="1">
      <c r="A275" s="39"/>
      <c r="B275" s="51">
        <v>260</v>
      </c>
      <c r="C275" s="51" t="s">
        <v>39</v>
      </c>
      <c r="D275" s="42">
        <v>40014246</v>
      </c>
      <c r="E275" s="52" t="s">
        <v>3002</v>
      </c>
      <c r="F275" s="52" t="s">
        <v>317</v>
      </c>
      <c r="G275" s="56" t="s">
        <v>2686</v>
      </c>
      <c r="H275" s="52" t="s">
        <v>3003</v>
      </c>
      <c r="I275" s="52" t="s">
        <v>2537</v>
      </c>
      <c r="J275" s="636">
        <v>2722302</v>
      </c>
      <c r="K275" s="52"/>
      <c r="L275" s="52"/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/>
      <c r="W275" s="54"/>
      <c r="X275" s="54"/>
      <c r="Y275" s="54">
        <f t="shared" si="13"/>
        <v>0</v>
      </c>
      <c r="Z275" s="52">
        <v>1000</v>
      </c>
      <c r="AA275" s="52">
        <v>1</v>
      </c>
      <c r="AB275" s="637">
        <v>44207</v>
      </c>
      <c r="AC275" s="637">
        <v>44249</v>
      </c>
      <c r="AD275" s="52">
        <v>-1000</v>
      </c>
      <c r="AE275" s="52">
        <v>39</v>
      </c>
      <c r="AF275" s="637">
        <v>44358</v>
      </c>
      <c r="AG275" s="637">
        <v>44364</v>
      </c>
      <c r="AH275" s="52"/>
      <c r="AI275" s="52"/>
      <c r="AJ275" s="637"/>
      <c r="AK275" s="637"/>
      <c r="AL275" s="52"/>
      <c r="AM275" s="52"/>
      <c r="AN275" s="637"/>
      <c r="AO275" s="637"/>
      <c r="AP275" s="52"/>
      <c r="AQ275" s="52"/>
      <c r="AR275" s="637"/>
      <c r="AS275" s="637"/>
      <c r="AT275" s="52"/>
      <c r="AU275" s="52"/>
      <c r="AV275" s="637"/>
      <c r="AW275" s="637"/>
      <c r="AX275" s="52"/>
      <c r="AY275" s="52"/>
      <c r="AZ275" s="637"/>
      <c r="BA275" s="637"/>
      <c r="BB275" s="52"/>
      <c r="BC275" s="52"/>
      <c r="BD275" s="637"/>
      <c r="BE275" s="637"/>
      <c r="BF275" s="137">
        <f t="shared" si="14"/>
        <v>0</v>
      </c>
      <c r="BG275" s="43">
        <f t="shared" ref="BG275:BG338" si="15">+BF275-Y275</f>
        <v>0</v>
      </c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</row>
    <row r="276" spans="1:99" s="96" customFormat="1" ht="22.5" customHeight="1">
      <c r="A276" s="39"/>
      <c r="B276" s="51">
        <v>261</v>
      </c>
      <c r="C276" s="51" t="s">
        <v>39</v>
      </c>
      <c r="D276" s="42">
        <v>40014331</v>
      </c>
      <c r="E276" s="52" t="s">
        <v>3004</v>
      </c>
      <c r="F276" s="52" t="s">
        <v>47</v>
      </c>
      <c r="G276" s="56" t="s">
        <v>2686</v>
      </c>
      <c r="H276" s="52" t="s">
        <v>2691</v>
      </c>
      <c r="I276" s="52" t="s">
        <v>2537</v>
      </c>
      <c r="J276" s="636">
        <v>3754343</v>
      </c>
      <c r="K276" s="52"/>
      <c r="L276" s="52"/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/>
      <c r="W276" s="54"/>
      <c r="X276" s="54"/>
      <c r="Y276" s="54">
        <f t="shared" si="13"/>
        <v>0</v>
      </c>
      <c r="Z276" s="52">
        <v>1000</v>
      </c>
      <c r="AA276" s="52">
        <v>1</v>
      </c>
      <c r="AB276" s="637">
        <v>44207</v>
      </c>
      <c r="AC276" s="637">
        <v>44249</v>
      </c>
      <c r="AD276" s="52">
        <v>-1000</v>
      </c>
      <c r="AE276" s="52">
        <v>39</v>
      </c>
      <c r="AF276" s="637">
        <v>44358</v>
      </c>
      <c r="AG276" s="637">
        <v>44364</v>
      </c>
      <c r="AH276" s="52"/>
      <c r="AI276" s="52"/>
      <c r="AJ276" s="637"/>
      <c r="AK276" s="637"/>
      <c r="AL276" s="52"/>
      <c r="AM276" s="52"/>
      <c r="AN276" s="637"/>
      <c r="AO276" s="637"/>
      <c r="AP276" s="52"/>
      <c r="AQ276" s="52"/>
      <c r="AR276" s="637"/>
      <c r="AS276" s="637"/>
      <c r="AT276" s="52"/>
      <c r="AU276" s="52"/>
      <c r="AV276" s="637"/>
      <c r="AW276" s="637"/>
      <c r="AX276" s="52"/>
      <c r="AY276" s="52"/>
      <c r="AZ276" s="637"/>
      <c r="BA276" s="637"/>
      <c r="BB276" s="52"/>
      <c r="BC276" s="52"/>
      <c r="BD276" s="637"/>
      <c r="BE276" s="637"/>
      <c r="BF276" s="137">
        <f t="shared" si="14"/>
        <v>0</v>
      </c>
      <c r="BG276" s="43">
        <f t="shared" si="15"/>
        <v>0</v>
      </c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</row>
    <row r="277" spans="1:99" s="96" customFormat="1" ht="22.5">
      <c r="A277" s="39"/>
      <c r="B277" s="51">
        <v>262</v>
      </c>
      <c r="C277" s="51" t="s">
        <v>39</v>
      </c>
      <c r="D277" s="42">
        <v>40014862</v>
      </c>
      <c r="E277" s="52" t="s">
        <v>3005</v>
      </c>
      <c r="F277" s="52" t="s">
        <v>317</v>
      </c>
      <c r="G277" s="56" t="s">
        <v>2686</v>
      </c>
      <c r="H277" s="52" t="s">
        <v>2832</v>
      </c>
      <c r="I277" s="52" t="s">
        <v>2537</v>
      </c>
      <c r="J277" s="636">
        <v>104</v>
      </c>
      <c r="K277" s="52"/>
      <c r="L277" s="52"/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300</v>
      </c>
      <c r="V277" s="54"/>
      <c r="W277" s="54"/>
      <c r="X277" s="54"/>
      <c r="Y277" s="54">
        <f t="shared" si="13"/>
        <v>300</v>
      </c>
      <c r="Z277" s="52">
        <v>100</v>
      </c>
      <c r="AA277" s="52">
        <v>1</v>
      </c>
      <c r="AB277" s="637">
        <v>44207</v>
      </c>
      <c r="AC277" s="637">
        <v>44249</v>
      </c>
      <c r="AD277" s="52"/>
      <c r="AE277" s="52"/>
      <c r="AF277" s="637"/>
      <c r="AG277" s="637"/>
      <c r="AH277" s="52"/>
      <c r="AI277" s="52"/>
      <c r="AJ277" s="637"/>
      <c r="AK277" s="637"/>
      <c r="AL277" s="52"/>
      <c r="AM277" s="52"/>
      <c r="AN277" s="637"/>
      <c r="AO277" s="637"/>
      <c r="AP277" s="52"/>
      <c r="AQ277" s="52"/>
      <c r="AR277" s="637"/>
      <c r="AS277" s="637"/>
      <c r="AT277" s="52"/>
      <c r="AU277" s="52"/>
      <c r="AV277" s="637"/>
      <c r="AW277" s="637"/>
      <c r="AX277" s="52"/>
      <c r="AY277" s="52"/>
      <c r="AZ277" s="637"/>
      <c r="BA277" s="637"/>
      <c r="BB277" s="52"/>
      <c r="BC277" s="52"/>
      <c r="BD277" s="637"/>
      <c r="BE277" s="637"/>
      <c r="BF277" s="137">
        <f t="shared" si="14"/>
        <v>100</v>
      </c>
      <c r="BG277" s="43">
        <f t="shared" si="15"/>
        <v>-200</v>
      </c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</row>
    <row r="278" spans="1:99" s="96" customFormat="1" ht="33.75" customHeight="1">
      <c r="A278" s="39"/>
      <c r="B278" s="51">
        <v>263</v>
      </c>
      <c r="C278" s="51" t="s">
        <v>39</v>
      </c>
      <c r="D278" s="42">
        <v>40015104</v>
      </c>
      <c r="E278" s="52" t="s">
        <v>3006</v>
      </c>
      <c r="F278" s="52" t="s">
        <v>317</v>
      </c>
      <c r="G278" s="56" t="s">
        <v>2686</v>
      </c>
      <c r="H278" s="52" t="s">
        <v>3007</v>
      </c>
      <c r="I278" s="52" t="s">
        <v>2537</v>
      </c>
      <c r="J278" s="636">
        <v>76348</v>
      </c>
      <c r="K278" s="52"/>
      <c r="L278" s="52"/>
      <c r="M278" s="54">
        <v>0</v>
      </c>
      <c r="N278" s="54">
        <v>0</v>
      </c>
      <c r="O278" s="54">
        <v>75824.243000000002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/>
      <c r="W278" s="54"/>
      <c r="X278" s="54"/>
      <c r="Y278" s="54">
        <f t="shared" si="13"/>
        <v>75824.243000000002</v>
      </c>
      <c r="Z278" s="52">
        <v>1000</v>
      </c>
      <c r="AA278" s="52">
        <v>8</v>
      </c>
      <c r="AB278" s="637">
        <v>44252</v>
      </c>
      <c r="AC278" s="637">
        <v>44292</v>
      </c>
      <c r="AD278" s="52">
        <v>74824</v>
      </c>
      <c r="AE278" s="52">
        <v>10</v>
      </c>
      <c r="AF278" s="637">
        <v>44286</v>
      </c>
      <c r="AG278" s="637">
        <v>44306</v>
      </c>
      <c r="AH278" s="52"/>
      <c r="AI278" s="52"/>
      <c r="AJ278" s="637"/>
      <c r="AK278" s="637"/>
      <c r="AL278" s="52"/>
      <c r="AM278" s="52"/>
      <c r="AN278" s="637"/>
      <c r="AO278" s="637"/>
      <c r="AP278" s="52"/>
      <c r="AQ278" s="52"/>
      <c r="AR278" s="637"/>
      <c r="AS278" s="637"/>
      <c r="AT278" s="52"/>
      <c r="AU278" s="52"/>
      <c r="AV278" s="637"/>
      <c r="AW278" s="637"/>
      <c r="AX278" s="52"/>
      <c r="AY278" s="52"/>
      <c r="AZ278" s="637"/>
      <c r="BA278" s="637"/>
      <c r="BB278" s="52"/>
      <c r="BC278" s="52"/>
      <c r="BD278" s="637"/>
      <c r="BE278" s="637"/>
      <c r="BF278" s="137">
        <f t="shared" si="14"/>
        <v>75824</v>
      </c>
      <c r="BG278" s="43">
        <f t="shared" si="15"/>
        <v>-0.24300000000221189</v>
      </c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</row>
    <row r="279" spans="1:99" s="96" customFormat="1" ht="22.5" customHeight="1">
      <c r="A279" s="39"/>
      <c r="B279" s="51">
        <v>264</v>
      </c>
      <c r="C279" s="51" t="s">
        <v>39</v>
      </c>
      <c r="D279" s="42">
        <v>40015285</v>
      </c>
      <c r="E279" s="52" t="s">
        <v>3008</v>
      </c>
      <c r="F279" s="52" t="s">
        <v>317</v>
      </c>
      <c r="G279" s="56" t="s">
        <v>2686</v>
      </c>
      <c r="H279" s="52" t="s">
        <v>2689</v>
      </c>
      <c r="I279" s="52" t="s">
        <v>2537</v>
      </c>
      <c r="J279" s="636">
        <v>843359</v>
      </c>
      <c r="K279" s="52"/>
      <c r="L279" s="52"/>
      <c r="M279" s="54">
        <v>0</v>
      </c>
      <c r="N279" s="54">
        <v>808901</v>
      </c>
      <c r="O279" s="54">
        <v>250</v>
      </c>
      <c r="P279" s="54">
        <v>0</v>
      </c>
      <c r="Q279" s="54">
        <v>420</v>
      </c>
      <c r="R279" s="54">
        <v>0</v>
      </c>
      <c r="S279" s="54">
        <v>0</v>
      </c>
      <c r="T279" s="54">
        <v>0</v>
      </c>
      <c r="U279" s="54">
        <v>0</v>
      </c>
      <c r="V279" s="54"/>
      <c r="W279" s="54"/>
      <c r="X279" s="54"/>
      <c r="Y279" s="54">
        <f t="shared" si="13"/>
        <v>809571</v>
      </c>
      <c r="Z279" s="52">
        <v>1000</v>
      </c>
      <c r="AA279" s="52">
        <v>1</v>
      </c>
      <c r="AB279" s="637">
        <v>44207</v>
      </c>
      <c r="AC279" s="637">
        <v>44249</v>
      </c>
      <c r="AD279" s="52">
        <v>808901</v>
      </c>
      <c r="AE279" s="52">
        <v>8</v>
      </c>
      <c r="AF279" s="637">
        <v>44252</v>
      </c>
      <c r="AG279" s="637">
        <v>44292</v>
      </c>
      <c r="AH279" s="52">
        <v>250</v>
      </c>
      <c r="AI279" s="52">
        <v>10</v>
      </c>
      <c r="AJ279" s="637">
        <v>44286</v>
      </c>
      <c r="AK279" s="637">
        <v>44306</v>
      </c>
      <c r="AL279" s="52">
        <v>420</v>
      </c>
      <c r="AM279" s="52">
        <v>23</v>
      </c>
      <c r="AN279" s="637">
        <v>44340</v>
      </c>
      <c r="AO279" s="637">
        <v>44350</v>
      </c>
      <c r="AP279" s="52">
        <v>-1000</v>
      </c>
      <c r="AQ279" s="52">
        <v>39</v>
      </c>
      <c r="AR279" s="637">
        <v>44358</v>
      </c>
      <c r="AS279" s="637">
        <v>44364</v>
      </c>
      <c r="AT279" s="52"/>
      <c r="AU279" s="52"/>
      <c r="AV279" s="637"/>
      <c r="AW279" s="637"/>
      <c r="AX279" s="52"/>
      <c r="AY279" s="52"/>
      <c r="AZ279" s="637"/>
      <c r="BA279" s="637"/>
      <c r="BB279" s="52"/>
      <c r="BC279" s="52"/>
      <c r="BD279" s="637"/>
      <c r="BE279" s="637"/>
      <c r="BF279" s="137">
        <f t="shared" si="14"/>
        <v>809571</v>
      </c>
      <c r="BG279" s="43">
        <f t="shared" si="15"/>
        <v>0</v>
      </c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</row>
    <row r="280" spans="1:99" s="96" customFormat="1" ht="45" customHeight="1">
      <c r="A280" s="39"/>
      <c r="B280" s="51">
        <v>265</v>
      </c>
      <c r="C280" s="51" t="s">
        <v>39</v>
      </c>
      <c r="D280" s="42">
        <v>40015519</v>
      </c>
      <c r="E280" s="52" t="s">
        <v>3009</v>
      </c>
      <c r="F280" s="52" t="s">
        <v>317</v>
      </c>
      <c r="G280" s="56" t="s">
        <v>2686</v>
      </c>
      <c r="H280" s="52" t="s">
        <v>2699</v>
      </c>
      <c r="I280" s="52" t="s">
        <v>2537</v>
      </c>
      <c r="J280" s="636">
        <v>283448</v>
      </c>
      <c r="K280" s="52"/>
      <c r="L280" s="52"/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/>
      <c r="W280" s="54"/>
      <c r="X280" s="54"/>
      <c r="Y280" s="54">
        <f t="shared" si="13"/>
        <v>0</v>
      </c>
      <c r="Z280" s="52">
        <v>1000</v>
      </c>
      <c r="AA280" s="52">
        <v>1</v>
      </c>
      <c r="AB280" s="637">
        <v>44207</v>
      </c>
      <c r="AC280" s="637">
        <v>44249</v>
      </c>
      <c r="AD280" s="52">
        <v>-1000</v>
      </c>
      <c r="AE280" s="52">
        <v>39</v>
      </c>
      <c r="AF280" s="637">
        <v>44358</v>
      </c>
      <c r="AG280" s="637">
        <v>44364</v>
      </c>
      <c r="AH280" s="52"/>
      <c r="AI280" s="52"/>
      <c r="AJ280" s="637"/>
      <c r="AK280" s="637"/>
      <c r="AL280" s="52"/>
      <c r="AM280" s="52"/>
      <c r="AN280" s="637"/>
      <c r="AO280" s="637"/>
      <c r="AP280" s="52"/>
      <c r="AQ280" s="52"/>
      <c r="AR280" s="637"/>
      <c r="AS280" s="637"/>
      <c r="AT280" s="52"/>
      <c r="AU280" s="52"/>
      <c r="AV280" s="637"/>
      <c r="AW280" s="637"/>
      <c r="AX280" s="52"/>
      <c r="AY280" s="52"/>
      <c r="AZ280" s="637"/>
      <c r="BA280" s="637"/>
      <c r="BB280" s="52"/>
      <c r="BC280" s="52"/>
      <c r="BD280" s="637"/>
      <c r="BE280" s="637"/>
      <c r="BF280" s="137">
        <f t="shared" si="14"/>
        <v>0</v>
      </c>
      <c r="BG280" s="43">
        <f t="shared" si="15"/>
        <v>0</v>
      </c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</row>
    <row r="281" spans="1:99" s="96" customFormat="1" ht="22.5" customHeight="1">
      <c r="A281" s="39"/>
      <c r="B281" s="51">
        <v>266</v>
      </c>
      <c r="C281" s="51" t="s">
        <v>39</v>
      </c>
      <c r="D281" s="42">
        <v>40016391</v>
      </c>
      <c r="E281" s="52" t="s">
        <v>3010</v>
      </c>
      <c r="F281" s="52" t="s">
        <v>47</v>
      </c>
      <c r="G281" s="56" t="s">
        <v>2686</v>
      </c>
      <c r="H281" s="52" t="s">
        <v>2770</v>
      </c>
      <c r="I281" s="52" t="s">
        <v>2537</v>
      </c>
      <c r="J281" s="636">
        <v>435035</v>
      </c>
      <c r="K281" s="52"/>
      <c r="L281" s="52"/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/>
      <c r="W281" s="54"/>
      <c r="X281" s="54"/>
      <c r="Y281" s="54">
        <f t="shared" si="13"/>
        <v>0</v>
      </c>
      <c r="Z281" s="52">
        <v>1000</v>
      </c>
      <c r="AA281" s="52">
        <v>1</v>
      </c>
      <c r="AB281" s="637">
        <v>44207</v>
      </c>
      <c r="AC281" s="637">
        <v>44249</v>
      </c>
      <c r="AD281" s="52">
        <v>-1000</v>
      </c>
      <c r="AE281" s="52">
        <v>39</v>
      </c>
      <c r="AF281" s="637">
        <v>44358</v>
      </c>
      <c r="AG281" s="637">
        <v>44364</v>
      </c>
      <c r="AH281" s="52"/>
      <c r="AI281" s="52"/>
      <c r="AJ281" s="637"/>
      <c r="AK281" s="637"/>
      <c r="AL281" s="52"/>
      <c r="AM281" s="52"/>
      <c r="AN281" s="637"/>
      <c r="AO281" s="637"/>
      <c r="AP281" s="52"/>
      <c r="AQ281" s="52"/>
      <c r="AR281" s="637"/>
      <c r="AS281" s="637"/>
      <c r="AT281" s="52"/>
      <c r="AU281" s="52"/>
      <c r="AV281" s="637"/>
      <c r="AW281" s="637"/>
      <c r="AX281" s="52"/>
      <c r="AY281" s="52"/>
      <c r="AZ281" s="637"/>
      <c r="BA281" s="637"/>
      <c r="BB281" s="52"/>
      <c r="BC281" s="52"/>
      <c r="BD281" s="637"/>
      <c r="BE281" s="637"/>
      <c r="BF281" s="137">
        <f t="shared" si="14"/>
        <v>0</v>
      </c>
      <c r="BG281" s="43">
        <f t="shared" si="15"/>
        <v>0</v>
      </c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</row>
    <row r="282" spans="1:99" s="96" customFormat="1" ht="22.5" customHeight="1">
      <c r="A282" s="39"/>
      <c r="B282" s="51">
        <v>267</v>
      </c>
      <c r="C282" s="51" t="s">
        <v>39</v>
      </c>
      <c r="D282" s="42">
        <v>40017003</v>
      </c>
      <c r="E282" s="52" t="s">
        <v>3011</v>
      </c>
      <c r="F282" s="52" t="s">
        <v>317</v>
      </c>
      <c r="G282" s="56" t="s">
        <v>2686</v>
      </c>
      <c r="H282" s="52" t="s">
        <v>2779</v>
      </c>
      <c r="I282" s="52" t="s">
        <v>2537</v>
      </c>
      <c r="J282" s="636">
        <v>430732</v>
      </c>
      <c r="K282" s="52"/>
      <c r="L282" s="52"/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/>
      <c r="W282" s="54"/>
      <c r="X282" s="54"/>
      <c r="Y282" s="54">
        <f t="shared" si="13"/>
        <v>0</v>
      </c>
      <c r="Z282" s="52">
        <v>1000</v>
      </c>
      <c r="AA282" s="52">
        <v>1</v>
      </c>
      <c r="AB282" s="637">
        <v>44207</v>
      </c>
      <c r="AC282" s="637">
        <v>44249</v>
      </c>
      <c r="AD282" s="52">
        <v>-1000</v>
      </c>
      <c r="AE282" s="52">
        <v>39</v>
      </c>
      <c r="AF282" s="637">
        <v>44358</v>
      </c>
      <c r="AG282" s="637">
        <v>44364</v>
      </c>
      <c r="AH282" s="52"/>
      <c r="AI282" s="52"/>
      <c r="AJ282" s="637"/>
      <c r="AK282" s="637"/>
      <c r="AL282" s="52"/>
      <c r="AM282" s="52"/>
      <c r="AN282" s="637"/>
      <c r="AO282" s="637"/>
      <c r="AP282" s="52"/>
      <c r="AQ282" s="52"/>
      <c r="AR282" s="637"/>
      <c r="AS282" s="637"/>
      <c r="AT282" s="52"/>
      <c r="AU282" s="52"/>
      <c r="AV282" s="637"/>
      <c r="AW282" s="637"/>
      <c r="AX282" s="52"/>
      <c r="AY282" s="52"/>
      <c r="AZ282" s="637"/>
      <c r="BA282" s="637"/>
      <c r="BB282" s="52"/>
      <c r="BC282" s="52"/>
      <c r="BD282" s="637"/>
      <c r="BE282" s="637"/>
      <c r="BF282" s="137">
        <f t="shared" si="14"/>
        <v>0</v>
      </c>
      <c r="BG282" s="43">
        <f t="shared" si="15"/>
        <v>0</v>
      </c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</row>
    <row r="283" spans="1:99" s="96" customFormat="1" ht="22.5" customHeight="1">
      <c r="A283" s="39"/>
      <c r="B283" s="51">
        <v>268</v>
      </c>
      <c r="C283" s="51" t="s">
        <v>39</v>
      </c>
      <c r="D283" s="42">
        <v>40017009</v>
      </c>
      <c r="E283" s="52" t="s">
        <v>3012</v>
      </c>
      <c r="F283" s="52" t="s">
        <v>317</v>
      </c>
      <c r="G283" s="56" t="s">
        <v>2686</v>
      </c>
      <c r="H283" s="52" t="s">
        <v>2779</v>
      </c>
      <c r="I283" s="52" t="s">
        <v>2540</v>
      </c>
      <c r="J283" s="636">
        <v>212235</v>
      </c>
      <c r="K283" s="52"/>
      <c r="L283" s="52"/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328676.34900000005</v>
      </c>
      <c r="V283" s="54"/>
      <c r="W283" s="54"/>
      <c r="X283" s="54"/>
      <c r="Y283" s="54">
        <f t="shared" si="13"/>
        <v>328676.34900000005</v>
      </c>
      <c r="Z283" s="52">
        <v>1000</v>
      </c>
      <c r="AA283" s="52">
        <v>1</v>
      </c>
      <c r="AB283" s="637">
        <v>44207</v>
      </c>
      <c r="AC283" s="637">
        <v>44249</v>
      </c>
      <c r="AD283" s="52">
        <v>-1000</v>
      </c>
      <c r="AE283" s="52">
        <v>39</v>
      </c>
      <c r="AF283" s="637">
        <v>44358</v>
      </c>
      <c r="AG283" s="637">
        <v>44364</v>
      </c>
      <c r="AH283" s="52"/>
      <c r="AI283" s="52"/>
      <c r="AJ283" s="637"/>
      <c r="AK283" s="637"/>
      <c r="AL283" s="52"/>
      <c r="AM283" s="52"/>
      <c r="AN283" s="637"/>
      <c r="AO283" s="637"/>
      <c r="AP283" s="52"/>
      <c r="AQ283" s="52"/>
      <c r="AR283" s="637"/>
      <c r="AS283" s="637"/>
      <c r="AT283" s="52"/>
      <c r="AU283" s="52"/>
      <c r="AV283" s="637"/>
      <c r="AW283" s="637"/>
      <c r="AX283" s="52"/>
      <c r="AY283" s="52"/>
      <c r="AZ283" s="637"/>
      <c r="BA283" s="637"/>
      <c r="BB283" s="52"/>
      <c r="BC283" s="52"/>
      <c r="BD283" s="637"/>
      <c r="BE283" s="637"/>
      <c r="BF283" s="137">
        <f t="shared" si="14"/>
        <v>0</v>
      </c>
      <c r="BG283" s="43">
        <f t="shared" si="15"/>
        <v>-328676.34900000005</v>
      </c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</row>
    <row r="284" spans="1:99" s="96" customFormat="1" ht="22.5" customHeight="1">
      <c r="A284" s="39"/>
      <c r="B284" s="51">
        <v>269</v>
      </c>
      <c r="C284" s="51" t="s">
        <v>39</v>
      </c>
      <c r="D284" s="42">
        <v>40017920</v>
      </c>
      <c r="E284" s="52" t="s">
        <v>3013</v>
      </c>
      <c r="F284" s="52" t="s">
        <v>317</v>
      </c>
      <c r="G284" s="56" t="s">
        <v>2686</v>
      </c>
      <c r="H284" s="52" t="s">
        <v>2746</v>
      </c>
      <c r="I284" s="52" t="s">
        <v>2537</v>
      </c>
      <c r="J284" s="636">
        <v>1159993</v>
      </c>
      <c r="K284" s="52"/>
      <c r="L284" s="52"/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/>
      <c r="W284" s="54"/>
      <c r="X284" s="54"/>
      <c r="Y284" s="54">
        <f t="shared" si="13"/>
        <v>0</v>
      </c>
      <c r="Z284" s="52">
        <v>1000</v>
      </c>
      <c r="AA284" s="52">
        <v>1</v>
      </c>
      <c r="AB284" s="637">
        <v>44207</v>
      </c>
      <c r="AC284" s="637">
        <v>44249</v>
      </c>
      <c r="AD284" s="52">
        <v>-1000</v>
      </c>
      <c r="AE284" s="52">
        <v>39</v>
      </c>
      <c r="AF284" s="637">
        <v>44358</v>
      </c>
      <c r="AG284" s="637">
        <v>44364</v>
      </c>
      <c r="AH284" s="52"/>
      <c r="AI284" s="52"/>
      <c r="AJ284" s="637"/>
      <c r="AK284" s="637"/>
      <c r="AL284" s="52"/>
      <c r="AM284" s="52"/>
      <c r="AN284" s="637"/>
      <c r="AO284" s="637"/>
      <c r="AP284" s="52"/>
      <c r="AQ284" s="52"/>
      <c r="AR284" s="637"/>
      <c r="AS284" s="637"/>
      <c r="AT284" s="52"/>
      <c r="AU284" s="52"/>
      <c r="AV284" s="637"/>
      <c r="AW284" s="637"/>
      <c r="AX284" s="52"/>
      <c r="AY284" s="52"/>
      <c r="AZ284" s="637"/>
      <c r="BA284" s="637"/>
      <c r="BB284" s="52"/>
      <c r="BC284" s="52"/>
      <c r="BD284" s="637"/>
      <c r="BE284" s="637"/>
      <c r="BF284" s="137">
        <f t="shared" si="14"/>
        <v>0</v>
      </c>
      <c r="BG284" s="43">
        <f t="shared" si="15"/>
        <v>0</v>
      </c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</row>
    <row r="285" spans="1:99" s="96" customFormat="1" ht="45" customHeight="1">
      <c r="A285" s="39"/>
      <c r="B285" s="51">
        <v>270</v>
      </c>
      <c r="C285" s="51" t="s">
        <v>39</v>
      </c>
      <c r="D285" s="42">
        <v>40018170</v>
      </c>
      <c r="E285" s="52" t="s">
        <v>3014</v>
      </c>
      <c r="F285" s="52" t="s">
        <v>317</v>
      </c>
      <c r="G285" s="56" t="s">
        <v>2686</v>
      </c>
      <c r="H285" s="52" t="s">
        <v>2699</v>
      </c>
      <c r="I285" s="52" t="s">
        <v>2537</v>
      </c>
      <c r="J285" s="636">
        <v>867079</v>
      </c>
      <c r="K285" s="52"/>
      <c r="L285" s="52"/>
      <c r="M285" s="54">
        <v>0</v>
      </c>
      <c r="N285" s="54">
        <v>0</v>
      </c>
      <c r="O285" s="54">
        <v>5200</v>
      </c>
      <c r="P285" s="54">
        <v>4000</v>
      </c>
      <c r="Q285" s="54">
        <v>0</v>
      </c>
      <c r="R285" s="54">
        <v>4000</v>
      </c>
      <c r="S285" s="54">
        <v>4000</v>
      </c>
      <c r="T285" s="54">
        <v>4000</v>
      </c>
      <c r="U285" s="54">
        <v>8000</v>
      </c>
      <c r="V285" s="54"/>
      <c r="W285" s="54"/>
      <c r="X285" s="54"/>
      <c r="Y285" s="54">
        <f t="shared" si="13"/>
        <v>29200</v>
      </c>
      <c r="Z285" s="52">
        <v>1000</v>
      </c>
      <c r="AA285" s="52">
        <v>1</v>
      </c>
      <c r="AB285" s="637">
        <v>44207</v>
      </c>
      <c r="AC285" s="637">
        <v>44249</v>
      </c>
      <c r="AD285" s="52">
        <v>20800</v>
      </c>
      <c r="AE285" s="52">
        <v>10</v>
      </c>
      <c r="AF285" s="637">
        <v>44286</v>
      </c>
      <c r="AG285" s="637">
        <v>44306</v>
      </c>
      <c r="AH285" s="52">
        <v>5400</v>
      </c>
      <c r="AI285" s="52">
        <v>40</v>
      </c>
      <c r="AJ285" s="637">
        <v>44358</v>
      </c>
      <c r="AK285" s="637">
        <v>44364</v>
      </c>
      <c r="AL285" s="52"/>
      <c r="AM285" s="52"/>
      <c r="AN285" s="637"/>
      <c r="AO285" s="637"/>
      <c r="AP285" s="52"/>
      <c r="AQ285" s="52"/>
      <c r="AR285" s="637"/>
      <c r="AS285" s="637"/>
      <c r="AT285" s="52"/>
      <c r="AU285" s="52"/>
      <c r="AV285" s="637"/>
      <c r="AW285" s="637"/>
      <c r="AX285" s="52"/>
      <c r="AY285" s="52"/>
      <c r="AZ285" s="637"/>
      <c r="BA285" s="637"/>
      <c r="BB285" s="52"/>
      <c r="BC285" s="52"/>
      <c r="BD285" s="637"/>
      <c r="BE285" s="637"/>
      <c r="BF285" s="137">
        <f t="shared" si="14"/>
        <v>27200</v>
      </c>
      <c r="BG285" s="43">
        <f t="shared" si="15"/>
        <v>-2000</v>
      </c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</row>
    <row r="286" spans="1:99" s="96" customFormat="1" ht="22.5" customHeight="1">
      <c r="A286" s="39"/>
      <c r="B286" s="51">
        <v>271</v>
      </c>
      <c r="C286" s="51" t="s">
        <v>39</v>
      </c>
      <c r="D286" s="42">
        <v>40018858</v>
      </c>
      <c r="E286" s="52" t="s">
        <v>3015</v>
      </c>
      <c r="F286" s="52" t="s">
        <v>317</v>
      </c>
      <c r="G286" s="56" t="s">
        <v>2686</v>
      </c>
      <c r="H286" s="52" t="s">
        <v>2781</v>
      </c>
      <c r="I286" s="52" t="s">
        <v>2537</v>
      </c>
      <c r="J286" s="636">
        <v>330287</v>
      </c>
      <c r="K286" s="52"/>
      <c r="L286" s="52"/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/>
      <c r="W286" s="54"/>
      <c r="X286" s="54"/>
      <c r="Y286" s="54">
        <f t="shared" si="13"/>
        <v>0</v>
      </c>
      <c r="Z286" s="52">
        <v>1000</v>
      </c>
      <c r="AA286" s="52">
        <v>1</v>
      </c>
      <c r="AB286" s="637">
        <v>44207</v>
      </c>
      <c r="AC286" s="637">
        <v>44249</v>
      </c>
      <c r="AD286" s="52">
        <v>-1000</v>
      </c>
      <c r="AE286" s="52">
        <v>39</v>
      </c>
      <c r="AF286" s="637">
        <v>44358</v>
      </c>
      <c r="AG286" s="637">
        <v>44364</v>
      </c>
      <c r="AH286" s="52"/>
      <c r="AI286" s="52"/>
      <c r="AJ286" s="637"/>
      <c r="AK286" s="637"/>
      <c r="AL286" s="52"/>
      <c r="AM286" s="52"/>
      <c r="AN286" s="637"/>
      <c r="AO286" s="637"/>
      <c r="AP286" s="52"/>
      <c r="AQ286" s="52"/>
      <c r="AR286" s="637"/>
      <c r="AS286" s="637"/>
      <c r="AT286" s="52"/>
      <c r="AU286" s="52"/>
      <c r="AV286" s="637"/>
      <c r="AW286" s="637"/>
      <c r="AX286" s="52"/>
      <c r="AY286" s="52"/>
      <c r="AZ286" s="637"/>
      <c r="BA286" s="637"/>
      <c r="BB286" s="52"/>
      <c r="BC286" s="52"/>
      <c r="BD286" s="637"/>
      <c r="BE286" s="637"/>
      <c r="BF286" s="137">
        <f t="shared" si="14"/>
        <v>0</v>
      </c>
      <c r="BG286" s="43">
        <f t="shared" si="15"/>
        <v>0</v>
      </c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</row>
    <row r="287" spans="1:99" s="96" customFormat="1" ht="22.5" customHeight="1">
      <c r="A287" s="39"/>
      <c r="B287" s="51">
        <v>272</v>
      </c>
      <c r="C287" s="51" t="s">
        <v>39</v>
      </c>
      <c r="D287" s="42">
        <v>40018988</v>
      </c>
      <c r="E287" s="52" t="s">
        <v>3016</v>
      </c>
      <c r="F287" s="52" t="s">
        <v>317</v>
      </c>
      <c r="G287" s="56" t="s">
        <v>2686</v>
      </c>
      <c r="H287" s="52" t="s">
        <v>2735</v>
      </c>
      <c r="I287" s="52" t="s">
        <v>2537</v>
      </c>
      <c r="J287" s="636">
        <v>115030</v>
      </c>
      <c r="K287" s="52"/>
      <c r="L287" s="52"/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/>
      <c r="W287" s="54"/>
      <c r="X287" s="54"/>
      <c r="Y287" s="54">
        <f t="shared" si="13"/>
        <v>0</v>
      </c>
      <c r="Z287" s="52">
        <v>1000</v>
      </c>
      <c r="AA287" s="52">
        <v>1</v>
      </c>
      <c r="AB287" s="637">
        <v>44207</v>
      </c>
      <c r="AC287" s="637">
        <v>44249</v>
      </c>
      <c r="AD287" s="52">
        <v>-1000</v>
      </c>
      <c r="AE287" s="52">
        <v>39</v>
      </c>
      <c r="AF287" s="637">
        <v>44358</v>
      </c>
      <c r="AG287" s="637">
        <v>44364</v>
      </c>
      <c r="AH287" s="52"/>
      <c r="AI287" s="52"/>
      <c r="AJ287" s="637"/>
      <c r="AK287" s="637"/>
      <c r="AL287" s="52"/>
      <c r="AM287" s="52"/>
      <c r="AN287" s="637"/>
      <c r="AO287" s="637"/>
      <c r="AP287" s="52"/>
      <c r="AQ287" s="52"/>
      <c r="AR287" s="637"/>
      <c r="AS287" s="637"/>
      <c r="AT287" s="52"/>
      <c r="AU287" s="52"/>
      <c r="AV287" s="637"/>
      <c r="AW287" s="637"/>
      <c r="AX287" s="52"/>
      <c r="AY287" s="52"/>
      <c r="AZ287" s="637"/>
      <c r="BA287" s="637"/>
      <c r="BB287" s="52"/>
      <c r="BC287" s="52"/>
      <c r="BD287" s="637"/>
      <c r="BE287" s="637"/>
      <c r="BF287" s="137">
        <f t="shared" si="14"/>
        <v>0</v>
      </c>
      <c r="BG287" s="43">
        <f t="shared" si="15"/>
        <v>0</v>
      </c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</row>
    <row r="288" spans="1:99" s="96" customFormat="1" ht="22.5" customHeight="1">
      <c r="A288" s="39"/>
      <c r="B288" s="51">
        <v>273</v>
      </c>
      <c r="C288" s="51" t="s">
        <v>39</v>
      </c>
      <c r="D288" s="42">
        <v>40019091</v>
      </c>
      <c r="E288" s="52" t="s">
        <v>3017</v>
      </c>
      <c r="F288" s="52" t="s">
        <v>317</v>
      </c>
      <c r="G288" s="56" t="s">
        <v>2686</v>
      </c>
      <c r="H288" s="52" t="s">
        <v>2901</v>
      </c>
      <c r="I288" s="52" t="s">
        <v>2537</v>
      </c>
      <c r="J288" s="636">
        <v>182173</v>
      </c>
      <c r="K288" s="52"/>
      <c r="L288" s="52"/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/>
      <c r="W288" s="54"/>
      <c r="X288" s="54"/>
      <c r="Y288" s="54">
        <f t="shared" si="13"/>
        <v>0</v>
      </c>
      <c r="Z288" s="52">
        <v>1000</v>
      </c>
      <c r="AA288" s="52">
        <v>1</v>
      </c>
      <c r="AB288" s="637">
        <v>44207</v>
      </c>
      <c r="AC288" s="637">
        <v>44249</v>
      </c>
      <c r="AD288" s="52">
        <v>-1000</v>
      </c>
      <c r="AE288" s="52">
        <v>39</v>
      </c>
      <c r="AF288" s="637">
        <v>44358</v>
      </c>
      <c r="AG288" s="637">
        <v>44364</v>
      </c>
      <c r="AH288" s="52"/>
      <c r="AI288" s="52"/>
      <c r="AJ288" s="637"/>
      <c r="AK288" s="637"/>
      <c r="AL288" s="52"/>
      <c r="AM288" s="52"/>
      <c r="AN288" s="637"/>
      <c r="AO288" s="637"/>
      <c r="AP288" s="52"/>
      <c r="AQ288" s="52"/>
      <c r="AR288" s="637"/>
      <c r="AS288" s="637"/>
      <c r="AT288" s="52"/>
      <c r="AU288" s="52"/>
      <c r="AV288" s="637"/>
      <c r="AW288" s="637"/>
      <c r="AX288" s="52"/>
      <c r="AY288" s="52"/>
      <c r="AZ288" s="637"/>
      <c r="BA288" s="637"/>
      <c r="BB288" s="52"/>
      <c r="BC288" s="52"/>
      <c r="BD288" s="637"/>
      <c r="BE288" s="637"/>
      <c r="BF288" s="137">
        <f t="shared" si="14"/>
        <v>0</v>
      </c>
      <c r="BG288" s="43">
        <f t="shared" si="15"/>
        <v>0</v>
      </c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</row>
    <row r="289" spans="1:99" s="96" customFormat="1" ht="33.75" customHeight="1">
      <c r="A289" s="39"/>
      <c r="B289" s="51">
        <v>274</v>
      </c>
      <c r="C289" s="51" t="s">
        <v>39</v>
      </c>
      <c r="D289" s="42">
        <v>40019124</v>
      </c>
      <c r="E289" s="52" t="s">
        <v>3018</v>
      </c>
      <c r="F289" s="52" t="s">
        <v>317</v>
      </c>
      <c r="G289" s="56" t="s">
        <v>2686</v>
      </c>
      <c r="H289" s="52" t="s">
        <v>2691</v>
      </c>
      <c r="I289" s="52" t="s">
        <v>2537</v>
      </c>
      <c r="J289" s="636">
        <v>42382</v>
      </c>
      <c r="K289" s="52"/>
      <c r="L289" s="52"/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/>
      <c r="W289" s="54"/>
      <c r="X289" s="54"/>
      <c r="Y289" s="54">
        <f t="shared" si="13"/>
        <v>0</v>
      </c>
      <c r="Z289" s="52">
        <v>1000</v>
      </c>
      <c r="AA289" s="52">
        <v>1</v>
      </c>
      <c r="AB289" s="637">
        <v>44207</v>
      </c>
      <c r="AC289" s="637">
        <v>44249</v>
      </c>
      <c r="AD289" s="52">
        <v>-1000</v>
      </c>
      <c r="AE289" s="52">
        <v>39</v>
      </c>
      <c r="AF289" s="637">
        <v>44358</v>
      </c>
      <c r="AG289" s="637">
        <v>44364</v>
      </c>
      <c r="AH289" s="52"/>
      <c r="AI289" s="52"/>
      <c r="AJ289" s="637"/>
      <c r="AK289" s="637"/>
      <c r="AL289" s="52"/>
      <c r="AM289" s="52"/>
      <c r="AN289" s="637"/>
      <c r="AO289" s="637"/>
      <c r="AP289" s="52"/>
      <c r="AQ289" s="52"/>
      <c r="AR289" s="637"/>
      <c r="AS289" s="637"/>
      <c r="AT289" s="52"/>
      <c r="AU289" s="52"/>
      <c r="AV289" s="637"/>
      <c r="AW289" s="637"/>
      <c r="AX289" s="52"/>
      <c r="AY289" s="52"/>
      <c r="AZ289" s="637"/>
      <c r="BA289" s="637"/>
      <c r="BB289" s="52"/>
      <c r="BC289" s="52"/>
      <c r="BD289" s="637"/>
      <c r="BE289" s="637"/>
      <c r="BF289" s="137">
        <f t="shared" si="14"/>
        <v>0</v>
      </c>
      <c r="BG289" s="43">
        <f t="shared" si="15"/>
        <v>0</v>
      </c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</row>
    <row r="290" spans="1:99" s="96" customFormat="1" ht="33.75" customHeight="1">
      <c r="A290" s="39"/>
      <c r="B290" s="51">
        <v>275</v>
      </c>
      <c r="C290" s="51" t="s">
        <v>39</v>
      </c>
      <c r="D290" s="42">
        <v>40019165</v>
      </c>
      <c r="E290" s="52" t="s">
        <v>3019</v>
      </c>
      <c r="F290" s="52" t="s">
        <v>317</v>
      </c>
      <c r="G290" s="56" t="s">
        <v>2686</v>
      </c>
      <c r="H290" s="52" t="s">
        <v>2901</v>
      </c>
      <c r="I290" s="52" t="s">
        <v>2537</v>
      </c>
      <c r="J290" s="636">
        <v>28722</v>
      </c>
      <c r="K290" s="52"/>
      <c r="L290" s="52"/>
      <c r="M290" s="54">
        <v>0</v>
      </c>
      <c r="N290" s="54">
        <v>23931.715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/>
      <c r="W290" s="54"/>
      <c r="X290" s="54"/>
      <c r="Y290" s="54">
        <f t="shared" si="13"/>
        <v>23931.715</v>
      </c>
      <c r="Z290" s="52">
        <v>1000</v>
      </c>
      <c r="AA290" s="52">
        <v>1</v>
      </c>
      <c r="AB290" s="637">
        <v>44207</v>
      </c>
      <c r="AC290" s="637">
        <v>44249</v>
      </c>
      <c r="AD290" s="52">
        <v>27722</v>
      </c>
      <c r="AE290" s="52">
        <v>8</v>
      </c>
      <c r="AF290" s="637">
        <v>44252</v>
      </c>
      <c r="AG290" s="637">
        <v>44292</v>
      </c>
      <c r="AH290" s="52"/>
      <c r="AI290" s="52"/>
      <c r="AJ290" s="637"/>
      <c r="AK290" s="637"/>
      <c r="AL290" s="52"/>
      <c r="AM290" s="52"/>
      <c r="AN290" s="637"/>
      <c r="AO290" s="637"/>
      <c r="AP290" s="52"/>
      <c r="AQ290" s="52"/>
      <c r="AR290" s="637"/>
      <c r="AS290" s="637"/>
      <c r="AT290" s="52"/>
      <c r="AU290" s="52"/>
      <c r="AV290" s="637"/>
      <c r="AW290" s="637"/>
      <c r="AX290" s="52"/>
      <c r="AY290" s="52"/>
      <c r="AZ290" s="637"/>
      <c r="BA290" s="637"/>
      <c r="BB290" s="52"/>
      <c r="BC290" s="52"/>
      <c r="BD290" s="637"/>
      <c r="BE290" s="637"/>
      <c r="BF290" s="137">
        <f t="shared" si="14"/>
        <v>28722</v>
      </c>
      <c r="BG290" s="43">
        <f t="shared" si="15"/>
        <v>4790.2849999999999</v>
      </c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</row>
    <row r="291" spans="1:99" s="96" customFormat="1" ht="22.5" customHeight="1">
      <c r="A291" s="39"/>
      <c r="B291" s="51">
        <v>276</v>
      </c>
      <c r="C291" s="51" t="s">
        <v>39</v>
      </c>
      <c r="D291" s="42">
        <v>40019420</v>
      </c>
      <c r="E291" s="52" t="s">
        <v>3020</v>
      </c>
      <c r="F291" s="52" t="s">
        <v>317</v>
      </c>
      <c r="G291" s="56" t="s">
        <v>2686</v>
      </c>
      <c r="H291" s="52" t="s">
        <v>2914</v>
      </c>
      <c r="I291" s="52" t="s">
        <v>2537</v>
      </c>
      <c r="J291" s="636">
        <v>61350</v>
      </c>
      <c r="K291" s="52"/>
      <c r="L291" s="52"/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43516.232000000004</v>
      </c>
      <c r="V291" s="54"/>
      <c r="W291" s="54"/>
      <c r="X291" s="54"/>
      <c r="Y291" s="54">
        <f t="shared" si="13"/>
        <v>43516.232000000004</v>
      </c>
      <c r="Z291" s="52">
        <v>1000</v>
      </c>
      <c r="AA291" s="52">
        <v>1</v>
      </c>
      <c r="AB291" s="637">
        <v>44207</v>
      </c>
      <c r="AC291" s="637">
        <v>44249</v>
      </c>
      <c r="AD291" s="52">
        <v>-1000</v>
      </c>
      <c r="AE291" s="52">
        <v>39</v>
      </c>
      <c r="AF291" s="637">
        <v>44358</v>
      </c>
      <c r="AG291" s="637">
        <v>44364</v>
      </c>
      <c r="AH291" s="52"/>
      <c r="AI291" s="52"/>
      <c r="AJ291" s="637"/>
      <c r="AK291" s="637"/>
      <c r="AL291" s="52"/>
      <c r="AM291" s="52"/>
      <c r="AN291" s="637"/>
      <c r="AO291" s="637"/>
      <c r="AP291" s="52"/>
      <c r="AQ291" s="52"/>
      <c r="AR291" s="637"/>
      <c r="AS291" s="637"/>
      <c r="AT291" s="52"/>
      <c r="AU291" s="52"/>
      <c r="AV291" s="637"/>
      <c r="AW291" s="637"/>
      <c r="AX291" s="52"/>
      <c r="AY291" s="52"/>
      <c r="AZ291" s="637"/>
      <c r="BA291" s="637"/>
      <c r="BB291" s="52"/>
      <c r="BC291" s="52"/>
      <c r="BD291" s="637"/>
      <c r="BE291" s="637"/>
      <c r="BF291" s="137">
        <f t="shared" si="14"/>
        <v>0</v>
      </c>
      <c r="BG291" s="43">
        <f t="shared" si="15"/>
        <v>-43516.232000000004</v>
      </c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</row>
    <row r="292" spans="1:99" s="96" customFormat="1" ht="22.5" customHeight="1">
      <c r="A292" s="39"/>
      <c r="B292" s="51">
        <v>277</v>
      </c>
      <c r="C292" s="51" t="s">
        <v>39</v>
      </c>
      <c r="D292" s="42">
        <v>40019421</v>
      </c>
      <c r="E292" s="52" t="s">
        <v>3021</v>
      </c>
      <c r="F292" s="52" t="s">
        <v>317</v>
      </c>
      <c r="G292" s="56" t="s">
        <v>2686</v>
      </c>
      <c r="H292" s="52" t="s">
        <v>2914</v>
      </c>
      <c r="I292" s="52" t="s">
        <v>2537</v>
      </c>
      <c r="J292" s="636">
        <v>61350</v>
      </c>
      <c r="K292" s="52"/>
      <c r="L292" s="52"/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/>
      <c r="W292" s="54"/>
      <c r="X292" s="54"/>
      <c r="Y292" s="54">
        <f t="shared" si="13"/>
        <v>0</v>
      </c>
      <c r="Z292" s="52">
        <v>1000</v>
      </c>
      <c r="AA292" s="52">
        <v>1</v>
      </c>
      <c r="AB292" s="637">
        <v>44207</v>
      </c>
      <c r="AC292" s="637">
        <v>44249</v>
      </c>
      <c r="AD292" s="52">
        <v>-1000</v>
      </c>
      <c r="AE292" s="52">
        <v>39</v>
      </c>
      <c r="AF292" s="637">
        <v>44358</v>
      </c>
      <c r="AG292" s="637">
        <v>44364</v>
      </c>
      <c r="AH292" s="52"/>
      <c r="AI292" s="52"/>
      <c r="AJ292" s="637"/>
      <c r="AK292" s="637"/>
      <c r="AL292" s="52"/>
      <c r="AM292" s="52"/>
      <c r="AN292" s="637"/>
      <c r="AO292" s="637"/>
      <c r="AP292" s="52"/>
      <c r="AQ292" s="52"/>
      <c r="AR292" s="637"/>
      <c r="AS292" s="637"/>
      <c r="AT292" s="52"/>
      <c r="AU292" s="52"/>
      <c r="AV292" s="637"/>
      <c r="AW292" s="637"/>
      <c r="AX292" s="52"/>
      <c r="AY292" s="52"/>
      <c r="AZ292" s="637"/>
      <c r="BA292" s="637"/>
      <c r="BB292" s="52"/>
      <c r="BC292" s="52"/>
      <c r="BD292" s="637"/>
      <c r="BE292" s="637"/>
      <c r="BF292" s="137">
        <f t="shared" si="14"/>
        <v>0</v>
      </c>
      <c r="BG292" s="43">
        <f t="shared" si="15"/>
        <v>0</v>
      </c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</row>
    <row r="293" spans="1:99" s="96" customFormat="1" ht="22.5" customHeight="1">
      <c r="A293" s="39"/>
      <c r="B293" s="51">
        <v>278</v>
      </c>
      <c r="C293" s="51" t="s">
        <v>39</v>
      </c>
      <c r="D293" s="42">
        <v>40019583</v>
      </c>
      <c r="E293" s="52" t="s">
        <v>3022</v>
      </c>
      <c r="F293" s="52" t="s">
        <v>317</v>
      </c>
      <c r="G293" s="56" t="s">
        <v>2686</v>
      </c>
      <c r="H293" s="52" t="s">
        <v>2914</v>
      </c>
      <c r="I293" s="52" t="s">
        <v>2537</v>
      </c>
      <c r="J293" s="636">
        <v>98882</v>
      </c>
      <c r="K293" s="52"/>
      <c r="L293" s="52"/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21744.616999999998</v>
      </c>
      <c r="U293" s="54">
        <v>0</v>
      </c>
      <c r="V293" s="54"/>
      <c r="W293" s="54"/>
      <c r="X293" s="54"/>
      <c r="Y293" s="54">
        <f t="shared" si="13"/>
        <v>21744.616999999998</v>
      </c>
      <c r="Z293" s="52">
        <v>1000</v>
      </c>
      <c r="AA293" s="52">
        <v>1</v>
      </c>
      <c r="AB293" s="637">
        <v>44207</v>
      </c>
      <c r="AC293" s="637">
        <v>44249</v>
      </c>
      <c r="AD293" s="52">
        <v>-1000</v>
      </c>
      <c r="AE293" s="52">
        <v>39</v>
      </c>
      <c r="AF293" s="637">
        <v>44358</v>
      </c>
      <c r="AG293" s="637">
        <v>44364</v>
      </c>
      <c r="AH293" s="52"/>
      <c r="AI293" s="52"/>
      <c r="AJ293" s="637"/>
      <c r="AK293" s="637"/>
      <c r="AL293" s="52"/>
      <c r="AM293" s="52"/>
      <c r="AN293" s="637"/>
      <c r="AO293" s="637"/>
      <c r="AP293" s="52"/>
      <c r="AQ293" s="52"/>
      <c r="AR293" s="637"/>
      <c r="AS293" s="637"/>
      <c r="AT293" s="52"/>
      <c r="AU293" s="52"/>
      <c r="AV293" s="637"/>
      <c r="AW293" s="637"/>
      <c r="AX293" s="52"/>
      <c r="AY293" s="52"/>
      <c r="AZ293" s="637"/>
      <c r="BA293" s="637"/>
      <c r="BB293" s="52"/>
      <c r="BC293" s="52"/>
      <c r="BD293" s="637"/>
      <c r="BE293" s="637"/>
      <c r="BF293" s="137">
        <f t="shared" si="14"/>
        <v>0</v>
      </c>
      <c r="BG293" s="43">
        <f t="shared" si="15"/>
        <v>-21744.616999999998</v>
      </c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</row>
    <row r="294" spans="1:99" s="96" customFormat="1" ht="22.5" customHeight="1">
      <c r="A294" s="39"/>
      <c r="B294" s="51">
        <v>279</v>
      </c>
      <c r="C294" s="51" t="s">
        <v>39</v>
      </c>
      <c r="D294" s="42">
        <v>40019584</v>
      </c>
      <c r="E294" s="52" t="s">
        <v>3023</v>
      </c>
      <c r="F294" s="52" t="s">
        <v>317</v>
      </c>
      <c r="G294" s="56" t="s">
        <v>2686</v>
      </c>
      <c r="H294" s="52" t="s">
        <v>2914</v>
      </c>
      <c r="I294" s="52" t="s">
        <v>2537</v>
      </c>
      <c r="J294" s="636">
        <v>98882</v>
      </c>
      <c r="K294" s="52"/>
      <c r="L294" s="52"/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13089.098</v>
      </c>
      <c r="U294" s="54">
        <v>26123.781999999999</v>
      </c>
      <c r="V294" s="54"/>
      <c r="W294" s="54"/>
      <c r="X294" s="54"/>
      <c r="Y294" s="54">
        <f t="shared" si="13"/>
        <v>39212.879999999997</v>
      </c>
      <c r="Z294" s="52">
        <v>1000</v>
      </c>
      <c r="AA294" s="52">
        <v>1</v>
      </c>
      <c r="AB294" s="637">
        <v>44207</v>
      </c>
      <c r="AC294" s="637">
        <v>44249</v>
      </c>
      <c r="AD294" s="52">
        <v>-1000</v>
      </c>
      <c r="AE294" s="52">
        <v>39</v>
      </c>
      <c r="AF294" s="637">
        <v>44358</v>
      </c>
      <c r="AG294" s="637">
        <v>44364</v>
      </c>
      <c r="AH294" s="52"/>
      <c r="AI294" s="52"/>
      <c r="AJ294" s="637"/>
      <c r="AK294" s="637"/>
      <c r="AL294" s="52"/>
      <c r="AM294" s="52"/>
      <c r="AN294" s="637"/>
      <c r="AO294" s="637"/>
      <c r="AP294" s="52"/>
      <c r="AQ294" s="52"/>
      <c r="AR294" s="637"/>
      <c r="AS294" s="637"/>
      <c r="AT294" s="52"/>
      <c r="AU294" s="52"/>
      <c r="AV294" s="637"/>
      <c r="AW294" s="637"/>
      <c r="AX294" s="52"/>
      <c r="AY294" s="52"/>
      <c r="AZ294" s="637"/>
      <c r="BA294" s="637"/>
      <c r="BB294" s="52"/>
      <c r="BC294" s="52"/>
      <c r="BD294" s="637"/>
      <c r="BE294" s="637"/>
      <c r="BF294" s="137">
        <f t="shared" si="14"/>
        <v>0</v>
      </c>
      <c r="BG294" s="43">
        <f t="shared" si="15"/>
        <v>-39212.879999999997</v>
      </c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</row>
    <row r="295" spans="1:99" s="96" customFormat="1" ht="22.5" customHeight="1">
      <c r="A295" s="39"/>
      <c r="B295" s="51">
        <v>280</v>
      </c>
      <c r="C295" s="51" t="s">
        <v>39</v>
      </c>
      <c r="D295" s="42">
        <v>40019585</v>
      </c>
      <c r="E295" s="52" t="s">
        <v>3024</v>
      </c>
      <c r="F295" s="52" t="s">
        <v>317</v>
      </c>
      <c r="G295" s="56" t="s">
        <v>2686</v>
      </c>
      <c r="H295" s="52" t="s">
        <v>2914</v>
      </c>
      <c r="I295" s="52" t="s">
        <v>2537</v>
      </c>
      <c r="J295" s="636">
        <v>98882</v>
      </c>
      <c r="K295" s="52"/>
      <c r="L295" s="52"/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10512.534</v>
      </c>
      <c r="U295" s="54">
        <v>0</v>
      </c>
      <c r="V295" s="54"/>
      <c r="W295" s="54"/>
      <c r="X295" s="54"/>
      <c r="Y295" s="54">
        <f t="shared" si="13"/>
        <v>10512.534</v>
      </c>
      <c r="Z295" s="52">
        <v>1000</v>
      </c>
      <c r="AA295" s="52">
        <v>1</v>
      </c>
      <c r="AB295" s="637">
        <v>44207</v>
      </c>
      <c r="AC295" s="637">
        <v>44249</v>
      </c>
      <c r="AD295" s="52">
        <v>-1000</v>
      </c>
      <c r="AE295" s="52">
        <v>39</v>
      </c>
      <c r="AF295" s="637">
        <v>44358</v>
      </c>
      <c r="AG295" s="637">
        <v>44364</v>
      </c>
      <c r="AH295" s="52"/>
      <c r="AI295" s="52"/>
      <c r="AJ295" s="637"/>
      <c r="AK295" s="637"/>
      <c r="AL295" s="52"/>
      <c r="AM295" s="52"/>
      <c r="AN295" s="637"/>
      <c r="AO295" s="637"/>
      <c r="AP295" s="52"/>
      <c r="AQ295" s="52"/>
      <c r="AR295" s="637"/>
      <c r="AS295" s="637"/>
      <c r="AT295" s="52"/>
      <c r="AU295" s="52"/>
      <c r="AV295" s="637"/>
      <c r="AW295" s="637"/>
      <c r="AX295" s="52"/>
      <c r="AY295" s="52"/>
      <c r="AZ295" s="637"/>
      <c r="BA295" s="637"/>
      <c r="BB295" s="52"/>
      <c r="BC295" s="52"/>
      <c r="BD295" s="637"/>
      <c r="BE295" s="637"/>
      <c r="BF295" s="137">
        <f t="shared" si="14"/>
        <v>0</v>
      </c>
      <c r="BG295" s="43">
        <f t="shared" si="15"/>
        <v>-10512.534</v>
      </c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</row>
    <row r="296" spans="1:99" s="96" customFormat="1" ht="22.5" customHeight="1">
      <c r="A296" s="39"/>
      <c r="B296" s="51">
        <v>281</v>
      </c>
      <c r="C296" s="51" t="s">
        <v>39</v>
      </c>
      <c r="D296" s="42">
        <v>40019686</v>
      </c>
      <c r="E296" s="52" t="s">
        <v>3025</v>
      </c>
      <c r="F296" s="52" t="s">
        <v>47</v>
      </c>
      <c r="G296" s="56" t="s">
        <v>2686</v>
      </c>
      <c r="H296" s="52" t="s">
        <v>2880</v>
      </c>
      <c r="I296" s="52" t="s">
        <v>2540</v>
      </c>
      <c r="J296" s="636">
        <v>221379</v>
      </c>
      <c r="K296" s="52"/>
      <c r="L296" s="52"/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/>
      <c r="W296" s="54"/>
      <c r="X296" s="54"/>
      <c r="Y296" s="54">
        <f t="shared" si="13"/>
        <v>0</v>
      </c>
      <c r="Z296" s="52">
        <v>1000</v>
      </c>
      <c r="AA296" s="52">
        <v>1</v>
      </c>
      <c r="AB296" s="637">
        <v>44207</v>
      </c>
      <c r="AC296" s="637">
        <v>44249</v>
      </c>
      <c r="AD296" s="52">
        <v>-1000</v>
      </c>
      <c r="AE296" s="52">
        <v>39</v>
      </c>
      <c r="AF296" s="637">
        <v>44358</v>
      </c>
      <c r="AG296" s="637">
        <v>44364</v>
      </c>
      <c r="AH296" s="52"/>
      <c r="AI296" s="52"/>
      <c r="AJ296" s="637"/>
      <c r="AK296" s="637"/>
      <c r="AL296" s="52"/>
      <c r="AM296" s="52"/>
      <c r="AN296" s="637"/>
      <c r="AO296" s="637"/>
      <c r="AP296" s="52"/>
      <c r="AQ296" s="52"/>
      <c r="AR296" s="637"/>
      <c r="AS296" s="637"/>
      <c r="AT296" s="52"/>
      <c r="AU296" s="52"/>
      <c r="AV296" s="637"/>
      <c r="AW296" s="637"/>
      <c r="AX296" s="52"/>
      <c r="AY296" s="52"/>
      <c r="AZ296" s="637"/>
      <c r="BA296" s="637"/>
      <c r="BB296" s="52"/>
      <c r="BC296" s="52"/>
      <c r="BD296" s="637"/>
      <c r="BE296" s="637"/>
      <c r="BF296" s="137">
        <f t="shared" si="14"/>
        <v>0</v>
      </c>
      <c r="BG296" s="43">
        <f t="shared" si="15"/>
        <v>0</v>
      </c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</row>
    <row r="297" spans="1:99" s="96" customFormat="1" ht="22.5" customHeight="1">
      <c r="A297" s="39"/>
      <c r="B297" s="51">
        <v>282</v>
      </c>
      <c r="C297" s="51" t="s">
        <v>39</v>
      </c>
      <c r="D297" s="42">
        <v>40019997</v>
      </c>
      <c r="E297" s="52" t="s">
        <v>3026</v>
      </c>
      <c r="F297" s="52" t="s">
        <v>317</v>
      </c>
      <c r="G297" s="56" t="s">
        <v>2686</v>
      </c>
      <c r="H297" s="52" t="s">
        <v>2814</v>
      </c>
      <c r="I297" s="52" t="s">
        <v>2537</v>
      </c>
      <c r="J297" s="636">
        <v>1447521</v>
      </c>
      <c r="K297" s="52"/>
      <c r="L297" s="52"/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/>
      <c r="W297" s="54"/>
      <c r="X297" s="54"/>
      <c r="Y297" s="54">
        <f t="shared" si="13"/>
        <v>0</v>
      </c>
      <c r="Z297" s="52">
        <v>1000</v>
      </c>
      <c r="AA297" s="52">
        <v>1</v>
      </c>
      <c r="AB297" s="637">
        <v>44207</v>
      </c>
      <c r="AC297" s="637">
        <v>44249</v>
      </c>
      <c r="AD297" s="52">
        <v>-1000</v>
      </c>
      <c r="AE297" s="52">
        <v>39</v>
      </c>
      <c r="AF297" s="637">
        <v>44358</v>
      </c>
      <c r="AG297" s="637">
        <v>44364</v>
      </c>
      <c r="AH297" s="52"/>
      <c r="AI297" s="52"/>
      <c r="AJ297" s="637"/>
      <c r="AK297" s="637"/>
      <c r="AL297" s="52"/>
      <c r="AM297" s="52"/>
      <c r="AN297" s="637"/>
      <c r="AO297" s="637"/>
      <c r="AP297" s="52"/>
      <c r="AQ297" s="52"/>
      <c r="AR297" s="637"/>
      <c r="AS297" s="637"/>
      <c r="AT297" s="52"/>
      <c r="AU297" s="52"/>
      <c r="AV297" s="637"/>
      <c r="AW297" s="637"/>
      <c r="AX297" s="52"/>
      <c r="AY297" s="52"/>
      <c r="AZ297" s="637"/>
      <c r="BA297" s="637"/>
      <c r="BB297" s="52"/>
      <c r="BC297" s="52"/>
      <c r="BD297" s="637"/>
      <c r="BE297" s="637"/>
      <c r="BF297" s="137">
        <f t="shared" si="14"/>
        <v>0</v>
      </c>
      <c r="BG297" s="43">
        <f t="shared" si="15"/>
        <v>0</v>
      </c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</row>
    <row r="298" spans="1:99" s="96" customFormat="1" ht="22.5" customHeight="1">
      <c r="A298" s="39"/>
      <c r="B298" s="51">
        <v>283</v>
      </c>
      <c r="C298" s="51" t="s">
        <v>39</v>
      </c>
      <c r="D298" s="42">
        <v>40020766</v>
      </c>
      <c r="E298" s="52" t="s">
        <v>3027</v>
      </c>
      <c r="F298" s="52" t="s">
        <v>317</v>
      </c>
      <c r="G298" s="56" t="s">
        <v>2686</v>
      </c>
      <c r="H298" s="52" t="s">
        <v>2914</v>
      </c>
      <c r="I298" s="52" t="s">
        <v>2537</v>
      </c>
      <c r="J298" s="636">
        <v>61350</v>
      </c>
      <c r="K298" s="52"/>
      <c r="L298" s="52"/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29337.22</v>
      </c>
      <c r="U298" s="54">
        <v>30582.448</v>
      </c>
      <c r="V298" s="54"/>
      <c r="W298" s="54"/>
      <c r="X298" s="54"/>
      <c r="Y298" s="54">
        <f t="shared" si="13"/>
        <v>59919.668000000005</v>
      </c>
      <c r="Z298" s="52">
        <v>1000</v>
      </c>
      <c r="AA298" s="52">
        <v>1</v>
      </c>
      <c r="AB298" s="637">
        <v>44207</v>
      </c>
      <c r="AC298" s="637">
        <v>44249</v>
      </c>
      <c r="AD298" s="52">
        <v>-1000</v>
      </c>
      <c r="AE298" s="52">
        <v>39</v>
      </c>
      <c r="AF298" s="637">
        <v>44358</v>
      </c>
      <c r="AG298" s="637">
        <v>44364</v>
      </c>
      <c r="AH298" s="52"/>
      <c r="AI298" s="52"/>
      <c r="AJ298" s="637"/>
      <c r="AK298" s="637"/>
      <c r="AL298" s="52"/>
      <c r="AM298" s="52"/>
      <c r="AN298" s="637"/>
      <c r="AO298" s="637"/>
      <c r="AP298" s="52"/>
      <c r="AQ298" s="52"/>
      <c r="AR298" s="637"/>
      <c r="AS298" s="637"/>
      <c r="AT298" s="52"/>
      <c r="AU298" s="52"/>
      <c r="AV298" s="637"/>
      <c r="AW298" s="637"/>
      <c r="AX298" s="52"/>
      <c r="AY298" s="52"/>
      <c r="AZ298" s="637"/>
      <c r="BA298" s="637"/>
      <c r="BB298" s="52"/>
      <c r="BC298" s="52"/>
      <c r="BD298" s="637"/>
      <c r="BE298" s="637"/>
      <c r="BF298" s="137">
        <f t="shared" si="14"/>
        <v>0</v>
      </c>
      <c r="BG298" s="43">
        <f t="shared" si="15"/>
        <v>-59919.668000000005</v>
      </c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</row>
    <row r="299" spans="1:99" s="96" customFormat="1" ht="33.75" customHeight="1">
      <c r="A299" s="39"/>
      <c r="B299" s="51">
        <v>284</v>
      </c>
      <c r="C299" s="51" t="s">
        <v>39</v>
      </c>
      <c r="D299" s="42">
        <v>40003863</v>
      </c>
      <c r="E299" s="52" t="s">
        <v>3028</v>
      </c>
      <c r="F299" s="52" t="s">
        <v>47</v>
      </c>
      <c r="G299" s="56" t="s">
        <v>2686</v>
      </c>
      <c r="H299" s="52" t="s">
        <v>2744</v>
      </c>
      <c r="I299" s="52" t="s">
        <v>2540</v>
      </c>
      <c r="J299" s="636">
        <v>16258</v>
      </c>
      <c r="K299" s="52"/>
      <c r="L299" s="52"/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/>
      <c r="W299" s="54"/>
      <c r="X299" s="54"/>
      <c r="Y299" s="54">
        <f t="shared" si="13"/>
        <v>0</v>
      </c>
      <c r="Z299" s="52">
        <v>1000</v>
      </c>
      <c r="AA299" s="52">
        <v>10</v>
      </c>
      <c r="AB299" s="637">
        <v>44286</v>
      </c>
      <c r="AC299" s="637">
        <v>44306</v>
      </c>
      <c r="AD299" s="52">
        <v>-1000</v>
      </c>
      <c r="AE299" s="52">
        <v>39</v>
      </c>
      <c r="AF299" s="637">
        <v>44358</v>
      </c>
      <c r="AG299" s="637">
        <v>44364</v>
      </c>
      <c r="AH299" s="52"/>
      <c r="AI299" s="52"/>
      <c r="AJ299" s="637"/>
      <c r="AK299" s="637"/>
      <c r="AL299" s="52"/>
      <c r="AM299" s="52"/>
      <c r="AN299" s="637"/>
      <c r="AO299" s="637"/>
      <c r="AP299" s="52"/>
      <c r="AQ299" s="52"/>
      <c r="AR299" s="637"/>
      <c r="AS299" s="637"/>
      <c r="AT299" s="52"/>
      <c r="AU299" s="52"/>
      <c r="AV299" s="637"/>
      <c r="AW299" s="637"/>
      <c r="AX299" s="52"/>
      <c r="AY299" s="52"/>
      <c r="AZ299" s="637"/>
      <c r="BA299" s="637"/>
      <c r="BB299" s="52"/>
      <c r="BC299" s="52"/>
      <c r="BD299" s="637"/>
      <c r="BE299" s="637"/>
      <c r="BF299" s="137">
        <f t="shared" si="14"/>
        <v>0</v>
      </c>
      <c r="BG299" s="43">
        <f t="shared" si="15"/>
        <v>0</v>
      </c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</row>
    <row r="300" spans="1:99" s="96" customFormat="1" ht="22.5" customHeight="1">
      <c r="A300" s="39"/>
      <c r="B300" s="51">
        <v>285</v>
      </c>
      <c r="C300" s="51" t="s">
        <v>39</v>
      </c>
      <c r="D300" s="42">
        <v>40010967</v>
      </c>
      <c r="E300" s="52" t="s">
        <v>3029</v>
      </c>
      <c r="F300" s="52" t="s">
        <v>317</v>
      </c>
      <c r="G300" s="56" t="s">
        <v>2686</v>
      </c>
      <c r="H300" s="52" t="s">
        <v>2777</v>
      </c>
      <c r="I300" s="52" t="s">
        <v>2540</v>
      </c>
      <c r="J300" s="636">
        <v>2006115</v>
      </c>
      <c r="K300" s="52"/>
      <c r="L300" s="52"/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/>
      <c r="W300" s="54"/>
      <c r="X300" s="54"/>
      <c r="Y300" s="54">
        <f t="shared" si="13"/>
        <v>0</v>
      </c>
      <c r="Z300" s="52">
        <v>1000</v>
      </c>
      <c r="AA300" s="52">
        <v>10</v>
      </c>
      <c r="AB300" s="637">
        <v>44286</v>
      </c>
      <c r="AC300" s="637">
        <v>44306</v>
      </c>
      <c r="AD300" s="52">
        <v>-1000</v>
      </c>
      <c r="AE300" s="52">
        <v>39</v>
      </c>
      <c r="AF300" s="637">
        <v>44358</v>
      </c>
      <c r="AG300" s="637">
        <v>44364</v>
      </c>
      <c r="AH300" s="52"/>
      <c r="AI300" s="52"/>
      <c r="AJ300" s="637"/>
      <c r="AK300" s="637"/>
      <c r="AL300" s="52"/>
      <c r="AM300" s="52"/>
      <c r="AN300" s="637"/>
      <c r="AO300" s="637"/>
      <c r="AP300" s="52"/>
      <c r="AQ300" s="52"/>
      <c r="AR300" s="637"/>
      <c r="AS300" s="637"/>
      <c r="AT300" s="52"/>
      <c r="AU300" s="52"/>
      <c r="AV300" s="637"/>
      <c r="AW300" s="637"/>
      <c r="AX300" s="52"/>
      <c r="AY300" s="52"/>
      <c r="AZ300" s="637"/>
      <c r="BA300" s="637"/>
      <c r="BB300" s="52"/>
      <c r="BC300" s="52"/>
      <c r="BD300" s="637"/>
      <c r="BE300" s="637"/>
      <c r="BF300" s="137">
        <f t="shared" si="14"/>
        <v>0</v>
      </c>
      <c r="BG300" s="43">
        <f t="shared" si="15"/>
        <v>0</v>
      </c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</row>
    <row r="301" spans="1:99" s="96" customFormat="1" ht="22.5" customHeight="1">
      <c r="A301" s="39"/>
      <c r="B301" s="51">
        <v>286</v>
      </c>
      <c r="C301" s="51" t="s">
        <v>39</v>
      </c>
      <c r="D301" s="42">
        <v>40019278</v>
      </c>
      <c r="E301" s="52" t="s">
        <v>3030</v>
      </c>
      <c r="F301" s="52" t="s">
        <v>83</v>
      </c>
      <c r="G301" s="56" t="s">
        <v>2686</v>
      </c>
      <c r="H301" s="52" t="s">
        <v>3003</v>
      </c>
      <c r="I301" s="52" t="s">
        <v>2540</v>
      </c>
      <c r="J301" s="636">
        <v>102</v>
      </c>
      <c r="K301" s="52"/>
      <c r="L301" s="52"/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/>
      <c r="W301" s="54"/>
      <c r="X301" s="54"/>
      <c r="Y301" s="54">
        <f t="shared" si="13"/>
        <v>0</v>
      </c>
      <c r="Z301" s="52">
        <v>102</v>
      </c>
      <c r="AA301" s="52">
        <v>10</v>
      </c>
      <c r="AB301" s="637">
        <v>44286</v>
      </c>
      <c r="AC301" s="637">
        <v>44306</v>
      </c>
      <c r="AD301" s="52">
        <v>-102</v>
      </c>
      <c r="AE301" s="52">
        <v>40</v>
      </c>
      <c r="AF301" s="637">
        <v>44358</v>
      </c>
      <c r="AG301" s="637">
        <v>44364</v>
      </c>
      <c r="AH301" s="52"/>
      <c r="AI301" s="52"/>
      <c r="AJ301" s="637"/>
      <c r="AK301" s="637"/>
      <c r="AL301" s="52"/>
      <c r="AM301" s="52"/>
      <c r="AN301" s="637"/>
      <c r="AO301" s="637"/>
      <c r="AP301" s="52"/>
      <c r="AQ301" s="52"/>
      <c r="AR301" s="637"/>
      <c r="AS301" s="637"/>
      <c r="AT301" s="52"/>
      <c r="AU301" s="52"/>
      <c r="AV301" s="637"/>
      <c r="AW301" s="637"/>
      <c r="AX301" s="52"/>
      <c r="AY301" s="52"/>
      <c r="AZ301" s="637"/>
      <c r="BA301" s="637"/>
      <c r="BB301" s="52"/>
      <c r="BC301" s="52"/>
      <c r="BD301" s="637"/>
      <c r="BE301" s="637"/>
      <c r="BF301" s="137">
        <f t="shared" si="14"/>
        <v>0</v>
      </c>
      <c r="BG301" s="43">
        <f t="shared" si="15"/>
        <v>0</v>
      </c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</row>
    <row r="302" spans="1:99" s="96" customFormat="1" ht="22.5" customHeight="1">
      <c r="A302" s="39"/>
      <c r="B302" s="51">
        <v>287</v>
      </c>
      <c r="C302" s="51" t="s">
        <v>39</v>
      </c>
      <c r="D302" s="42">
        <v>40012834</v>
      </c>
      <c r="E302" s="52" t="s">
        <v>3031</v>
      </c>
      <c r="F302" s="52" t="s">
        <v>317</v>
      </c>
      <c r="G302" s="56" t="s">
        <v>2686</v>
      </c>
      <c r="H302" s="52" t="s">
        <v>2756</v>
      </c>
      <c r="I302" s="52" t="s">
        <v>2540</v>
      </c>
      <c r="J302" s="636">
        <v>51</v>
      </c>
      <c r="K302" s="52"/>
      <c r="L302" s="52"/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/>
      <c r="W302" s="54"/>
      <c r="X302" s="54"/>
      <c r="Y302" s="54">
        <f t="shared" si="13"/>
        <v>0</v>
      </c>
      <c r="Z302" s="52">
        <v>51</v>
      </c>
      <c r="AA302" s="52">
        <v>10</v>
      </c>
      <c r="AB302" s="637">
        <v>44286</v>
      </c>
      <c r="AC302" s="637">
        <v>44306</v>
      </c>
      <c r="AD302" s="52">
        <v>-51</v>
      </c>
      <c r="AE302" s="52">
        <v>40</v>
      </c>
      <c r="AF302" s="637">
        <v>44358</v>
      </c>
      <c r="AG302" s="637">
        <v>44364</v>
      </c>
      <c r="AH302" s="52"/>
      <c r="AI302" s="52"/>
      <c r="AJ302" s="637"/>
      <c r="AK302" s="637"/>
      <c r="AL302" s="52"/>
      <c r="AM302" s="52"/>
      <c r="AN302" s="637"/>
      <c r="AO302" s="637"/>
      <c r="AP302" s="52"/>
      <c r="AQ302" s="52"/>
      <c r="AR302" s="637"/>
      <c r="AS302" s="637"/>
      <c r="AT302" s="52"/>
      <c r="AU302" s="52"/>
      <c r="AV302" s="637"/>
      <c r="AW302" s="637"/>
      <c r="AX302" s="52"/>
      <c r="AY302" s="52"/>
      <c r="AZ302" s="637"/>
      <c r="BA302" s="637"/>
      <c r="BB302" s="52"/>
      <c r="BC302" s="52"/>
      <c r="BD302" s="637"/>
      <c r="BE302" s="637"/>
      <c r="BF302" s="137">
        <f t="shared" si="14"/>
        <v>0</v>
      </c>
      <c r="BG302" s="43">
        <f t="shared" si="15"/>
        <v>0</v>
      </c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</row>
    <row r="303" spans="1:99" s="96" customFormat="1" ht="22.5" customHeight="1">
      <c r="A303" s="39"/>
      <c r="B303" s="51">
        <v>288</v>
      </c>
      <c r="C303" s="51" t="s">
        <v>39</v>
      </c>
      <c r="D303" s="42">
        <v>40015896</v>
      </c>
      <c r="E303" s="52" t="s">
        <v>3032</v>
      </c>
      <c r="F303" s="52" t="s">
        <v>317</v>
      </c>
      <c r="G303" s="56" t="s">
        <v>2686</v>
      </c>
      <c r="H303" s="52" t="s">
        <v>2856</v>
      </c>
      <c r="I303" s="52" t="s">
        <v>2540</v>
      </c>
      <c r="J303" s="636">
        <v>1193054</v>
      </c>
      <c r="K303" s="52"/>
      <c r="L303" s="52"/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/>
      <c r="W303" s="54"/>
      <c r="X303" s="54"/>
      <c r="Y303" s="54">
        <f t="shared" si="13"/>
        <v>0</v>
      </c>
      <c r="Z303" s="52">
        <v>1000</v>
      </c>
      <c r="AA303" s="52">
        <v>10</v>
      </c>
      <c r="AB303" s="637">
        <v>44286</v>
      </c>
      <c r="AC303" s="637">
        <v>44306</v>
      </c>
      <c r="AD303" s="52">
        <v>-1000</v>
      </c>
      <c r="AE303" s="52">
        <v>39</v>
      </c>
      <c r="AF303" s="637">
        <v>44358</v>
      </c>
      <c r="AG303" s="637">
        <v>44364</v>
      </c>
      <c r="AH303" s="52"/>
      <c r="AI303" s="52"/>
      <c r="AJ303" s="637"/>
      <c r="AK303" s="637"/>
      <c r="AL303" s="52"/>
      <c r="AM303" s="52"/>
      <c r="AN303" s="637"/>
      <c r="AO303" s="637"/>
      <c r="AP303" s="52"/>
      <c r="AQ303" s="52"/>
      <c r="AR303" s="637"/>
      <c r="AS303" s="637"/>
      <c r="AT303" s="52"/>
      <c r="AU303" s="52"/>
      <c r="AV303" s="637"/>
      <c r="AW303" s="637"/>
      <c r="AX303" s="52"/>
      <c r="AY303" s="52"/>
      <c r="AZ303" s="637"/>
      <c r="BA303" s="637"/>
      <c r="BB303" s="52"/>
      <c r="BC303" s="52"/>
      <c r="BD303" s="637"/>
      <c r="BE303" s="637"/>
      <c r="BF303" s="137">
        <f t="shared" si="14"/>
        <v>0</v>
      </c>
      <c r="BG303" s="43">
        <f t="shared" si="15"/>
        <v>0</v>
      </c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</row>
    <row r="304" spans="1:99" s="96" customFormat="1" ht="45" customHeight="1">
      <c r="A304" s="39"/>
      <c r="B304" s="51">
        <v>289</v>
      </c>
      <c r="C304" s="51" t="s">
        <v>39</v>
      </c>
      <c r="D304" s="42">
        <v>40025071</v>
      </c>
      <c r="E304" s="52" t="s">
        <v>3033</v>
      </c>
      <c r="F304" s="52" t="s">
        <v>317</v>
      </c>
      <c r="G304" s="56" t="s">
        <v>2686</v>
      </c>
      <c r="H304" s="52" t="s">
        <v>2699</v>
      </c>
      <c r="I304" s="52" t="s">
        <v>2540</v>
      </c>
      <c r="J304" s="636">
        <v>102</v>
      </c>
      <c r="K304" s="52"/>
      <c r="L304" s="52"/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/>
      <c r="W304" s="54"/>
      <c r="X304" s="54"/>
      <c r="Y304" s="54">
        <f t="shared" si="13"/>
        <v>0</v>
      </c>
      <c r="Z304" s="52">
        <v>102</v>
      </c>
      <c r="AA304" s="52">
        <v>10</v>
      </c>
      <c r="AB304" s="637">
        <v>44286</v>
      </c>
      <c r="AC304" s="637">
        <v>44306</v>
      </c>
      <c r="AD304" s="52">
        <v>-102</v>
      </c>
      <c r="AE304" s="52">
        <v>40</v>
      </c>
      <c r="AF304" s="637">
        <v>44358</v>
      </c>
      <c r="AG304" s="637">
        <v>44364</v>
      </c>
      <c r="AH304" s="52"/>
      <c r="AI304" s="52"/>
      <c r="AJ304" s="637"/>
      <c r="AK304" s="637"/>
      <c r="AL304" s="52"/>
      <c r="AM304" s="52"/>
      <c r="AN304" s="637"/>
      <c r="AO304" s="637"/>
      <c r="AP304" s="52"/>
      <c r="AQ304" s="52"/>
      <c r="AR304" s="637"/>
      <c r="AS304" s="637"/>
      <c r="AT304" s="52"/>
      <c r="AU304" s="52"/>
      <c r="AV304" s="637"/>
      <c r="AW304" s="637"/>
      <c r="AX304" s="52"/>
      <c r="AY304" s="52"/>
      <c r="AZ304" s="637"/>
      <c r="BA304" s="637"/>
      <c r="BB304" s="52"/>
      <c r="BC304" s="52"/>
      <c r="BD304" s="637"/>
      <c r="BE304" s="637"/>
      <c r="BF304" s="137">
        <f t="shared" si="14"/>
        <v>0</v>
      </c>
      <c r="BG304" s="43">
        <f t="shared" si="15"/>
        <v>0</v>
      </c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</row>
    <row r="305" spans="1:99" s="96" customFormat="1" ht="22.5" customHeight="1">
      <c r="A305" s="39"/>
      <c r="B305" s="51">
        <v>290</v>
      </c>
      <c r="C305" s="51" t="s">
        <v>39</v>
      </c>
      <c r="D305" s="42">
        <v>40007072</v>
      </c>
      <c r="E305" s="52" t="s">
        <v>3034</v>
      </c>
      <c r="F305" s="52" t="s">
        <v>317</v>
      </c>
      <c r="G305" s="56" t="s">
        <v>2686</v>
      </c>
      <c r="H305" s="52" t="s">
        <v>2814</v>
      </c>
      <c r="I305" s="52" t="s">
        <v>2540</v>
      </c>
      <c r="J305" s="636">
        <v>25607</v>
      </c>
      <c r="K305" s="52"/>
      <c r="L305" s="52"/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/>
      <c r="W305" s="54"/>
      <c r="X305" s="54"/>
      <c r="Y305" s="54">
        <f t="shared" si="13"/>
        <v>0</v>
      </c>
      <c r="Z305" s="52">
        <v>1000</v>
      </c>
      <c r="AA305" s="52">
        <v>10</v>
      </c>
      <c r="AB305" s="637">
        <v>44286</v>
      </c>
      <c r="AC305" s="637">
        <v>44306</v>
      </c>
      <c r="AD305" s="52">
        <v>-1000</v>
      </c>
      <c r="AE305" s="52">
        <v>39</v>
      </c>
      <c r="AF305" s="637">
        <v>44358</v>
      </c>
      <c r="AG305" s="637">
        <v>44364</v>
      </c>
      <c r="AH305" s="52"/>
      <c r="AI305" s="52"/>
      <c r="AJ305" s="637"/>
      <c r="AK305" s="637"/>
      <c r="AL305" s="52"/>
      <c r="AM305" s="52"/>
      <c r="AN305" s="637"/>
      <c r="AO305" s="637"/>
      <c r="AP305" s="52"/>
      <c r="AQ305" s="52"/>
      <c r="AR305" s="637"/>
      <c r="AS305" s="637"/>
      <c r="AT305" s="52"/>
      <c r="AU305" s="52"/>
      <c r="AV305" s="637"/>
      <c r="AW305" s="637"/>
      <c r="AX305" s="52"/>
      <c r="AY305" s="52"/>
      <c r="AZ305" s="637"/>
      <c r="BA305" s="637"/>
      <c r="BB305" s="52"/>
      <c r="BC305" s="52"/>
      <c r="BD305" s="637"/>
      <c r="BE305" s="637"/>
      <c r="BF305" s="137">
        <f t="shared" si="14"/>
        <v>0</v>
      </c>
      <c r="BG305" s="43">
        <f t="shared" si="15"/>
        <v>0</v>
      </c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</row>
    <row r="306" spans="1:99" s="96" customFormat="1" ht="45" customHeight="1">
      <c r="A306" s="39"/>
      <c r="B306" s="51">
        <v>291</v>
      </c>
      <c r="C306" s="51" t="s">
        <v>39</v>
      </c>
      <c r="D306" s="42">
        <v>30094994</v>
      </c>
      <c r="E306" s="52" t="s">
        <v>3035</v>
      </c>
      <c r="F306" s="52" t="s">
        <v>317</v>
      </c>
      <c r="G306" s="56" t="s">
        <v>2686</v>
      </c>
      <c r="H306" s="52" t="s">
        <v>2699</v>
      </c>
      <c r="I306" s="52" t="s">
        <v>2540</v>
      </c>
      <c r="J306" s="636">
        <v>6307</v>
      </c>
      <c r="K306" s="52"/>
      <c r="L306" s="52"/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/>
      <c r="W306" s="54"/>
      <c r="X306" s="54"/>
      <c r="Y306" s="54">
        <f t="shared" si="13"/>
        <v>0</v>
      </c>
      <c r="Z306" s="52">
        <v>1000</v>
      </c>
      <c r="AA306" s="52">
        <v>10</v>
      </c>
      <c r="AB306" s="637">
        <v>44286</v>
      </c>
      <c r="AC306" s="637">
        <v>44306</v>
      </c>
      <c r="AD306" s="52">
        <v>-1000</v>
      </c>
      <c r="AE306" s="52">
        <v>39</v>
      </c>
      <c r="AF306" s="637">
        <v>44358</v>
      </c>
      <c r="AG306" s="637">
        <v>44364</v>
      </c>
      <c r="AH306" s="52"/>
      <c r="AI306" s="52"/>
      <c r="AJ306" s="637"/>
      <c r="AK306" s="637"/>
      <c r="AL306" s="52"/>
      <c r="AM306" s="52"/>
      <c r="AN306" s="637"/>
      <c r="AO306" s="637"/>
      <c r="AP306" s="52"/>
      <c r="AQ306" s="52"/>
      <c r="AR306" s="637"/>
      <c r="AS306" s="637"/>
      <c r="AT306" s="52"/>
      <c r="AU306" s="52"/>
      <c r="AV306" s="637"/>
      <c r="AW306" s="637"/>
      <c r="AX306" s="52"/>
      <c r="AY306" s="52"/>
      <c r="AZ306" s="637"/>
      <c r="BA306" s="637"/>
      <c r="BB306" s="52"/>
      <c r="BC306" s="52"/>
      <c r="BD306" s="637"/>
      <c r="BE306" s="637"/>
      <c r="BF306" s="137">
        <f t="shared" si="14"/>
        <v>0</v>
      </c>
      <c r="BG306" s="43">
        <f t="shared" si="15"/>
        <v>0</v>
      </c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</row>
    <row r="307" spans="1:99" s="96" customFormat="1" ht="33.75" customHeight="1">
      <c r="A307" s="39"/>
      <c r="B307" s="51">
        <v>292</v>
      </c>
      <c r="C307" s="51" t="s">
        <v>39</v>
      </c>
      <c r="D307" s="42">
        <v>30485309</v>
      </c>
      <c r="E307" s="52" t="s">
        <v>3036</v>
      </c>
      <c r="F307" s="52" t="s">
        <v>317</v>
      </c>
      <c r="G307" s="56" t="s">
        <v>2686</v>
      </c>
      <c r="H307" s="52" t="s">
        <v>2756</v>
      </c>
      <c r="I307" s="52" t="s">
        <v>2540</v>
      </c>
      <c r="J307" s="636">
        <v>1661562</v>
      </c>
      <c r="K307" s="52"/>
      <c r="L307" s="52"/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/>
      <c r="W307" s="54"/>
      <c r="X307" s="54"/>
      <c r="Y307" s="54">
        <f t="shared" si="13"/>
        <v>0</v>
      </c>
      <c r="Z307" s="52">
        <v>1000</v>
      </c>
      <c r="AA307" s="52">
        <v>10</v>
      </c>
      <c r="AB307" s="637">
        <v>44286</v>
      </c>
      <c r="AC307" s="637">
        <v>44306</v>
      </c>
      <c r="AD307" s="52">
        <v>-1000</v>
      </c>
      <c r="AE307" s="52">
        <v>39</v>
      </c>
      <c r="AF307" s="637">
        <v>44358</v>
      </c>
      <c r="AG307" s="637">
        <v>44364</v>
      </c>
      <c r="AH307" s="52"/>
      <c r="AI307" s="52"/>
      <c r="AJ307" s="637"/>
      <c r="AK307" s="637"/>
      <c r="AL307" s="52"/>
      <c r="AM307" s="52"/>
      <c r="AN307" s="637"/>
      <c r="AO307" s="637"/>
      <c r="AP307" s="52"/>
      <c r="AQ307" s="52"/>
      <c r="AR307" s="637"/>
      <c r="AS307" s="637"/>
      <c r="AT307" s="52"/>
      <c r="AU307" s="52"/>
      <c r="AV307" s="637"/>
      <c r="AW307" s="637"/>
      <c r="AX307" s="52"/>
      <c r="AY307" s="52"/>
      <c r="AZ307" s="637"/>
      <c r="BA307" s="637"/>
      <c r="BB307" s="52"/>
      <c r="BC307" s="52"/>
      <c r="BD307" s="637"/>
      <c r="BE307" s="637"/>
      <c r="BF307" s="137">
        <f t="shared" si="14"/>
        <v>0</v>
      </c>
      <c r="BG307" s="43">
        <f t="shared" si="15"/>
        <v>0</v>
      </c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</row>
    <row r="308" spans="1:99" s="96" customFormat="1" ht="22.5" customHeight="1">
      <c r="A308" s="39"/>
      <c r="B308" s="51">
        <v>293</v>
      </c>
      <c r="C308" s="51" t="s">
        <v>39</v>
      </c>
      <c r="D308" s="42">
        <v>40002057</v>
      </c>
      <c r="E308" s="52" t="s">
        <v>3037</v>
      </c>
      <c r="F308" s="52" t="s">
        <v>2428</v>
      </c>
      <c r="G308" s="56" t="s">
        <v>2686</v>
      </c>
      <c r="H308" s="52" t="s">
        <v>2814</v>
      </c>
      <c r="I308" s="52" t="s">
        <v>2540</v>
      </c>
      <c r="J308" s="636">
        <v>1543334</v>
      </c>
      <c r="K308" s="52"/>
      <c r="L308" s="52"/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/>
      <c r="W308" s="54"/>
      <c r="X308" s="54"/>
      <c r="Y308" s="54">
        <f t="shared" si="13"/>
        <v>0</v>
      </c>
      <c r="Z308" s="52">
        <v>1000</v>
      </c>
      <c r="AA308" s="52">
        <v>11</v>
      </c>
      <c r="AB308" s="637">
        <v>44299</v>
      </c>
      <c r="AC308" s="637">
        <v>44312</v>
      </c>
      <c r="AD308" s="52">
        <v>-1000</v>
      </c>
      <c r="AE308" s="52">
        <v>39</v>
      </c>
      <c r="AF308" s="637">
        <v>44358</v>
      </c>
      <c r="AG308" s="637">
        <v>44364</v>
      </c>
      <c r="AH308" s="52"/>
      <c r="AI308" s="52"/>
      <c r="AJ308" s="637"/>
      <c r="AK308" s="637"/>
      <c r="AL308" s="52"/>
      <c r="AM308" s="52"/>
      <c r="AN308" s="637"/>
      <c r="AO308" s="637"/>
      <c r="AP308" s="52"/>
      <c r="AQ308" s="52"/>
      <c r="AR308" s="637"/>
      <c r="AS308" s="637"/>
      <c r="AT308" s="52"/>
      <c r="AU308" s="52"/>
      <c r="AV308" s="637"/>
      <c r="AW308" s="637"/>
      <c r="AX308" s="52"/>
      <c r="AY308" s="52"/>
      <c r="AZ308" s="637"/>
      <c r="BA308" s="637"/>
      <c r="BB308" s="52"/>
      <c r="BC308" s="52"/>
      <c r="BD308" s="637"/>
      <c r="BE308" s="637"/>
      <c r="BF308" s="137">
        <f t="shared" si="14"/>
        <v>0</v>
      </c>
      <c r="BG308" s="43">
        <f t="shared" si="15"/>
        <v>0</v>
      </c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</row>
    <row r="309" spans="1:99" s="96" customFormat="1" ht="45">
      <c r="A309" s="39"/>
      <c r="B309" s="51">
        <v>294</v>
      </c>
      <c r="C309" s="51" t="s">
        <v>39</v>
      </c>
      <c r="D309" s="42">
        <v>30069181</v>
      </c>
      <c r="E309" s="52" t="s">
        <v>3038</v>
      </c>
      <c r="F309" s="52" t="s">
        <v>317</v>
      </c>
      <c r="G309" s="56" t="s">
        <v>2686</v>
      </c>
      <c r="H309" s="52" t="s">
        <v>2699</v>
      </c>
      <c r="I309" s="52" t="s">
        <v>2537</v>
      </c>
      <c r="J309" s="636">
        <v>118972</v>
      </c>
      <c r="K309" s="52"/>
      <c r="L309" s="52"/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/>
      <c r="W309" s="54"/>
      <c r="X309" s="54"/>
      <c r="Y309" s="54">
        <f t="shared" si="13"/>
        <v>0</v>
      </c>
      <c r="Z309" s="52">
        <v>118972</v>
      </c>
      <c r="AA309" s="52">
        <v>11</v>
      </c>
      <c r="AB309" s="637">
        <v>44299</v>
      </c>
      <c r="AC309" s="637">
        <v>44312</v>
      </c>
      <c r="AD309" s="52"/>
      <c r="AE309" s="52"/>
      <c r="AF309" s="637"/>
      <c r="AG309" s="637"/>
      <c r="AH309" s="52"/>
      <c r="AI309" s="52"/>
      <c r="AJ309" s="637"/>
      <c r="AK309" s="637"/>
      <c r="AL309" s="52"/>
      <c r="AM309" s="52"/>
      <c r="AN309" s="637"/>
      <c r="AO309" s="637"/>
      <c r="AP309" s="52"/>
      <c r="AQ309" s="52"/>
      <c r="AR309" s="637"/>
      <c r="AS309" s="637"/>
      <c r="AT309" s="52"/>
      <c r="AU309" s="52"/>
      <c r="AV309" s="637"/>
      <c r="AW309" s="637"/>
      <c r="AX309" s="52"/>
      <c r="AY309" s="52"/>
      <c r="AZ309" s="637"/>
      <c r="BA309" s="637"/>
      <c r="BB309" s="52"/>
      <c r="BC309" s="52"/>
      <c r="BD309" s="637"/>
      <c r="BE309" s="637"/>
      <c r="BF309" s="137">
        <f t="shared" si="14"/>
        <v>118972</v>
      </c>
      <c r="BG309" s="43">
        <f t="shared" si="15"/>
        <v>118972</v>
      </c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</row>
    <row r="310" spans="1:99" s="96" customFormat="1" ht="22.5" customHeight="1">
      <c r="A310" s="39"/>
      <c r="B310" s="51">
        <v>295</v>
      </c>
      <c r="C310" s="51" t="s">
        <v>39</v>
      </c>
      <c r="D310" s="42">
        <v>40004080</v>
      </c>
      <c r="E310" s="52" t="s">
        <v>3039</v>
      </c>
      <c r="F310" s="52" t="s">
        <v>2428</v>
      </c>
      <c r="G310" s="56" t="s">
        <v>2686</v>
      </c>
      <c r="H310" s="52" t="s">
        <v>2991</v>
      </c>
      <c r="I310" s="52" t="s">
        <v>2540</v>
      </c>
      <c r="J310" s="636">
        <v>330603</v>
      </c>
      <c r="K310" s="52"/>
      <c r="L310" s="52"/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/>
      <c r="W310" s="54"/>
      <c r="X310" s="54"/>
      <c r="Y310" s="54">
        <f t="shared" si="13"/>
        <v>0</v>
      </c>
      <c r="Z310" s="52">
        <v>1000</v>
      </c>
      <c r="AA310" s="52">
        <v>11</v>
      </c>
      <c r="AB310" s="637">
        <v>44299</v>
      </c>
      <c r="AC310" s="637">
        <v>44312</v>
      </c>
      <c r="AD310" s="52">
        <v>-1000</v>
      </c>
      <c r="AE310" s="52">
        <v>39</v>
      </c>
      <c r="AF310" s="637">
        <v>44358</v>
      </c>
      <c r="AG310" s="637">
        <v>44364</v>
      </c>
      <c r="AH310" s="52"/>
      <c r="AI310" s="52"/>
      <c r="AJ310" s="637"/>
      <c r="AK310" s="637"/>
      <c r="AL310" s="52"/>
      <c r="AM310" s="52"/>
      <c r="AN310" s="637"/>
      <c r="AO310" s="637"/>
      <c r="AP310" s="52"/>
      <c r="AQ310" s="52"/>
      <c r="AR310" s="637"/>
      <c r="AS310" s="637"/>
      <c r="AT310" s="52"/>
      <c r="AU310" s="52"/>
      <c r="AV310" s="637"/>
      <c r="AW310" s="637"/>
      <c r="AX310" s="52"/>
      <c r="AY310" s="52"/>
      <c r="AZ310" s="637"/>
      <c r="BA310" s="637"/>
      <c r="BB310" s="52"/>
      <c r="BC310" s="52"/>
      <c r="BD310" s="637"/>
      <c r="BE310" s="637"/>
      <c r="BF310" s="137">
        <f t="shared" si="14"/>
        <v>0</v>
      </c>
      <c r="BG310" s="43">
        <f t="shared" si="15"/>
        <v>0</v>
      </c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</row>
    <row r="311" spans="1:99" s="96" customFormat="1" ht="22.5" customHeight="1">
      <c r="A311" s="39"/>
      <c r="B311" s="51">
        <v>296</v>
      </c>
      <c r="C311" s="51" t="s">
        <v>39</v>
      </c>
      <c r="D311" s="42">
        <v>40005685</v>
      </c>
      <c r="E311" s="52" t="s">
        <v>3040</v>
      </c>
      <c r="F311" s="52" t="s">
        <v>2428</v>
      </c>
      <c r="G311" s="56" t="s">
        <v>2686</v>
      </c>
      <c r="H311" s="52" t="s">
        <v>2805</v>
      </c>
      <c r="I311" s="52" t="s">
        <v>2540</v>
      </c>
      <c r="J311" s="636">
        <v>247507</v>
      </c>
      <c r="K311" s="52"/>
      <c r="L311" s="52"/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/>
      <c r="W311" s="54"/>
      <c r="X311" s="54"/>
      <c r="Y311" s="54">
        <f t="shared" si="13"/>
        <v>0</v>
      </c>
      <c r="Z311" s="52">
        <v>1000</v>
      </c>
      <c r="AA311" s="52">
        <v>11</v>
      </c>
      <c r="AB311" s="637">
        <v>44299</v>
      </c>
      <c r="AC311" s="637">
        <v>44312</v>
      </c>
      <c r="AD311" s="52">
        <v>-1000</v>
      </c>
      <c r="AE311" s="52">
        <v>39</v>
      </c>
      <c r="AF311" s="637">
        <v>44358</v>
      </c>
      <c r="AG311" s="637">
        <v>44364</v>
      </c>
      <c r="AH311" s="52"/>
      <c r="AI311" s="52"/>
      <c r="AJ311" s="637"/>
      <c r="AK311" s="637"/>
      <c r="AL311" s="52"/>
      <c r="AM311" s="52"/>
      <c r="AN311" s="637"/>
      <c r="AO311" s="637"/>
      <c r="AP311" s="52"/>
      <c r="AQ311" s="52"/>
      <c r="AR311" s="637"/>
      <c r="AS311" s="637"/>
      <c r="AT311" s="52"/>
      <c r="AU311" s="52"/>
      <c r="AV311" s="637"/>
      <c r="AW311" s="637"/>
      <c r="AX311" s="52"/>
      <c r="AY311" s="52"/>
      <c r="AZ311" s="637"/>
      <c r="BA311" s="637"/>
      <c r="BB311" s="52"/>
      <c r="BC311" s="52"/>
      <c r="BD311" s="637"/>
      <c r="BE311" s="637"/>
      <c r="BF311" s="137">
        <f t="shared" si="14"/>
        <v>0</v>
      </c>
      <c r="BG311" s="43">
        <f t="shared" si="15"/>
        <v>0</v>
      </c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</row>
    <row r="312" spans="1:99" s="96" customFormat="1" ht="22.5">
      <c r="A312" s="39"/>
      <c r="B312" s="51">
        <v>297</v>
      </c>
      <c r="C312" s="51" t="s">
        <v>39</v>
      </c>
      <c r="D312" s="42">
        <v>30465934</v>
      </c>
      <c r="E312" s="52" t="s">
        <v>3041</v>
      </c>
      <c r="F312" s="52" t="s">
        <v>317</v>
      </c>
      <c r="G312" s="56" t="s">
        <v>2686</v>
      </c>
      <c r="H312" s="52" t="s">
        <v>2729</v>
      </c>
      <c r="I312" s="52" t="s">
        <v>2537</v>
      </c>
      <c r="J312" s="636">
        <v>1221550</v>
      </c>
      <c r="K312" s="52"/>
      <c r="L312" s="52"/>
      <c r="M312" s="54">
        <v>98523.554999999993</v>
      </c>
      <c r="N312" s="54">
        <v>0</v>
      </c>
      <c r="O312" s="54">
        <v>0</v>
      </c>
      <c r="P312" s="54">
        <v>849431.12600000005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/>
      <c r="W312" s="54"/>
      <c r="X312" s="54"/>
      <c r="Y312" s="54">
        <f t="shared" si="13"/>
        <v>947954.6810000001</v>
      </c>
      <c r="Z312" s="52">
        <v>1038659</v>
      </c>
      <c r="AA312" s="52">
        <v>11</v>
      </c>
      <c r="AB312" s="637">
        <v>44299</v>
      </c>
      <c r="AC312" s="637">
        <v>44312</v>
      </c>
      <c r="AD312" s="52"/>
      <c r="AE312" s="52"/>
      <c r="AF312" s="637"/>
      <c r="AG312" s="637"/>
      <c r="AH312" s="52"/>
      <c r="AI312" s="52"/>
      <c r="AJ312" s="637"/>
      <c r="AK312" s="637"/>
      <c r="AL312" s="52"/>
      <c r="AM312" s="52"/>
      <c r="AN312" s="637"/>
      <c r="AO312" s="637"/>
      <c r="AP312" s="52"/>
      <c r="AQ312" s="52"/>
      <c r="AR312" s="637"/>
      <c r="AS312" s="637"/>
      <c r="AT312" s="52"/>
      <c r="AU312" s="52"/>
      <c r="AV312" s="637"/>
      <c r="AW312" s="637"/>
      <c r="AX312" s="52"/>
      <c r="AY312" s="52"/>
      <c r="AZ312" s="637"/>
      <c r="BA312" s="637"/>
      <c r="BB312" s="52"/>
      <c r="BC312" s="52"/>
      <c r="BD312" s="637"/>
      <c r="BE312" s="637"/>
      <c r="BF312" s="137">
        <f t="shared" si="14"/>
        <v>1038659</v>
      </c>
      <c r="BG312" s="43">
        <f t="shared" si="15"/>
        <v>90704.318999999901</v>
      </c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</row>
    <row r="313" spans="1:99" s="96" customFormat="1" ht="22.5">
      <c r="A313" s="39"/>
      <c r="B313" s="51">
        <v>298</v>
      </c>
      <c r="C313" s="51" t="s">
        <v>39</v>
      </c>
      <c r="D313" s="42">
        <v>30274524</v>
      </c>
      <c r="E313" s="52" t="s">
        <v>3042</v>
      </c>
      <c r="F313" s="52" t="s">
        <v>317</v>
      </c>
      <c r="G313" s="56" t="s">
        <v>2686</v>
      </c>
      <c r="H313" s="52" t="s">
        <v>2788</v>
      </c>
      <c r="I313" s="52" t="s">
        <v>2537</v>
      </c>
      <c r="J313" s="636">
        <v>59396</v>
      </c>
      <c r="K313" s="52"/>
      <c r="L313" s="52"/>
      <c r="M313" s="54">
        <v>11353.924000000001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/>
      <c r="W313" s="54"/>
      <c r="X313" s="54"/>
      <c r="Y313" s="54">
        <f t="shared" si="13"/>
        <v>11353.924000000001</v>
      </c>
      <c r="Z313" s="52">
        <v>11354</v>
      </c>
      <c r="AA313" s="52">
        <v>14</v>
      </c>
      <c r="AB313" s="637">
        <v>44313</v>
      </c>
      <c r="AC313" s="637">
        <v>44322</v>
      </c>
      <c r="AD313" s="52"/>
      <c r="AE313" s="52"/>
      <c r="AF313" s="637"/>
      <c r="AG313" s="637"/>
      <c r="AH313" s="52"/>
      <c r="AI313" s="52"/>
      <c r="AJ313" s="637"/>
      <c r="AK313" s="637"/>
      <c r="AL313" s="52"/>
      <c r="AM313" s="52"/>
      <c r="AN313" s="637"/>
      <c r="AO313" s="637"/>
      <c r="AP313" s="52"/>
      <c r="AQ313" s="52"/>
      <c r="AR313" s="637"/>
      <c r="AS313" s="637"/>
      <c r="AT313" s="52"/>
      <c r="AU313" s="52"/>
      <c r="AV313" s="637"/>
      <c r="AW313" s="637"/>
      <c r="AX313" s="52"/>
      <c r="AY313" s="52"/>
      <c r="AZ313" s="637"/>
      <c r="BA313" s="637"/>
      <c r="BB313" s="52"/>
      <c r="BC313" s="52"/>
      <c r="BD313" s="637"/>
      <c r="BE313" s="637"/>
      <c r="BF313" s="137">
        <f t="shared" si="14"/>
        <v>11354</v>
      </c>
      <c r="BG313" s="43">
        <f t="shared" si="15"/>
        <v>7.5999999999112333E-2</v>
      </c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</row>
    <row r="314" spans="1:99" s="96" customFormat="1" ht="22.5" customHeight="1">
      <c r="A314" s="39"/>
      <c r="B314" s="51">
        <v>299</v>
      </c>
      <c r="C314" s="51" t="s">
        <v>39</v>
      </c>
      <c r="D314" s="42">
        <v>40005451</v>
      </c>
      <c r="E314" s="52" t="s">
        <v>3043</v>
      </c>
      <c r="F314" s="52" t="s">
        <v>2428</v>
      </c>
      <c r="G314" s="56" t="s">
        <v>2686</v>
      </c>
      <c r="H314" s="52" t="s">
        <v>2687</v>
      </c>
      <c r="I314" s="52" t="s">
        <v>2537</v>
      </c>
      <c r="J314" s="636">
        <v>3080882</v>
      </c>
      <c r="K314" s="52"/>
      <c r="L314" s="52"/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992888.52099999995</v>
      </c>
      <c r="S314" s="54">
        <v>0</v>
      </c>
      <c r="T314" s="54">
        <v>646360.89500000002</v>
      </c>
      <c r="U314" s="54">
        <v>0</v>
      </c>
      <c r="V314" s="54"/>
      <c r="W314" s="54"/>
      <c r="X314" s="54"/>
      <c r="Y314" s="54">
        <f t="shared" si="13"/>
        <v>1639249.416</v>
      </c>
      <c r="Z314" s="52">
        <v>1000</v>
      </c>
      <c r="AA314" s="52">
        <v>14</v>
      </c>
      <c r="AB314" s="637">
        <v>44313</v>
      </c>
      <c r="AC314" s="637">
        <v>44322</v>
      </c>
      <c r="AD314" s="52">
        <v>991889</v>
      </c>
      <c r="AE314" s="52">
        <v>26</v>
      </c>
      <c r="AF314" s="637">
        <v>44358</v>
      </c>
      <c r="AG314" s="637">
        <v>44364</v>
      </c>
      <c r="AH314" s="52"/>
      <c r="AI314" s="52"/>
      <c r="AJ314" s="637"/>
      <c r="AK314" s="637"/>
      <c r="AL314" s="52"/>
      <c r="AM314" s="52"/>
      <c r="AN314" s="637"/>
      <c r="AO314" s="637"/>
      <c r="AP314" s="52"/>
      <c r="AQ314" s="52"/>
      <c r="AR314" s="637"/>
      <c r="AS314" s="637"/>
      <c r="AT314" s="52"/>
      <c r="AU314" s="52"/>
      <c r="AV314" s="637"/>
      <c r="AW314" s="637"/>
      <c r="AX314" s="52"/>
      <c r="AY314" s="52"/>
      <c r="AZ314" s="637"/>
      <c r="BA314" s="637"/>
      <c r="BB314" s="52"/>
      <c r="BC314" s="52"/>
      <c r="BD314" s="637"/>
      <c r="BE314" s="637"/>
      <c r="BF314" s="137">
        <f t="shared" si="14"/>
        <v>992889</v>
      </c>
      <c r="BG314" s="43">
        <f t="shared" si="15"/>
        <v>-646360.41599999997</v>
      </c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</row>
    <row r="315" spans="1:99" s="96" customFormat="1" ht="22.5" customHeight="1">
      <c r="A315" s="39"/>
      <c r="B315" s="51">
        <v>300</v>
      </c>
      <c r="C315" s="51" t="s">
        <v>39</v>
      </c>
      <c r="D315" s="42">
        <v>40017852</v>
      </c>
      <c r="E315" s="52" t="s">
        <v>3044</v>
      </c>
      <c r="F315" s="52" t="s">
        <v>2428</v>
      </c>
      <c r="G315" s="56" t="s">
        <v>2686</v>
      </c>
      <c r="H315" s="52" t="s">
        <v>2695</v>
      </c>
      <c r="I315" s="52" t="s">
        <v>2540</v>
      </c>
      <c r="J315" s="636">
        <v>2194292</v>
      </c>
      <c r="K315" s="52"/>
      <c r="L315" s="52"/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/>
      <c r="W315" s="54"/>
      <c r="X315" s="54"/>
      <c r="Y315" s="54">
        <f t="shared" si="13"/>
        <v>0</v>
      </c>
      <c r="Z315" s="52">
        <v>1000</v>
      </c>
      <c r="AA315" s="52">
        <v>15</v>
      </c>
      <c r="AB315" s="637">
        <v>44315</v>
      </c>
      <c r="AC315" s="637">
        <v>44322</v>
      </c>
      <c r="AD315" s="52">
        <v>-1000</v>
      </c>
      <c r="AE315" s="52">
        <v>39</v>
      </c>
      <c r="AF315" s="637">
        <v>44358</v>
      </c>
      <c r="AG315" s="637">
        <v>44364</v>
      </c>
      <c r="AH315" s="52"/>
      <c r="AI315" s="52"/>
      <c r="AJ315" s="637"/>
      <c r="AK315" s="637"/>
      <c r="AL315" s="52"/>
      <c r="AM315" s="52"/>
      <c r="AN315" s="637"/>
      <c r="AO315" s="637"/>
      <c r="AP315" s="52"/>
      <c r="AQ315" s="52"/>
      <c r="AR315" s="637"/>
      <c r="AS315" s="637"/>
      <c r="AT315" s="52"/>
      <c r="AU315" s="52"/>
      <c r="AV315" s="637"/>
      <c r="AW315" s="637"/>
      <c r="AX315" s="52"/>
      <c r="AY315" s="52"/>
      <c r="AZ315" s="637"/>
      <c r="BA315" s="637"/>
      <c r="BB315" s="52"/>
      <c r="BC315" s="52"/>
      <c r="BD315" s="637"/>
      <c r="BE315" s="637"/>
      <c r="BF315" s="137">
        <f t="shared" si="14"/>
        <v>0</v>
      </c>
      <c r="BG315" s="43">
        <f t="shared" si="15"/>
        <v>0</v>
      </c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</row>
    <row r="316" spans="1:99" s="96" customFormat="1" ht="22.5" customHeight="1">
      <c r="A316" s="39"/>
      <c r="B316" s="51">
        <v>301</v>
      </c>
      <c r="C316" s="51" t="s">
        <v>39</v>
      </c>
      <c r="D316" s="42">
        <v>40008387</v>
      </c>
      <c r="E316" s="52" t="s">
        <v>3045</v>
      </c>
      <c r="F316" s="52" t="s">
        <v>2428</v>
      </c>
      <c r="G316" s="56" t="s">
        <v>2686</v>
      </c>
      <c r="H316" s="52" t="s">
        <v>2718</v>
      </c>
      <c r="I316" s="52" t="s">
        <v>2540</v>
      </c>
      <c r="J316" s="636">
        <v>153375</v>
      </c>
      <c r="K316" s="52"/>
      <c r="L316" s="52"/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/>
      <c r="W316" s="54"/>
      <c r="X316" s="54"/>
      <c r="Y316" s="54">
        <f t="shared" si="13"/>
        <v>0</v>
      </c>
      <c r="Z316" s="52">
        <v>1000</v>
      </c>
      <c r="AA316" s="52">
        <v>15</v>
      </c>
      <c r="AB316" s="637">
        <v>44315</v>
      </c>
      <c r="AC316" s="637">
        <v>44322</v>
      </c>
      <c r="AD316" s="52">
        <v>-1000</v>
      </c>
      <c r="AE316" s="52">
        <v>39</v>
      </c>
      <c r="AF316" s="637">
        <v>44358</v>
      </c>
      <c r="AG316" s="637">
        <v>44364</v>
      </c>
      <c r="AH316" s="52"/>
      <c r="AI316" s="52"/>
      <c r="AJ316" s="637"/>
      <c r="AK316" s="637"/>
      <c r="AL316" s="52"/>
      <c r="AM316" s="52"/>
      <c r="AN316" s="637"/>
      <c r="AO316" s="637"/>
      <c r="AP316" s="52"/>
      <c r="AQ316" s="52"/>
      <c r="AR316" s="637"/>
      <c r="AS316" s="637"/>
      <c r="AT316" s="52"/>
      <c r="AU316" s="52"/>
      <c r="AV316" s="637"/>
      <c r="AW316" s="637"/>
      <c r="AX316" s="52"/>
      <c r="AY316" s="52"/>
      <c r="AZ316" s="637"/>
      <c r="BA316" s="637"/>
      <c r="BB316" s="52"/>
      <c r="BC316" s="52"/>
      <c r="BD316" s="637"/>
      <c r="BE316" s="637"/>
      <c r="BF316" s="137">
        <f t="shared" si="14"/>
        <v>0</v>
      </c>
      <c r="BG316" s="43">
        <f t="shared" si="15"/>
        <v>0</v>
      </c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</row>
    <row r="317" spans="1:99" s="96" customFormat="1" ht="22.5" customHeight="1">
      <c r="A317" s="39"/>
      <c r="B317" s="51">
        <v>302</v>
      </c>
      <c r="C317" s="51" t="s">
        <v>39</v>
      </c>
      <c r="D317" s="42">
        <v>40014243</v>
      </c>
      <c r="E317" s="52" t="s">
        <v>3046</v>
      </c>
      <c r="F317" s="52" t="s">
        <v>2428</v>
      </c>
      <c r="G317" s="56" t="s">
        <v>2686</v>
      </c>
      <c r="H317" s="52" t="s">
        <v>3003</v>
      </c>
      <c r="I317" s="52" t="s">
        <v>2540</v>
      </c>
      <c r="J317" s="636">
        <v>118269</v>
      </c>
      <c r="K317" s="52"/>
      <c r="L317" s="52"/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/>
      <c r="W317" s="54"/>
      <c r="X317" s="54"/>
      <c r="Y317" s="54">
        <f t="shared" si="13"/>
        <v>0</v>
      </c>
      <c r="Z317" s="52">
        <v>1000</v>
      </c>
      <c r="AA317" s="52">
        <v>15</v>
      </c>
      <c r="AB317" s="637">
        <v>44315</v>
      </c>
      <c r="AC317" s="637">
        <v>44322</v>
      </c>
      <c r="AD317" s="52">
        <v>-1000</v>
      </c>
      <c r="AE317" s="52">
        <v>39</v>
      </c>
      <c r="AF317" s="637">
        <v>44358</v>
      </c>
      <c r="AG317" s="637">
        <v>44364</v>
      </c>
      <c r="AH317" s="52"/>
      <c r="AI317" s="52"/>
      <c r="AJ317" s="637"/>
      <c r="AK317" s="637"/>
      <c r="AL317" s="52"/>
      <c r="AM317" s="52"/>
      <c r="AN317" s="637"/>
      <c r="AO317" s="637"/>
      <c r="AP317" s="52"/>
      <c r="AQ317" s="52"/>
      <c r="AR317" s="637"/>
      <c r="AS317" s="637"/>
      <c r="AT317" s="52"/>
      <c r="AU317" s="52"/>
      <c r="AV317" s="637"/>
      <c r="AW317" s="637"/>
      <c r="AX317" s="52"/>
      <c r="AY317" s="52"/>
      <c r="AZ317" s="637"/>
      <c r="BA317" s="637"/>
      <c r="BB317" s="52"/>
      <c r="BC317" s="52"/>
      <c r="BD317" s="637"/>
      <c r="BE317" s="637"/>
      <c r="BF317" s="137">
        <f t="shared" si="14"/>
        <v>0</v>
      </c>
      <c r="BG317" s="43">
        <f t="shared" si="15"/>
        <v>0</v>
      </c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</row>
    <row r="318" spans="1:99" s="96" customFormat="1" ht="33.75" customHeight="1">
      <c r="A318" s="39"/>
      <c r="B318" s="51">
        <v>303</v>
      </c>
      <c r="C318" s="51" t="s">
        <v>39</v>
      </c>
      <c r="D318" s="42">
        <v>40027711</v>
      </c>
      <c r="E318" s="52" t="s">
        <v>3047</v>
      </c>
      <c r="F318" s="52" t="s">
        <v>2428</v>
      </c>
      <c r="G318" s="56" t="s">
        <v>2686</v>
      </c>
      <c r="H318" s="52" t="s">
        <v>2861</v>
      </c>
      <c r="I318" s="52" t="s">
        <v>2540</v>
      </c>
      <c r="J318" s="636">
        <v>13175</v>
      </c>
      <c r="K318" s="52"/>
      <c r="L318" s="52"/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/>
      <c r="W318" s="54"/>
      <c r="X318" s="54"/>
      <c r="Y318" s="54">
        <f t="shared" si="13"/>
        <v>0</v>
      </c>
      <c r="Z318" s="52">
        <v>1000</v>
      </c>
      <c r="AA318" s="52">
        <v>15</v>
      </c>
      <c r="AB318" s="637">
        <v>44315</v>
      </c>
      <c r="AC318" s="637">
        <v>44322</v>
      </c>
      <c r="AD318" s="52">
        <v>-1000</v>
      </c>
      <c r="AE318" s="52">
        <v>39</v>
      </c>
      <c r="AF318" s="637">
        <v>44358</v>
      </c>
      <c r="AG318" s="637">
        <v>44364</v>
      </c>
      <c r="AH318" s="52"/>
      <c r="AI318" s="52"/>
      <c r="AJ318" s="637"/>
      <c r="AK318" s="637"/>
      <c r="AL318" s="52"/>
      <c r="AM318" s="52"/>
      <c r="AN318" s="637"/>
      <c r="AO318" s="637"/>
      <c r="AP318" s="52"/>
      <c r="AQ318" s="52"/>
      <c r="AR318" s="637"/>
      <c r="AS318" s="637"/>
      <c r="AT318" s="52"/>
      <c r="AU318" s="52"/>
      <c r="AV318" s="637"/>
      <c r="AW318" s="637"/>
      <c r="AX318" s="52"/>
      <c r="AY318" s="52"/>
      <c r="AZ318" s="637"/>
      <c r="BA318" s="637"/>
      <c r="BB318" s="52"/>
      <c r="BC318" s="52"/>
      <c r="BD318" s="637"/>
      <c r="BE318" s="637"/>
      <c r="BF318" s="137">
        <f t="shared" si="14"/>
        <v>0</v>
      </c>
      <c r="BG318" s="43">
        <f t="shared" si="15"/>
        <v>0</v>
      </c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</row>
    <row r="319" spans="1:99" s="96" customFormat="1" ht="22.5">
      <c r="A319" s="39"/>
      <c r="B319" s="51">
        <v>304</v>
      </c>
      <c r="C319" s="51" t="s">
        <v>39</v>
      </c>
      <c r="D319" s="42">
        <v>40024108</v>
      </c>
      <c r="E319" s="52" t="s">
        <v>3048</v>
      </c>
      <c r="F319" s="52" t="s">
        <v>2428</v>
      </c>
      <c r="G319" s="56" t="s">
        <v>2686</v>
      </c>
      <c r="H319" s="52" t="s">
        <v>3049</v>
      </c>
      <c r="I319" s="52" t="s">
        <v>2540</v>
      </c>
      <c r="J319" s="636">
        <v>1109852</v>
      </c>
      <c r="K319" s="52"/>
      <c r="L319" s="52"/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/>
      <c r="W319" s="54"/>
      <c r="X319" s="54"/>
      <c r="Y319" s="54">
        <f t="shared" si="13"/>
        <v>0</v>
      </c>
      <c r="Z319" s="52">
        <v>2000</v>
      </c>
      <c r="AA319" s="52" t="s">
        <v>3050</v>
      </c>
      <c r="AB319" s="637" t="e">
        <v>#N/A</v>
      </c>
      <c r="AC319" s="637" t="e">
        <v>#N/A</v>
      </c>
      <c r="AD319" s="52"/>
      <c r="AE319" s="52"/>
      <c r="AF319" s="637"/>
      <c r="AG319" s="637"/>
      <c r="AH319" s="52"/>
      <c r="AI319" s="52"/>
      <c r="AJ319" s="637"/>
      <c r="AK319" s="637"/>
      <c r="AL319" s="52"/>
      <c r="AM319" s="52"/>
      <c r="AN319" s="637"/>
      <c r="AO319" s="637"/>
      <c r="AP319" s="52"/>
      <c r="AQ319" s="52"/>
      <c r="AR319" s="637"/>
      <c r="AS319" s="637"/>
      <c r="AT319" s="52"/>
      <c r="AU319" s="52"/>
      <c r="AV319" s="637"/>
      <c r="AW319" s="637"/>
      <c r="AX319" s="52"/>
      <c r="AY319" s="52"/>
      <c r="AZ319" s="637"/>
      <c r="BA319" s="637"/>
      <c r="BB319" s="52"/>
      <c r="BC319" s="52"/>
      <c r="BD319" s="637"/>
      <c r="BE319" s="637"/>
      <c r="BF319" s="137">
        <f t="shared" si="14"/>
        <v>2000</v>
      </c>
      <c r="BG319" s="43">
        <f t="shared" si="15"/>
        <v>2000</v>
      </c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</row>
    <row r="320" spans="1:99" s="96" customFormat="1" ht="22.5" customHeight="1">
      <c r="A320" s="39"/>
      <c r="B320" s="51">
        <v>305</v>
      </c>
      <c r="C320" s="51" t="s">
        <v>39</v>
      </c>
      <c r="D320" s="42">
        <v>40023120</v>
      </c>
      <c r="E320" s="52" t="s">
        <v>3051</v>
      </c>
      <c r="F320" s="52" t="s">
        <v>2428</v>
      </c>
      <c r="G320" s="56" t="s">
        <v>2686</v>
      </c>
      <c r="H320" s="52" t="s">
        <v>3052</v>
      </c>
      <c r="I320" s="52" t="s">
        <v>2540</v>
      </c>
      <c r="J320" s="636">
        <v>74559</v>
      </c>
      <c r="K320" s="52"/>
      <c r="L320" s="52"/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/>
      <c r="W320" s="54"/>
      <c r="X320" s="54"/>
      <c r="Y320" s="54">
        <f t="shared" si="13"/>
        <v>0</v>
      </c>
      <c r="Z320" s="52">
        <v>1000</v>
      </c>
      <c r="AA320" s="52">
        <v>18</v>
      </c>
      <c r="AB320" s="637">
        <v>44327</v>
      </c>
      <c r="AC320" s="637">
        <v>44341</v>
      </c>
      <c r="AD320" s="52">
        <v>-1000</v>
      </c>
      <c r="AE320" s="52">
        <v>39</v>
      </c>
      <c r="AF320" s="637">
        <v>44358</v>
      </c>
      <c r="AG320" s="637">
        <v>44364</v>
      </c>
      <c r="AH320" s="52"/>
      <c r="AI320" s="52"/>
      <c r="AJ320" s="637"/>
      <c r="AK320" s="637"/>
      <c r="AL320" s="52"/>
      <c r="AM320" s="52"/>
      <c r="AN320" s="637"/>
      <c r="AO320" s="637"/>
      <c r="AP320" s="52"/>
      <c r="AQ320" s="52"/>
      <c r="AR320" s="637"/>
      <c r="AS320" s="637"/>
      <c r="AT320" s="52"/>
      <c r="AU320" s="52"/>
      <c r="AV320" s="637"/>
      <c r="AW320" s="637"/>
      <c r="AX320" s="52"/>
      <c r="AY320" s="52"/>
      <c r="AZ320" s="637"/>
      <c r="BA320" s="637"/>
      <c r="BB320" s="52"/>
      <c r="BC320" s="52"/>
      <c r="BD320" s="637"/>
      <c r="BE320" s="637"/>
      <c r="BF320" s="137">
        <f t="shared" si="14"/>
        <v>0</v>
      </c>
      <c r="BG320" s="43">
        <f t="shared" si="15"/>
        <v>0</v>
      </c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</row>
    <row r="321" spans="1:99" s="96" customFormat="1" ht="22.5" customHeight="1">
      <c r="A321" s="39"/>
      <c r="B321" s="51">
        <v>306</v>
      </c>
      <c r="C321" s="51" t="s">
        <v>39</v>
      </c>
      <c r="D321" s="42">
        <v>40015502</v>
      </c>
      <c r="E321" s="52" t="s">
        <v>3053</v>
      </c>
      <c r="F321" s="52" t="s">
        <v>2428</v>
      </c>
      <c r="G321" s="56" t="s">
        <v>2686</v>
      </c>
      <c r="H321" s="52" t="s">
        <v>2817</v>
      </c>
      <c r="I321" s="52" t="s">
        <v>2540</v>
      </c>
      <c r="J321" s="636">
        <v>2569483</v>
      </c>
      <c r="K321" s="52"/>
      <c r="L321" s="52"/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/>
      <c r="W321" s="54"/>
      <c r="X321" s="54"/>
      <c r="Y321" s="54">
        <f t="shared" si="13"/>
        <v>0</v>
      </c>
      <c r="Z321" s="52">
        <v>1000</v>
      </c>
      <c r="AA321" s="52">
        <v>18</v>
      </c>
      <c r="AB321" s="637">
        <v>44327</v>
      </c>
      <c r="AC321" s="637">
        <v>44341</v>
      </c>
      <c r="AD321" s="52">
        <v>-1000</v>
      </c>
      <c r="AE321" s="52">
        <v>39</v>
      </c>
      <c r="AF321" s="637">
        <v>44358</v>
      </c>
      <c r="AG321" s="637">
        <v>44364</v>
      </c>
      <c r="AH321" s="52"/>
      <c r="AI321" s="52"/>
      <c r="AJ321" s="637"/>
      <c r="AK321" s="637"/>
      <c r="AL321" s="52"/>
      <c r="AM321" s="52"/>
      <c r="AN321" s="637"/>
      <c r="AO321" s="637"/>
      <c r="AP321" s="52"/>
      <c r="AQ321" s="52"/>
      <c r="AR321" s="637"/>
      <c r="AS321" s="637"/>
      <c r="AT321" s="52"/>
      <c r="AU321" s="52"/>
      <c r="AV321" s="637"/>
      <c r="AW321" s="637"/>
      <c r="AX321" s="52"/>
      <c r="AY321" s="52"/>
      <c r="AZ321" s="637"/>
      <c r="BA321" s="637"/>
      <c r="BB321" s="52"/>
      <c r="BC321" s="52"/>
      <c r="BD321" s="637"/>
      <c r="BE321" s="637"/>
      <c r="BF321" s="137">
        <f t="shared" si="14"/>
        <v>0</v>
      </c>
      <c r="BG321" s="43">
        <f t="shared" si="15"/>
        <v>0</v>
      </c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</row>
    <row r="322" spans="1:99" s="96" customFormat="1" ht="33.75" customHeight="1">
      <c r="A322" s="39"/>
      <c r="B322" s="51">
        <v>307</v>
      </c>
      <c r="C322" s="51" t="s">
        <v>39</v>
      </c>
      <c r="D322" s="42">
        <v>40025558</v>
      </c>
      <c r="E322" s="52" t="s">
        <v>3054</v>
      </c>
      <c r="F322" s="52" t="s">
        <v>2428</v>
      </c>
      <c r="G322" s="56" t="s">
        <v>2686</v>
      </c>
      <c r="H322" s="52" t="s">
        <v>2779</v>
      </c>
      <c r="I322" s="52" t="s">
        <v>2540</v>
      </c>
      <c r="J322" s="636">
        <v>497992</v>
      </c>
      <c r="K322" s="52"/>
      <c r="L322" s="52"/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/>
      <c r="W322" s="54"/>
      <c r="X322" s="54"/>
      <c r="Y322" s="54">
        <f t="shared" si="13"/>
        <v>0</v>
      </c>
      <c r="Z322" s="52">
        <v>1000</v>
      </c>
      <c r="AA322" s="52">
        <v>18</v>
      </c>
      <c r="AB322" s="637">
        <v>44327</v>
      </c>
      <c r="AC322" s="637">
        <v>44341</v>
      </c>
      <c r="AD322" s="52">
        <v>-1000</v>
      </c>
      <c r="AE322" s="52">
        <v>39</v>
      </c>
      <c r="AF322" s="637">
        <v>44358</v>
      </c>
      <c r="AG322" s="637">
        <v>44364</v>
      </c>
      <c r="AH322" s="52"/>
      <c r="AI322" s="52"/>
      <c r="AJ322" s="637"/>
      <c r="AK322" s="637"/>
      <c r="AL322" s="52"/>
      <c r="AM322" s="52"/>
      <c r="AN322" s="637"/>
      <c r="AO322" s="637"/>
      <c r="AP322" s="52"/>
      <c r="AQ322" s="52"/>
      <c r="AR322" s="637"/>
      <c r="AS322" s="637"/>
      <c r="AT322" s="52"/>
      <c r="AU322" s="52"/>
      <c r="AV322" s="637"/>
      <c r="AW322" s="637"/>
      <c r="AX322" s="52"/>
      <c r="AY322" s="52"/>
      <c r="AZ322" s="637"/>
      <c r="BA322" s="637"/>
      <c r="BB322" s="52"/>
      <c r="BC322" s="52"/>
      <c r="BD322" s="637"/>
      <c r="BE322" s="637"/>
      <c r="BF322" s="137">
        <f t="shared" si="14"/>
        <v>0</v>
      </c>
      <c r="BG322" s="43">
        <f t="shared" si="15"/>
        <v>0</v>
      </c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</row>
    <row r="323" spans="1:99" s="96" customFormat="1" ht="22.5" customHeight="1">
      <c r="A323" s="39"/>
      <c r="B323" s="51">
        <v>308</v>
      </c>
      <c r="C323" s="51" t="s">
        <v>39</v>
      </c>
      <c r="D323" s="42">
        <v>30220972</v>
      </c>
      <c r="E323" s="52" t="s">
        <v>3055</v>
      </c>
      <c r="F323" s="52" t="s">
        <v>317</v>
      </c>
      <c r="G323" s="56" t="s">
        <v>2686</v>
      </c>
      <c r="H323" s="52" t="s">
        <v>2709</v>
      </c>
      <c r="I323" s="52" t="s">
        <v>2540</v>
      </c>
      <c r="J323" s="636">
        <v>6816913</v>
      </c>
      <c r="K323" s="52"/>
      <c r="L323" s="52"/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56133.561000000002</v>
      </c>
      <c r="T323" s="54">
        <v>72389.341</v>
      </c>
      <c r="U323" s="54">
        <v>0</v>
      </c>
      <c r="V323" s="54"/>
      <c r="W323" s="54"/>
      <c r="X323" s="54"/>
      <c r="Y323" s="54">
        <f t="shared" si="13"/>
        <v>128522.902</v>
      </c>
      <c r="Z323" s="52">
        <v>50000</v>
      </c>
      <c r="AA323" s="52">
        <v>23</v>
      </c>
      <c r="AB323" s="637">
        <v>44340</v>
      </c>
      <c r="AC323" s="637">
        <v>44350</v>
      </c>
      <c r="AD323" s="52">
        <v>6133</v>
      </c>
      <c r="AE323" s="52">
        <v>38</v>
      </c>
      <c r="AF323" s="637">
        <v>44358</v>
      </c>
      <c r="AG323" s="637">
        <v>44364</v>
      </c>
      <c r="AH323" s="52">
        <v>58685</v>
      </c>
      <c r="AI323" s="52">
        <v>40</v>
      </c>
      <c r="AJ323" s="637">
        <v>44358</v>
      </c>
      <c r="AK323" s="637">
        <v>44364</v>
      </c>
      <c r="AL323" s="52"/>
      <c r="AM323" s="52"/>
      <c r="AN323" s="637"/>
      <c r="AO323" s="637"/>
      <c r="AP323" s="52"/>
      <c r="AQ323" s="52"/>
      <c r="AR323" s="637"/>
      <c r="AS323" s="637"/>
      <c r="AT323" s="52"/>
      <c r="AU323" s="52"/>
      <c r="AV323" s="637"/>
      <c r="AW323" s="637"/>
      <c r="AX323" s="52"/>
      <c r="AY323" s="52"/>
      <c r="AZ323" s="637"/>
      <c r="BA323" s="637"/>
      <c r="BB323" s="52"/>
      <c r="BC323" s="52"/>
      <c r="BD323" s="637"/>
      <c r="BE323" s="637"/>
      <c r="BF323" s="137">
        <f t="shared" si="14"/>
        <v>114818</v>
      </c>
      <c r="BG323" s="43">
        <f t="shared" si="15"/>
        <v>-13704.902000000002</v>
      </c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</row>
    <row r="324" spans="1:99" s="96" customFormat="1" ht="22.5" customHeight="1">
      <c r="A324" s="39"/>
      <c r="B324" s="51">
        <v>309</v>
      </c>
      <c r="C324" s="51" t="s">
        <v>39</v>
      </c>
      <c r="D324" s="42">
        <v>40006511</v>
      </c>
      <c r="E324" s="52" t="s">
        <v>3056</v>
      </c>
      <c r="F324" s="52" t="s">
        <v>2428</v>
      </c>
      <c r="G324" s="56" t="s">
        <v>2686</v>
      </c>
      <c r="H324" s="52" t="s">
        <v>2697</v>
      </c>
      <c r="I324" s="52" t="s">
        <v>2540</v>
      </c>
      <c r="J324" s="636">
        <v>274123</v>
      </c>
      <c r="K324" s="52"/>
      <c r="L324" s="52"/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/>
      <c r="W324" s="54"/>
      <c r="X324" s="54"/>
      <c r="Y324" s="54">
        <f t="shared" si="13"/>
        <v>0</v>
      </c>
      <c r="Z324" s="52">
        <v>1000</v>
      </c>
      <c r="AA324" s="52">
        <v>24</v>
      </c>
      <c r="AB324" s="637">
        <v>44358</v>
      </c>
      <c r="AC324" s="637">
        <v>44364</v>
      </c>
      <c r="AD324" s="52">
        <v>-1000</v>
      </c>
      <c r="AE324" s="52">
        <v>39</v>
      </c>
      <c r="AF324" s="637">
        <v>44358</v>
      </c>
      <c r="AG324" s="637">
        <v>44364</v>
      </c>
      <c r="AH324" s="52"/>
      <c r="AI324" s="52"/>
      <c r="AJ324" s="637"/>
      <c r="AK324" s="637"/>
      <c r="AL324" s="52"/>
      <c r="AM324" s="52"/>
      <c r="AN324" s="637"/>
      <c r="AO324" s="637"/>
      <c r="AP324" s="52"/>
      <c r="AQ324" s="52"/>
      <c r="AR324" s="637"/>
      <c r="AS324" s="637"/>
      <c r="AT324" s="52"/>
      <c r="AU324" s="52"/>
      <c r="AV324" s="637"/>
      <c r="AW324" s="637"/>
      <c r="AX324" s="52"/>
      <c r="AY324" s="52"/>
      <c r="AZ324" s="637"/>
      <c r="BA324" s="637"/>
      <c r="BB324" s="52"/>
      <c r="BC324" s="52"/>
      <c r="BD324" s="637"/>
      <c r="BE324" s="637"/>
      <c r="BF324" s="137">
        <f t="shared" si="14"/>
        <v>0</v>
      </c>
      <c r="BG324" s="43">
        <f t="shared" si="15"/>
        <v>0</v>
      </c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</row>
    <row r="325" spans="1:99" s="96" customFormat="1" ht="33.75" customHeight="1">
      <c r="A325" s="39"/>
      <c r="B325" s="51">
        <v>310</v>
      </c>
      <c r="C325" s="51" t="s">
        <v>39</v>
      </c>
      <c r="D325" s="42">
        <v>40008685</v>
      </c>
      <c r="E325" s="52" t="s">
        <v>3057</v>
      </c>
      <c r="F325" s="52" t="s">
        <v>2428</v>
      </c>
      <c r="G325" s="56" t="s">
        <v>2686</v>
      </c>
      <c r="H325" s="52" t="s">
        <v>2697</v>
      </c>
      <c r="I325" s="52" t="s">
        <v>2540</v>
      </c>
      <c r="J325" s="636">
        <v>85508</v>
      </c>
      <c r="K325" s="52"/>
      <c r="L325" s="52"/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/>
      <c r="W325" s="54"/>
      <c r="X325" s="54"/>
      <c r="Y325" s="54">
        <f t="shared" si="13"/>
        <v>0</v>
      </c>
      <c r="Z325" s="52">
        <v>1000</v>
      </c>
      <c r="AA325" s="52">
        <v>24</v>
      </c>
      <c r="AB325" s="637">
        <v>44358</v>
      </c>
      <c r="AC325" s="637">
        <v>44364</v>
      </c>
      <c r="AD325" s="52">
        <v>-1000</v>
      </c>
      <c r="AE325" s="52">
        <v>39</v>
      </c>
      <c r="AF325" s="637">
        <v>44358</v>
      </c>
      <c r="AG325" s="637">
        <v>44364</v>
      </c>
      <c r="AH325" s="52"/>
      <c r="AI325" s="52"/>
      <c r="AJ325" s="637"/>
      <c r="AK325" s="637"/>
      <c r="AL325" s="52"/>
      <c r="AM325" s="52"/>
      <c r="AN325" s="637"/>
      <c r="AO325" s="637"/>
      <c r="AP325" s="52"/>
      <c r="AQ325" s="52"/>
      <c r="AR325" s="637"/>
      <c r="AS325" s="637"/>
      <c r="AT325" s="52"/>
      <c r="AU325" s="52"/>
      <c r="AV325" s="637"/>
      <c r="AW325" s="637"/>
      <c r="AX325" s="52"/>
      <c r="AY325" s="52"/>
      <c r="AZ325" s="637"/>
      <c r="BA325" s="637"/>
      <c r="BB325" s="52"/>
      <c r="BC325" s="52"/>
      <c r="BD325" s="637"/>
      <c r="BE325" s="637"/>
      <c r="BF325" s="137">
        <f t="shared" si="14"/>
        <v>0</v>
      </c>
      <c r="BG325" s="43">
        <f t="shared" si="15"/>
        <v>0</v>
      </c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</row>
    <row r="326" spans="1:99" s="96" customFormat="1" ht="22.5" customHeight="1">
      <c r="A326" s="39"/>
      <c r="B326" s="51">
        <v>311</v>
      </c>
      <c r="C326" s="51" t="s">
        <v>39</v>
      </c>
      <c r="D326" s="42">
        <v>40017062</v>
      </c>
      <c r="E326" s="52" t="s">
        <v>3058</v>
      </c>
      <c r="F326" s="52" t="s">
        <v>2428</v>
      </c>
      <c r="G326" s="56" t="s">
        <v>2686</v>
      </c>
      <c r="H326" s="52" t="s">
        <v>2746</v>
      </c>
      <c r="I326" s="52" t="s">
        <v>2540</v>
      </c>
      <c r="J326" s="636">
        <v>23154</v>
      </c>
      <c r="K326" s="52"/>
      <c r="L326" s="52"/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/>
      <c r="W326" s="54"/>
      <c r="X326" s="54"/>
      <c r="Y326" s="54">
        <f t="shared" si="13"/>
        <v>0</v>
      </c>
      <c r="Z326" s="52">
        <v>1000</v>
      </c>
      <c r="AA326" s="52">
        <v>24</v>
      </c>
      <c r="AB326" s="637">
        <v>44358</v>
      </c>
      <c r="AC326" s="637">
        <v>44364</v>
      </c>
      <c r="AD326" s="52">
        <v>-1000</v>
      </c>
      <c r="AE326" s="52">
        <v>39</v>
      </c>
      <c r="AF326" s="637">
        <v>44358</v>
      </c>
      <c r="AG326" s="637">
        <v>44364</v>
      </c>
      <c r="AH326" s="52"/>
      <c r="AI326" s="52"/>
      <c r="AJ326" s="637"/>
      <c r="AK326" s="637"/>
      <c r="AL326" s="52"/>
      <c r="AM326" s="52"/>
      <c r="AN326" s="637"/>
      <c r="AO326" s="637"/>
      <c r="AP326" s="52"/>
      <c r="AQ326" s="52"/>
      <c r="AR326" s="637"/>
      <c r="AS326" s="637"/>
      <c r="AT326" s="52"/>
      <c r="AU326" s="52"/>
      <c r="AV326" s="637"/>
      <c r="AW326" s="637"/>
      <c r="AX326" s="52"/>
      <c r="AY326" s="52"/>
      <c r="AZ326" s="637"/>
      <c r="BA326" s="637"/>
      <c r="BB326" s="52"/>
      <c r="BC326" s="52"/>
      <c r="BD326" s="637"/>
      <c r="BE326" s="637"/>
      <c r="BF326" s="137">
        <f t="shared" si="14"/>
        <v>0</v>
      </c>
      <c r="BG326" s="43">
        <f t="shared" si="15"/>
        <v>0</v>
      </c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</row>
    <row r="327" spans="1:99" s="96" customFormat="1" ht="22.5" customHeight="1">
      <c r="A327" s="39"/>
      <c r="B327" s="51">
        <v>312</v>
      </c>
      <c r="C327" s="51" t="s">
        <v>39</v>
      </c>
      <c r="D327" s="42">
        <v>40017064</v>
      </c>
      <c r="E327" s="52" t="s">
        <v>3059</v>
      </c>
      <c r="F327" s="52" t="s">
        <v>2428</v>
      </c>
      <c r="G327" s="56" t="s">
        <v>2686</v>
      </c>
      <c r="H327" s="52" t="s">
        <v>2746</v>
      </c>
      <c r="I327" s="52" t="s">
        <v>2540</v>
      </c>
      <c r="J327" s="636">
        <v>104908</v>
      </c>
      <c r="K327" s="52"/>
      <c r="L327" s="52"/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/>
      <c r="W327" s="54"/>
      <c r="X327" s="54"/>
      <c r="Y327" s="54">
        <f t="shared" si="13"/>
        <v>0</v>
      </c>
      <c r="Z327" s="52">
        <v>1000</v>
      </c>
      <c r="AA327" s="52">
        <v>24</v>
      </c>
      <c r="AB327" s="637">
        <v>44358</v>
      </c>
      <c r="AC327" s="637">
        <v>44364</v>
      </c>
      <c r="AD327" s="52">
        <v>-1000</v>
      </c>
      <c r="AE327" s="52">
        <v>39</v>
      </c>
      <c r="AF327" s="637">
        <v>44358</v>
      </c>
      <c r="AG327" s="637">
        <v>44364</v>
      </c>
      <c r="AH327" s="52"/>
      <c r="AI327" s="52"/>
      <c r="AJ327" s="637"/>
      <c r="AK327" s="637"/>
      <c r="AL327" s="52"/>
      <c r="AM327" s="52"/>
      <c r="AN327" s="637"/>
      <c r="AO327" s="637"/>
      <c r="AP327" s="52"/>
      <c r="AQ327" s="52"/>
      <c r="AR327" s="637"/>
      <c r="AS327" s="637"/>
      <c r="AT327" s="52"/>
      <c r="AU327" s="52"/>
      <c r="AV327" s="637"/>
      <c r="AW327" s="637"/>
      <c r="AX327" s="52"/>
      <c r="AY327" s="52"/>
      <c r="AZ327" s="637"/>
      <c r="BA327" s="637"/>
      <c r="BB327" s="52"/>
      <c r="BC327" s="52"/>
      <c r="BD327" s="637"/>
      <c r="BE327" s="637"/>
      <c r="BF327" s="137">
        <f t="shared" si="14"/>
        <v>0</v>
      </c>
      <c r="BG327" s="43">
        <f t="shared" si="15"/>
        <v>0</v>
      </c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</row>
    <row r="328" spans="1:99" s="96" customFormat="1" ht="22.5" customHeight="1">
      <c r="A328" s="39"/>
      <c r="B328" s="51">
        <v>313</v>
      </c>
      <c r="C328" s="51" t="s">
        <v>39</v>
      </c>
      <c r="D328" s="42">
        <v>40017066</v>
      </c>
      <c r="E328" s="52" t="s">
        <v>3060</v>
      </c>
      <c r="F328" s="52" t="s">
        <v>2428</v>
      </c>
      <c r="G328" s="56" t="s">
        <v>2686</v>
      </c>
      <c r="H328" s="52" t="s">
        <v>2746</v>
      </c>
      <c r="I328" s="52" t="s">
        <v>2540</v>
      </c>
      <c r="J328" s="636">
        <v>31472</v>
      </c>
      <c r="K328" s="52"/>
      <c r="L328" s="52"/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/>
      <c r="W328" s="54"/>
      <c r="X328" s="54"/>
      <c r="Y328" s="54">
        <f t="shared" si="13"/>
        <v>0</v>
      </c>
      <c r="Z328" s="52">
        <v>1000</v>
      </c>
      <c r="AA328" s="52">
        <v>24</v>
      </c>
      <c r="AB328" s="637">
        <v>44358</v>
      </c>
      <c r="AC328" s="637">
        <v>44364</v>
      </c>
      <c r="AD328" s="52">
        <v>-1000</v>
      </c>
      <c r="AE328" s="52">
        <v>39</v>
      </c>
      <c r="AF328" s="637">
        <v>44358</v>
      </c>
      <c r="AG328" s="637">
        <v>44364</v>
      </c>
      <c r="AH328" s="52"/>
      <c r="AI328" s="52"/>
      <c r="AJ328" s="637"/>
      <c r="AK328" s="637"/>
      <c r="AL328" s="52"/>
      <c r="AM328" s="52"/>
      <c r="AN328" s="637"/>
      <c r="AO328" s="637"/>
      <c r="AP328" s="52"/>
      <c r="AQ328" s="52"/>
      <c r="AR328" s="637"/>
      <c r="AS328" s="637"/>
      <c r="AT328" s="52"/>
      <c r="AU328" s="52"/>
      <c r="AV328" s="637"/>
      <c r="AW328" s="637"/>
      <c r="AX328" s="52"/>
      <c r="AY328" s="52"/>
      <c r="AZ328" s="637"/>
      <c r="BA328" s="637"/>
      <c r="BB328" s="52"/>
      <c r="BC328" s="52"/>
      <c r="BD328" s="637"/>
      <c r="BE328" s="637"/>
      <c r="BF328" s="137">
        <f t="shared" si="14"/>
        <v>0</v>
      </c>
      <c r="BG328" s="43">
        <f t="shared" si="15"/>
        <v>0</v>
      </c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</row>
    <row r="329" spans="1:99" s="96" customFormat="1" ht="22.5" customHeight="1">
      <c r="A329" s="39"/>
      <c r="B329" s="51">
        <v>314</v>
      </c>
      <c r="C329" s="51" t="s">
        <v>39</v>
      </c>
      <c r="D329" s="42">
        <v>40017377</v>
      </c>
      <c r="E329" s="52" t="s">
        <v>3061</v>
      </c>
      <c r="F329" s="52" t="s">
        <v>2428</v>
      </c>
      <c r="G329" s="56" t="s">
        <v>2686</v>
      </c>
      <c r="H329" s="52" t="s">
        <v>2746</v>
      </c>
      <c r="I329" s="52" t="s">
        <v>2540</v>
      </c>
      <c r="J329" s="636">
        <v>88101</v>
      </c>
      <c r="K329" s="52"/>
      <c r="L329" s="52"/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/>
      <c r="W329" s="54"/>
      <c r="X329" s="54"/>
      <c r="Y329" s="54">
        <f t="shared" ref="Y329:Y348" si="16">SUM(M329:X329)</f>
        <v>0</v>
      </c>
      <c r="Z329" s="52">
        <v>1000</v>
      </c>
      <c r="AA329" s="52">
        <v>24</v>
      </c>
      <c r="AB329" s="637">
        <v>44358</v>
      </c>
      <c r="AC329" s="637">
        <v>44364</v>
      </c>
      <c r="AD329" s="52">
        <v>-1000</v>
      </c>
      <c r="AE329" s="52">
        <v>39</v>
      </c>
      <c r="AF329" s="637">
        <v>44358</v>
      </c>
      <c r="AG329" s="637">
        <v>44364</v>
      </c>
      <c r="AH329" s="52"/>
      <c r="AI329" s="52"/>
      <c r="AJ329" s="637"/>
      <c r="AK329" s="637"/>
      <c r="AL329" s="52"/>
      <c r="AM329" s="52"/>
      <c r="AN329" s="637"/>
      <c r="AO329" s="637"/>
      <c r="AP329" s="52"/>
      <c r="AQ329" s="52"/>
      <c r="AR329" s="637"/>
      <c r="AS329" s="637"/>
      <c r="AT329" s="52"/>
      <c r="AU329" s="52"/>
      <c r="AV329" s="637"/>
      <c r="AW329" s="637"/>
      <c r="AX329" s="52"/>
      <c r="AY329" s="52"/>
      <c r="AZ329" s="637"/>
      <c r="BA329" s="637"/>
      <c r="BB329" s="52"/>
      <c r="BC329" s="52"/>
      <c r="BD329" s="637"/>
      <c r="BE329" s="637"/>
      <c r="BF329" s="137">
        <f t="shared" si="14"/>
        <v>0</v>
      </c>
      <c r="BG329" s="43">
        <f t="shared" si="15"/>
        <v>0</v>
      </c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</row>
    <row r="330" spans="1:99" s="96" customFormat="1" ht="22.5" customHeight="1">
      <c r="A330" s="39"/>
      <c r="B330" s="51">
        <v>315</v>
      </c>
      <c r="C330" s="51" t="s">
        <v>39</v>
      </c>
      <c r="D330" s="42">
        <v>40008732</v>
      </c>
      <c r="E330" s="52" t="s">
        <v>3062</v>
      </c>
      <c r="F330" s="52" t="s">
        <v>2428</v>
      </c>
      <c r="G330" s="56" t="s">
        <v>2686</v>
      </c>
      <c r="H330" s="52" t="s">
        <v>2744</v>
      </c>
      <c r="I330" s="52" t="s">
        <v>2540</v>
      </c>
      <c r="J330" s="636">
        <v>54146</v>
      </c>
      <c r="K330" s="52"/>
      <c r="L330" s="52"/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/>
      <c r="W330" s="54"/>
      <c r="X330" s="54"/>
      <c r="Y330" s="54">
        <f t="shared" si="16"/>
        <v>0</v>
      </c>
      <c r="Z330" s="52">
        <v>1000</v>
      </c>
      <c r="AA330" s="52">
        <v>24</v>
      </c>
      <c r="AB330" s="637">
        <v>44358</v>
      </c>
      <c r="AC330" s="637">
        <v>44364</v>
      </c>
      <c r="AD330" s="52">
        <v>-1000</v>
      </c>
      <c r="AE330" s="52">
        <v>39</v>
      </c>
      <c r="AF330" s="637">
        <v>44358</v>
      </c>
      <c r="AG330" s="637">
        <v>44364</v>
      </c>
      <c r="AH330" s="52"/>
      <c r="AI330" s="52"/>
      <c r="AJ330" s="637"/>
      <c r="AK330" s="637"/>
      <c r="AL330" s="52"/>
      <c r="AM330" s="52"/>
      <c r="AN330" s="637"/>
      <c r="AO330" s="637"/>
      <c r="AP330" s="52"/>
      <c r="AQ330" s="52"/>
      <c r="AR330" s="637"/>
      <c r="AS330" s="637"/>
      <c r="AT330" s="52"/>
      <c r="AU330" s="52"/>
      <c r="AV330" s="637"/>
      <c r="AW330" s="637"/>
      <c r="AX330" s="52"/>
      <c r="AY330" s="52"/>
      <c r="AZ330" s="637"/>
      <c r="BA330" s="637"/>
      <c r="BB330" s="52"/>
      <c r="BC330" s="52"/>
      <c r="BD330" s="637"/>
      <c r="BE330" s="637"/>
      <c r="BF330" s="137">
        <f t="shared" si="14"/>
        <v>0</v>
      </c>
      <c r="BG330" s="43">
        <f t="shared" si="15"/>
        <v>0</v>
      </c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</row>
    <row r="331" spans="1:99" s="96" customFormat="1" ht="22.5" customHeight="1">
      <c r="A331" s="39"/>
      <c r="B331" s="51">
        <v>316</v>
      </c>
      <c r="C331" s="51" t="s">
        <v>39</v>
      </c>
      <c r="D331" s="42">
        <v>40008752</v>
      </c>
      <c r="E331" s="52" t="s">
        <v>3063</v>
      </c>
      <c r="F331" s="52" t="s">
        <v>2428</v>
      </c>
      <c r="G331" s="56" t="s">
        <v>2686</v>
      </c>
      <c r="H331" s="52" t="s">
        <v>2744</v>
      </c>
      <c r="I331" s="52" t="s">
        <v>2540</v>
      </c>
      <c r="J331" s="636">
        <v>113958</v>
      </c>
      <c r="K331" s="52"/>
      <c r="L331" s="52"/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/>
      <c r="W331" s="54"/>
      <c r="X331" s="54"/>
      <c r="Y331" s="54">
        <f t="shared" si="16"/>
        <v>0</v>
      </c>
      <c r="Z331" s="52">
        <v>1000</v>
      </c>
      <c r="AA331" s="52">
        <v>24</v>
      </c>
      <c r="AB331" s="637">
        <v>44358</v>
      </c>
      <c r="AC331" s="637">
        <v>44364</v>
      </c>
      <c r="AD331" s="52">
        <v>-1000</v>
      </c>
      <c r="AE331" s="52">
        <v>39</v>
      </c>
      <c r="AF331" s="637">
        <v>44358</v>
      </c>
      <c r="AG331" s="637">
        <v>44364</v>
      </c>
      <c r="AH331" s="52"/>
      <c r="AI331" s="52"/>
      <c r="AJ331" s="637"/>
      <c r="AK331" s="637"/>
      <c r="AL331" s="52"/>
      <c r="AM331" s="52"/>
      <c r="AN331" s="637"/>
      <c r="AO331" s="637"/>
      <c r="AP331" s="52"/>
      <c r="AQ331" s="52"/>
      <c r="AR331" s="637"/>
      <c r="AS331" s="637"/>
      <c r="AT331" s="52"/>
      <c r="AU331" s="52"/>
      <c r="AV331" s="637"/>
      <c r="AW331" s="637"/>
      <c r="AX331" s="52"/>
      <c r="AY331" s="52"/>
      <c r="AZ331" s="637"/>
      <c r="BA331" s="637"/>
      <c r="BB331" s="52"/>
      <c r="BC331" s="52"/>
      <c r="BD331" s="637"/>
      <c r="BE331" s="637"/>
      <c r="BF331" s="137">
        <f t="shared" si="14"/>
        <v>0</v>
      </c>
      <c r="BG331" s="43">
        <f t="shared" si="15"/>
        <v>0</v>
      </c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</row>
    <row r="332" spans="1:99" s="96" customFormat="1" ht="22.5" customHeight="1">
      <c r="A332" s="39"/>
      <c r="B332" s="51">
        <v>317</v>
      </c>
      <c r="C332" s="51" t="s">
        <v>39</v>
      </c>
      <c r="D332" s="42">
        <v>40008753</v>
      </c>
      <c r="E332" s="52" t="s">
        <v>3064</v>
      </c>
      <c r="F332" s="52" t="s">
        <v>2428</v>
      </c>
      <c r="G332" s="56" t="s">
        <v>2686</v>
      </c>
      <c r="H332" s="52" t="s">
        <v>2744</v>
      </c>
      <c r="I332" s="52" t="s">
        <v>2540</v>
      </c>
      <c r="J332" s="636">
        <v>41633</v>
      </c>
      <c r="K332" s="52"/>
      <c r="L332" s="52"/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/>
      <c r="W332" s="54"/>
      <c r="X332" s="54"/>
      <c r="Y332" s="54">
        <f t="shared" si="16"/>
        <v>0</v>
      </c>
      <c r="Z332" s="52">
        <v>1000</v>
      </c>
      <c r="AA332" s="52">
        <v>24</v>
      </c>
      <c r="AB332" s="637">
        <v>44358</v>
      </c>
      <c r="AC332" s="637">
        <v>44364</v>
      </c>
      <c r="AD332" s="52">
        <v>-1000</v>
      </c>
      <c r="AE332" s="52">
        <v>39</v>
      </c>
      <c r="AF332" s="637">
        <v>44358</v>
      </c>
      <c r="AG332" s="637">
        <v>44364</v>
      </c>
      <c r="AH332" s="52"/>
      <c r="AI332" s="52"/>
      <c r="AJ332" s="637"/>
      <c r="AK332" s="637"/>
      <c r="AL332" s="52"/>
      <c r="AM332" s="52"/>
      <c r="AN332" s="637"/>
      <c r="AO332" s="637"/>
      <c r="AP332" s="52"/>
      <c r="AQ332" s="52"/>
      <c r="AR332" s="637"/>
      <c r="AS332" s="637"/>
      <c r="AT332" s="52"/>
      <c r="AU332" s="52"/>
      <c r="AV332" s="637"/>
      <c r="AW332" s="637"/>
      <c r="AX332" s="52"/>
      <c r="AY332" s="52"/>
      <c r="AZ332" s="637"/>
      <c r="BA332" s="637"/>
      <c r="BB332" s="52"/>
      <c r="BC332" s="52"/>
      <c r="BD332" s="637"/>
      <c r="BE332" s="637"/>
      <c r="BF332" s="137">
        <f t="shared" si="14"/>
        <v>0</v>
      </c>
      <c r="BG332" s="43">
        <f t="shared" si="15"/>
        <v>0</v>
      </c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</row>
    <row r="333" spans="1:99" s="96" customFormat="1" ht="22.5" customHeight="1">
      <c r="A333" s="39"/>
      <c r="B333" s="51">
        <v>318</v>
      </c>
      <c r="C333" s="51" t="s">
        <v>39</v>
      </c>
      <c r="D333" s="42">
        <v>40012495</v>
      </c>
      <c r="E333" s="52" t="s">
        <v>3065</v>
      </c>
      <c r="F333" s="52" t="s">
        <v>2428</v>
      </c>
      <c r="G333" s="56" t="s">
        <v>2686</v>
      </c>
      <c r="H333" s="52" t="s">
        <v>2805</v>
      </c>
      <c r="I333" s="52" t="s">
        <v>2540</v>
      </c>
      <c r="J333" s="636">
        <v>233717</v>
      </c>
      <c r="K333" s="52"/>
      <c r="L333" s="52"/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/>
      <c r="W333" s="54"/>
      <c r="X333" s="54"/>
      <c r="Y333" s="54">
        <f t="shared" si="16"/>
        <v>0</v>
      </c>
      <c r="Z333" s="52">
        <v>1000</v>
      </c>
      <c r="AA333" s="52">
        <v>24</v>
      </c>
      <c r="AB333" s="637">
        <v>44358</v>
      </c>
      <c r="AC333" s="637">
        <v>44364</v>
      </c>
      <c r="AD333" s="52">
        <v>-1000</v>
      </c>
      <c r="AE333" s="52">
        <v>39</v>
      </c>
      <c r="AF333" s="637">
        <v>44358</v>
      </c>
      <c r="AG333" s="637">
        <v>44364</v>
      </c>
      <c r="AH333" s="52"/>
      <c r="AI333" s="52"/>
      <c r="AJ333" s="637"/>
      <c r="AK333" s="637"/>
      <c r="AL333" s="52"/>
      <c r="AM333" s="52"/>
      <c r="AN333" s="637"/>
      <c r="AO333" s="637"/>
      <c r="AP333" s="52"/>
      <c r="AQ333" s="52"/>
      <c r="AR333" s="637"/>
      <c r="AS333" s="637"/>
      <c r="AT333" s="52"/>
      <c r="AU333" s="52"/>
      <c r="AV333" s="637"/>
      <c r="AW333" s="637"/>
      <c r="AX333" s="52"/>
      <c r="AY333" s="52"/>
      <c r="AZ333" s="637"/>
      <c r="BA333" s="637"/>
      <c r="BB333" s="52"/>
      <c r="BC333" s="52"/>
      <c r="BD333" s="637"/>
      <c r="BE333" s="637"/>
      <c r="BF333" s="137">
        <f t="shared" si="14"/>
        <v>0</v>
      </c>
      <c r="BG333" s="43">
        <f t="shared" si="15"/>
        <v>0</v>
      </c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</row>
    <row r="334" spans="1:99" s="96" customFormat="1" ht="33.75" customHeight="1">
      <c r="A334" s="39"/>
      <c r="B334" s="51">
        <v>319</v>
      </c>
      <c r="C334" s="51" t="s">
        <v>39</v>
      </c>
      <c r="D334" s="42">
        <v>30464951</v>
      </c>
      <c r="E334" s="52" t="s">
        <v>3066</v>
      </c>
      <c r="F334" s="52" t="s">
        <v>2428</v>
      </c>
      <c r="G334" s="56" t="s">
        <v>2686</v>
      </c>
      <c r="H334" s="52" t="s">
        <v>2753</v>
      </c>
      <c r="I334" s="52" t="s">
        <v>2540</v>
      </c>
      <c r="J334" s="636">
        <v>269666</v>
      </c>
      <c r="K334" s="52"/>
      <c r="L334" s="52"/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/>
      <c r="W334" s="54"/>
      <c r="X334" s="54"/>
      <c r="Y334" s="54">
        <f t="shared" si="16"/>
        <v>0</v>
      </c>
      <c r="Z334" s="52">
        <v>1000</v>
      </c>
      <c r="AA334" s="52">
        <v>24</v>
      </c>
      <c r="AB334" s="637">
        <v>44358</v>
      </c>
      <c r="AC334" s="637">
        <v>44364</v>
      </c>
      <c r="AD334" s="52">
        <v>-1000</v>
      </c>
      <c r="AE334" s="52">
        <v>39</v>
      </c>
      <c r="AF334" s="637">
        <v>44358</v>
      </c>
      <c r="AG334" s="637">
        <v>44364</v>
      </c>
      <c r="AH334" s="52"/>
      <c r="AI334" s="52"/>
      <c r="AJ334" s="637"/>
      <c r="AK334" s="637"/>
      <c r="AL334" s="52"/>
      <c r="AM334" s="52"/>
      <c r="AN334" s="637"/>
      <c r="AO334" s="637"/>
      <c r="AP334" s="52"/>
      <c r="AQ334" s="52"/>
      <c r="AR334" s="637"/>
      <c r="AS334" s="637"/>
      <c r="AT334" s="52"/>
      <c r="AU334" s="52"/>
      <c r="AV334" s="637"/>
      <c r="AW334" s="637"/>
      <c r="AX334" s="52"/>
      <c r="AY334" s="52"/>
      <c r="AZ334" s="637"/>
      <c r="BA334" s="637"/>
      <c r="BB334" s="52"/>
      <c r="BC334" s="52"/>
      <c r="BD334" s="637"/>
      <c r="BE334" s="637"/>
      <c r="BF334" s="137">
        <f t="shared" si="14"/>
        <v>0</v>
      </c>
      <c r="BG334" s="43">
        <f t="shared" si="15"/>
        <v>0</v>
      </c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</row>
    <row r="335" spans="1:99" s="96" customFormat="1" ht="22.5" customHeight="1">
      <c r="A335" s="39"/>
      <c r="B335" s="51">
        <v>320</v>
      </c>
      <c r="C335" s="51" t="s">
        <v>39</v>
      </c>
      <c r="D335" s="42">
        <v>40001640</v>
      </c>
      <c r="E335" s="52" t="s">
        <v>3067</v>
      </c>
      <c r="F335" s="52" t="s">
        <v>2428</v>
      </c>
      <c r="G335" s="56" t="s">
        <v>2686</v>
      </c>
      <c r="H335" s="52" t="s">
        <v>2828</v>
      </c>
      <c r="I335" s="52" t="s">
        <v>2537</v>
      </c>
      <c r="J335" s="636">
        <v>296116</v>
      </c>
      <c r="K335" s="52"/>
      <c r="L335" s="52"/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79765.362999999998</v>
      </c>
      <c r="U335" s="54">
        <v>169415.33</v>
      </c>
      <c r="V335" s="54"/>
      <c r="W335" s="54"/>
      <c r="X335" s="54"/>
      <c r="Y335" s="54">
        <f t="shared" si="16"/>
        <v>249180.69299999997</v>
      </c>
      <c r="Z335" s="52">
        <v>1000</v>
      </c>
      <c r="AA335" s="52">
        <v>26</v>
      </c>
      <c r="AB335" s="637">
        <v>44358</v>
      </c>
      <c r="AC335" s="637">
        <v>44364</v>
      </c>
      <c r="AD335" s="52">
        <v>182541</v>
      </c>
      <c r="AE335" s="52">
        <v>40</v>
      </c>
      <c r="AF335" s="637">
        <v>44358</v>
      </c>
      <c r="AG335" s="637">
        <v>44364</v>
      </c>
      <c r="AH335" s="52"/>
      <c r="AI335" s="52"/>
      <c r="AJ335" s="637"/>
      <c r="AK335" s="637"/>
      <c r="AL335" s="52"/>
      <c r="AM335" s="52"/>
      <c r="AN335" s="637"/>
      <c r="AO335" s="637"/>
      <c r="AP335" s="52"/>
      <c r="AQ335" s="52"/>
      <c r="AR335" s="637"/>
      <c r="AS335" s="637"/>
      <c r="AT335" s="52"/>
      <c r="AU335" s="52"/>
      <c r="AV335" s="637"/>
      <c r="AW335" s="637"/>
      <c r="AX335" s="52"/>
      <c r="AY335" s="52"/>
      <c r="AZ335" s="637"/>
      <c r="BA335" s="637"/>
      <c r="BB335" s="52"/>
      <c r="BC335" s="52"/>
      <c r="BD335" s="637"/>
      <c r="BE335" s="637"/>
      <c r="BF335" s="137">
        <f t="shared" si="14"/>
        <v>183541</v>
      </c>
      <c r="BG335" s="43">
        <f t="shared" si="15"/>
        <v>-65639.69299999997</v>
      </c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</row>
    <row r="336" spans="1:99" s="96" customFormat="1" ht="22.5">
      <c r="A336" s="39"/>
      <c r="B336" s="51">
        <v>321</v>
      </c>
      <c r="C336" s="51" t="s">
        <v>39</v>
      </c>
      <c r="D336" s="42">
        <v>30096921</v>
      </c>
      <c r="E336" s="52" t="s">
        <v>3068</v>
      </c>
      <c r="F336" s="52" t="s">
        <v>317</v>
      </c>
      <c r="G336" s="56" t="s">
        <v>2686</v>
      </c>
      <c r="H336" s="52" t="s">
        <v>2705</v>
      </c>
      <c r="I336" s="52" t="s">
        <v>2537</v>
      </c>
      <c r="J336" s="636">
        <v>3498</v>
      </c>
      <c r="K336" s="52"/>
      <c r="L336" s="52"/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/>
      <c r="W336" s="54"/>
      <c r="X336" s="54"/>
      <c r="Y336" s="54">
        <f t="shared" si="16"/>
        <v>0</v>
      </c>
      <c r="Z336" s="52">
        <v>3498</v>
      </c>
      <c r="AA336" s="52">
        <v>26</v>
      </c>
      <c r="AB336" s="637">
        <v>44358</v>
      </c>
      <c r="AC336" s="637">
        <v>44364</v>
      </c>
      <c r="AD336" s="52"/>
      <c r="AE336" s="52"/>
      <c r="AF336" s="637"/>
      <c r="AG336" s="637"/>
      <c r="AH336" s="52"/>
      <c r="AI336" s="52"/>
      <c r="AJ336" s="637"/>
      <c r="AK336" s="637"/>
      <c r="AL336" s="52"/>
      <c r="AM336" s="52"/>
      <c r="AN336" s="637"/>
      <c r="AO336" s="637"/>
      <c r="AP336" s="52"/>
      <c r="AQ336" s="52"/>
      <c r="AR336" s="637"/>
      <c r="AS336" s="637"/>
      <c r="AT336" s="52"/>
      <c r="AU336" s="52"/>
      <c r="AV336" s="637"/>
      <c r="AW336" s="637"/>
      <c r="AX336" s="52"/>
      <c r="AY336" s="52"/>
      <c r="AZ336" s="637"/>
      <c r="BA336" s="637"/>
      <c r="BB336" s="52"/>
      <c r="BC336" s="52"/>
      <c r="BD336" s="637"/>
      <c r="BE336" s="637"/>
      <c r="BF336" s="137">
        <f t="shared" si="14"/>
        <v>3498</v>
      </c>
      <c r="BG336" s="43">
        <f t="shared" si="15"/>
        <v>3498</v>
      </c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</row>
    <row r="337" spans="1:99" s="96" customFormat="1" ht="22.5" customHeight="1">
      <c r="A337" s="39"/>
      <c r="B337" s="51">
        <v>322</v>
      </c>
      <c r="C337" s="51" t="s">
        <v>39</v>
      </c>
      <c r="D337" s="42">
        <v>40022431</v>
      </c>
      <c r="E337" s="52" t="s">
        <v>3069</v>
      </c>
      <c r="F337" s="52" t="s">
        <v>317</v>
      </c>
      <c r="G337" s="56" t="s">
        <v>2686</v>
      </c>
      <c r="H337" s="52" t="s">
        <v>2788</v>
      </c>
      <c r="I337" s="52" t="s">
        <v>2540</v>
      </c>
      <c r="J337" s="636">
        <v>396171</v>
      </c>
      <c r="K337" s="52"/>
      <c r="L337" s="52"/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/>
      <c r="W337" s="54"/>
      <c r="X337" s="54"/>
      <c r="Y337" s="54">
        <f t="shared" si="16"/>
        <v>0</v>
      </c>
      <c r="Z337" s="52">
        <v>1000</v>
      </c>
      <c r="AA337" s="52">
        <v>28</v>
      </c>
      <c r="AB337" s="637">
        <v>44358</v>
      </c>
      <c r="AC337" s="637">
        <v>44364</v>
      </c>
      <c r="AD337" s="52">
        <v>-1000</v>
      </c>
      <c r="AE337" s="52">
        <v>39</v>
      </c>
      <c r="AF337" s="637">
        <v>44358</v>
      </c>
      <c r="AG337" s="637">
        <v>44364</v>
      </c>
      <c r="AH337" s="52"/>
      <c r="AI337" s="52"/>
      <c r="AJ337" s="637"/>
      <c r="AK337" s="637"/>
      <c r="AL337" s="52"/>
      <c r="AM337" s="52"/>
      <c r="AN337" s="637"/>
      <c r="AO337" s="637"/>
      <c r="AP337" s="52"/>
      <c r="AQ337" s="52"/>
      <c r="AR337" s="637"/>
      <c r="AS337" s="637"/>
      <c r="AT337" s="52"/>
      <c r="AU337" s="52"/>
      <c r="AV337" s="637"/>
      <c r="AW337" s="637"/>
      <c r="AX337" s="52"/>
      <c r="AY337" s="52"/>
      <c r="AZ337" s="637"/>
      <c r="BA337" s="637"/>
      <c r="BB337" s="52"/>
      <c r="BC337" s="52"/>
      <c r="BD337" s="637"/>
      <c r="BE337" s="637"/>
      <c r="BF337" s="137">
        <f t="shared" ref="BF337:BF348" si="17">+Z337+AD337+AH337+AL337+AP337+AT337+AX337+BB337</f>
        <v>0</v>
      </c>
      <c r="BG337" s="43">
        <f t="shared" si="15"/>
        <v>0</v>
      </c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</row>
    <row r="338" spans="1:99" s="96" customFormat="1" ht="22.5" customHeight="1">
      <c r="A338" s="39"/>
      <c r="B338" s="51">
        <v>323</v>
      </c>
      <c r="C338" s="51" t="s">
        <v>39</v>
      </c>
      <c r="D338" s="42">
        <v>40006492</v>
      </c>
      <c r="E338" s="52" t="s">
        <v>3070</v>
      </c>
      <c r="F338" s="52" t="s">
        <v>317</v>
      </c>
      <c r="G338" s="56" t="s">
        <v>2686</v>
      </c>
      <c r="H338" s="52" t="s">
        <v>2756</v>
      </c>
      <c r="I338" s="52" t="s">
        <v>2540</v>
      </c>
      <c r="J338" s="636">
        <v>1735673</v>
      </c>
      <c r="K338" s="52"/>
      <c r="L338" s="52"/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/>
      <c r="W338" s="54"/>
      <c r="X338" s="54"/>
      <c r="Y338" s="54">
        <f t="shared" si="16"/>
        <v>0</v>
      </c>
      <c r="Z338" s="52">
        <v>1000</v>
      </c>
      <c r="AA338" s="52">
        <v>28</v>
      </c>
      <c r="AB338" s="637">
        <v>44358</v>
      </c>
      <c r="AC338" s="637">
        <v>44364</v>
      </c>
      <c r="AD338" s="52">
        <v>-1000</v>
      </c>
      <c r="AE338" s="52">
        <v>39</v>
      </c>
      <c r="AF338" s="637">
        <v>44358</v>
      </c>
      <c r="AG338" s="637">
        <v>44364</v>
      </c>
      <c r="AH338" s="52"/>
      <c r="AI338" s="52"/>
      <c r="AJ338" s="637"/>
      <c r="AK338" s="637"/>
      <c r="AL338" s="52"/>
      <c r="AM338" s="52"/>
      <c r="AN338" s="637"/>
      <c r="AO338" s="637"/>
      <c r="AP338" s="52"/>
      <c r="AQ338" s="52"/>
      <c r="AR338" s="637"/>
      <c r="AS338" s="637"/>
      <c r="AT338" s="52"/>
      <c r="AU338" s="52"/>
      <c r="AV338" s="637"/>
      <c r="AW338" s="637"/>
      <c r="AX338" s="52"/>
      <c r="AY338" s="52"/>
      <c r="AZ338" s="637"/>
      <c r="BA338" s="637"/>
      <c r="BB338" s="52"/>
      <c r="BC338" s="52"/>
      <c r="BD338" s="637"/>
      <c r="BE338" s="637"/>
      <c r="BF338" s="137">
        <f t="shared" si="17"/>
        <v>0</v>
      </c>
      <c r="BG338" s="43">
        <f t="shared" si="15"/>
        <v>0</v>
      </c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</row>
    <row r="339" spans="1:99" s="96" customFormat="1" ht="33.75" customHeight="1">
      <c r="A339" s="39"/>
      <c r="B339" s="51">
        <v>324</v>
      </c>
      <c r="C339" s="51" t="s">
        <v>39</v>
      </c>
      <c r="D339" s="42">
        <v>40014663</v>
      </c>
      <c r="E339" s="52" t="s">
        <v>3071</v>
      </c>
      <c r="F339" s="52" t="s">
        <v>317</v>
      </c>
      <c r="G339" s="56" t="s">
        <v>2686</v>
      </c>
      <c r="H339" s="52" t="s">
        <v>2982</v>
      </c>
      <c r="I339" s="52" t="s">
        <v>2540</v>
      </c>
      <c r="J339" s="636">
        <v>102250</v>
      </c>
      <c r="K339" s="52"/>
      <c r="L339" s="52"/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/>
      <c r="W339" s="54"/>
      <c r="X339" s="54"/>
      <c r="Y339" s="54">
        <f t="shared" si="16"/>
        <v>0</v>
      </c>
      <c r="Z339" s="52">
        <v>1000</v>
      </c>
      <c r="AA339" s="52">
        <v>28</v>
      </c>
      <c r="AB339" s="637">
        <v>44358</v>
      </c>
      <c r="AC339" s="637">
        <v>44364</v>
      </c>
      <c r="AD339" s="52">
        <v>-1000</v>
      </c>
      <c r="AE339" s="52">
        <v>39</v>
      </c>
      <c r="AF339" s="637">
        <v>44358</v>
      </c>
      <c r="AG339" s="637">
        <v>44364</v>
      </c>
      <c r="AH339" s="52"/>
      <c r="AI339" s="52"/>
      <c r="AJ339" s="637"/>
      <c r="AK339" s="637"/>
      <c r="AL339" s="52"/>
      <c r="AM339" s="52"/>
      <c r="AN339" s="637"/>
      <c r="AO339" s="637"/>
      <c r="AP339" s="52"/>
      <c r="AQ339" s="52"/>
      <c r="AR339" s="637"/>
      <c r="AS339" s="637"/>
      <c r="AT339" s="52"/>
      <c r="AU339" s="52"/>
      <c r="AV339" s="637"/>
      <c r="AW339" s="637"/>
      <c r="AX339" s="52"/>
      <c r="AY339" s="52"/>
      <c r="AZ339" s="637"/>
      <c r="BA339" s="637"/>
      <c r="BB339" s="52"/>
      <c r="BC339" s="52"/>
      <c r="BD339" s="637"/>
      <c r="BE339" s="637"/>
      <c r="BF339" s="137">
        <f t="shared" si="17"/>
        <v>0</v>
      </c>
      <c r="BG339" s="43">
        <f t="shared" ref="BG339:BG348" si="18">+BF339-Y339</f>
        <v>0</v>
      </c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</row>
    <row r="340" spans="1:99" s="96" customFormat="1" ht="22.5" customHeight="1">
      <c r="A340" s="39"/>
      <c r="B340" s="51">
        <v>325</v>
      </c>
      <c r="C340" s="51" t="s">
        <v>39</v>
      </c>
      <c r="D340" s="42">
        <v>40027255</v>
      </c>
      <c r="E340" s="52" t="s">
        <v>3072</v>
      </c>
      <c r="F340" s="52" t="s">
        <v>47</v>
      </c>
      <c r="G340" s="56" t="s">
        <v>2686</v>
      </c>
      <c r="H340" s="52" t="s">
        <v>2744</v>
      </c>
      <c r="I340" s="52" t="s">
        <v>2540</v>
      </c>
      <c r="J340" s="636">
        <v>62850</v>
      </c>
      <c r="K340" s="52"/>
      <c r="L340" s="52"/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/>
      <c r="W340" s="54"/>
      <c r="X340" s="54"/>
      <c r="Y340" s="54">
        <f t="shared" si="16"/>
        <v>0</v>
      </c>
      <c r="Z340" s="52">
        <v>1000</v>
      </c>
      <c r="AA340" s="52">
        <v>28</v>
      </c>
      <c r="AB340" s="637">
        <v>44358</v>
      </c>
      <c r="AC340" s="637">
        <v>44364</v>
      </c>
      <c r="AD340" s="52">
        <v>-1000</v>
      </c>
      <c r="AE340" s="52">
        <v>39</v>
      </c>
      <c r="AF340" s="637">
        <v>44358</v>
      </c>
      <c r="AG340" s="637">
        <v>44364</v>
      </c>
      <c r="AH340" s="52"/>
      <c r="AI340" s="52"/>
      <c r="AJ340" s="637"/>
      <c r="AK340" s="637"/>
      <c r="AL340" s="52"/>
      <c r="AM340" s="52"/>
      <c r="AN340" s="637"/>
      <c r="AO340" s="637"/>
      <c r="AP340" s="52"/>
      <c r="AQ340" s="52"/>
      <c r="AR340" s="637"/>
      <c r="AS340" s="637"/>
      <c r="AT340" s="52"/>
      <c r="AU340" s="52"/>
      <c r="AV340" s="637"/>
      <c r="AW340" s="637"/>
      <c r="AX340" s="52"/>
      <c r="AY340" s="52"/>
      <c r="AZ340" s="637"/>
      <c r="BA340" s="637"/>
      <c r="BB340" s="52"/>
      <c r="BC340" s="52"/>
      <c r="BD340" s="637"/>
      <c r="BE340" s="637"/>
      <c r="BF340" s="137">
        <f t="shared" si="17"/>
        <v>0</v>
      </c>
      <c r="BG340" s="43">
        <f t="shared" si="18"/>
        <v>0</v>
      </c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</row>
    <row r="341" spans="1:99" s="96" customFormat="1" ht="33.75" customHeight="1">
      <c r="A341" s="39"/>
      <c r="B341" s="51">
        <v>326</v>
      </c>
      <c r="C341" s="51" t="s">
        <v>39</v>
      </c>
      <c r="D341" s="42">
        <v>40022937</v>
      </c>
      <c r="E341" s="52" t="s">
        <v>3073</v>
      </c>
      <c r="F341" s="52" t="s">
        <v>317</v>
      </c>
      <c r="G341" s="56" t="s">
        <v>2686</v>
      </c>
      <c r="H341" s="52" t="s">
        <v>2744</v>
      </c>
      <c r="I341" s="52" t="s">
        <v>2540</v>
      </c>
      <c r="J341" s="636">
        <v>427937</v>
      </c>
      <c r="K341" s="52"/>
      <c r="L341" s="52"/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/>
      <c r="W341" s="54"/>
      <c r="X341" s="54"/>
      <c r="Y341" s="54">
        <f t="shared" si="16"/>
        <v>0</v>
      </c>
      <c r="Z341" s="52">
        <v>1000</v>
      </c>
      <c r="AA341" s="52">
        <v>28</v>
      </c>
      <c r="AB341" s="637">
        <v>44358</v>
      </c>
      <c r="AC341" s="637">
        <v>44364</v>
      </c>
      <c r="AD341" s="52">
        <v>-1000</v>
      </c>
      <c r="AE341" s="52">
        <v>39</v>
      </c>
      <c r="AF341" s="637">
        <v>44358</v>
      </c>
      <c r="AG341" s="637">
        <v>44364</v>
      </c>
      <c r="AH341" s="52"/>
      <c r="AI341" s="52"/>
      <c r="AJ341" s="637"/>
      <c r="AK341" s="637"/>
      <c r="AL341" s="52"/>
      <c r="AM341" s="52"/>
      <c r="AN341" s="637"/>
      <c r="AO341" s="637"/>
      <c r="AP341" s="52"/>
      <c r="AQ341" s="52"/>
      <c r="AR341" s="637"/>
      <c r="AS341" s="637"/>
      <c r="AT341" s="52"/>
      <c r="AU341" s="52"/>
      <c r="AV341" s="637"/>
      <c r="AW341" s="637"/>
      <c r="AX341" s="52"/>
      <c r="AY341" s="52"/>
      <c r="AZ341" s="637"/>
      <c r="BA341" s="637"/>
      <c r="BB341" s="52"/>
      <c r="BC341" s="52"/>
      <c r="BD341" s="637"/>
      <c r="BE341" s="637"/>
      <c r="BF341" s="137">
        <f t="shared" si="17"/>
        <v>0</v>
      </c>
      <c r="BG341" s="43">
        <f t="shared" si="18"/>
        <v>0</v>
      </c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</row>
    <row r="342" spans="1:99" s="96" customFormat="1" ht="22.5" customHeight="1">
      <c r="A342" s="39"/>
      <c r="B342" s="51">
        <v>327</v>
      </c>
      <c r="C342" s="51" t="s">
        <v>39</v>
      </c>
      <c r="D342" s="42">
        <v>40015510</v>
      </c>
      <c r="E342" s="52" t="s">
        <v>3074</v>
      </c>
      <c r="F342" s="52" t="s">
        <v>317</v>
      </c>
      <c r="G342" s="56" t="s">
        <v>2686</v>
      </c>
      <c r="H342" s="52" t="s">
        <v>2898</v>
      </c>
      <c r="I342" s="52" t="s">
        <v>2540</v>
      </c>
      <c r="J342" s="636">
        <v>645862</v>
      </c>
      <c r="K342" s="52"/>
      <c r="L342" s="52"/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/>
      <c r="W342" s="54"/>
      <c r="X342" s="54"/>
      <c r="Y342" s="54">
        <f t="shared" si="16"/>
        <v>0</v>
      </c>
      <c r="Z342" s="52">
        <v>1000</v>
      </c>
      <c r="AA342" s="52">
        <v>28</v>
      </c>
      <c r="AB342" s="637">
        <v>44358</v>
      </c>
      <c r="AC342" s="637">
        <v>44364</v>
      </c>
      <c r="AD342" s="52">
        <v>-1000</v>
      </c>
      <c r="AE342" s="52">
        <v>39</v>
      </c>
      <c r="AF342" s="637">
        <v>44358</v>
      </c>
      <c r="AG342" s="637">
        <v>44364</v>
      </c>
      <c r="AH342" s="52"/>
      <c r="AI342" s="52"/>
      <c r="AJ342" s="637"/>
      <c r="AK342" s="637"/>
      <c r="AL342" s="52"/>
      <c r="AM342" s="52"/>
      <c r="AN342" s="637"/>
      <c r="AO342" s="637"/>
      <c r="AP342" s="52"/>
      <c r="AQ342" s="52"/>
      <c r="AR342" s="637"/>
      <c r="AS342" s="637"/>
      <c r="AT342" s="52"/>
      <c r="AU342" s="52"/>
      <c r="AV342" s="637"/>
      <c r="AW342" s="637"/>
      <c r="AX342" s="52"/>
      <c r="AY342" s="52"/>
      <c r="AZ342" s="637"/>
      <c r="BA342" s="637"/>
      <c r="BB342" s="52"/>
      <c r="BC342" s="52"/>
      <c r="BD342" s="637"/>
      <c r="BE342" s="637"/>
      <c r="BF342" s="137">
        <f t="shared" si="17"/>
        <v>0</v>
      </c>
      <c r="BG342" s="43">
        <f t="shared" si="18"/>
        <v>0</v>
      </c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</row>
    <row r="343" spans="1:99" s="96" customFormat="1" ht="22.5" customHeight="1">
      <c r="A343" s="39"/>
      <c r="B343" s="51">
        <v>328</v>
      </c>
      <c r="C343" s="51" t="s">
        <v>39</v>
      </c>
      <c r="D343" s="42">
        <v>30094673</v>
      </c>
      <c r="E343" s="52" t="s">
        <v>3075</v>
      </c>
      <c r="F343" s="52" t="s">
        <v>47</v>
      </c>
      <c r="G343" s="56" t="s">
        <v>2686</v>
      </c>
      <c r="H343" s="52" t="s">
        <v>2788</v>
      </c>
      <c r="I343" s="52" t="s">
        <v>2540</v>
      </c>
      <c r="J343" s="636">
        <v>43250</v>
      </c>
      <c r="K343" s="52"/>
      <c r="L343" s="52"/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/>
      <c r="W343" s="54"/>
      <c r="X343" s="54"/>
      <c r="Y343" s="54">
        <f t="shared" si="16"/>
        <v>0</v>
      </c>
      <c r="Z343" s="52">
        <v>1000</v>
      </c>
      <c r="AA343" s="52">
        <v>28</v>
      </c>
      <c r="AB343" s="637">
        <v>44358</v>
      </c>
      <c r="AC343" s="637">
        <v>44364</v>
      </c>
      <c r="AD343" s="52">
        <v>-1000</v>
      </c>
      <c r="AE343" s="52">
        <v>39</v>
      </c>
      <c r="AF343" s="637">
        <v>44358</v>
      </c>
      <c r="AG343" s="637">
        <v>44364</v>
      </c>
      <c r="AH343" s="52"/>
      <c r="AI343" s="52"/>
      <c r="AJ343" s="637"/>
      <c r="AK343" s="637"/>
      <c r="AL343" s="52"/>
      <c r="AM343" s="52"/>
      <c r="AN343" s="637"/>
      <c r="AO343" s="637"/>
      <c r="AP343" s="52"/>
      <c r="AQ343" s="52"/>
      <c r="AR343" s="637"/>
      <c r="AS343" s="637"/>
      <c r="AT343" s="52"/>
      <c r="AU343" s="52"/>
      <c r="AV343" s="637"/>
      <c r="AW343" s="637"/>
      <c r="AX343" s="52"/>
      <c r="AY343" s="52"/>
      <c r="AZ343" s="637"/>
      <c r="BA343" s="637"/>
      <c r="BB343" s="52"/>
      <c r="BC343" s="52"/>
      <c r="BD343" s="637"/>
      <c r="BE343" s="637"/>
      <c r="BF343" s="137">
        <f t="shared" si="17"/>
        <v>0</v>
      </c>
      <c r="BG343" s="43">
        <f t="shared" si="18"/>
        <v>0</v>
      </c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</row>
    <row r="344" spans="1:99" s="96" customFormat="1" ht="22.5" customHeight="1">
      <c r="A344" s="39"/>
      <c r="B344" s="51">
        <v>329</v>
      </c>
      <c r="C344" s="51" t="s">
        <v>39</v>
      </c>
      <c r="D344" s="42">
        <v>40025612</v>
      </c>
      <c r="E344" s="52" t="s">
        <v>3076</v>
      </c>
      <c r="F344" s="52" t="s">
        <v>317</v>
      </c>
      <c r="G344" s="56" t="s">
        <v>2686</v>
      </c>
      <c r="H344" s="52" t="s">
        <v>2861</v>
      </c>
      <c r="I344" s="52" t="s">
        <v>2540</v>
      </c>
      <c r="J344" s="636">
        <v>1312856</v>
      </c>
      <c r="K344" s="52"/>
      <c r="L344" s="52"/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/>
      <c r="W344" s="54"/>
      <c r="X344" s="54"/>
      <c r="Y344" s="54">
        <f t="shared" si="16"/>
        <v>0</v>
      </c>
      <c r="Z344" s="52">
        <v>1000</v>
      </c>
      <c r="AA344" s="52">
        <v>28</v>
      </c>
      <c r="AB344" s="637">
        <v>44358</v>
      </c>
      <c r="AC344" s="637">
        <v>44364</v>
      </c>
      <c r="AD344" s="52">
        <v>-1000</v>
      </c>
      <c r="AE344" s="52">
        <v>39</v>
      </c>
      <c r="AF344" s="637">
        <v>44358</v>
      </c>
      <c r="AG344" s="637">
        <v>44364</v>
      </c>
      <c r="AH344" s="52"/>
      <c r="AI344" s="52"/>
      <c r="AJ344" s="637"/>
      <c r="AK344" s="637"/>
      <c r="AL344" s="52"/>
      <c r="AM344" s="52"/>
      <c r="AN344" s="637"/>
      <c r="AO344" s="637"/>
      <c r="AP344" s="52"/>
      <c r="AQ344" s="52"/>
      <c r="AR344" s="637"/>
      <c r="AS344" s="637"/>
      <c r="AT344" s="52"/>
      <c r="AU344" s="52"/>
      <c r="AV344" s="637"/>
      <c r="AW344" s="637"/>
      <c r="AX344" s="52"/>
      <c r="AY344" s="52"/>
      <c r="AZ344" s="637"/>
      <c r="BA344" s="637"/>
      <c r="BB344" s="52"/>
      <c r="BC344" s="52"/>
      <c r="BD344" s="637"/>
      <c r="BE344" s="637"/>
      <c r="BF344" s="137">
        <f t="shared" si="17"/>
        <v>0</v>
      </c>
      <c r="BG344" s="43">
        <f t="shared" si="18"/>
        <v>0</v>
      </c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</row>
    <row r="345" spans="1:99" s="96" customFormat="1" ht="22.5" customHeight="1">
      <c r="A345" s="39"/>
      <c r="B345" s="51">
        <v>330</v>
      </c>
      <c r="C345" s="51" t="s">
        <v>39</v>
      </c>
      <c r="D345" s="42">
        <v>40016765</v>
      </c>
      <c r="E345" s="52" t="s">
        <v>3077</v>
      </c>
      <c r="F345" s="52" t="s">
        <v>317</v>
      </c>
      <c r="G345" s="56" t="s">
        <v>2686</v>
      </c>
      <c r="H345" s="52" t="s">
        <v>2786</v>
      </c>
      <c r="I345" s="52" t="s">
        <v>2540</v>
      </c>
      <c r="J345" s="636">
        <v>850257</v>
      </c>
      <c r="K345" s="52"/>
      <c r="L345" s="52"/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/>
      <c r="W345" s="54"/>
      <c r="X345" s="54"/>
      <c r="Y345" s="54">
        <f t="shared" si="16"/>
        <v>0</v>
      </c>
      <c r="Z345" s="52">
        <v>1000</v>
      </c>
      <c r="AA345" s="52">
        <v>28</v>
      </c>
      <c r="AB345" s="637">
        <v>44358</v>
      </c>
      <c r="AC345" s="637">
        <v>44364</v>
      </c>
      <c r="AD345" s="52">
        <v>-1000</v>
      </c>
      <c r="AE345" s="52">
        <v>39</v>
      </c>
      <c r="AF345" s="637">
        <v>44358</v>
      </c>
      <c r="AG345" s="637">
        <v>44364</v>
      </c>
      <c r="AH345" s="52"/>
      <c r="AI345" s="52"/>
      <c r="AJ345" s="637"/>
      <c r="AK345" s="637"/>
      <c r="AL345" s="52"/>
      <c r="AM345" s="52"/>
      <c r="AN345" s="637"/>
      <c r="AO345" s="637"/>
      <c r="AP345" s="52"/>
      <c r="AQ345" s="52"/>
      <c r="AR345" s="637"/>
      <c r="AS345" s="637"/>
      <c r="AT345" s="52"/>
      <c r="AU345" s="52"/>
      <c r="AV345" s="637"/>
      <c r="AW345" s="637"/>
      <c r="AX345" s="52"/>
      <c r="AY345" s="52"/>
      <c r="AZ345" s="637"/>
      <c r="BA345" s="637"/>
      <c r="BB345" s="52"/>
      <c r="BC345" s="52"/>
      <c r="BD345" s="637"/>
      <c r="BE345" s="637"/>
      <c r="BF345" s="137">
        <f t="shared" si="17"/>
        <v>0</v>
      </c>
      <c r="BG345" s="43">
        <f t="shared" si="18"/>
        <v>0</v>
      </c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</row>
    <row r="346" spans="1:99" s="96" customFormat="1" ht="22.5">
      <c r="A346" s="39"/>
      <c r="B346" s="51">
        <v>331</v>
      </c>
      <c r="C346" s="51" t="s">
        <v>39</v>
      </c>
      <c r="D346" s="42">
        <v>30437072</v>
      </c>
      <c r="E346" s="52" t="s">
        <v>3078</v>
      </c>
      <c r="F346" s="52" t="s">
        <v>317</v>
      </c>
      <c r="G346" s="56" t="s">
        <v>2686</v>
      </c>
      <c r="H346" s="52" t="s">
        <v>3079</v>
      </c>
      <c r="I346" s="52" t="s">
        <v>2537</v>
      </c>
      <c r="J346" s="636">
        <v>2738275</v>
      </c>
      <c r="K346" s="52"/>
      <c r="L346" s="52"/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/>
      <c r="W346" s="54"/>
      <c r="X346" s="54"/>
      <c r="Y346" s="54">
        <f t="shared" si="16"/>
        <v>0</v>
      </c>
      <c r="Z346" s="52">
        <v>1000</v>
      </c>
      <c r="AA346" s="52">
        <v>39</v>
      </c>
      <c r="AB346" s="637">
        <v>44358</v>
      </c>
      <c r="AC346" s="637">
        <v>44364</v>
      </c>
      <c r="AD346" s="52"/>
      <c r="AE346" s="52"/>
      <c r="AF346" s="637"/>
      <c r="AG346" s="637"/>
      <c r="AH346" s="52"/>
      <c r="AI346" s="52"/>
      <c r="AJ346" s="637"/>
      <c r="AK346" s="637"/>
      <c r="AL346" s="52"/>
      <c r="AM346" s="52"/>
      <c r="AN346" s="637"/>
      <c r="AO346" s="637"/>
      <c r="AP346" s="52"/>
      <c r="AQ346" s="52"/>
      <c r="AR346" s="637"/>
      <c r="AS346" s="637"/>
      <c r="AT346" s="52"/>
      <c r="AU346" s="52"/>
      <c r="AV346" s="637"/>
      <c r="AW346" s="637"/>
      <c r="AX346" s="52"/>
      <c r="AY346" s="52"/>
      <c r="AZ346" s="637"/>
      <c r="BA346" s="637"/>
      <c r="BB346" s="52"/>
      <c r="BC346" s="52"/>
      <c r="BD346" s="637"/>
      <c r="BE346" s="637"/>
      <c r="BF346" s="137">
        <f t="shared" si="17"/>
        <v>1000</v>
      </c>
      <c r="BG346" s="43">
        <f t="shared" si="18"/>
        <v>1000</v>
      </c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</row>
    <row r="347" spans="1:99" s="96" customFormat="1" ht="33.75">
      <c r="A347" s="39"/>
      <c r="B347" s="51">
        <v>332</v>
      </c>
      <c r="C347" s="51" t="s">
        <v>39</v>
      </c>
      <c r="D347" s="42">
        <v>30075895</v>
      </c>
      <c r="E347" s="52" t="s">
        <v>3080</v>
      </c>
      <c r="F347" s="52" t="s">
        <v>317</v>
      </c>
      <c r="G347" s="56" t="s">
        <v>2686</v>
      </c>
      <c r="H347" s="52" t="s">
        <v>2740</v>
      </c>
      <c r="I347" s="52" t="s">
        <v>2540</v>
      </c>
      <c r="J347" s="636">
        <v>5673</v>
      </c>
      <c r="K347" s="52"/>
      <c r="L347" s="52"/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5673</v>
      </c>
      <c r="V347" s="54"/>
      <c r="W347" s="54"/>
      <c r="X347" s="54"/>
      <c r="Y347" s="54">
        <f t="shared" si="16"/>
        <v>5673</v>
      </c>
      <c r="Z347" s="52">
        <v>1000</v>
      </c>
      <c r="AA347" s="52">
        <v>39</v>
      </c>
      <c r="AB347" s="637">
        <v>44358</v>
      </c>
      <c r="AC347" s="637">
        <v>44364</v>
      </c>
      <c r="AD347" s="52"/>
      <c r="AE347" s="52"/>
      <c r="AF347" s="637"/>
      <c r="AG347" s="637"/>
      <c r="AH347" s="52"/>
      <c r="AI347" s="52"/>
      <c r="AJ347" s="637"/>
      <c r="AK347" s="637"/>
      <c r="AL347" s="52"/>
      <c r="AM347" s="52"/>
      <c r="AN347" s="637"/>
      <c r="AO347" s="637"/>
      <c r="AP347" s="52"/>
      <c r="AQ347" s="52"/>
      <c r="AR347" s="637"/>
      <c r="AS347" s="637"/>
      <c r="AT347" s="52"/>
      <c r="AU347" s="52"/>
      <c r="AV347" s="637"/>
      <c r="AW347" s="637"/>
      <c r="AX347" s="52"/>
      <c r="AY347" s="52"/>
      <c r="AZ347" s="637"/>
      <c r="BA347" s="637"/>
      <c r="BB347" s="52"/>
      <c r="BC347" s="52"/>
      <c r="BD347" s="637"/>
      <c r="BE347" s="637"/>
      <c r="BF347" s="137">
        <f t="shared" si="17"/>
        <v>1000</v>
      </c>
      <c r="BG347" s="43">
        <f t="shared" si="18"/>
        <v>-4673</v>
      </c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</row>
    <row r="348" spans="1:99" s="96" customFormat="1" ht="22.5">
      <c r="A348" s="39"/>
      <c r="B348" s="51">
        <v>333</v>
      </c>
      <c r="C348" s="51" t="s">
        <v>39</v>
      </c>
      <c r="D348" s="42">
        <v>30459680</v>
      </c>
      <c r="E348" s="52" t="s">
        <v>3081</v>
      </c>
      <c r="F348" s="52" t="s">
        <v>47</v>
      </c>
      <c r="G348" s="56" t="s">
        <v>2686</v>
      </c>
      <c r="H348" s="52" t="s">
        <v>2753</v>
      </c>
      <c r="I348" s="52" t="s">
        <v>2540</v>
      </c>
      <c r="J348" s="636">
        <v>34880</v>
      </c>
      <c r="K348" s="52"/>
      <c r="L348" s="52"/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/>
      <c r="W348" s="54"/>
      <c r="X348" s="54"/>
      <c r="Y348" s="54">
        <f t="shared" si="16"/>
        <v>0</v>
      </c>
      <c r="Z348" s="52">
        <v>1000</v>
      </c>
      <c r="AA348" s="52">
        <v>39</v>
      </c>
      <c r="AB348" s="637">
        <v>44358</v>
      </c>
      <c r="AC348" s="637">
        <v>44364</v>
      </c>
      <c r="AD348" s="52"/>
      <c r="AE348" s="52"/>
      <c r="AF348" s="637"/>
      <c r="AG348" s="637"/>
      <c r="AH348" s="52"/>
      <c r="AI348" s="52"/>
      <c r="AJ348" s="637"/>
      <c r="AK348" s="637"/>
      <c r="AL348" s="52"/>
      <c r="AM348" s="52"/>
      <c r="AN348" s="637"/>
      <c r="AO348" s="637"/>
      <c r="AP348" s="52"/>
      <c r="AQ348" s="52"/>
      <c r="AR348" s="637"/>
      <c r="AS348" s="637"/>
      <c r="AT348" s="52"/>
      <c r="AU348" s="52"/>
      <c r="AV348" s="637"/>
      <c r="AW348" s="637"/>
      <c r="AX348" s="52"/>
      <c r="AY348" s="52"/>
      <c r="AZ348" s="637"/>
      <c r="BA348" s="637"/>
      <c r="BB348" s="52"/>
      <c r="BC348" s="52"/>
      <c r="BD348" s="637"/>
      <c r="BE348" s="637"/>
      <c r="BF348" s="137">
        <f t="shared" si="17"/>
        <v>1000</v>
      </c>
      <c r="BG348" s="43">
        <f t="shared" si="18"/>
        <v>1000</v>
      </c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</row>
    <row r="349" spans="1:99" s="96" customFormat="1">
      <c r="A349" s="39"/>
      <c r="B349" s="51"/>
      <c r="C349" s="51"/>
      <c r="D349" s="23"/>
      <c r="E349" s="52"/>
      <c r="F349" s="52"/>
      <c r="G349" s="56"/>
      <c r="H349" s="52"/>
      <c r="I349" s="52"/>
      <c r="J349" s="52"/>
      <c r="K349" s="52"/>
      <c r="L349" s="52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2"/>
      <c r="AA349" s="52"/>
      <c r="AB349" s="637"/>
      <c r="AC349" s="637"/>
      <c r="AD349" s="52"/>
      <c r="AE349" s="52"/>
      <c r="AF349" s="637"/>
      <c r="AG349" s="637"/>
      <c r="AH349" s="52"/>
      <c r="AI349" s="52"/>
      <c r="AJ349" s="637"/>
      <c r="AK349" s="637"/>
      <c r="AL349" s="52"/>
      <c r="AM349" s="52"/>
      <c r="AN349" s="637"/>
      <c r="AO349" s="637"/>
      <c r="AP349" s="52"/>
      <c r="AQ349" s="52"/>
      <c r="AR349" s="637"/>
      <c r="AS349" s="637"/>
      <c r="AT349" s="637"/>
      <c r="AU349" s="637"/>
      <c r="AV349" s="637"/>
      <c r="AW349" s="637"/>
      <c r="AX349" s="637"/>
      <c r="AY349" s="637"/>
      <c r="AZ349" s="637"/>
      <c r="BA349" s="637"/>
      <c r="BB349" s="637"/>
      <c r="BC349" s="637"/>
      <c r="BD349" s="637"/>
      <c r="BE349" s="637"/>
      <c r="BF349" s="137"/>
      <c r="BG349" s="43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</row>
    <row r="350" spans="1:99" s="96" customFormat="1">
      <c r="A350" s="39"/>
      <c r="B350" s="51"/>
      <c r="C350" s="51"/>
      <c r="D350" s="23"/>
      <c r="E350" s="52"/>
      <c r="F350" s="52"/>
      <c r="G350" s="56"/>
      <c r="H350" s="52"/>
      <c r="I350" s="52"/>
      <c r="J350" s="52"/>
      <c r="K350" s="52"/>
      <c r="L350" s="52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2"/>
      <c r="AA350" s="52"/>
      <c r="AB350" s="637"/>
      <c r="AC350" s="637"/>
      <c r="AD350" s="52"/>
      <c r="AE350" s="52"/>
      <c r="AF350" s="637"/>
      <c r="AG350" s="637"/>
      <c r="AH350" s="52"/>
      <c r="AI350" s="52"/>
      <c r="AJ350" s="637"/>
      <c r="AK350" s="637"/>
      <c r="AL350" s="52"/>
      <c r="AM350" s="52"/>
      <c r="AN350" s="637"/>
      <c r="AO350" s="637"/>
      <c r="AP350" s="52"/>
      <c r="AQ350" s="52"/>
      <c r="AR350" s="637"/>
      <c r="AS350" s="637"/>
      <c r="AT350" s="637"/>
      <c r="AU350" s="637"/>
      <c r="AV350" s="637"/>
      <c r="AW350" s="637"/>
      <c r="AX350" s="637"/>
      <c r="AY350" s="637"/>
      <c r="AZ350" s="637"/>
      <c r="BA350" s="637"/>
      <c r="BB350" s="637"/>
      <c r="BC350" s="637"/>
      <c r="BD350" s="637"/>
      <c r="BE350" s="637"/>
      <c r="BF350" s="137"/>
      <c r="BG350" s="43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</row>
    <row r="351" spans="1:99" s="96" customFormat="1">
      <c r="A351" s="39"/>
      <c r="B351" s="51"/>
      <c r="C351" s="51"/>
      <c r="D351" s="23"/>
      <c r="E351" s="52"/>
      <c r="F351" s="52"/>
      <c r="G351" s="56"/>
      <c r="H351" s="52"/>
      <c r="I351" s="52"/>
      <c r="J351" s="52"/>
      <c r="K351" s="52"/>
      <c r="L351" s="52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2"/>
      <c r="AA351" s="52"/>
      <c r="AB351" s="637"/>
      <c r="AC351" s="637"/>
      <c r="AD351" s="52"/>
      <c r="AE351" s="52"/>
      <c r="AF351" s="637"/>
      <c r="AG351" s="637"/>
      <c r="AH351" s="52"/>
      <c r="AI351" s="52"/>
      <c r="AJ351" s="637"/>
      <c r="AK351" s="637"/>
      <c r="AL351" s="52"/>
      <c r="AM351" s="52"/>
      <c r="AN351" s="637"/>
      <c r="AO351" s="637"/>
      <c r="AP351" s="52"/>
      <c r="AQ351" s="52"/>
      <c r="AR351" s="637"/>
      <c r="AS351" s="637"/>
      <c r="AT351" s="637"/>
      <c r="AU351" s="637"/>
      <c r="AV351" s="637"/>
      <c r="AW351" s="637"/>
      <c r="AX351" s="637"/>
      <c r="AY351" s="637"/>
      <c r="AZ351" s="637"/>
      <c r="BA351" s="637"/>
      <c r="BB351" s="637"/>
      <c r="BC351" s="637"/>
      <c r="BD351" s="637"/>
      <c r="BE351" s="637"/>
      <c r="BF351" s="137"/>
      <c r="BG351" s="43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</row>
    <row r="352" spans="1:99" s="96" customFormat="1">
      <c r="A352" s="39"/>
      <c r="B352" s="51"/>
      <c r="C352" s="51"/>
      <c r="D352" s="23"/>
      <c r="E352" s="52"/>
      <c r="F352" s="52"/>
      <c r="G352" s="56"/>
      <c r="H352" s="52"/>
      <c r="I352" s="52"/>
      <c r="J352" s="52"/>
      <c r="K352" s="52"/>
      <c r="L352" s="52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2"/>
      <c r="AA352" s="52"/>
      <c r="AB352" s="637"/>
      <c r="AC352" s="52"/>
      <c r="AD352" s="52"/>
      <c r="AE352" s="52"/>
      <c r="AF352" s="637"/>
      <c r="AG352" s="52"/>
      <c r="AH352" s="52"/>
      <c r="AI352" s="52"/>
      <c r="AJ352" s="637"/>
      <c r="AK352" s="52"/>
      <c r="AL352" s="52"/>
      <c r="AM352" s="52"/>
      <c r="AN352" s="637"/>
      <c r="AO352" s="118"/>
      <c r="AP352" s="52"/>
      <c r="AQ352" s="52"/>
      <c r="AR352" s="637"/>
      <c r="AS352" s="118"/>
      <c r="AT352" s="118"/>
      <c r="AU352" s="118"/>
      <c r="AV352" s="118"/>
      <c r="AW352" s="118"/>
      <c r="AX352" s="118"/>
      <c r="AY352" s="118"/>
      <c r="AZ352" s="118"/>
      <c r="BA352" s="118"/>
      <c r="BB352" s="118"/>
      <c r="BC352" s="118"/>
      <c r="BD352" s="118"/>
      <c r="BE352" s="118"/>
      <c r="BF352" s="137"/>
      <c r="BG352" s="43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</row>
    <row r="353" spans="1:99" s="96" customFormat="1">
      <c r="A353" s="39"/>
      <c r="B353" s="485"/>
      <c r="C353" s="496"/>
      <c r="D353" s="519"/>
      <c r="E353" s="638"/>
      <c r="F353" s="638"/>
      <c r="G353" s="499"/>
      <c r="H353" s="500"/>
      <c r="I353" s="639"/>
      <c r="J353" s="639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221"/>
      <c r="AA353" s="116"/>
      <c r="AB353" s="115"/>
      <c r="AC353" s="118"/>
      <c r="AD353" s="221"/>
      <c r="AE353" s="117"/>
      <c r="AF353" s="115"/>
      <c r="AG353" s="118"/>
      <c r="AH353" s="221"/>
      <c r="AI353" s="116"/>
      <c r="AJ353" s="115"/>
      <c r="AK353" s="118"/>
      <c r="AL353" s="221"/>
      <c r="AM353" s="116"/>
      <c r="AN353" s="115"/>
      <c r="AO353" s="118"/>
      <c r="AP353" s="221"/>
      <c r="AQ353" s="116"/>
      <c r="AR353" s="115"/>
      <c r="AS353" s="118"/>
      <c r="AT353" s="118"/>
      <c r="AU353" s="118"/>
      <c r="AV353" s="118"/>
      <c r="AW353" s="118"/>
      <c r="AX353" s="118"/>
      <c r="AY353" s="118"/>
      <c r="AZ353" s="118"/>
      <c r="BA353" s="118"/>
      <c r="BB353" s="118"/>
      <c r="BC353" s="118"/>
      <c r="BD353" s="118"/>
      <c r="BE353" s="118"/>
      <c r="BF353" s="137"/>
      <c r="BG353" s="43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</row>
    <row r="354" spans="1:99" ht="15" customHeight="1">
      <c r="B354" s="749" t="s">
        <v>134</v>
      </c>
      <c r="C354" s="750"/>
      <c r="D354" s="750"/>
      <c r="E354" s="750"/>
      <c r="F354" s="750"/>
      <c r="G354" s="750"/>
      <c r="H354" s="750"/>
      <c r="I354" s="751"/>
      <c r="J354" s="79"/>
      <c r="K354" s="59">
        <f>SUBTOTAL(9,K16:K41)</f>
        <v>0</v>
      </c>
      <c r="L354" s="59">
        <f>SUBTOTAL(9,L16:L41)</f>
        <v>0</v>
      </c>
      <c r="M354" s="59">
        <f>SUBTOTAL(9,M16:M350)</f>
        <v>9495477.0220000036</v>
      </c>
      <c r="N354" s="59">
        <f t="shared" ref="N354:X354" si="19">SUBTOTAL(9,N16:N350)</f>
        <v>5377282.5880000005</v>
      </c>
      <c r="O354" s="59">
        <f t="shared" si="19"/>
        <v>6429478.2189999996</v>
      </c>
      <c r="P354" s="59">
        <f t="shared" si="19"/>
        <v>8090392.5409999983</v>
      </c>
      <c r="Q354" s="59">
        <f t="shared" si="19"/>
        <v>5165422.1220000004</v>
      </c>
      <c r="R354" s="59">
        <f t="shared" si="19"/>
        <v>8656984.3089999985</v>
      </c>
      <c r="S354" s="59">
        <f t="shared" si="19"/>
        <v>8386840.5679999981</v>
      </c>
      <c r="T354" s="59">
        <f t="shared" si="19"/>
        <v>4521884.4979999997</v>
      </c>
      <c r="U354" s="59">
        <f t="shared" si="19"/>
        <v>6534716.1399999997</v>
      </c>
      <c r="V354" s="59">
        <f t="shared" si="19"/>
        <v>0</v>
      </c>
      <c r="W354" s="59">
        <f t="shared" si="19"/>
        <v>0</v>
      </c>
      <c r="X354" s="59">
        <f t="shared" si="19"/>
        <v>0</v>
      </c>
      <c r="Y354" s="59">
        <f>SUBTOTAL(9,Y16:Y350)</f>
        <v>62658478.007000029</v>
      </c>
      <c r="Z354" s="59">
        <f>SUBTOTAL(9,Z16:Z350)</f>
        <v>17599227</v>
      </c>
      <c r="AA354" s="59"/>
      <c r="AB354" s="59"/>
      <c r="AC354" s="59"/>
      <c r="AD354" s="59">
        <f>SUBTOTAL(9,AD16:AD350)</f>
        <v>22310182</v>
      </c>
      <c r="AE354" s="59"/>
      <c r="AF354" s="59"/>
      <c r="AG354" s="59"/>
      <c r="AH354" s="59">
        <f>SUBTOTAL(9,AH16:AH350)</f>
        <v>7859720</v>
      </c>
      <c r="AI354" s="59"/>
      <c r="AJ354" s="59"/>
      <c r="AK354" s="59"/>
      <c r="AL354" s="59">
        <f>SUBTOTAL(9,AL16:AL350)</f>
        <v>3604755</v>
      </c>
      <c r="AM354" s="59"/>
      <c r="AN354" s="59"/>
      <c r="AO354" s="59"/>
      <c r="AP354" s="59">
        <f>SUBTOTAL(9,AP16:AP350)</f>
        <v>3162963</v>
      </c>
      <c r="AQ354" s="59"/>
      <c r="AR354" s="59"/>
      <c r="AS354" s="59"/>
      <c r="AT354" s="59">
        <f>SUBTOTAL(9,AT16:AT350)</f>
        <v>731772</v>
      </c>
      <c r="AU354" s="59"/>
      <c r="AV354" s="59"/>
      <c r="AW354" s="59"/>
      <c r="AX354" s="59">
        <f>SUBTOTAL(9,AX16:AX350)</f>
        <v>-161570</v>
      </c>
      <c r="AY354" s="59"/>
      <c r="AZ354" s="59"/>
      <c r="BA354" s="59"/>
      <c r="BB354" s="59">
        <f>SUBTOTAL(9,BB16:BB350)</f>
        <v>81752</v>
      </c>
      <c r="BC354" s="59"/>
      <c r="BD354" s="59"/>
      <c r="BE354" s="59"/>
      <c r="BF354" s="59">
        <f>SUBTOTAL(9,BF16:BF350)</f>
        <v>55188801</v>
      </c>
      <c r="BG354" s="59">
        <f>SUBTOTAL(9,BG16:BG350)</f>
        <v>-7469677.0070000011</v>
      </c>
    </row>
    <row r="355" spans="1:99" s="123" customFormat="1" ht="20.25" customHeight="1">
      <c r="B355" s="752"/>
      <c r="C355" s="752"/>
      <c r="D355" s="752"/>
      <c r="E355" s="752"/>
      <c r="F355" s="140"/>
      <c r="G355" s="125"/>
      <c r="H355" s="125"/>
      <c r="AA355" s="74"/>
      <c r="AE355" s="124"/>
      <c r="AI355" s="74"/>
      <c r="AM355" s="74"/>
      <c r="AQ355" s="74"/>
    </row>
    <row r="356" spans="1:99" s="123" customFormat="1">
      <c r="B356" s="125"/>
      <c r="D356" s="125"/>
      <c r="AA356" s="74"/>
      <c r="AD356" s="210"/>
      <c r="AE356" s="209"/>
      <c r="AF356" s="210"/>
      <c r="AG356" s="210"/>
      <c r="AH356" s="210"/>
      <c r="AI356" s="211"/>
      <c r="AJ356" s="210"/>
      <c r="AK356" s="210"/>
      <c r="AL356" s="210"/>
      <c r="AM356" s="211"/>
      <c r="AN356" s="210"/>
      <c r="AO356" s="210"/>
      <c r="AP356" s="210"/>
      <c r="AQ356" s="211"/>
      <c r="AR356" s="210"/>
      <c r="AS356" s="210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  <c r="BD356" s="210"/>
      <c r="BE356" s="210"/>
      <c r="BF356" s="142"/>
    </row>
    <row r="357" spans="1:99" s="123" customFormat="1">
      <c r="B357" s="125"/>
      <c r="D357" s="125"/>
      <c r="AA357" s="74"/>
      <c r="AD357" s="607"/>
      <c r="AE357" s="607"/>
      <c r="AF357" s="607"/>
      <c r="AG357" s="607"/>
      <c r="AH357" s="607"/>
      <c r="AI357" s="607"/>
      <c r="AJ357" s="607"/>
      <c r="AK357" s="607"/>
      <c r="AL357" s="607"/>
      <c r="AM357" s="607"/>
      <c r="AN357" s="607"/>
      <c r="AO357" s="607"/>
      <c r="AP357" s="607"/>
      <c r="AQ357" s="607"/>
      <c r="AR357" s="607"/>
      <c r="AS357" s="607"/>
      <c r="AT357" s="607"/>
      <c r="AU357" s="607"/>
      <c r="AV357" s="607"/>
      <c r="AW357" s="607"/>
      <c r="AX357" s="607"/>
      <c r="AY357" s="607"/>
      <c r="AZ357" s="607"/>
      <c r="BA357" s="607"/>
      <c r="BB357" s="607"/>
      <c r="BC357" s="607"/>
      <c r="BD357" s="607"/>
      <c r="BE357" s="607"/>
      <c r="BF357" s="607"/>
      <c r="BG357" s="607"/>
    </row>
    <row r="358" spans="1:99" s="123" customFormat="1">
      <c r="B358" s="125"/>
      <c r="D358" s="125"/>
      <c r="AA358" s="74"/>
      <c r="AE358" s="124"/>
      <c r="AI358" s="74"/>
      <c r="AM358" s="74"/>
      <c r="AQ358" s="74"/>
      <c r="AU358" s="74"/>
      <c r="AY358" s="74"/>
    </row>
    <row r="359" spans="1:99" s="123" customFormat="1">
      <c r="B359" s="125"/>
      <c r="D359" s="125"/>
      <c r="AA359" s="74"/>
      <c r="AD359" s="142"/>
      <c r="AE359" s="124"/>
      <c r="AH359" s="142"/>
      <c r="AI359" s="74"/>
      <c r="AL359" s="142"/>
      <c r="AM359" s="74"/>
      <c r="AP359" s="142"/>
      <c r="AQ359" s="74"/>
      <c r="AT359" s="142"/>
      <c r="AU359" s="74"/>
      <c r="AX359" s="142"/>
      <c r="AY359" s="74"/>
      <c r="BB359" s="142"/>
      <c r="BF359" s="142"/>
    </row>
    <row r="360" spans="1:99" s="123" customFormat="1">
      <c r="B360" s="125"/>
      <c r="D360" s="125"/>
      <c r="AA360" s="74"/>
      <c r="AE360" s="124"/>
      <c r="AI360" s="74"/>
      <c r="AM360" s="74"/>
      <c r="AQ360" s="74"/>
    </row>
    <row r="361" spans="1:99" s="123" customFormat="1">
      <c r="B361" s="125"/>
      <c r="D361" s="125"/>
      <c r="AA361" s="74"/>
      <c r="AE361" s="124"/>
      <c r="AI361" s="74"/>
      <c r="AM361" s="74"/>
      <c r="AQ361" s="74"/>
    </row>
    <row r="362" spans="1:99" s="123" customFormat="1">
      <c r="B362" s="125"/>
      <c r="D362" s="125"/>
      <c r="AA362" s="74"/>
      <c r="AE362" s="124"/>
      <c r="AI362" s="74"/>
      <c r="AM362" s="74"/>
      <c r="AQ362" s="74"/>
    </row>
    <row r="363" spans="1:99" s="123" customFormat="1">
      <c r="B363" s="125"/>
      <c r="D363" s="125"/>
      <c r="AA363" s="74"/>
      <c r="AE363" s="124"/>
      <c r="AI363" s="74"/>
      <c r="AM363" s="74"/>
      <c r="AQ363" s="74"/>
    </row>
    <row r="364" spans="1:99" s="123" customFormat="1">
      <c r="B364" s="125"/>
      <c r="D364" s="125"/>
      <c r="AA364" s="74"/>
      <c r="AE364" s="124"/>
      <c r="AI364" s="74"/>
      <c r="AM364" s="74"/>
      <c r="AQ364" s="74"/>
    </row>
    <row r="365" spans="1:99" s="123" customFormat="1">
      <c r="B365" s="125"/>
      <c r="D365" s="125"/>
      <c r="AA365" s="74"/>
      <c r="AE365" s="124"/>
      <c r="AI365" s="74"/>
      <c r="AM365" s="74"/>
      <c r="AQ365" s="74"/>
    </row>
    <row r="366" spans="1:99" s="123" customFormat="1">
      <c r="B366" s="125"/>
      <c r="D366" s="125"/>
      <c r="AA366" s="74"/>
      <c r="AE366" s="124"/>
      <c r="AI366" s="74"/>
      <c r="AM366" s="74"/>
      <c r="AQ366" s="74"/>
    </row>
    <row r="367" spans="1:99" s="123" customFormat="1">
      <c r="B367" s="125"/>
      <c r="D367" s="125"/>
      <c r="AA367" s="74"/>
      <c r="AE367" s="124"/>
      <c r="AI367" s="74"/>
      <c r="AM367" s="74"/>
      <c r="AQ367" s="74"/>
    </row>
    <row r="368" spans="1:99" s="123" customFormat="1">
      <c r="B368" s="125"/>
      <c r="D368" s="125"/>
      <c r="AA368" s="74"/>
      <c r="AE368" s="124"/>
      <c r="AI368" s="74"/>
      <c r="AM368" s="74"/>
      <c r="AQ368" s="74"/>
    </row>
    <row r="369" spans="2:43" s="123" customFormat="1">
      <c r="B369" s="125"/>
      <c r="D369" s="125"/>
      <c r="AA369" s="74"/>
      <c r="AE369" s="124"/>
      <c r="AI369" s="74"/>
      <c r="AM369" s="74"/>
      <c r="AQ369" s="74"/>
    </row>
    <row r="370" spans="2:43" s="123" customFormat="1">
      <c r="B370" s="125"/>
      <c r="D370" s="125"/>
      <c r="AA370" s="74"/>
      <c r="AE370" s="124"/>
      <c r="AI370" s="74"/>
      <c r="AM370" s="74"/>
      <c r="AQ370" s="74"/>
    </row>
    <row r="371" spans="2:43" s="123" customFormat="1">
      <c r="B371" s="125"/>
      <c r="D371" s="125"/>
      <c r="AA371" s="74"/>
      <c r="AE371" s="124"/>
      <c r="AI371" s="74"/>
      <c r="AM371" s="74"/>
      <c r="AQ371" s="74"/>
    </row>
    <row r="372" spans="2:43" s="123" customFormat="1">
      <c r="B372" s="125"/>
      <c r="D372" s="125"/>
      <c r="AA372" s="74"/>
      <c r="AE372" s="124"/>
      <c r="AI372" s="74"/>
      <c r="AM372" s="74"/>
      <c r="AQ372" s="74"/>
    </row>
    <row r="373" spans="2:43" s="123" customFormat="1">
      <c r="B373" s="125"/>
      <c r="D373" s="125"/>
      <c r="AA373" s="74"/>
      <c r="AE373" s="124"/>
      <c r="AI373" s="74"/>
      <c r="AM373" s="74"/>
      <c r="AQ373" s="74"/>
    </row>
    <row r="374" spans="2:43" s="123" customFormat="1">
      <c r="B374" s="125"/>
      <c r="D374" s="125"/>
      <c r="AA374" s="74"/>
      <c r="AE374" s="124"/>
      <c r="AI374" s="74"/>
      <c r="AM374" s="74"/>
      <c r="AQ374" s="74"/>
    </row>
    <row r="375" spans="2:43" s="123" customFormat="1">
      <c r="B375" s="125"/>
      <c r="D375" s="125"/>
      <c r="AA375" s="74"/>
      <c r="AE375" s="124"/>
      <c r="AI375" s="74"/>
      <c r="AM375" s="74"/>
      <c r="AQ375" s="74"/>
    </row>
    <row r="376" spans="2:43" s="123" customFormat="1">
      <c r="B376" s="125"/>
      <c r="D376" s="125"/>
      <c r="AA376" s="74"/>
      <c r="AE376" s="124"/>
      <c r="AI376" s="74"/>
      <c r="AM376" s="74"/>
      <c r="AQ376" s="74"/>
    </row>
    <row r="377" spans="2:43" s="123" customFormat="1">
      <c r="B377" s="125"/>
      <c r="D377" s="125"/>
      <c r="AA377" s="74"/>
      <c r="AE377" s="124"/>
      <c r="AI377" s="74"/>
      <c r="AM377" s="74"/>
      <c r="AQ377" s="74"/>
    </row>
    <row r="378" spans="2:43" s="123" customFormat="1">
      <c r="B378" s="125"/>
      <c r="D378" s="125"/>
      <c r="AA378" s="74"/>
      <c r="AE378" s="124"/>
      <c r="AI378" s="74"/>
      <c r="AM378" s="74"/>
      <c r="AQ378" s="74"/>
    </row>
    <row r="379" spans="2:43" s="123" customFormat="1">
      <c r="B379" s="125"/>
      <c r="D379" s="125"/>
      <c r="AA379" s="74"/>
      <c r="AE379" s="124"/>
      <c r="AI379" s="74"/>
      <c r="AM379" s="74"/>
      <c r="AQ379" s="74"/>
    </row>
    <row r="380" spans="2:43" s="123" customFormat="1">
      <c r="B380" s="125"/>
      <c r="D380" s="125"/>
      <c r="AA380" s="74"/>
      <c r="AE380" s="124"/>
      <c r="AI380" s="74"/>
      <c r="AM380" s="74"/>
      <c r="AQ380" s="74"/>
    </row>
    <row r="381" spans="2:43" s="123" customFormat="1">
      <c r="B381" s="125"/>
      <c r="D381" s="125"/>
      <c r="AA381" s="74"/>
      <c r="AE381" s="124"/>
      <c r="AI381" s="74"/>
      <c r="AM381" s="74"/>
      <c r="AQ381" s="74"/>
    </row>
    <row r="382" spans="2:43" s="123" customFormat="1">
      <c r="B382" s="125"/>
      <c r="D382" s="125"/>
      <c r="AA382" s="74"/>
      <c r="AE382" s="124"/>
      <c r="AI382" s="74"/>
      <c r="AM382" s="74"/>
      <c r="AQ382" s="74"/>
    </row>
    <row r="383" spans="2:43" s="123" customFormat="1">
      <c r="B383" s="125"/>
      <c r="D383" s="125"/>
      <c r="AA383" s="74"/>
      <c r="AE383" s="124"/>
      <c r="AI383" s="74"/>
      <c r="AM383" s="74"/>
      <c r="AQ383" s="74"/>
    </row>
    <row r="384" spans="2:43" s="123" customFormat="1">
      <c r="B384" s="125"/>
      <c r="D384" s="125"/>
      <c r="AA384" s="74"/>
      <c r="AE384" s="124"/>
      <c r="AI384" s="74"/>
      <c r="AM384" s="74"/>
      <c r="AQ384" s="74"/>
    </row>
    <row r="385" spans="2:43" s="123" customFormat="1">
      <c r="B385" s="125"/>
      <c r="D385" s="125"/>
      <c r="AA385" s="74"/>
      <c r="AE385" s="124"/>
      <c r="AI385" s="74"/>
      <c r="AM385" s="74"/>
      <c r="AQ385" s="74"/>
    </row>
    <row r="386" spans="2:43" s="123" customFormat="1">
      <c r="B386" s="125"/>
      <c r="D386" s="125"/>
      <c r="AA386" s="74"/>
      <c r="AE386" s="124"/>
      <c r="AI386" s="74"/>
      <c r="AM386" s="74"/>
      <c r="AQ386" s="74"/>
    </row>
    <row r="387" spans="2:43" s="123" customFormat="1">
      <c r="B387" s="125"/>
      <c r="D387" s="125"/>
      <c r="AA387" s="74"/>
      <c r="AE387" s="124"/>
      <c r="AI387" s="74"/>
      <c r="AM387" s="74"/>
      <c r="AQ387" s="74"/>
    </row>
    <row r="388" spans="2:43" s="123" customFormat="1">
      <c r="B388" s="125"/>
      <c r="D388" s="125"/>
      <c r="AA388" s="74"/>
      <c r="AE388" s="124"/>
      <c r="AI388" s="74"/>
      <c r="AM388" s="74"/>
      <c r="AQ388" s="74"/>
    </row>
    <row r="389" spans="2:43" s="123" customFormat="1">
      <c r="B389" s="125"/>
      <c r="D389" s="125"/>
      <c r="AA389" s="74"/>
      <c r="AE389" s="124"/>
      <c r="AI389" s="74"/>
      <c r="AM389" s="74"/>
      <c r="AQ389" s="74"/>
    </row>
    <row r="390" spans="2:43" s="123" customFormat="1">
      <c r="B390" s="125"/>
      <c r="D390" s="125"/>
      <c r="AA390" s="74"/>
      <c r="AE390" s="124"/>
      <c r="AI390" s="74"/>
      <c r="AM390" s="74"/>
      <c r="AQ390" s="74"/>
    </row>
    <row r="391" spans="2:43" s="123" customFormat="1">
      <c r="B391" s="125"/>
      <c r="D391" s="125"/>
      <c r="AA391" s="74"/>
      <c r="AE391" s="124"/>
      <c r="AI391" s="74"/>
      <c r="AM391" s="74"/>
      <c r="AQ391" s="74"/>
    </row>
    <row r="392" spans="2:43" s="123" customFormat="1">
      <c r="B392" s="125"/>
      <c r="D392" s="125"/>
      <c r="AA392" s="74"/>
      <c r="AE392" s="124"/>
      <c r="AI392" s="74"/>
      <c r="AM392" s="74"/>
      <c r="AQ392" s="74"/>
    </row>
    <row r="393" spans="2:43" s="123" customFormat="1">
      <c r="B393" s="125"/>
      <c r="D393" s="125"/>
      <c r="AA393" s="74"/>
      <c r="AE393" s="124"/>
      <c r="AI393" s="74"/>
      <c r="AM393" s="74"/>
      <c r="AQ393" s="74"/>
    </row>
    <row r="394" spans="2:43" s="123" customFormat="1">
      <c r="B394" s="125"/>
      <c r="D394" s="125"/>
      <c r="AA394" s="74"/>
      <c r="AE394" s="124"/>
      <c r="AI394" s="74"/>
      <c r="AM394" s="74"/>
      <c r="AQ394" s="74"/>
    </row>
    <row r="395" spans="2:43" s="123" customFormat="1">
      <c r="B395" s="125"/>
      <c r="D395" s="125"/>
      <c r="AA395" s="74"/>
      <c r="AE395" s="124"/>
      <c r="AI395" s="74"/>
      <c r="AM395" s="74"/>
      <c r="AQ395" s="74"/>
    </row>
    <row r="396" spans="2:43" s="123" customFormat="1">
      <c r="B396" s="125"/>
      <c r="D396" s="125"/>
      <c r="AA396" s="74"/>
      <c r="AE396" s="124"/>
      <c r="AI396" s="74"/>
      <c r="AM396" s="74"/>
      <c r="AQ396" s="74"/>
    </row>
    <row r="397" spans="2:43" s="123" customFormat="1">
      <c r="B397" s="125"/>
      <c r="D397" s="125"/>
      <c r="AA397" s="74"/>
      <c r="AE397" s="124"/>
      <c r="AI397" s="74"/>
      <c r="AM397" s="74"/>
      <c r="AQ397" s="74"/>
    </row>
    <row r="398" spans="2:43" s="123" customFormat="1">
      <c r="B398" s="125"/>
      <c r="D398" s="125"/>
      <c r="AA398" s="74"/>
      <c r="AE398" s="124"/>
      <c r="AI398" s="74"/>
      <c r="AM398" s="74"/>
      <c r="AQ398" s="74"/>
    </row>
    <row r="399" spans="2:43" s="123" customFormat="1">
      <c r="B399" s="125"/>
      <c r="D399" s="125"/>
      <c r="AA399" s="74"/>
      <c r="AE399" s="124"/>
      <c r="AI399" s="74"/>
      <c r="AM399" s="74"/>
      <c r="AQ399" s="74"/>
    </row>
    <row r="400" spans="2:43" s="123" customFormat="1">
      <c r="B400" s="125"/>
      <c r="D400" s="125"/>
      <c r="AA400" s="74"/>
      <c r="AE400" s="124"/>
      <c r="AI400" s="74"/>
      <c r="AM400" s="74"/>
      <c r="AQ400" s="74"/>
    </row>
    <row r="401" spans="2:43" s="123" customFormat="1">
      <c r="B401" s="125"/>
      <c r="D401" s="125"/>
      <c r="AA401" s="74"/>
      <c r="AE401" s="124"/>
      <c r="AI401" s="74"/>
      <c r="AM401" s="74"/>
      <c r="AQ401" s="74"/>
    </row>
    <row r="402" spans="2:43" s="123" customFormat="1">
      <c r="B402" s="125"/>
      <c r="D402" s="125"/>
      <c r="AA402" s="74"/>
      <c r="AE402" s="124"/>
      <c r="AI402" s="74"/>
      <c r="AM402" s="74"/>
      <c r="AQ402" s="74"/>
    </row>
    <row r="403" spans="2:43" s="123" customFormat="1">
      <c r="B403" s="125"/>
      <c r="D403" s="125"/>
      <c r="AA403" s="74"/>
      <c r="AE403" s="124"/>
      <c r="AI403" s="74"/>
      <c r="AM403" s="74"/>
      <c r="AQ403" s="74"/>
    </row>
    <row r="404" spans="2:43" s="123" customFormat="1">
      <c r="B404" s="125"/>
      <c r="D404" s="125"/>
      <c r="AA404" s="74"/>
      <c r="AE404" s="124"/>
      <c r="AI404" s="74"/>
      <c r="AM404" s="74"/>
      <c r="AQ404" s="74"/>
    </row>
    <row r="405" spans="2:43" s="123" customFormat="1">
      <c r="B405" s="125"/>
      <c r="D405" s="125"/>
      <c r="AA405" s="74"/>
      <c r="AE405" s="124"/>
      <c r="AI405" s="74"/>
      <c r="AM405" s="74"/>
      <c r="AQ405" s="74"/>
    </row>
    <row r="406" spans="2:43" s="123" customFormat="1">
      <c r="B406" s="125"/>
      <c r="D406" s="125"/>
      <c r="AA406" s="74"/>
      <c r="AE406" s="124"/>
      <c r="AI406" s="74"/>
      <c r="AM406" s="74"/>
      <c r="AQ406" s="74"/>
    </row>
    <row r="407" spans="2:43" s="123" customFormat="1">
      <c r="B407" s="125"/>
      <c r="D407" s="125"/>
      <c r="AA407" s="74"/>
      <c r="AE407" s="124"/>
      <c r="AI407" s="74"/>
      <c r="AM407" s="74"/>
      <c r="AQ407" s="74"/>
    </row>
    <row r="408" spans="2:43" s="123" customFormat="1">
      <c r="B408" s="125"/>
      <c r="D408" s="125"/>
      <c r="AA408" s="74"/>
      <c r="AE408" s="124"/>
      <c r="AI408" s="74"/>
      <c r="AM408" s="74"/>
      <c r="AQ408" s="74"/>
    </row>
    <row r="409" spans="2:43" s="123" customFormat="1">
      <c r="B409" s="125"/>
      <c r="D409" s="125"/>
      <c r="AA409" s="74"/>
      <c r="AE409" s="124"/>
      <c r="AI409" s="74"/>
      <c r="AM409" s="74"/>
      <c r="AQ409" s="74"/>
    </row>
    <row r="410" spans="2:43" s="123" customFormat="1">
      <c r="B410" s="125"/>
      <c r="D410" s="125"/>
      <c r="AA410" s="74"/>
      <c r="AE410" s="124"/>
      <c r="AI410" s="74"/>
      <c r="AM410" s="74"/>
      <c r="AQ410" s="74"/>
    </row>
    <row r="411" spans="2:43" s="123" customFormat="1">
      <c r="B411" s="125"/>
      <c r="D411" s="125"/>
      <c r="AA411" s="74"/>
      <c r="AE411" s="124"/>
      <c r="AI411" s="74"/>
      <c r="AM411" s="74"/>
      <c r="AQ411" s="74"/>
    </row>
    <row r="412" spans="2:43" s="123" customFormat="1">
      <c r="B412" s="125"/>
      <c r="D412" s="125"/>
      <c r="AA412" s="74"/>
      <c r="AE412" s="124"/>
      <c r="AI412" s="74"/>
      <c r="AM412" s="74"/>
      <c r="AQ412" s="74"/>
    </row>
    <row r="413" spans="2:43" s="123" customFormat="1">
      <c r="B413" s="125"/>
      <c r="D413" s="125"/>
      <c r="AA413" s="74"/>
      <c r="AE413" s="124"/>
      <c r="AI413" s="74"/>
      <c r="AM413" s="74"/>
      <c r="AQ413" s="74"/>
    </row>
    <row r="414" spans="2:43" s="123" customFormat="1">
      <c r="B414" s="125"/>
      <c r="D414" s="125"/>
      <c r="AA414" s="74"/>
      <c r="AE414" s="124"/>
      <c r="AI414" s="74"/>
      <c r="AM414" s="74"/>
      <c r="AQ414" s="74"/>
    </row>
    <row r="415" spans="2:43" s="123" customFormat="1">
      <c r="B415" s="125"/>
      <c r="D415" s="125"/>
      <c r="AA415" s="74"/>
      <c r="AE415" s="124"/>
      <c r="AI415" s="74"/>
      <c r="AM415" s="74"/>
      <c r="AQ415" s="74"/>
    </row>
    <row r="416" spans="2:43" s="123" customFormat="1">
      <c r="B416" s="125"/>
      <c r="D416" s="125"/>
      <c r="AA416" s="74"/>
      <c r="AE416" s="124"/>
      <c r="AI416" s="74"/>
      <c r="AM416" s="74"/>
      <c r="AQ416" s="74"/>
    </row>
    <row r="417" spans="2:43" s="123" customFormat="1">
      <c r="B417" s="125"/>
      <c r="D417" s="125"/>
      <c r="AA417" s="74"/>
      <c r="AE417" s="124"/>
      <c r="AI417" s="74"/>
      <c r="AM417" s="74"/>
      <c r="AQ417" s="74"/>
    </row>
    <row r="418" spans="2:43" s="123" customFormat="1">
      <c r="B418" s="125"/>
      <c r="D418" s="125"/>
      <c r="AA418" s="74"/>
      <c r="AE418" s="124"/>
      <c r="AI418" s="74"/>
      <c r="AM418" s="74"/>
      <c r="AQ418" s="74"/>
    </row>
    <row r="419" spans="2:43" s="123" customFormat="1">
      <c r="B419" s="125"/>
      <c r="D419" s="125"/>
      <c r="AA419" s="74"/>
      <c r="AE419" s="124"/>
      <c r="AI419" s="74"/>
      <c r="AM419" s="74"/>
      <c r="AQ419" s="74"/>
    </row>
    <row r="420" spans="2:43" s="123" customFormat="1">
      <c r="B420" s="125"/>
      <c r="D420" s="125"/>
      <c r="AA420" s="74"/>
      <c r="AE420" s="124"/>
      <c r="AI420" s="74"/>
      <c r="AM420" s="74"/>
      <c r="AQ420" s="74"/>
    </row>
    <row r="421" spans="2:43" s="123" customFormat="1">
      <c r="B421" s="125"/>
      <c r="D421" s="125"/>
      <c r="AA421" s="74"/>
      <c r="AE421" s="124"/>
      <c r="AI421" s="74"/>
      <c r="AM421" s="74"/>
      <c r="AQ421" s="74"/>
    </row>
    <row r="422" spans="2:43" s="123" customFormat="1">
      <c r="B422" s="125"/>
      <c r="D422" s="125"/>
      <c r="AA422" s="74"/>
      <c r="AE422" s="124"/>
      <c r="AI422" s="74"/>
      <c r="AM422" s="74"/>
      <c r="AQ422" s="74"/>
    </row>
    <row r="423" spans="2:43" s="123" customFormat="1">
      <c r="B423" s="125"/>
      <c r="D423" s="125"/>
      <c r="AA423" s="74"/>
      <c r="AE423" s="124"/>
      <c r="AI423" s="74"/>
      <c r="AM423" s="74"/>
      <c r="AQ423" s="74"/>
    </row>
    <row r="424" spans="2:43" s="123" customFormat="1">
      <c r="B424" s="125"/>
      <c r="D424" s="125"/>
      <c r="AA424" s="74"/>
      <c r="AE424" s="124"/>
      <c r="AI424" s="74"/>
      <c r="AM424" s="74"/>
      <c r="AQ424" s="74"/>
    </row>
    <row r="425" spans="2:43" s="123" customFormat="1">
      <c r="B425" s="125"/>
      <c r="D425" s="125"/>
      <c r="AA425" s="74"/>
      <c r="AE425" s="124"/>
      <c r="AI425" s="74"/>
      <c r="AM425" s="74"/>
      <c r="AQ425" s="74"/>
    </row>
    <row r="426" spans="2:43" s="123" customFormat="1">
      <c r="B426" s="125"/>
      <c r="D426" s="125"/>
      <c r="AA426" s="74"/>
      <c r="AE426" s="124"/>
      <c r="AI426" s="74"/>
      <c r="AM426" s="74"/>
      <c r="AQ426" s="74"/>
    </row>
    <row r="427" spans="2:43" s="123" customFormat="1">
      <c r="B427" s="125"/>
      <c r="D427" s="125"/>
      <c r="AA427" s="74"/>
      <c r="AE427" s="124"/>
      <c r="AI427" s="74"/>
      <c r="AM427" s="74"/>
      <c r="AQ427" s="74"/>
    </row>
    <row r="428" spans="2:43" s="123" customFormat="1">
      <c r="B428" s="125"/>
      <c r="D428" s="125"/>
      <c r="AA428" s="74"/>
      <c r="AE428" s="124"/>
      <c r="AI428" s="74"/>
      <c r="AM428" s="74"/>
      <c r="AQ428" s="74"/>
    </row>
    <row r="429" spans="2:43" s="123" customFormat="1">
      <c r="B429" s="125"/>
      <c r="D429" s="125"/>
      <c r="AA429" s="74"/>
      <c r="AE429" s="124"/>
      <c r="AI429" s="74"/>
      <c r="AM429" s="74"/>
      <c r="AQ429" s="74"/>
    </row>
    <row r="430" spans="2:43" s="123" customFormat="1">
      <c r="B430" s="125"/>
      <c r="D430" s="125"/>
      <c r="AA430" s="74"/>
      <c r="AE430" s="124"/>
      <c r="AI430" s="74"/>
      <c r="AM430" s="74"/>
      <c r="AQ430" s="74"/>
    </row>
    <row r="431" spans="2:43" s="123" customFormat="1">
      <c r="B431" s="125"/>
      <c r="D431" s="125"/>
      <c r="AA431" s="74"/>
      <c r="AE431" s="124"/>
      <c r="AI431" s="74"/>
      <c r="AM431" s="74"/>
      <c r="AQ431" s="74"/>
    </row>
    <row r="432" spans="2:43" s="123" customFormat="1">
      <c r="B432" s="125"/>
      <c r="D432" s="125"/>
      <c r="AA432" s="74"/>
      <c r="AE432" s="124"/>
      <c r="AI432" s="74"/>
      <c r="AM432" s="74"/>
      <c r="AQ432" s="74"/>
    </row>
    <row r="433" spans="2:43" s="123" customFormat="1">
      <c r="B433" s="125"/>
      <c r="D433" s="125"/>
      <c r="AA433" s="74"/>
      <c r="AE433" s="124"/>
      <c r="AI433" s="74"/>
      <c r="AM433" s="74"/>
      <c r="AQ433" s="74"/>
    </row>
    <row r="434" spans="2:43" s="123" customFormat="1">
      <c r="B434" s="125"/>
      <c r="D434" s="125"/>
      <c r="AA434" s="74"/>
      <c r="AE434" s="124"/>
      <c r="AI434" s="74"/>
      <c r="AM434" s="74"/>
      <c r="AQ434" s="74"/>
    </row>
    <row r="435" spans="2:43" s="123" customFormat="1">
      <c r="B435" s="125"/>
      <c r="D435" s="125"/>
      <c r="AA435" s="74"/>
      <c r="AE435" s="124"/>
      <c r="AI435" s="74"/>
      <c r="AM435" s="74"/>
      <c r="AQ435" s="74"/>
    </row>
    <row r="436" spans="2:43" s="123" customFormat="1">
      <c r="B436" s="125"/>
      <c r="D436" s="125"/>
      <c r="AA436" s="74"/>
      <c r="AE436" s="124"/>
      <c r="AI436" s="74"/>
      <c r="AM436" s="74"/>
      <c r="AQ436" s="74"/>
    </row>
    <row r="437" spans="2:43" s="123" customFormat="1">
      <c r="B437" s="125"/>
      <c r="D437" s="125"/>
      <c r="AA437" s="74"/>
      <c r="AE437" s="124"/>
      <c r="AI437" s="74"/>
      <c r="AM437" s="74"/>
      <c r="AQ437" s="74"/>
    </row>
    <row r="438" spans="2:43" s="123" customFormat="1">
      <c r="B438" s="125"/>
      <c r="D438" s="125"/>
      <c r="AA438" s="74"/>
      <c r="AE438" s="124"/>
      <c r="AI438" s="74"/>
      <c r="AM438" s="74"/>
      <c r="AQ438" s="74"/>
    </row>
    <row r="439" spans="2:43" s="123" customFormat="1">
      <c r="B439" s="125"/>
      <c r="D439" s="125"/>
      <c r="AA439" s="74"/>
      <c r="AE439" s="124"/>
      <c r="AI439" s="74"/>
      <c r="AM439" s="74"/>
      <c r="AQ439" s="74"/>
    </row>
    <row r="440" spans="2:43" s="123" customFormat="1">
      <c r="B440" s="125"/>
      <c r="D440" s="125"/>
      <c r="AA440" s="74"/>
      <c r="AE440" s="124"/>
      <c r="AI440" s="74"/>
      <c r="AM440" s="74"/>
      <c r="AQ440" s="74"/>
    </row>
    <row r="441" spans="2:43" s="123" customFormat="1">
      <c r="B441" s="125"/>
      <c r="D441" s="125"/>
      <c r="AA441" s="74"/>
      <c r="AE441" s="124"/>
      <c r="AI441" s="74"/>
      <c r="AM441" s="74"/>
      <c r="AQ441" s="74"/>
    </row>
    <row r="442" spans="2:43" s="123" customFormat="1">
      <c r="B442" s="125"/>
      <c r="D442" s="125"/>
      <c r="AA442" s="74"/>
      <c r="AE442" s="124"/>
      <c r="AI442" s="74"/>
      <c r="AM442" s="74"/>
      <c r="AQ442" s="74"/>
    </row>
    <row r="443" spans="2:43" s="123" customFormat="1">
      <c r="B443" s="125"/>
      <c r="D443" s="125"/>
      <c r="AA443" s="74"/>
      <c r="AE443" s="124"/>
      <c r="AI443" s="74"/>
      <c r="AM443" s="74"/>
      <c r="AQ443" s="74"/>
    </row>
    <row r="444" spans="2:43" s="123" customFormat="1">
      <c r="B444" s="125"/>
      <c r="D444" s="125"/>
      <c r="AA444" s="74"/>
      <c r="AE444" s="124"/>
      <c r="AI444" s="74"/>
      <c r="AM444" s="74"/>
      <c r="AQ444" s="74"/>
    </row>
    <row r="445" spans="2:43" s="123" customFormat="1">
      <c r="B445" s="125"/>
      <c r="D445" s="125"/>
      <c r="AA445" s="74"/>
      <c r="AE445" s="124"/>
      <c r="AI445" s="74"/>
      <c r="AM445" s="74"/>
      <c r="AQ445" s="74"/>
    </row>
    <row r="446" spans="2:43" s="123" customFormat="1">
      <c r="B446" s="125"/>
      <c r="D446" s="125"/>
      <c r="AA446" s="74"/>
      <c r="AE446" s="124"/>
      <c r="AI446" s="74"/>
      <c r="AM446" s="74"/>
      <c r="AQ446" s="74"/>
    </row>
    <row r="447" spans="2:43" s="123" customFormat="1">
      <c r="B447" s="125"/>
      <c r="D447" s="125"/>
      <c r="AA447" s="74"/>
      <c r="AE447" s="124"/>
      <c r="AI447" s="74"/>
      <c r="AM447" s="74"/>
      <c r="AQ447" s="74"/>
    </row>
    <row r="448" spans="2:43" s="123" customFormat="1">
      <c r="B448" s="125"/>
      <c r="D448" s="125"/>
      <c r="AA448" s="74"/>
      <c r="AE448" s="124"/>
      <c r="AI448" s="74"/>
      <c r="AM448" s="74"/>
      <c r="AQ448" s="74"/>
    </row>
    <row r="449" spans="2:43" s="123" customFormat="1">
      <c r="B449" s="125"/>
      <c r="D449" s="125"/>
      <c r="AA449" s="74"/>
      <c r="AE449" s="124"/>
      <c r="AI449" s="74"/>
      <c r="AM449" s="74"/>
      <c r="AQ449" s="74"/>
    </row>
    <row r="450" spans="2:43" s="123" customFormat="1">
      <c r="B450" s="125"/>
      <c r="D450" s="125"/>
      <c r="AA450" s="74"/>
      <c r="AE450" s="124"/>
      <c r="AI450" s="74"/>
      <c r="AM450" s="74"/>
      <c r="AQ450" s="74"/>
    </row>
    <row r="451" spans="2:43" s="123" customFormat="1">
      <c r="B451" s="125"/>
      <c r="D451" s="125"/>
      <c r="AA451" s="74"/>
      <c r="AE451" s="124"/>
      <c r="AI451" s="74"/>
      <c r="AM451" s="74"/>
      <c r="AQ451" s="74"/>
    </row>
    <row r="452" spans="2:43" s="123" customFormat="1">
      <c r="B452" s="125"/>
      <c r="D452" s="125"/>
      <c r="AA452" s="74"/>
      <c r="AE452" s="124"/>
      <c r="AI452" s="74"/>
      <c r="AM452" s="74"/>
      <c r="AQ452" s="74"/>
    </row>
    <row r="453" spans="2:43" s="123" customFormat="1">
      <c r="B453" s="125"/>
      <c r="D453" s="125"/>
      <c r="AA453" s="74"/>
      <c r="AE453" s="124"/>
      <c r="AI453" s="74"/>
      <c r="AM453" s="74"/>
      <c r="AQ453" s="74"/>
    </row>
    <row r="454" spans="2:43" s="123" customFormat="1">
      <c r="B454" s="125"/>
      <c r="D454" s="125"/>
      <c r="AA454" s="74"/>
      <c r="AE454" s="124"/>
      <c r="AI454" s="74"/>
      <c r="AM454" s="74"/>
      <c r="AQ454" s="74"/>
    </row>
    <row r="455" spans="2:43" s="123" customFormat="1">
      <c r="B455" s="125"/>
      <c r="D455" s="125"/>
      <c r="AA455" s="74"/>
      <c r="AE455" s="124"/>
      <c r="AI455" s="74"/>
      <c r="AM455" s="74"/>
      <c r="AQ455" s="74"/>
    </row>
    <row r="456" spans="2:43" s="123" customFormat="1">
      <c r="B456" s="125"/>
      <c r="D456" s="125"/>
      <c r="AA456" s="74"/>
      <c r="AE456" s="124"/>
      <c r="AI456" s="74"/>
      <c r="AM456" s="74"/>
      <c r="AQ456" s="74"/>
    </row>
    <row r="457" spans="2:43" s="123" customFormat="1">
      <c r="B457" s="125"/>
      <c r="D457" s="125"/>
      <c r="AA457" s="74"/>
      <c r="AE457" s="124"/>
      <c r="AI457" s="74"/>
      <c r="AM457" s="74"/>
      <c r="AQ457" s="74"/>
    </row>
    <row r="458" spans="2:43" s="123" customFormat="1">
      <c r="B458" s="125"/>
      <c r="D458" s="125"/>
      <c r="AA458" s="74"/>
      <c r="AE458" s="124"/>
      <c r="AI458" s="74"/>
      <c r="AM458" s="74"/>
      <c r="AQ458" s="74"/>
    </row>
    <row r="459" spans="2:43" s="123" customFormat="1">
      <c r="B459" s="125"/>
      <c r="D459" s="125"/>
      <c r="AA459" s="74"/>
      <c r="AE459" s="124"/>
      <c r="AI459" s="74"/>
      <c r="AM459" s="74"/>
      <c r="AQ459" s="74"/>
    </row>
    <row r="460" spans="2:43" s="123" customFormat="1">
      <c r="B460" s="125"/>
      <c r="D460" s="125"/>
      <c r="AA460" s="74"/>
      <c r="AE460" s="124"/>
      <c r="AI460" s="74"/>
      <c r="AM460" s="74"/>
      <c r="AQ460" s="74"/>
    </row>
    <row r="461" spans="2:43" s="123" customFormat="1">
      <c r="B461" s="125"/>
      <c r="D461" s="125"/>
      <c r="AA461" s="74"/>
      <c r="AE461" s="124"/>
      <c r="AI461" s="74"/>
      <c r="AM461" s="74"/>
      <c r="AQ461" s="74"/>
    </row>
    <row r="462" spans="2:43" s="123" customFormat="1">
      <c r="B462" s="125"/>
      <c r="D462" s="125"/>
      <c r="AA462" s="74"/>
      <c r="AE462" s="124"/>
      <c r="AI462" s="74"/>
      <c r="AM462" s="74"/>
      <c r="AQ462" s="74"/>
    </row>
    <row r="463" spans="2:43" s="123" customFormat="1">
      <c r="B463" s="125"/>
      <c r="D463" s="125"/>
      <c r="AA463" s="74"/>
      <c r="AE463" s="124"/>
      <c r="AI463" s="74"/>
      <c r="AM463" s="74"/>
      <c r="AQ463" s="74"/>
    </row>
    <row r="464" spans="2:43" s="123" customFormat="1">
      <c r="B464" s="125"/>
      <c r="D464" s="125"/>
      <c r="AA464" s="74"/>
      <c r="AE464" s="124"/>
      <c r="AI464" s="74"/>
      <c r="AM464" s="74"/>
      <c r="AQ464" s="74"/>
    </row>
    <row r="465" spans="2:43" s="123" customFormat="1">
      <c r="B465" s="125"/>
      <c r="D465" s="125"/>
      <c r="AA465" s="74"/>
      <c r="AE465" s="124"/>
      <c r="AI465" s="74"/>
      <c r="AM465" s="74"/>
      <c r="AQ465" s="74"/>
    </row>
    <row r="466" spans="2:43" s="123" customFormat="1">
      <c r="B466" s="125"/>
      <c r="D466" s="125"/>
      <c r="AA466" s="74"/>
      <c r="AE466" s="124"/>
      <c r="AI466" s="74"/>
      <c r="AM466" s="74"/>
      <c r="AQ466" s="74"/>
    </row>
    <row r="467" spans="2:43" s="123" customFormat="1">
      <c r="B467" s="125"/>
      <c r="D467" s="125"/>
      <c r="AA467" s="74"/>
      <c r="AE467" s="124"/>
      <c r="AI467" s="74"/>
      <c r="AM467" s="74"/>
      <c r="AQ467" s="74"/>
    </row>
    <row r="468" spans="2:43" s="123" customFormat="1">
      <c r="B468" s="125"/>
      <c r="D468" s="125"/>
      <c r="AA468" s="74"/>
      <c r="AE468" s="124"/>
      <c r="AI468" s="74"/>
      <c r="AM468" s="74"/>
      <c r="AQ468" s="74"/>
    </row>
    <row r="469" spans="2:43" s="123" customFormat="1">
      <c r="B469" s="125"/>
      <c r="D469" s="125"/>
      <c r="AA469" s="74"/>
      <c r="AE469" s="124"/>
      <c r="AI469" s="74"/>
      <c r="AM469" s="74"/>
      <c r="AQ469" s="74"/>
    </row>
    <row r="470" spans="2:43" s="123" customFormat="1">
      <c r="B470" s="125"/>
      <c r="D470" s="125"/>
      <c r="AA470" s="74"/>
      <c r="AE470" s="124"/>
      <c r="AI470" s="74"/>
      <c r="AM470" s="74"/>
      <c r="AQ470" s="74"/>
    </row>
    <row r="471" spans="2:43" s="123" customFormat="1">
      <c r="B471" s="125"/>
      <c r="D471" s="125"/>
      <c r="AA471" s="74"/>
      <c r="AE471" s="124"/>
      <c r="AI471" s="74"/>
      <c r="AM471" s="74"/>
      <c r="AQ471" s="74"/>
    </row>
    <row r="472" spans="2:43" s="123" customFormat="1">
      <c r="B472" s="125"/>
      <c r="D472" s="125"/>
      <c r="AA472" s="74"/>
      <c r="AE472" s="124"/>
      <c r="AI472" s="74"/>
      <c r="AM472" s="74"/>
      <c r="AQ472" s="74"/>
    </row>
    <row r="473" spans="2:43" s="123" customFormat="1">
      <c r="B473" s="125"/>
      <c r="D473" s="125"/>
      <c r="AA473" s="74"/>
      <c r="AE473" s="124"/>
      <c r="AI473" s="74"/>
      <c r="AM473" s="74"/>
      <c r="AQ473" s="74"/>
    </row>
    <row r="474" spans="2:43" s="123" customFormat="1">
      <c r="B474" s="125"/>
      <c r="D474" s="125"/>
      <c r="AA474" s="74"/>
      <c r="AE474" s="124"/>
      <c r="AI474" s="74"/>
      <c r="AM474" s="74"/>
      <c r="AQ474" s="74"/>
    </row>
    <row r="475" spans="2:43" s="123" customFormat="1">
      <c r="B475" s="125"/>
      <c r="D475" s="125"/>
      <c r="AA475" s="74"/>
      <c r="AE475" s="124"/>
      <c r="AI475" s="74"/>
      <c r="AM475" s="74"/>
      <c r="AQ475" s="74"/>
    </row>
    <row r="476" spans="2:43" s="123" customFormat="1">
      <c r="B476" s="125"/>
      <c r="D476" s="125"/>
      <c r="AA476" s="74"/>
      <c r="AE476" s="124"/>
      <c r="AI476" s="74"/>
      <c r="AM476" s="74"/>
      <c r="AQ476" s="74"/>
    </row>
    <row r="477" spans="2:43" s="123" customFormat="1">
      <c r="B477" s="125"/>
      <c r="D477" s="125"/>
      <c r="AA477" s="74"/>
      <c r="AE477" s="124"/>
      <c r="AI477" s="74"/>
      <c r="AM477" s="74"/>
      <c r="AQ477" s="74"/>
    </row>
    <row r="478" spans="2:43" s="123" customFormat="1">
      <c r="B478" s="125"/>
      <c r="D478" s="125"/>
      <c r="AA478" s="74"/>
      <c r="AE478" s="124"/>
      <c r="AI478" s="74"/>
      <c r="AM478" s="74"/>
      <c r="AQ478" s="74"/>
    </row>
    <row r="479" spans="2:43" s="123" customFormat="1">
      <c r="B479" s="125"/>
      <c r="D479" s="125"/>
      <c r="AA479" s="74"/>
      <c r="AE479" s="124"/>
      <c r="AI479" s="74"/>
      <c r="AM479" s="74"/>
      <c r="AQ479" s="74"/>
    </row>
    <row r="480" spans="2:43" s="123" customFormat="1">
      <c r="B480" s="125"/>
      <c r="D480" s="125"/>
      <c r="AA480" s="74"/>
      <c r="AE480" s="124"/>
      <c r="AI480" s="74"/>
      <c r="AM480" s="74"/>
      <c r="AQ480" s="74"/>
    </row>
    <row r="481" spans="2:43" s="123" customFormat="1">
      <c r="B481" s="125"/>
      <c r="D481" s="125"/>
      <c r="AA481" s="74"/>
      <c r="AE481" s="124"/>
      <c r="AI481" s="74"/>
      <c r="AM481" s="74"/>
      <c r="AQ481" s="74"/>
    </row>
    <row r="482" spans="2:43" s="123" customFormat="1">
      <c r="B482" s="125"/>
      <c r="D482" s="125"/>
      <c r="AA482" s="74"/>
      <c r="AE482" s="124"/>
      <c r="AI482" s="74"/>
      <c r="AM482" s="74"/>
      <c r="AQ482" s="74"/>
    </row>
    <row r="483" spans="2:43" s="123" customFormat="1">
      <c r="B483" s="125"/>
      <c r="D483" s="125"/>
      <c r="AA483" s="74"/>
      <c r="AE483" s="124"/>
      <c r="AI483" s="74"/>
      <c r="AM483" s="74"/>
      <c r="AQ483" s="74"/>
    </row>
    <row r="484" spans="2:43" s="123" customFormat="1">
      <c r="B484" s="125"/>
      <c r="D484" s="125"/>
      <c r="AA484" s="74"/>
      <c r="AE484" s="124"/>
      <c r="AI484" s="74"/>
      <c r="AM484" s="74"/>
      <c r="AQ484" s="74"/>
    </row>
    <row r="485" spans="2:43" s="123" customFormat="1">
      <c r="B485" s="125"/>
      <c r="D485" s="125"/>
      <c r="AA485" s="74"/>
      <c r="AE485" s="124"/>
      <c r="AI485" s="74"/>
      <c r="AM485" s="74"/>
      <c r="AQ485" s="74"/>
    </row>
    <row r="486" spans="2:43" s="123" customFormat="1">
      <c r="B486" s="125"/>
      <c r="D486" s="125"/>
      <c r="AA486" s="74"/>
      <c r="AE486" s="124"/>
      <c r="AI486" s="74"/>
      <c r="AM486" s="74"/>
      <c r="AQ486" s="74"/>
    </row>
    <row r="487" spans="2:43" s="123" customFormat="1">
      <c r="B487" s="125"/>
      <c r="D487" s="125"/>
      <c r="AA487" s="74"/>
      <c r="AE487" s="124"/>
      <c r="AI487" s="74"/>
      <c r="AM487" s="74"/>
      <c r="AQ487" s="74"/>
    </row>
    <row r="488" spans="2:43" s="123" customFormat="1">
      <c r="B488" s="125"/>
      <c r="D488" s="125"/>
      <c r="AA488" s="74"/>
      <c r="AE488" s="124"/>
      <c r="AI488" s="74"/>
      <c r="AM488" s="74"/>
      <c r="AQ488" s="74"/>
    </row>
    <row r="489" spans="2:43" s="123" customFormat="1">
      <c r="B489" s="125"/>
      <c r="D489" s="125"/>
      <c r="AA489" s="74"/>
      <c r="AE489" s="124"/>
      <c r="AI489" s="74"/>
      <c r="AM489" s="74"/>
      <c r="AQ489" s="74"/>
    </row>
    <row r="490" spans="2:43" s="123" customFormat="1">
      <c r="B490" s="125"/>
      <c r="D490" s="125"/>
      <c r="AA490" s="74"/>
      <c r="AE490" s="124"/>
      <c r="AI490" s="74"/>
      <c r="AM490" s="74"/>
      <c r="AQ490" s="74"/>
    </row>
    <row r="491" spans="2:43" s="123" customFormat="1">
      <c r="B491" s="125"/>
      <c r="D491" s="125"/>
      <c r="AA491" s="74"/>
      <c r="AE491" s="124"/>
      <c r="AI491" s="74"/>
      <c r="AM491" s="74"/>
      <c r="AQ491" s="74"/>
    </row>
    <row r="492" spans="2:43" s="123" customFormat="1">
      <c r="B492" s="125"/>
      <c r="D492" s="125"/>
      <c r="AA492" s="74"/>
      <c r="AE492" s="124"/>
      <c r="AI492" s="74"/>
      <c r="AM492" s="74"/>
      <c r="AQ492" s="74"/>
    </row>
    <row r="493" spans="2:43" s="123" customFormat="1">
      <c r="B493" s="125"/>
      <c r="D493" s="125"/>
      <c r="AA493" s="74"/>
      <c r="AE493" s="124"/>
      <c r="AI493" s="74"/>
      <c r="AM493" s="74"/>
      <c r="AQ493" s="74"/>
    </row>
    <row r="494" spans="2:43" s="123" customFormat="1">
      <c r="B494" s="125"/>
      <c r="D494" s="125"/>
      <c r="AA494" s="74"/>
      <c r="AE494" s="124"/>
      <c r="AI494" s="74"/>
      <c r="AM494" s="74"/>
      <c r="AQ494" s="74"/>
    </row>
    <row r="495" spans="2:43" s="123" customFormat="1">
      <c r="B495" s="125"/>
      <c r="D495" s="125"/>
      <c r="AA495" s="74"/>
      <c r="AE495" s="124"/>
      <c r="AI495" s="74"/>
      <c r="AM495" s="74"/>
      <c r="AQ495" s="74"/>
    </row>
    <row r="496" spans="2:43" s="123" customFormat="1">
      <c r="B496" s="125"/>
      <c r="D496" s="125"/>
      <c r="AA496" s="74"/>
      <c r="AE496" s="124"/>
      <c r="AI496" s="74"/>
      <c r="AM496" s="74"/>
      <c r="AQ496" s="74"/>
    </row>
    <row r="497" spans="2:43" s="123" customFormat="1">
      <c r="B497" s="125"/>
      <c r="D497" s="125"/>
      <c r="AA497" s="74"/>
      <c r="AE497" s="124"/>
      <c r="AI497" s="74"/>
      <c r="AM497" s="74"/>
      <c r="AQ497" s="74"/>
    </row>
    <row r="498" spans="2:43" s="123" customFormat="1">
      <c r="B498" s="125"/>
      <c r="D498" s="125"/>
      <c r="AA498" s="74"/>
      <c r="AE498" s="124"/>
      <c r="AI498" s="74"/>
      <c r="AM498" s="74"/>
      <c r="AQ498" s="74"/>
    </row>
    <row r="499" spans="2:43" s="123" customFormat="1">
      <c r="B499" s="125"/>
      <c r="D499" s="125"/>
      <c r="AA499" s="74"/>
      <c r="AE499" s="124"/>
      <c r="AI499" s="74"/>
      <c r="AM499" s="74"/>
      <c r="AQ499" s="74"/>
    </row>
    <row r="500" spans="2:43" s="123" customFormat="1">
      <c r="B500" s="125"/>
      <c r="D500" s="125"/>
      <c r="AA500" s="74"/>
      <c r="AE500" s="124"/>
      <c r="AI500" s="74"/>
      <c r="AM500" s="74"/>
      <c r="AQ500" s="74"/>
    </row>
    <row r="501" spans="2:43" s="123" customFormat="1">
      <c r="B501" s="125"/>
      <c r="D501" s="125"/>
      <c r="AA501" s="74"/>
      <c r="AE501" s="124"/>
      <c r="AI501" s="74"/>
      <c r="AM501" s="74"/>
      <c r="AQ501" s="74"/>
    </row>
    <row r="502" spans="2:43" s="123" customFormat="1">
      <c r="B502" s="125"/>
      <c r="D502" s="125"/>
      <c r="AA502" s="74"/>
      <c r="AE502" s="124"/>
      <c r="AI502" s="74"/>
      <c r="AM502" s="74"/>
      <c r="AQ502" s="74"/>
    </row>
    <row r="503" spans="2:43" s="123" customFormat="1">
      <c r="B503" s="125"/>
      <c r="D503" s="125"/>
      <c r="AA503" s="74"/>
      <c r="AE503" s="124"/>
      <c r="AI503" s="74"/>
      <c r="AM503" s="74"/>
      <c r="AQ503" s="74"/>
    </row>
    <row r="504" spans="2:43" s="123" customFormat="1">
      <c r="B504" s="125"/>
      <c r="D504" s="125"/>
      <c r="AA504" s="74"/>
      <c r="AE504" s="124"/>
      <c r="AI504" s="74"/>
      <c r="AM504" s="74"/>
      <c r="AQ504" s="74"/>
    </row>
    <row r="505" spans="2:43" s="123" customFormat="1">
      <c r="B505" s="125"/>
      <c r="D505" s="125"/>
      <c r="AA505" s="74"/>
      <c r="AE505" s="124"/>
      <c r="AI505" s="74"/>
      <c r="AM505" s="74"/>
      <c r="AQ505" s="74"/>
    </row>
    <row r="506" spans="2:43" s="123" customFormat="1">
      <c r="B506" s="125"/>
      <c r="D506" s="125"/>
      <c r="AA506" s="74"/>
      <c r="AE506" s="124"/>
      <c r="AI506" s="74"/>
      <c r="AM506" s="74"/>
      <c r="AQ506" s="74"/>
    </row>
    <row r="507" spans="2:43" s="123" customFormat="1">
      <c r="B507" s="125"/>
      <c r="D507" s="125"/>
      <c r="AA507" s="74"/>
      <c r="AE507" s="124"/>
      <c r="AI507" s="74"/>
      <c r="AM507" s="74"/>
      <c r="AQ507" s="74"/>
    </row>
    <row r="508" spans="2:43" s="123" customFormat="1">
      <c r="B508" s="125"/>
      <c r="D508" s="125"/>
      <c r="AA508" s="74"/>
      <c r="AE508" s="124"/>
      <c r="AI508" s="74"/>
      <c r="AM508" s="74"/>
      <c r="AQ508" s="74"/>
    </row>
    <row r="509" spans="2:43" s="123" customFormat="1">
      <c r="B509" s="125"/>
      <c r="D509" s="125"/>
      <c r="AA509" s="74"/>
      <c r="AE509" s="124"/>
      <c r="AI509" s="74"/>
      <c r="AM509" s="74"/>
      <c r="AQ509" s="74"/>
    </row>
    <row r="510" spans="2:43" s="123" customFormat="1">
      <c r="B510" s="125"/>
      <c r="D510" s="125"/>
      <c r="AA510" s="74"/>
      <c r="AE510" s="124"/>
      <c r="AI510" s="74"/>
      <c r="AM510" s="74"/>
      <c r="AQ510" s="74"/>
    </row>
    <row r="511" spans="2:43" s="123" customFormat="1">
      <c r="B511" s="125"/>
      <c r="D511" s="125"/>
      <c r="AA511" s="74"/>
      <c r="AE511" s="124"/>
      <c r="AI511" s="74"/>
      <c r="AM511" s="74"/>
      <c r="AQ511" s="74"/>
    </row>
    <row r="512" spans="2:43" s="123" customFormat="1">
      <c r="B512" s="125"/>
      <c r="D512" s="125"/>
      <c r="AA512" s="74"/>
      <c r="AE512" s="124"/>
      <c r="AI512" s="74"/>
      <c r="AM512" s="74"/>
      <c r="AQ512" s="74"/>
    </row>
    <row r="513" spans="2:43" s="123" customFormat="1">
      <c r="B513" s="125"/>
      <c r="D513" s="125"/>
      <c r="AA513" s="74"/>
      <c r="AE513" s="124"/>
      <c r="AI513" s="74"/>
      <c r="AM513" s="74"/>
      <c r="AQ513" s="74"/>
    </row>
    <row r="514" spans="2:43" s="123" customFormat="1">
      <c r="B514" s="125"/>
      <c r="D514" s="125"/>
      <c r="AA514" s="74"/>
      <c r="AE514" s="124"/>
      <c r="AI514" s="74"/>
      <c r="AM514" s="74"/>
      <c r="AQ514" s="74"/>
    </row>
    <row r="515" spans="2:43" s="123" customFormat="1">
      <c r="B515" s="125"/>
      <c r="D515" s="125"/>
      <c r="AA515" s="74"/>
      <c r="AE515" s="124"/>
      <c r="AI515" s="74"/>
      <c r="AM515" s="74"/>
      <c r="AQ515" s="74"/>
    </row>
    <row r="516" spans="2:43" s="123" customFormat="1">
      <c r="B516" s="125"/>
      <c r="D516" s="125"/>
      <c r="AA516" s="74"/>
      <c r="AE516" s="124"/>
      <c r="AI516" s="74"/>
      <c r="AM516" s="74"/>
      <c r="AQ516" s="74"/>
    </row>
    <row r="517" spans="2:43" s="123" customFormat="1">
      <c r="B517" s="125"/>
      <c r="D517" s="125"/>
      <c r="AA517" s="74"/>
      <c r="AE517" s="124"/>
      <c r="AI517" s="74"/>
      <c r="AM517" s="74"/>
      <c r="AQ517" s="74"/>
    </row>
    <row r="518" spans="2:43" s="123" customFormat="1">
      <c r="B518" s="125"/>
      <c r="D518" s="125"/>
      <c r="AA518" s="74"/>
      <c r="AE518" s="124"/>
      <c r="AI518" s="74"/>
      <c r="AM518" s="74"/>
      <c r="AQ518" s="74"/>
    </row>
    <row r="519" spans="2:43" s="123" customFormat="1">
      <c r="B519" s="125"/>
      <c r="D519" s="125"/>
      <c r="AA519" s="74"/>
      <c r="AE519" s="124"/>
      <c r="AI519" s="74"/>
      <c r="AM519" s="74"/>
      <c r="AQ519" s="74"/>
    </row>
    <row r="520" spans="2:43" s="123" customFormat="1">
      <c r="B520" s="125"/>
      <c r="D520" s="125"/>
      <c r="AA520" s="74"/>
      <c r="AE520" s="124"/>
      <c r="AI520" s="74"/>
      <c r="AM520" s="74"/>
      <c r="AQ520" s="74"/>
    </row>
    <row r="521" spans="2:43" s="123" customFormat="1">
      <c r="B521" s="125"/>
      <c r="D521" s="125"/>
      <c r="AA521" s="74"/>
      <c r="AE521" s="124"/>
      <c r="AI521" s="74"/>
      <c r="AM521" s="74"/>
      <c r="AQ521" s="74"/>
    </row>
    <row r="522" spans="2:43" s="123" customFormat="1">
      <c r="B522" s="125"/>
      <c r="D522" s="125"/>
      <c r="AA522" s="74"/>
      <c r="AE522" s="124"/>
      <c r="AI522" s="74"/>
      <c r="AM522" s="74"/>
      <c r="AQ522" s="74"/>
    </row>
    <row r="523" spans="2:43" s="123" customFormat="1">
      <c r="B523" s="125"/>
      <c r="D523" s="125"/>
      <c r="AA523" s="74"/>
      <c r="AE523" s="124"/>
      <c r="AI523" s="74"/>
      <c r="AM523" s="74"/>
      <c r="AQ523" s="74"/>
    </row>
    <row r="524" spans="2:43" s="123" customFormat="1">
      <c r="B524" s="125"/>
      <c r="D524" s="125"/>
      <c r="AA524" s="74"/>
      <c r="AE524" s="124"/>
      <c r="AI524" s="74"/>
      <c r="AM524" s="74"/>
      <c r="AQ524" s="74"/>
    </row>
    <row r="525" spans="2:43" s="123" customFormat="1">
      <c r="B525" s="125"/>
      <c r="D525" s="125"/>
      <c r="AA525" s="74"/>
      <c r="AE525" s="124"/>
      <c r="AI525" s="74"/>
      <c r="AM525" s="74"/>
      <c r="AQ525" s="74"/>
    </row>
    <row r="526" spans="2:43" s="123" customFormat="1">
      <c r="B526" s="125"/>
      <c r="D526" s="125"/>
      <c r="AA526" s="74"/>
      <c r="AE526" s="124"/>
      <c r="AI526" s="74"/>
      <c r="AM526" s="74"/>
      <c r="AQ526" s="74"/>
    </row>
    <row r="527" spans="2:43" s="123" customFormat="1">
      <c r="B527" s="125"/>
      <c r="D527" s="125"/>
      <c r="AA527" s="74"/>
      <c r="AE527" s="124"/>
      <c r="AI527" s="74"/>
      <c r="AM527" s="74"/>
      <c r="AQ527" s="74"/>
    </row>
    <row r="528" spans="2:43" s="123" customFormat="1">
      <c r="B528" s="125"/>
      <c r="D528" s="125"/>
      <c r="AA528" s="74"/>
      <c r="AE528" s="124"/>
      <c r="AI528" s="74"/>
      <c r="AM528" s="74"/>
      <c r="AQ528" s="74"/>
    </row>
    <row r="529" spans="2:43" s="123" customFormat="1">
      <c r="B529" s="86"/>
      <c r="C529" s="83"/>
      <c r="D529" s="86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60"/>
      <c r="AB529" s="83"/>
      <c r="AC529" s="83"/>
      <c r="AE529" s="124"/>
      <c r="AI529" s="74"/>
      <c r="AM529" s="74"/>
      <c r="AQ529" s="74"/>
    </row>
    <row r="530" spans="2:43" s="123" customFormat="1">
      <c r="B530" s="86"/>
      <c r="C530" s="83"/>
      <c r="D530" s="86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60"/>
      <c r="AB530" s="83"/>
      <c r="AC530" s="83"/>
      <c r="AE530" s="124"/>
      <c r="AI530" s="74"/>
      <c r="AM530" s="74"/>
      <c r="AQ530" s="74"/>
    </row>
    <row r="531" spans="2:43" s="123" customFormat="1">
      <c r="B531" s="86"/>
      <c r="C531" s="83"/>
      <c r="D531" s="86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60"/>
      <c r="AB531" s="83"/>
      <c r="AC531" s="83"/>
      <c r="AE531" s="124"/>
      <c r="AI531" s="74"/>
      <c r="AM531" s="74"/>
      <c r="AQ531" s="74"/>
    </row>
    <row r="532" spans="2:43" s="123" customFormat="1">
      <c r="B532" s="86"/>
      <c r="C532" s="83"/>
      <c r="D532" s="86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60"/>
      <c r="AB532" s="83"/>
      <c r="AC532" s="83"/>
      <c r="AE532" s="124"/>
      <c r="AI532" s="74"/>
      <c r="AM532" s="74"/>
      <c r="AQ532" s="74"/>
    </row>
    <row r="533" spans="2:43" s="123" customFormat="1">
      <c r="B533" s="86"/>
      <c r="C533" s="83"/>
      <c r="D533" s="86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60"/>
      <c r="AB533" s="83"/>
      <c r="AC533" s="83"/>
      <c r="AE533" s="124"/>
      <c r="AI533" s="74"/>
      <c r="AM533" s="74"/>
      <c r="AQ533" s="74"/>
    </row>
    <row r="534" spans="2:43" s="123" customFormat="1">
      <c r="B534" s="86"/>
      <c r="C534" s="83"/>
      <c r="D534" s="86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60"/>
      <c r="AB534" s="83"/>
      <c r="AC534" s="83"/>
      <c r="AE534" s="124"/>
      <c r="AI534" s="74"/>
      <c r="AM534" s="74"/>
      <c r="AQ534" s="74"/>
    </row>
    <row r="535" spans="2:43" s="123" customFormat="1">
      <c r="B535" s="86"/>
      <c r="C535" s="83"/>
      <c r="D535" s="86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60"/>
      <c r="AB535" s="83"/>
      <c r="AC535" s="83"/>
      <c r="AE535" s="124"/>
      <c r="AI535" s="74"/>
      <c r="AM535" s="74"/>
      <c r="AQ535" s="74"/>
    </row>
    <row r="536" spans="2:43" s="123" customFormat="1">
      <c r="B536" s="86"/>
      <c r="C536" s="83"/>
      <c r="D536" s="86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60"/>
      <c r="AB536" s="83"/>
      <c r="AC536" s="83"/>
      <c r="AE536" s="124"/>
      <c r="AI536" s="74"/>
      <c r="AM536" s="74"/>
      <c r="AQ536" s="74"/>
    </row>
    <row r="537" spans="2:43" s="123" customFormat="1">
      <c r="B537" s="86"/>
      <c r="C537" s="83"/>
      <c r="D537" s="86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60"/>
      <c r="AB537" s="83"/>
      <c r="AC537" s="83"/>
      <c r="AE537" s="124"/>
      <c r="AI537" s="74"/>
      <c r="AM537" s="74"/>
      <c r="AQ537" s="74"/>
    </row>
  </sheetData>
  <mergeCells count="18">
    <mergeCell ref="B8:AC8"/>
    <mergeCell ref="B1:AC2"/>
    <mergeCell ref="B3:AC4"/>
    <mergeCell ref="B5:AC5"/>
    <mergeCell ref="B6:AC6"/>
    <mergeCell ref="B7:AC7"/>
    <mergeCell ref="B355:E355"/>
    <mergeCell ref="B9:AC10"/>
    <mergeCell ref="Z14:AC14"/>
    <mergeCell ref="AD14:AG14"/>
    <mergeCell ref="AH14:AK14"/>
    <mergeCell ref="AT14:AW14"/>
    <mergeCell ref="AX14:BA14"/>
    <mergeCell ref="BB14:BE14"/>
    <mergeCell ref="BF14:BG14"/>
    <mergeCell ref="B354:I354"/>
    <mergeCell ref="AL14:AO14"/>
    <mergeCell ref="AP14:AS14"/>
  </mergeCells>
  <conditionalFormatting sqref="D16:D37">
    <cfRule type="duplicateValues" dxfId="35" priority="1"/>
  </conditionalFormatting>
  <conditionalFormatting sqref="D16:D37">
    <cfRule type="duplicateValues" dxfId="34" priority="2"/>
  </conditionalFormatting>
  <conditionalFormatting sqref="D38:D42">
    <cfRule type="duplicateValues" dxfId="33" priority="3"/>
  </conditionalFormatting>
  <conditionalFormatting sqref="D353">
    <cfRule type="duplicateValues" dxfId="32" priority="4"/>
  </conditionalFormatting>
  <conditionalFormatting sqref="D43:D352">
    <cfRule type="duplicateValues" dxfId="31" priority="5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75"/>
  <sheetViews>
    <sheetView topLeftCell="A9" workbookViewId="0">
      <selection activeCell="B9" sqref="B9:AC10"/>
    </sheetView>
  </sheetViews>
  <sheetFormatPr baseColWidth="10" defaultRowHeight="11.25"/>
  <cols>
    <col min="1" max="1" width="5" style="123" customWidth="1"/>
    <col min="2" max="2" width="10.7109375" style="86" customWidth="1"/>
    <col min="3" max="3" width="10.85546875" style="83" customWidth="1"/>
    <col min="4" max="4" width="11.42578125" style="86" customWidth="1"/>
    <col min="5" max="5" width="37" style="83" customWidth="1"/>
    <col min="6" max="6" width="13.140625" style="83" customWidth="1"/>
    <col min="7" max="7" width="11.28515625" style="83" customWidth="1"/>
    <col min="8" max="8" width="18.85546875" style="83" customWidth="1"/>
    <col min="9" max="10" width="9.7109375" style="83" customWidth="1"/>
    <col min="11" max="25" width="12" style="83" customWidth="1"/>
    <col min="26" max="26" width="13.42578125" style="83" customWidth="1"/>
    <col min="27" max="27" width="10.140625" style="60" customWidth="1"/>
    <col min="28" max="30" width="10.140625" style="83" customWidth="1"/>
    <col min="31" max="31" width="10.140625" style="84" customWidth="1"/>
    <col min="32" max="34" width="10.140625" style="83" customWidth="1"/>
    <col min="35" max="35" width="10.140625" style="60" customWidth="1"/>
    <col min="36" max="38" width="10.140625" style="83" customWidth="1"/>
    <col min="39" max="39" width="10.140625" style="60" customWidth="1"/>
    <col min="40" max="42" width="10.140625" style="83" customWidth="1"/>
    <col min="43" max="43" width="10.140625" style="60" customWidth="1"/>
    <col min="44" max="45" width="10.140625" style="83" customWidth="1"/>
    <col min="46" max="47" width="11.42578125" style="83"/>
    <col min="48" max="95" width="11.42578125" style="123"/>
    <col min="96" max="16384" width="11.42578125" style="83"/>
  </cols>
  <sheetData>
    <row r="1" spans="1:95" hidden="1">
      <c r="B1" s="738"/>
      <c r="C1" s="738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739"/>
      <c r="AB1" s="739"/>
      <c r="AC1" s="739"/>
      <c r="AD1" s="80"/>
      <c r="AE1" s="81"/>
      <c r="AF1" s="80"/>
      <c r="AG1" s="80"/>
      <c r="AH1" s="80"/>
      <c r="AI1" s="82"/>
      <c r="AJ1" s="80"/>
      <c r="AK1" s="80"/>
      <c r="AL1" s="80"/>
      <c r="AM1" s="82"/>
      <c r="AN1" s="80"/>
      <c r="AO1" s="80"/>
      <c r="AP1" s="80"/>
      <c r="AQ1" s="82"/>
      <c r="AR1" s="80"/>
      <c r="AS1" s="80"/>
    </row>
    <row r="2" spans="1:95" hidden="1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80"/>
      <c r="AE2" s="81"/>
      <c r="AF2" s="80"/>
      <c r="AG2" s="80"/>
      <c r="AH2" s="80"/>
      <c r="AI2" s="82"/>
      <c r="AJ2" s="80"/>
      <c r="AK2" s="80"/>
      <c r="AL2" s="80"/>
      <c r="AM2" s="82"/>
      <c r="AN2" s="80"/>
      <c r="AO2" s="80"/>
      <c r="AP2" s="80"/>
      <c r="AQ2" s="82"/>
      <c r="AR2" s="80"/>
      <c r="AS2" s="80"/>
    </row>
    <row r="3" spans="1:95" ht="12.75" hidden="1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1"/>
      <c r="AE3" s="2"/>
      <c r="AF3" s="1"/>
      <c r="AG3" s="1"/>
      <c r="AH3" s="1"/>
      <c r="AI3" s="3"/>
      <c r="AJ3" s="1"/>
      <c r="AK3" s="1"/>
      <c r="AL3" s="1"/>
      <c r="AM3" s="3"/>
      <c r="AN3" s="1"/>
      <c r="AO3" s="1"/>
      <c r="AP3" s="1"/>
      <c r="AQ3" s="3"/>
      <c r="AR3" s="1"/>
      <c r="AS3" s="1"/>
    </row>
    <row r="4" spans="1:95" ht="21.75" hidden="1" customHeight="1"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1"/>
      <c r="AE4" s="2"/>
      <c r="AF4" s="1"/>
      <c r="AG4" s="1"/>
      <c r="AH4" s="1"/>
      <c r="AI4" s="3"/>
      <c r="AJ4" s="1"/>
      <c r="AK4" s="1"/>
      <c r="AL4" s="1"/>
      <c r="AM4" s="3"/>
      <c r="AN4" s="1"/>
      <c r="AO4" s="1"/>
      <c r="AP4" s="1"/>
      <c r="AQ4" s="3"/>
      <c r="AR4" s="1"/>
      <c r="AS4" s="1"/>
    </row>
    <row r="5" spans="1:95" ht="11.25" hidden="1" customHeight="1"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1"/>
      <c r="AE5" s="2"/>
      <c r="AF5" s="1"/>
      <c r="AG5" s="1"/>
      <c r="AH5" s="1"/>
      <c r="AI5" s="3"/>
      <c r="AJ5" s="1"/>
      <c r="AK5" s="1"/>
      <c r="AL5" s="1"/>
      <c r="AM5" s="3"/>
      <c r="AN5" s="1"/>
      <c r="AO5" s="1"/>
      <c r="AP5" s="1"/>
      <c r="AQ5" s="3"/>
      <c r="AR5" s="1"/>
      <c r="AS5" s="1"/>
    </row>
    <row r="6" spans="1:95" ht="15" hidden="1" customHeight="1"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1"/>
      <c r="AE6" s="2"/>
      <c r="AF6" s="1"/>
      <c r="AG6" s="1"/>
      <c r="AH6" s="1"/>
      <c r="AI6" s="3"/>
      <c r="AJ6" s="1"/>
      <c r="AK6" s="1"/>
      <c r="AL6" s="1"/>
      <c r="AM6" s="3"/>
      <c r="AN6" s="1"/>
      <c r="AO6" s="1"/>
      <c r="AP6" s="1"/>
      <c r="AQ6" s="3"/>
      <c r="AR6" s="1"/>
      <c r="AS6" s="1"/>
    </row>
    <row r="7" spans="1:95" ht="21" hidden="1" customHeight="1"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1"/>
      <c r="AE7" s="2"/>
      <c r="AF7" s="1"/>
      <c r="AG7" s="1"/>
      <c r="AH7" s="1"/>
      <c r="AI7" s="3"/>
      <c r="AJ7" s="1"/>
      <c r="AK7" s="1"/>
      <c r="AL7" s="1"/>
      <c r="AM7" s="3"/>
      <c r="AN7" s="1"/>
      <c r="AO7" s="1"/>
      <c r="AP7" s="1"/>
      <c r="AQ7" s="3"/>
      <c r="AR7" s="1"/>
      <c r="AS7" s="1"/>
    </row>
    <row r="8" spans="1:95" ht="16.5" hidden="1" customHeight="1"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1"/>
      <c r="AE8" s="2"/>
      <c r="AF8" s="1"/>
      <c r="AG8" s="1"/>
      <c r="AH8" s="1"/>
      <c r="AI8" s="3"/>
      <c r="AJ8" s="1"/>
      <c r="AK8" s="1"/>
      <c r="AL8" s="1"/>
      <c r="AM8" s="3"/>
      <c r="AN8" s="1"/>
      <c r="AO8" s="1"/>
      <c r="AP8" s="1"/>
      <c r="AQ8" s="3"/>
      <c r="AR8" s="1"/>
      <c r="AS8" s="1"/>
    </row>
    <row r="9" spans="1:95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61"/>
      <c r="AE9" s="62"/>
      <c r="AF9" s="61"/>
      <c r="AG9" s="61"/>
      <c r="AH9" s="61"/>
      <c r="AI9" s="63"/>
      <c r="AJ9" s="61"/>
      <c r="AK9" s="61"/>
      <c r="AL9" s="61"/>
      <c r="AM9" s="63"/>
      <c r="AN9" s="61"/>
      <c r="AO9" s="61"/>
      <c r="AP9" s="61"/>
      <c r="AQ9" s="63"/>
      <c r="AR9" s="61"/>
      <c r="AS9" s="61"/>
      <c r="AT9" s="123"/>
      <c r="AU9" s="123"/>
    </row>
    <row r="10" spans="1:95" ht="11.25" customHeight="1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D10" s="123"/>
      <c r="AE10" s="124"/>
      <c r="AF10" s="123"/>
      <c r="AG10" s="123"/>
      <c r="AH10" s="123"/>
      <c r="AI10" s="74"/>
      <c r="AJ10" s="123"/>
      <c r="AK10" s="123"/>
      <c r="AL10" s="123"/>
      <c r="AM10" s="74"/>
      <c r="AN10" s="123"/>
      <c r="AO10" s="123"/>
      <c r="AP10" s="123"/>
      <c r="AQ10" s="74"/>
      <c r="AR10" s="123"/>
      <c r="AS10" s="123"/>
      <c r="AT10" s="123"/>
      <c r="AU10" s="123"/>
    </row>
    <row r="11" spans="1:95" ht="18.75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123"/>
      <c r="AE11" s="124"/>
      <c r="AF11" s="123"/>
      <c r="AG11" s="123"/>
      <c r="AH11" s="123"/>
      <c r="AI11" s="74"/>
      <c r="AJ11" s="123"/>
      <c r="AK11" s="123"/>
      <c r="AL11" s="123"/>
      <c r="AM11" s="74"/>
      <c r="AN11" s="123"/>
      <c r="AO11" s="123"/>
      <c r="AP11" s="123"/>
      <c r="AQ11" s="74"/>
      <c r="AR11" s="123"/>
      <c r="AS11" s="123"/>
      <c r="AT11" s="123"/>
      <c r="AU11" s="123"/>
    </row>
    <row r="12" spans="1:95" ht="35.25" customHeight="1">
      <c r="B12" s="4" t="s">
        <v>1</v>
      </c>
      <c r="C12" s="4" t="s">
        <v>2</v>
      </c>
      <c r="D12" s="5" t="s">
        <v>3</v>
      </c>
      <c r="E12" s="6" t="s">
        <v>4</v>
      </c>
      <c r="F12" s="7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123"/>
      <c r="AE12" s="124"/>
      <c r="AF12" s="123"/>
      <c r="AG12" s="123"/>
      <c r="AH12" s="123"/>
      <c r="AI12" s="74"/>
      <c r="AJ12" s="123"/>
      <c r="AK12" s="123"/>
      <c r="AL12" s="123"/>
      <c r="AM12" s="74"/>
      <c r="AN12" s="123"/>
      <c r="AO12" s="123"/>
      <c r="AP12" s="123"/>
      <c r="AQ12" s="74"/>
      <c r="AR12" s="123"/>
      <c r="AS12" s="123"/>
      <c r="AT12" s="123"/>
      <c r="AU12" s="123"/>
    </row>
    <row r="13" spans="1:95" ht="25.5" customHeight="1">
      <c r="B13" s="8">
        <v>31320762</v>
      </c>
      <c r="C13" s="8">
        <v>30534527</v>
      </c>
      <c r="D13" s="8">
        <v>30534527</v>
      </c>
      <c r="E13" s="8">
        <f>+Y156</f>
        <v>20660289</v>
      </c>
      <c r="F13" s="67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123"/>
      <c r="AE13" s="124"/>
      <c r="AF13" s="123"/>
      <c r="AG13" s="123"/>
      <c r="AH13" s="123"/>
      <c r="AI13" s="74"/>
      <c r="AJ13" s="123"/>
      <c r="AK13" s="123"/>
      <c r="AL13" s="123"/>
      <c r="AM13" s="74"/>
      <c r="AN13" s="123"/>
      <c r="AO13" s="123"/>
      <c r="AP13" s="123"/>
      <c r="AQ13" s="74"/>
      <c r="AR13" s="123"/>
      <c r="AS13" s="123"/>
      <c r="AT13" s="123"/>
      <c r="AU13" s="123"/>
    </row>
    <row r="14" spans="1:95" ht="15" customHeight="1">
      <c r="C14" s="9"/>
      <c r="D14" s="10"/>
      <c r="E14" s="9"/>
      <c r="F14" s="68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742" t="s">
        <v>5</v>
      </c>
      <c r="AA14" s="743"/>
      <c r="AB14" s="743"/>
      <c r="AC14" s="744"/>
      <c r="AD14" s="745" t="s">
        <v>6</v>
      </c>
      <c r="AE14" s="746"/>
      <c r="AF14" s="746"/>
      <c r="AG14" s="747"/>
      <c r="AH14" s="745" t="s">
        <v>6</v>
      </c>
      <c r="AI14" s="746"/>
      <c r="AJ14" s="746"/>
      <c r="AK14" s="747"/>
      <c r="AL14" s="745" t="s">
        <v>6</v>
      </c>
      <c r="AM14" s="746"/>
      <c r="AN14" s="746"/>
      <c r="AO14" s="747"/>
      <c r="AP14" s="745" t="s">
        <v>6</v>
      </c>
      <c r="AQ14" s="746"/>
      <c r="AR14" s="746"/>
      <c r="AS14" s="747"/>
      <c r="AT14" s="729" t="s">
        <v>7</v>
      </c>
      <c r="AU14" s="729"/>
    </row>
    <row r="15" spans="1:95" s="96" customFormat="1" ht="55.5" customHeight="1">
      <c r="A15" s="39"/>
      <c r="B15" s="11" t="s">
        <v>8</v>
      </c>
      <c r="C15" s="11" t="s">
        <v>9</v>
      </c>
      <c r="D15" s="11" t="s">
        <v>10</v>
      </c>
      <c r="E15" s="12" t="s">
        <v>11</v>
      </c>
      <c r="F15" s="12" t="s">
        <v>12</v>
      </c>
      <c r="G15" s="12" t="s">
        <v>13</v>
      </c>
      <c r="H15" s="12" t="s">
        <v>14</v>
      </c>
      <c r="I15" s="12" t="s">
        <v>15</v>
      </c>
      <c r="J15" s="12" t="s">
        <v>16</v>
      </c>
      <c r="K15" s="12" t="s">
        <v>17</v>
      </c>
      <c r="L15" s="12" t="s">
        <v>18</v>
      </c>
      <c r="M15" s="13" t="s">
        <v>19</v>
      </c>
      <c r="N15" s="13" t="s">
        <v>20</v>
      </c>
      <c r="O15" s="13" t="s">
        <v>21</v>
      </c>
      <c r="P15" s="13" t="s">
        <v>22</v>
      </c>
      <c r="Q15" s="13" t="s">
        <v>23</v>
      </c>
      <c r="R15" s="14" t="s">
        <v>24</v>
      </c>
      <c r="S15" s="14" t="s">
        <v>25</v>
      </c>
      <c r="T15" s="14" t="s">
        <v>26</v>
      </c>
      <c r="U15" s="14" t="s">
        <v>27</v>
      </c>
      <c r="V15" s="14" t="s">
        <v>28</v>
      </c>
      <c r="W15" s="14" t="s">
        <v>29</v>
      </c>
      <c r="X15" s="14" t="s">
        <v>30</v>
      </c>
      <c r="Y15" s="15" t="s">
        <v>31</v>
      </c>
      <c r="Z15" s="16" t="s">
        <v>32</v>
      </c>
      <c r="AA15" s="17" t="s">
        <v>33</v>
      </c>
      <c r="AB15" s="16" t="s">
        <v>34</v>
      </c>
      <c r="AC15" s="16" t="s">
        <v>35</v>
      </c>
      <c r="AD15" s="18" t="s">
        <v>36</v>
      </c>
      <c r="AE15" s="19" t="s">
        <v>33</v>
      </c>
      <c r="AF15" s="18" t="s">
        <v>34</v>
      </c>
      <c r="AG15" s="18" t="s">
        <v>35</v>
      </c>
      <c r="AH15" s="18" t="s">
        <v>36</v>
      </c>
      <c r="AI15" s="19" t="s">
        <v>33</v>
      </c>
      <c r="AJ15" s="18" t="s">
        <v>34</v>
      </c>
      <c r="AK15" s="18" t="s">
        <v>35</v>
      </c>
      <c r="AL15" s="18" t="s">
        <v>36</v>
      </c>
      <c r="AM15" s="19" t="s">
        <v>33</v>
      </c>
      <c r="AN15" s="18" t="s">
        <v>34</v>
      </c>
      <c r="AO15" s="18" t="s">
        <v>35</v>
      </c>
      <c r="AP15" s="18" t="s">
        <v>36</v>
      </c>
      <c r="AQ15" s="19" t="s">
        <v>33</v>
      </c>
      <c r="AR15" s="18" t="s">
        <v>34</v>
      </c>
      <c r="AS15" s="18" t="s">
        <v>35</v>
      </c>
      <c r="AT15" s="20" t="s">
        <v>37</v>
      </c>
      <c r="AU15" s="20" t="s">
        <v>38</v>
      </c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</row>
    <row r="16" spans="1:95" s="96" customFormat="1" ht="22.5">
      <c r="A16" s="39"/>
      <c r="B16" s="51">
        <v>1</v>
      </c>
      <c r="C16" s="51" t="s">
        <v>65</v>
      </c>
      <c r="D16" s="640">
        <v>30356277</v>
      </c>
      <c r="E16" s="52" t="s">
        <v>3082</v>
      </c>
      <c r="F16" s="52" t="s">
        <v>317</v>
      </c>
      <c r="G16" s="56" t="s">
        <v>3083</v>
      </c>
      <c r="H16" s="56" t="s">
        <v>342</v>
      </c>
      <c r="I16" s="53" t="s">
        <v>44</v>
      </c>
      <c r="J16" s="53">
        <v>362452</v>
      </c>
      <c r="K16" s="54">
        <v>85658</v>
      </c>
      <c r="L16" s="54">
        <v>88407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104974</v>
      </c>
      <c r="T16" s="54">
        <v>0</v>
      </c>
      <c r="U16" s="54">
        <v>0</v>
      </c>
      <c r="V16" s="54"/>
      <c r="W16" s="54"/>
      <c r="X16" s="54"/>
      <c r="Y16" s="54">
        <f>SUM(M16:X16)</f>
        <v>104974</v>
      </c>
      <c r="Z16" s="199">
        <v>100000</v>
      </c>
      <c r="AA16" s="116">
        <v>1</v>
      </c>
      <c r="AB16" s="200">
        <v>44204</v>
      </c>
      <c r="AC16" s="118">
        <v>44223</v>
      </c>
      <c r="AD16" s="199">
        <v>45000</v>
      </c>
      <c r="AE16" s="117">
        <v>61</v>
      </c>
      <c r="AF16" s="200">
        <v>44351</v>
      </c>
      <c r="AG16" s="118">
        <v>44372</v>
      </c>
      <c r="AH16" s="199">
        <v>-40000</v>
      </c>
      <c r="AI16" s="116">
        <v>76</v>
      </c>
      <c r="AJ16" s="136">
        <v>44378</v>
      </c>
      <c r="AK16" s="118">
        <v>44398</v>
      </c>
      <c r="AL16" s="199"/>
      <c r="AM16" s="116"/>
      <c r="AN16" s="115"/>
      <c r="AO16" s="118"/>
      <c r="AP16" s="199"/>
      <c r="AQ16" s="116"/>
      <c r="AR16" s="115"/>
      <c r="AS16" s="118"/>
      <c r="AT16" s="137">
        <f t="shared" ref="AT16:AT155" si="0">+Z16+AD16+AH16+AL16+AP16</f>
        <v>105000</v>
      </c>
      <c r="AU16" s="43">
        <f>+AT16-Y16</f>
        <v>26</v>
      </c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</row>
    <row r="17" spans="1:95" s="96" customFormat="1" ht="33.75">
      <c r="A17" s="39"/>
      <c r="B17" s="51">
        <v>2</v>
      </c>
      <c r="C17" s="51" t="s">
        <v>65</v>
      </c>
      <c r="D17" s="640">
        <v>30484461</v>
      </c>
      <c r="E17" s="52" t="s">
        <v>3084</v>
      </c>
      <c r="F17" s="52" t="s">
        <v>317</v>
      </c>
      <c r="G17" s="56" t="s">
        <v>3083</v>
      </c>
      <c r="H17" s="56" t="s">
        <v>342</v>
      </c>
      <c r="I17" s="53" t="s">
        <v>44</v>
      </c>
      <c r="J17" s="53">
        <v>445122</v>
      </c>
      <c r="K17" s="54">
        <v>1615</v>
      </c>
      <c r="L17" s="54">
        <v>0</v>
      </c>
      <c r="M17" s="54">
        <v>0</v>
      </c>
      <c r="N17" s="54">
        <v>8583</v>
      </c>
      <c r="O17" s="54">
        <v>0</v>
      </c>
      <c r="P17" s="54">
        <v>0</v>
      </c>
      <c r="Q17" s="54">
        <v>0</v>
      </c>
      <c r="R17" s="54">
        <v>0</v>
      </c>
      <c r="S17" s="54">
        <v>71417</v>
      </c>
      <c r="T17" s="54">
        <v>50695</v>
      </c>
      <c r="U17" s="54">
        <v>0</v>
      </c>
      <c r="V17" s="54"/>
      <c r="W17" s="54"/>
      <c r="X17" s="54"/>
      <c r="Y17" s="54">
        <f t="shared" ref="Y17:Y154" si="1">SUM(M17:X17)</f>
        <v>130695</v>
      </c>
      <c r="Z17" s="199">
        <v>80000</v>
      </c>
      <c r="AA17" s="116">
        <v>1</v>
      </c>
      <c r="AB17" s="200">
        <v>44204</v>
      </c>
      <c r="AC17" s="118">
        <v>44223</v>
      </c>
      <c r="AD17" s="199">
        <v>50695</v>
      </c>
      <c r="AE17" s="117">
        <v>76</v>
      </c>
      <c r="AF17" s="136">
        <v>44378</v>
      </c>
      <c r="AG17" s="118">
        <v>44398</v>
      </c>
      <c r="AH17" s="199"/>
      <c r="AI17" s="116"/>
      <c r="AJ17" s="115"/>
      <c r="AK17" s="118"/>
      <c r="AL17" s="199"/>
      <c r="AM17" s="116"/>
      <c r="AN17" s="115"/>
      <c r="AO17" s="118"/>
      <c r="AP17" s="199"/>
      <c r="AQ17" s="116"/>
      <c r="AR17" s="115"/>
      <c r="AS17" s="118"/>
      <c r="AT17" s="137">
        <f t="shared" si="0"/>
        <v>130695</v>
      </c>
      <c r="AU17" s="43">
        <f t="shared" ref="AU17:AU80" si="2">+AT17-Y17</f>
        <v>0</v>
      </c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</row>
    <row r="18" spans="1:95" s="96" customFormat="1" ht="22.5">
      <c r="A18" s="39"/>
      <c r="B18" s="51">
        <v>3</v>
      </c>
      <c r="C18" s="51" t="s">
        <v>39</v>
      </c>
      <c r="D18" s="641">
        <v>30120610</v>
      </c>
      <c r="E18" s="52" t="s">
        <v>3085</v>
      </c>
      <c r="F18" s="52" t="s">
        <v>317</v>
      </c>
      <c r="G18" s="56" t="s">
        <v>3083</v>
      </c>
      <c r="H18" s="56" t="s">
        <v>3086</v>
      </c>
      <c r="I18" s="53" t="s">
        <v>44</v>
      </c>
      <c r="J18" s="53">
        <v>100011</v>
      </c>
      <c r="K18" s="54">
        <v>0</v>
      </c>
      <c r="L18" s="54">
        <v>10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/>
      <c r="W18" s="54"/>
      <c r="X18" s="54"/>
      <c r="Y18" s="54">
        <f t="shared" si="1"/>
        <v>0</v>
      </c>
      <c r="Z18" s="199">
        <v>350000</v>
      </c>
      <c r="AA18" s="202">
        <v>1</v>
      </c>
      <c r="AB18" s="200">
        <v>44204</v>
      </c>
      <c r="AC18" s="201">
        <v>44223</v>
      </c>
      <c r="AD18" s="642">
        <v>-349998</v>
      </c>
      <c r="AE18" s="203">
        <v>47</v>
      </c>
      <c r="AF18" s="200">
        <v>44319</v>
      </c>
      <c r="AG18" s="201">
        <v>44340</v>
      </c>
      <c r="AH18" s="642"/>
      <c r="AI18" s="202"/>
      <c r="AJ18" s="200"/>
      <c r="AK18" s="201"/>
      <c r="AL18" s="642"/>
      <c r="AM18" s="202"/>
      <c r="AN18" s="200"/>
      <c r="AO18" s="118"/>
      <c r="AP18" s="642"/>
      <c r="AQ18" s="116"/>
      <c r="AR18" s="136"/>
      <c r="AS18" s="118"/>
      <c r="AT18" s="137">
        <f t="shared" si="0"/>
        <v>2</v>
      </c>
      <c r="AU18" s="43">
        <f t="shared" si="2"/>
        <v>2</v>
      </c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</row>
    <row r="19" spans="1:95" s="96" customFormat="1" ht="22.5">
      <c r="A19" s="39"/>
      <c r="B19" s="51">
        <v>4</v>
      </c>
      <c r="C19" s="51" t="s">
        <v>39</v>
      </c>
      <c r="D19" s="640">
        <v>30095452</v>
      </c>
      <c r="E19" s="52" t="s">
        <v>3087</v>
      </c>
      <c r="F19" s="52" t="s">
        <v>317</v>
      </c>
      <c r="G19" s="56" t="s">
        <v>3083</v>
      </c>
      <c r="H19" s="56" t="s">
        <v>3088</v>
      </c>
      <c r="I19" s="53" t="s">
        <v>44</v>
      </c>
      <c r="J19" s="53">
        <v>1854787</v>
      </c>
      <c r="K19" s="54">
        <v>1326</v>
      </c>
      <c r="L19" s="54">
        <v>1017720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/>
      <c r="W19" s="54"/>
      <c r="X19" s="54"/>
      <c r="Y19" s="54">
        <f>SUM(M19:X19)</f>
        <v>0</v>
      </c>
      <c r="Z19" s="199">
        <v>322800</v>
      </c>
      <c r="AA19" s="202">
        <v>1</v>
      </c>
      <c r="AB19" s="200">
        <v>44204</v>
      </c>
      <c r="AC19" s="201">
        <v>44223</v>
      </c>
      <c r="AD19" s="199">
        <v>-313799</v>
      </c>
      <c r="AE19" s="203">
        <v>70</v>
      </c>
      <c r="AF19" s="200">
        <v>44369</v>
      </c>
      <c r="AG19" s="201">
        <v>44391</v>
      </c>
      <c r="AH19" s="199">
        <v>-3000</v>
      </c>
      <c r="AI19" s="202">
        <v>95</v>
      </c>
      <c r="AJ19" s="200">
        <v>44413</v>
      </c>
      <c r="AK19" s="201">
        <v>44432</v>
      </c>
      <c r="AL19" s="199"/>
      <c r="AM19" s="202"/>
      <c r="AN19" s="200"/>
      <c r="AO19" s="118"/>
      <c r="AP19" s="199"/>
      <c r="AQ19" s="116"/>
      <c r="AR19" s="136"/>
      <c r="AS19" s="118"/>
      <c r="AT19" s="137">
        <f t="shared" si="0"/>
        <v>6001</v>
      </c>
      <c r="AU19" s="43">
        <f t="shared" si="2"/>
        <v>6001</v>
      </c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</row>
    <row r="20" spans="1:95" s="96" customFormat="1" ht="20.25" customHeight="1">
      <c r="A20" s="39"/>
      <c r="B20" s="51">
        <v>5</v>
      </c>
      <c r="C20" s="51" t="s">
        <v>39</v>
      </c>
      <c r="D20" s="640">
        <v>30032850</v>
      </c>
      <c r="E20" s="52" t="s">
        <v>3089</v>
      </c>
      <c r="F20" s="52" t="s">
        <v>317</v>
      </c>
      <c r="G20" s="56" t="s">
        <v>3083</v>
      </c>
      <c r="H20" s="56" t="s">
        <v>3088</v>
      </c>
      <c r="I20" s="53" t="s">
        <v>44</v>
      </c>
      <c r="J20" s="53" t="s">
        <v>3090</v>
      </c>
      <c r="K20" s="54">
        <v>3557140</v>
      </c>
      <c r="L20" s="54">
        <v>207051</v>
      </c>
      <c r="M20" s="54">
        <v>121478</v>
      </c>
      <c r="N20" s="54">
        <v>149941</v>
      </c>
      <c r="O20" s="54">
        <v>223042</v>
      </c>
      <c r="P20" s="54">
        <v>264693</v>
      </c>
      <c r="Q20" s="54">
        <v>195328</v>
      </c>
      <c r="R20" s="54">
        <v>326397</v>
      </c>
      <c r="S20" s="54">
        <v>308414</v>
      </c>
      <c r="T20" s="54">
        <v>343340</v>
      </c>
      <c r="U20" s="54">
        <v>340752</v>
      </c>
      <c r="V20" s="54"/>
      <c r="W20" s="54"/>
      <c r="X20" s="54"/>
      <c r="Y20" s="54">
        <f t="shared" si="1"/>
        <v>2273385</v>
      </c>
      <c r="Z20" s="199">
        <v>1248967</v>
      </c>
      <c r="AA20" s="202">
        <v>1</v>
      </c>
      <c r="AB20" s="200">
        <v>44204</v>
      </c>
      <c r="AC20" s="201">
        <v>44223</v>
      </c>
      <c r="AD20" s="199">
        <v>700000</v>
      </c>
      <c r="AE20" s="203">
        <v>61</v>
      </c>
      <c r="AF20" s="200">
        <v>44351</v>
      </c>
      <c r="AG20" s="201">
        <v>44372</v>
      </c>
      <c r="AH20" s="199">
        <v>500000</v>
      </c>
      <c r="AI20" s="202">
        <v>105</v>
      </c>
      <c r="AJ20" s="200">
        <v>44438</v>
      </c>
      <c r="AK20" s="201">
        <v>44459</v>
      </c>
      <c r="AL20" s="199"/>
      <c r="AM20" s="202"/>
      <c r="AN20" s="200"/>
      <c r="AO20" s="118"/>
      <c r="AP20" s="199"/>
      <c r="AQ20" s="116"/>
      <c r="AR20" s="136"/>
      <c r="AS20" s="118"/>
      <c r="AT20" s="137">
        <f t="shared" si="0"/>
        <v>2448967</v>
      </c>
      <c r="AU20" s="43">
        <f t="shared" si="2"/>
        <v>175582</v>
      </c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</row>
    <row r="21" spans="1:95" s="96" customFormat="1" ht="22.5">
      <c r="A21" s="39"/>
      <c r="B21" s="51">
        <v>6</v>
      </c>
      <c r="C21" s="51" t="s">
        <v>39</v>
      </c>
      <c r="D21" s="640">
        <v>30291922</v>
      </c>
      <c r="E21" s="52" t="s">
        <v>3091</v>
      </c>
      <c r="F21" s="52" t="s">
        <v>317</v>
      </c>
      <c r="G21" s="56" t="s">
        <v>3083</v>
      </c>
      <c r="H21" s="56" t="s">
        <v>3092</v>
      </c>
      <c r="I21" s="53" t="s">
        <v>44</v>
      </c>
      <c r="J21" s="53">
        <v>1170939</v>
      </c>
      <c r="K21" s="54">
        <v>21968</v>
      </c>
      <c r="L21" s="54">
        <v>1002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/>
      <c r="W21" s="54"/>
      <c r="X21" s="54"/>
      <c r="Y21" s="54">
        <f t="shared" si="1"/>
        <v>0</v>
      </c>
      <c r="Z21" s="199">
        <v>415000</v>
      </c>
      <c r="AA21" s="116">
        <v>1</v>
      </c>
      <c r="AB21" s="200">
        <v>44204</v>
      </c>
      <c r="AC21" s="118">
        <v>44223</v>
      </c>
      <c r="AD21" s="199">
        <v>-300000</v>
      </c>
      <c r="AE21" s="117">
        <v>70</v>
      </c>
      <c r="AF21" s="136">
        <v>44369</v>
      </c>
      <c r="AG21" s="118">
        <v>44391</v>
      </c>
      <c r="AH21" s="199">
        <v>-109999</v>
      </c>
      <c r="AI21" s="116">
        <v>95</v>
      </c>
      <c r="AJ21" s="136">
        <v>44413</v>
      </c>
      <c r="AK21" s="118">
        <v>44432</v>
      </c>
      <c r="AL21" s="199"/>
      <c r="AM21" s="116"/>
      <c r="AN21" s="136"/>
      <c r="AO21" s="118"/>
      <c r="AP21" s="199"/>
      <c r="AQ21" s="116"/>
      <c r="AR21" s="136"/>
      <c r="AS21" s="118"/>
      <c r="AT21" s="137">
        <f t="shared" si="0"/>
        <v>5001</v>
      </c>
      <c r="AU21" s="43">
        <f t="shared" si="2"/>
        <v>5001</v>
      </c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</row>
    <row r="22" spans="1:95" s="96" customFormat="1" ht="29.25" customHeight="1">
      <c r="A22" s="39"/>
      <c r="B22" s="51">
        <v>7</v>
      </c>
      <c r="C22" s="51" t="s">
        <v>39</v>
      </c>
      <c r="D22" s="640">
        <v>30488013</v>
      </c>
      <c r="E22" s="52" t="s">
        <v>3093</v>
      </c>
      <c r="F22" s="52" t="s">
        <v>317</v>
      </c>
      <c r="G22" s="56" t="s">
        <v>3083</v>
      </c>
      <c r="H22" s="56" t="s">
        <v>3094</v>
      </c>
      <c r="I22" s="53" t="s">
        <v>44</v>
      </c>
      <c r="J22" s="53">
        <v>855702</v>
      </c>
      <c r="K22" s="54">
        <v>220221</v>
      </c>
      <c r="L22" s="54">
        <v>209</v>
      </c>
      <c r="M22" s="54">
        <v>62228</v>
      </c>
      <c r="N22" s="54">
        <v>46886</v>
      </c>
      <c r="O22" s="54">
        <v>31874</v>
      </c>
      <c r="P22" s="54">
        <v>89460</v>
      </c>
      <c r="Q22" s="54">
        <v>1944</v>
      </c>
      <c r="R22" s="54">
        <v>83109</v>
      </c>
      <c r="S22" s="54">
        <v>69896</v>
      </c>
      <c r="T22" s="54">
        <v>90228</v>
      </c>
      <c r="U22" s="54">
        <v>21855</v>
      </c>
      <c r="V22" s="54"/>
      <c r="W22" s="54"/>
      <c r="X22" s="54"/>
      <c r="Y22" s="54">
        <f t="shared" si="1"/>
        <v>497480</v>
      </c>
      <c r="Z22" s="199">
        <v>357780</v>
      </c>
      <c r="AA22" s="116">
        <v>1</v>
      </c>
      <c r="AB22" s="200">
        <v>44204</v>
      </c>
      <c r="AC22" s="118">
        <v>44223</v>
      </c>
      <c r="AD22" s="199">
        <v>5835</v>
      </c>
      <c r="AE22" s="117">
        <v>47</v>
      </c>
      <c r="AF22" s="136">
        <v>44319</v>
      </c>
      <c r="AG22" s="118">
        <v>44340</v>
      </c>
      <c r="AH22" s="199">
        <v>83888</v>
      </c>
      <c r="AI22" s="116">
        <v>61</v>
      </c>
      <c r="AJ22" s="136">
        <v>44351</v>
      </c>
      <c r="AK22" s="118">
        <v>44372</v>
      </c>
      <c r="AL22" s="199">
        <v>86315</v>
      </c>
      <c r="AM22" s="116">
        <v>95</v>
      </c>
      <c r="AN22" s="136">
        <v>44413</v>
      </c>
      <c r="AO22" s="118">
        <v>44432</v>
      </c>
      <c r="AP22" s="199"/>
      <c r="AQ22" s="116"/>
      <c r="AR22" s="115"/>
      <c r="AS22" s="118"/>
      <c r="AT22" s="137">
        <f t="shared" si="0"/>
        <v>533818</v>
      </c>
      <c r="AU22" s="43">
        <f t="shared" si="2"/>
        <v>36338</v>
      </c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</row>
    <row r="23" spans="1:95" s="96" customFormat="1" ht="22.5">
      <c r="A23" s="39"/>
      <c r="B23" s="51">
        <v>8</v>
      </c>
      <c r="C23" s="51" t="s">
        <v>39</v>
      </c>
      <c r="D23" s="640">
        <v>30046819</v>
      </c>
      <c r="E23" s="52" t="s">
        <v>3095</v>
      </c>
      <c r="F23" s="52" t="s">
        <v>317</v>
      </c>
      <c r="G23" s="56" t="s">
        <v>3083</v>
      </c>
      <c r="H23" s="55" t="s">
        <v>3094</v>
      </c>
      <c r="I23" s="53" t="s">
        <v>44</v>
      </c>
      <c r="J23" s="53" t="s">
        <v>3096</v>
      </c>
      <c r="K23" s="54">
        <v>69437</v>
      </c>
      <c r="L23" s="54">
        <v>64142</v>
      </c>
      <c r="M23" s="54">
        <v>0</v>
      </c>
      <c r="N23" s="54">
        <v>0</v>
      </c>
      <c r="O23" s="54">
        <v>0</v>
      </c>
      <c r="P23" s="54">
        <v>0</v>
      </c>
      <c r="Q23" s="54">
        <v>57332</v>
      </c>
      <c r="R23" s="54">
        <v>35573</v>
      </c>
      <c r="S23" s="54">
        <v>45768</v>
      </c>
      <c r="T23" s="54">
        <v>85815</v>
      </c>
      <c r="U23" s="54">
        <v>109628</v>
      </c>
      <c r="V23" s="54"/>
      <c r="W23" s="54"/>
      <c r="X23" s="54"/>
      <c r="Y23" s="54">
        <f t="shared" si="1"/>
        <v>334116</v>
      </c>
      <c r="Z23" s="199">
        <v>200000</v>
      </c>
      <c r="AA23" s="116">
        <v>1</v>
      </c>
      <c r="AB23" s="200">
        <v>44204</v>
      </c>
      <c r="AC23" s="201">
        <v>44223</v>
      </c>
      <c r="AD23" s="199">
        <v>30000</v>
      </c>
      <c r="AE23" s="117">
        <v>47</v>
      </c>
      <c r="AF23" s="136">
        <v>44319</v>
      </c>
      <c r="AG23" s="118">
        <v>44340</v>
      </c>
      <c r="AH23" s="199">
        <v>253701</v>
      </c>
      <c r="AI23" s="116">
        <v>95</v>
      </c>
      <c r="AJ23" s="136">
        <v>44413</v>
      </c>
      <c r="AK23" s="118">
        <v>44432</v>
      </c>
      <c r="AL23" s="199"/>
      <c r="AM23" s="116"/>
      <c r="AN23" s="115"/>
      <c r="AO23" s="118"/>
      <c r="AP23" s="199"/>
      <c r="AQ23" s="116"/>
      <c r="AR23" s="115"/>
      <c r="AS23" s="118"/>
      <c r="AT23" s="137">
        <f t="shared" si="0"/>
        <v>483701</v>
      </c>
      <c r="AU23" s="43">
        <f t="shared" si="2"/>
        <v>149585</v>
      </c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</row>
    <row r="24" spans="1:95" s="96" customFormat="1" ht="22.5">
      <c r="A24" s="39"/>
      <c r="B24" s="51">
        <v>9</v>
      </c>
      <c r="C24" s="51" t="s">
        <v>39</v>
      </c>
      <c r="D24" s="640">
        <v>30071487</v>
      </c>
      <c r="E24" s="52" t="s">
        <v>3097</v>
      </c>
      <c r="F24" s="52" t="s">
        <v>317</v>
      </c>
      <c r="G24" s="56" t="s">
        <v>3083</v>
      </c>
      <c r="H24" s="55" t="s">
        <v>3094</v>
      </c>
      <c r="I24" s="53" t="s">
        <v>44</v>
      </c>
      <c r="J24" s="53">
        <v>2823523</v>
      </c>
      <c r="K24" s="54">
        <v>2625601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/>
      <c r="W24" s="54"/>
      <c r="X24" s="54"/>
      <c r="Y24" s="54">
        <f t="shared" si="1"/>
        <v>0</v>
      </c>
      <c r="Z24" s="199">
        <v>59340</v>
      </c>
      <c r="AA24" s="116">
        <v>1</v>
      </c>
      <c r="AB24" s="200">
        <v>44204</v>
      </c>
      <c r="AC24" s="201">
        <v>44223</v>
      </c>
      <c r="AD24" s="199"/>
      <c r="AE24" s="117"/>
      <c r="AF24" s="115"/>
      <c r="AG24" s="118"/>
      <c r="AH24" s="199"/>
      <c r="AI24" s="116"/>
      <c r="AJ24" s="115"/>
      <c r="AK24" s="118"/>
      <c r="AL24" s="199"/>
      <c r="AM24" s="116"/>
      <c r="AN24" s="115"/>
      <c r="AO24" s="118"/>
      <c r="AP24" s="199"/>
      <c r="AQ24" s="116"/>
      <c r="AR24" s="115"/>
      <c r="AS24" s="118"/>
      <c r="AT24" s="137">
        <f t="shared" si="0"/>
        <v>59340</v>
      </c>
      <c r="AU24" s="43">
        <f t="shared" si="2"/>
        <v>59340</v>
      </c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</row>
    <row r="25" spans="1:95" s="96" customFormat="1" ht="22.5">
      <c r="A25" s="39"/>
      <c r="B25" s="51">
        <v>10</v>
      </c>
      <c r="C25" s="51" t="s">
        <v>39</v>
      </c>
      <c r="D25" s="640">
        <v>30349391</v>
      </c>
      <c r="E25" s="52" t="s">
        <v>3098</v>
      </c>
      <c r="F25" s="52" t="s">
        <v>317</v>
      </c>
      <c r="G25" s="56" t="s">
        <v>3083</v>
      </c>
      <c r="H25" s="55" t="s">
        <v>3099</v>
      </c>
      <c r="I25" s="53" t="s">
        <v>44</v>
      </c>
      <c r="J25" s="53">
        <v>1110921</v>
      </c>
      <c r="K25" s="54">
        <v>133742</v>
      </c>
      <c r="L25" s="54">
        <v>0</v>
      </c>
      <c r="M25" s="54">
        <v>7472</v>
      </c>
      <c r="N25" s="54">
        <v>99482</v>
      </c>
      <c r="O25" s="54">
        <v>85715</v>
      </c>
      <c r="P25" s="54">
        <v>50032</v>
      </c>
      <c r="Q25" s="54">
        <v>61256</v>
      </c>
      <c r="R25" s="54">
        <v>3100</v>
      </c>
      <c r="S25" s="54">
        <v>130860</v>
      </c>
      <c r="T25" s="54">
        <v>33359</v>
      </c>
      <c r="U25" s="54">
        <v>142093</v>
      </c>
      <c r="V25" s="54"/>
      <c r="W25" s="54"/>
      <c r="X25" s="54"/>
      <c r="Y25" s="54">
        <f t="shared" si="1"/>
        <v>613369</v>
      </c>
      <c r="Z25" s="199">
        <v>531000</v>
      </c>
      <c r="AA25" s="116">
        <v>1</v>
      </c>
      <c r="AB25" s="200">
        <v>44204</v>
      </c>
      <c r="AC25" s="201">
        <v>44223</v>
      </c>
      <c r="AD25" s="199">
        <v>250000</v>
      </c>
      <c r="AE25" s="117">
        <v>95</v>
      </c>
      <c r="AF25" s="136">
        <v>44413</v>
      </c>
      <c r="AG25" s="118">
        <v>44432</v>
      </c>
      <c r="AH25" s="199"/>
      <c r="AI25" s="116"/>
      <c r="AJ25" s="115"/>
      <c r="AK25" s="118"/>
      <c r="AL25" s="199"/>
      <c r="AM25" s="116"/>
      <c r="AN25" s="115"/>
      <c r="AO25" s="118"/>
      <c r="AP25" s="199"/>
      <c r="AQ25" s="116"/>
      <c r="AR25" s="115"/>
      <c r="AS25" s="118"/>
      <c r="AT25" s="137">
        <f t="shared" si="0"/>
        <v>781000</v>
      </c>
      <c r="AU25" s="43">
        <f t="shared" si="2"/>
        <v>167631</v>
      </c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</row>
    <row r="26" spans="1:95" s="96" customFormat="1" ht="22.5">
      <c r="A26" s="39"/>
      <c r="B26" s="51">
        <v>11</v>
      </c>
      <c r="C26" s="51" t="s">
        <v>39</v>
      </c>
      <c r="D26" s="42">
        <v>30128849</v>
      </c>
      <c r="E26" s="52" t="s">
        <v>3100</v>
      </c>
      <c r="F26" s="52" t="s">
        <v>47</v>
      </c>
      <c r="G26" s="56" t="s">
        <v>3083</v>
      </c>
      <c r="H26" s="55" t="s">
        <v>3099</v>
      </c>
      <c r="I26" s="53" t="s">
        <v>44</v>
      </c>
      <c r="J26" s="53">
        <v>78946</v>
      </c>
      <c r="K26" s="54">
        <v>1800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19250</v>
      </c>
      <c r="U26" s="54">
        <v>0</v>
      </c>
      <c r="V26" s="54"/>
      <c r="W26" s="54"/>
      <c r="X26" s="54"/>
      <c r="Y26" s="54">
        <f t="shared" si="1"/>
        <v>19250</v>
      </c>
      <c r="Z26" s="199">
        <v>50000</v>
      </c>
      <c r="AA26" s="116">
        <v>1</v>
      </c>
      <c r="AB26" s="136">
        <v>44204</v>
      </c>
      <c r="AC26" s="118">
        <v>44223</v>
      </c>
      <c r="AD26" s="199"/>
      <c r="AE26" s="117"/>
      <c r="AF26" s="115"/>
      <c r="AG26" s="118"/>
      <c r="AH26" s="199"/>
      <c r="AI26" s="116"/>
      <c r="AJ26" s="115"/>
      <c r="AK26" s="118"/>
      <c r="AL26" s="199"/>
      <c r="AM26" s="116"/>
      <c r="AN26" s="115"/>
      <c r="AO26" s="118"/>
      <c r="AP26" s="199"/>
      <c r="AQ26" s="116"/>
      <c r="AR26" s="115"/>
      <c r="AS26" s="118"/>
      <c r="AT26" s="137">
        <f t="shared" si="0"/>
        <v>50000</v>
      </c>
      <c r="AU26" s="43">
        <f t="shared" si="2"/>
        <v>30750</v>
      </c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</row>
    <row r="27" spans="1:95" s="96" customFormat="1" ht="22.5">
      <c r="A27" s="39"/>
      <c r="B27" s="51">
        <v>12</v>
      </c>
      <c r="C27" s="51" t="s">
        <v>39</v>
      </c>
      <c r="D27" s="42">
        <v>30354092</v>
      </c>
      <c r="E27" s="52" t="s">
        <v>3101</v>
      </c>
      <c r="F27" s="52" t="s">
        <v>317</v>
      </c>
      <c r="G27" s="56" t="s">
        <v>3083</v>
      </c>
      <c r="H27" s="55" t="s">
        <v>3102</v>
      </c>
      <c r="I27" s="53" t="s">
        <v>44</v>
      </c>
      <c r="J27" s="53">
        <v>347038</v>
      </c>
      <c r="K27" s="54">
        <v>282389</v>
      </c>
      <c r="L27" s="54">
        <v>2</v>
      </c>
      <c r="M27" s="54">
        <v>0</v>
      </c>
      <c r="N27" s="54">
        <v>8794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/>
      <c r="W27" s="54"/>
      <c r="X27" s="54"/>
      <c r="Y27" s="54">
        <f t="shared" si="1"/>
        <v>8794</v>
      </c>
      <c r="Z27" s="199">
        <v>38000</v>
      </c>
      <c r="AA27" s="116">
        <v>1</v>
      </c>
      <c r="AB27" s="136">
        <v>44204</v>
      </c>
      <c r="AC27" s="118">
        <v>44223</v>
      </c>
      <c r="AD27" s="199"/>
      <c r="AE27" s="117"/>
      <c r="AF27" s="115"/>
      <c r="AG27" s="118"/>
      <c r="AH27" s="199"/>
      <c r="AI27" s="116"/>
      <c r="AJ27" s="115"/>
      <c r="AK27" s="118"/>
      <c r="AL27" s="199"/>
      <c r="AM27" s="116"/>
      <c r="AN27" s="115"/>
      <c r="AO27" s="118"/>
      <c r="AP27" s="199"/>
      <c r="AQ27" s="116"/>
      <c r="AR27" s="115"/>
      <c r="AS27" s="118"/>
      <c r="AT27" s="137">
        <f t="shared" si="0"/>
        <v>38000</v>
      </c>
      <c r="AU27" s="43">
        <f t="shared" si="2"/>
        <v>29206</v>
      </c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</row>
    <row r="28" spans="1:95" s="96" customFormat="1" ht="22.5">
      <c r="A28" s="39"/>
      <c r="B28" s="51">
        <v>13</v>
      </c>
      <c r="C28" s="51" t="s">
        <v>39</v>
      </c>
      <c r="D28" s="42">
        <v>30117172</v>
      </c>
      <c r="E28" s="52" t="s">
        <v>3103</v>
      </c>
      <c r="F28" s="52" t="s">
        <v>47</v>
      </c>
      <c r="G28" s="56" t="s">
        <v>3083</v>
      </c>
      <c r="H28" s="55" t="s">
        <v>3086</v>
      </c>
      <c r="I28" s="53" t="s">
        <v>44</v>
      </c>
      <c r="J28" s="53">
        <v>402571</v>
      </c>
      <c r="K28" s="54">
        <v>214038</v>
      </c>
      <c r="L28" s="54">
        <v>0</v>
      </c>
      <c r="M28" s="54">
        <v>0</v>
      </c>
      <c r="N28" s="54"/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14400</v>
      </c>
      <c r="U28" s="54">
        <v>0</v>
      </c>
      <c r="V28" s="54"/>
      <c r="W28" s="54"/>
      <c r="X28" s="54"/>
      <c r="Y28" s="54">
        <f t="shared" si="1"/>
        <v>14400</v>
      </c>
      <c r="Z28" s="199">
        <v>14400</v>
      </c>
      <c r="AA28" s="116">
        <v>2</v>
      </c>
      <c r="AB28" s="136">
        <v>44204</v>
      </c>
      <c r="AC28" s="118">
        <v>44223</v>
      </c>
      <c r="AD28" s="199"/>
      <c r="AE28" s="117"/>
      <c r="AF28" s="115"/>
      <c r="AG28" s="118"/>
      <c r="AH28" s="199"/>
      <c r="AI28" s="116"/>
      <c r="AJ28" s="115"/>
      <c r="AK28" s="118"/>
      <c r="AL28" s="199"/>
      <c r="AM28" s="116"/>
      <c r="AN28" s="115"/>
      <c r="AO28" s="118"/>
      <c r="AP28" s="199"/>
      <c r="AQ28" s="116"/>
      <c r="AR28" s="115"/>
      <c r="AS28" s="118"/>
      <c r="AT28" s="137">
        <f t="shared" si="0"/>
        <v>14400</v>
      </c>
      <c r="AU28" s="43">
        <f t="shared" si="2"/>
        <v>0</v>
      </c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</row>
    <row r="29" spans="1:95" s="96" customFormat="1" ht="22.5">
      <c r="A29" s="39"/>
      <c r="B29" s="51">
        <v>14</v>
      </c>
      <c r="C29" s="51" t="s">
        <v>39</v>
      </c>
      <c r="D29" s="42">
        <v>30349394</v>
      </c>
      <c r="E29" s="52" t="s">
        <v>3104</v>
      </c>
      <c r="F29" s="52" t="s">
        <v>317</v>
      </c>
      <c r="G29" s="56" t="s">
        <v>3083</v>
      </c>
      <c r="H29" s="55" t="s">
        <v>3105</v>
      </c>
      <c r="I29" s="53" t="s">
        <v>44</v>
      </c>
      <c r="J29" s="53" t="s">
        <v>3106</v>
      </c>
      <c r="K29" s="54">
        <v>196606</v>
      </c>
      <c r="L29" s="54">
        <v>0</v>
      </c>
      <c r="M29" s="54">
        <v>84713</v>
      </c>
      <c r="N29" s="54">
        <v>67901</v>
      </c>
      <c r="O29" s="54">
        <v>116001</v>
      </c>
      <c r="P29" s="54">
        <v>72044</v>
      </c>
      <c r="Q29" s="54">
        <v>56651</v>
      </c>
      <c r="R29" s="54">
        <v>23129</v>
      </c>
      <c r="S29" s="54">
        <v>49321</v>
      </c>
      <c r="T29" s="54">
        <v>47961</v>
      </c>
      <c r="U29" s="54">
        <v>72699</v>
      </c>
      <c r="V29" s="54"/>
      <c r="W29" s="54"/>
      <c r="X29" s="54"/>
      <c r="Y29" s="54">
        <f t="shared" si="1"/>
        <v>590420</v>
      </c>
      <c r="Z29" s="199">
        <v>411090</v>
      </c>
      <c r="AA29" s="116">
        <v>2</v>
      </c>
      <c r="AB29" s="136">
        <v>44204</v>
      </c>
      <c r="AC29" s="118">
        <v>44223</v>
      </c>
      <c r="AD29" s="199">
        <v>158935</v>
      </c>
      <c r="AE29" s="117">
        <v>47</v>
      </c>
      <c r="AF29" s="136">
        <v>44319</v>
      </c>
      <c r="AG29" s="118">
        <v>44340</v>
      </c>
      <c r="AH29" s="199">
        <v>60798</v>
      </c>
      <c r="AI29" s="116">
        <v>95</v>
      </c>
      <c r="AJ29" s="136">
        <v>44413</v>
      </c>
      <c r="AK29" s="118">
        <v>44432</v>
      </c>
      <c r="AL29" s="199"/>
      <c r="AM29" s="116"/>
      <c r="AN29" s="115"/>
      <c r="AO29" s="118"/>
      <c r="AP29" s="199"/>
      <c r="AQ29" s="116"/>
      <c r="AR29" s="115"/>
      <c r="AS29" s="118"/>
      <c r="AT29" s="137">
        <f t="shared" si="0"/>
        <v>630823</v>
      </c>
      <c r="AU29" s="43">
        <f t="shared" si="2"/>
        <v>40403</v>
      </c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</row>
    <row r="30" spans="1:95" s="96" customFormat="1" ht="22.5">
      <c r="A30" s="39"/>
      <c r="B30" s="51">
        <v>15</v>
      </c>
      <c r="C30" s="51" t="s">
        <v>39</v>
      </c>
      <c r="D30" s="42">
        <v>30128930</v>
      </c>
      <c r="E30" s="52" t="s">
        <v>3107</v>
      </c>
      <c r="F30" s="52" t="s">
        <v>317</v>
      </c>
      <c r="G30" s="56" t="s">
        <v>3083</v>
      </c>
      <c r="H30" s="55" t="s">
        <v>3094</v>
      </c>
      <c r="I30" s="53" t="s">
        <v>44</v>
      </c>
      <c r="J30" s="53">
        <v>334066</v>
      </c>
      <c r="K30" s="54">
        <v>26585</v>
      </c>
      <c r="L30" s="54">
        <v>0</v>
      </c>
      <c r="M30" s="54">
        <v>91762</v>
      </c>
      <c r="N30" s="54">
        <v>71624</v>
      </c>
      <c r="O30" s="54">
        <v>51913</v>
      </c>
      <c r="P30" s="54">
        <v>19952</v>
      </c>
      <c r="Q30" s="54">
        <v>21392</v>
      </c>
      <c r="R30" s="54">
        <v>22491</v>
      </c>
      <c r="S30" s="54">
        <v>703</v>
      </c>
      <c r="T30" s="54">
        <v>0</v>
      </c>
      <c r="U30" s="54">
        <v>0</v>
      </c>
      <c r="V30" s="54"/>
      <c r="W30" s="54"/>
      <c r="X30" s="54"/>
      <c r="Y30" s="54">
        <f t="shared" si="1"/>
        <v>279837</v>
      </c>
      <c r="Z30" s="199">
        <v>111154</v>
      </c>
      <c r="AA30" s="116">
        <v>2</v>
      </c>
      <c r="AB30" s="136">
        <v>44204</v>
      </c>
      <c r="AC30" s="118">
        <v>44223</v>
      </c>
      <c r="AD30" s="199">
        <v>148038</v>
      </c>
      <c r="AE30" s="117">
        <v>12</v>
      </c>
      <c r="AF30" s="136">
        <v>44228</v>
      </c>
      <c r="AG30" s="118">
        <v>44246</v>
      </c>
      <c r="AH30" s="199">
        <v>26367</v>
      </c>
      <c r="AI30" s="116">
        <v>47</v>
      </c>
      <c r="AJ30" s="136">
        <v>44319</v>
      </c>
      <c r="AK30" s="118">
        <v>44340</v>
      </c>
      <c r="AL30" s="199"/>
      <c r="AM30" s="116"/>
      <c r="AN30" s="115"/>
      <c r="AO30" s="118"/>
      <c r="AP30" s="199"/>
      <c r="AQ30" s="116"/>
      <c r="AR30" s="115"/>
      <c r="AS30" s="118"/>
      <c r="AT30" s="137">
        <f t="shared" si="0"/>
        <v>285559</v>
      </c>
      <c r="AU30" s="43">
        <f t="shared" si="2"/>
        <v>5722</v>
      </c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</row>
    <row r="31" spans="1:95" s="96" customFormat="1" ht="22.5">
      <c r="A31" s="39"/>
      <c r="B31" s="51">
        <v>16</v>
      </c>
      <c r="C31" s="51" t="s">
        <v>39</v>
      </c>
      <c r="D31" s="42">
        <v>30454524</v>
      </c>
      <c r="E31" s="52" t="s">
        <v>3108</v>
      </c>
      <c r="F31" s="52" t="s">
        <v>317</v>
      </c>
      <c r="G31" s="56" t="s">
        <v>3083</v>
      </c>
      <c r="H31" s="55" t="s">
        <v>3109</v>
      </c>
      <c r="I31" s="53" t="s">
        <v>44</v>
      </c>
      <c r="J31" s="53">
        <v>1534040</v>
      </c>
      <c r="K31" s="54">
        <v>109117</v>
      </c>
      <c r="L31" s="54">
        <v>0</v>
      </c>
      <c r="M31" s="54">
        <v>53190</v>
      </c>
      <c r="N31" s="54">
        <v>59315</v>
      </c>
      <c r="O31" s="54">
        <v>63212</v>
      </c>
      <c r="P31" s="54">
        <v>159772</v>
      </c>
      <c r="Q31" s="54">
        <v>2166</v>
      </c>
      <c r="R31" s="54">
        <v>122309</v>
      </c>
      <c r="S31" s="54">
        <v>82213</v>
      </c>
      <c r="T31" s="54">
        <v>79043</v>
      </c>
      <c r="U31" s="54">
        <v>2166</v>
      </c>
      <c r="V31" s="54"/>
      <c r="W31" s="54"/>
      <c r="X31" s="54"/>
      <c r="Y31" s="54">
        <f t="shared" si="1"/>
        <v>623386</v>
      </c>
      <c r="Z31" s="199">
        <v>520002</v>
      </c>
      <c r="AA31" s="116">
        <v>2</v>
      </c>
      <c r="AB31" s="136">
        <v>44204</v>
      </c>
      <c r="AC31" s="118">
        <v>44223</v>
      </c>
      <c r="AD31" s="199">
        <v>300000</v>
      </c>
      <c r="AE31" s="117">
        <v>47</v>
      </c>
      <c r="AF31" s="136">
        <v>44319</v>
      </c>
      <c r="AG31" s="118">
        <v>44340</v>
      </c>
      <c r="AH31" s="199"/>
      <c r="AI31" s="116"/>
      <c r="AJ31" s="115"/>
      <c r="AK31" s="118"/>
      <c r="AL31" s="199"/>
      <c r="AM31" s="116"/>
      <c r="AN31" s="115"/>
      <c r="AO31" s="118"/>
      <c r="AP31" s="199"/>
      <c r="AQ31" s="116"/>
      <c r="AR31" s="115"/>
      <c r="AS31" s="118"/>
      <c r="AT31" s="137">
        <f t="shared" si="0"/>
        <v>820002</v>
      </c>
      <c r="AU31" s="43">
        <f t="shared" si="2"/>
        <v>196616</v>
      </c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</row>
    <row r="32" spans="1:95" s="96" customFormat="1" ht="22.5">
      <c r="A32" s="39"/>
      <c r="B32" s="51">
        <v>17</v>
      </c>
      <c r="C32" s="51" t="s">
        <v>39</v>
      </c>
      <c r="D32" s="42">
        <v>30429074</v>
      </c>
      <c r="E32" s="52" t="s">
        <v>3110</v>
      </c>
      <c r="F32" s="52" t="s">
        <v>47</v>
      </c>
      <c r="G32" s="56" t="s">
        <v>3083</v>
      </c>
      <c r="H32" s="55" t="s">
        <v>3109</v>
      </c>
      <c r="I32" s="53" t="s">
        <v>44</v>
      </c>
      <c r="J32" s="53">
        <v>221510</v>
      </c>
      <c r="K32" s="54">
        <v>114289</v>
      </c>
      <c r="L32" s="54">
        <v>56125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/>
      <c r="W32" s="54"/>
      <c r="X32" s="54"/>
      <c r="Y32" s="54">
        <f t="shared" si="1"/>
        <v>0</v>
      </c>
      <c r="Z32" s="199">
        <v>40000</v>
      </c>
      <c r="AA32" s="116">
        <v>2</v>
      </c>
      <c r="AB32" s="136">
        <v>44204</v>
      </c>
      <c r="AC32" s="118">
        <v>44223</v>
      </c>
      <c r="AD32" s="199"/>
      <c r="AE32" s="117"/>
      <c r="AF32" s="115"/>
      <c r="AG32" s="118"/>
      <c r="AH32" s="199"/>
      <c r="AI32" s="116"/>
      <c r="AJ32" s="115"/>
      <c r="AK32" s="118"/>
      <c r="AL32" s="199"/>
      <c r="AM32" s="116"/>
      <c r="AN32" s="115"/>
      <c r="AO32" s="118"/>
      <c r="AP32" s="199"/>
      <c r="AQ32" s="116"/>
      <c r="AR32" s="115"/>
      <c r="AS32" s="118"/>
      <c r="AT32" s="137">
        <f t="shared" si="0"/>
        <v>40000</v>
      </c>
      <c r="AU32" s="43">
        <f t="shared" si="2"/>
        <v>40000</v>
      </c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</row>
    <row r="33" spans="1:95" s="96" customFormat="1" ht="22.5">
      <c r="A33" s="39"/>
      <c r="B33" s="51">
        <v>18</v>
      </c>
      <c r="C33" s="51" t="s">
        <v>39</v>
      </c>
      <c r="D33" s="42">
        <v>30117055</v>
      </c>
      <c r="E33" s="52" t="s">
        <v>3111</v>
      </c>
      <c r="F33" s="52" t="s">
        <v>317</v>
      </c>
      <c r="G33" s="56" t="s">
        <v>3083</v>
      </c>
      <c r="H33" s="55" t="s">
        <v>3109</v>
      </c>
      <c r="I33" s="53" t="s">
        <v>44</v>
      </c>
      <c r="J33" s="53" t="s">
        <v>3112</v>
      </c>
      <c r="K33" s="54">
        <v>2329</v>
      </c>
      <c r="L33" s="54">
        <v>75895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3421</v>
      </c>
      <c r="U33" s="54">
        <v>0</v>
      </c>
      <c r="V33" s="54"/>
      <c r="W33" s="54"/>
      <c r="X33" s="54"/>
      <c r="Y33" s="54">
        <f t="shared" si="1"/>
        <v>3421</v>
      </c>
      <c r="Z33" s="199">
        <v>145260</v>
      </c>
      <c r="AA33" s="116">
        <v>2</v>
      </c>
      <c r="AB33" s="136">
        <v>44204</v>
      </c>
      <c r="AC33" s="118">
        <v>44223</v>
      </c>
      <c r="AD33" s="199">
        <v>-109998</v>
      </c>
      <c r="AE33" s="117">
        <v>105</v>
      </c>
      <c r="AF33" s="136">
        <v>44438</v>
      </c>
      <c r="AG33" s="118">
        <v>44459</v>
      </c>
      <c r="AH33" s="199"/>
      <c r="AI33" s="116"/>
      <c r="AJ33" s="115"/>
      <c r="AK33" s="118"/>
      <c r="AL33" s="199"/>
      <c r="AM33" s="116"/>
      <c r="AN33" s="115"/>
      <c r="AO33" s="118"/>
      <c r="AP33" s="199"/>
      <c r="AQ33" s="116"/>
      <c r="AR33" s="115"/>
      <c r="AS33" s="118"/>
      <c r="AT33" s="137">
        <f t="shared" si="0"/>
        <v>35262</v>
      </c>
      <c r="AU33" s="43">
        <f t="shared" si="2"/>
        <v>31841</v>
      </c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</row>
    <row r="34" spans="1:95" s="96" customFormat="1" ht="22.5">
      <c r="A34" s="39"/>
      <c r="B34" s="51">
        <v>19</v>
      </c>
      <c r="C34" s="51" t="s">
        <v>39</v>
      </c>
      <c r="D34" s="42">
        <v>30311575</v>
      </c>
      <c r="E34" s="52" t="s">
        <v>3113</v>
      </c>
      <c r="F34" s="52" t="s">
        <v>317</v>
      </c>
      <c r="G34" s="56" t="s">
        <v>3083</v>
      </c>
      <c r="H34" s="55" t="s">
        <v>3092</v>
      </c>
      <c r="I34" s="53" t="s">
        <v>44</v>
      </c>
      <c r="J34" s="53">
        <v>675699</v>
      </c>
      <c r="K34" s="54">
        <v>552829</v>
      </c>
      <c r="L34" s="54">
        <v>0</v>
      </c>
      <c r="M34" s="54">
        <v>0</v>
      </c>
      <c r="N34" s="54">
        <v>0</v>
      </c>
      <c r="O34" s="54">
        <v>33439</v>
      </c>
      <c r="P34" s="54">
        <v>0</v>
      </c>
      <c r="Q34" s="54">
        <v>6087</v>
      </c>
      <c r="R34" s="54">
        <v>23999</v>
      </c>
      <c r="S34" s="54">
        <v>0</v>
      </c>
      <c r="T34" s="54">
        <v>0</v>
      </c>
      <c r="U34" s="54">
        <v>0</v>
      </c>
      <c r="V34" s="54"/>
      <c r="W34" s="54"/>
      <c r="X34" s="54"/>
      <c r="Y34" s="54">
        <f t="shared" si="1"/>
        <v>63525</v>
      </c>
      <c r="Z34" s="199">
        <v>93158</v>
      </c>
      <c r="AA34" s="116">
        <v>2</v>
      </c>
      <c r="AB34" s="136">
        <v>44204</v>
      </c>
      <c r="AC34" s="118">
        <v>44223</v>
      </c>
      <c r="AD34" s="199">
        <v>14680</v>
      </c>
      <c r="AE34" s="117">
        <v>26</v>
      </c>
      <c r="AF34" s="136">
        <v>44264</v>
      </c>
      <c r="AG34" s="118">
        <v>44279</v>
      </c>
      <c r="AH34" s="199"/>
      <c r="AI34" s="116"/>
      <c r="AJ34" s="115"/>
      <c r="AK34" s="118"/>
      <c r="AL34" s="199"/>
      <c r="AM34" s="116"/>
      <c r="AN34" s="115"/>
      <c r="AO34" s="118"/>
      <c r="AP34" s="199"/>
      <c r="AQ34" s="116"/>
      <c r="AR34" s="115"/>
      <c r="AS34" s="118"/>
      <c r="AT34" s="137">
        <f t="shared" si="0"/>
        <v>107838</v>
      </c>
      <c r="AU34" s="43">
        <f t="shared" si="2"/>
        <v>44313</v>
      </c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</row>
    <row r="35" spans="1:95" s="96" customFormat="1" ht="22.5">
      <c r="A35" s="39"/>
      <c r="B35" s="51">
        <v>20</v>
      </c>
      <c r="C35" s="51" t="s">
        <v>39</v>
      </c>
      <c r="D35" s="42">
        <v>30107986</v>
      </c>
      <c r="E35" s="52" t="s">
        <v>3114</v>
      </c>
      <c r="F35" s="52" t="s">
        <v>317</v>
      </c>
      <c r="G35" s="56" t="s">
        <v>3083</v>
      </c>
      <c r="H35" s="55" t="s">
        <v>3109</v>
      </c>
      <c r="I35" s="53" t="s">
        <v>44</v>
      </c>
      <c r="J35" s="53">
        <v>734559</v>
      </c>
      <c r="K35" s="54">
        <v>2098</v>
      </c>
      <c r="L35" s="54">
        <v>107421</v>
      </c>
      <c r="M35" s="54">
        <v>62943</v>
      </c>
      <c r="N35" s="54">
        <v>31070</v>
      </c>
      <c r="O35" s="54">
        <v>106941</v>
      </c>
      <c r="P35" s="54">
        <v>89134</v>
      </c>
      <c r="Q35" s="54">
        <v>87103</v>
      </c>
      <c r="R35" s="54">
        <v>42373</v>
      </c>
      <c r="S35" s="54">
        <v>76673</v>
      </c>
      <c r="T35" s="54">
        <v>68107</v>
      </c>
      <c r="U35" s="54">
        <v>31439</v>
      </c>
      <c r="V35" s="54"/>
      <c r="W35" s="54"/>
      <c r="X35" s="54"/>
      <c r="Y35" s="54">
        <f t="shared" si="1"/>
        <v>595783</v>
      </c>
      <c r="Z35" s="199">
        <v>320000</v>
      </c>
      <c r="AA35" s="116">
        <v>2</v>
      </c>
      <c r="AB35" s="136">
        <v>44204</v>
      </c>
      <c r="AC35" s="118">
        <v>44223</v>
      </c>
      <c r="AD35" s="199">
        <v>200000</v>
      </c>
      <c r="AE35" s="117">
        <v>47</v>
      </c>
      <c r="AF35" s="136">
        <v>44319</v>
      </c>
      <c r="AG35" s="118">
        <v>44340</v>
      </c>
      <c r="AH35" s="199">
        <v>94005</v>
      </c>
      <c r="AI35" s="116">
        <v>95</v>
      </c>
      <c r="AJ35" s="136">
        <v>44413</v>
      </c>
      <c r="AK35" s="118">
        <v>44432</v>
      </c>
      <c r="AL35" s="199"/>
      <c r="AM35" s="116"/>
      <c r="AN35" s="115"/>
      <c r="AO35" s="118"/>
      <c r="AP35" s="199"/>
      <c r="AQ35" s="116"/>
      <c r="AR35" s="115"/>
      <c r="AS35" s="118"/>
      <c r="AT35" s="137">
        <f t="shared" si="0"/>
        <v>614005</v>
      </c>
      <c r="AU35" s="43">
        <f t="shared" si="2"/>
        <v>18222</v>
      </c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</row>
    <row r="36" spans="1:95" s="96" customFormat="1" ht="22.5">
      <c r="A36" s="39"/>
      <c r="B36" s="51">
        <v>21</v>
      </c>
      <c r="C36" s="51" t="s">
        <v>39</v>
      </c>
      <c r="D36" s="42">
        <v>30095528</v>
      </c>
      <c r="E36" s="52" t="s">
        <v>3115</v>
      </c>
      <c r="F36" s="52" t="s">
        <v>317</v>
      </c>
      <c r="G36" s="56" t="s">
        <v>3083</v>
      </c>
      <c r="H36" s="55" t="s">
        <v>3094</v>
      </c>
      <c r="I36" s="53" t="s">
        <v>44</v>
      </c>
      <c r="J36" s="53">
        <v>640628</v>
      </c>
      <c r="K36" s="54">
        <v>0</v>
      </c>
      <c r="L36" s="54">
        <v>36905</v>
      </c>
      <c r="M36" s="54">
        <v>0</v>
      </c>
      <c r="N36" s="54">
        <v>0</v>
      </c>
      <c r="O36" s="54">
        <v>0</v>
      </c>
      <c r="P36" s="54">
        <v>0</v>
      </c>
      <c r="Q36" s="54">
        <v>23765</v>
      </c>
      <c r="R36" s="54">
        <v>2000</v>
      </c>
      <c r="S36" s="54">
        <v>2000</v>
      </c>
      <c r="T36" s="54">
        <v>0</v>
      </c>
      <c r="U36" s="54">
        <v>0</v>
      </c>
      <c r="V36" s="54"/>
      <c r="W36" s="54"/>
      <c r="X36" s="54"/>
      <c r="Y36" s="54">
        <f t="shared" si="1"/>
        <v>27765</v>
      </c>
      <c r="Z36" s="199">
        <v>316259</v>
      </c>
      <c r="AA36" s="116">
        <v>2</v>
      </c>
      <c r="AB36" s="136">
        <v>44204</v>
      </c>
      <c r="AC36" s="118">
        <v>44223</v>
      </c>
      <c r="AD36" s="199">
        <v>-200000</v>
      </c>
      <c r="AE36" s="117">
        <v>95</v>
      </c>
      <c r="AF36" s="136">
        <v>44413</v>
      </c>
      <c r="AG36" s="118">
        <v>44432</v>
      </c>
      <c r="AH36" s="199"/>
      <c r="AI36" s="116"/>
      <c r="AJ36" s="115"/>
      <c r="AK36" s="118"/>
      <c r="AL36" s="199"/>
      <c r="AM36" s="116"/>
      <c r="AN36" s="115"/>
      <c r="AO36" s="118"/>
      <c r="AP36" s="199"/>
      <c r="AQ36" s="116"/>
      <c r="AR36" s="115"/>
      <c r="AS36" s="118"/>
      <c r="AT36" s="137">
        <f t="shared" si="0"/>
        <v>116259</v>
      </c>
      <c r="AU36" s="43">
        <f t="shared" si="2"/>
        <v>88494</v>
      </c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</row>
    <row r="37" spans="1:95" s="96" customFormat="1" ht="22.5">
      <c r="A37" s="39"/>
      <c r="B37" s="51">
        <v>22</v>
      </c>
      <c r="C37" s="51" t="s">
        <v>39</v>
      </c>
      <c r="D37" s="42">
        <v>30428973</v>
      </c>
      <c r="E37" s="52" t="s">
        <v>3116</v>
      </c>
      <c r="F37" s="52" t="s">
        <v>317</v>
      </c>
      <c r="G37" s="56" t="s">
        <v>3083</v>
      </c>
      <c r="H37" s="55" t="s">
        <v>342</v>
      </c>
      <c r="I37" s="53" t="s">
        <v>44</v>
      </c>
      <c r="J37" s="53">
        <v>2162166</v>
      </c>
      <c r="K37" s="54">
        <v>0</v>
      </c>
      <c r="L37" s="54">
        <v>62166</v>
      </c>
      <c r="M37" s="54">
        <v>0</v>
      </c>
      <c r="N37" s="54">
        <v>0</v>
      </c>
      <c r="O37" s="54">
        <v>45604</v>
      </c>
      <c r="P37" s="54">
        <v>80366</v>
      </c>
      <c r="Q37" s="54">
        <v>118545</v>
      </c>
      <c r="R37" s="54">
        <v>89102</v>
      </c>
      <c r="S37" s="54">
        <v>94972</v>
      </c>
      <c r="T37" s="54">
        <v>161785</v>
      </c>
      <c r="U37" s="54">
        <v>169114</v>
      </c>
      <c r="V37" s="54"/>
      <c r="W37" s="54"/>
      <c r="X37" s="54"/>
      <c r="Y37" s="54">
        <f t="shared" si="1"/>
        <v>759488</v>
      </c>
      <c r="Z37" s="199">
        <v>1000000</v>
      </c>
      <c r="AA37" s="116">
        <v>2</v>
      </c>
      <c r="AB37" s="136">
        <v>44204</v>
      </c>
      <c r="AC37" s="118">
        <v>44223</v>
      </c>
      <c r="AD37" s="199">
        <v>-171000</v>
      </c>
      <c r="AE37" s="117">
        <v>95</v>
      </c>
      <c r="AF37" s="136">
        <v>44413</v>
      </c>
      <c r="AG37" s="118">
        <v>44432</v>
      </c>
      <c r="AH37" s="199"/>
      <c r="AI37" s="116"/>
      <c r="AJ37" s="115"/>
      <c r="AK37" s="118"/>
      <c r="AL37" s="199"/>
      <c r="AM37" s="116"/>
      <c r="AN37" s="115"/>
      <c r="AO37" s="118"/>
      <c r="AP37" s="199"/>
      <c r="AQ37" s="116"/>
      <c r="AR37" s="115"/>
      <c r="AS37" s="118"/>
      <c r="AT37" s="137">
        <f t="shared" si="0"/>
        <v>829000</v>
      </c>
      <c r="AU37" s="43">
        <f t="shared" si="2"/>
        <v>69512</v>
      </c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</row>
    <row r="38" spans="1:95" s="96" customFormat="1">
      <c r="A38" s="39"/>
      <c r="B38" s="51">
        <v>23</v>
      </c>
      <c r="C38" s="51" t="s">
        <v>39</v>
      </c>
      <c r="D38" s="42">
        <v>30065993</v>
      </c>
      <c r="E38" s="52" t="s">
        <v>3117</v>
      </c>
      <c r="F38" s="52" t="s">
        <v>317</v>
      </c>
      <c r="G38" s="56" t="s">
        <v>3083</v>
      </c>
      <c r="H38" s="55" t="s">
        <v>3118</v>
      </c>
      <c r="I38" s="53" t="s">
        <v>44</v>
      </c>
      <c r="J38" s="53">
        <v>2756456</v>
      </c>
      <c r="K38" s="54">
        <v>1061813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/>
      <c r="W38" s="54"/>
      <c r="X38" s="54"/>
      <c r="Y38" s="54">
        <f t="shared" si="1"/>
        <v>0</v>
      </c>
      <c r="Z38" s="199">
        <v>1000</v>
      </c>
      <c r="AA38" s="116">
        <v>2</v>
      </c>
      <c r="AB38" s="136">
        <v>44204</v>
      </c>
      <c r="AC38" s="118">
        <v>44223</v>
      </c>
      <c r="AD38" s="199"/>
      <c r="AE38" s="117"/>
      <c r="AF38" s="115"/>
      <c r="AG38" s="118"/>
      <c r="AH38" s="199"/>
      <c r="AI38" s="116"/>
      <c r="AJ38" s="115"/>
      <c r="AK38" s="118"/>
      <c r="AL38" s="199"/>
      <c r="AM38" s="116"/>
      <c r="AN38" s="115"/>
      <c r="AO38" s="118"/>
      <c r="AP38" s="199"/>
      <c r="AQ38" s="116"/>
      <c r="AR38" s="115"/>
      <c r="AS38" s="118"/>
      <c r="AT38" s="137">
        <f t="shared" si="0"/>
        <v>1000</v>
      </c>
      <c r="AU38" s="43">
        <f t="shared" si="2"/>
        <v>1000</v>
      </c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</row>
    <row r="39" spans="1:95" s="96" customFormat="1" ht="22.5">
      <c r="A39" s="39"/>
      <c r="B39" s="51">
        <v>24</v>
      </c>
      <c r="C39" s="51" t="s">
        <v>39</v>
      </c>
      <c r="D39" s="42">
        <v>30095341</v>
      </c>
      <c r="E39" s="52" t="s">
        <v>3119</v>
      </c>
      <c r="F39" s="52" t="s">
        <v>317</v>
      </c>
      <c r="G39" s="56" t="s">
        <v>3083</v>
      </c>
      <c r="H39" s="55" t="s">
        <v>3088</v>
      </c>
      <c r="I39" s="53" t="s">
        <v>44</v>
      </c>
      <c r="J39" s="53">
        <v>1726324</v>
      </c>
      <c r="K39" s="54">
        <v>1652762</v>
      </c>
      <c r="L39" s="54">
        <v>2</v>
      </c>
      <c r="M39" s="54">
        <v>0</v>
      </c>
      <c r="N39" s="54">
        <v>0</v>
      </c>
      <c r="O39" s="54">
        <v>0</v>
      </c>
      <c r="P39" s="54">
        <v>7500</v>
      </c>
      <c r="Q39" s="54">
        <v>0</v>
      </c>
      <c r="R39" s="54">
        <v>0</v>
      </c>
      <c r="S39" s="54">
        <v>28552</v>
      </c>
      <c r="T39" s="54">
        <v>0</v>
      </c>
      <c r="U39" s="54">
        <v>4907</v>
      </c>
      <c r="V39" s="54"/>
      <c r="W39" s="54"/>
      <c r="X39" s="54"/>
      <c r="Y39" s="54">
        <f t="shared" si="1"/>
        <v>40959</v>
      </c>
      <c r="Z39" s="199">
        <v>73559</v>
      </c>
      <c r="AA39" s="116">
        <v>3</v>
      </c>
      <c r="AB39" s="136">
        <v>44204</v>
      </c>
      <c r="AC39" s="118">
        <v>44223</v>
      </c>
      <c r="AD39" s="199"/>
      <c r="AE39" s="117"/>
      <c r="AF39" s="115"/>
      <c r="AG39" s="118"/>
      <c r="AH39" s="199"/>
      <c r="AI39" s="116"/>
      <c r="AJ39" s="115"/>
      <c r="AK39" s="118"/>
      <c r="AL39" s="199"/>
      <c r="AM39" s="116"/>
      <c r="AN39" s="115"/>
      <c r="AO39" s="118"/>
      <c r="AP39" s="199"/>
      <c r="AQ39" s="116"/>
      <c r="AR39" s="115"/>
      <c r="AS39" s="118"/>
      <c r="AT39" s="137">
        <f t="shared" si="0"/>
        <v>73559</v>
      </c>
      <c r="AU39" s="43">
        <f t="shared" si="2"/>
        <v>32600</v>
      </c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</row>
    <row r="40" spans="1:95" s="96" customFormat="1" ht="22.5">
      <c r="A40" s="39"/>
      <c r="B40" s="51">
        <v>25</v>
      </c>
      <c r="C40" s="51" t="s">
        <v>39</v>
      </c>
      <c r="D40" s="42">
        <v>30128886</v>
      </c>
      <c r="E40" s="52" t="s">
        <v>3120</v>
      </c>
      <c r="F40" s="52" t="s">
        <v>47</v>
      </c>
      <c r="G40" s="56" t="s">
        <v>3083</v>
      </c>
      <c r="H40" s="55" t="s">
        <v>3092</v>
      </c>
      <c r="I40" s="53" t="s">
        <v>44</v>
      </c>
      <c r="J40" s="53">
        <v>42290</v>
      </c>
      <c r="K40" s="54">
        <v>28581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/>
      <c r="W40" s="54"/>
      <c r="X40" s="54"/>
      <c r="Y40" s="54">
        <f t="shared" si="1"/>
        <v>0</v>
      </c>
      <c r="Z40" s="199">
        <v>13145</v>
      </c>
      <c r="AA40" s="116">
        <v>3</v>
      </c>
      <c r="AB40" s="136">
        <v>44204</v>
      </c>
      <c r="AC40" s="118">
        <v>44223</v>
      </c>
      <c r="AD40" s="199"/>
      <c r="AE40" s="117"/>
      <c r="AF40" s="115"/>
      <c r="AG40" s="118"/>
      <c r="AH40" s="199"/>
      <c r="AI40" s="116"/>
      <c r="AJ40" s="115"/>
      <c r="AK40" s="118"/>
      <c r="AL40" s="199"/>
      <c r="AM40" s="116"/>
      <c r="AN40" s="115"/>
      <c r="AO40" s="118"/>
      <c r="AP40" s="199"/>
      <c r="AQ40" s="116"/>
      <c r="AR40" s="115"/>
      <c r="AS40" s="118"/>
      <c r="AT40" s="137">
        <f t="shared" si="0"/>
        <v>13145</v>
      </c>
      <c r="AU40" s="43">
        <f t="shared" si="2"/>
        <v>13145</v>
      </c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</row>
    <row r="41" spans="1:95" s="96" customFormat="1" ht="22.5">
      <c r="A41" s="39"/>
      <c r="B41" s="51">
        <v>26</v>
      </c>
      <c r="C41" s="51" t="s">
        <v>39</v>
      </c>
      <c r="D41" s="42">
        <v>30109942</v>
      </c>
      <c r="E41" s="52" t="s">
        <v>3121</v>
      </c>
      <c r="F41" s="52" t="s">
        <v>83</v>
      </c>
      <c r="G41" s="56" t="s">
        <v>3083</v>
      </c>
      <c r="H41" s="55" t="s">
        <v>3092</v>
      </c>
      <c r="I41" s="53" t="s">
        <v>44</v>
      </c>
      <c r="J41" s="53">
        <v>67533</v>
      </c>
      <c r="K41" s="54">
        <v>41657</v>
      </c>
      <c r="L41" s="54">
        <v>0</v>
      </c>
      <c r="M41" s="54">
        <v>12946</v>
      </c>
      <c r="N41" s="54">
        <v>0</v>
      </c>
      <c r="O41" s="54">
        <v>4120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/>
      <c r="W41" s="54"/>
      <c r="X41" s="54"/>
      <c r="Y41" s="54">
        <f t="shared" si="1"/>
        <v>17066</v>
      </c>
      <c r="Z41" s="199">
        <v>20000</v>
      </c>
      <c r="AA41" s="116">
        <v>3</v>
      </c>
      <c r="AB41" s="136">
        <v>44204</v>
      </c>
      <c r="AC41" s="118">
        <v>44223</v>
      </c>
      <c r="AD41" s="199">
        <v>2423</v>
      </c>
      <c r="AE41" s="117">
        <v>85</v>
      </c>
      <c r="AF41" s="136">
        <v>44390</v>
      </c>
      <c r="AG41" s="118">
        <v>44404</v>
      </c>
      <c r="AH41" s="199"/>
      <c r="AI41" s="116"/>
      <c r="AJ41" s="115"/>
      <c r="AK41" s="118"/>
      <c r="AL41" s="199"/>
      <c r="AM41" s="116"/>
      <c r="AN41" s="115"/>
      <c r="AO41" s="118"/>
      <c r="AP41" s="199"/>
      <c r="AQ41" s="116"/>
      <c r="AR41" s="115"/>
      <c r="AS41" s="118"/>
      <c r="AT41" s="137">
        <f t="shared" si="0"/>
        <v>22423</v>
      </c>
      <c r="AU41" s="43">
        <f t="shared" si="2"/>
        <v>5357</v>
      </c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</row>
    <row r="42" spans="1:95" s="96" customFormat="1" ht="22.5">
      <c r="A42" s="39"/>
      <c r="B42" s="51">
        <v>27</v>
      </c>
      <c r="C42" s="51" t="s">
        <v>39</v>
      </c>
      <c r="D42" s="42">
        <v>30110742</v>
      </c>
      <c r="E42" s="52" t="s">
        <v>3122</v>
      </c>
      <c r="F42" s="52" t="s">
        <v>317</v>
      </c>
      <c r="G42" s="56" t="s">
        <v>3083</v>
      </c>
      <c r="H42" s="55" t="s">
        <v>342</v>
      </c>
      <c r="I42" s="53" t="s">
        <v>44</v>
      </c>
      <c r="J42" s="53">
        <v>1659257</v>
      </c>
      <c r="K42" s="54">
        <v>1655249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/>
      <c r="W42" s="54"/>
      <c r="X42" s="54"/>
      <c r="Y42" s="54">
        <f t="shared" si="1"/>
        <v>0</v>
      </c>
      <c r="Z42" s="199">
        <v>3043</v>
      </c>
      <c r="AA42" s="116">
        <v>3</v>
      </c>
      <c r="AB42" s="136">
        <v>44204</v>
      </c>
      <c r="AC42" s="118">
        <v>44223</v>
      </c>
      <c r="AD42" s="199"/>
      <c r="AE42" s="117"/>
      <c r="AF42" s="115"/>
      <c r="AG42" s="118"/>
      <c r="AH42" s="199"/>
      <c r="AI42" s="116"/>
      <c r="AJ42" s="115"/>
      <c r="AK42" s="118"/>
      <c r="AL42" s="199"/>
      <c r="AM42" s="116"/>
      <c r="AN42" s="115"/>
      <c r="AO42" s="118"/>
      <c r="AP42" s="199"/>
      <c r="AQ42" s="116"/>
      <c r="AR42" s="115"/>
      <c r="AS42" s="118"/>
      <c r="AT42" s="137">
        <f t="shared" si="0"/>
        <v>3043</v>
      </c>
      <c r="AU42" s="43">
        <f t="shared" si="2"/>
        <v>3043</v>
      </c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</row>
    <row r="43" spans="1:95" s="96" customFormat="1">
      <c r="A43" s="39"/>
      <c r="B43" s="51">
        <v>28</v>
      </c>
      <c r="C43" s="51" t="s">
        <v>39</v>
      </c>
      <c r="D43" s="42">
        <v>30109406</v>
      </c>
      <c r="E43" s="52" t="s">
        <v>3123</v>
      </c>
      <c r="F43" s="52" t="s">
        <v>317</v>
      </c>
      <c r="G43" s="56" t="s">
        <v>3083</v>
      </c>
      <c r="H43" s="55" t="s">
        <v>3124</v>
      </c>
      <c r="I43" s="53" t="s">
        <v>44</v>
      </c>
      <c r="J43" s="53">
        <v>1027940</v>
      </c>
      <c r="K43" s="54">
        <v>2844</v>
      </c>
      <c r="L43" s="54">
        <v>149096</v>
      </c>
      <c r="M43" s="54">
        <v>0</v>
      </c>
      <c r="N43" s="54">
        <v>900</v>
      </c>
      <c r="O43" s="54">
        <v>98909</v>
      </c>
      <c r="P43" s="54">
        <v>220185</v>
      </c>
      <c r="Q43" s="54">
        <v>4671</v>
      </c>
      <c r="R43" s="54">
        <v>0</v>
      </c>
      <c r="S43" s="54">
        <f>1500+1800</f>
        <v>3300</v>
      </c>
      <c r="T43" s="54">
        <v>1500</v>
      </c>
      <c r="U43" s="54">
        <v>101500</v>
      </c>
      <c r="V43" s="54"/>
      <c r="W43" s="54"/>
      <c r="X43" s="54"/>
      <c r="Y43" s="54">
        <f t="shared" si="1"/>
        <v>430965</v>
      </c>
      <c r="Z43" s="199">
        <v>215900</v>
      </c>
      <c r="AA43" s="116">
        <v>3</v>
      </c>
      <c r="AB43" s="136">
        <v>44204</v>
      </c>
      <c r="AC43" s="118">
        <v>44223</v>
      </c>
      <c r="AD43" s="199">
        <v>224100</v>
      </c>
      <c r="AE43" s="117">
        <v>29</v>
      </c>
      <c r="AF43" s="136">
        <v>44270</v>
      </c>
      <c r="AG43" s="118">
        <v>44286</v>
      </c>
      <c r="AH43" s="199">
        <v>3100</v>
      </c>
      <c r="AI43" s="116">
        <v>70</v>
      </c>
      <c r="AJ43" s="136">
        <v>44369</v>
      </c>
      <c r="AK43" s="118">
        <v>44391</v>
      </c>
      <c r="AL43" s="199">
        <v>-6000</v>
      </c>
      <c r="AM43" s="116">
        <v>95</v>
      </c>
      <c r="AN43" s="136">
        <v>44413</v>
      </c>
      <c r="AO43" s="118">
        <v>44432</v>
      </c>
      <c r="AP43" s="199"/>
      <c r="AQ43" s="116"/>
      <c r="AR43" s="115"/>
      <c r="AS43" s="118"/>
      <c r="AT43" s="137">
        <f t="shared" si="0"/>
        <v>437100</v>
      </c>
      <c r="AU43" s="43">
        <f t="shared" si="2"/>
        <v>6135</v>
      </c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</row>
    <row r="44" spans="1:95" s="96" customFormat="1">
      <c r="A44" s="39"/>
      <c r="B44" s="51">
        <v>29</v>
      </c>
      <c r="C44" s="51" t="s">
        <v>39</v>
      </c>
      <c r="D44" s="42">
        <v>30156826</v>
      </c>
      <c r="E44" s="52" t="s">
        <v>3125</v>
      </c>
      <c r="F44" s="52" t="s">
        <v>47</v>
      </c>
      <c r="G44" s="56" t="s">
        <v>3083</v>
      </c>
      <c r="H44" s="55" t="s">
        <v>3126</v>
      </c>
      <c r="I44" s="53" t="s">
        <v>44</v>
      </c>
      <c r="J44" s="53">
        <v>39334</v>
      </c>
      <c r="K44" s="54">
        <v>17043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/>
      <c r="W44" s="54"/>
      <c r="X44" s="54"/>
      <c r="Y44" s="54">
        <f t="shared" si="1"/>
        <v>0</v>
      </c>
      <c r="Z44" s="199">
        <v>19485</v>
      </c>
      <c r="AA44" s="116">
        <v>3</v>
      </c>
      <c r="AB44" s="136">
        <v>44204</v>
      </c>
      <c r="AC44" s="118">
        <v>44223</v>
      </c>
      <c r="AD44" s="199"/>
      <c r="AE44" s="117"/>
      <c r="AF44" s="115"/>
      <c r="AG44" s="118"/>
      <c r="AH44" s="199"/>
      <c r="AI44" s="116"/>
      <c r="AJ44" s="115"/>
      <c r="AK44" s="118"/>
      <c r="AL44" s="199"/>
      <c r="AM44" s="116"/>
      <c r="AN44" s="115"/>
      <c r="AO44" s="118"/>
      <c r="AP44" s="199"/>
      <c r="AQ44" s="116"/>
      <c r="AR44" s="115"/>
      <c r="AS44" s="118"/>
      <c r="AT44" s="137">
        <f t="shared" si="0"/>
        <v>19485</v>
      </c>
      <c r="AU44" s="43">
        <f t="shared" si="2"/>
        <v>19485</v>
      </c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</row>
    <row r="45" spans="1:95" s="96" customFormat="1" ht="22.5">
      <c r="A45" s="39"/>
      <c r="B45" s="51">
        <v>30</v>
      </c>
      <c r="C45" s="51" t="s">
        <v>39</v>
      </c>
      <c r="D45" s="42">
        <v>30157272</v>
      </c>
      <c r="E45" s="52" t="s">
        <v>3127</v>
      </c>
      <c r="F45" s="52" t="s">
        <v>47</v>
      </c>
      <c r="G45" s="56" t="s">
        <v>3083</v>
      </c>
      <c r="H45" s="55" t="s">
        <v>3126</v>
      </c>
      <c r="I45" s="53" t="s">
        <v>44</v>
      </c>
      <c r="J45" s="53">
        <v>39330</v>
      </c>
      <c r="K45" s="54">
        <v>18832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/>
      <c r="W45" s="54"/>
      <c r="X45" s="54"/>
      <c r="Y45" s="54">
        <f t="shared" si="1"/>
        <v>0</v>
      </c>
      <c r="Z45" s="199">
        <v>18076</v>
      </c>
      <c r="AA45" s="116">
        <v>3</v>
      </c>
      <c r="AB45" s="136">
        <v>44204</v>
      </c>
      <c r="AC45" s="118">
        <v>44223</v>
      </c>
      <c r="AD45" s="199"/>
      <c r="AE45" s="117"/>
      <c r="AF45" s="115"/>
      <c r="AG45" s="118"/>
      <c r="AH45" s="199"/>
      <c r="AI45" s="116"/>
      <c r="AJ45" s="115"/>
      <c r="AK45" s="118"/>
      <c r="AL45" s="199"/>
      <c r="AM45" s="116"/>
      <c r="AN45" s="115"/>
      <c r="AO45" s="118"/>
      <c r="AP45" s="199"/>
      <c r="AQ45" s="116"/>
      <c r="AR45" s="115"/>
      <c r="AS45" s="118"/>
      <c r="AT45" s="137">
        <f t="shared" si="0"/>
        <v>18076</v>
      </c>
      <c r="AU45" s="43">
        <f t="shared" si="2"/>
        <v>18076</v>
      </c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</row>
    <row r="46" spans="1:95" s="96" customFormat="1" ht="22.5">
      <c r="A46" s="39"/>
      <c r="B46" s="51">
        <v>31</v>
      </c>
      <c r="C46" s="51" t="s">
        <v>39</v>
      </c>
      <c r="D46" s="42">
        <v>30117041</v>
      </c>
      <c r="E46" s="52" t="s">
        <v>3128</v>
      </c>
      <c r="F46" s="52" t="s">
        <v>47</v>
      </c>
      <c r="G46" s="56" t="s">
        <v>3083</v>
      </c>
      <c r="H46" s="55" t="s">
        <v>3109</v>
      </c>
      <c r="I46" s="53" t="s">
        <v>44</v>
      </c>
      <c r="J46" s="53">
        <v>93338</v>
      </c>
      <c r="K46" s="54">
        <v>53643</v>
      </c>
      <c r="L46" s="54">
        <v>0</v>
      </c>
      <c r="M46" s="54">
        <v>0</v>
      </c>
      <c r="N46" s="54">
        <v>13400</v>
      </c>
      <c r="O46" s="54">
        <v>0</v>
      </c>
      <c r="P46" s="54">
        <v>0</v>
      </c>
      <c r="Q46" s="54">
        <v>0</v>
      </c>
      <c r="R46" s="54">
        <v>0</v>
      </c>
      <c r="S46" s="54">
        <v>12794</v>
      </c>
      <c r="T46" s="54">
        <v>0</v>
      </c>
      <c r="U46" s="54">
        <v>0</v>
      </c>
      <c r="V46" s="54"/>
      <c r="W46" s="54"/>
      <c r="X46" s="54"/>
      <c r="Y46" s="54">
        <f t="shared" si="1"/>
        <v>26194</v>
      </c>
      <c r="Z46" s="199">
        <v>37727</v>
      </c>
      <c r="AA46" s="116">
        <v>3</v>
      </c>
      <c r="AB46" s="136">
        <v>44204</v>
      </c>
      <c r="AC46" s="118">
        <v>44223</v>
      </c>
      <c r="AD46" s="199"/>
      <c r="AE46" s="117"/>
      <c r="AF46" s="115"/>
      <c r="AG46" s="118"/>
      <c r="AH46" s="199"/>
      <c r="AI46" s="116"/>
      <c r="AJ46" s="115"/>
      <c r="AK46" s="118"/>
      <c r="AL46" s="199"/>
      <c r="AM46" s="116"/>
      <c r="AN46" s="115"/>
      <c r="AO46" s="118"/>
      <c r="AP46" s="199"/>
      <c r="AQ46" s="116"/>
      <c r="AR46" s="115"/>
      <c r="AS46" s="118"/>
      <c r="AT46" s="137">
        <f t="shared" si="0"/>
        <v>37727</v>
      </c>
      <c r="AU46" s="43">
        <f t="shared" si="2"/>
        <v>11533</v>
      </c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</row>
    <row r="47" spans="1:95" s="96" customFormat="1">
      <c r="A47" s="39"/>
      <c r="B47" s="51">
        <v>32</v>
      </c>
      <c r="C47" s="51" t="s">
        <v>39</v>
      </c>
      <c r="D47" s="42">
        <v>30428384</v>
      </c>
      <c r="E47" s="52" t="s">
        <v>3129</v>
      </c>
      <c r="F47" s="52" t="s">
        <v>47</v>
      </c>
      <c r="G47" s="56" t="s">
        <v>3083</v>
      </c>
      <c r="H47" s="55" t="s">
        <v>342</v>
      </c>
      <c r="I47" s="53" t="s">
        <v>44</v>
      </c>
      <c r="J47" s="53">
        <v>218998</v>
      </c>
      <c r="K47" s="54">
        <v>198898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/>
      <c r="W47" s="54"/>
      <c r="X47" s="54"/>
      <c r="Y47" s="54">
        <f t="shared" si="1"/>
        <v>0</v>
      </c>
      <c r="Z47" s="199">
        <v>20100</v>
      </c>
      <c r="AA47" s="116">
        <v>3</v>
      </c>
      <c r="AB47" s="136">
        <v>44204</v>
      </c>
      <c r="AC47" s="118">
        <v>44223</v>
      </c>
      <c r="AD47" s="199"/>
      <c r="AE47" s="117"/>
      <c r="AF47" s="115"/>
      <c r="AG47" s="118"/>
      <c r="AH47" s="199"/>
      <c r="AI47" s="116"/>
      <c r="AJ47" s="115"/>
      <c r="AK47" s="118"/>
      <c r="AL47" s="199"/>
      <c r="AM47" s="116"/>
      <c r="AN47" s="115"/>
      <c r="AO47" s="118"/>
      <c r="AP47" s="199"/>
      <c r="AQ47" s="116"/>
      <c r="AR47" s="115"/>
      <c r="AS47" s="118"/>
      <c r="AT47" s="137">
        <f t="shared" si="0"/>
        <v>20100</v>
      </c>
      <c r="AU47" s="43">
        <f t="shared" si="2"/>
        <v>20100</v>
      </c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</row>
    <row r="48" spans="1:95" s="96" customFormat="1" ht="22.5">
      <c r="A48" s="39"/>
      <c r="B48" s="51">
        <v>33</v>
      </c>
      <c r="C48" s="51" t="s">
        <v>39</v>
      </c>
      <c r="D48" s="42">
        <v>30349285</v>
      </c>
      <c r="E48" s="52" t="s">
        <v>3130</v>
      </c>
      <c r="F48" s="52" t="s">
        <v>317</v>
      </c>
      <c r="G48" s="56" t="s">
        <v>3083</v>
      </c>
      <c r="H48" s="55" t="s">
        <v>3105</v>
      </c>
      <c r="I48" s="53" t="s">
        <v>44</v>
      </c>
      <c r="J48" s="53">
        <v>416602</v>
      </c>
      <c r="K48" s="54">
        <v>403052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10238</v>
      </c>
      <c r="S48" s="54">
        <v>0</v>
      </c>
      <c r="T48" s="54">
        <v>0</v>
      </c>
      <c r="U48" s="54">
        <v>0</v>
      </c>
      <c r="V48" s="54"/>
      <c r="W48" s="54"/>
      <c r="X48" s="54"/>
      <c r="Y48" s="54">
        <f t="shared" si="1"/>
        <v>10238</v>
      </c>
      <c r="Z48" s="199">
        <v>13185</v>
      </c>
      <c r="AA48" s="116">
        <v>5</v>
      </c>
      <c r="AB48" s="136">
        <v>44209</v>
      </c>
      <c r="AC48" s="118">
        <v>44225</v>
      </c>
      <c r="AD48" s="199"/>
      <c r="AE48" s="117"/>
      <c r="AF48" s="115"/>
      <c r="AG48" s="118"/>
      <c r="AH48" s="199"/>
      <c r="AI48" s="116"/>
      <c r="AJ48" s="115"/>
      <c r="AK48" s="118"/>
      <c r="AL48" s="199"/>
      <c r="AM48" s="116"/>
      <c r="AN48" s="115"/>
      <c r="AO48" s="118"/>
      <c r="AP48" s="199"/>
      <c r="AQ48" s="116"/>
      <c r="AR48" s="115"/>
      <c r="AS48" s="118"/>
      <c r="AT48" s="137">
        <f t="shared" si="0"/>
        <v>13185</v>
      </c>
      <c r="AU48" s="43">
        <f t="shared" si="2"/>
        <v>2947</v>
      </c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</row>
    <row r="49" spans="1:95" s="96" customFormat="1">
      <c r="A49" s="39"/>
      <c r="B49" s="51">
        <v>34</v>
      </c>
      <c r="C49" s="51" t="s">
        <v>39</v>
      </c>
      <c r="D49" s="42">
        <v>30095372</v>
      </c>
      <c r="E49" s="52" t="s">
        <v>3131</v>
      </c>
      <c r="F49" s="52" t="s">
        <v>317</v>
      </c>
      <c r="G49" s="56" t="s">
        <v>3083</v>
      </c>
      <c r="H49" s="55" t="s">
        <v>3132</v>
      </c>
      <c r="I49" s="53" t="s">
        <v>44</v>
      </c>
      <c r="J49" s="53">
        <v>1244179</v>
      </c>
      <c r="K49" s="54">
        <v>1229479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5196</v>
      </c>
      <c r="V49" s="54"/>
      <c r="W49" s="54"/>
      <c r="X49" s="54"/>
      <c r="Y49" s="54">
        <f t="shared" si="1"/>
        <v>5196</v>
      </c>
      <c r="Z49" s="199">
        <v>5197</v>
      </c>
      <c r="AA49" s="116">
        <v>5</v>
      </c>
      <c r="AB49" s="136">
        <v>44209</v>
      </c>
      <c r="AC49" s="118">
        <v>44225</v>
      </c>
      <c r="AD49" s="199"/>
      <c r="AE49" s="117"/>
      <c r="AF49" s="115"/>
      <c r="AG49" s="118"/>
      <c r="AH49" s="199"/>
      <c r="AI49" s="116"/>
      <c r="AJ49" s="115"/>
      <c r="AK49" s="118"/>
      <c r="AL49" s="199"/>
      <c r="AM49" s="116"/>
      <c r="AN49" s="115"/>
      <c r="AO49" s="118"/>
      <c r="AP49" s="199"/>
      <c r="AQ49" s="116"/>
      <c r="AR49" s="115"/>
      <c r="AS49" s="118"/>
      <c r="AT49" s="137">
        <f t="shared" si="0"/>
        <v>5197</v>
      </c>
      <c r="AU49" s="43">
        <f t="shared" si="2"/>
        <v>1</v>
      </c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</row>
    <row r="50" spans="1:95" s="96" customFormat="1" ht="22.5">
      <c r="A50" s="39"/>
      <c r="B50" s="51">
        <v>35</v>
      </c>
      <c r="C50" s="51" t="s">
        <v>39</v>
      </c>
      <c r="D50" s="42">
        <v>30483533</v>
      </c>
      <c r="E50" s="52" t="s">
        <v>3133</v>
      </c>
      <c r="F50" s="52" t="s">
        <v>47</v>
      </c>
      <c r="G50" s="56" t="s">
        <v>3083</v>
      </c>
      <c r="H50" s="55" t="s">
        <v>3102</v>
      </c>
      <c r="I50" s="53" t="s">
        <v>44</v>
      </c>
      <c r="J50" s="53">
        <v>44058</v>
      </c>
      <c r="K50" s="54">
        <v>23714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/>
      <c r="W50" s="54"/>
      <c r="X50" s="54"/>
      <c r="Y50" s="54">
        <f t="shared" si="1"/>
        <v>0</v>
      </c>
      <c r="Z50" s="199">
        <v>20127</v>
      </c>
      <c r="AA50" s="116">
        <v>5</v>
      </c>
      <c r="AB50" s="136">
        <v>44209</v>
      </c>
      <c r="AC50" s="118">
        <v>44225</v>
      </c>
      <c r="AD50" s="199"/>
      <c r="AE50" s="117"/>
      <c r="AF50" s="115"/>
      <c r="AG50" s="118"/>
      <c r="AH50" s="199"/>
      <c r="AI50" s="116"/>
      <c r="AJ50" s="115"/>
      <c r="AK50" s="118"/>
      <c r="AL50" s="199"/>
      <c r="AM50" s="116"/>
      <c r="AN50" s="115"/>
      <c r="AO50" s="118"/>
      <c r="AP50" s="199"/>
      <c r="AQ50" s="116"/>
      <c r="AR50" s="115"/>
      <c r="AS50" s="118"/>
      <c r="AT50" s="137">
        <f t="shared" si="0"/>
        <v>20127</v>
      </c>
      <c r="AU50" s="43">
        <f t="shared" si="2"/>
        <v>20127</v>
      </c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</row>
    <row r="51" spans="1:95" s="96" customFormat="1" ht="22.5">
      <c r="A51" s="39"/>
      <c r="B51" s="51">
        <v>36</v>
      </c>
      <c r="C51" s="51" t="s">
        <v>39</v>
      </c>
      <c r="D51" s="42">
        <v>30113923</v>
      </c>
      <c r="E51" s="52" t="s">
        <v>3134</v>
      </c>
      <c r="F51" s="52" t="s">
        <v>317</v>
      </c>
      <c r="G51" s="56" t="s">
        <v>3083</v>
      </c>
      <c r="H51" s="55" t="s">
        <v>3109</v>
      </c>
      <c r="I51" s="53" t="s">
        <v>44</v>
      </c>
      <c r="J51" s="53">
        <v>2145356</v>
      </c>
      <c r="K51" s="54">
        <v>41283</v>
      </c>
      <c r="L51" s="54">
        <v>0</v>
      </c>
      <c r="M51" s="54">
        <v>0</v>
      </c>
      <c r="N51" s="54">
        <v>3700</v>
      </c>
      <c r="O51" s="54">
        <v>133593</v>
      </c>
      <c r="P51" s="54">
        <v>92947</v>
      </c>
      <c r="Q51" s="54">
        <v>124719</v>
      </c>
      <c r="R51" s="54">
        <v>192232</v>
      </c>
      <c r="S51" s="54">
        <v>132713</v>
      </c>
      <c r="T51" s="54">
        <v>163672</v>
      </c>
      <c r="U51" s="54">
        <v>189175</v>
      </c>
      <c r="V51" s="54"/>
      <c r="W51" s="54"/>
      <c r="X51" s="54"/>
      <c r="Y51" s="54">
        <f t="shared" si="1"/>
        <v>1032751</v>
      </c>
      <c r="Z51" s="199">
        <v>650002</v>
      </c>
      <c r="AA51" s="116">
        <v>5</v>
      </c>
      <c r="AB51" s="136">
        <v>44209</v>
      </c>
      <c r="AC51" s="118">
        <v>44225</v>
      </c>
      <c r="AD51" s="199">
        <v>500000</v>
      </c>
      <c r="AE51" s="117">
        <v>61</v>
      </c>
      <c r="AF51" s="136">
        <v>44351</v>
      </c>
      <c r="AG51" s="118">
        <v>44372</v>
      </c>
      <c r="AH51" s="199"/>
      <c r="AI51" s="116"/>
      <c r="AJ51" s="115"/>
      <c r="AK51" s="118"/>
      <c r="AL51" s="199"/>
      <c r="AM51" s="116"/>
      <c r="AN51" s="115"/>
      <c r="AO51" s="118"/>
      <c r="AP51" s="199"/>
      <c r="AQ51" s="116"/>
      <c r="AR51" s="115"/>
      <c r="AS51" s="118"/>
      <c r="AT51" s="137">
        <f t="shared" si="0"/>
        <v>1150002</v>
      </c>
      <c r="AU51" s="43">
        <f t="shared" si="2"/>
        <v>117251</v>
      </c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</row>
    <row r="52" spans="1:95" s="96" customFormat="1" ht="22.5">
      <c r="A52" s="39"/>
      <c r="B52" s="51">
        <v>37</v>
      </c>
      <c r="C52" s="51" t="s">
        <v>39</v>
      </c>
      <c r="D52" s="42">
        <v>30109822</v>
      </c>
      <c r="E52" s="52" t="s">
        <v>3135</v>
      </c>
      <c r="F52" s="52" t="s">
        <v>47</v>
      </c>
      <c r="G52" s="56" t="s">
        <v>3083</v>
      </c>
      <c r="H52" s="55" t="s">
        <v>3124</v>
      </c>
      <c r="I52" s="53" t="s">
        <v>44</v>
      </c>
      <c r="J52" s="53">
        <v>453882</v>
      </c>
      <c r="K52" s="54">
        <v>406719</v>
      </c>
      <c r="L52" s="54">
        <v>0</v>
      </c>
      <c r="M52" s="54">
        <v>1600</v>
      </c>
      <c r="N52" s="54">
        <v>1600</v>
      </c>
      <c r="O52" s="54">
        <v>1600</v>
      </c>
      <c r="P52" s="54">
        <v>1600</v>
      </c>
      <c r="Q52" s="54">
        <v>17400</v>
      </c>
      <c r="R52" s="54">
        <v>1600</v>
      </c>
      <c r="S52" s="54">
        <v>0</v>
      </c>
      <c r="T52" s="54">
        <v>0</v>
      </c>
      <c r="U52" s="54">
        <v>1600</v>
      </c>
      <c r="V52" s="54"/>
      <c r="W52" s="54"/>
      <c r="X52" s="54"/>
      <c r="Y52" s="54">
        <f t="shared" si="1"/>
        <v>27000</v>
      </c>
      <c r="Z52" s="199">
        <v>30000</v>
      </c>
      <c r="AA52" s="116">
        <v>5</v>
      </c>
      <c r="AB52" s="136">
        <v>44209</v>
      </c>
      <c r="AC52" s="118">
        <v>44225</v>
      </c>
      <c r="AD52" s="199">
        <v>9600</v>
      </c>
      <c r="AE52" s="117">
        <v>47</v>
      </c>
      <c r="AF52" s="136">
        <v>44319</v>
      </c>
      <c r="AG52" s="118">
        <v>44340</v>
      </c>
      <c r="AH52" s="199"/>
      <c r="AI52" s="116"/>
      <c r="AJ52" s="115"/>
      <c r="AK52" s="118"/>
      <c r="AL52" s="199"/>
      <c r="AM52" s="116"/>
      <c r="AN52" s="115"/>
      <c r="AO52" s="118"/>
      <c r="AP52" s="199"/>
      <c r="AQ52" s="116"/>
      <c r="AR52" s="115"/>
      <c r="AS52" s="118"/>
      <c r="AT52" s="137">
        <f t="shared" si="0"/>
        <v>39600</v>
      </c>
      <c r="AU52" s="43">
        <f t="shared" si="2"/>
        <v>12600</v>
      </c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</row>
    <row r="53" spans="1:95" s="96" customFormat="1" ht="22.5">
      <c r="A53" s="39"/>
      <c r="B53" s="51">
        <v>38</v>
      </c>
      <c r="C53" s="51" t="s">
        <v>39</v>
      </c>
      <c r="D53" s="42">
        <v>30107311</v>
      </c>
      <c r="E53" s="52" t="s">
        <v>3136</v>
      </c>
      <c r="F53" s="52" t="s">
        <v>47</v>
      </c>
      <c r="G53" s="56" t="s">
        <v>3083</v>
      </c>
      <c r="H53" s="55" t="s">
        <v>3086</v>
      </c>
      <c r="I53" s="53" t="s">
        <v>44</v>
      </c>
      <c r="J53" s="53">
        <v>159174</v>
      </c>
      <c r="K53" s="54">
        <v>85122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53148</v>
      </c>
      <c r="U53" s="54">
        <v>0</v>
      </c>
      <c r="V53" s="54"/>
      <c r="W53" s="54"/>
      <c r="X53" s="54"/>
      <c r="Y53" s="54">
        <f t="shared" si="1"/>
        <v>53148</v>
      </c>
      <c r="Z53" s="199">
        <v>50000</v>
      </c>
      <c r="AA53" s="116">
        <v>5</v>
      </c>
      <c r="AB53" s="136">
        <v>44209</v>
      </c>
      <c r="AC53" s="118">
        <v>44225</v>
      </c>
      <c r="AD53" s="199">
        <v>4000</v>
      </c>
      <c r="AE53" s="117">
        <v>70</v>
      </c>
      <c r="AF53" s="136">
        <v>44369</v>
      </c>
      <c r="AG53" s="118">
        <v>44391</v>
      </c>
      <c r="AH53" s="199"/>
      <c r="AI53" s="116"/>
      <c r="AJ53" s="115"/>
      <c r="AK53" s="118"/>
      <c r="AL53" s="199"/>
      <c r="AM53" s="116"/>
      <c r="AN53" s="115"/>
      <c r="AO53" s="118"/>
      <c r="AP53" s="199"/>
      <c r="AQ53" s="116"/>
      <c r="AR53" s="115"/>
      <c r="AS53" s="118"/>
      <c r="AT53" s="137">
        <f t="shared" si="0"/>
        <v>54000</v>
      </c>
      <c r="AU53" s="43">
        <f t="shared" si="2"/>
        <v>852</v>
      </c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</row>
    <row r="54" spans="1:95" s="96" customFormat="1" ht="22.5">
      <c r="A54" s="39"/>
      <c r="B54" s="51">
        <v>39</v>
      </c>
      <c r="C54" s="51" t="s">
        <v>39</v>
      </c>
      <c r="D54" s="42">
        <v>30109018</v>
      </c>
      <c r="E54" s="52" t="s">
        <v>3137</v>
      </c>
      <c r="F54" s="52" t="s">
        <v>47</v>
      </c>
      <c r="G54" s="56" t="s">
        <v>3083</v>
      </c>
      <c r="H54" s="55" t="s">
        <v>3118</v>
      </c>
      <c r="I54" s="53" t="s">
        <v>44</v>
      </c>
      <c r="J54" s="53">
        <v>347806</v>
      </c>
      <c r="K54" s="54">
        <v>224949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/>
      <c r="W54" s="54"/>
      <c r="X54" s="54"/>
      <c r="Y54" s="54">
        <f t="shared" si="1"/>
        <v>0</v>
      </c>
      <c r="Z54" s="199">
        <v>50001</v>
      </c>
      <c r="AA54" s="116">
        <v>5</v>
      </c>
      <c r="AB54" s="136">
        <v>44209</v>
      </c>
      <c r="AC54" s="118">
        <v>44225</v>
      </c>
      <c r="AD54" s="199"/>
      <c r="AE54" s="117"/>
      <c r="AF54" s="115"/>
      <c r="AG54" s="118"/>
      <c r="AH54" s="199"/>
      <c r="AI54" s="116"/>
      <c r="AJ54" s="115"/>
      <c r="AK54" s="118"/>
      <c r="AL54" s="199"/>
      <c r="AM54" s="116"/>
      <c r="AN54" s="115"/>
      <c r="AO54" s="118"/>
      <c r="AP54" s="199"/>
      <c r="AQ54" s="116"/>
      <c r="AR54" s="115"/>
      <c r="AS54" s="118"/>
      <c r="AT54" s="137">
        <f t="shared" si="0"/>
        <v>50001</v>
      </c>
      <c r="AU54" s="43">
        <f t="shared" si="2"/>
        <v>50001</v>
      </c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</row>
    <row r="55" spans="1:95" s="96" customFormat="1" ht="21" customHeight="1">
      <c r="A55" s="39"/>
      <c r="B55" s="51">
        <v>40</v>
      </c>
      <c r="C55" s="51" t="s">
        <v>39</v>
      </c>
      <c r="D55" s="42">
        <v>30486958</v>
      </c>
      <c r="E55" s="52" t="s">
        <v>3138</v>
      </c>
      <c r="F55" s="52" t="s">
        <v>317</v>
      </c>
      <c r="G55" s="56" t="s">
        <v>3083</v>
      </c>
      <c r="H55" s="55" t="s">
        <v>3088</v>
      </c>
      <c r="I55" s="53" t="s">
        <v>44</v>
      </c>
      <c r="J55" s="53">
        <v>579599</v>
      </c>
      <c r="K55" s="54">
        <v>154829</v>
      </c>
      <c r="L55" s="54">
        <v>0</v>
      </c>
      <c r="M55" s="54">
        <v>34203</v>
      </c>
      <c r="N55" s="54">
        <v>22582</v>
      </c>
      <c r="O55" s="54">
        <v>66774</v>
      </c>
      <c r="P55" s="54">
        <v>41540</v>
      </c>
      <c r="Q55" s="54">
        <v>27709</v>
      </c>
      <c r="R55" s="54">
        <v>9084</v>
      </c>
      <c r="S55" s="54">
        <v>14608</v>
      </c>
      <c r="T55" s="54">
        <v>20743</v>
      </c>
      <c r="U55" s="54">
        <v>25339</v>
      </c>
      <c r="V55" s="54"/>
      <c r="W55" s="54"/>
      <c r="X55" s="54"/>
      <c r="Y55" s="54">
        <f t="shared" si="1"/>
        <v>262582</v>
      </c>
      <c r="Z55" s="199">
        <v>260002</v>
      </c>
      <c r="AA55" s="116">
        <v>5</v>
      </c>
      <c r="AB55" s="136">
        <v>44209</v>
      </c>
      <c r="AC55" s="118">
        <v>44225</v>
      </c>
      <c r="AD55" s="199">
        <v>105410</v>
      </c>
      <c r="AE55" s="117">
        <v>47</v>
      </c>
      <c r="AF55" s="136">
        <v>44319</v>
      </c>
      <c r="AG55" s="118">
        <v>44340</v>
      </c>
      <c r="AH55" s="199">
        <v>7500</v>
      </c>
      <c r="AI55" s="116">
        <v>85</v>
      </c>
      <c r="AJ55" s="136">
        <v>44390</v>
      </c>
      <c r="AK55" s="118">
        <v>44404</v>
      </c>
      <c r="AL55" s="199">
        <v>50000</v>
      </c>
      <c r="AM55" s="116">
        <v>95</v>
      </c>
      <c r="AN55" s="136">
        <v>44413</v>
      </c>
      <c r="AO55" s="118">
        <v>44432</v>
      </c>
      <c r="AP55" s="199"/>
      <c r="AQ55" s="116"/>
      <c r="AR55" s="115"/>
      <c r="AS55" s="118"/>
      <c r="AT55" s="137">
        <f t="shared" si="0"/>
        <v>422912</v>
      </c>
      <c r="AU55" s="43">
        <f t="shared" si="2"/>
        <v>160330</v>
      </c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</row>
    <row r="56" spans="1:95" s="96" customFormat="1" ht="22.5">
      <c r="A56" s="39"/>
      <c r="B56" s="51">
        <v>41</v>
      </c>
      <c r="C56" s="51" t="s">
        <v>39</v>
      </c>
      <c r="D56" s="42">
        <v>40016644</v>
      </c>
      <c r="E56" s="52" t="s">
        <v>3139</v>
      </c>
      <c r="F56" s="52" t="s">
        <v>317</v>
      </c>
      <c r="G56" s="56" t="s">
        <v>3083</v>
      </c>
      <c r="H56" s="55" t="s">
        <v>3118</v>
      </c>
      <c r="I56" s="53" t="s">
        <v>44</v>
      </c>
      <c r="J56" s="53">
        <v>496040</v>
      </c>
      <c r="K56" s="54">
        <v>5726</v>
      </c>
      <c r="L56" s="54">
        <v>0</v>
      </c>
      <c r="M56" s="54">
        <v>1200</v>
      </c>
      <c r="N56" s="54">
        <v>1200</v>
      </c>
      <c r="O56" s="54">
        <v>1200</v>
      </c>
      <c r="P56" s="54">
        <v>56946</v>
      </c>
      <c r="Q56" s="54">
        <v>21292</v>
      </c>
      <c r="R56" s="54">
        <v>1200</v>
      </c>
      <c r="S56" s="54">
        <v>44980</v>
      </c>
      <c r="T56" s="54">
        <v>11261</v>
      </c>
      <c r="U56" s="54">
        <v>25974</v>
      </c>
      <c r="V56" s="54"/>
      <c r="W56" s="54"/>
      <c r="X56" s="54"/>
      <c r="Y56" s="54">
        <f t="shared" si="1"/>
        <v>165253</v>
      </c>
      <c r="Z56" s="199">
        <v>310002</v>
      </c>
      <c r="AA56" s="116">
        <v>5</v>
      </c>
      <c r="AB56" s="136">
        <v>44209</v>
      </c>
      <c r="AC56" s="118">
        <v>44225</v>
      </c>
      <c r="AD56" s="199">
        <v>1989</v>
      </c>
      <c r="AE56" s="117">
        <v>105</v>
      </c>
      <c r="AF56" s="136">
        <v>44438</v>
      </c>
      <c r="AG56" s="118">
        <v>44459</v>
      </c>
      <c r="AH56" s="199"/>
      <c r="AI56" s="116"/>
      <c r="AJ56" s="115"/>
      <c r="AK56" s="118"/>
      <c r="AL56" s="199"/>
      <c r="AM56" s="116"/>
      <c r="AN56" s="115"/>
      <c r="AO56" s="118"/>
      <c r="AP56" s="199"/>
      <c r="AQ56" s="116"/>
      <c r="AR56" s="115"/>
      <c r="AS56" s="118"/>
      <c r="AT56" s="137">
        <f t="shared" si="0"/>
        <v>311991</v>
      </c>
      <c r="AU56" s="43">
        <f t="shared" si="2"/>
        <v>146738</v>
      </c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</row>
    <row r="57" spans="1:95" s="96" customFormat="1" ht="22.5">
      <c r="A57" s="39"/>
      <c r="B57" s="51">
        <v>42</v>
      </c>
      <c r="C57" s="51" t="s">
        <v>39</v>
      </c>
      <c r="D57" s="42">
        <v>40020208</v>
      </c>
      <c r="E57" s="52" t="s">
        <v>3140</v>
      </c>
      <c r="F57" s="52" t="s">
        <v>317</v>
      </c>
      <c r="G57" s="56" t="s">
        <v>3083</v>
      </c>
      <c r="H57" s="55" t="s">
        <v>3118</v>
      </c>
      <c r="I57" s="53" t="s">
        <v>44</v>
      </c>
      <c r="J57" s="53">
        <v>575604</v>
      </c>
      <c r="K57" s="54">
        <v>27295</v>
      </c>
      <c r="L57" s="54">
        <v>0</v>
      </c>
      <c r="M57" s="54">
        <v>1286</v>
      </c>
      <c r="N57" s="54">
        <v>64587</v>
      </c>
      <c r="O57" s="54">
        <v>1286</v>
      </c>
      <c r="P57" s="54">
        <v>24474</v>
      </c>
      <c r="Q57" s="54">
        <v>21868</v>
      </c>
      <c r="R57" s="54">
        <v>1286</v>
      </c>
      <c r="S57" s="54">
        <v>60527</v>
      </c>
      <c r="T57" s="54">
        <v>28225</v>
      </c>
      <c r="U57" s="54">
        <v>1286</v>
      </c>
      <c r="V57" s="54"/>
      <c r="W57" s="54"/>
      <c r="X57" s="54"/>
      <c r="Y57" s="54">
        <f t="shared" si="1"/>
        <v>204825</v>
      </c>
      <c r="Z57" s="199">
        <v>359345</v>
      </c>
      <c r="AA57" s="116">
        <v>5</v>
      </c>
      <c r="AB57" s="136">
        <v>44209</v>
      </c>
      <c r="AC57" s="118">
        <v>44225</v>
      </c>
      <c r="AD57" s="199">
        <v>5144</v>
      </c>
      <c r="AE57" s="117">
        <v>95</v>
      </c>
      <c r="AF57" s="136">
        <v>44413</v>
      </c>
      <c r="AG57" s="118">
        <v>44432</v>
      </c>
      <c r="AH57" s="199"/>
      <c r="AI57" s="116"/>
      <c r="AJ57" s="115"/>
      <c r="AK57" s="118"/>
      <c r="AL57" s="199"/>
      <c r="AM57" s="116"/>
      <c r="AN57" s="115"/>
      <c r="AO57" s="118"/>
      <c r="AP57" s="199"/>
      <c r="AQ57" s="116"/>
      <c r="AR57" s="115"/>
      <c r="AS57" s="118"/>
      <c r="AT57" s="137">
        <f t="shared" si="0"/>
        <v>364489</v>
      </c>
      <c r="AU57" s="43">
        <f t="shared" si="2"/>
        <v>159664</v>
      </c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</row>
    <row r="58" spans="1:95" s="96" customFormat="1" ht="22.5">
      <c r="A58" s="39"/>
      <c r="B58" s="51">
        <v>43</v>
      </c>
      <c r="C58" s="51" t="s">
        <v>39</v>
      </c>
      <c r="D58" s="42">
        <v>30086714</v>
      </c>
      <c r="E58" s="52" t="s">
        <v>3141</v>
      </c>
      <c r="F58" s="52" t="s">
        <v>317</v>
      </c>
      <c r="G58" s="56" t="s">
        <v>3083</v>
      </c>
      <c r="H58" s="55" t="s">
        <v>3086</v>
      </c>
      <c r="I58" s="53" t="s">
        <v>44</v>
      </c>
      <c r="J58" s="53" t="s">
        <v>3142</v>
      </c>
      <c r="K58" s="54">
        <v>1255986</v>
      </c>
      <c r="L58" s="54">
        <v>10</v>
      </c>
      <c r="M58" s="54">
        <v>111785</v>
      </c>
      <c r="N58" s="54">
        <v>117550</v>
      </c>
      <c r="O58" s="54">
        <v>110945</v>
      </c>
      <c r="P58" s="54">
        <v>118158</v>
      </c>
      <c r="Q58" s="54">
        <f>123526+39200</f>
        <v>162726</v>
      </c>
      <c r="R58" s="54">
        <v>146332</v>
      </c>
      <c r="S58" s="54">
        <v>185817</v>
      </c>
      <c r="T58" s="54">
        <v>176113</v>
      </c>
      <c r="U58" s="54">
        <v>97794</v>
      </c>
      <c r="V58" s="54"/>
      <c r="W58" s="54"/>
      <c r="X58" s="54"/>
      <c r="Y58" s="54">
        <f t="shared" si="1"/>
        <v>1227220</v>
      </c>
      <c r="Z58" s="199">
        <v>2020002</v>
      </c>
      <c r="AA58" s="116">
        <v>5</v>
      </c>
      <c r="AB58" s="136">
        <v>44209</v>
      </c>
      <c r="AC58" s="118">
        <v>44225</v>
      </c>
      <c r="AD58" s="199">
        <v>99200</v>
      </c>
      <c r="AE58" s="117">
        <v>10</v>
      </c>
      <c r="AF58" s="136">
        <v>44218</v>
      </c>
      <c r="AG58" s="118">
        <v>44239</v>
      </c>
      <c r="AH58" s="199">
        <v>-500000</v>
      </c>
      <c r="AI58" s="116">
        <v>93</v>
      </c>
      <c r="AJ58" s="136">
        <v>44400</v>
      </c>
      <c r="AK58" s="118">
        <v>44414</v>
      </c>
      <c r="AL58" s="199"/>
      <c r="AM58" s="116"/>
      <c r="AN58" s="115"/>
      <c r="AO58" s="118"/>
      <c r="AP58" s="199"/>
      <c r="AQ58" s="116"/>
      <c r="AR58" s="115"/>
      <c r="AS58" s="118"/>
      <c r="AT58" s="137">
        <f t="shared" si="0"/>
        <v>1619202</v>
      </c>
      <c r="AU58" s="43">
        <f t="shared" si="2"/>
        <v>391982</v>
      </c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</row>
    <row r="59" spans="1:95" s="96" customFormat="1" ht="22.5">
      <c r="A59" s="39"/>
      <c r="B59" s="51">
        <v>44</v>
      </c>
      <c r="C59" s="51" t="s">
        <v>39</v>
      </c>
      <c r="D59" s="42">
        <v>30071098</v>
      </c>
      <c r="E59" s="52" t="s">
        <v>3143</v>
      </c>
      <c r="F59" s="52" t="s">
        <v>47</v>
      </c>
      <c r="G59" s="56" t="s">
        <v>3083</v>
      </c>
      <c r="H59" s="55" t="s">
        <v>3094</v>
      </c>
      <c r="I59" s="53" t="s">
        <v>44</v>
      </c>
      <c r="J59" s="53">
        <v>243780</v>
      </c>
      <c r="K59" s="54">
        <v>159001</v>
      </c>
      <c r="L59" s="54">
        <v>19878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/>
      <c r="W59" s="54"/>
      <c r="X59" s="54"/>
      <c r="Y59" s="54">
        <f t="shared" si="1"/>
        <v>0</v>
      </c>
      <c r="Z59" s="199">
        <v>60000</v>
      </c>
      <c r="AA59" s="116">
        <v>6</v>
      </c>
      <c r="AB59" s="136">
        <v>44209</v>
      </c>
      <c r="AC59" s="118">
        <v>44225</v>
      </c>
      <c r="AD59" s="199">
        <v>-59000</v>
      </c>
      <c r="AE59" s="117">
        <v>105</v>
      </c>
      <c r="AF59" s="136">
        <v>44438</v>
      </c>
      <c r="AG59" s="118">
        <v>44459</v>
      </c>
      <c r="AH59" s="199"/>
      <c r="AI59" s="116"/>
      <c r="AJ59" s="115"/>
      <c r="AK59" s="118"/>
      <c r="AL59" s="199"/>
      <c r="AM59" s="116"/>
      <c r="AN59" s="115"/>
      <c r="AO59" s="118"/>
      <c r="AP59" s="199"/>
      <c r="AQ59" s="116"/>
      <c r="AR59" s="115"/>
      <c r="AS59" s="118"/>
      <c r="AT59" s="137">
        <f t="shared" si="0"/>
        <v>1000</v>
      </c>
      <c r="AU59" s="43">
        <f t="shared" si="2"/>
        <v>1000</v>
      </c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</row>
    <row r="60" spans="1:95" s="96" customFormat="1" ht="22.5">
      <c r="A60" s="39"/>
      <c r="B60" s="51">
        <v>45</v>
      </c>
      <c r="C60" s="51" t="s">
        <v>39</v>
      </c>
      <c r="D60" s="42">
        <v>30103018</v>
      </c>
      <c r="E60" s="52" t="s">
        <v>3144</v>
      </c>
      <c r="F60" s="52" t="s">
        <v>47</v>
      </c>
      <c r="G60" s="56" t="s">
        <v>3083</v>
      </c>
      <c r="H60" s="55" t="s">
        <v>3086</v>
      </c>
      <c r="I60" s="53" t="s">
        <v>44</v>
      </c>
      <c r="J60" s="53">
        <v>215023</v>
      </c>
      <c r="K60" s="54">
        <v>9082</v>
      </c>
      <c r="L60" s="54">
        <v>1442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25115</v>
      </c>
      <c r="U60" s="54">
        <v>6410</v>
      </c>
      <c r="V60" s="54"/>
      <c r="W60" s="54"/>
      <c r="X60" s="54"/>
      <c r="Y60" s="54">
        <f t="shared" si="1"/>
        <v>31525</v>
      </c>
      <c r="Z60" s="199">
        <v>50000</v>
      </c>
      <c r="AA60" s="116">
        <v>6</v>
      </c>
      <c r="AB60" s="136">
        <v>44209</v>
      </c>
      <c r="AC60" s="118">
        <v>44225</v>
      </c>
      <c r="AD60" s="199">
        <v>2400</v>
      </c>
      <c r="AE60" s="117">
        <v>105</v>
      </c>
      <c r="AF60" s="136">
        <v>44438</v>
      </c>
      <c r="AG60" s="118">
        <v>44459</v>
      </c>
      <c r="AH60" s="199"/>
      <c r="AI60" s="116"/>
      <c r="AJ60" s="115"/>
      <c r="AK60" s="118"/>
      <c r="AL60" s="199"/>
      <c r="AM60" s="116"/>
      <c r="AN60" s="115"/>
      <c r="AO60" s="118"/>
      <c r="AP60" s="199"/>
      <c r="AQ60" s="116"/>
      <c r="AR60" s="115"/>
      <c r="AS60" s="118"/>
      <c r="AT60" s="137">
        <f t="shared" si="0"/>
        <v>52400</v>
      </c>
      <c r="AU60" s="43">
        <f t="shared" si="2"/>
        <v>20875</v>
      </c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</row>
    <row r="61" spans="1:95" s="96" customFormat="1" ht="22.5">
      <c r="A61" s="39"/>
      <c r="B61" s="51">
        <v>46</v>
      </c>
      <c r="C61" s="51" t="s">
        <v>39</v>
      </c>
      <c r="D61" s="42">
        <v>30093342</v>
      </c>
      <c r="E61" s="52" t="s">
        <v>3145</v>
      </c>
      <c r="F61" s="52" t="s">
        <v>47</v>
      </c>
      <c r="G61" s="56" t="s">
        <v>3083</v>
      </c>
      <c r="H61" s="55" t="s">
        <v>3086</v>
      </c>
      <c r="I61" s="53" t="s">
        <v>44</v>
      </c>
      <c r="J61" s="53">
        <v>225244</v>
      </c>
      <c r="K61" s="54">
        <v>12999</v>
      </c>
      <c r="L61" s="54">
        <v>7745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11908</v>
      </c>
      <c r="T61" s="54">
        <v>0</v>
      </c>
      <c r="U61" s="54">
        <v>0</v>
      </c>
      <c r="V61" s="54"/>
      <c r="W61" s="54"/>
      <c r="X61" s="54"/>
      <c r="Y61" s="54">
        <f t="shared" si="1"/>
        <v>11908</v>
      </c>
      <c r="Z61" s="199">
        <v>60000</v>
      </c>
      <c r="AA61" s="116">
        <v>6</v>
      </c>
      <c r="AB61" s="136">
        <v>44209</v>
      </c>
      <c r="AC61" s="118">
        <v>44225</v>
      </c>
      <c r="AD61" s="199"/>
      <c r="AE61" s="117"/>
      <c r="AF61" s="115"/>
      <c r="AG61" s="118"/>
      <c r="AH61" s="199"/>
      <c r="AI61" s="116"/>
      <c r="AJ61" s="115"/>
      <c r="AK61" s="118"/>
      <c r="AL61" s="199"/>
      <c r="AM61" s="116"/>
      <c r="AN61" s="115"/>
      <c r="AO61" s="118"/>
      <c r="AP61" s="199"/>
      <c r="AQ61" s="116"/>
      <c r="AR61" s="115"/>
      <c r="AS61" s="118"/>
      <c r="AT61" s="137">
        <f t="shared" si="0"/>
        <v>60000</v>
      </c>
      <c r="AU61" s="43">
        <f t="shared" si="2"/>
        <v>48092</v>
      </c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</row>
    <row r="62" spans="1:95" s="96" customFormat="1" ht="22.5">
      <c r="A62" s="39"/>
      <c r="B62" s="51">
        <v>47</v>
      </c>
      <c r="C62" s="51" t="s">
        <v>39</v>
      </c>
      <c r="D62" s="42">
        <v>30110451</v>
      </c>
      <c r="E62" s="52" t="s">
        <v>3146</v>
      </c>
      <c r="F62" s="52" t="s">
        <v>317</v>
      </c>
      <c r="G62" s="56" t="s">
        <v>3083</v>
      </c>
      <c r="H62" s="55" t="s">
        <v>3086</v>
      </c>
      <c r="I62" s="53" t="s">
        <v>44</v>
      </c>
      <c r="J62" s="53">
        <v>1132088</v>
      </c>
      <c r="K62" s="54">
        <v>1053958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/>
      <c r="W62" s="54"/>
      <c r="X62" s="54"/>
      <c r="Y62" s="54">
        <f t="shared" si="1"/>
        <v>0</v>
      </c>
      <c r="Z62" s="199">
        <v>85199</v>
      </c>
      <c r="AA62" s="116">
        <v>7</v>
      </c>
      <c r="AB62" s="136">
        <v>44214</v>
      </c>
      <c r="AC62" s="118">
        <v>44229</v>
      </c>
      <c r="AD62" s="199"/>
      <c r="AE62" s="117"/>
      <c r="AF62" s="115"/>
      <c r="AG62" s="118"/>
      <c r="AH62" s="199"/>
      <c r="AI62" s="116"/>
      <c r="AJ62" s="115"/>
      <c r="AK62" s="118"/>
      <c r="AL62" s="199"/>
      <c r="AM62" s="116"/>
      <c r="AN62" s="115"/>
      <c r="AO62" s="118"/>
      <c r="AP62" s="199"/>
      <c r="AQ62" s="116"/>
      <c r="AR62" s="115"/>
      <c r="AS62" s="118"/>
      <c r="AT62" s="137">
        <f t="shared" si="0"/>
        <v>85199</v>
      </c>
      <c r="AU62" s="43">
        <f t="shared" si="2"/>
        <v>85199</v>
      </c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</row>
    <row r="63" spans="1:95" s="96" customFormat="1" ht="22.5">
      <c r="A63" s="39"/>
      <c r="B63" s="51">
        <v>48</v>
      </c>
      <c r="C63" s="51" t="s">
        <v>39</v>
      </c>
      <c r="D63" s="42">
        <v>30117057</v>
      </c>
      <c r="E63" s="52" t="s">
        <v>3147</v>
      </c>
      <c r="F63" s="52" t="s">
        <v>47</v>
      </c>
      <c r="G63" s="56" t="s">
        <v>3083</v>
      </c>
      <c r="H63" s="55" t="s">
        <v>3109</v>
      </c>
      <c r="I63" s="53" t="s">
        <v>44</v>
      </c>
      <c r="J63" s="53">
        <v>84245</v>
      </c>
      <c r="K63" s="54">
        <v>53542</v>
      </c>
      <c r="L63" s="54">
        <v>0</v>
      </c>
      <c r="M63" s="54">
        <v>0</v>
      </c>
      <c r="N63" s="54">
        <v>8168</v>
      </c>
      <c r="O63" s="54">
        <v>0</v>
      </c>
      <c r="P63" s="54">
        <v>0</v>
      </c>
      <c r="Q63" s="54">
        <v>0</v>
      </c>
      <c r="R63" s="54">
        <v>0</v>
      </c>
      <c r="S63" s="54">
        <v>11042</v>
      </c>
      <c r="T63" s="54">
        <v>0</v>
      </c>
      <c r="U63" s="54">
        <v>0</v>
      </c>
      <c r="V63" s="54"/>
      <c r="W63" s="54"/>
      <c r="X63" s="54"/>
      <c r="Y63" s="54">
        <f t="shared" si="1"/>
        <v>19210</v>
      </c>
      <c r="Z63" s="199">
        <v>27079</v>
      </c>
      <c r="AA63" s="116">
        <v>7</v>
      </c>
      <c r="AB63" s="136">
        <v>44214</v>
      </c>
      <c r="AC63" s="118">
        <v>44229</v>
      </c>
      <c r="AD63" s="199"/>
      <c r="AE63" s="117"/>
      <c r="AF63" s="115"/>
      <c r="AG63" s="118"/>
      <c r="AH63" s="199"/>
      <c r="AI63" s="116"/>
      <c r="AJ63" s="115"/>
      <c r="AK63" s="118"/>
      <c r="AL63" s="199"/>
      <c r="AM63" s="116"/>
      <c r="AN63" s="115"/>
      <c r="AO63" s="118"/>
      <c r="AP63" s="199"/>
      <c r="AQ63" s="116"/>
      <c r="AR63" s="115"/>
      <c r="AS63" s="118"/>
      <c r="AT63" s="137">
        <f t="shared" si="0"/>
        <v>27079</v>
      </c>
      <c r="AU63" s="43">
        <f t="shared" si="2"/>
        <v>7869</v>
      </c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</row>
    <row r="64" spans="1:95" s="96" customFormat="1" ht="33.75">
      <c r="A64" s="39"/>
      <c r="B64" s="51">
        <v>49</v>
      </c>
      <c r="C64" s="51" t="s">
        <v>39</v>
      </c>
      <c r="D64" s="42">
        <v>30086459</v>
      </c>
      <c r="E64" s="52" t="s">
        <v>3148</v>
      </c>
      <c r="F64" s="52" t="s">
        <v>317</v>
      </c>
      <c r="G64" s="56" t="s">
        <v>3083</v>
      </c>
      <c r="H64" s="55" t="s">
        <v>3126</v>
      </c>
      <c r="I64" s="53" t="s">
        <v>44</v>
      </c>
      <c r="J64" s="53">
        <v>4717535</v>
      </c>
      <c r="K64" s="54">
        <v>295145</v>
      </c>
      <c r="L64" s="54">
        <v>37765</v>
      </c>
      <c r="M64" s="54">
        <v>0</v>
      </c>
      <c r="N64" s="54">
        <v>192132</v>
      </c>
      <c r="O64" s="54">
        <v>382200</v>
      </c>
      <c r="P64" s="54">
        <v>191100</v>
      </c>
      <c r="Q64" s="54">
        <v>564503</v>
      </c>
      <c r="R64" s="54">
        <v>250000</v>
      </c>
      <c r="S64" s="54">
        <v>191100</v>
      </c>
      <c r="T64" s="54">
        <v>191100</v>
      </c>
      <c r="U64" s="54">
        <v>191100</v>
      </c>
      <c r="V64" s="54"/>
      <c r="W64" s="54"/>
      <c r="X64" s="54"/>
      <c r="Y64" s="54">
        <f t="shared" si="1"/>
        <v>2153235</v>
      </c>
      <c r="Z64" s="199">
        <v>1512589</v>
      </c>
      <c r="AA64" s="116">
        <v>7</v>
      </c>
      <c r="AB64" s="136">
        <v>44214</v>
      </c>
      <c r="AC64" s="118">
        <v>44229</v>
      </c>
      <c r="AD64" s="199">
        <v>66698</v>
      </c>
      <c r="AE64" s="117">
        <v>12</v>
      </c>
      <c r="AF64" s="136">
        <v>44228</v>
      </c>
      <c r="AG64" s="118">
        <v>44246</v>
      </c>
      <c r="AH64" s="199">
        <v>800000</v>
      </c>
      <c r="AI64" s="116">
        <v>61</v>
      </c>
      <c r="AJ64" s="136">
        <v>44351</v>
      </c>
      <c r="AK64" s="118">
        <v>44372</v>
      </c>
      <c r="AL64" s="199"/>
      <c r="AM64" s="116"/>
      <c r="AN64" s="115"/>
      <c r="AO64" s="118"/>
      <c r="AP64" s="199"/>
      <c r="AQ64" s="116"/>
      <c r="AR64" s="115"/>
      <c r="AS64" s="118"/>
      <c r="AT64" s="137">
        <f t="shared" si="0"/>
        <v>2379287</v>
      </c>
      <c r="AU64" s="43">
        <f t="shared" si="2"/>
        <v>226052</v>
      </c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</row>
    <row r="65" spans="1:95" s="96" customFormat="1" ht="22.5">
      <c r="A65" s="39"/>
      <c r="B65" s="51">
        <v>50</v>
      </c>
      <c r="C65" s="51" t="s">
        <v>39</v>
      </c>
      <c r="D65" s="42">
        <v>30355582</v>
      </c>
      <c r="E65" s="52" t="s">
        <v>3149</v>
      </c>
      <c r="F65" s="52" t="s">
        <v>317</v>
      </c>
      <c r="G65" s="56" t="s">
        <v>3083</v>
      </c>
      <c r="H65" s="55" t="s">
        <v>3086</v>
      </c>
      <c r="I65" s="53" t="s">
        <v>44</v>
      </c>
      <c r="J65" s="53">
        <v>2044931</v>
      </c>
      <c r="K65" s="54">
        <v>143276</v>
      </c>
      <c r="L65" s="54">
        <v>0</v>
      </c>
      <c r="M65" s="54">
        <v>0</v>
      </c>
      <c r="N65" s="54">
        <v>1533</v>
      </c>
      <c r="O65" s="54">
        <v>141991</v>
      </c>
      <c r="P65" s="54">
        <v>27254</v>
      </c>
      <c r="Q65" s="54">
        <v>4000</v>
      </c>
      <c r="R65" s="54">
        <v>33801</v>
      </c>
      <c r="S65" s="54">
        <v>12766</v>
      </c>
      <c r="T65" s="54">
        <v>39589</v>
      </c>
      <c r="U65" s="54">
        <v>34291</v>
      </c>
      <c r="V65" s="54"/>
      <c r="W65" s="54"/>
      <c r="X65" s="54"/>
      <c r="Y65" s="54">
        <f t="shared" si="1"/>
        <v>295225</v>
      </c>
      <c r="Z65" s="199">
        <v>1079136</v>
      </c>
      <c r="AA65" s="116">
        <v>8</v>
      </c>
      <c r="AB65" s="136">
        <v>44215</v>
      </c>
      <c r="AC65" s="118">
        <v>44231</v>
      </c>
      <c r="AD65" s="199">
        <v>-300000</v>
      </c>
      <c r="AE65" s="117">
        <v>95</v>
      </c>
      <c r="AF65" s="136">
        <v>44413</v>
      </c>
      <c r="AG65" s="118">
        <v>44432</v>
      </c>
      <c r="AH65" s="199"/>
      <c r="AI65" s="116"/>
      <c r="AJ65" s="115"/>
      <c r="AK65" s="118"/>
      <c r="AL65" s="199"/>
      <c r="AM65" s="116"/>
      <c r="AN65" s="115"/>
      <c r="AO65" s="118"/>
      <c r="AP65" s="199"/>
      <c r="AQ65" s="116"/>
      <c r="AR65" s="115"/>
      <c r="AS65" s="118"/>
      <c r="AT65" s="137">
        <f t="shared" si="0"/>
        <v>779136</v>
      </c>
      <c r="AU65" s="43">
        <f t="shared" si="2"/>
        <v>483911</v>
      </c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</row>
    <row r="66" spans="1:95" s="96" customFormat="1" ht="22.5">
      <c r="A66" s="39"/>
      <c r="B66" s="51">
        <v>51</v>
      </c>
      <c r="C66" s="51" t="s">
        <v>39</v>
      </c>
      <c r="D66" s="42">
        <v>30129627</v>
      </c>
      <c r="E66" s="52" t="s">
        <v>3150</v>
      </c>
      <c r="F66" s="52" t="s">
        <v>317</v>
      </c>
      <c r="G66" s="56" t="s">
        <v>3083</v>
      </c>
      <c r="H66" s="55" t="s">
        <v>3124</v>
      </c>
      <c r="I66" s="53" t="s">
        <v>44</v>
      </c>
      <c r="J66" s="53" t="s">
        <v>3151</v>
      </c>
      <c r="K66" s="54">
        <v>404715</v>
      </c>
      <c r="L66" s="54">
        <v>0</v>
      </c>
      <c r="M66" s="54">
        <v>0</v>
      </c>
      <c r="N66" s="54">
        <v>1900</v>
      </c>
      <c r="O66" s="54"/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20336</v>
      </c>
      <c r="V66" s="54"/>
      <c r="W66" s="54"/>
      <c r="X66" s="54"/>
      <c r="Y66" s="54">
        <f t="shared" si="1"/>
        <v>22236</v>
      </c>
      <c r="Z66" s="199">
        <v>205870</v>
      </c>
      <c r="AA66" s="116">
        <v>8</v>
      </c>
      <c r="AB66" s="136">
        <v>44215</v>
      </c>
      <c r="AC66" s="118">
        <v>44231</v>
      </c>
      <c r="AD66" s="199">
        <v>124962</v>
      </c>
      <c r="AE66" s="117">
        <v>16</v>
      </c>
      <c r="AF66" s="136">
        <v>44245</v>
      </c>
      <c r="AG66" s="118">
        <v>44267</v>
      </c>
      <c r="AH66" s="199">
        <v>-180962</v>
      </c>
      <c r="AI66" s="116">
        <v>29</v>
      </c>
      <c r="AJ66" s="136">
        <v>44270</v>
      </c>
      <c r="AK66" s="118">
        <v>44286</v>
      </c>
      <c r="AL66" s="199">
        <v>68019</v>
      </c>
      <c r="AM66" s="116">
        <v>61</v>
      </c>
      <c r="AN66" s="136">
        <v>44351</v>
      </c>
      <c r="AO66" s="118">
        <v>44372</v>
      </c>
      <c r="AP66" s="199">
        <v>20233</v>
      </c>
      <c r="AQ66" s="116">
        <v>105</v>
      </c>
      <c r="AR66" s="136">
        <v>44438</v>
      </c>
      <c r="AS66" s="118">
        <v>44459</v>
      </c>
      <c r="AT66" s="137">
        <f>+Z66+AD66+AH66+AL66+AP66</f>
        <v>238122</v>
      </c>
      <c r="AU66" s="43">
        <f t="shared" si="2"/>
        <v>215886</v>
      </c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</row>
    <row r="67" spans="1:95" s="96" customFormat="1" ht="22.5">
      <c r="A67" s="39"/>
      <c r="B67" s="51">
        <v>52</v>
      </c>
      <c r="C67" s="51" t="s">
        <v>39</v>
      </c>
      <c r="D67" s="42">
        <v>30484239</v>
      </c>
      <c r="E67" s="52" t="s">
        <v>3152</v>
      </c>
      <c r="F67" s="52" t="s">
        <v>317</v>
      </c>
      <c r="G67" s="56" t="s">
        <v>3083</v>
      </c>
      <c r="H67" s="55" t="s">
        <v>3124</v>
      </c>
      <c r="I67" s="53" t="s">
        <v>44</v>
      </c>
      <c r="J67" s="53">
        <v>460227</v>
      </c>
      <c r="K67" s="54">
        <v>279037</v>
      </c>
      <c r="L67" s="54">
        <v>0</v>
      </c>
      <c r="M67" s="54">
        <v>0</v>
      </c>
      <c r="N67" s="54">
        <v>3371</v>
      </c>
      <c r="O67" s="54">
        <v>42292</v>
      </c>
      <c r="P67" s="54">
        <v>15540</v>
      </c>
      <c r="Q67" s="54">
        <v>38381</v>
      </c>
      <c r="R67" s="54">
        <v>0</v>
      </c>
      <c r="S67" s="54">
        <v>49599</v>
      </c>
      <c r="T67" s="54">
        <v>0</v>
      </c>
      <c r="U67" s="54">
        <v>0</v>
      </c>
      <c r="V67" s="54"/>
      <c r="W67" s="54"/>
      <c r="X67" s="54"/>
      <c r="Y67" s="54">
        <f t="shared" si="1"/>
        <v>149183</v>
      </c>
      <c r="Z67" s="199">
        <v>167570</v>
      </c>
      <c r="AA67" s="116">
        <v>8</v>
      </c>
      <c r="AB67" s="136">
        <v>44215</v>
      </c>
      <c r="AC67" s="118">
        <v>44231</v>
      </c>
      <c r="AD67" s="199"/>
      <c r="AE67" s="117"/>
      <c r="AF67" s="115"/>
      <c r="AG67" s="118"/>
      <c r="AH67" s="199"/>
      <c r="AI67" s="116"/>
      <c r="AJ67" s="115"/>
      <c r="AK67" s="118"/>
      <c r="AL67" s="199"/>
      <c r="AM67" s="116"/>
      <c r="AN67" s="115"/>
      <c r="AO67" s="118"/>
      <c r="AP67" s="199"/>
      <c r="AQ67" s="116"/>
      <c r="AR67" s="115"/>
      <c r="AS67" s="118"/>
      <c r="AT67" s="137">
        <f t="shared" si="0"/>
        <v>167570</v>
      </c>
      <c r="AU67" s="43">
        <f t="shared" si="2"/>
        <v>18387</v>
      </c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</row>
    <row r="68" spans="1:95" s="96" customFormat="1">
      <c r="A68" s="39"/>
      <c r="B68" s="51">
        <v>53</v>
      </c>
      <c r="C68" s="51" t="s">
        <v>39</v>
      </c>
      <c r="D68" s="42">
        <v>30137674</v>
      </c>
      <c r="E68" s="52" t="s">
        <v>3153</v>
      </c>
      <c r="F68" s="52" t="s">
        <v>317</v>
      </c>
      <c r="G68" s="56" t="s">
        <v>3083</v>
      </c>
      <c r="H68" s="55" t="s">
        <v>3086</v>
      </c>
      <c r="I68" s="53" t="s">
        <v>44</v>
      </c>
      <c r="J68" s="53">
        <v>616312</v>
      </c>
      <c r="K68" s="54">
        <v>599059</v>
      </c>
      <c r="L68" s="54">
        <v>1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/>
      <c r="W68" s="54"/>
      <c r="X68" s="54"/>
      <c r="Y68" s="54">
        <f t="shared" si="1"/>
        <v>0</v>
      </c>
      <c r="Z68" s="199">
        <v>17251</v>
      </c>
      <c r="AA68" s="116">
        <v>9</v>
      </c>
      <c r="AB68" s="136">
        <v>44216</v>
      </c>
      <c r="AC68" s="118">
        <v>44231</v>
      </c>
      <c r="AD68" s="199"/>
      <c r="AE68" s="117"/>
      <c r="AF68" s="115"/>
      <c r="AG68" s="118"/>
      <c r="AH68" s="199"/>
      <c r="AI68" s="116"/>
      <c r="AJ68" s="115"/>
      <c r="AK68" s="118"/>
      <c r="AL68" s="199"/>
      <c r="AM68" s="116"/>
      <c r="AN68" s="115"/>
      <c r="AO68" s="118"/>
      <c r="AP68" s="199"/>
      <c r="AQ68" s="116"/>
      <c r="AR68" s="115"/>
      <c r="AS68" s="118"/>
      <c r="AT68" s="137">
        <f t="shared" si="0"/>
        <v>17251</v>
      </c>
      <c r="AU68" s="43">
        <f t="shared" si="2"/>
        <v>17251</v>
      </c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</row>
    <row r="69" spans="1:95" s="96" customFormat="1">
      <c r="A69" s="39"/>
      <c r="B69" s="51">
        <v>54</v>
      </c>
      <c r="C69" s="51" t="s">
        <v>39</v>
      </c>
      <c r="D69" s="42">
        <v>30428075</v>
      </c>
      <c r="E69" s="52" t="s">
        <v>3154</v>
      </c>
      <c r="F69" s="52" t="s">
        <v>47</v>
      </c>
      <c r="G69" s="56" t="s">
        <v>3083</v>
      </c>
      <c r="H69" s="55" t="s">
        <v>3105</v>
      </c>
      <c r="I69" s="53" t="s">
        <v>44</v>
      </c>
      <c r="J69" s="53">
        <v>837681</v>
      </c>
      <c r="K69" s="54">
        <v>751129</v>
      </c>
      <c r="L69" s="54">
        <v>0</v>
      </c>
      <c r="M69" s="54">
        <v>0</v>
      </c>
      <c r="N69" s="54">
        <v>46849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/>
      <c r="W69" s="54"/>
      <c r="X69" s="54"/>
      <c r="Y69" s="54">
        <f t="shared" si="1"/>
        <v>46849</v>
      </c>
      <c r="Z69" s="199">
        <v>76224</v>
      </c>
      <c r="AA69" s="116">
        <v>9</v>
      </c>
      <c r="AB69" s="136">
        <v>44216</v>
      </c>
      <c r="AC69" s="118">
        <v>44231</v>
      </c>
      <c r="AD69" s="199"/>
      <c r="AE69" s="117"/>
      <c r="AF69" s="115"/>
      <c r="AG69" s="118"/>
      <c r="AH69" s="199"/>
      <c r="AI69" s="116"/>
      <c r="AJ69" s="115"/>
      <c r="AK69" s="118"/>
      <c r="AL69" s="199"/>
      <c r="AM69" s="116"/>
      <c r="AN69" s="115"/>
      <c r="AO69" s="118"/>
      <c r="AP69" s="199"/>
      <c r="AQ69" s="116"/>
      <c r="AR69" s="115"/>
      <c r="AS69" s="118"/>
      <c r="AT69" s="137">
        <f t="shared" si="0"/>
        <v>76224</v>
      </c>
      <c r="AU69" s="43">
        <f t="shared" si="2"/>
        <v>29375</v>
      </c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</row>
    <row r="70" spans="1:95" s="96" customFormat="1" ht="22.5">
      <c r="A70" s="39"/>
      <c r="B70" s="51">
        <v>55</v>
      </c>
      <c r="C70" s="51" t="s">
        <v>39</v>
      </c>
      <c r="D70" s="42">
        <v>30116561</v>
      </c>
      <c r="E70" s="52" t="s">
        <v>3155</v>
      </c>
      <c r="F70" s="52" t="s">
        <v>317</v>
      </c>
      <c r="G70" s="56" t="s">
        <v>3083</v>
      </c>
      <c r="H70" s="55" t="s">
        <v>3092</v>
      </c>
      <c r="I70" s="53" t="s">
        <v>44</v>
      </c>
      <c r="J70" s="53">
        <v>2092718</v>
      </c>
      <c r="K70" s="54">
        <v>1996693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44573</v>
      </c>
      <c r="T70" s="54">
        <v>0</v>
      </c>
      <c r="U70" s="54">
        <v>0</v>
      </c>
      <c r="V70" s="54"/>
      <c r="W70" s="54"/>
      <c r="X70" s="54"/>
      <c r="Y70" s="54">
        <f t="shared" si="1"/>
        <v>44573</v>
      </c>
      <c r="Z70" s="199">
        <v>66075</v>
      </c>
      <c r="AA70" s="116">
        <v>9</v>
      </c>
      <c r="AB70" s="136">
        <v>44216</v>
      </c>
      <c r="AC70" s="118">
        <v>44231</v>
      </c>
      <c r="AD70" s="199"/>
      <c r="AE70" s="117"/>
      <c r="AF70" s="115"/>
      <c r="AG70" s="118"/>
      <c r="AH70" s="199"/>
      <c r="AI70" s="116"/>
      <c r="AJ70" s="115"/>
      <c r="AK70" s="118"/>
      <c r="AL70" s="199"/>
      <c r="AM70" s="116"/>
      <c r="AN70" s="115"/>
      <c r="AO70" s="118"/>
      <c r="AP70" s="199"/>
      <c r="AQ70" s="116"/>
      <c r="AR70" s="115"/>
      <c r="AS70" s="118"/>
      <c r="AT70" s="137">
        <f t="shared" si="0"/>
        <v>66075</v>
      </c>
      <c r="AU70" s="43">
        <f t="shared" si="2"/>
        <v>21502</v>
      </c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</row>
    <row r="71" spans="1:95" s="96" customFormat="1" ht="22.5">
      <c r="A71" s="39"/>
      <c r="B71" s="51">
        <v>56</v>
      </c>
      <c r="C71" s="51" t="s">
        <v>39</v>
      </c>
      <c r="D71" s="42">
        <v>30137669</v>
      </c>
      <c r="E71" s="52" t="s">
        <v>3156</v>
      </c>
      <c r="F71" s="52" t="s">
        <v>317</v>
      </c>
      <c r="G71" s="56" t="s">
        <v>3083</v>
      </c>
      <c r="H71" s="55" t="s">
        <v>3132</v>
      </c>
      <c r="I71" s="53" t="s">
        <v>44</v>
      </c>
      <c r="J71" s="53">
        <v>2491150</v>
      </c>
      <c r="K71" s="54">
        <v>212941</v>
      </c>
      <c r="L71" s="54">
        <v>0</v>
      </c>
      <c r="M71" s="54">
        <v>0</v>
      </c>
      <c r="N71" s="54">
        <v>81777</v>
      </c>
      <c r="O71" s="54">
        <v>227428</v>
      </c>
      <c r="P71" s="54">
        <v>131772</v>
      </c>
      <c r="Q71" s="54">
        <v>133825</v>
      </c>
      <c r="R71" s="54">
        <v>176993</v>
      </c>
      <c r="S71" s="54">
        <v>221893</v>
      </c>
      <c r="T71" s="54">
        <v>163206</v>
      </c>
      <c r="U71" s="54">
        <v>325297</v>
      </c>
      <c r="V71" s="54"/>
      <c r="W71" s="54"/>
      <c r="X71" s="54"/>
      <c r="Y71" s="54">
        <f t="shared" si="1"/>
        <v>1462191</v>
      </c>
      <c r="Z71" s="199">
        <v>1189234</v>
      </c>
      <c r="AA71" s="116">
        <v>9</v>
      </c>
      <c r="AB71" s="136">
        <v>44216</v>
      </c>
      <c r="AC71" s="118">
        <v>44231</v>
      </c>
      <c r="AD71" s="199">
        <v>500000</v>
      </c>
      <c r="AE71" s="117">
        <v>61</v>
      </c>
      <c r="AF71" s="136">
        <v>44351</v>
      </c>
      <c r="AG71" s="118">
        <v>44372</v>
      </c>
      <c r="AH71" s="199"/>
      <c r="AI71" s="116"/>
      <c r="AJ71" s="115"/>
      <c r="AK71" s="118"/>
      <c r="AL71" s="199"/>
      <c r="AM71" s="116"/>
      <c r="AN71" s="115"/>
      <c r="AO71" s="118"/>
      <c r="AP71" s="199"/>
      <c r="AQ71" s="116"/>
      <c r="AR71" s="115"/>
      <c r="AS71" s="118"/>
      <c r="AT71" s="137">
        <f t="shared" si="0"/>
        <v>1689234</v>
      </c>
      <c r="AU71" s="43">
        <f t="shared" si="2"/>
        <v>227043</v>
      </c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</row>
    <row r="72" spans="1:95" s="96" customFormat="1" ht="22.5">
      <c r="A72" s="39"/>
      <c r="B72" s="51">
        <v>57</v>
      </c>
      <c r="C72" s="51" t="s">
        <v>39</v>
      </c>
      <c r="D72" s="42">
        <v>30115638</v>
      </c>
      <c r="E72" s="52" t="s">
        <v>3157</v>
      </c>
      <c r="F72" s="52" t="s">
        <v>317</v>
      </c>
      <c r="G72" s="56" t="s">
        <v>3083</v>
      </c>
      <c r="H72" s="55" t="s">
        <v>3126</v>
      </c>
      <c r="I72" s="53" t="s">
        <v>44</v>
      </c>
      <c r="J72" s="53">
        <v>436801</v>
      </c>
      <c r="K72" s="54">
        <v>410034</v>
      </c>
      <c r="L72" s="54">
        <v>0</v>
      </c>
      <c r="M72" s="54">
        <v>0</v>
      </c>
      <c r="N72" s="54">
        <v>0</v>
      </c>
      <c r="O72" s="54">
        <v>17744</v>
      </c>
      <c r="P72" s="54">
        <v>0</v>
      </c>
      <c r="Q72" s="54">
        <v>0</v>
      </c>
      <c r="R72" s="54">
        <v>3349</v>
      </c>
      <c r="S72" s="54">
        <v>0</v>
      </c>
      <c r="T72" s="54">
        <v>0</v>
      </c>
      <c r="U72" s="54">
        <v>4054</v>
      </c>
      <c r="V72" s="54"/>
      <c r="W72" s="54"/>
      <c r="X72" s="54"/>
      <c r="Y72" s="54">
        <f t="shared" si="1"/>
        <v>25147</v>
      </c>
      <c r="Z72" s="199">
        <v>18754</v>
      </c>
      <c r="AA72" s="116">
        <v>9</v>
      </c>
      <c r="AB72" s="136">
        <v>44216</v>
      </c>
      <c r="AC72" s="118">
        <v>44231</v>
      </c>
      <c r="AD72" s="199">
        <v>7447</v>
      </c>
      <c r="AE72" s="117">
        <v>10</v>
      </c>
      <c r="AF72" s="136">
        <v>44218</v>
      </c>
      <c r="AG72" s="118">
        <v>44239</v>
      </c>
      <c r="AH72" s="199"/>
      <c r="AI72" s="116"/>
      <c r="AJ72" s="115"/>
      <c r="AK72" s="118"/>
      <c r="AL72" s="199"/>
      <c r="AM72" s="116"/>
      <c r="AN72" s="115"/>
      <c r="AO72" s="118"/>
      <c r="AP72" s="199"/>
      <c r="AQ72" s="116"/>
      <c r="AR72" s="115"/>
      <c r="AS72" s="118"/>
      <c r="AT72" s="137">
        <f t="shared" si="0"/>
        <v>26201</v>
      </c>
      <c r="AU72" s="43">
        <f t="shared" si="2"/>
        <v>1054</v>
      </c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</row>
    <row r="73" spans="1:95" s="96" customFormat="1" ht="31.5" customHeight="1">
      <c r="A73" s="39"/>
      <c r="B73" s="51">
        <v>58</v>
      </c>
      <c r="C73" s="51" t="s">
        <v>39</v>
      </c>
      <c r="D73" s="42">
        <v>30128894</v>
      </c>
      <c r="E73" s="52" t="s">
        <v>3158</v>
      </c>
      <c r="F73" s="52" t="s">
        <v>317</v>
      </c>
      <c r="G73" s="56" t="s">
        <v>3083</v>
      </c>
      <c r="H73" s="55" t="s">
        <v>3086</v>
      </c>
      <c r="I73" s="53" t="s">
        <v>44</v>
      </c>
      <c r="J73" s="53">
        <v>599766</v>
      </c>
      <c r="K73" s="54">
        <v>150044</v>
      </c>
      <c r="L73" s="54">
        <v>0</v>
      </c>
      <c r="M73" s="54">
        <v>0</v>
      </c>
      <c r="N73" s="54">
        <v>1030</v>
      </c>
      <c r="O73" s="54">
        <v>1545</v>
      </c>
      <c r="P73" s="54">
        <v>0</v>
      </c>
      <c r="Q73" s="54">
        <v>2060</v>
      </c>
      <c r="R73" s="54">
        <v>147301</v>
      </c>
      <c r="S73" s="54">
        <v>1030</v>
      </c>
      <c r="T73" s="54">
        <v>0</v>
      </c>
      <c r="U73" s="54">
        <v>1030</v>
      </c>
      <c r="V73" s="54"/>
      <c r="W73" s="54"/>
      <c r="X73" s="54"/>
      <c r="Y73" s="54">
        <f t="shared" si="1"/>
        <v>153996</v>
      </c>
      <c r="Z73" s="199">
        <v>360300</v>
      </c>
      <c r="AA73" s="116">
        <v>10</v>
      </c>
      <c r="AB73" s="136">
        <v>44218</v>
      </c>
      <c r="AC73" s="118">
        <v>44239</v>
      </c>
      <c r="AD73" s="199">
        <v>83659</v>
      </c>
      <c r="AE73" s="117">
        <v>47</v>
      </c>
      <c r="AF73" s="136">
        <v>44319</v>
      </c>
      <c r="AG73" s="118">
        <v>44340</v>
      </c>
      <c r="AH73" s="199">
        <v>8853</v>
      </c>
      <c r="AI73" s="116">
        <v>61</v>
      </c>
      <c r="AJ73" s="136">
        <v>44351</v>
      </c>
      <c r="AK73" s="118">
        <v>44372</v>
      </c>
      <c r="AL73" s="199"/>
      <c r="AM73" s="116"/>
      <c r="AN73" s="115"/>
      <c r="AO73" s="118"/>
      <c r="AP73" s="199"/>
      <c r="AQ73" s="116"/>
      <c r="AR73" s="115"/>
      <c r="AS73" s="118"/>
      <c r="AT73" s="137">
        <f t="shared" si="0"/>
        <v>452812</v>
      </c>
      <c r="AU73" s="43">
        <f t="shared" si="2"/>
        <v>298816</v>
      </c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</row>
    <row r="74" spans="1:95" s="96" customFormat="1" ht="22.5">
      <c r="A74" s="39"/>
      <c r="B74" s="51">
        <v>59</v>
      </c>
      <c r="C74" s="51" t="s">
        <v>39</v>
      </c>
      <c r="D74" s="42">
        <v>30484345</v>
      </c>
      <c r="E74" s="52" t="s">
        <v>3159</v>
      </c>
      <c r="F74" s="52" t="s">
        <v>47</v>
      </c>
      <c r="G74" s="56" t="s">
        <v>3083</v>
      </c>
      <c r="H74" s="55" t="s">
        <v>3105</v>
      </c>
      <c r="I74" s="53" t="s">
        <v>44</v>
      </c>
      <c r="J74" s="53">
        <v>111341</v>
      </c>
      <c r="K74" s="54">
        <v>11365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/>
      <c r="W74" s="54"/>
      <c r="X74" s="54"/>
      <c r="Y74" s="54">
        <f t="shared" si="1"/>
        <v>0</v>
      </c>
      <c r="Z74" s="199">
        <v>25277</v>
      </c>
      <c r="AA74" s="116">
        <v>10</v>
      </c>
      <c r="AB74" s="136">
        <v>44218</v>
      </c>
      <c r="AC74" s="118">
        <v>44239</v>
      </c>
      <c r="AD74" s="199"/>
      <c r="AE74" s="117"/>
      <c r="AF74" s="115"/>
      <c r="AG74" s="118"/>
      <c r="AH74" s="199"/>
      <c r="AI74" s="116"/>
      <c r="AJ74" s="115"/>
      <c r="AK74" s="118"/>
      <c r="AL74" s="199"/>
      <c r="AM74" s="116"/>
      <c r="AN74" s="115"/>
      <c r="AO74" s="118"/>
      <c r="AP74" s="199"/>
      <c r="AQ74" s="116"/>
      <c r="AR74" s="115"/>
      <c r="AS74" s="118"/>
      <c r="AT74" s="137">
        <f t="shared" si="0"/>
        <v>25277</v>
      </c>
      <c r="AU74" s="43">
        <f t="shared" si="2"/>
        <v>25277</v>
      </c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</row>
    <row r="75" spans="1:95" s="96" customFormat="1" ht="22.5">
      <c r="A75" s="39"/>
      <c r="B75" s="51">
        <v>60</v>
      </c>
      <c r="C75" s="51" t="s">
        <v>39</v>
      </c>
      <c r="D75" s="42">
        <v>30102527</v>
      </c>
      <c r="E75" s="52" t="s">
        <v>3160</v>
      </c>
      <c r="F75" s="52" t="s">
        <v>317</v>
      </c>
      <c r="G75" s="56" t="s">
        <v>3083</v>
      </c>
      <c r="H75" s="55" t="s">
        <v>3094</v>
      </c>
      <c r="I75" s="53" t="s">
        <v>44</v>
      </c>
      <c r="J75" s="53">
        <v>3947349</v>
      </c>
      <c r="K75" s="54">
        <v>3887747</v>
      </c>
      <c r="L75" s="54">
        <v>3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/>
      <c r="W75" s="54"/>
      <c r="X75" s="54"/>
      <c r="Y75" s="54">
        <f t="shared" si="1"/>
        <v>0</v>
      </c>
      <c r="Z75" s="199">
        <v>38257</v>
      </c>
      <c r="AA75" s="116">
        <v>12</v>
      </c>
      <c r="AB75" s="136">
        <v>44228</v>
      </c>
      <c r="AC75" s="118">
        <v>44246</v>
      </c>
      <c r="AD75" s="199"/>
      <c r="AE75" s="117"/>
      <c r="AF75" s="115"/>
      <c r="AG75" s="118"/>
      <c r="AH75" s="199"/>
      <c r="AI75" s="116"/>
      <c r="AJ75" s="115"/>
      <c r="AK75" s="118"/>
      <c r="AL75" s="199"/>
      <c r="AM75" s="116"/>
      <c r="AN75" s="115"/>
      <c r="AO75" s="118"/>
      <c r="AP75" s="199"/>
      <c r="AQ75" s="116"/>
      <c r="AR75" s="115"/>
      <c r="AS75" s="118"/>
      <c r="AT75" s="137">
        <f t="shared" si="0"/>
        <v>38257</v>
      </c>
      <c r="AU75" s="43">
        <f t="shared" si="2"/>
        <v>38257</v>
      </c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</row>
    <row r="76" spans="1:95" s="96" customFormat="1" ht="22.5">
      <c r="A76" s="39"/>
      <c r="B76" s="51">
        <v>61</v>
      </c>
      <c r="C76" s="51" t="s">
        <v>39</v>
      </c>
      <c r="D76" s="42">
        <v>30111219</v>
      </c>
      <c r="E76" s="52" t="s">
        <v>3161</v>
      </c>
      <c r="F76" s="52" t="s">
        <v>317</v>
      </c>
      <c r="G76" s="56" t="s">
        <v>3083</v>
      </c>
      <c r="H76" s="55" t="s">
        <v>3086</v>
      </c>
      <c r="I76" s="53" t="s">
        <v>44</v>
      </c>
      <c r="J76" s="53">
        <v>363465</v>
      </c>
      <c r="K76" s="54">
        <v>63650</v>
      </c>
      <c r="L76" s="54">
        <v>0</v>
      </c>
      <c r="M76" s="54">
        <v>0</v>
      </c>
      <c r="N76" s="54">
        <v>0</v>
      </c>
      <c r="O76" s="54">
        <v>12680</v>
      </c>
      <c r="P76" s="54">
        <v>0</v>
      </c>
      <c r="Q76" s="54">
        <v>0</v>
      </c>
      <c r="R76" s="54">
        <v>6340</v>
      </c>
      <c r="S76" s="54">
        <v>0</v>
      </c>
      <c r="T76" s="54">
        <v>9300</v>
      </c>
      <c r="U76" s="54">
        <v>0</v>
      </c>
      <c r="V76" s="54"/>
      <c r="W76" s="54"/>
      <c r="X76" s="54"/>
      <c r="Y76" s="54">
        <f t="shared" si="1"/>
        <v>28320</v>
      </c>
      <c r="Z76" s="199">
        <v>20000</v>
      </c>
      <c r="AA76" s="116">
        <v>14</v>
      </c>
      <c r="AB76" s="136">
        <v>44237</v>
      </c>
      <c r="AC76" s="118">
        <v>44252</v>
      </c>
      <c r="AD76" s="199">
        <v>20001</v>
      </c>
      <c r="AE76" s="117">
        <v>61</v>
      </c>
      <c r="AF76" s="136">
        <v>44351</v>
      </c>
      <c r="AG76" s="118">
        <v>44372</v>
      </c>
      <c r="AH76" s="199"/>
      <c r="AI76" s="116"/>
      <c r="AJ76" s="115"/>
      <c r="AK76" s="118"/>
      <c r="AL76" s="199"/>
      <c r="AM76" s="116"/>
      <c r="AN76" s="115"/>
      <c r="AO76" s="118"/>
      <c r="AP76" s="199"/>
      <c r="AQ76" s="116"/>
      <c r="AR76" s="115"/>
      <c r="AS76" s="118"/>
      <c r="AT76" s="137">
        <f t="shared" si="0"/>
        <v>40001</v>
      </c>
      <c r="AU76" s="43">
        <f t="shared" si="2"/>
        <v>11681</v>
      </c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</row>
    <row r="77" spans="1:95" s="96" customFormat="1" ht="22.5">
      <c r="A77" s="39"/>
      <c r="B77" s="51">
        <v>62</v>
      </c>
      <c r="C77" s="51" t="s">
        <v>39</v>
      </c>
      <c r="D77" s="42">
        <v>30487094</v>
      </c>
      <c r="E77" s="52" t="s">
        <v>3162</v>
      </c>
      <c r="F77" s="52" t="s">
        <v>317</v>
      </c>
      <c r="G77" s="56" t="s">
        <v>3083</v>
      </c>
      <c r="H77" s="55" t="s">
        <v>3086</v>
      </c>
      <c r="I77" s="53" t="s">
        <v>52</v>
      </c>
      <c r="J77" s="53">
        <v>1798077</v>
      </c>
      <c r="K77" s="54">
        <v>0</v>
      </c>
      <c r="L77" s="54">
        <v>756668</v>
      </c>
      <c r="M77" s="54">
        <v>0</v>
      </c>
      <c r="N77" s="54">
        <v>0</v>
      </c>
      <c r="O77" s="54">
        <v>1500</v>
      </c>
      <c r="P77" s="54">
        <v>250899</v>
      </c>
      <c r="Q77" s="54">
        <v>113905</v>
      </c>
      <c r="R77" s="54">
        <v>69890</v>
      </c>
      <c r="S77" s="54">
        <v>66581</v>
      </c>
      <c r="T77" s="54">
        <v>81485</v>
      </c>
      <c r="U77" s="54">
        <v>104602</v>
      </c>
      <c r="V77" s="54"/>
      <c r="W77" s="54"/>
      <c r="X77" s="54"/>
      <c r="Y77" s="54">
        <f t="shared" si="1"/>
        <v>688862</v>
      </c>
      <c r="Z77" s="199">
        <v>316621</v>
      </c>
      <c r="AA77" s="116">
        <v>15</v>
      </c>
      <c r="AB77" s="136">
        <v>44245</v>
      </c>
      <c r="AC77" s="118">
        <v>44267</v>
      </c>
      <c r="AD77" s="199">
        <v>600000</v>
      </c>
      <c r="AE77" s="117">
        <v>48</v>
      </c>
      <c r="AF77" s="136">
        <v>44319</v>
      </c>
      <c r="AG77" s="118">
        <v>44340</v>
      </c>
      <c r="AH77" s="199"/>
      <c r="AI77" s="116"/>
      <c r="AJ77" s="115"/>
      <c r="AK77" s="118"/>
      <c r="AL77" s="199"/>
      <c r="AM77" s="116"/>
      <c r="AN77" s="115"/>
      <c r="AO77" s="118"/>
      <c r="AP77" s="199"/>
      <c r="AQ77" s="116"/>
      <c r="AR77" s="115"/>
      <c r="AS77" s="118"/>
      <c r="AT77" s="137">
        <f t="shared" si="0"/>
        <v>916621</v>
      </c>
      <c r="AU77" s="43">
        <f t="shared" si="2"/>
        <v>227759</v>
      </c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</row>
    <row r="78" spans="1:95" s="96" customFormat="1" ht="33.75">
      <c r="A78" s="39"/>
      <c r="B78" s="51">
        <v>63</v>
      </c>
      <c r="C78" s="51" t="s">
        <v>39</v>
      </c>
      <c r="D78" s="42">
        <v>30096892</v>
      </c>
      <c r="E78" s="52" t="s">
        <v>3163</v>
      </c>
      <c r="F78" s="52" t="s">
        <v>317</v>
      </c>
      <c r="G78" s="56" t="s">
        <v>3083</v>
      </c>
      <c r="H78" s="55" t="s">
        <v>3086</v>
      </c>
      <c r="I78" s="53" t="s">
        <v>52</v>
      </c>
      <c r="J78" s="53" t="s">
        <v>3164</v>
      </c>
      <c r="K78" s="54">
        <v>0</v>
      </c>
      <c r="L78" s="54">
        <v>226050</v>
      </c>
      <c r="M78" s="54">
        <v>0</v>
      </c>
      <c r="N78" s="54">
        <v>0</v>
      </c>
      <c r="O78" s="54">
        <v>0</v>
      </c>
      <c r="P78" s="54">
        <v>55227</v>
      </c>
      <c r="Q78" s="54">
        <v>87276</v>
      </c>
      <c r="R78" s="54">
        <v>0</v>
      </c>
      <c r="S78" s="54">
        <v>157496</v>
      </c>
      <c r="T78" s="54">
        <v>53360</v>
      </c>
      <c r="U78" s="54">
        <v>122929</v>
      </c>
      <c r="V78" s="54"/>
      <c r="W78" s="54"/>
      <c r="X78" s="54"/>
      <c r="Y78" s="54">
        <f t="shared" si="1"/>
        <v>476288</v>
      </c>
      <c r="Z78" s="199">
        <v>316080</v>
      </c>
      <c r="AA78" s="116">
        <v>15</v>
      </c>
      <c r="AB78" s="136">
        <v>44245</v>
      </c>
      <c r="AC78" s="118">
        <v>44267</v>
      </c>
      <c r="AD78" s="199">
        <v>500000</v>
      </c>
      <c r="AE78" s="117">
        <v>93</v>
      </c>
      <c r="AF78" s="136">
        <v>44400</v>
      </c>
      <c r="AG78" s="118">
        <v>44414</v>
      </c>
      <c r="AH78" s="199"/>
      <c r="AI78" s="116"/>
      <c r="AJ78" s="115"/>
      <c r="AK78" s="118"/>
      <c r="AL78" s="199"/>
      <c r="AM78" s="116"/>
      <c r="AN78" s="115"/>
      <c r="AO78" s="118"/>
      <c r="AP78" s="199"/>
      <c r="AQ78" s="116"/>
      <c r="AR78" s="115"/>
      <c r="AS78" s="118"/>
      <c r="AT78" s="137">
        <f t="shared" si="0"/>
        <v>816080</v>
      </c>
      <c r="AU78" s="43">
        <f t="shared" si="2"/>
        <v>339792</v>
      </c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</row>
    <row r="79" spans="1:95" s="96" customFormat="1" ht="33.75">
      <c r="A79" s="39"/>
      <c r="B79" s="51">
        <v>64</v>
      </c>
      <c r="C79" s="51" t="s">
        <v>39</v>
      </c>
      <c r="D79" s="42">
        <v>40003040</v>
      </c>
      <c r="E79" s="52" t="s">
        <v>3165</v>
      </c>
      <c r="F79" s="52" t="s">
        <v>47</v>
      </c>
      <c r="G79" s="56" t="s">
        <v>3083</v>
      </c>
      <c r="H79" s="55" t="s">
        <v>3086</v>
      </c>
      <c r="I79" s="53" t="s">
        <v>52</v>
      </c>
      <c r="J79" s="53">
        <v>159460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/>
      <c r="W79" s="54"/>
      <c r="X79" s="54"/>
      <c r="Y79" s="54">
        <f t="shared" si="1"/>
        <v>0</v>
      </c>
      <c r="Z79" s="199">
        <v>32098</v>
      </c>
      <c r="AA79" s="116">
        <v>15</v>
      </c>
      <c r="AB79" s="136">
        <v>44245</v>
      </c>
      <c r="AC79" s="118">
        <v>44267</v>
      </c>
      <c r="AD79" s="199"/>
      <c r="AE79" s="117"/>
      <c r="AF79" s="115"/>
      <c r="AG79" s="118"/>
      <c r="AH79" s="199"/>
      <c r="AI79" s="116"/>
      <c r="AJ79" s="115"/>
      <c r="AK79" s="118"/>
      <c r="AL79" s="199"/>
      <c r="AM79" s="116"/>
      <c r="AN79" s="115"/>
      <c r="AO79" s="118"/>
      <c r="AP79" s="199"/>
      <c r="AQ79" s="116"/>
      <c r="AR79" s="115"/>
      <c r="AS79" s="118"/>
      <c r="AT79" s="137">
        <f t="shared" si="0"/>
        <v>32098</v>
      </c>
      <c r="AU79" s="43">
        <f t="shared" si="2"/>
        <v>32098</v>
      </c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</row>
    <row r="80" spans="1:95" s="96" customFormat="1" ht="22.5">
      <c r="A80" s="39"/>
      <c r="B80" s="51">
        <v>65</v>
      </c>
      <c r="C80" s="51" t="s">
        <v>39</v>
      </c>
      <c r="D80" s="42">
        <v>40017210</v>
      </c>
      <c r="E80" s="52" t="s">
        <v>3166</v>
      </c>
      <c r="F80" s="52" t="s">
        <v>317</v>
      </c>
      <c r="G80" s="56" t="s">
        <v>3083</v>
      </c>
      <c r="H80" s="55" t="s">
        <v>3105</v>
      </c>
      <c r="I80" s="53" t="s">
        <v>52</v>
      </c>
      <c r="J80" s="53">
        <v>631301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80201</v>
      </c>
      <c r="R80" s="54">
        <v>75878</v>
      </c>
      <c r="S80" s="54">
        <v>103085</v>
      </c>
      <c r="T80" s="54">
        <v>77678</v>
      </c>
      <c r="U80" s="54">
        <v>46638</v>
      </c>
      <c r="V80" s="54"/>
      <c r="W80" s="54"/>
      <c r="X80" s="54"/>
      <c r="Y80" s="54">
        <f t="shared" si="1"/>
        <v>383480</v>
      </c>
      <c r="Z80" s="199">
        <v>100000</v>
      </c>
      <c r="AA80" s="116">
        <v>15</v>
      </c>
      <c r="AB80" s="136">
        <v>44245</v>
      </c>
      <c r="AC80" s="118">
        <v>44267</v>
      </c>
      <c r="AD80" s="199">
        <v>200000</v>
      </c>
      <c r="AE80" s="117">
        <v>48</v>
      </c>
      <c r="AF80" s="136">
        <v>44319</v>
      </c>
      <c r="AG80" s="118">
        <v>44340</v>
      </c>
      <c r="AH80" s="199">
        <v>150000</v>
      </c>
      <c r="AI80" s="116">
        <v>94</v>
      </c>
      <c r="AJ80" s="136">
        <v>44413</v>
      </c>
      <c r="AK80" s="118">
        <v>44432</v>
      </c>
      <c r="AL80" s="199"/>
      <c r="AM80" s="116"/>
      <c r="AN80" s="115"/>
      <c r="AO80" s="118"/>
      <c r="AP80" s="199"/>
      <c r="AQ80" s="116"/>
      <c r="AR80" s="115"/>
      <c r="AS80" s="118"/>
      <c r="AT80" s="137">
        <f t="shared" si="0"/>
        <v>450000</v>
      </c>
      <c r="AU80" s="43">
        <f t="shared" si="2"/>
        <v>66520</v>
      </c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</row>
    <row r="81" spans="1:95" s="96" customFormat="1">
      <c r="A81" s="39"/>
      <c r="B81" s="51">
        <v>66</v>
      </c>
      <c r="C81" s="51" t="s">
        <v>39</v>
      </c>
      <c r="D81" s="42">
        <v>30487087</v>
      </c>
      <c r="E81" s="52" t="s">
        <v>3167</v>
      </c>
      <c r="F81" s="52" t="s">
        <v>317</v>
      </c>
      <c r="G81" s="56" t="s">
        <v>3083</v>
      </c>
      <c r="H81" s="55" t="s">
        <v>3105</v>
      </c>
      <c r="I81" s="53" t="s">
        <v>52</v>
      </c>
      <c r="J81" s="53" t="s">
        <v>3168</v>
      </c>
      <c r="K81" s="54">
        <v>0</v>
      </c>
      <c r="L81" s="54">
        <v>913311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/>
      <c r="W81" s="54"/>
      <c r="X81" s="54"/>
      <c r="Y81" s="54">
        <f t="shared" si="1"/>
        <v>0</v>
      </c>
      <c r="Z81" s="199">
        <v>112149</v>
      </c>
      <c r="AA81" s="116">
        <v>15</v>
      </c>
      <c r="AB81" s="136">
        <v>44245</v>
      </c>
      <c r="AC81" s="118">
        <v>44267</v>
      </c>
      <c r="AD81" s="199">
        <v>-109998</v>
      </c>
      <c r="AE81" s="117">
        <v>104</v>
      </c>
      <c r="AF81" s="136">
        <v>44438</v>
      </c>
      <c r="AG81" s="118">
        <v>44459</v>
      </c>
      <c r="AH81" s="199"/>
      <c r="AI81" s="116"/>
      <c r="AJ81" s="115"/>
      <c r="AK81" s="118"/>
      <c r="AL81" s="199"/>
      <c r="AM81" s="116"/>
      <c r="AN81" s="115"/>
      <c r="AO81" s="118"/>
      <c r="AP81" s="199"/>
      <c r="AQ81" s="116"/>
      <c r="AR81" s="115"/>
      <c r="AS81" s="118"/>
      <c r="AT81" s="137">
        <f t="shared" si="0"/>
        <v>2151</v>
      </c>
      <c r="AU81" s="43">
        <f t="shared" ref="AU81:AU155" si="3">+AT81-Y81</f>
        <v>2151</v>
      </c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</row>
    <row r="82" spans="1:95" s="96" customFormat="1" ht="22.5">
      <c r="A82" s="39"/>
      <c r="B82" s="51">
        <v>67</v>
      </c>
      <c r="C82" s="51" t="s">
        <v>39</v>
      </c>
      <c r="D82" s="42">
        <v>30137382</v>
      </c>
      <c r="E82" s="52" t="s">
        <v>3169</v>
      </c>
      <c r="F82" s="52" t="s">
        <v>47</v>
      </c>
      <c r="G82" s="56" t="s">
        <v>3083</v>
      </c>
      <c r="H82" s="55" t="s">
        <v>3124</v>
      </c>
      <c r="I82" s="53" t="s">
        <v>52</v>
      </c>
      <c r="J82" s="53">
        <v>198572</v>
      </c>
      <c r="K82" s="54">
        <v>3878</v>
      </c>
      <c r="L82" s="54">
        <v>0</v>
      </c>
      <c r="M82" s="54">
        <v>0</v>
      </c>
      <c r="N82" s="54">
        <v>0</v>
      </c>
      <c r="O82" s="54">
        <v>0</v>
      </c>
      <c r="P82" s="54">
        <v>6970</v>
      </c>
      <c r="Q82" s="54">
        <v>13940</v>
      </c>
      <c r="R82" s="54">
        <v>0</v>
      </c>
      <c r="S82" s="54">
        <v>0</v>
      </c>
      <c r="T82" s="54">
        <v>0</v>
      </c>
      <c r="U82" s="54">
        <v>0</v>
      </c>
      <c r="V82" s="54"/>
      <c r="W82" s="54"/>
      <c r="X82" s="54"/>
      <c r="Y82" s="54">
        <f t="shared" si="1"/>
        <v>20910</v>
      </c>
      <c r="Z82" s="199">
        <v>50000</v>
      </c>
      <c r="AA82" s="116">
        <v>15</v>
      </c>
      <c r="AB82" s="136">
        <v>44245</v>
      </c>
      <c r="AC82" s="118">
        <v>44267</v>
      </c>
      <c r="AD82" s="199"/>
      <c r="AE82" s="117"/>
      <c r="AF82" s="115"/>
      <c r="AG82" s="118"/>
      <c r="AH82" s="199"/>
      <c r="AI82" s="116"/>
      <c r="AJ82" s="115"/>
      <c r="AK82" s="118"/>
      <c r="AL82" s="199"/>
      <c r="AM82" s="116"/>
      <c r="AN82" s="115"/>
      <c r="AO82" s="118"/>
      <c r="AP82" s="199"/>
      <c r="AQ82" s="116"/>
      <c r="AR82" s="115"/>
      <c r="AS82" s="118"/>
      <c r="AT82" s="137">
        <f t="shared" si="0"/>
        <v>50000</v>
      </c>
      <c r="AU82" s="43">
        <f t="shared" si="3"/>
        <v>29090</v>
      </c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</row>
    <row r="83" spans="1:95" s="96" customFormat="1" ht="22.5">
      <c r="A83" s="39"/>
      <c r="B83" s="51">
        <v>68</v>
      </c>
      <c r="C83" s="51" t="s">
        <v>39</v>
      </c>
      <c r="D83" s="42">
        <v>40005006</v>
      </c>
      <c r="E83" s="52" t="s">
        <v>3170</v>
      </c>
      <c r="F83" s="52" t="s">
        <v>317</v>
      </c>
      <c r="G83" s="56" t="s">
        <v>3083</v>
      </c>
      <c r="H83" s="55" t="s">
        <v>3102</v>
      </c>
      <c r="I83" s="53" t="s">
        <v>52</v>
      </c>
      <c r="J83" s="53">
        <v>772595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199370</v>
      </c>
      <c r="T83" s="54">
        <v>71861</v>
      </c>
      <c r="U83" s="54">
        <v>99453</v>
      </c>
      <c r="V83" s="54"/>
      <c r="W83" s="54"/>
      <c r="X83" s="54"/>
      <c r="Y83" s="54">
        <f t="shared" si="1"/>
        <v>370684</v>
      </c>
      <c r="Z83" s="199">
        <v>200000</v>
      </c>
      <c r="AA83" s="116">
        <v>15</v>
      </c>
      <c r="AB83" s="136">
        <v>44245</v>
      </c>
      <c r="AC83" s="118">
        <v>44267</v>
      </c>
      <c r="AD83" s="199">
        <v>171000</v>
      </c>
      <c r="AE83" s="117">
        <v>94</v>
      </c>
      <c r="AF83" s="136">
        <v>44413</v>
      </c>
      <c r="AG83" s="118">
        <v>44432</v>
      </c>
      <c r="AH83" s="199"/>
      <c r="AI83" s="116"/>
      <c r="AJ83" s="115"/>
      <c r="AK83" s="118"/>
      <c r="AL83" s="199"/>
      <c r="AM83" s="116"/>
      <c r="AN83" s="115"/>
      <c r="AO83" s="118"/>
      <c r="AP83" s="199"/>
      <c r="AQ83" s="116"/>
      <c r="AR83" s="115"/>
      <c r="AS83" s="118"/>
      <c r="AT83" s="137">
        <f t="shared" si="0"/>
        <v>371000</v>
      </c>
      <c r="AU83" s="43">
        <f t="shared" si="3"/>
        <v>316</v>
      </c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</row>
    <row r="84" spans="1:95" s="96" customFormat="1" ht="22.5">
      <c r="A84" s="39"/>
      <c r="B84" s="51">
        <v>69</v>
      </c>
      <c r="C84" s="51" t="s">
        <v>39</v>
      </c>
      <c r="D84" s="42">
        <v>30484762</v>
      </c>
      <c r="E84" s="52" t="s">
        <v>3171</v>
      </c>
      <c r="F84" s="52" t="s">
        <v>47</v>
      </c>
      <c r="G84" s="56" t="s">
        <v>3083</v>
      </c>
      <c r="H84" s="55" t="s">
        <v>3102</v>
      </c>
      <c r="I84" s="53" t="s">
        <v>52</v>
      </c>
      <c r="J84" s="53">
        <v>217231</v>
      </c>
      <c r="K84" s="54">
        <v>3335</v>
      </c>
      <c r="L84" s="54">
        <v>9297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/>
      <c r="W84" s="54"/>
      <c r="X84" s="54"/>
      <c r="Y84" s="54">
        <f t="shared" si="1"/>
        <v>0</v>
      </c>
      <c r="Z84" s="199">
        <v>1</v>
      </c>
      <c r="AA84" s="116">
        <v>15</v>
      </c>
      <c r="AB84" s="136">
        <v>44245</v>
      </c>
      <c r="AC84" s="118">
        <v>44267</v>
      </c>
      <c r="AD84" s="199"/>
      <c r="AE84" s="117"/>
      <c r="AF84" s="115"/>
      <c r="AG84" s="118"/>
      <c r="AH84" s="199"/>
      <c r="AI84" s="116"/>
      <c r="AJ84" s="115"/>
      <c r="AK84" s="118"/>
      <c r="AL84" s="199"/>
      <c r="AM84" s="116"/>
      <c r="AN84" s="115"/>
      <c r="AO84" s="118"/>
      <c r="AP84" s="199"/>
      <c r="AQ84" s="116"/>
      <c r="AR84" s="115"/>
      <c r="AS84" s="118"/>
      <c r="AT84" s="137">
        <f t="shared" si="0"/>
        <v>1</v>
      </c>
      <c r="AU84" s="43">
        <f t="shared" si="3"/>
        <v>1</v>
      </c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</row>
    <row r="85" spans="1:95" s="96" customFormat="1" ht="22.5">
      <c r="A85" s="39"/>
      <c r="B85" s="51">
        <v>70</v>
      </c>
      <c r="C85" s="51" t="s">
        <v>39</v>
      </c>
      <c r="D85" s="42">
        <v>30484985</v>
      </c>
      <c r="E85" s="52" t="s">
        <v>3172</v>
      </c>
      <c r="F85" s="52" t="s">
        <v>47</v>
      </c>
      <c r="G85" s="56" t="s">
        <v>3083</v>
      </c>
      <c r="H85" s="55" t="s">
        <v>3109</v>
      </c>
      <c r="I85" s="53" t="s">
        <v>52</v>
      </c>
      <c r="J85" s="53">
        <v>38448</v>
      </c>
      <c r="K85" s="54">
        <v>0</v>
      </c>
      <c r="L85" s="54">
        <v>6725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/>
      <c r="W85" s="54"/>
      <c r="X85" s="54"/>
      <c r="Y85" s="54">
        <f t="shared" si="1"/>
        <v>0</v>
      </c>
      <c r="Z85" s="199">
        <v>36646</v>
      </c>
      <c r="AA85" s="116">
        <v>15</v>
      </c>
      <c r="AB85" s="136">
        <v>44245</v>
      </c>
      <c r="AC85" s="118">
        <v>44267</v>
      </c>
      <c r="AD85" s="199"/>
      <c r="AE85" s="117"/>
      <c r="AF85" s="115"/>
      <c r="AG85" s="118"/>
      <c r="AH85" s="199"/>
      <c r="AI85" s="116"/>
      <c r="AJ85" s="115"/>
      <c r="AK85" s="118"/>
      <c r="AL85" s="199"/>
      <c r="AM85" s="116"/>
      <c r="AN85" s="115"/>
      <c r="AO85" s="118"/>
      <c r="AP85" s="199"/>
      <c r="AQ85" s="116"/>
      <c r="AR85" s="115"/>
      <c r="AS85" s="118"/>
      <c r="AT85" s="137">
        <f t="shared" si="0"/>
        <v>36646</v>
      </c>
      <c r="AU85" s="43">
        <f t="shared" si="3"/>
        <v>36646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</row>
    <row r="86" spans="1:95" s="96" customFormat="1" ht="22.5">
      <c r="A86" s="39"/>
      <c r="B86" s="51">
        <v>71</v>
      </c>
      <c r="C86" s="51" t="s">
        <v>39</v>
      </c>
      <c r="D86" s="42">
        <v>30348582</v>
      </c>
      <c r="E86" s="52" t="s">
        <v>3173</v>
      </c>
      <c r="F86" s="52" t="s">
        <v>317</v>
      </c>
      <c r="G86" s="56" t="s">
        <v>3083</v>
      </c>
      <c r="H86" s="55" t="s">
        <v>3105</v>
      </c>
      <c r="I86" s="53" t="s">
        <v>52</v>
      </c>
      <c r="J86" s="53">
        <v>571296</v>
      </c>
      <c r="K86" s="54">
        <v>0</v>
      </c>
      <c r="L86" s="54">
        <v>250750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50587</v>
      </c>
      <c r="S86" s="54">
        <v>29118</v>
      </c>
      <c r="T86" s="54">
        <v>32666</v>
      </c>
      <c r="U86" s="54">
        <v>48416</v>
      </c>
      <c r="V86" s="54"/>
      <c r="W86" s="54"/>
      <c r="X86" s="54"/>
      <c r="Y86" s="54">
        <f t="shared" si="1"/>
        <v>160787</v>
      </c>
      <c r="Z86" s="199">
        <v>1</v>
      </c>
      <c r="AA86" s="116">
        <v>15</v>
      </c>
      <c r="AB86" s="136">
        <v>44245</v>
      </c>
      <c r="AC86" s="118">
        <v>44267</v>
      </c>
      <c r="AD86" s="199">
        <v>107147</v>
      </c>
      <c r="AE86" s="117">
        <v>48</v>
      </c>
      <c r="AF86" s="136">
        <v>44319</v>
      </c>
      <c r="AG86" s="118">
        <v>44340</v>
      </c>
      <c r="AH86" s="199">
        <v>150000</v>
      </c>
      <c r="AI86" s="116">
        <v>86</v>
      </c>
      <c r="AJ86" s="136">
        <v>44390</v>
      </c>
      <c r="AK86" s="118">
        <v>44404</v>
      </c>
      <c r="AL86" s="199">
        <v>50000</v>
      </c>
      <c r="AM86" s="116">
        <v>94</v>
      </c>
      <c r="AN86" s="136">
        <v>44413</v>
      </c>
      <c r="AO86" s="118">
        <v>44432</v>
      </c>
      <c r="AP86" s="199"/>
      <c r="AQ86" s="116"/>
      <c r="AR86" s="115"/>
      <c r="AS86" s="118"/>
      <c r="AT86" s="137">
        <f t="shared" si="0"/>
        <v>307148</v>
      </c>
      <c r="AU86" s="43">
        <f t="shared" si="3"/>
        <v>146361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</row>
    <row r="87" spans="1:95" s="96" customFormat="1" ht="22.5">
      <c r="A87" s="39"/>
      <c r="B87" s="51">
        <v>72</v>
      </c>
      <c r="C87" s="51" t="s">
        <v>39</v>
      </c>
      <c r="D87" s="42">
        <v>30349480</v>
      </c>
      <c r="E87" s="52" t="s">
        <v>3174</v>
      </c>
      <c r="F87" s="52" t="s">
        <v>317</v>
      </c>
      <c r="G87" s="56" t="s">
        <v>3083</v>
      </c>
      <c r="H87" s="55" t="s">
        <v>3105</v>
      </c>
      <c r="I87" s="53" t="s">
        <v>52</v>
      </c>
      <c r="J87" s="53">
        <v>6512648</v>
      </c>
      <c r="K87" s="54">
        <v>6288</v>
      </c>
      <c r="L87" s="54">
        <v>5684099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/>
      <c r="W87" s="54"/>
      <c r="X87" s="54"/>
      <c r="Y87" s="54">
        <f t="shared" si="1"/>
        <v>0</v>
      </c>
      <c r="Z87" s="199">
        <v>31943</v>
      </c>
      <c r="AA87" s="116">
        <v>15</v>
      </c>
      <c r="AB87" s="136">
        <v>44245</v>
      </c>
      <c r="AC87" s="118">
        <v>44267</v>
      </c>
      <c r="AD87" s="199">
        <v>110000</v>
      </c>
      <c r="AE87" s="117">
        <v>48</v>
      </c>
      <c r="AF87" s="136">
        <v>44319</v>
      </c>
      <c r="AG87" s="118">
        <v>44340</v>
      </c>
      <c r="AH87" s="199">
        <v>500000</v>
      </c>
      <c r="AI87" s="116">
        <v>62</v>
      </c>
      <c r="AJ87" s="136">
        <v>44351</v>
      </c>
      <c r="AK87" s="118">
        <v>44372</v>
      </c>
      <c r="AL87" s="199">
        <v>-500000</v>
      </c>
      <c r="AM87" s="116">
        <v>94</v>
      </c>
      <c r="AN87" s="136">
        <v>44413</v>
      </c>
      <c r="AO87" s="118">
        <v>44432</v>
      </c>
      <c r="AP87" s="199"/>
      <c r="AQ87" s="116"/>
      <c r="AR87" s="115"/>
      <c r="AS87" s="118"/>
      <c r="AT87" s="137">
        <f t="shared" si="0"/>
        <v>141943</v>
      </c>
      <c r="AU87" s="43">
        <f t="shared" si="3"/>
        <v>141943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</row>
    <row r="88" spans="1:95" s="96" customFormat="1" ht="23.25" customHeight="1">
      <c r="A88" s="39"/>
      <c r="B88" s="51">
        <v>73</v>
      </c>
      <c r="C88" s="51" t="s">
        <v>39</v>
      </c>
      <c r="D88" s="42">
        <v>40001729</v>
      </c>
      <c r="E88" s="52" t="s">
        <v>3175</v>
      </c>
      <c r="F88" s="52" t="s">
        <v>317</v>
      </c>
      <c r="G88" s="56" t="s">
        <v>3083</v>
      </c>
      <c r="H88" s="55" t="s">
        <v>3086</v>
      </c>
      <c r="I88" s="53" t="s">
        <v>52</v>
      </c>
      <c r="J88" s="53">
        <v>563569</v>
      </c>
      <c r="K88" s="54">
        <v>0</v>
      </c>
      <c r="L88" s="54">
        <v>206666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22350</v>
      </c>
      <c r="S88" s="54">
        <v>28449</v>
      </c>
      <c r="T88" s="54">
        <v>91105</v>
      </c>
      <c r="U88" s="54">
        <v>1966</v>
      </c>
      <c r="V88" s="54"/>
      <c r="W88" s="54"/>
      <c r="X88" s="54"/>
      <c r="Y88" s="54">
        <f t="shared" si="1"/>
        <v>143870</v>
      </c>
      <c r="Z88" s="199">
        <v>212591</v>
      </c>
      <c r="AA88" s="116">
        <v>15</v>
      </c>
      <c r="AB88" s="136">
        <v>44245</v>
      </c>
      <c r="AC88" s="118">
        <v>44267</v>
      </c>
      <c r="AD88" s="199">
        <v>150000</v>
      </c>
      <c r="AE88" s="117">
        <v>94</v>
      </c>
      <c r="AF88" s="136">
        <v>44413</v>
      </c>
      <c r="AG88" s="118">
        <v>44432</v>
      </c>
      <c r="AH88" s="199"/>
      <c r="AI88" s="116"/>
      <c r="AJ88" s="115"/>
      <c r="AK88" s="118"/>
      <c r="AL88" s="199"/>
      <c r="AM88" s="116"/>
      <c r="AN88" s="115"/>
      <c r="AO88" s="118"/>
      <c r="AP88" s="199"/>
      <c r="AQ88" s="116"/>
      <c r="AR88" s="115"/>
      <c r="AS88" s="118"/>
      <c r="AT88" s="137">
        <f t="shared" si="0"/>
        <v>362591</v>
      </c>
      <c r="AU88" s="43">
        <f t="shared" si="3"/>
        <v>218721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</row>
    <row r="89" spans="1:95" s="96" customFormat="1" ht="22.5">
      <c r="A89" s="39"/>
      <c r="B89" s="51">
        <v>74</v>
      </c>
      <c r="C89" s="51" t="s">
        <v>39</v>
      </c>
      <c r="D89" s="42">
        <v>40013313</v>
      </c>
      <c r="E89" s="52" t="s">
        <v>3176</v>
      </c>
      <c r="F89" s="52" t="s">
        <v>317</v>
      </c>
      <c r="G89" s="56" t="s">
        <v>3083</v>
      </c>
      <c r="H89" s="55" t="s">
        <v>342</v>
      </c>
      <c r="I89" s="53" t="s">
        <v>52</v>
      </c>
      <c r="J89" s="53">
        <v>1511132</v>
      </c>
      <c r="K89" s="54">
        <v>0</v>
      </c>
      <c r="L89" s="54">
        <v>0</v>
      </c>
      <c r="M89" s="54">
        <v>0</v>
      </c>
      <c r="N89" s="54">
        <v>0</v>
      </c>
      <c r="O89" s="54">
        <v>101633</v>
      </c>
      <c r="P89" s="54">
        <v>85058</v>
      </c>
      <c r="Q89" s="54">
        <v>152547</v>
      </c>
      <c r="R89" s="54">
        <v>113492</v>
      </c>
      <c r="S89" s="54">
        <v>110694</v>
      </c>
      <c r="T89" s="54">
        <v>110095</v>
      </c>
      <c r="U89" s="54">
        <v>109840</v>
      </c>
      <c r="V89" s="54"/>
      <c r="W89" s="54"/>
      <c r="X89" s="54"/>
      <c r="Y89" s="54">
        <f t="shared" si="1"/>
        <v>783359</v>
      </c>
      <c r="Z89" s="199">
        <v>400000</v>
      </c>
      <c r="AA89" s="116">
        <v>15</v>
      </c>
      <c r="AB89" s="136">
        <v>44245</v>
      </c>
      <c r="AC89" s="118">
        <v>44267</v>
      </c>
      <c r="AD89" s="199">
        <v>400000</v>
      </c>
      <c r="AE89" s="117">
        <v>48</v>
      </c>
      <c r="AF89" s="136">
        <v>44319</v>
      </c>
      <c r="AG89" s="118">
        <v>44340</v>
      </c>
      <c r="AH89" s="199"/>
      <c r="AI89" s="116"/>
      <c r="AJ89" s="115"/>
      <c r="AK89" s="118"/>
      <c r="AL89" s="221"/>
      <c r="AM89" s="116"/>
      <c r="AN89" s="115"/>
      <c r="AO89" s="118"/>
      <c r="AP89" s="221"/>
      <c r="AQ89" s="116"/>
      <c r="AR89" s="115"/>
      <c r="AS89" s="118"/>
      <c r="AT89" s="137">
        <f t="shared" si="0"/>
        <v>800000</v>
      </c>
      <c r="AU89" s="43">
        <f t="shared" si="3"/>
        <v>16641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</row>
    <row r="90" spans="1:95" s="96" customFormat="1" ht="22.5">
      <c r="A90" s="39"/>
      <c r="B90" s="51">
        <v>75</v>
      </c>
      <c r="C90" s="51" t="s">
        <v>131</v>
      </c>
      <c r="D90" s="42">
        <v>30291346</v>
      </c>
      <c r="E90" s="52" t="s">
        <v>3177</v>
      </c>
      <c r="F90" s="52" t="s">
        <v>317</v>
      </c>
      <c r="G90" s="56" t="s">
        <v>3083</v>
      </c>
      <c r="H90" s="55" t="s">
        <v>3088</v>
      </c>
      <c r="I90" s="53" t="s">
        <v>52</v>
      </c>
      <c r="J90" s="53">
        <v>333625</v>
      </c>
      <c r="K90" s="54">
        <v>1574</v>
      </c>
      <c r="L90" s="54">
        <v>183209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/>
      <c r="W90" s="54"/>
      <c r="X90" s="54"/>
      <c r="Y90" s="54">
        <f t="shared" si="1"/>
        <v>0</v>
      </c>
      <c r="Z90" s="199">
        <v>80000</v>
      </c>
      <c r="AA90" s="116">
        <v>15</v>
      </c>
      <c r="AB90" s="136">
        <v>44245</v>
      </c>
      <c r="AC90" s="118">
        <v>44267</v>
      </c>
      <c r="AD90" s="199">
        <v>0</v>
      </c>
      <c r="AE90" s="117">
        <v>31</v>
      </c>
      <c r="AF90" s="136">
        <v>44270</v>
      </c>
      <c r="AG90" s="118">
        <v>44286</v>
      </c>
      <c r="AH90" s="199">
        <v>-52000</v>
      </c>
      <c r="AI90" s="116">
        <v>104</v>
      </c>
      <c r="AJ90" s="136">
        <v>44438</v>
      </c>
      <c r="AK90" s="118">
        <v>44459</v>
      </c>
      <c r="AL90" s="221"/>
      <c r="AM90" s="116"/>
      <c r="AN90" s="115"/>
      <c r="AO90" s="118"/>
      <c r="AP90" s="221"/>
      <c r="AQ90" s="116"/>
      <c r="AR90" s="115"/>
      <c r="AS90" s="118"/>
      <c r="AT90" s="137">
        <f t="shared" si="0"/>
        <v>28000</v>
      </c>
      <c r="AU90" s="43">
        <f t="shared" si="3"/>
        <v>28000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</row>
    <row r="91" spans="1:95" s="96" customFormat="1" ht="22.5">
      <c r="A91" s="39"/>
      <c r="B91" s="51">
        <v>76</v>
      </c>
      <c r="C91" s="51" t="s">
        <v>39</v>
      </c>
      <c r="D91" s="42">
        <v>30086180</v>
      </c>
      <c r="E91" s="52" t="s">
        <v>3178</v>
      </c>
      <c r="F91" s="52" t="s">
        <v>317</v>
      </c>
      <c r="G91" s="56" t="s">
        <v>3083</v>
      </c>
      <c r="H91" s="55" t="s">
        <v>3092</v>
      </c>
      <c r="I91" s="53" t="s">
        <v>44</v>
      </c>
      <c r="J91" s="53">
        <v>2636324</v>
      </c>
      <c r="K91" s="54">
        <v>2592616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2099</v>
      </c>
      <c r="R91" s="54">
        <f>10+9049</f>
        <v>9059</v>
      </c>
      <c r="S91" s="54">
        <f>-9+7751</f>
        <v>7742</v>
      </c>
      <c r="T91" s="54">
        <v>0</v>
      </c>
      <c r="U91" s="54">
        <v>0</v>
      </c>
      <c r="V91" s="54"/>
      <c r="W91" s="54"/>
      <c r="X91" s="54"/>
      <c r="Y91" s="54">
        <f t="shared" si="1"/>
        <v>18900</v>
      </c>
      <c r="Z91" s="199">
        <v>43707</v>
      </c>
      <c r="AA91" s="116">
        <v>16</v>
      </c>
      <c r="AB91" s="136">
        <v>44245</v>
      </c>
      <c r="AC91" s="118">
        <v>44267</v>
      </c>
      <c r="AD91" s="199"/>
      <c r="AE91" s="117"/>
      <c r="AF91" s="115"/>
      <c r="AG91" s="118"/>
      <c r="AH91" s="199"/>
      <c r="AI91" s="116"/>
      <c r="AJ91" s="115"/>
      <c r="AK91" s="118"/>
      <c r="AL91" s="221"/>
      <c r="AM91" s="116"/>
      <c r="AN91" s="115"/>
      <c r="AO91" s="118"/>
      <c r="AP91" s="221"/>
      <c r="AQ91" s="116"/>
      <c r="AR91" s="115"/>
      <c r="AS91" s="118"/>
      <c r="AT91" s="137">
        <f t="shared" si="0"/>
        <v>43707</v>
      </c>
      <c r="AU91" s="43">
        <f t="shared" si="3"/>
        <v>24807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</row>
    <row r="92" spans="1:95" s="96" customFormat="1" ht="22.5">
      <c r="A92" s="39"/>
      <c r="B92" s="51">
        <v>77</v>
      </c>
      <c r="C92" s="51" t="s">
        <v>39</v>
      </c>
      <c r="D92" s="42">
        <v>30116934</v>
      </c>
      <c r="E92" s="52" t="s">
        <v>3179</v>
      </c>
      <c r="F92" s="52" t="s">
        <v>317</v>
      </c>
      <c r="G92" s="56" t="s">
        <v>3083</v>
      </c>
      <c r="H92" s="55" t="s">
        <v>3099</v>
      </c>
      <c r="I92" s="53" t="s">
        <v>44</v>
      </c>
      <c r="J92" s="53">
        <v>3859371</v>
      </c>
      <c r="K92" s="54">
        <v>584324</v>
      </c>
      <c r="L92" s="54">
        <v>2372515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673</v>
      </c>
      <c r="S92" s="54">
        <v>0</v>
      </c>
      <c r="T92" s="54">
        <v>0</v>
      </c>
      <c r="U92" s="54">
        <v>0</v>
      </c>
      <c r="V92" s="54"/>
      <c r="W92" s="54"/>
      <c r="X92" s="54"/>
      <c r="Y92" s="54">
        <f t="shared" si="1"/>
        <v>673</v>
      </c>
      <c r="Z92" s="199">
        <v>333514</v>
      </c>
      <c r="AA92" s="116">
        <v>16</v>
      </c>
      <c r="AB92" s="136">
        <v>44245</v>
      </c>
      <c r="AC92" s="118">
        <v>44267</v>
      </c>
      <c r="AD92" s="199">
        <v>-299999</v>
      </c>
      <c r="AE92" s="117">
        <v>105</v>
      </c>
      <c r="AF92" s="136">
        <v>44438</v>
      </c>
      <c r="AG92" s="118">
        <v>44459</v>
      </c>
      <c r="AH92" s="199"/>
      <c r="AI92" s="116"/>
      <c r="AJ92" s="115"/>
      <c r="AK92" s="118"/>
      <c r="AL92" s="221"/>
      <c r="AM92" s="116"/>
      <c r="AN92" s="115"/>
      <c r="AO92" s="118"/>
      <c r="AP92" s="221"/>
      <c r="AQ92" s="116"/>
      <c r="AR92" s="115"/>
      <c r="AS92" s="118"/>
      <c r="AT92" s="137">
        <f t="shared" si="0"/>
        <v>33515</v>
      </c>
      <c r="AU92" s="43">
        <f t="shared" si="3"/>
        <v>32842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</row>
    <row r="93" spans="1:95" s="96" customFormat="1" ht="22.5">
      <c r="A93" s="39"/>
      <c r="B93" s="51">
        <v>78</v>
      </c>
      <c r="C93" s="51" t="s">
        <v>39</v>
      </c>
      <c r="D93" s="42">
        <v>30136383</v>
      </c>
      <c r="E93" s="52" t="s">
        <v>3180</v>
      </c>
      <c r="F93" s="52" t="s">
        <v>317</v>
      </c>
      <c r="G93" s="56" t="s">
        <v>3083</v>
      </c>
      <c r="H93" s="55" t="s">
        <v>3102</v>
      </c>
      <c r="I93" s="53" t="s">
        <v>44</v>
      </c>
      <c r="J93" s="53">
        <v>2256587</v>
      </c>
      <c r="K93" s="54">
        <v>2185657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/>
      <c r="W93" s="54"/>
      <c r="X93" s="54"/>
      <c r="Y93" s="54">
        <f t="shared" si="1"/>
        <v>0</v>
      </c>
      <c r="Z93" s="199">
        <v>50530</v>
      </c>
      <c r="AA93" s="116">
        <v>16</v>
      </c>
      <c r="AB93" s="136">
        <v>44245</v>
      </c>
      <c r="AC93" s="118">
        <v>44267</v>
      </c>
      <c r="AD93" s="199"/>
      <c r="AE93" s="117"/>
      <c r="AF93" s="115"/>
      <c r="AG93" s="118"/>
      <c r="AH93" s="199"/>
      <c r="AI93" s="116"/>
      <c r="AJ93" s="115"/>
      <c r="AK93" s="118"/>
      <c r="AL93" s="221"/>
      <c r="AM93" s="116"/>
      <c r="AN93" s="115"/>
      <c r="AO93" s="118"/>
      <c r="AP93" s="221"/>
      <c r="AQ93" s="116"/>
      <c r="AR93" s="115"/>
      <c r="AS93" s="118"/>
      <c r="AT93" s="137">
        <f t="shared" si="0"/>
        <v>50530</v>
      </c>
      <c r="AU93" s="43">
        <f t="shared" si="3"/>
        <v>50530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</row>
    <row r="94" spans="1:95" s="96" customFormat="1" ht="22.5">
      <c r="A94" s="39"/>
      <c r="B94" s="51">
        <v>79</v>
      </c>
      <c r="C94" s="51" t="s">
        <v>39</v>
      </c>
      <c r="D94" s="42">
        <v>30183073</v>
      </c>
      <c r="E94" s="52" t="s">
        <v>3181</v>
      </c>
      <c r="F94" s="52" t="s">
        <v>317</v>
      </c>
      <c r="G94" s="56" t="s">
        <v>3083</v>
      </c>
      <c r="H94" s="55" t="s">
        <v>3109</v>
      </c>
      <c r="I94" s="53" t="s">
        <v>44</v>
      </c>
      <c r="J94" s="53">
        <v>2253940</v>
      </c>
      <c r="K94" s="54">
        <v>2233940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/>
      <c r="W94" s="54"/>
      <c r="X94" s="54"/>
      <c r="Y94" s="54">
        <f t="shared" si="1"/>
        <v>0</v>
      </c>
      <c r="Z94" s="199">
        <v>9000</v>
      </c>
      <c r="AA94" s="116">
        <v>16</v>
      </c>
      <c r="AB94" s="136">
        <v>44245</v>
      </c>
      <c r="AC94" s="118">
        <v>44267</v>
      </c>
      <c r="AD94" s="199"/>
      <c r="AE94" s="117"/>
      <c r="AF94" s="115"/>
      <c r="AG94" s="118"/>
      <c r="AH94" s="199"/>
      <c r="AI94" s="116"/>
      <c r="AJ94" s="115"/>
      <c r="AK94" s="118"/>
      <c r="AL94" s="221"/>
      <c r="AM94" s="116"/>
      <c r="AN94" s="115"/>
      <c r="AO94" s="118"/>
      <c r="AP94" s="221"/>
      <c r="AQ94" s="116"/>
      <c r="AR94" s="115"/>
      <c r="AS94" s="118"/>
      <c r="AT94" s="137">
        <f t="shared" si="0"/>
        <v>9000</v>
      </c>
      <c r="AU94" s="43">
        <f t="shared" si="3"/>
        <v>9000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</row>
    <row r="95" spans="1:95" s="96" customFormat="1" ht="22.5">
      <c r="A95" s="39"/>
      <c r="B95" s="51">
        <v>80</v>
      </c>
      <c r="C95" s="51" t="s">
        <v>39</v>
      </c>
      <c r="D95" s="42">
        <v>30070463</v>
      </c>
      <c r="E95" s="52" t="s">
        <v>3182</v>
      </c>
      <c r="F95" s="52" t="s">
        <v>317</v>
      </c>
      <c r="G95" s="56" t="s">
        <v>3083</v>
      </c>
      <c r="H95" s="55" t="s">
        <v>3086</v>
      </c>
      <c r="I95" s="53" t="s">
        <v>44</v>
      </c>
      <c r="J95" s="53" t="s">
        <v>3183</v>
      </c>
      <c r="K95" s="54">
        <v>712474</v>
      </c>
      <c r="L95" s="54">
        <v>3137666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/>
      <c r="W95" s="54"/>
      <c r="X95" s="54"/>
      <c r="Y95" s="54">
        <f t="shared" si="1"/>
        <v>0</v>
      </c>
      <c r="Z95" s="199">
        <v>1</v>
      </c>
      <c r="AA95" s="116">
        <v>16</v>
      </c>
      <c r="AB95" s="136">
        <v>44245</v>
      </c>
      <c r="AC95" s="118">
        <v>44267</v>
      </c>
      <c r="AD95" s="199">
        <v>-1</v>
      </c>
      <c r="AE95" s="117">
        <v>97</v>
      </c>
      <c r="AF95" s="136">
        <v>44418</v>
      </c>
      <c r="AG95" s="118">
        <v>44438</v>
      </c>
      <c r="AH95" s="199"/>
      <c r="AI95" s="116"/>
      <c r="AJ95" s="115"/>
      <c r="AK95" s="118"/>
      <c r="AL95" s="221"/>
      <c r="AM95" s="116"/>
      <c r="AN95" s="115"/>
      <c r="AO95" s="118"/>
      <c r="AP95" s="221"/>
      <c r="AQ95" s="116"/>
      <c r="AR95" s="115"/>
      <c r="AS95" s="118"/>
      <c r="AT95" s="137">
        <f t="shared" si="0"/>
        <v>0</v>
      </c>
      <c r="AU95" s="43">
        <f t="shared" si="3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</row>
    <row r="96" spans="1:95" s="96" customFormat="1" ht="22.5">
      <c r="A96" s="39"/>
      <c r="B96" s="51">
        <v>81</v>
      </c>
      <c r="C96" s="51" t="s">
        <v>39</v>
      </c>
      <c r="D96" s="42">
        <v>30473498</v>
      </c>
      <c r="E96" s="52" t="s">
        <v>3184</v>
      </c>
      <c r="F96" s="52" t="s">
        <v>83</v>
      </c>
      <c r="G96" s="56" t="s">
        <v>3083</v>
      </c>
      <c r="H96" s="55" t="s">
        <v>3086</v>
      </c>
      <c r="I96" s="53" t="s">
        <v>52</v>
      </c>
      <c r="J96" s="53">
        <v>109718</v>
      </c>
      <c r="K96" s="54">
        <v>1081</v>
      </c>
      <c r="L96" s="54">
        <v>36141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4991</v>
      </c>
      <c r="S96" s="54">
        <v>0</v>
      </c>
      <c r="T96" s="54">
        <v>24955</v>
      </c>
      <c r="U96" s="54">
        <v>0</v>
      </c>
      <c r="V96" s="54"/>
      <c r="W96" s="54"/>
      <c r="X96" s="54"/>
      <c r="Y96" s="54">
        <f t="shared" si="1"/>
        <v>29946</v>
      </c>
      <c r="Z96" s="199">
        <v>50000</v>
      </c>
      <c r="AA96" s="116">
        <v>17</v>
      </c>
      <c r="AB96" s="136">
        <v>44245</v>
      </c>
      <c r="AC96" s="118">
        <v>44267</v>
      </c>
      <c r="AD96" s="199"/>
      <c r="AE96" s="117"/>
      <c r="AF96" s="115"/>
      <c r="AG96" s="118"/>
      <c r="AH96" s="199"/>
      <c r="AI96" s="116"/>
      <c r="AJ96" s="115"/>
      <c r="AK96" s="118"/>
      <c r="AL96" s="221"/>
      <c r="AM96" s="116"/>
      <c r="AN96" s="115"/>
      <c r="AO96" s="118"/>
      <c r="AP96" s="221"/>
      <c r="AQ96" s="116"/>
      <c r="AR96" s="115"/>
      <c r="AS96" s="118"/>
      <c r="AT96" s="137">
        <f t="shared" si="0"/>
        <v>50000</v>
      </c>
      <c r="AU96" s="43">
        <f t="shared" si="3"/>
        <v>20054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</row>
    <row r="97" spans="1:95" s="96" customFormat="1" ht="22.5">
      <c r="A97" s="39"/>
      <c r="B97" s="51">
        <v>82</v>
      </c>
      <c r="C97" s="51" t="s">
        <v>39</v>
      </c>
      <c r="D97" s="42">
        <v>30428596</v>
      </c>
      <c r="E97" s="52" t="s">
        <v>3185</v>
      </c>
      <c r="F97" s="52" t="s">
        <v>317</v>
      </c>
      <c r="G97" s="56" t="s">
        <v>3083</v>
      </c>
      <c r="H97" s="55" t="s">
        <v>3094</v>
      </c>
      <c r="I97" s="53" t="s">
        <v>52</v>
      </c>
      <c r="J97" s="53">
        <v>1155199</v>
      </c>
      <c r="K97" s="54">
        <v>0</v>
      </c>
      <c r="L97" s="54">
        <v>1888</v>
      </c>
      <c r="M97" s="54">
        <v>0</v>
      </c>
      <c r="N97" s="54">
        <v>0</v>
      </c>
      <c r="O97" s="54">
        <v>0</v>
      </c>
      <c r="P97" s="54">
        <v>0</v>
      </c>
      <c r="Q97" s="54">
        <v>158936</v>
      </c>
      <c r="R97" s="54">
        <v>132170</v>
      </c>
      <c r="S97" s="54">
        <v>55816</v>
      </c>
      <c r="T97" s="54">
        <v>54987</v>
      </c>
      <c r="U97" s="54">
        <v>94413</v>
      </c>
      <c r="V97" s="54"/>
      <c r="W97" s="54"/>
      <c r="X97" s="54"/>
      <c r="Y97" s="54">
        <f t="shared" si="1"/>
        <v>496322</v>
      </c>
      <c r="Z97" s="199">
        <v>216575</v>
      </c>
      <c r="AA97" s="116">
        <v>17</v>
      </c>
      <c r="AB97" s="136">
        <v>44245</v>
      </c>
      <c r="AC97" s="118">
        <v>44267</v>
      </c>
      <c r="AD97" s="199">
        <v>100000</v>
      </c>
      <c r="AE97" s="117">
        <v>48</v>
      </c>
      <c r="AF97" s="136">
        <v>44319</v>
      </c>
      <c r="AG97" s="118">
        <v>44340</v>
      </c>
      <c r="AH97" s="199">
        <v>500002</v>
      </c>
      <c r="AI97" s="116">
        <v>62</v>
      </c>
      <c r="AJ97" s="136">
        <v>44351</v>
      </c>
      <c r="AK97" s="118">
        <v>44372</v>
      </c>
      <c r="AL97" s="221"/>
      <c r="AM97" s="116"/>
      <c r="AN97" s="115"/>
      <c r="AO97" s="118"/>
      <c r="AP97" s="221"/>
      <c r="AQ97" s="116"/>
      <c r="AR97" s="115"/>
      <c r="AS97" s="118"/>
      <c r="AT97" s="137">
        <f t="shared" si="0"/>
        <v>816577</v>
      </c>
      <c r="AU97" s="43">
        <f t="shared" si="3"/>
        <v>320255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</row>
    <row r="98" spans="1:95" s="96" customFormat="1" ht="22.5">
      <c r="A98" s="39"/>
      <c r="B98" s="51">
        <v>83</v>
      </c>
      <c r="C98" s="51" t="s">
        <v>39</v>
      </c>
      <c r="D98" s="42">
        <v>30097815</v>
      </c>
      <c r="E98" s="52" t="s">
        <v>3186</v>
      </c>
      <c r="F98" s="52" t="s">
        <v>47</v>
      </c>
      <c r="G98" s="56" t="s">
        <v>3083</v>
      </c>
      <c r="H98" s="55" t="s">
        <v>3094</v>
      </c>
      <c r="I98" s="53" t="s">
        <v>52</v>
      </c>
      <c r="J98" s="53">
        <v>318755</v>
      </c>
      <c r="K98" s="54">
        <v>2115</v>
      </c>
      <c r="L98" s="54">
        <v>32286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/>
      <c r="W98" s="54"/>
      <c r="X98" s="54"/>
      <c r="Y98" s="54">
        <f t="shared" si="1"/>
        <v>0</v>
      </c>
      <c r="Z98" s="199">
        <v>1</v>
      </c>
      <c r="AA98" s="116">
        <v>17</v>
      </c>
      <c r="AB98" s="136">
        <v>44245</v>
      </c>
      <c r="AC98" s="118">
        <v>44267</v>
      </c>
      <c r="AD98" s="199"/>
      <c r="AE98" s="117"/>
      <c r="AF98" s="115"/>
      <c r="AG98" s="118"/>
      <c r="AH98" s="199"/>
      <c r="AI98" s="116"/>
      <c r="AJ98" s="115"/>
      <c r="AK98" s="118"/>
      <c r="AL98" s="221"/>
      <c r="AM98" s="116"/>
      <c r="AN98" s="115"/>
      <c r="AO98" s="118"/>
      <c r="AP98" s="221"/>
      <c r="AQ98" s="116"/>
      <c r="AR98" s="115"/>
      <c r="AS98" s="118"/>
      <c r="AT98" s="137">
        <f t="shared" si="0"/>
        <v>1</v>
      </c>
      <c r="AU98" s="43">
        <f t="shared" si="3"/>
        <v>1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</row>
    <row r="99" spans="1:95" s="96" customFormat="1" ht="22.5">
      <c r="A99" s="39"/>
      <c r="B99" s="51">
        <v>84</v>
      </c>
      <c r="C99" s="51" t="s">
        <v>39</v>
      </c>
      <c r="D99" s="42">
        <v>30487030</v>
      </c>
      <c r="E99" s="52" t="s">
        <v>3187</v>
      </c>
      <c r="F99" s="52" t="s">
        <v>47</v>
      </c>
      <c r="G99" s="56" t="s">
        <v>3083</v>
      </c>
      <c r="H99" s="55" t="s">
        <v>3094</v>
      </c>
      <c r="I99" s="53" t="s">
        <v>52</v>
      </c>
      <c r="J99" s="53">
        <v>231749</v>
      </c>
      <c r="K99" s="54">
        <v>2061</v>
      </c>
      <c r="L99" s="54">
        <v>52078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/>
      <c r="W99" s="54"/>
      <c r="X99" s="54"/>
      <c r="Y99" s="54">
        <f t="shared" si="1"/>
        <v>0</v>
      </c>
      <c r="Z99" s="199">
        <v>1</v>
      </c>
      <c r="AA99" s="116">
        <v>17</v>
      </c>
      <c r="AB99" s="136">
        <v>44245</v>
      </c>
      <c r="AC99" s="118">
        <v>44267</v>
      </c>
      <c r="AD99" s="199"/>
      <c r="AE99" s="117"/>
      <c r="AF99" s="115"/>
      <c r="AG99" s="118"/>
      <c r="AH99" s="199"/>
      <c r="AI99" s="116"/>
      <c r="AJ99" s="115"/>
      <c r="AK99" s="118"/>
      <c r="AL99" s="221"/>
      <c r="AM99" s="116"/>
      <c r="AN99" s="115"/>
      <c r="AO99" s="118"/>
      <c r="AP99" s="221"/>
      <c r="AQ99" s="116"/>
      <c r="AR99" s="115"/>
      <c r="AS99" s="118"/>
      <c r="AT99" s="137">
        <f t="shared" si="0"/>
        <v>1</v>
      </c>
      <c r="AU99" s="43">
        <f t="shared" si="3"/>
        <v>1</v>
      </c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</row>
    <row r="100" spans="1:95" s="96" customFormat="1" ht="22.5">
      <c r="A100" s="39"/>
      <c r="B100" s="51">
        <v>85</v>
      </c>
      <c r="C100" s="51" t="s">
        <v>39</v>
      </c>
      <c r="D100" s="42">
        <v>30455588</v>
      </c>
      <c r="E100" s="52" t="s">
        <v>3188</v>
      </c>
      <c r="F100" s="52" t="s">
        <v>317</v>
      </c>
      <c r="G100" s="56" t="s">
        <v>3083</v>
      </c>
      <c r="H100" s="55" t="s">
        <v>3099</v>
      </c>
      <c r="I100" s="53" t="s">
        <v>52</v>
      </c>
      <c r="J100" s="53">
        <v>7188189</v>
      </c>
      <c r="K100" s="54">
        <v>1357</v>
      </c>
      <c r="L100" s="54">
        <v>6095660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/>
      <c r="W100" s="54"/>
      <c r="X100" s="54"/>
      <c r="Y100" s="54">
        <f t="shared" si="1"/>
        <v>0</v>
      </c>
      <c r="Z100" s="199">
        <v>350000</v>
      </c>
      <c r="AA100" s="116">
        <v>17</v>
      </c>
      <c r="AB100" s="136">
        <v>44245</v>
      </c>
      <c r="AC100" s="118">
        <v>44267</v>
      </c>
      <c r="AD100" s="199"/>
      <c r="AE100" s="117"/>
      <c r="AF100" s="115"/>
      <c r="AG100" s="118"/>
      <c r="AH100" s="199"/>
      <c r="AI100" s="116"/>
      <c r="AJ100" s="115"/>
      <c r="AK100" s="118"/>
      <c r="AL100" s="221"/>
      <c r="AM100" s="116"/>
      <c r="AN100" s="115"/>
      <c r="AO100" s="118"/>
      <c r="AP100" s="221"/>
      <c r="AQ100" s="116"/>
      <c r="AR100" s="115"/>
      <c r="AS100" s="118"/>
      <c r="AT100" s="137">
        <f t="shared" si="0"/>
        <v>350000</v>
      </c>
      <c r="AU100" s="43">
        <f t="shared" si="3"/>
        <v>350000</v>
      </c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</row>
    <row r="101" spans="1:95" s="96" customFormat="1">
      <c r="A101" s="39"/>
      <c r="B101" s="51">
        <v>86</v>
      </c>
      <c r="C101" s="51" t="s">
        <v>39</v>
      </c>
      <c r="D101" s="42">
        <v>30066646</v>
      </c>
      <c r="E101" s="52" t="s">
        <v>3189</v>
      </c>
      <c r="F101" s="52" t="s">
        <v>47</v>
      </c>
      <c r="G101" s="56" t="s">
        <v>3083</v>
      </c>
      <c r="H101" s="55" t="s">
        <v>3099</v>
      </c>
      <c r="I101" s="53" t="s">
        <v>52</v>
      </c>
      <c r="J101" s="53">
        <v>98193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/>
      <c r="W101" s="54"/>
      <c r="X101" s="54"/>
      <c r="Y101" s="54">
        <f t="shared" si="1"/>
        <v>0</v>
      </c>
      <c r="Z101" s="199">
        <v>31259</v>
      </c>
      <c r="AA101" s="116">
        <v>17</v>
      </c>
      <c r="AB101" s="136">
        <v>44245</v>
      </c>
      <c r="AC101" s="118">
        <v>44267</v>
      </c>
      <c r="AD101" s="199"/>
      <c r="AE101" s="117"/>
      <c r="AF101" s="115"/>
      <c r="AG101" s="118"/>
      <c r="AH101" s="199"/>
      <c r="AI101" s="116"/>
      <c r="AJ101" s="115"/>
      <c r="AK101" s="118"/>
      <c r="AL101" s="221"/>
      <c r="AM101" s="116"/>
      <c r="AN101" s="115"/>
      <c r="AO101" s="118"/>
      <c r="AP101" s="221"/>
      <c r="AQ101" s="116"/>
      <c r="AR101" s="115"/>
      <c r="AS101" s="118"/>
      <c r="AT101" s="137">
        <f t="shared" si="0"/>
        <v>31259</v>
      </c>
      <c r="AU101" s="43">
        <f t="shared" si="3"/>
        <v>31259</v>
      </c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</row>
    <row r="102" spans="1:95" s="96" customFormat="1">
      <c r="A102" s="39"/>
      <c r="B102" s="51">
        <v>87</v>
      </c>
      <c r="C102" s="51" t="s">
        <v>39</v>
      </c>
      <c r="D102" s="42">
        <v>30434772</v>
      </c>
      <c r="E102" s="52" t="s">
        <v>3190</v>
      </c>
      <c r="F102" s="52" t="s">
        <v>47</v>
      </c>
      <c r="G102" s="56" t="s">
        <v>3083</v>
      </c>
      <c r="H102" s="55" t="s">
        <v>3099</v>
      </c>
      <c r="I102" s="53" t="s">
        <v>52</v>
      </c>
      <c r="J102" s="53">
        <v>69998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/>
      <c r="W102" s="54"/>
      <c r="X102" s="54"/>
      <c r="Y102" s="54">
        <f t="shared" si="1"/>
        <v>0</v>
      </c>
      <c r="Z102" s="199">
        <v>20000</v>
      </c>
      <c r="AA102" s="116">
        <v>17</v>
      </c>
      <c r="AB102" s="136">
        <v>44245</v>
      </c>
      <c r="AC102" s="118">
        <v>44267</v>
      </c>
      <c r="AD102" s="199"/>
      <c r="AE102" s="117"/>
      <c r="AF102" s="115"/>
      <c r="AG102" s="118"/>
      <c r="AH102" s="199"/>
      <c r="AI102" s="116"/>
      <c r="AJ102" s="115"/>
      <c r="AK102" s="118"/>
      <c r="AL102" s="221"/>
      <c r="AM102" s="116"/>
      <c r="AN102" s="115"/>
      <c r="AO102" s="118"/>
      <c r="AP102" s="221"/>
      <c r="AQ102" s="116"/>
      <c r="AR102" s="115"/>
      <c r="AS102" s="118"/>
      <c r="AT102" s="137">
        <f t="shared" si="0"/>
        <v>20000</v>
      </c>
      <c r="AU102" s="43">
        <f t="shared" si="3"/>
        <v>20000</v>
      </c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</row>
    <row r="103" spans="1:95" s="96" customFormat="1" ht="22.5">
      <c r="A103" s="39"/>
      <c r="B103" s="51">
        <v>88</v>
      </c>
      <c r="C103" s="51" t="s">
        <v>39</v>
      </c>
      <c r="D103" s="42">
        <v>30409030</v>
      </c>
      <c r="E103" s="52" t="s">
        <v>3191</v>
      </c>
      <c r="F103" s="52" t="s">
        <v>317</v>
      </c>
      <c r="G103" s="56" t="s">
        <v>3083</v>
      </c>
      <c r="H103" s="55" t="s">
        <v>3126</v>
      </c>
      <c r="I103" s="53" t="s">
        <v>52</v>
      </c>
      <c r="J103" s="53">
        <v>1394399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/>
      <c r="W103" s="54"/>
      <c r="X103" s="54"/>
      <c r="Y103" s="54">
        <f t="shared" si="1"/>
        <v>0</v>
      </c>
      <c r="Z103" s="199">
        <v>161534</v>
      </c>
      <c r="AA103" s="116">
        <v>17</v>
      </c>
      <c r="AB103" s="136">
        <v>44245</v>
      </c>
      <c r="AC103" s="118">
        <v>44267</v>
      </c>
      <c r="AD103" s="199">
        <v>-154999</v>
      </c>
      <c r="AE103" s="117">
        <v>94</v>
      </c>
      <c r="AF103" s="136">
        <v>44413</v>
      </c>
      <c r="AG103" s="118">
        <v>44432</v>
      </c>
      <c r="AH103" s="199"/>
      <c r="AI103" s="116"/>
      <c r="AJ103" s="115"/>
      <c r="AK103" s="118"/>
      <c r="AL103" s="221"/>
      <c r="AM103" s="116"/>
      <c r="AN103" s="115"/>
      <c r="AO103" s="118"/>
      <c r="AP103" s="221"/>
      <c r="AQ103" s="116"/>
      <c r="AR103" s="115"/>
      <c r="AS103" s="118"/>
      <c r="AT103" s="137">
        <f t="shared" si="0"/>
        <v>6535</v>
      </c>
      <c r="AU103" s="43">
        <f t="shared" si="3"/>
        <v>6535</v>
      </c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</row>
    <row r="104" spans="1:95" s="96" customFormat="1" ht="22.5">
      <c r="A104" s="39"/>
      <c r="B104" s="51">
        <v>89</v>
      </c>
      <c r="C104" s="51" t="s">
        <v>39</v>
      </c>
      <c r="D104" s="42">
        <v>30422981</v>
      </c>
      <c r="E104" s="52" t="s">
        <v>3192</v>
      </c>
      <c r="F104" s="52" t="s">
        <v>317</v>
      </c>
      <c r="G104" s="56" t="s">
        <v>3083</v>
      </c>
      <c r="H104" s="55" t="s">
        <v>3102</v>
      </c>
      <c r="I104" s="53" t="s">
        <v>52</v>
      </c>
      <c r="J104" s="53">
        <v>598352</v>
      </c>
      <c r="K104" s="54">
        <v>0</v>
      </c>
      <c r="L104" s="54">
        <v>542626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/>
      <c r="W104" s="54"/>
      <c r="X104" s="54"/>
      <c r="Y104" s="54">
        <f t="shared" si="1"/>
        <v>0</v>
      </c>
      <c r="Z104" s="199">
        <v>1</v>
      </c>
      <c r="AA104" s="116">
        <v>17</v>
      </c>
      <c r="AB104" s="136">
        <v>44245</v>
      </c>
      <c r="AC104" s="118">
        <v>44267</v>
      </c>
      <c r="AD104" s="199">
        <v>55726</v>
      </c>
      <c r="AE104" s="117">
        <v>48</v>
      </c>
      <c r="AF104" s="136">
        <v>44319</v>
      </c>
      <c r="AG104" s="118">
        <v>44340</v>
      </c>
      <c r="AH104" s="199"/>
      <c r="AI104" s="116"/>
      <c r="AJ104" s="115"/>
      <c r="AK104" s="118"/>
      <c r="AL104" s="221"/>
      <c r="AM104" s="116"/>
      <c r="AN104" s="115"/>
      <c r="AO104" s="118"/>
      <c r="AP104" s="221"/>
      <c r="AQ104" s="116"/>
      <c r="AR104" s="115"/>
      <c r="AS104" s="118"/>
      <c r="AT104" s="137">
        <f t="shared" si="0"/>
        <v>55727</v>
      </c>
      <c r="AU104" s="43">
        <f t="shared" si="3"/>
        <v>55727</v>
      </c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</row>
    <row r="105" spans="1:95" s="96" customFormat="1">
      <c r="A105" s="39"/>
      <c r="B105" s="51">
        <v>90</v>
      </c>
      <c r="C105" s="51" t="s">
        <v>39</v>
      </c>
      <c r="D105" s="42">
        <v>30137703</v>
      </c>
      <c r="E105" s="52" t="s">
        <v>3193</v>
      </c>
      <c r="F105" s="52" t="s">
        <v>47</v>
      </c>
      <c r="G105" s="56" t="s">
        <v>3083</v>
      </c>
      <c r="H105" s="55" t="s">
        <v>3086</v>
      </c>
      <c r="I105" s="53" t="s">
        <v>52</v>
      </c>
      <c r="J105" s="53">
        <v>181470</v>
      </c>
      <c r="K105" s="54">
        <v>1825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21738</v>
      </c>
      <c r="U105" s="54">
        <v>0</v>
      </c>
      <c r="V105" s="54"/>
      <c r="W105" s="54"/>
      <c r="X105" s="54"/>
      <c r="Y105" s="54">
        <f t="shared" si="1"/>
        <v>21738</v>
      </c>
      <c r="Z105" s="199">
        <v>100000</v>
      </c>
      <c r="AA105" s="116">
        <v>17</v>
      </c>
      <c r="AB105" s="136">
        <v>44245</v>
      </c>
      <c r="AC105" s="118">
        <v>44267</v>
      </c>
      <c r="AD105" s="199"/>
      <c r="AE105" s="117"/>
      <c r="AF105" s="115"/>
      <c r="AG105" s="118"/>
      <c r="AH105" s="199"/>
      <c r="AI105" s="116"/>
      <c r="AJ105" s="115"/>
      <c r="AK105" s="118"/>
      <c r="AL105" s="221"/>
      <c r="AM105" s="116"/>
      <c r="AN105" s="115"/>
      <c r="AO105" s="118"/>
      <c r="AP105" s="221"/>
      <c r="AQ105" s="116"/>
      <c r="AR105" s="115"/>
      <c r="AS105" s="118"/>
      <c r="AT105" s="137">
        <f t="shared" si="0"/>
        <v>100000</v>
      </c>
      <c r="AU105" s="43">
        <f t="shared" si="3"/>
        <v>78262</v>
      </c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</row>
    <row r="106" spans="1:95" s="96" customFormat="1" ht="22.5">
      <c r="A106" s="39"/>
      <c r="B106" s="51">
        <v>91</v>
      </c>
      <c r="C106" s="51" t="s">
        <v>39</v>
      </c>
      <c r="D106" s="42">
        <v>40023348</v>
      </c>
      <c r="E106" s="52" t="s">
        <v>3194</v>
      </c>
      <c r="F106" s="52" t="s">
        <v>317</v>
      </c>
      <c r="G106" s="56" t="s">
        <v>3083</v>
      </c>
      <c r="H106" s="55" t="s">
        <v>3102</v>
      </c>
      <c r="I106" s="53" t="s">
        <v>52</v>
      </c>
      <c r="J106" s="53">
        <v>1100574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/>
      <c r="W106" s="54"/>
      <c r="X106" s="54"/>
      <c r="Y106" s="54">
        <f t="shared" si="1"/>
        <v>0</v>
      </c>
      <c r="Z106" s="199">
        <v>312781</v>
      </c>
      <c r="AA106" s="116">
        <v>17</v>
      </c>
      <c r="AB106" s="136">
        <v>44245</v>
      </c>
      <c r="AC106" s="118">
        <v>44267</v>
      </c>
      <c r="AD106" s="199">
        <v>-302554</v>
      </c>
      <c r="AE106" s="117">
        <v>48</v>
      </c>
      <c r="AF106" s="136">
        <v>44319</v>
      </c>
      <c r="AG106" s="118">
        <v>44340</v>
      </c>
      <c r="AH106" s="199"/>
      <c r="AI106" s="116"/>
      <c r="AJ106" s="115"/>
      <c r="AK106" s="118"/>
      <c r="AL106" s="221"/>
      <c r="AM106" s="116"/>
      <c r="AN106" s="115"/>
      <c r="AO106" s="118"/>
      <c r="AP106" s="221"/>
      <c r="AQ106" s="116"/>
      <c r="AR106" s="115"/>
      <c r="AS106" s="118"/>
      <c r="AT106" s="137">
        <f t="shared" si="0"/>
        <v>10227</v>
      </c>
      <c r="AU106" s="43">
        <f t="shared" si="3"/>
        <v>10227</v>
      </c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</row>
    <row r="107" spans="1:95" s="96" customFormat="1" ht="33.75">
      <c r="A107" s="39"/>
      <c r="B107" s="51">
        <v>92</v>
      </c>
      <c r="C107" s="51" t="s">
        <v>65</v>
      </c>
      <c r="D107" s="23">
        <v>40018056</v>
      </c>
      <c r="E107" s="52" t="s">
        <v>3195</v>
      </c>
      <c r="F107" s="52" t="s">
        <v>317</v>
      </c>
      <c r="G107" s="56" t="s">
        <v>3083</v>
      </c>
      <c r="H107" s="55" t="s">
        <v>3086</v>
      </c>
      <c r="I107" s="53" t="s">
        <v>52</v>
      </c>
      <c r="J107" s="53">
        <v>141625</v>
      </c>
      <c r="K107" s="54">
        <v>0</v>
      </c>
      <c r="L107" s="54">
        <v>42487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/>
      <c r="W107" s="54"/>
      <c r="X107" s="54"/>
      <c r="Y107" s="54">
        <f t="shared" si="1"/>
        <v>0</v>
      </c>
      <c r="Z107" s="199">
        <v>1</v>
      </c>
      <c r="AA107" s="116">
        <v>24</v>
      </c>
      <c r="AB107" s="136">
        <v>44260</v>
      </c>
      <c r="AC107" s="118">
        <v>44279</v>
      </c>
      <c r="AD107" s="199"/>
      <c r="AE107" s="117"/>
      <c r="AF107" s="115"/>
      <c r="AG107" s="118"/>
      <c r="AH107" s="199"/>
      <c r="AI107" s="116"/>
      <c r="AJ107" s="115"/>
      <c r="AK107" s="118"/>
      <c r="AL107" s="221"/>
      <c r="AM107" s="116"/>
      <c r="AN107" s="115"/>
      <c r="AO107" s="118"/>
      <c r="AP107" s="221"/>
      <c r="AQ107" s="116"/>
      <c r="AR107" s="115"/>
      <c r="AS107" s="118"/>
      <c r="AT107" s="137">
        <f t="shared" si="0"/>
        <v>1</v>
      </c>
      <c r="AU107" s="43">
        <f t="shared" si="3"/>
        <v>1</v>
      </c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</row>
    <row r="108" spans="1:95" s="96" customFormat="1" ht="22.5">
      <c r="A108" s="39"/>
      <c r="B108" s="51">
        <v>93</v>
      </c>
      <c r="C108" s="51" t="s">
        <v>65</v>
      </c>
      <c r="D108" s="23">
        <v>40016748</v>
      </c>
      <c r="E108" s="52" t="s">
        <v>3196</v>
      </c>
      <c r="F108" s="52" t="s">
        <v>317</v>
      </c>
      <c r="G108" s="56" t="s">
        <v>3083</v>
      </c>
      <c r="H108" s="55" t="s">
        <v>342</v>
      </c>
      <c r="I108" s="53" t="s">
        <v>52</v>
      </c>
      <c r="J108" s="53">
        <v>172766</v>
      </c>
      <c r="K108" s="54">
        <v>0</v>
      </c>
      <c r="L108" s="54">
        <v>91892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6000</v>
      </c>
      <c r="U108" s="54">
        <v>0</v>
      </c>
      <c r="V108" s="54"/>
      <c r="W108" s="54"/>
      <c r="X108" s="54"/>
      <c r="Y108" s="54">
        <f t="shared" si="1"/>
        <v>6000</v>
      </c>
      <c r="Z108" s="199">
        <v>16913</v>
      </c>
      <c r="AA108" s="116">
        <v>24</v>
      </c>
      <c r="AB108" s="136">
        <v>44260</v>
      </c>
      <c r="AC108" s="118">
        <v>44279</v>
      </c>
      <c r="AD108" s="199">
        <v>-10000</v>
      </c>
      <c r="AE108" s="117">
        <v>76</v>
      </c>
      <c r="AF108" s="136">
        <v>44378</v>
      </c>
      <c r="AG108" s="118">
        <v>44398</v>
      </c>
      <c r="AH108" s="199"/>
      <c r="AI108" s="116"/>
      <c r="AJ108" s="115"/>
      <c r="AK108" s="118"/>
      <c r="AL108" s="221"/>
      <c r="AM108" s="116"/>
      <c r="AN108" s="115"/>
      <c r="AO108" s="118"/>
      <c r="AP108" s="221"/>
      <c r="AQ108" s="116"/>
      <c r="AR108" s="115"/>
      <c r="AS108" s="118"/>
      <c r="AT108" s="137">
        <f t="shared" si="0"/>
        <v>6913</v>
      </c>
      <c r="AU108" s="43">
        <f t="shared" si="3"/>
        <v>913</v>
      </c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</row>
    <row r="109" spans="1:95" s="96" customFormat="1">
      <c r="A109" s="39"/>
      <c r="B109" s="51">
        <v>94</v>
      </c>
      <c r="C109" s="51" t="s">
        <v>39</v>
      </c>
      <c r="D109" s="23">
        <v>30117378</v>
      </c>
      <c r="E109" s="52" t="s">
        <v>3197</v>
      </c>
      <c r="F109" s="52" t="s">
        <v>317</v>
      </c>
      <c r="G109" s="56" t="s">
        <v>3083</v>
      </c>
      <c r="H109" s="55" t="s">
        <v>3086</v>
      </c>
      <c r="I109" s="53" t="s">
        <v>52</v>
      </c>
      <c r="J109" s="53">
        <v>2186463</v>
      </c>
      <c r="K109" s="54">
        <v>0</v>
      </c>
      <c r="L109" s="54">
        <v>1044153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42525</v>
      </c>
      <c r="T109" s="54">
        <v>128841</v>
      </c>
      <c r="U109" s="54">
        <v>57321</v>
      </c>
      <c r="V109" s="54"/>
      <c r="W109" s="54"/>
      <c r="X109" s="54"/>
      <c r="Y109" s="54">
        <f t="shared" si="1"/>
        <v>228687</v>
      </c>
      <c r="Z109" s="199">
        <v>2163</v>
      </c>
      <c r="AA109" s="116">
        <v>24</v>
      </c>
      <c r="AB109" s="136">
        <v>44260</v>
      </c>
      <c r="AC109" s="118">
        <v>44279</v>
      </c>
      <c r="AD109" s="199">
        <v>331661</v>
      </c>
      <c r="AE109" s="117">
        <v>62</v>
      </c>
      <c r="AF109" s="136">
        <v>44351</v>
      </c>
      <c r="AG109" s="118">
        <v>44372</v>
      </c>
      <c r="AH109" s="199"/>
      <c r="AI109" s="116"/>
      <c r="AJ109" s="115"/>
      <c r="AK109" s="118"/>
      <c r="AL109" s="221"/>
      <c r="AM109" s="116"/>
      <c r="AN109" s="115"/>
      <c r="AO109" s="118"/>
      <c r="AP109" s="221"/>
      <c r="AQ109" s="116"/>
      <c r="AR109" s="115"/>
      <c r="AS109" s="118"/>
      <c r="AT109" s="137">
        <f t="shared" si="0"/>
        <v>333824</v>
      </c>
      <c r="AU109" s="43">
        <f t="shared" si="3"/>
        <v>105137</v>
      </c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</row>
    <row r="110" spans="1:95" s="96" customFormat="1" ht="33.75">
      <c r="A110" s="39"/>
      <c r="B110" s="51">
        <v>95</v>
      </c>
      <c r="C110" s="51" t="s">
        <v>39</v>
      </c>
      <c r="D110" s="23">
        <v>40013114</v>
      </c>
      <c r="E110" s="52" t="s">
        <v>3198</v>
      </c>
      <c r="F110" s="52" t="s">
        <v>317</v>
      </c>
      <c r="G110" s="56" t="s">
        <v>3083</v>
      </c>
      <c r="H110" s="55" t="s">
        <v>3118</v>
      </c>
      <c r="I110" s="53" t="s">
        <v>52</v>
      </c>
      <c r="J110" s="53">
        <v>1509331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1250</v>
      </c>
      <c r="R110" s="54">
        <v>2500</v>
      </c>
      <c r="S110" s="54">
        <v>1250</v>
      </c>
      <c r="T110" s="54">
        <v>1250</v>
      </c>
      <c r="U110" s="54">
        <v>1250</v>
      </c>
      <c r="V110" s="54"/>
      <c r="W110" s="54"/>
      <c r="X110" s="54"/>
      <c r="Y110" s="54">
        <f t="shared" si="1"/>
        <v>7500</v>
      </c>
      <c r="Z110" s="199">
        <v>4199</v>
      </c>
      <c r="AA110" s="116">
        <v>24</v>
      </c>
      <c r="AB110" s="136">
        <v>44260</v>
      </c>
      <c r="AC110" s="118">
        <v>44279</v>
      </c>
      <c r="AD110" s="199">
        <v>400000</v>
      </c>
      <c r="AE110" s="117">
        <v>48</v>
      </c>
      <c r="AF110" s="136">
        <v>44319</v>
      </c>
      <c r="AG110" s="118">
        <v>44340</v>
      </c>
      <c r="AH110" s="199"/>
      <c r="AI110" s="116"/>
      <c r="AJ110" s="115"/>
      <c r="AK110" s="118"/>
      <c r="AL110" s="221"/>
      <c r="AM110" s="116"/>
      <c r="AN110" s="115"/>
      <c r="AO110" s="118"/>
      <c r="AP110" s="221"/>
      <c r="AQ110" s="116"/>
      <c r="AR110" s="115"/>
      <c r="AS110" s="118"/>
      <c r="AT110" s="137">
        <f t="shared" si="0"/>
        <v>404199</v>
      </c>
      <c r="AU110" s="43">
        <f t="shared" si="3"/>
        <v>396699</v>
      </c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</row>
    <row r="111" spans="1:95" s="96" customFormat="1" ht="33.75">
      <c r="A111" s="39"/>
      <c r="B111" s="51">
        <v>96</v>
      </c>
      <c r="C111" s="51" t="s">
        <v>39</v>
      </c>
      <c r="D111" s="23">
        <v>40018087</v>
      </c>
      <c r="E111" s="52" t="s">
        <v>3199</v>
      </c>
      <c r="F111" s="52" t="s">
        <v>317</v>
      </c>
      <c r="G111" s="56" t="s">
        <v>3083</v>
      </c>
      <c r="H111" s="55" t="s">
        <v>3124</v>
      </c>
      <c r="I111" s="53" t="s">
        <v>52</v>
      </c>
      <c r="J111" s="53">
        <v>45028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/>
      <c r="W111" s="54"/>
      <c r="X111" s="54"/>
      <c r="Y111" s="54">
        <f t="shared" si="1"/>
        <v>0</v>
      </c>
      <c r="Z111" s="199">
        <v>1645</v>
      </c>
      <c r="AA111" s="116">
        <v>24</v>
      </c>
      <c r="AB111" s="136">
        <v>44260</v>
      </c>
      <c r="AC111" s="118">
        <v>44279</v>
      </c>
      <c r="AD111" s="199"/>
      <c r="AE111" s="117"/>
      <c r="AF111" s="115"/>
      <c r="AG111" s="118"/>
      <c r="AH111" s="199"/>
      <c r="AI111" s="116"/>
      <c r="AJ111" s="115"/>
      <c r="AK111" s="118"/>
      <c r="AL111" s="221"/>
      <c r="AM111" s="116"/>
      <c r="AN111" s="115"/>
      <c r="AO111" s="118"/>
      <c r="AP111" s="221"/>
      <c r="AQ111" s="116"/>
      <c r="AR111" s="115"/>
      <c r="AS111" s="118"/>
      <c r="AT111" s="137">
        <f t="shared" si="0"/>
        <v>1645</v>
      </c>
      <c r="AU111" s="43">
        <f t="shared" si="3"/>
        <v>1645</v>
      </c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</row>
    <row r="112" spans="1:95" s="96" customFormat="1" ht="22.5">
      <c r="A112" s="39"/>
      <c r="B112" s="51">
        <v>97</v>
      </c>
      <c r="C112" s="51" t="s">
        <v>39</v>
      </c>
      <c r="D112" s="23">
        <v>40023359</v>
      </c>
      <c r="E112" s="52" t="s">
        <v>3200</v>
      </c>
      <c r="F112" s="52" t="s">
        <v>317</v>
      </c>
      <c r="G112" s="56" t="s">
        <v>3083</v>
      </c>
      <c r="H112" s="55" t="s">
        <v>3109</v>
      </c>
      <c r="I112" s="53" t="s">
        <v>52</v>
      </c>
      <c r="J112" s="53" t="s">
        <v>3201</v>
      </c>
      <c r="K112" s="54">
        <v>0</v>
      </c>
      <c r="L112" s="54">
        <v>4449347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/>
      <c r="W112" s="54"/>
      <c r="X112" s="54"/>
      <c r="Y112" s="54">
        <f t="shared" si="1"/>
        <v>0</v>
      </c>
      <c r="Z112" s="199">
        <v>3068</v>
      </c>
      <c r="AA112" s="116">
        <v>24</v>
      </c>
      <c r="AB112" s="136">
        <v>44260</v>
      </c>
      <c r="AC112" s="118">
        <v>44279</v>
      </c>
      <c r="AD112" s="199">
        <v>153373</v>
      </c>
      <c r="AE112" s="117">
        <v>94</v>
      </c>
      <c r="AF112" s="136">
        <v>44413</v>
      </c>
      <c r="AG112" s="118">
        <v>44432</v>
      </c>
      <c r="AH112" s="199">
        <v>-153373</v>
      </c>
      <c r="AI112" s="116">
        <v>104</v>
      </c>
      <c r="AJ112" s="136">
        <v>44438</v>
      </c>
      <c r="AK112" s="118">
        <v>44459</v>
      </c>
      <c r="AL112" s="221"/>
      <c r="AM112" s="116"/>
      <c r="AN112" s="115"/>
      <c r="AO112" s="118"/>
      <c r="AP112" s="221"/>
      <c r="AQ112" s="116"/>
      <c r="AR112" s="115"/>
      <c r="AS112" s="118"/>
      <c r="AT112" s="137">
        <f t="shared" si="0"/>
        <v>3068</v>
      </c>
      <c r="AU112" s="43">
        <f t="shared" si="3"/>
        <v>3068</v>
      </c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</row>
    <row r="113" spans="1:95" s="96" customFormat="1" ht="22.5">
      <c r="A113" s="39"/>
      <c r="B113" s="51">
        <v>98</v>
      </c>
      <c r="C113" s="51" t="s">
        <v>39</v>
      </c>
      <c r="D113" s="23">
        <v>30109984</v>
      </c>
      <c r="E113" s="52" t="s">
        <v>3202</v>
      </c>
      <c r="F113" s="52" t="s">
        <v>317</v>
      </c>
      <c r="G113" s="56" t="s">
        <v>3083</v>
      </c>
      <c r="H113" s="55" t="s">
        <v>342</v>
      </c>
      <c r="I113" s="53" t="s">
        <v>52</v>
      </c>
      <c r="J113" s="53">
        <v>265709</v>
      </c>
      <c r="K113" s="54">
        <v>0</v>
      </c>
      <c r="L113" s="54">
        <v>234046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1459</v>
      </c>
      <c r="T113" s="54">
        <v>0</v>
      </c>
      <c r="U113" s="54">
        <v>0</v>
      </c>
      <c r="V113" s="54"/>
      <c r="W113" s="54"/>
      <c r="X113" s="54"/>
      <c r="Y113" s="54">
        <f t="shared" si="1"/>
        <v>1459</v>
      </c>
      <c r="Z113" s="199">
        <v>1461</v>
      </c>
      <c r="AA113" s="116">
        <v>24</v>
      </c>
      <c r="AB113" s="136">
        <v>44260</v>
      </c>
      <c r="AC113" s="118">
        <v>44279</v>
      </c>
      <c r="AD113" s="199"/>
      <c r="AE113" s="117"/>
      <c r="AF113" s="115"/>
      <c r="AG113" s="118"/>
      <c r="AH113" s="199"/>
      <c r="AI113" s="116"/>
      <c r="AJ113" s="115"/>
      <c r="AK113" s="118"/>
      <c r="AL113" s="221"/>
      <c r="AM113" s="116"/>
      <c r="AN113" s="115"/>
      <c r="AO113" s="118"/>
      <c r="AP113" s="221"/>
      <c r="AQ113" s="116"/>
      <c r="AR113" s="115"/>
      <c r="AS113" s="118"/>
      <c r="AT113" s="137">
        <f t="shared" si="0"/>
        <v>1461</v>
      </c>
      <c r="AU113" s="43">
        <f t="shared" si="3"/>
        <v>2</v>
      </c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</row>
    <row r="114" spans="1:95" s="96" customFormat="1" ht="22.5">
      <c r="A114" s="39"/>
      <c r="B114" s="51">
        <v>99</v>
      </c>
      <c r="C114" s="51" t="s">
        <v>39</v>
      </c>
      <c r="D114" s="23">
        <v>30079302</v>
      </c>
      <c r="E114" s="52" t="s">
        <v>3203</v>
      </c>
      <c r="F114" s="52" t="s">
        <v>317</v>
      </c>
      <c r="G114" s="56" t="s">
        <v>3083</v>
      </c>
      <c r="H114" s="55" t="s">
        <v>3102</v>
      </c>
      <c r="I114" s="53" t="s">
        <v>52</v>
      </c>
      <c r="J114" s="53">
        <v>193369</v>
      </c>
      <c r="K114" s="54">
        <v>1716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/>
      <c r="W114" s="54"/>
      <c r="X114" s="54"/>
      <c r="Y114" s="54">
        <f t="shared" si="1"/>
        <v>0</v>
      </c>
      <c r="Z114" s="199">
        <v>2</v>
      </c>
      <c r="AA114" s="116">
        <v>24</v>
      </c>
      <c r="AB114" s="136">
        <v>44260</v>
      </c>
      <c r="AC114" s="118">
        <v>44279</v>
      </c>
      <c r="AD114" s="199"/>
      <c r="AE114" s="117"/>
      <c r="AF114" s="115"/>
      <c r="AG114" s="118"/>
      <c r="AH114" s="199"/>
      <c r="AI114" s="116"/>
      <c r="AJ114" s="115"/>
      <c r="AK114" s="118"/>
      <c r="AL114" s="221"/>
      <c r="AM114" s="116"/>
      <c r="AN114" s="115"/>
      <c r="AO114" s="118"/>
      <c r="AP114" s="221"/>
      <c r="AQ114" s="116"/>
      <c r="AR114" s="115"/>
      <c r="AS114" s="118"/>
      <c r="AT114" s="137">
        <f t="shared" si="0"/>
        <v>2</v>
      </c>
      <c r="AU114" s="43">
        <f t="shared" si="3"/>
        <v>2</v>
      </c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</row>
    <row r="115" spans="1:95" s="96" customFormat="1" ht="22.5">
      <c r="A115" s="39"/>
      <c r="B115" s="51">
        <v>100</v>
      </c>
      <c r="C115" s="51" t="s">
        <v>39</v>
      </c>
      <c r="D115" s="23">
        <v>30428594</v>
      </c>
      <c r="E115" s="52" t="s">
        <v>3204</v>
      </c>
      <c r="F115" s="52" t="s">
        <v>317</v>
      </c>
      <c r="G115" s="56" t="s">
        <v>3083</v>
      </c>
      <c r="H115" s="55" t="s">
        <v>3094</v>
      </c>
      <c r="I115" s="53" t="s">
        <v>52</v>
      </c>
      <c r="J115" s="53">
        <v>1244336</v>
      </c>
      <c r="K115" s="54">
        <v>0</v>
      </c>
      <c r="L115" s="54">
        <v>2095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/>
      <c r="W115" s="54"/>
      <c r="X115" s="54"/>
      <c r="Y115" s="54">
        <f t="shared" si="1"/>
        <v>0</v>
      </c>
      <c r="Z115" s="199">
        <v>1</v>
      </c>
      <c r="AA115" s="116">
        <v>24</v>
      </c>
      <c r="AB115" s="136">
        <v>44260</v>
      </c>
      <c r="AC115" s="118">
        <v>44279</v>
      </c>
      <c r="AD115" s="199"/>
      <c r="AE115" s="117"/>
      <c r="AF115" s="115"/>
      <c r="AG115" s="118"/>
      <c r="AH115" s="199"/>
      <c r="AI115" s="116"/>
      <c r="AJ115" s="115"/>
      <c r="AK115" s="118"/>
      <c r="AL115" s="221"/>
      <c r="AM115" s="116"/>
      <c r="AN115" s="115"/>
      <c r="AO115" s="118"/>
      <c r="AP115" s="221"/>
      <c r="AQ115" s="116"/>
      <c r="AR115" s="115"/>
      <c r="AS115" s="118"/>
      <c r="AT115" s="137">
        <f t="shared" si="0"/>
        <v>1</v>
      </c>
      <c r="AU115" s="43">
        <f t="shared" si="3"/>
        <v>1</v>
      </c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</row>
    <row r="116" spans="1:95" s="96" customFormat="1" ht="22.5">
      <c r="A116" s="39"/>
      <c r="B116" s="51">
        <v>101</v>
      </c>
      <c r="C116" s="51" t="s">
        <v>39</v>
      </c>
      <c r="D116" s="23">
        <v>30102625</v>
      </c>
      <c r="E116" s="52" t="s">
        <v>3205</v>
      </c>
      <c r="F116" s="52" t="s">
        <v>317</v>
      </c>
      <c r="G116" s="56" t="s">
        <v>3083</v>
      </c>
      <c r="H116" s="55" t="s">
        <v>3094</v>
      </c>
      <c r="I116" s="53" t="s">
        <v>44</v>
      </c>
      <c r="J116" s="53">
        <v>3170902</v>
      </c>
      <c r="K116" s="54">
        <v>3111633</v>
      </c>
      <c r="L116" s="54">
        <v>0</v>
      </c>
      <c r="M116" s="54">
        <v>0</v>
      </c>
      <c r="N116" s="54">
        <v>0</v>
      </c>
      <c r="O116" s="54">
        <v>0</v>
      </c>
      <c r="P116" s="54">
        <v>52500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/>
      <c r="W116" s="54"/>
      <c r="X116" s="54"/>
      <c r="Y116" s="54">
        <f t="shared" si="1"/>
        <v>52500</v>
      </c>
      <c r="Z116" s="199">
        <v>59269</v>
      </c>
      <c r="AA116" s="116">
        <v>26</v>
      </c>
      <c r="AB116" s="136">
        <v>44264</v>
      </c>
      <c r="AC116" s="118">
        <v>44279</v>
      </c>
      <c r="AD116" s="199"/>
      <c r="AE116" s="117"/>
      <c r="AF116" s="115"/>
      <c r="AG116" s="118"/>
      <c r="AH116" s="199"/>
      <c r="AI116" s="116"/>
      <c r="AJ116" s="115"/>
      <c r="AK116" s="118"/>
      <c r="AL116" s="221"/>
      <c r="AM116" s="116"/>
      <c r="AN116" s="115"/>
      <c r="AO116" s="118"/>
      <c r="AP116" s="221"/>
      <c r="AQ116" s="116"/>
      <c r="AR116" s="115"/>
      <c r="AS116" s="118"/>
      <c r="AT116" s="137">
        <f t="shared" si="0"/>
        <v>59269</v>
      </c>
      <c r="AU116" s="43">
        <f t="shared" si="3"/>
        <v>6769</v>
      </c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</row>
    <row r="117" spans="1:95" s="96" customFormat="1" ht="22.5">
      <c r="A117" s="39"/>
      <c r="B117" s="51">
        <v>102</v>
      </c>
      <c r="C117" s="51" t="s">
        <v>39</v>
      </c>
      <c r="D117" s="23">
        <v>30109893</v>
      </c>
      <c r="E117" s="52" t="s">
        <v>3206</v>
      </c>
      <c r="F117" s="52" t="s">
        <v>317</v>
      </c>
      <c r="G117" s="56" t="s">
        <v>3083</v>
      </c>
      <c r="H117" s="55" t="s">
        <v>3126</v>
      </c>
      <c r="I117" s="53" t="s">
        <v>44</v>
      </c>
      <c r="J117" s="53">
        <v>808729</v>
      </c>
      <c r="K117" s="54">
        <v>806249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/>
      <c r="W117" s="54"/>
      <c r="X117" s="54"/>
      <c r="Y117" s="54">
        <f t="shared" si="1"/>
        <v>0</v>
      </c>
      <c r="Z117" s="199">
        <v>2480</v>
      </c>
      <c r="AA117" s="116">
        <v>30</v>
      </c>
      <c r="AB117" s="136">
        <v>44270</v>
      </c>
      <c r="AC117" s="118">
        <v>44286</v>
      </c>
      <c r="AD117" s="199"/>
      <c r="AE117" s="117"/>
      <c r="AF117" s="115"/>
      <c r="AG117" s="118"/>
      <c r="AH117" s="199"/>
      <c r="AI117" s="116"/>
      <c r="AJ117" s="115"/>
      <c r="AK117" s="118"/>
      <c r="AL117" s="221"/>
      <c r="AM117" s="116"/>
      <c r="AN117" s="115"/>
      <c r="AO117" s="118"/>
      <c r="AP117" s="221"/>
      <c r="AQ117" s="116"/>
      <c r="AR117" s="115"/>
      <c r="AS117" s="118"/>
      <c r="AT117" s="137">
        <f t="shared" si="0"/>
        <v>2480</v>
      </c>
      <c r="AU117" s="43">
        <f t="shared" si="3"/>
        <v>2480</v>
      </c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</row>
    <row r="118" spans="1:95" s="96" customFormat="1" ht="22.5">
      <c r="A118" s="39"/>
      <c r="B118" s="51">
        <v>103</v>
      </c>
      <c r="C118" s="51" t="s">
        <v>39</v>
      </c>
      <c r="D118" s="23">
        <v>30121630</v>
      </c>
      <c r="E118" s="52" t="s">
        <v>3207</v>
      </c>
      <c r="F118" s="52" t="s">
        <v>317</v>
      </c>
      <c r="G118" s="56" t="s">
        <v>3083</v>
      </c>
      <c r="H118" s="55" t="s">
        <v>3102</v>
      </c>
      <c r="I118" s="53" t="s">
        <v>44</v>
      </c>
      <c r="J118" s="53" t="s">
        <v>3208</v>
      </c>
      <c r="K118" s="54">
        <v>2415020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/>
      <c r="W118" s="54"/>
      <c r="X118" s="54"/>
      <c r="Y118" s="54">
        <f t="shared" si="1"/>
        <v>0</v>
      </c>
      <c r="Z118" s="199">
        <v>1</v>
      </c>
      <c r="AA118" s="116">
        <v>30</v>
      </c>
      <c r="AB118" s="136">
        <v>44270</v>
      </c>
      <c r="AC118" s="118">
        <v>44286</v>
      </c>
      <c r="AD118" s="199">
        <v>109999</v>
      </c>
      <c r="AE118" s="117">
        <v>105</v>
      </c>
      <c r="AF118" s="136">
        <v>44438</v>
      </c>
      <c r="AG118" s="118">
        <v>44459</v>
      </c>
      <c r="AH118" s="199"/>
      <c r="AI118" s="116"/>
      <c r="AJ118" s="115"/>
      <c r="AK118" s="118"/>
      <c r="AL118" s="221"/>
      <c r="AM118" s="116"/>
      <c r="AN118" s="115"/>
      <c r="AO118" s="118"/>
      <c r="AP118" s="221"/>
      <c r="AQ118" s="116"/>
      <c r="AR118" s="115"/>
      <c r="AS118" s="118"/>
      <c r="AT118" s="137">
        <f t="shared" si="0"/>
        <v>110000</v>
      </c>
      <c r="AU118" s="43">
        <f t="shared" si="3"/>
        <v>110000</v>
      </c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</row>
    <row r="119" spans="1:95" s="96" customFormat="1" ht="22.5">
      <c r="A119" s="39"/>
      <c r="B119" s="51">
        <v>104</v>
      </c>
      <c r="C119" s="51" t="s">
        <v>39</v>
      </c>
      <c r="D119" s="23">
        <v>30131439</v>
      </c>
      <c r="E119" s="52" t="s">
        <v>3209</v>
      </c>
      <c r="F119" s="52" t="s">
        <v>317</v>
      </c>
      <c r="G119" s="56" t="s">
        <v>3083</v>
      </c>
      <c r="H119" s="55" t="s">
        <v>3126</v>
      </c>
      <c r="I119" s="53" t="s">
        <v>44</v>
      </c>
      <c r="J119" s="53">
        <v>886364</v>
      </c>
      <c r="K119" s="54">
        <v>863524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/>
      <c r="W119" s="54"/>
      <c r="X119" s="54"/>
      <c r="Y119" s="54">
        <f t="shared" si="1"/>
        <v>0</v>
      </c>
      <c r="Z119" s="199">
        <v>23340</v>
      </c>
      <c r="AA119" s="116">
        <v>30</v>
      </c>
      <c r="AB119" s="136">
        <v>44270</v>
      </c>
      <c r="AC119" s="118">
        <v>44286</v>
      </c>
      <c r="AD119" s="199"/>
      <c r="AE119" s="117"/>
      <c r="AF119" s="115"/>
      <c r="AG119" s="118"/>
      <c r="AH119" s="199"/>
      <c r="AI119" s="116"/>
      <c r="AJ119" s="115"/>
      <c r="AK119" s="118"/>
      <c r="AL119" s="221"/>
      <c r="AM119" s="116"/>
      <c r="AN119" s="115"/>
      <c r="AO119" s="118"/>
      <c r="AP119" s="221"/>
      <c r="AQ119" s="116"/>
      <c r="AR119" s="115"/>
      <c r="AS119" s="118"/>
      <c r="AT119" s="137">
        <f t="shared" si="0"/>
        <v>23340</v>
      </c>
      <c r="AU119" s="43">
        <f t="shared" si="3"/>
        <v>23340</v>
      </c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</row>
    <row r="120" spans="1:95" s="96" customFormat="1">
      <c r="A120" s="39"/>
      <c r="B120" s="51">
        <v>105</v>
      </c>
      <c r="C120" s="51" t="s">
        <v>39</v>
      </c>
      <c r="D120" s="23">
        <v>30089047</v>
      </c>
      <c r="E120" s="52" t="s">
        <v>3210</v>
      </c>
      <c r="F120" s="52" t="s">
        <v>317</v>
      </c>
      <c r="G120" s="56" t="s">
        <v>3083</v>
      </c>
      <c r="H120" s="55" t="s">
        <v>3092</v>
      </c>
      <c r="I120" s="53" t="s">
        <v>52</v>
      </c>
      <c r="J120" s="53">
        <v>1600254</v>
      </c>
      <c r="K120" s="54">
        <v>20050</v>
      </c>
      <c r="L120" s="54">
        <v>328957</v>
      </c>
      <c r="M120" s="54">
        <v>0</v>
      </c>
      <c r="N120" s="54">
        <v>0</v>
      </c>
      <c r="O120" s="54">
        <v>0</v>
      </c>
      <c r="P120" s="54">
        <v>66812</v>
      </c>
      <c r="Q120" s="54">
        <v>86167</v>
      </c>
      <c r="R120" s="54">
        <v>81628</v>
      </c>
      <c r="S120" s="54">
        <v>47760</v>
      </c>
      <c r="T120" s="54">
        <v>95553</v>
      </c>
      <c r="U120" s="54">
        <v>151981</v>
      </c>
      <c r="V120" s="54"/>
      <c r="W120" s="54"/>
      <c r="X120" s="54"/>
      <c r="Y120" s="54">
        <f t="shared" si="1"/>
        <v>529901</v>
      </c>
      <c r="Z120" s="199">
        <v>329968</v>
      </c>
      <c r="AA120" s="116">
        <v>31</v>
      </c>
      <c r="AB120" s="136">
        <v>44270</v>
      </c>
      <c r="AC120" s="118">
        <v>44286</v>
      </c>
      <c r="AD120" s="199">
        <v>500000</v>
      </c>
      <c r="AE120" s="117">
        <v>62</v>
      </c>
      <c r="AF120" s="136">
        <v>44351</v>
      </c>
      <c r="AG120" s="118">
        <v>44372</v>
      </c>
      <c r="AH120" s="199"/>
      <c r="AI120" s="116"/>
      <c r="AJ120" s="115"/>
      <c r="AK120" s="118"/>
      <c r="AL120" s="221"/>
      <c r="AM120" s="116"/>
      <c r="AN120" s="115"/>
      <c r="AO120" s="118"/>
      <c r="AP120" s="221"/>
      <c r="AQ120" s="116"/>
      <c r="AR120" s="115"/>
      <c r="AS120" s="118"/>
      <c r="AT120" s="137">
        <f t="shared" si="0"/>
        <v>829968</v>
      </c>
      <c r="AU120" s="43">
        <f t="shared" si="3"/>
        <v>300067</v>
      </c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</row>
    <row r="121" spans="1:95" s="96" customFormat="1" ht="22.5">
      <c r="A121" s="39"/>
      <c r="B121" s="51">
        <v>106</v>
      </c>
      <c r="C121" s="51" t="s">
        <v>39</v>
      </c>
      <c r="D121" s="23">
        <v>30486680</v>
      </c>
      <c r="E121" s="52" t="s">
        <v>3211</v>
      </c>
      <c r="F121" s="52" t="s">
        <v>317</v>
      </c>
      <c r="G121" s="56" t="s">
        <v>3083</v>
      </c>
      <c r="H121" s="55" t="s">
        <v>3126</v>
      </c>
      <c r="I121" s="53" t="s">
        <v>52</v>
      </c>
      <c r="J121" s="53">
        <v>1434411</v>
      </c>
      <c r="K121" s="54">
        <v>0</v>
      </c>
      <c r="L121" s="54">
        <v>1321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/>
      <c r="W121" s="54"/>
      <c r="X121" s="54"/>
      <c r="Y121" s="54">
        <f t="shared" si="1"/>
        <v>0</v>
      </c>
      <c r="Z121" s="199">
        <v>2</v>
      </c>
      <c r="AA121" s="116">
        <v>31</v>
      </c>
      <c r="AB121" s="136">
        <v>44270</v>
      </c>
      <c r="AC121" s="118">
        <v>44286</v>
      </c>
      <c r="AD121" s="199"/>
      <c r="AE121" s="117"/>
      <c r="AF121" s="115"/>
      <c r="AG121" s="118"/>
      <c r="AH121" s="199"/>
      <c r="AI121" s="116"/>
      <c r="AJ121" s="115"/>
      <c r="AK121" s="118"/>
      <c r="AL121" s="221"/>
      <c r="AM121" s="116"/>
      <c r="AN121" s="115"/>
      <c r="AO121" s="118"/>
      <c r="AP121" s="221"/>
      <c r="AQ121" s="116"/>
      <c r="AR121" s="115"/>
      <c r="AS121" s="118"/>
      <c r="AT121" s="137">
        <f t="shared" si="0"/>
        <v>2</v>
      </c>
      <c r="AU121" s="43">
        <f t="shared" si="3"/>
        <v>2</v>
      </c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</row>
    <row r="122" spans="1:95" s="96" customFormat="1" ht="22.5">
      <c r="A122" s="39"/>
      <c r="B122" s="51">
        <v>107</v>
      </c>
      <c r="C122" s="51" t="s">
        <v>39</v>
      </c>
      <c r="D122" s="23">
        <v>30116812</v>
      </c>
      <c r="E122" s="52" t="s">
        <v>3212</v>
      </c>
      <c r="F122" s="52" t="s">
        <v>47</v>
      </c>
      <c r="G122" s="56" t="s">
        <v>3083</v>
      </c>
      <c r="H122" s="55" t="s">
        <v>3126</v>
      </c>
      <c r="I122" s="53" t="s">
        <v>52</v>
      </c>
      <c r="J122" s="53">
        <v>206178</v>
      </c>
      <c r="K122" s="54">
        <v>5994</v>
      </c>
      <c r="L122" s="54">
        <v>152120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7343</v>
      </c>
      <c r="U122" s="54">
        <v>0</v>
      </c>
      <c r="V122" s="54"/>
      <c r="W122" s="54"/>
      <c r="X122" s="54"/>
      <c r="Y122" s="54">
        <f t="shared" si="1"/>
        <v>7343</v>
      </c>
      <c r="Z122" s="199">
        <v>20000</v>
      </c>
      <c r="AA122" s="116">
        <v>31</v>
      </c>
      <c r="AB122" s="136">
        <v>44270</v>
      </c>
      <c r="AC122" s="118">
        <v>44286</v>
      </c>
      <c r="AD122" s="199">
        <v>-9000</v>
      </c>
      <c r="AE122" s="117">
        <v>104</v>
      </c>
      <c r="AF122" s="136">
        <v>44438</v>
      </c>
      <c r="AG122" s="118">
        <v>44459</v>
      </c>
      <c r="AH122" s="199"/>
      <c r="AI122" s="116"/>
      <c r="AJ122" s="115"/>
      <c r="AK122" s="118"/>
      <c r="AL122" s="221"/>
      <c r="AM122" s="116"/>
      <c r="AN122" s="115"/>
      <c r="AO122" s="118"/>
      <c r="AP122" s="221"/>
      <c r="AQ122" s="116"/>
      <c r="AR122" s="115"/>
      <c r="AS122" s="118"/>
      <c r="AT122" s="137">
        <f>+Z122+AD122+AH122+AL122+AP122</f>
        <v>11000</v>
      </c>
      <c r="AU122" s="43">
        <f t="shared" si="3"/>
        <v>3657</v>
      </c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</row>
    <row r="123" spans="1:95" s="96" customFormat="1" ht="22.5">
      <c r="A123" s="39"/>
      <c r="B123" s="51">
        <v>108</v>
      </c>
      <c r="C123" s="51" t="s">
        <v>39</v>
      </c>
      <c r="D123" s="23">
        <v>40015736</v>
      </c>
      <c r="E123" s="52" t="s">
        <v>3213</v>
      </c>
      <c r="F123" s="52" t="s">
        <v>47</v>
      </c>
      <c r="G123" s="56" t="s">
        <v>3083</v>
      </c>
      <c r="H123" s="55" t="s">
        <v>3126</v>
      </c>
      <c r="I123" s="53" t="s">
        <v>52</v>
      </c>
      <c r="J123" s="53">
        <v>73415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/>
      <c r="W123" s="54"/>
      <c r="X123" s="54"/>
      <c r="Y123" s="54">
        <f t="shared" si="1"/>
        <v>0</v>
      </c>
      <c r="Z123" s="199">
        <v>1</v>
      </c>
      <c r="AA123" s="116">
        <v>31</v>
      </c>
      <c r="AB123" s="136">
        <v>44270</v>
      </c>
      <c r="AC123" s="118">
        <v>44286</v>
      </c>
      <c r="AD123" s="199"/>
      <c r="AE123" s="117"/>
      <c r="AF123" s="115"/>
      <c r="AG123" s="118"/>
      <c r="AH123" s="199"/>
      <c r="AI123" s="116"/>
      <c r="AJ123" s="115"/>
      <c r="AK123" s="118"/>
      <c r="AL123" s="221"/>
      <c r="AM123" s="116"/>
      <c r="AN123" s="115"/>
      <c r="AO123" s="118"/>
      <c r="AP123" s="221"/>
      <c r="AQ123" s="116"/>
      <c r="AR123" s="115"/>
      <c r="AS123" s="118"/>
      <c r="AT123" s="137">
        <f t="shared" si="0"/>
        <v>1</v>
      </c>
      <c r="AU123" s="43">
        <f t="shared" si="3"/>
        <v>1</v>
      </c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</row>
    <row r="124" spans="1:95" s="96" customFormat="1" ht="22.5">
      <c r="A124" s="39"/>
      <c r="B124" s="51">
        <v>109</v>
      </c>
      <c r="C124" s="51" t="s">
        <v>39</v>
      </c>
      <c r="D124" s="23">
        <v>40027319</v>
      </c>
      <c r="E124" s="52" t="s">
        <v>3214</v>
      </c>
      <c r="F124" s="52" t="s">
        <v>317</v>
      </c>
      <c r="G124" s="56" t="s">
        <v>3083</v>
      </c>
      <c r="H124" s="55" t="s">
        <v>3132</v>
      </c>
      <c r="I124" s="53" t="s">
        <v>52</v>
      </c>
      <c r="J124" s="53">
        <v>2405555</v>
      </c>
      <c r="K124" s="54">
        <v>0</v>
      </c>
      <c r="L124" s="54">
        <v>1905555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/>
      <c r="W124" s="54"/>
      <c r="X124" s="54"/>
      <c r="Y124" s="54">
        <f t="shared" si="1"/>
        <v>0</v>
      </c>
      <c r="Z124" s="199">
        <v>1</v>
      </c>
      <c r="AA124" s="116">
        <v>34</v>
      </c>
      <c r="AB124" s="136">
        <v>44279</v>
      </c>
      <c r="AC124" s="118">
        <v>44298</v>
      </c>
      <c r="AD124" s="199"/>
      <c r="AE124" s="117"/>
      <c r="AF124" s="115"/>
      <c r="AG124" s="118"/>
      <c r="AH124" s="199"/>
      <c r="AI124" s="116"/>
      <c r="AJ124" s="115"/>
      <c r="AK124" s="118"/>
      <c r="AL124" s="221"/>
      <c r="AM124" s="116"/>
      <c r="AN124" s="115"/>
      <c r="AO124" s="118"/>
      <c r="AP124" s="221"/>
      <c r="AQ124" s="116"/>
      <c r="AR124" s="115"/>
      <c r="AS124" s="118"/>
      <c r="AT124" s="137">
        <f t="shared" si="0"/>
        <v>1</v>
      </c>
      <c r="AU124" s="43">
        <f t="shared" si="3"/>
        <v>1</v>
      </c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</row>
    <row r="125" spans="1:95" s="96" customFormat="1" ht="22.5">
      <c r="A125" s="39"/>
      <c r="B125" s="51">
        <v>110</v>
      </c>
      <c r="C125" s="51" t="s">
        <v>39</v>
      </c>
      <c r="D125" s="23">
        <v>30485757</v>
      </c>
      <c r="E125" s="52" t="s">
        <v>3215</v>
      </c>
      <c r="F125" s="52" t="s">
        <v>317</v>
      </c>
      <c r="G125" s="56" t="s">
        <v>3083</v>
      </c>
      <c r="H125" s="55" t="s">
        <v>3124</v>
      </c>
      <c r="I125" s="53" t="s">
        <v>52</v>
      </c>
      <c r="J125" s="53">
        <v>491209</v>
      </c>
      <c r="K125" s="54">
        <v>0</v>
      </c>
      <c r="L125" s="54">
        <v>202250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/>
      <c r="W125" s="54"/>
      <c r="X125" s="54"/>
      <c r="Y125" s="54">
        <f t="shared" si="1"/>
        <v>0</v>
      </c>
      <c r="Z125" s="199">
        <v>1</v>
      </c>
      <c r="AA125" s="116">
        <v>34</v>
      </c>
      <c r="AB125" s="136">
        <v>44279</v>
      </c>
      <c r="AC125" s="118">
        <v>44298</v>
      </c>
      <c r="AD125" s="199"/>
      <c r="AE125" s="117"/>
      <c r="AF125" s="115"/>
      <c r="AG125" s="118"/>
      <c r="AH125" s="199"/>
      <c r="AI125" s="116"/>
      <c r="AJ125" s="115"/>
      <c r="AK125" s="118"/>
      <c r="AL125" s="221"/>
      <c r="AM125" s="116"/>
      <c r="AN125" s="115"/>
      <c r="AO125" s="118"/>
      <c r="AP125" s="221"/>
      <c r="AQ125" s="116"/>
      <c r="AR125" s="115"/>
      <c r="AS125" s="118"/>
      <c r="AT125" s="137">
        <f t="shared" si="0"/>
        <v>1</v>
      </c>
      <c r="AU125" s="43">
        <f t="shared" si="3"/>
        <v>1</v>
      </c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</row>
    <row r="126" spans="1:95" s="96" customFormat="1" ht="22.5">
      <c r="A126" s="39"/>
      <c r="B126" s="51">
        <v>111</v>
      </c>
      <c r="C126" s="51" t="s">
        <v>39</v>
      </c>
      <c r="D126" s="23">
        <v>30358222</v>
      </c>
      <c r="E126" s="52" t="s">
        <v>3216</v>
      </c>
      <c r="F126" s="52" t="s">
        <v>317</v>
      </c>
      <c r="G126" s="56" t="s">
        <v>3083</v>
      </c>
      <c r="H126" s="55" t="s">
        <v>3132</v>
      </c>
      <c r="I126" s="53" t="s">
        <v>44</v>
      </c>
      <c r="J126" s="53">
        <v>1010901</v>
      </c>
      <c r="K126" s="54">
        <v>1009354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1547</v>
      </c>
      <c r="R126" s="54">
        <v>0</v>
      </c>
      <c r="S126" s="54">
        <v>0</v>
      </c>
      <c r="T126" s="54">
        <v>0</v>
      </c>
      <c r="U126" s="54">
        <v>0</v>
      </c>
      <c r="V126" s="54"/>
      <c r="W126" s="54"/>
      <c r="X126" s="54"/>
      <c r="Y126" s="54">
        <f t="shared" si="1"/>
        <v>1547</v>
      </c>
      <c r="Z126" s="199">
        <v>1547</v>
      </c>
      <c r="AA126" s="116">
        <v>47</v>
      </c>
      <c r="AB126" s="136">
        <v>44319</v>
      </c>
      <c r="AC126" s="118">
        <v>44340</v>
      </c>
      <c r="AD126" s="199"/>
      <c r="AE126" s="117"/>
      <c r="AF126" s="115"/>
      <c r="AG126" s="118"/>
      <c r="AH126" s="199"/>
      <c r="AI126" s="116"/>
      <c r="AJ126" s="115"/>
      <c r="AK126" s="118"/>
      <c r="AL126" s="221"/>
      <c r="AM126" s="116"/>
      <c r="AN126" s="115"/>
      <c r="AO126" s="118"/>
      <c r="AP126" s="221"/>
      <c r="AQ126" s="116"/>
      <c r="AR126" s="115"/>
      <c r="AS126" s="118"/>
      <c r="AT126" s="137">
        <f t="shared" si="0"/>
        <v>1547</v>
      </c>
      <c r="AU126" s="43">
        <f t="shared" si="3"/>
        <v>0</v>
      </c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</row>
    <row r="127" spans="1:95" s="96" customFormat="1" ht="22.5">
      <c r="A127" s="39"/>
      <c r="B127" s="51">
        <v>112</v>
      </c>
      <c r="C127" s="51" t="s">
        <v>39</v>
      </c>
      <c r="D127" s="23">
        <v>30109564</v>
      </c>
      <c r="E127" s="52" t="s">
        <v>3217</v>
      </c>
      <c r="F127" s="52" t="s">
        <v>317</v>
      </c>
      <c r="G127" s="56" t="s">
        <v>3083</v>
      </c>
      <c r="H127" s="55" t="s">
        <v>3094</v>
      </c>
      <c r="I127" s="53" t="s">
        <v>44</v>
      </c>
      <c r="J127" s="53">
        <v>4288073</v>
      </c>
      <c r="K127" s="54">
        <v>1955387</v>
      </c>
      <c r="L127" s="54">
        <v>1166343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/>
      <c r="W127" s="54"/>
      <c r="X127" s="54"/>
      <c r="Y127" s="54">
        <f t="shared" si="1"/>
        <v>0</v>
      </c>
      <c r="Z127" s="199">
        <v>430112</v>
      </c>
      <c r="AA127" s="116">
        <v>47</v>
      </c>
      <c r="AB127" s="136">
        <v>44319</v>
      </c>
      <c r="AC127" s="118">
        <v>44340</v>
      </c>
      <c r="AD127" s="199"/>
      <c r="AE127" s="117"/>
      <c r="AF127" s="115"/>
      <c r="AG127" s="118"/>
      <c r="AH127" s="199"/>
      <c r="AI127" s="116"/>
      <c r="AJ127" s="115"/>
      <c r="AK127" s="118"/>
      <c r="AL127" s="221"/>
      <c r="AM127" s="116"/>
      <c r="AN127" s="115"/>
      <c r="AO127" s="118"/>
      <c r="AP127" s="221"/>
      <c r="AQ127" s="116"/>
      <c r="AR127" s="115"/>
      <c r="AS127" s="118"/>
      <c r="AT127" s="137">
        <f t="shared" si="0"/>
        <v>430112</v>
      </c>
      <c r="AU127" s="43">
        <f t="shared" si="3"/>
        <v>430112</v>
      </c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</row>
    <row r="128" spans="1:95" s="96" customFormat="1" ht="22.5">
      <c r="A128" s="39"/>
      <c r="B128" s="51">
        <v>113</v>
      </c>
      <c r="C128" s="51" t="s">
        <v>39</v>
      </c>
      <c r="D128" s="23">
        <v>40000596</v>
      </c>
      <c r="E128" s="52" t="s">
        <v>3218</v>
      </c>
      <c r="F128" s="52" t="s">
        <v>47</v>
      </c>
      <c r="G128" s="56" t="s">
        <v>3083</v>
      </c>
      <c r="H128" s="55" t="s">
        <v>3126</v>
      </c>
      <c r="I128" s="53" t="s">
        <v>44</v>
      </c>
      <c r="J128" s="53">
        <v>12294</v>
      </c>
      <c r="K128" s="54">
        <v>7367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/>
      <c r="W128" s="54"/>
      <c r="X128" s="54"/>
      <c r="Y128" s="54">
        <f t="shared" si="1"/>
        <v>0</v>
      </c>
      <c r="Z128" s="199">
        <v>4927</v>
      </c>
      <c r="AA128" s="116">
        <v>47</v>
      </c>
      <c r="AB128" s="136">
        <v>44319</v>
      </c>
      <c r="AC128" s="118">
        <v>44340</v>
      </c>
      <c r="AD128" s="199"/>
      <c r="AE128" s="117"/>
      <c r="AF128" s="115"/>
      <c r="AG128" s="118"/>
      <c r="AH128" s="199"/>
      <c r="AI128" s="116"/>
      <c r="AJ128" s="115"/>
      <c r="AK128" s="118"/>
      <c r="AL128" s="221"/>
      <c r="AM128" s="116"/>
      <c r="AN128" s="115"/>
      <c r="AO128" s="118"/>
      <c r="AP128" s="221"/>
      <c r="AQ128" s="116"/>
      <c r="AR128" s="115"/>
      <c r="AS128" s="118"/>
      <c r="AT128" s="137">
        <f t="shared" si="0"/>
        <v>4927</v>
      </c>
      <c r="AU128" s="43">
        <f t="shared" si="3"/>
        <v>4927</v>
      </c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</row>
    <row r="129" spans="1:95" s="96" customFormat="1" ht="22.5">
      <c r="A129" s="39"/>
      <c r="B129" s="51">
        <v>114</v>
      </c>
      <c r="C129" s="51" t="s">
        <v>39</v>
      </c>
      <c r="D129" s="23">
        <v>30366992</v>
      </c>
      <c r="E129" s="52" t="s">
        <v>3219</v>
      </c>
      <c r="F129" s="52" t="s">
        <v>317</v>
      </c>
      <c r="G129" s="56" t="s">
        <v>3083</v>
      </c>
      <c r="H129" s="55" t="s">
        <v>342</v>
      </c>
      <c r="I129" s="53" t="s">
        <v>52</v>
      </c>
      <c r="J129" s="53">
        <v>16065984</v>
      </c>
      <c r="K129" s="54">
        <v>0</v>
      </c>
      <c r="L129" s="54">
        <v>9720696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/>
      <c r="W129" s="54"/>
      <c r="X129" s="54"/>
      <c r="Y129" s="54">
        <f t="shared" si="1"/>
        <v>0</v>
      </c>
      <c r="Z129" s="199">
        <v>186425</v>
      </c>
      <c r="AA129" s="116">
        <v>48</v>
      </c>
      <c r="AB129" s="136">
        <v>44319</v>
      </c>
      <c r="AC129" s="118">
        <v>44340</v>
      </c>
      <c r="AD129" s="199"/>
      <c r="AE129" s="117"/>
      <c r="AF129" s="115"/>
      <c r="AG129" s="118"/>
      <c r="AH129" s="199"/>
      <c r="AI129" s="116"/>
      <c r="AJ129" s="115"/>
      <c r="AK129" s="118"/>
      <c r="AL129" s="221"/>
      <c r="AM129" s="116"/>
      <c r="AN129" s="115"/>
      <c r="AO129" s="118"/>
      <c r="AP129" s="221"/>
      <c r="AQ129" s="116"/>
      <c r="AR129" s="115"/>
      <c r="AS129" s="118"/>
      <c r="AT129" s="137">
        <f t="shared" si="0"/>
        <v>186425</v>
      </c>
      <c r="AU129" s="43">
        <f t="shared" si="3"/>
        <v>186425</v>
      </c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</row>
    <row r="130" spans="1:95" s="96" customFormat="1" ht="22.5">
      <c r="A130" s="39"/>
      <c r="B130" s="51">
        <v>115</v>
      </c>
      <c r="C130" s="51" t="s">
        <v>39</v>
      </c>
      <c r="D130" s="23">
        <v>40026939</v>
      </c>
      <c r="E130" s="52" t="s">
        <v>3220</v>
      </c>
      <c r="F130" s="52" t="s">
        <v>317</v>
      </c>
      <c r="G130" s="56" t="s">
        <v>3083</v>
      </c>
      <c r="H130" s="55" t="s">
        <v>3099</v>
      </c>
      <c r="I130" s="53" t="s">
        <v>52</v>
      </c>
      <c r="J130" s="53">
        <v>462441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452266</v>
      </c>
      <c r="S130" s="54">
        <v>0</v>
      </c>
      <c r="T130" s="54">
        <v>0</v>
      </c>
      <c r="U130" s="54">
        <v>0</v>
      </c>
      <c r="V130" s="54"/>
      <c r="W130" s="54"/>
      <c r="X130" s="54"/>
      <c r="Y130" s="54">
        <f t="shared" si="1"/>
        <v>452266</v>
      </c>
      <c r="Z130" s="199">
        <v>462441</v>
      </c>
      <c r="AA130" s="116">
        <v>48</v>
      </c>
      <c r="AB130" s="136">
        <v>44319</v>
      </c>
      <c r="AC130" s="118">
        <v>44340</v>
      </c>
      <c r="AD130" s="199">
        <v>-10175</v>
      </c>
      <c r="AE130" s="117">
        <v>104</v>
      </c>
      <c r="AF130" s="136">
        <v>44438</v>
      </c>
      <c r="AG130" s="118">
        <v>44459</v>
      </c>
      <c r="AH130" s="199"/>
      <c r="AI130" s="116"/>
      <c r="AJ130" s="115"/>
      <c r="AK130" s="118"/>
      <c r="AL130" s="221"/>
      <c r="AM130" s="116"/>
      <c r="AN130" s="115"/>
      <c r="AO130" s="118"/>
      <c r="AP130" s="221"/>
      <c r="AQ130" s="116"/>
      <c r="AR130" s="115"/>
      <c r="AS130" s="118"/>
      <c r="AT130" s="137">
        <f t="shared" si="0"/>
        <v>452266</v>
      </c>
      <c r="AU130" s="43">
        <f t="shared" si="3"/>
        <v>0</v>
      </c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</row>
    <row r="131" spans="1:95" s="96" customFormat="1" ht="22.5">
      <c r="A131" s="39"/>
      <c r="B131" s="51">
        <v>116</v>
      </c>
      <c r="C131" s="51" t="s">
        <v>131</v>
      </c>
      <c r="D131" s="23">
        <v>40015315</v>
      </c>
      <c r="E131" s="52" t="s">
        <v>3221</v>
      </c>
      <c r="F131" s="52" t="s">
        <v>317</v>
      </c>
      <c r="G131" s="56" t="s">
        <v>3083</v>
      </c>
      <c r="H131" s="55" t="s">
        <v>3094</v>
      </c>
      <c r="I131" s="53" t="s">
        <v>52</v>
      </c>
      <c r="J131" s="53">
        <v>344927</v>
      </c>
      <c r="K131" s="54">
        <v>1534</v>
      </c>
      <c r="L131" s="54">
        <v>231407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15104</v>
      </c>
      <c r="U131" s="54">
        <v>13945</v>
      </c>
      <c r="V131" s="54"/>
      <c r="W131" s="54"/>
      <c r="X131" s="54"/>
      <c r="Y131" s="54">
        <f t="shared" si="1"/>
        <v>29049</v>
      </c>
      <c r="Z131" s="199">
        <v>80000</v>
      </c>
      <c r="AA131" s="116">
        <v>48</v>
      </c>
      <c r="AB131" s="136">
        <v>44319</v>
      </c>
      <c r="AC131" s="118">
        <v>44340</v>
      </c>
      <c r="AD131" s="199">
        <v>-9000</v>
      </c>
      <c r="AE131" s="117">
        <v>104</v>
      </c>
      <c r="AF131" s="136">
        <v>44438</v>
      </c>
      <c r="AG131" s="118">
        <v>44459</v>
      </c>
      <c r="AH131" s="199"/>
      <c r="AI131" s="116"/>
      <c r="AJ131" s="115"/>
      <c r="AK131" s="118"/>
      <c r="AL131" s="221"/>
      <c r="AM131" s="116"/>
      <c r="AN131" s="115"/>
      <c r="AO131" s="118"/>
      <c r="AP131" s="221"/>
      <c r="AQ131" s="116"/>
      <c r="AR131" s="115"/>
      <c r="AS131" s="118"/>
      <c r="AT131" s="137">
        <f t="shared" si="0"/>
        <v>71000</v>
      </c>
      <c r="AU131" s="43">
        <f t="shared" si="3"/>
        <v>41951</v>
      </c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</row>
    <row r="132" spans="1:95" s="96" customFormat="1" ht="22.5">
      <c r="A132" s="39"/>
      <c r="B132" s="51">
        <v>117</v>
      </c>
      <c r="C132" s="51" t="s">
        <v>39</v>
      </c>
      <c r="D132" s="23">
        <v>40026936</v>
      </c>
      <c r="E132" s="52" t="s">
        <v>3222</v>
      </c>
      <c r="F132" s="52" t="s">
        <v>317</v>
      </c>
      <c r="G132" s="56" t="s">
        <v>3083</v>
      </c>
      <c r="H132" s="55" t="s">
        <v>3099</v>
      </c>
      <c r="I132" s="53" t="s">
        <v>52</v>
      </c>
      <c r="J132" s="53">
        <v>274277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268242</v>
      </c>
      <c r="S132" s="54">
        <v>0</v>
      </c>
      <c r="T132" s="54">
        <v>0</v>
      </c>
      <c r="U132" s="54">
        <v>0</v>
      </c>
      <c r="V132" s="54"/>
      <c r="W132" s="54"/>
      <c r="X132" s="54"/>
      <c r="Y132" s="54">
        <f t="shared" si="1"/>
        <v>268242</v>
      </c>
      <c r="Z132" s="199">
        <v>274277</v>
      </c>
      <c r="AA132" s="116">
        <v>60</v>
      </c>
      <c r="AB132" s="136">
        <v>44347</v>
      </c>
      <c r="AC132" s="118">
        <v>44361</v>
      </c>
      <c r="AD132" s="199">
        <v>-6035</v>
      </c>
      <c r="AE132" s="117">
        <v>104</v>
      </c>
      <c r="AF132" s="136">
        <v>44438</v>
      </c>
      <c r="AG132" s="118">
        <v>44459</v>
      </c>
      <c r="AH132" s="199"/>
      <c r="AI132" s="116"/>
      <c r="AJ132" s="115"/>
      <c r="AK132" s="118"/>
      <c r="AL132" s="221"/>
      <c r="AM132" s="116"/>
      <c r="AN132" s="115"/>
      <c r="AO132" s="118"/>
      <c r="AP132" s="221"/>
      <c r="AQ132" s="116"/>
      <c r="AR132" s="115"/>
      <c r="AS132" s="118"/>
      <c r="AT132" s="137">
        <f t="shared" si="0"/>
        <v>268242</v>
      </c>
      <c r="AU132" s="43">
        <f t="shared" si="3"/>
        <v>0</v>
      </c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</row>
    <row r="133" spans="1:95" s="96" customFormat="1" ht="22.5">
      <c r="A133" s="39"/>
      <c r="B133" s="51">
        <v>118</v>
      </c>
      <c r="C133" s="51" t="s">
        <v>39</v>
      </c>
      <c r="D133" s="23">
        <v>40026937</v>
      </c>
      <c r="E133" s="52" t="s">
        <v>3223</v>
      </c>
      <c r="F133" s="52" t="s">
        <v>317</v>
      </c>
      <c r="G133" s="56" t="s">
        <v>3083</v>
      </c>
      <c r="H133" s="55" t="s">
        <v>3099</v>
      </c>
      <c r="I133" s="53" t="s">
        <v>52</v>
      </c>
      <c r="J133" s="53">
        <v>254068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248478</v>
      </c>
      <c r="S133" s="54">
        <v>0</v>
      </c>
      <c r="T133" s="54">
        <v>0</v>
      </c>
      <c r="U133" s="54">
        <v>0</v>
      </c>
      <c r="V133" s="54"/>
      <c r="W133" s="54"/>
      <c r="X133" s="54"/>
      <c r="Y133" s="54">
        <f t="shared" si="1"/>
        <v>248478</v>
      </c>
      <c r="Z133" s="199">
        <v>254068</v>
      </c>
      <c r="AA133" s="116">
        <v>60</v>
      </c>
      <c r="AB133" s="136">
        <v>44347</v>
      </c>
      <c r="AC133" s="118">
        <v>44361</v>
      </c>
      <c r="AD133" s="199">
        <v>-5590</v>
      </c>
      <c r="AE133" s="117">
        <v>104</v>
      </c>
      <c r="AF133" s="136">
        <v>44438</v>
      </c>
      <c r="AG133" s="118">
        <v>44459</v>
      </c>
      <c r="AH133" s="199"/>
      <c r="AI133" s="116"/>
      <c r="AJ133" s="115"/>
      <c r="AK133" s="118"/>
      <c r="AL133" s="221"/>
      <c r="AM133" s="116"/>
      <c r="AN133" s="115"/>
      <c r="AO133" s="118"/>
      <c r="AP133" s="221"/>
      <c r="AQ133" s="116"/>
      <c r="AR133" s="115"/>
      <c r="AS133" s="118"/>
      <c r="AT133" s="137">
        <f t="shared" si="0"/>
        <v>248478</v>
      </c>
      <c r="AU133" s="43">
        <f t="shared" si="3"/>
        <v>0</v>
      </c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</row>
    <row r="134" spans="1:95" s="96" customFormat="1" ht="22.5">
      <c r="A134" s="39"/>
      <c r="B134" s="51">
        <v>119</v>
      </c>
      <c r="C134" s="51" t="s">
        <v>39</v>
      </c>
      <c r="D134" s="23">
        <v>40024981</v>
      </c>
      <c r="E134" s="52" t="s">
        <v>3224</v>
      </c>
      <c r="F134" s="52" t="s">
        <v>317</v>
      </c>
      <c r="G134" s="56" t="s">
        <v>3083</v>
      </c>
      <c r="H134" s="55" t="s">
        <v>3109</v>
      </c>
      <c r="I134" s="53" t="s">
        <v>52</v>
      </c>
      <c r="J134" s="53">
        <v>87063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85148</v>
      </c>
      <c r="S134" s="54">
        <v>0</v>
      </c>
      <c r="T134" s="54">
        <v>0</v>
      </c>
      <c r="U134" s="54">
        <v>0</v>
      </c>
      <c r="V134" s="54"/>
      <c r="W134" s="54"/>
      <c r="X134" s="54"/>
      <c r="Y134" s="54">
        <f t="shared" si="1"/>
        <v>85148</v>
      </c>
      <c r="Z134" s="199">
        <v>87063</v>
      </c>
      <c r="AA134" s="116">
        <v>60</v>
      </c>
      <c r="AB134" s="136">
        <v>44347</v>
      </c>
      <c r="AC134" s="118">
        <v>44361</v>
      </c>
      <c r="AD134" s="199">
        <v>-1915</v>
      </c>
      <c r="AE134" s="117">
        <v>104</v>
      </c>
      <c r="AF134" s="136">
        <v>44438</v>
      </c>
      <c r="AG134" s="118">
        <v>44459</v>
      </c>
      <c r="AH134" s="199"/>
      <c r="AI134" s="116"/>
      <c r="AJ134" s="115"/>
      <c r="AK134" s="118"/>
      <c r="AL134" s="221"/>
      <c r="AM134" s="116"/>
      <c r="AN134" s="115"/>
      <c r="AO134" s="118"/>
      <c r="AP134" s="221"/>
      <c r="AQ134" s="116"/>
      <c r="AR134" s="115"/>
      <c r="AS134" s="118"/>
      <c r="AT134" s="137">
        <f t="shared" si="0"/>
        <v>85148</v>
      </c>
      <c r="AU134" s="43">
        <f t="shared" si="3"/>
        <v>0</v>
      </c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</row>
    <row r="135" spans="1:95" s="96" customFormat="1" ht="33.75">
      <c r="A135" s="39"/>
      <c r="B135" s="51">
        <v>120</v>
      </c>
      <c r="C135" s="51" t="s">
        <v>39</v>
      </c>
      <c r="D135" s="23">
        <v>40027238</v>
      </c>
      <c r="E135" s="52" t="s">
        <v>3225</v>
      </c>
      <c r="F135" s="52" t="s">
        <v>317</v>
      </c>
      <c r="G135" s="56" t="s">
        <v>3083</v>
      </c>
      <c r="H135" s="55" t="s">
        <v>3126</v>
      </c>
      <c r="I135" s="53" t="s">
        <v>52</v>
      </c>
      <c r="J135" s="53">
        <v>261358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255607</v>
      </c>
      <c r="S135" s="54">
        <v>0</v>
      </c>
      <c r="T135" s="54">
        <v>0</v>
      </c>
      <c r="U135" s="54">
        <v>0</v>
      </c>
      <c r="V135" s="54"/>
      <c r="W135" s="54"/>
      <c r="X135" s="54"/>
      <c r="Y135" s="54">
        <f t="shared" si="1"/>
        <v>255607</v>
      </c>
      <c r="Z135" s="199">
        <v>261358</v>
      </c>
      <c r="AA135" s="116">
        <v>60</v>
      </c>
      <c r="AB135" s="136">
        <v>44347</v>
      </c>
      <c r="AC135" s="118">
        <v>44361</v>
      </c>
      <c r="AD135" s="199">
        <v>-5751</v>
      </c>
      <c r="AE135" s="117">
        <v>104</v>
      </c>
      <c r="AF135" s="136">
        <v>44438</v>
      </c>
      <c r="AG135" s="118">
        <v>44459</v>
      </c>
      <c r="AH135" s="199"/>
      <c r="AI135" s="116"/>
      <c r="AJ135" s="115"/>
      <c r="AK135" s="118"/>
      <c r="AL135" s="221"/>
      <c r="AM135" s="116"/>
      <c r="AN135" s="115"/>
      <c r="AO135" s="118"/>
      <c r="AP135" s="221"/>
      <c r="AQ135" s="116"/>
      <c r="AR135" s="115"/>
      <c r="AS135" s="118"/>
      <c r="AT135" s="137">
        <f t="shared" si="0"/>
        <v>255607</v>
      </c>
      <c r="AU135" s="43">
        <f t="shared" si="3"/>
        <v>0</v>
      </c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</row>
    <row r="136" spans="1:95" s="96" customFormat="1" ht="22.5">
      <c r="A136" s="39"/>
      <c r="B136" s="51">
        <v>121</v>
      </c>
      <c r="C136" s="51" t="s">
        <v>39</v>
      </c>
      <c r="D136" s="23">
        <v>30429425</v>
      </c>
      <c r="E136" s="52" t="s">
        <v>3226</v>
      </c>
      <c r="F136" s="52" t="s">
        <v>47</v>
      </c>
      <c r="G136" s="56" t="s">
        <v>3083</v>
      </c>
      <c r="H136" s="55" t="s">
        <v>3086</v>
      </c>
      <c r="I136" s="53" t="s">
        <v>44</v>
      </c>
      <c r="J136" s="53">
        <v>63143</v>
      </c>
      <c r="K136" s="54">
        <v>36350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/>
      <c r="W136" s="54"/>
      <c r="X136" s="54"/>
      <c r="Y136" s="54">
        <f t="shared" si="1"/>
        <v>0</v>
      </c>
      <c r="Z136" s="199">
        <v>20488</v>
      </c>
      <c r="AA136" s="116">
        <v>61</v>
      </c>
      <c r="AB136" s="136">
        <v>44351</v>
      </c>
      <c r="AC136" s="118">
        <v>44372</v>
      </c>
      <c r="AD136" s="199"/>
      <c r="AE136" s="117"/>
      <c r="AF136" s="115"/>
      <c r="AG136" s="118"/>
      <c r="AH136" s="199"/>
      <c r="AI136" s="116"/>
      <c r="AJ136" s="115"/>
      <c r="AK136" s="118"/>
      <c r="AL136" s="221"/>
      <c r="AM136" s="116"/>
      <c r="AN136" s="115"/>
      <c r="AO136" s="118"/>
      <c r="AP136" s="221"/>
      <c r="AQ136" s="116"/>
      <c r="AR136" s="115"/>
      <c r="AS136" s="118"/>
      <c r="AT136" s="137">
        <f t="shared" si="0"/>
        <v>20488</v>
      </c>
      <c r="AU136" s="43">
        <f t="shared" si="3"/>
        <v>20488</v>
      </c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</row>
    <row r="137" spans="1:95" s="96" customFormat="1" ht="22.5">
      <c r="A137" s="39"/>
      <c r="B137" s="51">
        <v>122</v>
      </c>
      <c r="C137" s="51" t="s">
        <v>39</v>
      </c>
      <c r="D137" s="23">
        <v>30122294</v>
      </c>
      <c r="E137" s="52" t="s">
        <v>3227</v>
      </c>
      <c r="F137" s="52" t="s">
        <v>317</v>
      </c>
      <c r="G137" s="56" t="s">
        <v>3083</v>
      </c>
      <c r="H137" s="55" t="s">
        <v>3126</v>
      </c>
      <c r="I137" s="53" t="s">
        <v>44</v>
      </c>
      <c r="J137" s="53" t="s">
        <v>3228</v>
      </c>
      <c r="K137" s="54">
        <v>1569508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3660</v>
      </c>
      <c r="T137" s="54">
        <v>0</v>
      </c>
      <c r="U137" s="54">
        <v>0</v>
      </c>
      <c r="V137" s="54"/>
      <c r="W137" s="54"/>
      <c r="X137" s="54"/>
      <c r="Y137" s="54">
        <f t="shared" si="1"/>
        <v>3660</v>
      </c>
      <c r="Z137" s="199">
        <v>4822</v>
      </c>
      <c r="AA137" s="116">
        <v>70</v>
      </c>
      <c r="AB137" s="136">
        <v>44369</v>
      </c>
      <c r="AC137" s="118">
        <v>44391</v>
      </c>
      <c r="AD137" s="199"/>
      <c r="AE137" s="117"/>
      <c r="AF137" s="115"/>
      <c r="AG137" s="118"/>
      <c r="AH137" s="199"/>
      <c r="AI137" s="116"/>
      <c r="AJ137" s="115"/>
      <c r="AK137" s="118"/>
      <c r="AL137" s="221"/>
      <c r="AM137" s="116"/>
      <c r="AN137" s="115"/>
      <c r="AO137" s="118"/>
      <c r="AP137" s="221"/>
      <c r="AQ137" s="116"/>
      <c r="AR137" s="115"/>
      <c r="AS137" s="118"/>
      <c r="AT137" s="137">
        <f t="shared" si="0"/>
        <v>4822</v>
      </c>
      <c r="AU137" s="43">
        <f t="shared" si="3"/>
        <v>1162</v>
      </c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</row>
    <row r="138" spans="1:95" s="96" customFormat="1" ht="22.5">
      <c r="A138" s="39"/>
      <c r="B138" s="51">
        <v>123</v>
      </c>
      <c r="C138" s="51" t="s">
        <v>39</v>
      </c>
      <c r="D138" s="23">
        <v>30349395</v>
      </c>
      <c r="E138" s="52" t="s">
        <v>3229</v>
      </c>
      <c r="F138" s="52" t="s">
        <v>317</v>
      </c>
      <c r="G138" s="56" t="s">
        <v>3083</v>
      </c>
      <c r="H138" s="55" t="s">
        <v>3099</v>
      </c>
      <c r="I138" s="53" t="s">
        <v>44</v>
      </c>
      <c r="J138" s="53" t="s">
        <v>3230</v>
      </c>
      <c r="K138" s="54">
        <v>1505254</v>
      </c>
      <c r="L138" s="54">
        <v>5198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/>
      <c r="W138" s="54"/>
      <c r="X138" s="54"/>
      <c r="Y138" s="54">
        <f t="shared" si="1"/>
        <v>0</v>
      </c>
      <c r="Z138" s="199">
        <v>120000</v>
      </c>
      <c r="AA138" s="116">
        <v>85</v>
      </c>
      <c r="AB138" s="136">
        <v>44390</v>
      </c>
      <c r="AC138" s="118">
        <v>44404</v>
      </c>
      <c r="AD138" s="199"/>
      <c r="AE138" s="117"/>
      <c r="AF138" s="115"/>
      <c r="AG138" s="118"/>
      <c r="AH138" s="199"/>
      <c r="AI138" s="116"/>
      <c r="AJ138" s="115"/>
      <c r="AK138" s="118"/>
      <c r="AL138" s="221"/>
      <c r="AM138" s="116"/>
      <c r="AN138" s="115"/>
      <c r="AO138" s="118"/>
      <c r="AP138" s="221"/>
      <c r="AQ138" s="116"/>
      <c r="AR138" s="115"/>
      <c r="AS138" s="118"/>
      <c r="AT138" s="137">
        <f t="shared" si="0"/>
        <v>120000</v>
      </c>
      <c r="AU138" s="43">
        <f t="shared" si="3"/>
        <v>120000</v>
      </c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</row>
    <row r="139" spans="1:95" s="96" customFormat="1" ht="22.5">
      <c r="A139" s="39"/>
      <c r="B139" s="51">
        <v>124</v>
      </c>
      <c r="C139" s="51" t="s">
        <v>39</v>
      </c>
      <c r="D139" s="23">
        <v>30429673</v>
      </c>
      <c r="E139" s="52" t="s">
        <v>3231</v>
      </c>
      <c r="F139" s="52" t="s">
        <v>317</v>
      </c>
      <c r="G139" s="56" t="s">
        <v>3083</v>
      </c>
      <c r="H139" s="55" t="s">
        <v>3088</v>
      </c>
      <c r="I139" s="53" t="s">
        <v>52</v>
      </c>
      <c r="J139" s="53">
        <v>751711</v>
      </c>
      <c r="K139" s="54">
        <v>0</v>
      </c>
      <c r="L139" s="54">
        <v>226329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/>
      <c r="W139" s="54"/>
      <c r="X139" s="54"/>
      <c r="Y139" s="54">
        <f t="shared" si="1"/>
        <v>0</v>
      </c>
      <c r="Z139" s="199">
        <v>1535</v>
      </c>
      <c r="AA139" s="116">
        <v>98</v>
      </c>
      <c r="AB139" s="136">
        <v>44418</v>
      </c>
      <c r="AC139" s="118">
        <v>44438</v>
      </c>
      <c r="AD139" s="199"/>
      <c r="AE139" s="117"/>
      <c r="AF139" s="115"/>
      <c r="AG139" s="118"/>
      <c r="AH139" s="199"/>
      <c r="AI139" s="116"/>
      <c r="AJ139" s="115"/>
      <c r="AK139" s="118"/>
      <c r="AL139" s="221"/>
      <c r="AM139" s="116"/>
      <c r="AN139" s="115"/>
      <c r="AO139" s="118"/>
      <c r="AP139" s="221"/>
      <c r="AQ139" s="116"/>
      <c r="AR139" s="115"/>
      <c r="AS139" s="118"/>
      <c r="AT139" s="137">
        <f t="shared" si="0"/>
        <v>1535</v>
      </c>
      <c r="AU139" s="43">
        <f t="shared" si="3"/>
        <v>1535</v>
      </c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</row>
    <row r="140" spans="1:95" s="96" customFormat="1" ht="22.5">
      <c r="A140" s="39"/>
      <c r="B140" s="51">
        <v>125</v>
      </c>
      <c r="C140" s="51" t="s">
        <v>39</v>
      </c>
      <c r="D140" s="23">
        <v>40022430</v>
      </c>
      <c r="E140" s="52" t="s">
        <v>3232</v>
      </c>
      <c r="F140" s="52" t="s">
        <v>47</v>
      </c>
      <c r="G140" s="56" t="s">
        <v>3083</v>
      </c>
      <c r="H140" s="55" t="s">
        <v>3088</v>
      </c>
      <c r="I140" s="53" t="s">
        <v>52</v>
      </c>
      <c r="J140" s="53">
        <v>81662</v>
      </c>
      <c r="K140" s="54">
        <v>0</v>
      </c>
      <c r="L140" s="54">
        <v>35151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/>
      <c r="W140" s="54"/>
      <c r="X140" s="54"/>
      <c r="Y140" s="54">
        <f t="shared" si="1"/>
        <v>0</v>
      </c>
      <c r="Z140" s="199">
        <v>1501</v>
      </c>
      <c r="AA140" s="116">
        <v>98</v>
      </c>
      <c r="AB140" s="136">
        <v>44418</v>
      </c>
      <c r="AC140" s="118">
        <v>44438</v>
      </c>
      <c r="AD140" s="199"/>
      <c r="AE140" s="117"/>
      <c r="AF140" s="115"/>
      <c r="AG140" s="118"/>
      <c r="AH140" s="199"/>
      <c r="AI140" s="116"/>
      <c r="AJ140" s="115"/>
      <c r="AK140" s="118"/>
      <c r="AL140" s="221"/>
      <c r="AM140" s="116"/>
      <c r="AN140" s="115"/>
      <c r="AO140" s="118"/>
      <c r="AP140" s="221"/>
      <c r="AQ140" s="116"/>
      <c r="AR140" s="115"/>
      <c r="AS140" s="118"/>
      <c r="AT140" s="137">
        <f t="shared" si="0"/>
        <v>1501</v>
      </c>
      <c r="AU140" s="43">
        <f t="shared" si="3"/>
        <v>1501</v>
      </c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</row>
    <row r="141" spans="1:95" s="96" customFormat="1" ht="22.5">
      <c r="A141" s="39"/>
      <c r="B141" s="51">
        <v>126</v>
      </c>
      <c r="C141" s="51" t="s">
        <v>39</v>
      </c>
      <c r="D141" s="23">
        <v>30082462</v>
      </c>
      <c r="E141" s="52" t="s">
        <v>3233</v>
      </c>
      <c r="F141" s="52" t="s">
        <v>317</v>
      </c>
      <c r="G141" s="56" t="s">
        <v>3083</v>
      </c>
      <c r="H141" s="55" t="s">
        <v>3094</v>
      </c>
      <c r="I141" s="53" t="s">
        <v>52</v>
      </c>
      <c r="J141" s="53">
        <v>766558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/>
      <c r="W141" s="54"/>
      <c r="X141" s="54"/>
      <c r="Y141" s="54">
        <f t="shared" si="1"/>
        <v>0</v>
      </c>
      <c r="Z141" s="199">
        <v>1542</v>
      </c>
      <c r="AA141" s="116">
        <v>98</v>
      </c>
      <c r="AB141" s="136">
        <v>44418</v>
      </c>
      <c r="AC141" s="118">
        <v>44438</v>
      </c>
      <c r="AD141" s="199"/>
      <c r="AE141" s="117"/>
      <c r="AF141" s="115"/>
      <c r="AG141" s="118"/>
      <c r="AH141" s="199"/>
      <c r="AI141" s="116"/>
      <c r="AJ141" s="115"/>
      <c r="AK141" s="118"/>
      <c r="AL141" s="221"/>
      <c r="AM141" s="116"/>
      <c r="AN141" s="115"/>
      <c r="AO141" s="118"/>
      <c r="AP141" s="221"/>
      <c r="AQ141" s="116"/>
      <c r="AR141" s="115"/>
      <c r="AS141" s="118"/>
      <c r="AT141" s="137">
        <f t="shared" si="0"/>
        <v>1542</v>
      </c>
      <c r="AU141" s="43">
        <f t="shared" si="3"/>
        <v>1542</v>
      </c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</row>
    <row r="142" spans="1:95" s="96" customFormat="1" ht="22.5">
      <c r="A142" s="39"/>
      <c r="B142" s="51">
        <v>127</v>
      </c>
      <c r="C142" s="51" t="s">
        <v>39</v>
      </c>
      <c r="D142" s="23">
        <v>30486972</v>
      </c>
      <c r="E142" s="52" t="s">
        <v>3234</v>
      </c>
      <c r="F142" s="52" t="s">
        <v>47</v>
      </c>
      <c r="G142" s="56" t="s">
        <v>3083</v>
      </c>
      <c r="H142" s="55" t="s">
        <v>3124</v>
      </c>
      <c r="I142" s="53" t="s">
        <v>52</v>
      </c>
      <c r="J142" s="53">
        <v>72061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/>
      <c r="W142" s="54"/>
      <c r="X142" s="54"/>
      <c r="Y142" s="54">
        <f t="shared" si="1"/>
        <v>0</v>
      </c>
      <c r="Z142" s="199">
        <v>2772</v>
      </c>
      <c r="AA142" s="116">
        <v>98</v>
      </c>
      <c r="AB142" s="136">
        <v>44418</v>
      </c>
      <c r="AC142" s="118">
        <v>44438</v>
      </c>
      <c r="AD142" s="199"/>
      <c r="AE142" s="117"/>
      <c r="AF142" s="115"/>
      <c r="AG142" s="118"/>
      <c r="AH142" s="199"/>
      <c r="AI142" s="116"/>
      <c r="AJ142" s="115"/>
      <c r="AK142" s="118"/>
      <c r="AL142" s="221"/>
      <c r="AM142" s="116"/>
      <c r="AN142" s="115"/>
      <c r="AO142" s="118"/>
      <c r="AP142" s="221"/>
      <c r="AQ142" s="116"/>
      <c r="AR142" s="115"/>
      <c r="AS142" s="118"/>
      <c r="AT142" s="137">
        <f t="shared" si="0"/>
        <v>2772</v>
      </c>
      <c r="AU142" s="43">
        <f t="shared" si="3"/>
        <v>2772</v>
      </c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</row>
    <row r="143" spans="1:95" s="96" customFormat="1" ht="22.5">
      <c r="A143" s="39"/>
      <c r="B143" s="51">
        <v>128</v>
      </c>
      <c r="C143" s="51" t="s">
        <v>39</v>
      </c>
      <c r="D143" s="23">
        <v>40000770</v>
      </c>
      <c r="E143" s="52" t="s">
        <v>3235</v>
      </c>
      <c r="F143" s="52" t="s">
        <v>317</v>
      </c>
      <c r="G143" s="56" t="s">
        <v>3083</v>
      </c>
      <c r="H143" s="55" t="s">
        <v>3124</v>
      </c>
      <c r="I143" s="53" t="s">
        <v>52</v>
      </c>
      <c r="J143" s="53">
        <v>547594</v>
      </c>
      <c r="K143" s="54">
        <v>0</v>
      </c>
      <c r="L143" s="54">
        <v>459494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/>
      <c r="W143" s="54"/>
      <c r="X143" s="54"/>
      <c r="Y143" s="54">
        <f t="shared" si="1"/>
        <v>0</v>
      </c>
      <c r="Z143" s="199">
        <v>2402</v>
      </c>
      <c r="AA143" s="116">
        <v>98</v>
      </c>
      <c r="AB143" s="136">
        <v>44418</v>
      </c>
      <c r="AC143" s="118">
        <v>44438</v>
      </c>
      <c r="AD143" s="199"/>
      <c r="AE143" s="117"/>
      <c r="AF143" s="115"/>
      <c r="AG143" s="118"/>
      <c r="AH143" s="199"/>
      <c r="AI143" s="116"/>
      <c r="AJ143" s="115"/>
      <c r="AK143" s="118"/>
      <c r="AL143" s="221"/>
      <c r="AM143" s="116"/>
      <c r="AN143" s="115"/>
      <c r="AO143" s="118"/>
      <c r="AP143" s="221"/>
      <c r="AQ143" s="116"/>
      <c r="AR143" s="115"/>
      <c r="AS143" s="118"/>
      <c r="AT143" s="137">
        <f t="shared" si="0"/>
        <v>2402</v>
      </c>
      <c r="AU143" s="43">
        <f t="shared" si="3"/>
        <v>2402</v>
      </c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</row>
    <row r="144" spans="1:95" s="96" customFormat="1" ht="22.5">
      <c r="A144" s="39"/>
      <c r="B144" s="51">
        <v>129</v>
      </c>
      <c r="C144" s="51" t="s">
        <v>39</v>
      </c>
      <c r="D144" s="23">
        <v>30137724</v>
      </c>
      <c r="E144" s="52" t="s">
        <v>3236</v>
      </c>
      <c r="F144" s="52" t="s">
        <v>317</v>
      </c>
      <c r="G144" s="56" t="s">
        <v>3083</v>
      </c>
      <c r="H144" s="55" t="s">
        <v>3086</v>
      </c>
      <c r="I144" s="53" t="s">
        <v>52</v>
      </c>
      <c r="J144" s="53">
        <v>385703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/>
      <c r="W144" s="54"/>
      <c r="X144" s="54"/>
      <c r="Y144" s="54">
        <f t="shared" si="1"/>
        <v>0</v>
      </c>
      <c r="Z144" s="199">
        <v>385703</v>
      </c>
      <c r="AA144" s="116">
        <v>104</v>
      </c>
      <c r="AB144" s="136">
        <v>44438</v>
      </c>
      <c r="AC144" s="118">
        <v>44459</v>
      </c>
      <c r="AD144" s="199"/>
      <c r="AE144" s="117"/>
      <c r="AF144" s="115"/>
      <c r="AG144" s="118"/>
      <c r="AH144" s="199"/>
      <c r="AI144" s="116"/>
      <c r="AJ144" s="115"/>
      <c r="AK144" s="118"/>
      <c r="AL144" s="221"/>
      <c r="AM144" s="116"/>
      <c r="AN144" s="115"/>
      <c r="AO144" s="118"/>
      <c r="AP144" s="221"/>
      <c r="AQ144" s="116"/>
      <c r="AR144" s="115"/>
      <c r="AS144" s="118"/>
      <c r="AT144" s="137">
        <f t="shared" si="0"/>
        <v>385703</v>
      </c>
      <c r="AU144" s="43">
        <f t="shared" si="3"/>
        <v>385703</v>
      </c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</row>
    <row r="145" spans="1:95" s="96" customFormat="1" ht="33.75">
      <c r="A145" s="39"/>
      <c r="B145" s="51">
        <v>130</v>
      </c>
      <c r="C145" s="51" t="s">
        <v>39</v>
      </c>
      <c r="D145" s="23">
        <v>30487054</v>
      </c>
      <c r="E145" s="52" t="s">
        <v>3237</v>
      </c>
      <c r="F145" s="52" t="s">
        <v>317</v>
      </c>
      <c r="G145" s="56" t="s">
        <v>3083</v>
      </c>
      <c r="H145" s="55" t="s">
        <v>3105</v>
      </c>
      <c r="I145" s="53" t="s">
        <v>52</v>
      </c>
      <c r="J145" s="53">
        <v>1109328</v>
      </c>
      <c r="K145" s="54">
        <v>0</v>
      </c>
      <c r="L145" s="54">
        <v>831199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/>
      <c r="W145" s="54"/>
      <c r="X145" s="54"/>
      <c r="Y145" s="54">
        <f t="shared" si="1"/>
        <v>0</v>
      </c>
      <c r="Z145" s="199">
        <v>3</v>
      </c>
      <c r="AA145" s="116">
        <v>104</v>
      </c>
      <c r="AB145" s="136">
        <v>44438</v>
      </c>
      <c r="AC145" s="118">
        <v>44459</v>
      </c>
      <c r="AD145" s="199"/>
      <c r="AE145" s="117"/>
      <c r="AF145" s="115"/>
      <c r="AG145" s="118"/>
      <c r="AH145" s="199"/>
      <c r="AI145" s="116"/>
      <c r="AJ145" s="115"/>
      <c r="AK145" s="118"/>
      <c r="AL145" s="221"/>
      <c r="AM145" s="116"/>
      <c r="AN145" s="115"/>
      <c r="AO145" s="118"/>
      <c r="AP145" s="221"/>
      <c r="AQ145" s="116"/>
      <c r="AR145" s="115"/>
      <c r="AS145" s="118"/>
      <c r="AT145" s="137">
        <f t="shared" si="0"/>
        <v>3</v>
      </c>
      <c r="AU145" s="43">
        <f t="shared" si="3"/>
        <v>3</v>
      </c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</row>
    <row r="146" spans="1:95" s="96" customFormat="1" ht="33.75">
      <c r="A146" s="39"/>
      <c r="B146" s="51">
        <v>131</v>
      </c>
      <c r="C146" s="51" t="s">
        <v>39</v>
      </c>
      <c r="D146" s="23">
        <v>40026774</v>
      </c>
      <c r="E146" s="52" t="s">
        <v>3238</v>
      </c>
      <c r="F146" s="52" t="s">
        <v>317</v>
      </c>
      <c r="G146" s="56" t="s">
        <v>3083</v>
      </c>
      <c r="H146" s="55" t="s">
        <v>3086</v>
      </c>
      <c r="I146" s="53" t="s">
        <v>52</v>
      </c>
      <c r="J146" s="53">
        <v>61853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/>
      <c r="W146" s="54"/>
      <c r="X146" s="54"/>
      <c r="Y146" s="54">
        <f t="shared" si="1"/>
        <v>0</v>
      </c>
      <c r="Z146" s="199">
        <v>61853</v>
      </c>
      <c r="AA146" s="116">
        <v>104</v>
      </c>
      <c r="AB146" s="136">
        <v>44438</v>
      </c>
      <c r="AC146" s="118">
        <v>44459</v>
      </c>
      <c r="AD146" s="199"/>
      <c r="AE146" s="117"/>
      <c r="AF146" s="115"/>
      <c r="AG146" s="118"/>
      <c r="AH146" s="199"/>
      <c r="AI146" s="116"/>
      <c r="AJ146" s="115"/>
      <c r="AK146" s="118"/>
      <c r="AL146" s="221"/>
      <c r="AM146" s="116"/>
      <c r="AN146" s="115"/>
      <c r="AO146" s="118"/>
      <c r="AP146" s="221"/>
      <c r="AQ146" s="116"/>
      <c r="AR146" s="115"/>
      <c r="AS146" s="118"/>
      <c r="AT146" s="137">
        <f t="shared" si="0"/>
        <v>61853</v>
      </c>
      <c r="AU146" s="43">
        <f t="shared" si="3"/>
        <v>61853</v>
      </c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</row>
    <row r="147" spans="1:95" s="96" customFormat="1" ht="22.5">
      <c r="A147" s="39"/>
      <c r="B147" s="51">
        <v>132</v>
      </c>
      <c r="C147" s="51" t="s">
        <v>39</v>
      </c>
      <c r="D147" s="23">
        <v>40025501</v>
      </c>
      <c r="E147" s="52" t="s">
        <v>3239</v>
      </c>
      <c r="F147" s="52" t="s">
        <v>317</v>
      </c>
      <c r="G147" s="56" t="s">
        <v>3083</v>
      </c>
      <c r="H147" s="55" t="s">
        <v>3088</v>
      </c>
      <c r="I147" s="53" t="s">
        <v>52</v>
      </c>
      <c r="J147" s="53">
        <v>134950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/>
      <c r="W147" s="54"/>
      <c r="X147" s="54"/>
      <c r="Y147" s="54">
        <f t="shared" si="1"/>
        <v>0</v>
      </c>
      <c r="Z147" s="199">
        <v>134950</v>
      </c>
      <c r="AA147" s="116">
        <v>104</v>
      </c>
      <c r="AB147" s="136">
        <v>44438</v>
      </c>
      <c r="AC147" s="118">
        <v>44459</v>
      </c>
      <c r="AD147" s="199"/>
      <c r="AE147" s="117"/>
      <c r="AF147" s="115"/>
      <c r="AG147" s="118"/>
      <c r="AH147" s="199"/>
      <c r="AI147" s="116"/>
      <c r="AJ147" s="115"/>
      <c r="AK147" s="118"/>
      <c r="AL147" s="221"/>
      <c r="AM147" s="116"/>
      <c r="AN147" s="115"/>
      <c r="AO147" s="118"/>
      <c r="AP147" s="221"/>
      <c r="AQ147" s="116"/>
      <c r="AR147" s="115"/>
      <c r="AS147" s="118"/>
      <c r="AT147" s="137">
        <f t="shared" si="0"/>
        <v>134950</v>
      </c>
      <c r="AU147" s="43">
        <f t="shared" si="3"/>
        <v>134950</v>
      </c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</row>
    <row r="148" spans="1:95" s="96" customFormat="1" ht="22.5">
      <c r="A148" s="39"/>
      <c r="B148" s="51">
        <v>133</v>
      </c>
      <c r="C148" s="51" t="s">
        <v>39</v>
      </c>
      <c r="D148" s="23">
        <v>30071091</v>
      </c>
      <c r="E148" s="52" t="s">
        <v>3240</v>
      </c>
      <c r="F148" s="52" t="s">
        <v>317</v>
      </c>
      <c r="G148" s="56" t="s">
        <v>3083</v>
      </c>
      <c r="H148" s="55" t="s">
        <v>3118</v>
      </c>
      <c r="I148" s="53" t="s">
        <v>52</v>
      </c>
      <c r="J148" s="53">
        <v>3529295</v>
      </c>
      <c r="K148" s="54">
        <v>0</v>
      </c>
      <c r="L148" s="54">
        <v>3389695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/>
      <c r="W148" s="54"/>
      <c r="X148" s="54"/>
      <c r="Y148" s="54">
        <f t="shared" si="1"/>
        <v>0</v>
      </c>
      <c r="Z148" s="199">
        <v>5601</v>
      </c>
      <c r="AA148" s="116">
        <v>104</v>
      </c>
      <c r="AB148" s="136">
        <v>44438</v>
      </c>
      <c r="AC148" s="118">
        <v>44459</v>
      </c>
      <c r="AD148" s="199"/>
      <c r="AE148" s="117"/>
      <c r="AF148" s="115"/>
      <c r="AG148" s="118"/>
      <c r="AH148" s="199"/>
      <c r="AI148" s="116"/>
      <c r="AJ148" s="115"/>
      <c r="AK148" s="118"/>
      <c r="AL148" s="221"/>
      <c r="AM148" s="116"/>
      <c r="AN148" s="115"/>
      <c r="AO148" s="118"/>
      <c r="AP148" s="221"/>
      <c r="AQ148" s="116"/>
      <c r="AR148" s="115"/>
      <c r="AS148" s="118"/>
      <c r="AT148" s="137">
        <f t="shared" si="0"/>
        <v>5601</v>
      </c>
      <c r="AU148" s="43">
        <f t="shared" si="3"/>
        <v>5601</v>
      </c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</row>
    <row r="149" spans="1:95" s="96" customFormat="1">
      <c r="A149" s="39"/>
      <c r="B149" s="51">
        <v>134</v>
      </c>
      <c r="C149" s="51"/>
      <c r="D149" s="23"/>
      <c r="E149" s="52"/>
      <c r="F149" s="52"/>
      <c r="G149" s="56"/>
      <c r="H149" s="55"/>
      <c r="I149" s="53"/>
      <c r="J149" s="53"/>
      <c r="K149" s="54"/>
      <c r="L149" s="54"/>
      <c r="M149" s="54"/>
      <c r="N149" s="54"/>
      <c r="O149" s="54"/>
      <c r="P149" s="54"/>
      <c r="Q149" s="54"/>
      <c r="R149" s="54"/>
      <c r="S149" s="54"/>
      <c r="T149" s="54">
        <v>0</v>
      </c>
      <c r="U149" s="54"/>
      <c r="V149" s="54"/>
      <c r="W149" s="54"/>
      <c r="X149" s="54"/>
      <c r="Y149" s="54">
        <f t="shared" si="1"/>
        <v>0</v>
      </c>
      <c r="Z149" s="199"/>
      <c r="AA149" s="116"/>
      <c r="AB149" s="136"/>
      <c r="AC149" s="118"/>
      <c r="AD149" s="199"/>
      <c r="AE149" s="117"/>
      <c r="AF149" s="115"/>
      <c r="AG149" s="118"/>
      <c r="AH149" s="199"/>
      <c r="AI149" s="116"/>
      <c r="AJ149" s="115"/>
      <c r="AK149" s="118"/>
      <c r="AL149" s="221"/>
      <c r="AM149" s="116"/>
      <c r="AN149" s="115"/>
      <c r="AO149" s="118"/>
      <c r="AP149" s="221"/>
      <c r="AQ149" s="116"/>
      <c r="AR149" s="115"/>
      <c r="AS149" s="118"/>
      <c r="AT149" s="137">
        <f t="shared" si="0"/>
        <v>0</v>
      </c>
      <c r="AU149" s="43">
        <f t="shared" si="3"/>
        <v>0</v>
      </c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</row>
    <row r="150" spans="1:95" s="96" customFormat="1">
      <c r="A150" s="39"/>
      <c r="B150" s="51">
        <v>135</v>
      </c>
      <c r="C150" s="51"/>
      <c r="D150" s="23"/>
      <c r="E150" s="52"/>
      <c r="F150" s="52"/>
      <c r="G150" s="56"/>
      <c r="H150" s="55"/>
      <c r="I150" s="53"/>
      <c r="J150" s="53"/>
      <c r="K150" s="54"/>
      <c r="L150" s="54"/>
      <c r="M150" s="54"/>
      <c r="N150" s="54"/>
      <c r="O150" s="54"/>
      <c r="P150" s="54"/>
      <c r="Q150" s="54"/>
      <c r="R150" s="54"/>
      <c r="S150" s="54"/>
      <c r="T150" s="54">
        <v>0</v>
      </c>
      <c r="U150" s="54"/>
      <c r="V150" s="54"/>
      <c r="W150" s="54"/>
      <c r="X150" s="54"/>
      <c r="Y150" s="54">
        <f t="shared" si="1"/>
        <v>0</v>
      </c>
      <c r="Z150" s="199"/>
      <c r="AA150" s="116"/>
      <c r="AB150" s="136"/>
      <c r="AC150" s="118"/>
      <c r="AD150" s="221"/>
      <c r="AE150" s="117"/>
      <c r="AF150" s="115"/>
      <c r="AG150" s="118"/>
      <c r="AH150" s="199"/>
      <c r="AI150" s="116"/>
      <c r="AJ150" s="115"/>
      <c r="AK150" s="118"/>
      <c r="AL150" s="221"/>
      <c r="AM150" s="116"/>
      <c r="AN150" s="115"/>
      <c r="AO150" s="118"/>
      <c r="AP150" s="221"/>
      <c r="AQ150" s="116"/>
      <c r="AR150" s="115"/>
      <c r="AS150" s="118"/>
      <c r="AT150" s="137">
        <f t="shared" si="0"/>
        <v>0</v>
      </c>
      <c r="AU150" s="43">
        <f t="shared" si="3"/>
        <v>0</v>
      </c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</row>
    <row r="151" spans="1:95" s="96" customFormat="1">
      <c r="A151" s="39"/>
      <c r="B151" s="51">
        <v>136</v>
      </c>
      <c r="C151" s="51"/>
      <c r="D151" s="23"/>
      <c r="E151" s="52"/>
      <c r="F151" s="52"/>
      <c r="G151" s="56"/>
      <c r="H151" s="55"/>
      <c r="I151" s="53"/>
      <c r="J151" s="53"/>
      <c r="K151" s="54"/>
      <c r="L151" s="54"/>
      <c r="M151" s="54"/>
      <c r="N151" s="54"/>
      <c r="O151" s="54"/>
      <c r="P151" s="54"/>
      <c r="Q151" s="54"/>
      <c r="R151" s="54"/>
      <c r="S151" s="54"/>
      <c r="T151" s="54">
        <v>0</v>
      </c>
      <c r="U151" s="54"/>
      <c r="V151" s="54"/>
      <c r="W151" s="54"/>
      <c r="X151" s="54"/>
      <c r="Y151" s="54">
        <f t="shared" si="1"/>
        <v>0</v>
      </c>
      <c r="Z151" s="199"/>
      <c r="AA151" s="116"/>
      <c r="AB151" s="136"/>
      <c r="AC151" s="118"/>
      <c r="AD151" s="221"/>
      <c r="AE151" s="117"/>
      <c r="AF151" s="115"/>
      <c r="AG151" s="118"/>
      <c r="AH151" s="199"/>
      <c r="AI151" s="116"/>
      <c r="AJ151" s="115"/>
      <c r="AK151" s="118"/>
      <c r="AL151" s="221"/>
      <c r="AM151" s="116"/>
      <c r="AN151" s="115"/>
      <c r="AO151" s="118"/>
      <c r="AP151" s="221"/>
      <c r="AQ151" s="116"/>
      <c r="AR151" s="115"/>
      <c r="AS151" s="118"/>
      <c r="AT151" s="137">
        <f t="shared" si="0"/>
        <v>0</v>
      </c>
      <c r="AU151" s="43">
        <f t="shared" si="3"/>
        <v>0</v>
      </c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</row>
    <row r="152" spans="1:95" s="96" customFormat="1">
      <c r="A152" s="39"/>
      <c r="B152" s="51">
        <v>137</v>
      </c>
      <c r="C152" s="51"/>
      <c r="D152" s="23"/>
      <c r="E152" s="52"/>
      <c r="F152" s="52"/>
      <c r="G152" s="56" t="s">
        <v>3083</v>
      </c>
      <c r="H152" s="55"/>
      <c r="I152" s="53"/>
      <c r="J152" s="53"/>
      <c r="K152" s="54"/>
      <c r="L152" s="54"/>
      <c r="M152" s="54"/>
      <c r="N152" s="54"/>
      <c r="O152" s="54"/>
      <c r="P152" s="54"/>
      <c r="Q152" s="54"/>
      <c r="R152" s="54"/>
      <c r="S152" s="54"/>
      <c r="T152" s="54">
        <v>0</v>
      </c>
      <c r="U152" s="54"/>
      <c r="V152" s="54"/>
      <c r="W152" s="54"/>
      <c r="X152" s="54"/>
      <c r="Y152" s="54">
        <f t="shared" si="1"/>
        <v>0</v>
      </c>
      <c r="Z152" s="199"/>
      <c r="AA152" s="116"/>
      <c r="AB152" s="136"/>
      <c r="AC152" s="118"/>
      <c r="AD152" s="221"/>
      <c r="AE152" s="117"/>
      <c r="AF152" s="115"/>
      <c r="AG152" s="118"/>
      <c r="AH152" s="199"/>
      <c r="AI152" s="116"/>
      <c r="AJ152" s="115"/>
      <c r="AK152" s="118"/>
      <c r="AL152" s="221"/>
      <c r="AM152" s="116"/>
      <c r="AN152" s="115"/>
      <c r="AO152" s="118"/>
      <c r="AP152" s="221"/>
      <c r="AQ152" s="116"/>
      <c r="AR152" s="115"/>
      <c r="AS152" s="118"/>
      <c r="AT152" s="137">
        <f t="shared" si="0"/>
        <v>0</v>
      </c>
      <c r="AU152" s="43">
        <f t="shared" si="3"/>
        <v>0</v>
      </c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</row>
    <row r="153" spans="1:95" s="96" customFormat="1">
      <c r="A153" s="39"/>
      <c r="B153" s="51">
        <v>138</v>
      </c>
      <c r="C153" s="51"/>
      <c r="D153" s="23"/>
      <c r="E153" s="52"/>
      <c r="F153" s="52"/>
      <c r="G153" s="56" t="s">
        <v>3083</v>
      </c>
      <c r="H153" s="55"/>
      <c r="I153" s="53"/>
      <c r="J153" s="53"/>
      <c r="K153" s="54"/>
      <c r="L153" s="54"/>
      <c r="M153" s="54"/>
      <c r="N153" s="54"/>
      <c r="O153" s="54"/>
      <c r="P153" s="54"/>
      <c r="Q153" s="54"/>
      <c r="R153" s="54"/>
      <c r="S153" s="54"/>
      <c r="T153" s="54">
        <v>0</v>
      </c>
      <c r="U153" s="54"/>
      <c r="V153" s="54"/>
      <c r="W153" s="54"/>
      <c r="X153" s="54"/>
      <c r="Y153" s="54">
        <f t="shared" si="1"/>
        <v>0</v>
      </c>
      <c r="Z153" s="221"/>
      <c r="AA153" s="116"/>
      <c r="AB153" s="136"/>
      <c r="AC153" s="118"/>
      <c r="AD153" s="221"/>
      <c r="AE153" s="117"/>
      <c r="AF153" s="115"/>
      <c r="AG153" s="118"/>
      <c r="AH153" s="199"/>
      <c r="AI153" s="116"/>
      <c r="AJ153" s="115"/>
      <c r="AK153" s="118"/>
      <c r="AL153" s="221"/>
      <c r="AM153" s="116"/>
      <c r="AN153" s="115"/>
      <c r="AO153" s="118"/>
      <c r="AP153" s="221"/>
      <c r="AQ153" s="116"/>
      <c r="AR153" s="115"/>
      <c r="AS153" s="118"/>
      <c r="AT153" s="137">
        <f t="shared" si="0"/>
        <v>0</v>
      </c>
      <c r="AU153" s="43">
        <f t="shared" si="3"/>
        <v>0</v>
      </c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</row>
    <row r="154" spans="1:95" s="96" customFormat="1">
      <c r="A154" s="39"/>
      <c r="B154" s="51">
        <v>139</v>
      </c>
      <c r="C154" s="51"/>
      <c r="D154" s="23"/>
      <c r="E154" s="52"/>
      <c r="F154" s="52"/>
      <c r="G154" s="56" t="s">
        <v>3083</v>
      </c>
      <c r="H154" s="55"/>
      <c r="I154" s="53"/>
      <c r="J154" s="53"/>
      <c r="K154" s="54"/>
      <c r="L154" s="54"/>
      <c r="M154" s="54"/>
      <c r="N154" s="54"/>
      <c r="O154" s="54"/>
      <c r="P154" s="54"/>
      <c r="Q154" s="54"/>
      <c r="R154" s="54"/>
      <c r="S154" s="54"/>
      <c r="T154" s="54">
        <v>0</v>
      </c>
      <c r="U154" s="54"/>
      <c r="V154" s="54"/>
      <c r="W154" s="54"/>
      <c r="X154" s="54"/>
      <c r="Y154" s="54">
        <f t="shared" si="1"/>
        <v>0</v>
      </c>
      <c r="Z154" s="221"/>
      <c r="AA154" s="116"/>
      <c r="AB154" s="136"/>
      <c r="AC154" s="118"/>
      <c r="AD154" s="221"/>
      <c r="AE154" s="117"/>
      <c r="AF154" s="115"/>
      <c r="AG154" s="118"/>
      <c r="AH154" s="199"/>
      <c r="AI154" s="116"/>
      <c r="AJ154" s="115"/>
      <c r="AK154" s="118"/>
      <c r="AL154" s="221"/>
      <c r="AM154" s="116"/>
      <c r="AN154" s="115"/>
      <c r="AO154" s="118"/>
      <c r="AP154" s="221"/>
      <c r="AQ154" s="116"/>
      <c r="AR154" s="115"/>
      <c r="AS154" s="118"/>
      <c r="AT154" s="137">
        <f t="shared" si="0"/>
        <v>0</v>
      </c>
      <c r="AU154" s="43">
        <f t="shared" si="3"/>
        <v>0</v>
      </c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</row>
    <row r="155" spans="1:95" s="96" customFormat="1" ht="7.5" customHeight="1">
      <c r="A155" s="39"/>
      <c r="B155" s="51">
        <v>140</v>
      </c>
      <c r="C155" s="51"/>
      <c r="D155" s="23"/>
      <c r="E155" s="52"/>
      <c r="F155" s="52"/>
      <c r="G155" s="56" t="s">
        <v>3083</v>
      </c>
      <c r="H155" s="55"/>
      <c r="I155" s="57"/>
      <c r="J155" s="57"/>
      <c r="K155" s="54"/>
      <c r="L155" s="54"/>
      <c r="M155" s="54"/>
      <c r="N155" s="54"/>
      <c r="O155" s="54"/>
      <c r="P155" s="54"/>
      <c r="Q155" s="54"/>
      <c r="R155" s="54"/>
      <c r="S155" s="54"/>
      <c r="T155" s="54">
        <v>0</v>
      </c>
      <c r="U155" s="54"/>
      <c r="V155" s="54"/>
      <c r="W155" s="54"/>
      <c r="X155" s="54"/>
      <c r="Y155" s="54">
        <f t="shared" ref="Y155" si="4">SUM(M155:X155)</f>
        <v>0</v>
      </c>
      <c r="Z155" s="221"/>
      <c r="AA155" s="116"/>
      <c r="AB155" s="136"/>
      <c r="AC155" s="118"/>
      <c r="AD155" s="221"/>
      <c r="AE155" s="117"/>
      <c r="AF155" s="115"/>
      <c r="AG155" s="118"/>
      <c r="AH155" s="199"/>
      <c r="AI155" s="116"/>
      <c r="AJ155" s="115"/>
      <c r="AK155" s="118"/>
      <c r="AL155" s="221"/>
      <c r="AM155" s="116"/>
      <c r="AN155" s="115"/>
      <c r="AO155" s="118"/>
      <c r="AP155" s="221"/>
      <c r="AQ155" s="116"/>
      <c r="AR155" s="115"/>
      <c r="AS155" s="118"/>
      <c r="AT155" s="137">
        <f t="shared" si="0"/>
        <v>0</v>
      </c>
      <c r="AU155" s="43">
        <f t="shared" si="3"/>
        <v>0</v>
      </c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</row>
    <row r="156" spans="1:95" ht="15" customHeight="1">
      <c r="B156" s="749" t="s">
        <v>134</v>
      </c>
      <c r="C156" s="750"/>
      <c r="D156" s="750"/>
      <c r="E156" s="750"/>
      <c r="F156" s="750"/>
      <c r="G156" s="750"/>
      <c r="H156" s="750"/>
      <c r="I156" s="751"/>
      <c r="J156" s="79"/>
      <c r="K156" s="59">
        <f>SUBTOTAL(9,K16:K149)</f>
        <v>48943146</v>
      </c>
      <c r="L156" s="59">
        <f t="shared" ref="L156:Y156" si="5">SUBTOTAL(9,L16:L149)</f>
        <v>46960367</v>
      </c>
      <c r="M156" s="59">
        <f t="shared" si="5"/>
        <v>646806</v>
      </c>
      <c r="N156" s="59">
        <f t="shared" si="5"/>
        <v>1105875</v>
      </c>
      <c r="O156" s="59">
        <f t="shared" si="5"/>
        <v>2105181</v>
      </c>
      <c r="P156" s="59">
        <f t="shared" si="5"/>
        <v>2271935</v>
      </c>
      <c r="Q156" s="59">
        <f t="shared" si="5"/>
        <v>2452591</v>
      </c>
      <c r="R156" s="59">
        <f t="shared" si="5"/>
        <v>3626297</v>
      </c>
      <c r="S156" s="59">
        <f t="shared" si="5"/>
        <v>2919418</v>
      </c>
      <c r="T156" s="59">
        <f t="shared" si="5"/>
        <v>2754397</v>
      </c>
      <c r="U156" s="59">
        <f t="shared" si="5"/>
        <v>2777789</v>
      </c>
      <c r="V156" s="59">
        <f t="shared" si="5"/>
        <v>0</v>
      </c>
      <c r="W156" s="59">
        <f t="shared" si="5"/>
        <v>0</v>
      </c>
      <c r="X156" s="59">
        <f t="shared" si="5"/>
        <v>0</v>
      </c>
      <c r="Y156" s="59">
        <f t="shared" si="5"/>
        <v>20660289</v>
      </c>
      <c r="Z156" s="59">
        <f>SUBTOTAL(9,Z16:Z153)</f>
        <v>22789863</v>
      </c>
      <c r="AA156" s="59"/>
      <c r="AB156" s="59"/>
      <c r="AC156" s="59"/>
      <c r="AD156" s="59">
        <f>SUBTOTAL(9,AD16:AD153)</f>
        <v>4820310</v>
      </c>
      <c r="AE156" s="59"/>
      <c r="AF156" s="59"/>
      <c r="AG156" s="59"/>
      <c r="AH156" s="59">
        <f>SUBTOTAL(9,AH16:AH153)</f>
        <v>2098880</v>
      </c>
      <c r="AI156" s="59"/>
      <c r="AJ156" s="59"/>
      <c r="AK156" s="59"/>
      <c r="AL156" s="59">
        <f>SUBTOTAL(9,AL16:AL153)</f>
        <v>-251666</v>
      </c>
      <c r="AM156" s="59"/>
      <c r="AN156" s="59"/>
      <c r="AO156" s="59"/>
      <c r="AP156" s="59">
        <f>SUBTOTAL(9,AP16:AP153)</f>
        <v>20233</v>
      </c>
      <c r="AQ156" s="59"/>
      <c r="AR156" s="59"/>
      <c r="AS156" s="59"/>
      <c r="AT156" s="59">
        <f>SUBTOTAL(9,AT16:AT153)</f>
        <v>29477620</v>
      </c>
      <c r="AU156" s="59">
        <f>SUBTOTAL(9,AU16:AU153)</f>
        <v>8817331</v>
      </c>
    </row>
    <row r="157" spans="1:95" s="123" customFormat="1" ht="20.25" customHeight="1">
      <c r="B157" s="752"/>
      <c r="C157" s="752"/>
      <c r="D157" s="752"/>
      <c r="E157" s="752"/>
      <c r="F157" s="140"/>
      <c r="G157" s="125"/>
      <c r="H157" s="125"/>
      <c r="AA157" s="74"/>
      <c r="AE157" s="124"/>
      <c r="AI157" s="74"/>
      <c r="AM157" s="74"/>
      <c r="AQ157" s="74"/>
    </row>
    <row r="158" spans="1:95" s="123" customFormat="1">
      <c r="B158" s="748" t="s">
        <v>1213</v>
      </c>
      <c r="C158" s="748"/>
      <c r="D158" s="748"/>
      <c r="E158" s="748"/>
      <c r="F158" s="748"/>
      <c r="G158" s="748"/>
      <c r="H158" s="748"/>
      <c r="I158" s="748"/>
      <c r="J158" s="748"/>
      <c r="K158" s="748"/>
      <c r="L158" s="748"/>
      <c r="M158" s="748"/>
      <c r="N158" s="748"/>
      <c r="O158" s="748"/>
      <c r="P158" s="748"/>
      <c r="Q158" s="748"/>
      <c r="R158" s="748"/>
      <c r="S158" s="748"/>
      <c r="T158" s="748"/>
      <c r="U158" s="748"/>
      <c r="V158" s="748"/>
      <c r="W158" s="748"/>
      <c r="X158" s="748"/>
      <c r="Y158" s="748"/>
      <c r="Z158" s="748"/>
      <c r="AA158" s="748"/>
      <c r="AB158" s="748"/>
      <c r="AC158" s="748"/>
      <c r="AD158" s="210"/>
      <c r="AE158" s="209"/>
      <c r="AF158" s="210"/>
      <c r="AG158" s="210"/>
      <c r="AH158" s="210"/>
      <c r="AI158" s="211"/>
      <c r="AJ158" s="210"/>
      <c r="AK158" s="210"/>
      <c r="AL158" s="210"/>
      <c r="AM158" s="211"/>
      <c r="AN158" s="210"/>
      <c r="AO158" s="210"/>
      <c r="AP158" s="210"/>
      <c r="AQ158" s="211"/>
      <c r="AR158" s="210"/>
      <c r="AS158" s="210"/>
    </row>
    <row r="159" spans="1:95" s="123" customFormat="1">
      <c r="B159" s="125"/>
      <c r="D159" s="125"/>
      <c r="AA159" s="74"/>
      <c r="AE159" s="124"/>
      <c r="AI159" s="74"/>
      <c r="AM159" s="74"/>
      <c r="AQ159" s="74"/>
      <c r="AT159" s="142"/>
    </row>
    <row r="160" spans="1:95" s="123" customFormat="1">
      <c r="B160" s="125"/>
      <c r="D160" s="125"/>
      <c r="AA160" s="74"/>
      <c r="AE160" s="124"/>
      <c r="AI160" s="74"/>
      <c r="AM160" s="74"/>
      <c r="AQ160" s="74"/>
    </row>
    <row r="161" spans="2:43" s="123" customFormat="1">
      <c r="B161" s="125"/>
      <c r="D161" s="125"/>
      <c r="AA161" s="74"/>
      <c r="AE161" s="124"/>
      <c r="AI161" s="74"/>
      <c r="AM161" s="74"/>
      <c r="AQ161" s="74"/>
    </row>
    <row r="162" spans="2:43" s="123" customFormat="1">
      <c r="B162" s="125"/>
      <c r="D162" s="125"/>
      <c r="AA162" s="74"/>
      <c r="AE162" s="124"/>
      <c r="AI162" s="74"/>
      <c r="AM162" s="74"/>
      <c r="AQ162" s="74"/>
    </row>
    <row r="163" spans="2:43" s="123" customFormat="1">
      <c r="B163" s="125"/>
      <c r="D163" s="125"/>
      <c r="AA163" s="74"/>
      <c r="AE163" s="124"/>
      <c r="AI163" s="74"/>
      <c r="AM163" s="74"/>
      <c r="AQ163" s="74"/>
    </row>
    <row r="164" spans="2:43" s="123" customFormat="1">
      <c r="B164" s="125"/>
      <c r="D164" s="125"/>
      <c r="AA164" s="74"/>
      <c r="AE164" s="124"/>
      <c r="AI164" s="74"/>
      <c r="AM164" s="74"/>
      <c r="AQ164" s="74"/>
    </row>
    <row r="165" spans="2:43" s="123" customFormat="1">
      <c r="B165" s="125"/>
      <c r="D165" s="125"/>
      <c r="AA165" s="74"/>
      <c r="AE165" s="124"/>
      <c r="AI165" s="74"/>
      <c r="AM165" s="74"/>
      <c r="AQ165" s="74"/>
    </row>
    <row r="166" spans="2:43" s="123" customFormat="1">
      <c r="B166" s="125"/>
      <c r="D166" s="125"/>
      <c r="AA166" s="74"/>
      <c r="AE166" s="124"/>
      <c r="AI166" s="74"/>
      <c r="AM166" s="74"/>
      <c r="AQ166" s="74"/>
    </row>
    <row r="167" spans="2:43" s="123" customFormat="1">
      <c r="B167" s="125"/>
      <c r="D167" s="125"/>
      <c r="AA167" s="74"/>
      <c r="AE167" s="124"/>
      <c r="AI167" s="74"/>
      <c r="AM167" s="74"/>
      <c r="AQ167" s="74"/>
    </row>
    <row r="168" spans="2:43" s="123" customFormat="1">
      <c r="B168" s="125"/>
      <c r="D168" s="125"/>
      <c r="AA168" s="74"/>
      <c r="AE168" s="124"/>
      <c r="AI168" s="74"/>
      <c r="AM168" s="74"/>
      <c r="AQ168" s="74"/>
    </row>
    <row r="169" spans="2:43" s="123" customFormat="1">
      <c r="B169" s="125"/>
      <c r="D169" s="125"/>
      <c r="AA169" s="74"/>
      <c r="AE169" s="124"/>
      <c r="AI169" s="74"/>
      <c r="AM169" s="74"/>
      <c r="AQ169" s="74"/>
    </row>
    <row r="170" spans="2:43" s="123" customFormat="1">
      <c r="B170" s="125"/>
      <c r="D170" s="125"/>
      <c r="AA170" s="74"/>
      <c r="AE170" s="124"/>
      <c r="AI170" s="74"/>
      <c r="AM170" s="74"/>
      <c r="AQ170" s="74"/>
    </row>
    <row r="171" spans="2:43" s="123" customFormat="1">
      <c r="B171" s="125"/>
      <c r="D171" s="125"/>
      <c r="AA171" s="74"/>
      <c r="AE171" s="124"/>
      <c r="AI171" s="74"/>
      <c r="AM171" s="74"/>
      <c r="AQ171" s="74"/>
    </row>
    <row r="172" spans="2:43" s="123" customFormat="1">
      <c r="B172" s="125"/>
      <c r="D172" s="125"/>
      <c r="AA172" s="74"/>
      <c r="AE172" s="124"/>
      <c r="AI172" s="74"/>
      <c r="AM172" s="74"/>
      <c r="AQ172" s="74"/>
    </row>
    <row r="173" spans="2:43" s="123" customFormat="1">
      <c r="B173" s="125"/>
      <c r="D173" s="125"/>
      <c r="AA173" s="74"/>
      <c r="AE173" s="124"/>
      <c r="AI173" s="74"/>
      <c r="AM173" s="74"/>
      <c r="AQ173" s="74"/>
    </row>
    <row r="174" spans="2:43" s="123" customFormat="1">
      <c r="B174" s="125"/>
      <c r="D174" s="125"/>
      <c r="AA174" s="74"/>
      <c r="AE174" s="124"/>
      <c r="AI174" s="74"/>
      <c r="AM174" s="74"/>
      <c r="AQ174" s="74"/>
    </row>
    <row r="175" spans="2:43" s="123" customFormat="1">
      <c r="B175" s="125"/>
      <c r="D175" s="125"/>
      <c r="AA175" s="74"/>
      <c r="AE175" s="124"/>
      <c r="AI175" s="74"/>
      <c r="AM175" s="74"/>
      <c r="AQ175" s="74"/>
    </row>
    <row r="176" spans="2:43" s="123" customFormat="1">
      <c r="B176" s="125"/>
      <c r="D176" s="125"/>
      <c r="AA176" s="74"/>
      <c r="AE176" s="124"/>
      <c r="AI176" s="74"/>
      <c r="AM176" s="74"/>
      <c r="AQ176" s="74"/>
    </row>
    <row r="177" spans="2:43" s="123" customFormat="1">
      <c r="B177" s="125"/>
      <c r="D177" s="125"/>
      <c r="AA177" s="74"/>
      <c r="AE177" s="124"/>
      <c r="AI177" s="74"/>
      <c r="AM177" s="74"/>
      <c r="AQ177" s="74"/>
    </row>
    <row r="178" spans="2:43" s="123" customFormat="1">
      <c r="B178" s="125"/>
      <c r="D178" s="125"/>
      <c r="AA178" s="74"/>
      <c r="AE178" s="124"/>
      <c r="AI178" s="74"/>
      <c r="AM178" s="74"/>
      <c r="AQ178" s="74"/>
    </row>
    <row r="179" spans="2:43" s="123" customFormat="1">
      <c r="B179" s="125"/>
      <c r="D179" s="125"/>
      <c r="AA179" s="74"/>
      <c r="AE179" s="124"/>
      <c r="AI179" s="74"/>
      <c r="AM179" s="74"/>
      <c r="AQ179" s="74"/>
    </row>
    <row r="180" spans="2:43" s="123" customFormat="1">
      <c r="B180" s="125"/>
      <c r="D180" s="125"/>
      <c r="AA180" s="74"/>
      <c r="AE180" s="124"/>
      <c r="AI180" s="74"/>
      <c r="AM180" s="74"/>
      <c r="AQ180" s="74"/>
    </row>
    <row r="181" spans="2:43" s="123" customFormat="1">
      <c r="B181" s="125"/>
      <c r="D181" s="125"/>
      <c r="AA181" s="74"/>
      <c r="AE181" s="124"/>
      <c r="AI181" s="74"/>
      <c r="AM181" s="74"/>
      <c r="AQ181" s="74"/>
    </row>
    <row r="182" spans="2:43" s="123" customFormat="1">
      <c r="B182" s="125"/>
      <c r="D182" s="125"/>
      <c r="AA182" s="74"/>
      <c r="AE182" s="124"/>
      <c r="AI182" s="74"/>
      <c r="AM182" s="74"/>
      <c r="AQ182" s="74"/>
    </row>
    <row r="183" spans="2:43" s="123" customFormat="1">
      <c r="B183" s="125"/>
      <c r="D183" s="125"/>
      <c r="AA183" s="74"/>
      <c r="AE183" s="124"/>
      <c r="AI183" s="74"/>
      <c r="AM183" s="74"/>
      <c r="AQ183" s="74"/>
    </row>
    <row r="184" spans="2:43" s="123" customFormat="1">
      <c r="B184" s="125"/>
      <c r="D184" s="125"/>
      <c r="AA184" s="74"/>
      <c r="AE184" s="124"/>
      <c r="AI184" s="74"/>
      <c r="AM184" s="74"/>
      <c r="AQ184" s="74"/>
    </row>
    <row r="185" spans="2:43" s="123" customFormat="1">
      <c r="B185" s="125"/>
      <c r="D185" s="125"/>
      <c r="AA185" s="74"/>
      <c r="AE185" s="124"/>
      <c r="AI185" s="74"/>
      <c r="AM185" s="74"/>
      <c r="AQ185" s="74"/>
    </row>
    <row r="186" spans="2:43" s="123" customFormat="1">
      <c r="B186" s="125"/>
      <c r="D186" s="125"/>
      <c r="AA186" s="74"/>
      <c r="AE186" s="124"/>
      <c r="AI186" s="74"/>
      <c r="AM186" s="74"/>
      <c r="AQ186" s="74"/>
    </row>
    <row r="187" spans="2:43" s="123" customFormat="1">
      <c r="B187" s="125"/>
      <c r="D187" s="125"/>
      <c r="AA187" s="74"/>
      <c r="AE187" s="124"/>
      <c r="AI187" s="74"/>
      <c r="AM187" s="74"/>
      <c r="AQ187" s="74"/>
    </row>
    <row r="188" spans="2:43" s="123" customFormat="1">
      <c r="B188" s="125"/>
      <c r="D188" s="125"/>
      <c r="AA188" s="74"/>
      <c r="AE188" s="124"/>
      <c r="AI188" s="74"/>
      <c r="AM188" s="74"/>
      <c r="AQ188" s="74"/>
    </row>
    <row r="189" spans="2:43" s="123" customFormat="1">
      <c r="B189" s="125"/>
      <c r="D189" s="125"/>
      <c r="AA189" s="74"/>
      <c r="AE189" s="124"/>
      <c r="AI189" s="74"/>
      <c r="AM189" s="74"/>
      <c r="AQ189" s="74"/>
    </row>
    <row r="190" spans="2:43" s="123" customFormat="1">
      <c r="B190" s="125"/>
      <c r="D190" s="125"/>
      <c r="AA190" s="74"/>
      <c r="AE190" s="124"/>
      <c r="AI190" s="74"/>
      <c r="AM190" s="74"/>
      <c r="AQ190" s="74"/>
    </row>
    <row r="191" spans="2:43" s="123" customFormat="1">
      <c r="B191" s="125"/>
      <c r="D191" s="125"/>
      <c r="AA191" s="74"/>
      <c r="AE191" s="124"/>
      <c r="AI191" s="74"/>
      <c r="AM191" s="74"/>
      <c r="AQ191" s="74"/>
    </row>
    <row r="192" spans="2:43" s="123" customFormat="1">
      <c r="B192" s="125"/>
      <c r="D192" s="125"/>
      <c r="AA192" s="74"/>
      <c r="AE192" s="124"/>
      <c r="AI192" s="74"/>
      <c r="AM192" s="74"/>
      <c r="AQ192" s="74"/>
    </row>
    <row r="193" spans="2:43" s="123" customFormat="1">
      <c r="B193" s="125"/>
      <c r="D193" s="125"/>
      <c r="AA193" s="74"/>
      <c r="AE193" s="124"/>
      <c r="AI193" s="74"/>
      <c r="AM193" s="74"/>
      <c r="AQ193" s="74"/>
    </row>
    <row r="194" spans="2:43" s="123" customFormat="1">
      <c r="B194" s="125"/>
      <c r="D194" s="125"/>
      <c r="AA194" s="74"/>
      <c r="AE194" s="124"/>
      <c r="AI194" s="74"/>
      <c r="AM194" s="74"/>
      <c r="AQ194" s="74"/>
    </row>
    <row r="195" spans="2:43" s="123" customFormat="1">
      <c r="B195" s="125"/>
      <c r="D195" s="125"/>
      <c r="AA195" s="74"/>
      <c r="AE195" s="124"/>
      <c r="AI195" s="74"/>
      <c r="AM195" s="74"/>
      <c r="AQ195" s="74"/>
    </row>
    <row r="196" spans="2:43" s="123" customFormat="1">
      <c r="B196" s="125"/>
      <c r="D196" s="125"/>
      <c r="AA196" s="74"/>
      <c r="AE196" s="124"/>
      <c r="AI196" s="74"/>
      <c r="AM196" s="74"/>
      <c r="AQ196" s="74"/>
    </row>
    <row r="197" spans="2:43" s="123" customFormat="1">
      <c r="B197" s="125"/>
      <c r="D197" s="125"/>
      <c r="AA197" s="74"/>
      <c r="AE197" s="124"/>
      <c r="AI197" s="74"/>
      <c r="AM197" s="74"/>
      <c r="AQ197" s="74"/>
    </row>
    <row r="198" spans="2:43" s="123" customFormat="1">
      <c r="B198" s="125"/>
      <c r="D198" s="125"/>
      <c r="AA198" s="74"/>
      <c r="AE198" s="124"/>
      <c r="AI198" s="74"/>
      <c r="AM198" s="74"/>
      <c r="AQ198" s="74"/>
    </row>
    <row r="199" spans="2:43" s="123" customFormat="1">
      <c r="B199" s="125"/>
      <c r="D199" s="125"/>
      <c r="AA199" s="74"/>
      <c r="AE199" s="124"/>
      <c r="AI199" s="74"/>
      <c r="AM199" s="74"/>
      <c r="AQ199" s="74"/>
    </row>
    <row r="200" spans="2:43" s="123" customFormat="1">
      <c r="B200" s="125"/>
      <c r="D200" s="125"/>
      <c r="AA200" s="74"/>
      <c r="AE200" s="124"/>
      <c r="AI200" s="74"/>
      <c r="AM200" s="74"/>
      <c r="AQ200" s="74"/>
    </row>
    <row r="201" spans="2:43" s="123" customFormat="1">
      <c r="B201" s="125"/>
      <c r="D201" s="125"/>
      <c r="AA201" s="74"/>
      <c r="AE201" s="124"/>
      <c r="AI201" s="74"/>
      <c r="AM201" s="74"/>
      <c r="AQ201" s="74"/>
    </row>
    <row r="202" spans="2:43" s="123" customFormat="1">
      <c r="B202" s="125"/>
      <c r="D202" s="125"/>
      <c r="AA202" s="74"/>
      <c r="AE202" s="124"/>
      <c r="AI202" s="74"/>
      <c r="AM202" s="74"/>
      <c r="AQ202" s="74"/>
    </row>
    <row r="203" spans="2:43" s="123" customFormat="1">
      <c r="B203" s="125"/>
      <c r="D203" s="125"/>
      <c r="AA203" s="74"/>
      <c r="AE203" s="124"/>
      <c r="AI203" s="74"/>
      <c r="AM203" s="74"/>
      <c r="AQ203" s="74"/>
    </row>
    <row r="204" spans="2:43" s="123" customFormat="1">
      <c r="B204" s="125"/>
      <c r="D204" s="125"/>
      <c r="AA204" s="74"/>
      <c r="AE204" s="124"/>
      <c r="AI204" s="74"/>
      <c r="AM204" s="74"/>
      <c r="AQ204" s="74"/>
    </row>
    <row r="205" spans="2:43" s="123" customFormat="1">
      <c r="B205" s="125"/>
      <c r="D205" s="125"/>
      <c r="AA205" s="74"/>
      <c r="AE205" s="124"/>
      <c r="AI205" s="74"/>
      <c r="AM205" s="74"/>
      <c r="AQ205" s="74"/>
    </row>
    <row r="206" spans="2:43" s="123" customFormat="1">
      <c r="B206" s="125"/>
      <c r="D206" s="125"/>
      <c r="AA206" s="74"/>
      <c r="AE206" s="124"/>
      <c r="AI206" s="74"/>
      <c r="AM206" s="74"/>
      <c r="AQ206" s="74"/>
    </row>
    <row r="207" spans="2:43" s="123" customFormat="1">
      <c r="B207" s="125"/>
      <c r="D207" s="125"/>
      <c r="AA207" s="74"/>
      <c r="AE207" s="124"/>
      <c r="AI207" s="74"/>
      <c r="AM207" s="74"/>
      <c r="AQ207" s="74"/>
    </row>
    <row r="208" spans="2:43" s="123" customFormat="1">
      <c r="B208" s="125"/>
      <c r="D208" s="125"/>
      <c r="AA208" s="74"/>
      <c r="AE208" s="124"/>
      <c r="AI208" s="74"/>
      <c r="AM208" s="74"/>
      <c r="AQ208" s="74"/>
    </row>
    <row r="209" spans="2:43" s="123" customFormat="1">
      <c r="B209" s="125"/>
      <c r="D209" s="125"/>
      <c r="AA209" s="74"/>
      <c r="AE209" s="124"/>
      <c r="AI209" s="74"/>
      <c r="AM209" s="74"/>
      <c r="AQ209" s="74"/>
    </row>
    <row r="210" spans="2:43" s="123" customFormat="1">
      <c r="B210" s="125"/>
      <c r="D210" s="125"/>
      <c r="AA210" s="74"/>
      <c r="AE210" s="124"/>
      <c r="AI210" s="74"/>
      <c r="AM210" s="74"/>
      <c r="AQ210" s="74"/>
    </row>
    <row r="211" spans="2:43" s="123" customFormat="1">
      <c r="B211" s="125"/>
      <c r="D211" s="125"/>
      <c r="AA211" s="74"/>
      <c r="AE211" s="124"/>
      <c r="AI211" s="74"/>
      <c r="AM211" s="74"/>
      <c r="AQ211" s="74"/>
    </row>
    <row r="212" spans="2:43" s="123" customFormat="1">
      <c r="B212" s="125"/>
      <c r="D212" s="125"/>
      <c r="AA212" s="74"/>
      <c r="AE212" s="124"/>
      <c r="AI212" s="74"/>
      <c r="AM212" s="74"/>
      <c r="AQ212" s="74"/>
    </row>
    <row r="213" spans="2:43" s="123" customFormat="1">
      <c r="B213" s="125"/>
      <c r="D213" s="125"/>
      <c r="AA213" s="74"/>
      <c r="AE213" s="124"/>
      <c r="AI213" s="74"/>
      <c r="AM213" s="74"/>
      <c r="AQ213" s="74"/>
    </row>
    <row r="214" spans="2:43" s="123" customFormat="1">
      <c r="B214" s="125"/>
      <c r="D214" s="125"/>
      <c r="AA214" s="74"/>
      <c r="AE214" s="124"/>
      <c r="AI214" s="74"/>
      <c r="AM214" s="74"/>
      <c r="AQ214" s="74"/>
    </row>
    <row r="215" spans="2:43" s="123" customFormat="1">
      <c r="B215" s="125"/>
      <c r="D215" s="125"/>
      <c r="AA215" s="74"/>
      <c r="AE215" s="124"/>
      <c r="AI215" s="74"/>
      <c r="AM215" s="74"/>
      <c r="AQ215" s="74"/>
    </row>
    <row r="216" spans="2:43" s="123" customFormat="1">
      <c r="B216" s="125"/>
      <c r="D216" s="125"/>
      <c r="AA216" s="74"/>
      <c r="AE216" s="124"/>
      <c r="AI216" s="74"/>
      <c r="AM216" s="74"/>
      <c r="AQ216" s="74"/>
    </row>
    <row r="217" spans="2:43" s="123" customFormat="1">
      <c r="B217" s="125"/>
      <c r="D217" s="125"/>
      <c r="AA217" s="74"/>
      <c r="AE217" s="124"/>
      <c r="AI217" s="74"/>
      <c r="AM217" s="74"/>
      <c r="AQ217" s="74"/>
    </row>
    <row r="218" spans="2:43" s="123" customFormat="1">
      <c r="B218" s="125"/>
      <c r="D218" s="125"/>
      <c r="AA218" s="74"/>
      <c r="AE218" s="124"/>
      <c r="AI218" s="74"/>
      <c r="AM218" s="74"/>
      <c r="AQ218" s="74"/>
    </row>
    <row r="219" spans="2:43" s="123" customFormat="1">
      <c r="B219" s="125"/>
      <c r="D219" s="125"/>
      <c r="AA219" s="74"/>
      <c r="AE219" s="124"/>
      <c r="AI219" s="74"/>
      <c r="AM219" s="74"/>
      <c r="AQ219" s="74"/>
    </row>
    <row r="220" spans="2:43" s="123" customFormat="1">
      <c r="B220" s="125"/>
      <c r="D220" s="125"/>
      <c r="AA220" s="74"/>
      <c r="AE220" s="124"/>
      <c r="AI220" s="74"/>
      <c r="AM220" s="74"/>
      <c r="AQ220" s="74"/>
    </row>
    <row r="221" spans="2:43" s="123" customFormat="1">
      <c r="B221" s="125"/>
      <c r="D221" s="125"/>
      <c r="AA221" s="74"/>
      <c r="AE221" s="124"/>
      <c r="AI221" s="74"/>
      <c r="AM221" s="74"/>
      <c r="AQ221" s="74"/>
    </row>
    <row r="222" spans="2:43" s="123" customFormat="1">
      <c r="B222" s="125"/>
      <c r="D222" s="125"/>
      <c r="AA222" s="74"/>
      <c r="AE222" s="124"/>
      <c r="AI222" s="74"/>
      <c r="AM222" s="74"/>
      <c r="AQ222" s="74"/>
    </row>
    <row r="223" spans="2:43" s="123" customFormat="1">
      <c r="B223" s="125"/>
      <c r="D223" s="125"/>
      <c r="AA223" s="74"/>
      <c r="AE223" s="124"/>
      <c r="AI223" s="74"/>
      <c r="AM223" s="74"/>
      <c r="AQ223" s="74"/>
    </row>
    <row r="224" spans="2:43" s="123" customFormat="1">
      <c r="B224" s="125"/>
      <c r="D224" s="125"/>
      <c r="AA224" s="74"/>
      <c r="AE224" s="124"/>
      <c r="AI224" s="74"/>
      <c r="AM224" s="74"/>
      <c r="AQ224" s="74"/>
    </row>
    <row r="225" spans="2:43" s="123" customFormat="1">
      <c r="B225" s="125"/>
      <c r="D225" s="125"/>
      <c r="AA225" s="74"/>
      <c r="AE225" s="124"/>
      <c r="AI225" s="74"/>
      <c r="AM225" s="74"/>
      <c r="AQ225" s="74"/>
    </row>
    <row r="226" spans="2:43" s="123" customFormat="1">
      <c r="B226" s="125"/>
      <c r="D226" s="125"/>
      <c r="AA226" s="74"/>
      <c r="AE226" s="124"/>
      <c r="AI226" s="74"/>
      <c r="AM226" s="74"/>
      <c r="AQ226" s="74"/>
    </row>
    <row r="227" spans="2:43" s="123" customFormat="1">
      <c r="B227" s="125"/>
      <c r="D227" s="125"/>
      <c r="AA227" s="74"/>
      <c r="AE227" s="124"/>
      <c r="AI227" s="74"/>
      <c r="AM227" s="74"/>
      <c r="AQ227" s="74"/>
    </row>
    <row r="228" spans="2:43" s="123" customFormat="1">
      <c r="B228" s="125"/>
      <c r="D228" s="125"/>
      <c r="AA228" s="74"/>
      <c r="AE228" s="124"/>
      <c r="AI228" s="74"/>
      <c r="AM228" s="74"/>
      <c r="AQ228" s="74"/>
    </row>
    <row r="229" spans="2:43" s="123" customFormat="1">
      <c r="B229" s="125"/>
      <c r="D229" s="125"/>
      <c r="AA229" s="74"/>
      <c r="AE229" s="124"/>
      <c r="AI229" s="74"/>
      <c r="AM229" s="74"/>
      <c r="AQ229" s="74"/>
    </row>
    <row r="230" spans="2:43" s="123" customFormat="1">
      <c r="B230" s="125"/>
      <c r="D230" s="125"/>
      <c r="AA230" s="74"/>
      <c r="AE230" s="124"/>
      <c r="AI230" s="74"/>
      <c r="AM230" s="74"/>
      <c r="AQ230" s="74"/>
    </row>
    <row r="231" spans="2:43" s="123" customFormat="1">
      <c r="B231" s="125"/>
      <c r="D231" s="125"/>
      <c r="AA231" s="74"/>
      <c r="AE231" s="124"/>
      <c r="AI231" s="74"/>
      <c r="AM231" s="74"/>
      <c r="AQ231" s="74"/>
    </row>
    <row r="232" spans="2:43" s="123" customFormat="1">
      <c r="B232" s="125"/>
      <c r="D232" s="125"/>
      <c r="AA232" s="74"/>
      <c r="AE232" s="124"/>
      <c r="AI232" s="74"/>
      <c r="AM232" s="74"/>
      <c r="AQ232" s="74"/>
    </row>
    <row r="233" spans="2:43" s="123" customFormat="1">
      <c r="B233" s="125"/>
      <c r="D233" s="125"/>
      <c r="AA233" s="74"/>
      <c r="AE233" s="124"/>
      <c r="AI233" s="74"/>
      <c r="AM233" s="74"/>
      <c r="AQ233" s="74"/>
    </row>
    <row r="234" spans="2:43" s="123" customFormat="1">
      <c r="B234" s="125"/>
      <c r="D234" s="125"/>
      <c r="AA234" s="74"/>
      <c r="AE234" s="124"/>
      <c r="AI234" s="74"/>
      <c r="AM234" s="74"/>
      <c r="AQ234" s="74"/>
    </row>
    <row r="235" spans="2:43" s="123" customFormat="1">
      <c r="B235" s="125"/>
      <c r="D235" s="125"/>
      <c r="AA235" s="74"/>
      <c r="AE235" s="124"/>
      <c r="AI235" s="74"/>
      <c r="AM235" s="74"/>
      <c r="AQ235" s="74"/>
    </row>
    <row r="236" spans="2:43" s="123" customFormat="1">
      <c r="B236" s="125"/>
      <c r="D236" s="125"/>
      <c r="AA236" s="74"/>
      <c r="AE236" s="124"/>
      <c r="AI236" s="74"/>
      <c r="AM236" s="74"/>
      <c r="AQ236" s="74"/>
    </row>
    <row r="237" spans="2:43" s="123" customFormat="1">
      <c r="B237" s="125"/>
      <c r="D237" s="125"/>
      <c r="AA237" s="74"/>
      <c r="AE237" s="124"/>
      <c r="AI237" s="74"/>
      <c r="AM237" s="74"/>
      <c r="AQ237" s="74"/>
    </row>
    <row r="238" spans="2:43" s="123" customFormat="1">
      <c r="B238" s="125"/>
      <c r="D238" s="125"/>
      <c r="AA238" s="74"/>
      <c r="AE238" s="124"/>
      <c r="AI238" s="74"/>
      <c r="AM238" s="74"/>
      <c r="AQ238" s="74"/>
    </row>
    <row r="239" spans="2:43" s="123" customFormat="1">
      <c r="B239" s="125"/>
      <c r="D239" s="125"/>
      <c r="AA239" s="74"/>
      <c r="AE239" s="124"/>
      <c r="AI239" s="74"/>
      <c r="AM239" s="74"/>
      <c r="AQ239" s="74"/>
    </row>
    <row r="240" spans="2:43" s="123" customFormat="1">
      <c r="B240" s="125"/>
      <c r="D240" s="125"/>
      <c r="AA240" s="74"/>
      <c r="AE240" s="124"/>
      <c r="AI240" s="74"/>
      <c r="AM240" s="74"/>
      <c r="AQ240" s="74"/>
    </row>
    <row r="241" spans="2:43" s="123" customFormat="1">
      <c r="B241" s="125"/>
      <c r="D241" s="125"/>
      <c r="AA241" s="74"/>
      <c r="AE241" s="124"/>
      <c r="AI241" s="74"/>
      <c r="AM241" s="74"/>
      <c r="AQ241" s="74"/>
    </row>
    <row r="242" spans="2:43" s="123" customFormat="1">
      <c r="B242" s="125"/>
      <c r="D242" s="125"/>
      <c r="AA242" s="74"/>
      <c r="AE242" s="124"/>
      <c r="AI242" s="74"/>
      <c r="AM242" s="74"/>
      <c r="AQ242" s="74"/>
    </row>
    <row r="243" spans="2:43" s="123" customFormat="1">
      <c r="B243" s="125"/>
      <c r="D243" s="125"/>
      <c r="AA243" s="74"/>
      <c r="AE243" s="124"/>
      <c r="AI243" s="74"/>
      <c r="AM243" s="74"/>
      <c r="AQ243" s="74"/>
    </row>
    <row r="244" spans="2:43" s="123" customFormat="1">
      <c r="B244" s="125"/>
      <c r="D244" s="125"/>
      <c r="AA244" s="74"/>
      <c r="AE244" s="124"/>
      <c r="AI244" s="74"/>
      <c r="AM244" s="74"/>
      <c r="AQ244" s="74"/>
    </row>
    <row r="245" spans="2:43" s="123" customFormat="1">
      <c r="B245" s="125"/>
      <c r="D245" s="125"/>
      <c r="AA245" s="74"/>
      <c r="AE245" s="124"/>
      <c r="AI245" s="74"/>
      <c r="AM245" s="74"/>
      <c r="AQ245" s="74"/>
    </row>
    <row r="246" spans="2:43" s="123" customFormat="1">
      <c r="B246" s="125"/>
      <c r="D246" s="125"/>
      <c r="AA246" s="74"/>
      <c r="AE246" s="124"/>
      <c r="AI246" s="74"/>
      <c r="AM246" s="74"/>
      <c r="AQ246" s="74"/>
    </row>
    <row r="247" spans="2:43" s="123" customFormat="1">
      <c r="B247" s="125"/>
      <c r="D247" s="125"/>
      <c r="AA247" s="74"/>
      <c r="AE247" s="124"/>
      <c r="AI247" s="74"/>
      <c r="AM247" s="74"/>
      <c r="AQ247" s="74"/>
    </row>
    <row r="248" spans="2:43" s="123" customFormat="1">
      <c r="B248" s="125"/>
      <c r="D248" s="125"/>
      <c r="AA248" s="74"/>
      <c r="AE248" s="124"/>
      <c r="AI248" s="74"/>
      <c r="AM248" s="74"/>
      <c r="AQ248" s="74"/>
    </row>
    <row r="249" spans="2:43" s="123" customFormat="1">
      <c r="B249" s="125"/>
      <c r="D249" s="125"/>
      <c r="AA249" s="74"/>
      <c r="AE249" s="124"/>
      <c r="AI249" s="74"/>
      <c r="AM249" s="74"/>
      <c r="AQ249" s="74"/>
    </row>
    <row r="250" spans="2:43" s="123" customFormat="1">
      <c r="B250" s="125"/>
      <c r="D250" s="125"/>
      <c r="AA250" s="74"/>
      <c r="AE250" s="124"/>
      <c r="AI250" s="74"/>
      <c r="AM250" s="74"/>
      <c r="AQ250" s="74"/>
    </row>
    <row r="251" spans="2:43" s="123" customFormat="1">
      <c r="B251" s="125"/>
      <c r="D251" s="125"/>
      <c r="AA251" s="74"/>
      <c r="AE251" s="124"/>
      <c r="AI251" s="74"/>
      <c r="AM251" s="74"/>
      <c r="AQ251" s="74"/>
    </row>
    <row r="252" spans="2:43" s="123" customFormat="1">
      <c r="B252" s="125"/>
      <c r="D252" s="125"/>
      <c r="AA252" s="74"/>
      <c r="AE252" s="124"/>
      <c r="AI252" s="74"/>
      <c r="AM252" s="74"/>
      <c r="AQ252" s="74"/>
    </row>
    <row r="253" spans="2:43" s="123" customFormat="1">
      <c r="B253" s="125"/>
      <c r="D253" s="125"/>
      <c r="AA253" s="74"/>
      <c r="AE253" s="124"/>
      <c r="AI253" s="74"/>
      <c r="AM253" s="74"/>
      <c r="AQ253" s="74"/>
    </row>
    <row r="254" spans="2:43" s="123" customFormat="1">
      <c r="B254" s="125"/>
      <c r="D254" s="125"/>
      <c r="AA254" s="74"/>
      <c r="AE254" s="124"/>
      <c r="AI254" s="74"/>
      <c r="AM254" s="74"/>
      <c r="AQ254" s="74"/>
    </row>
    <row r="255" spans="2:43" s="123" customFormat="1">
      <c r="B255" s="125"/>
      <c r="D255" s="125"/>
      <c r="AA255" s="74"/>
      <c r="AE255" s="124"/>
      <c r="AI255" s="74"/>
      <c r="AM255" s="74"/>
      <c r="AQ255" s="74"/>
    </row>
    <row r="256" spans="2:43" s="123" customFormat="1">
      <c r="B256" s="125"/>
      <c r="D256" s="125"/>
      <c r="AA256" s="74"/>
      <c r="AE256" s="124"/>
      <c r="AI256" s="74"/>
      <c r="AM256" s="74"/>
      <c r="AQ256" s="74"/>
    </row>
    <row r="257" spans="2:43" s="123" customFormat="1">
      <c r="B257" s="125"/>
      <c r="D257" s="125"/>
      <c r="AA257" s="74"/>
      <c r="AE257" s="124"/>
      <c r="AI257" s="74"/>
      <c r="AM257" s="74"/>
      <c r="AQ257" s="74"/>
    </row>
    <row r="258" spans="2:43" s="123" customFormat="1">
      <c r="B258" s="125"/>
      <c r="D258" s="125"/>
      <c r="AA258" s="74"/>
      <c r="AE258" s="124"/>
      <c r="AI258" s="74"/>
      <c r="AM258" s="74"/>
      <c r="AQ258" s="74"/>
    </row>
    <row r="259" spans="2:43" s="123" customFormat="1">
      <c r="B259" s="125"/>
      <c r="D259" s="125"/>
      <c r="AA259" s="74"/>
      <c r="AE259" s="124"/>
      <c r="AI259" s="74"/>
      <c r="AM259" s="74"/>
      <c r="AQ259" s="74"/>
    </row>
    <row r="260" spans="2:43" s="123" customFormat="1">
      <c r="B260" s="125"/>
      <c r="D260" s="125"/>
      <c r="AA260" s="74"/>
      <c r="AE260" s="124"/>
      <c r="AI260" s="74"/>
      <c r="AM260" s="74"/>
      <c r="AQ260" s="74"/>
    </row>
    <row r="261" spans="2:43" s="123" customFormat="1">
      <c r="B261" s="125"/>
      <c r="D261" s="125"/>
      <c r="AA261" s="74"/>
      <c r="AE261" s="124"/>
      <c r="AI261" s="74"/>
      <c r="AM261" s="74"/>
      <c r="AQ261" s="74"/>
    </row>
    <row r="262" spans="2:43" s="123" customFormat="1">
      <c r="B262" s="125"/>
      <c r="D262" s="125"/>
      <c r="AA262" s="74"/>
      <c r="AE262" s="124"/>
      <c r="AI262" s="74"/>
      <c r="AM262" s="74"/>
      <c r="AQ262" s="74"/>
    </row>
    <row r="263" spans="2:43" s="123" customFormat="1">
      <c r="B263" s="125"/>
      <c r="D263" s="125"/>
      <c r="AA263" s="74"/>
      <c r="AE263" s="124"/>
      <c r="AI263" s="74"/>
      <c r="AM263" s="74"/>
      <c r="AQ263" s="74"/>
    </row>
    <row r="264" spans="2:43" s="123" customFormat="1">
      <c r="B264" s="125"/>
      <c r="D264" s="125"/>
      <c r="AA264" s="74"/>
      <c r="AE264" s="124"/>
      <c r="AI264" s="74"/>
      <c r="AM264" s="74"/>
      <c r="AQ264" s="74"/>
    </row>
    <row r="265" spans="2:43" s="123" customFormat="1">
      <c r="B265" s="125"/>
      <c r="D265" s="125"/>
      <c r="AA265" s="74"/>
      <c r="AE265" s="124"/>
      <c r="AI265" s="74"/>
      <c r="AM265" s="74"/>
      <c r="AQ265" s="74"/>
    </row>
    <row r="266" spans="2:43" s="123" customFormat="1">
      <c r="B266" s="125"/>
      <c r="D266" s="125"/>
      <c r="AA266" s="74"/>
      <c r="AE266" s="124"/>
      <c r="AI266" s="74"/>
      <c r="AM266" s="74"/>
      <c r="AQ266" s="74"/>
    </row>
    <row r="267" spans="2:43" s="123" customFormat="1">
      <c r="B267" s="125"/>
      <c r="D267" s="125"/>
      <c r="AA267" s="74"/>
      <c r="AE267" s="124"/>
      <c r="AI267" s="74"/>
      <c r="AM267" s="74"/>
      <c r="AQ267" s="74"/>
    </row>
    <row r="268" spans="2:43" s="123" customFormat="1">
      <c r="B268" s="125"/>
      <c r="D268" s="125"/>
      <c r="AA268" s="74"/>
      <c r="AE268" s="124"/>
      <c r="AI268" s="74"/>
      <c r="AM268" s="74"/>
      <c r="AQ268" s="74"/>
    </row>
    <row r="269" spans="2:43" s="123" customFormat="1">
      <c r="B269" s="125"/>
      <c r="D269" s="125"/>
      <c r="AA269" s="74"/>
      <c r="AE269" s="124"/>
      <c r="AI269" s="74"/>
      <c r="AM269" s="74"/>
      <c r="AQ269" s="74"/>
    </row>
    <row r="270" spans="2:43" s="123" customFormat="1">
      <c r="B270" s="125"/>
      <c r="D270" s="125"/>
      <c r="AA270" s="74"/>
      <c r="AE270" s="124"/>
      <c r="AI270" s="74"/>
      <c r="AM270" s="74"/>
      <c r="AQ270" s="74"/>
    </row>
    <row r="271" spans="2:43" s="123" customFormat="1">
      <c r="B271" s="125"/>
      <c r="D271" s="125"/>
      <c r="AA271" s="74"/>
      <c r="AE271" s="124"/>
      <c r="AI271" s="74"/>
      <c r="AM271" s="74"/>
      <c r="AQ271" s="74"/>
    </row>
    <row r="272" spans="2:43" s="123" customFormat="1">
      <c r="B272" s="125"/>
      <c r="D272" s="125"/>
      <c r="AA272" s="74"/>
      <c r="AE272" s="124"/>
      <c r="AI272" s="74"/>
      <c r="AM272" s="74"/>
      <c r="AQ272" s="74"/>
    </row>
    <row r="273" spans="2:43" s="123" customFormat="1">
      <c r="B273" s="125"/>
      <c r="D273" s="125"/>
      <c r="AA273" s="74"/>
      <c r="AE273" s="124"/>
      <c r="AI273" s="74"/>
      <c r="AM273" s="74"/>
      <c r="AQ273" s="74"/>
    </row>
    <row r="274" spans="2:43" s="123" customFormat="1">
      <c r="B274" s="125"/>
      <c r="D274" s="125"/>
      <c r="AA274" s="74"/>
      <c r="AE274" s="124"/>
      <c r="AI274" s="74"/>
      <c r="AM274" s="74"/>
      <c r="AQ274" s="74"/>
    </row>
    <row r="275" spans="2:43" s="123" customFormat="1">
      <c r="B275" s="125"/>
      <c r="D275" s="125"/>
      <c r="AA275" s="74"/>
      <c r="AE275" s="124"/>
      <c r="AI275" s="74"/>
      <c r="AM275" s="74"/>
      <c r="AQ275" s="74"/>
    </row>
    <row r="276" spans="2:43" s="123" customFormat="1">
      <c r="B276" s="125"/>
      <c r="D276" s="125"/>
      <c r="AA276" s="74"/>
      <c r="AE276" s="124"/>
      <c r="AI276" s="74"/>
      <c r="AM276" s="74"/>
      <c r="AQ276" s="74"/>
    </row>
    <row r="277" spans="2:43" s="123" customFormat="1">
      <c r="B277" s="125"/>
      <c r="D277" s="125"/>
      <c r="AA277" s="74"/>
      <c r="AE277" s="124"/>
      <c r="AI277" s="74"/>
      <c r="AM277" s="74"/>
      <c r="AQ277" s="74"/>
    </row>
    <row r="278" spans="2:43" s="123" customFormat="1">
      <c r="B278" s="125"/>
      <c r="D278" s="125"/>
      <c r="AA278" s="74"/>
      <c r="AE278" s="124"/>
      <c r="AI278" s="74"/>
      <c r="AM278" s="74"/>
      <c r="AQ278" s="74"/>
    </row>
    <row r="279" spans="2:43" s="123" customFormat="1">
      <c r="B279" s="125"/>
      <c r="D279" s="125"/>
      <c r="AA279" s="74"/>
      <c r="AE279" s="124"/>
      <c r="AI279" s="74"/>
      <c r="AM279" s="74"/>
      <c r="AQ279" s="74"/>
    </row>
    <row r="280" spans="2:43" s="123" customFormat="1">
      <c r="B280" s="125"/>
      <c r="D280" s="125"/>
      <c r="AA280" s="74"/>
      <c r="AE280" s="124"/>
      <c r="AI280" s="74"/>
      <c r="AM280" s="74"/>
      <c r="AQ280" s="74"/>
    </row>
    <row r="281" spans="2:43" s="123" customFormat="1">
      <c r="B281" s="125"/>
      <c r="D281" s="125"/>
      <c r="AA281" s="74"/>
      <c r="AE281" s="124"/>
      <c r="AI281" s="74"/>
      <c r="AM281" s="74"/>
      <c r="AQ281" s="74"/>
    </row>
    <row r="282" spans="2:43" s="123" customFormat="1">
      <c r="B282" s="125"/>
      <c r="D282" s="125"/>
      <c r="AA282" s="74"/>
      <c r="AE282" s="124"/>
      <c r="AI282" s="74"/>
      <c r="AM282" s="74"/>
      <c r="AQ282" s="74"/>
    </row>
    <row r="283" spans="2:43" s="123" customFormat="1">
      <c r="B283" s="125"/>
      <c r="D283" s="125"/>
      <c r="AA283" s="74"/>
      <c r="AE283" s="124"/>
      <c r="AI283" s="74"/>
      <c r="AM283" s="74"/>
      <c r="AQ283" s="74"/>
    </row>
    <row r="284" spans="2:43" s="123" customFormat="1">
      <c r="B284" s="125"/>
      <c r="D284" s="125"/>
      <c r="AA284" s="74"/>
      <c r="AE284" s="124"/>
      <c r="AI284" s="74"/>
      <c r="AM284" s="74"/>
      <c r="AQ284" s="74"/>
    </row>
    <row r="285" spans="2:43" s="123" customFormat="1">
      <c r="B285" s="125"/>
      <c r="D285" s="125"/>
      <c r="AA285" s="74"/>
      <c r="AE285" s="124"/>
      <c r="AI285" s="74"/>
      <c r="AM285" s="74"/>
      <c r="AQ285" s="74"/>
    </row>
    <row r="286" spans="2:43" s="123" customFormat="1">
      <c r="B286" s="125"/>
      <c r="D286" s="125"/>
      <c r="AA286" s="74"/>
      <c r="AE286" s="124"/>
      <c r="AI286" s="74"/>
      <c r="AM286" s="74"/>
      <c r="AQ286" s="74"/>
    </row>
    <row r="287" spans="2:43" s="123" customFormat="1">
      <c r="B287" s="125"/>
      <c r="D287" s="125"/>
      <c r="AA287" s="74"/>
      <c r="AE287" s="124"/>
      <c r="AI287" s="74"/>
      <c r="AM287" s="74"/>
      <c r="AQ287" s="74"/>
    </row>
    <row r="288" spans="2:43" s="123" customFormat="1">
      <c r="B288" s="125"/>
      <c r="D288" s="125"/>
      <c r="AA288" s="74"/>
      <c r="AE288" s="124"/>
      <c r="AI288" s="74"/>
      <c r="AM288" s="74"/>
      <c r="AQ288" s="74"/>
    </row>
    <row r="289" spans="2:43" s="123" customFormat="1">
      <c r="B289" s="125"/>
      <c r="D289" s="125"/>
      <c r="AA289" s="74"/>
      <c r="AE289" s="124"/>
      <c r="AI289" s="74"/>
      <c r="AM289" s="74"/>
      <c r="AQ289" s="74"/>
    </row>
    <row r="290" spans="2:43" s="123" customFormat="1">
      <c r="B290" s="125"/>
      <c r="D290" s="125"/>
      <c r="AA290" s="74"/>
      <c r="AE290" s="124"/>
      <c r="AI290" s="74"/>
      <c r="AM290" s="74"/>
      <c r="AQ290" s="74"/>
    </row>
    <row r="291" spans="2:43" s="123" customFormat="1">
      <c r="B291" s="125"/>
      <c r="D291" s="125"/>
      <c r="AA291" s="74"/>
      <c r="AE291" s="124"/>
      <c r="AI291" s="74"/>
      <c r="AM291" s="74"/>
      <c r="AQ291" s="74"/>
    </row>
    <row r="292" spans="2:43" s="123" customFormat="1">
      <c r="B292" s="125"/>
      <c r="D292" s="125"/>
      <c r="AA292" s="74"/>
      <c r="AE292" s="124"/>
      <c r="AI292" s="74"/>
      <c r="AM292" s="74"/>
      <c r="AQ292" s="74"/>
    </row>
    <row r="293" spans="2:43" s="123" customFormat="1">
      <c r="B293" s="125"/>
      <c r="D293" s="125"/>
      <c r="AA293" s="74"/>
      <c r="AE293" s="124"/>
      <c r="AI293" s="74"/>
      <c r="AM293" s="74"/>
      <c r="AQ293" s="74"/>
    </row>
    <row r="294" spans="2:43" s="123" customFormat="1">
      <c r="B294" s="125"/>
      <c r="D294" s="125"/>
      <c r="AA294" s="74"/>
      <c r="AE294" s="124"/>
      <c r="AI294" s="74"/>
      <c r="AM294" s="74"/>
      <c r="AQ294" s="74"/>
    </row>
    <row r="295" spans="2:43" s="123" customFormat="1">
      <c r="B295" s="125"/>
      <c r="D295" s="125"/>
      <c r="AA295" s="74"/>
      <c r="AE295" s="124"/>
      <c r="AI295" s="74"/>
      <c r="AM295" s="74"/>
      <c r="AQ295" s="74"/>
    </row>
    <row r="296" spans="2:43" s="123" customFormat="1">
      <c r="B296" s="125"/>
      <c r="D296" s="125"/>
      <c r="AA296" s="74"/>
      <c r="AE296" s="124"/>
      <c r="AI296" s="74"/>
      <c r="AM296" s="74"/>
      <c r="AQ296" s="74"/>
    </row>
    <row r="297" spans="2:43" s="123" customFormat="1">
      <c r="B297" s="125"/>
      <c r="D297" s="125"/>
      <c r="AA297" s="74"/>
      <c r="AE297" s="124"/>
      <c r="AI297" s="74"/>
      <c r="AM297" s="74"/>
      <c r="AQ297" s="74"/>
    </row>
    <row r="298" spans="2:43" s="123" customFormat="1">
      <c r="B298" s="125"/>
      <c r="D298" s="125"/>
      <c r="AA298" s="74"/>
      <c r="AE298" s="124"/>
      <c r="AI298" s="74"/>
      <c r="AM298" s="74"/>
      <c r="AQ298" s="74"/>
    </row>
    <row r="299" spans="2:43" s="123" customFormat="1">
      <c r="B299" s="125"/>
      <c r="D299" s="125"/>
      <c r="AA299" s="74"/>
      <c r="AE299" s="124"/>
      <c r="AI299" s="74"/>
      <c r="AM299" s="74"/>
      <c r="AQ299" s="74"/>
    </row>
    <row r="300" spans="2:43" s="123" customFormat="1">
      <c r="B300" s="125"/>
      <c r="D300" s="125"/>
      <c r="AA300" s="74"/>
      <c r="AE300" s="124"/>
      <c r="AI300" s="74"/>
      <c r="AM300" s="74"/>
      <c r="AQ300" s="74"/>
    </row>
    <row r="301" spans="2:43" s="123" customFormat="1">
      <c r="B301" s="125"/>
      <c r="D301" s="125"/>
      <c r="AA301" s="74"/>
      <c r="AE301" s="124"/>
      <c r="AI301" s="74"/>
      <c r="AM301" s="74"/>
      <c r="AQ301" s="74"/>
    </row>
    <row r="302" spans="2:43" s="123" customFormat="1">
      <c r="B302" s="125"/>
      <c r="D302" s="125"/>
      <c r="AA302" s="74"/>
      <c r="AE302" s="124"/>
      <c r="AI302" s="74"/>
      <c r="AM302" s="74"/>
      <c r="AQ302" s="74"/>
    </row>
    <row r="303" spans="2:43" s="123" customFormat="1">
      <c r="B303" s="125"/>
      <c r="D303" s="125"/>
      <c r="AA303" s="74"/>
      <c r="AE303" s="124"/>
      <c r="AI303" s="74"/>
      <c r="AM303" s="74"/>
      <c r="AQ303" s="74"/>
    </row>
    <row r="304" spans="2:43" s="123" customFormat="1">
      <c r="B304" s="125"/>
      <c r="D304" s="125"/>
      <c r="AA304" s="74"/>
      <c r="AE304" s="124"/>
      <c r="AI304" s="74"/>
      <c r="AM304" s="74"/>
      <c r="AQ304" s="74"/>
    </row>
    <row r="305" spans="2:43" s="123" customFormat="1">
      <c r="B305" s="125"/>
      <c r="D305" s="125"/>
      <c r="AA305" s="74"/>
      <c r="AE305" s="124"/>
      <c r="AI305" s="74"/>
      <c r="AM305" s="74"/>
      <c r="AQ305" s="74"/>
    </row>
    <row r="306" spans="2:43" s="123" customFormat="1">
      <c r="B306" s="125"/>
      <c r="D306" s="125"/>
      <c r="AA306" s="74"/>
      <c r="AE306" s="124"/>
      <c r="AI306" s="74"/>
      <c r="AM306" s="74"/>
      <c r="AQ306" s="74"/>
    </row>
    <row r="307" spans="2:43" s="123" customFormat="1">
      <c r="B307" s="125"/>
      <c r="D307" s="125"/>
      <c r="AA307" s="74"/>
      <c r="AE307" s="124"/>
      <c r="AI307" s="74"/>
      <c r="AM307" s="74"/>
      <c r="AQ307" s="74"/>
    </row>
    <row r="308" spans="2:43" s="123" customFormat="1">
      <c r="B308" s="125"/>
      <c r="D308" s="125"/>
      <c r="AA308" s="74"/>
      <c r="AE308" s="124"/>
      <c r="AI308" s="74"/>
      <c r="AM308" s="74"/>
      <c r="AQ308" s="74"/>
    </row>
    <row r="309" spans="2:43" s="123" customFormat="1">
      <c r="B309" s="125"/>
      <c r="D309" s="125"/>
      <c r="AA309" s="74"/>
      <c r="AE309" s="124"/>
      <c r="AI309" s="74"/>
      <c r="AM309" s="74"/>
      <c r="AQ309" s="74"/>
    </row>
    <row r="310" spans="2:43" s="123" customFormat="1">
      <c r="B310" s="125"/>
      <c r="D310" s="125"/>
      <c r="AA310" s="74"/>
      <c r="AE310" s="124"/>
      <c r="AI310" s="74"/>
      <c r="AM310" s="74"/>
      <c r="AQ310" s="74"/>
    </row>
    <row r="311" spans="2:43" s="123" customFormat="1">
      <c r="B311" s="125"/>
      <c r="D311" s="125"/>
      <c r="AA311" s="74"/>
      <c r="AE311" s="124"/>
      <c r="AI311" s="74"/>
      <c r="AM311" s="74"/>
      <c r="AQ311" s="74"/>
    </row>
    <row r="312" spans="2:43" s="123" customFormat="1">
      <c r="B312" s="125"/>
      <c r="D312" s="125"/>
      <c r="AA312" s="74"/>
      <c r="AE312" s="124"/>
      <c r="AI312" s="74"/>
      <c r="AM312" s="74"/>
      <c r="AQ312" s="74"/>
    </row>
    <row r="313" spans="2:43" s="123" customFormat="1">
      <c r="B313" s="125"/>
      <c r="D313" s="125"/>
      <c r="AA313" s="74"/>
      <c r="AE313" s="124"/>
      <c r="AI313" s="74"/>
      <c r="AM313" s="74"/>
      <c r="AQ313" s="74"/>
    </row>
    <row r="314" spans="2:43" s="123" customFormat="1">
      <c r="B314" s="125"/>
      <c r="D314" s="125"/>
      <c r="AA314" s="74"/>
      <c r="AE314" s="124"/>
      <c r="AI314" s="74"/>
      <c r="AM314" s="74"/>
      <c r="AQ314" s="74"/>
    </row>
    <row r="315" spans="2:43" s="123" customFormat="1">
      <c r="B315" s="125"/>
      <c r="D315" s="125"/>
      <c r="AA315" s="74"/>
      <c r="AE315" s="124"/>
      <c r="AI315" s="74"/>
      <c r="AM315" s="74"/>
      <c r="AQ315" s="74"/>
    </row>
    <row r="316" spans="2:43" s="123" customFormat="1">
      <c r="B316" s="125"/>
      <c r="D316" s="125"/>
      <c r="AA316" s="74"/>
      <c r="AE316" s="124"/>
      <c r="AI316" s="74"/>
      <c r="AM316" s="74"/>
      <c r="AQ316" s="74"/>
    </row>
    <row r="317" spans="2:43" s="123" customFormat="1">
      <c r="B317" s="125"/>
      <c r="D317" s="125"/>
      <c r="AA317" s="74"/>
      <c r="AE317" s="124"/>
      <c r="AI317" s="74"/>
      <c r="AM317" s="74"/>
      <c r="AQ317" s="74"/>
    </row>
    <row r="318" spans="2:43" s="123" customFormat="1">
      <c r="B318" s="125"/>
      <c r="D318" s="125"/>
      <c r="AA318" s="74"/>
      <c r="AE318" s="124"/>
      <c r="AI318" s="74"/>
      <c r="AM318" s="74"/>
      <c r="AQ318" s="74"/>
    </row>
    <row r="319" spans="2:43" s="123" customFormat="1">
      <c r="B319" s="125"/>
      <c r="D319" s="125"/>
      <c r="AA319" s="74"/>
      <c r="AE319" s="124"/>
      <c r="AI319" s="74"/>
      <c r="AM319" s="74"/>
      <c r="AQ319" s="74"/>
    </row>
    <row r="320" spans="2:43" s="123" customFormat="1">
      <c r="B320" s="125"/>
      <c r="D320" s="125"/>
      <c r="AA320" s="74"/>
      <c r="AE320" s="124"/>
      <c r="AI320" s="74"/>
      <c r="AM320" s="74"/>
      <c r="AQ320" s="74"/>
    </row>
    <row r="321" spans="2:43" s="123" customFormat="1">
      <c r="B321" s="125"/>
      <c r="D321" s="125"/>
      <c r="AA321" s="74"/>
      <c r="AE321" s="124"/>
      <c r="AI321" s="74"/>
      <c r="AM321" s="74"/>
      <c r="AQ321" s="74"/>
    </row>
    <row r="322" spans="2:43" s="123" customFormat="1">
      <c r="B322" s="125"/>
      <c r="D322" s="125"/>
      <c r="AA322" s="74"/>
      <c r="AE322" s="124"/>
      <c r="AI322" s="74"/>
      <c r="AM322" s="74"/>
      <c r="AQ322" s="74"/>
    </row>
    <row r="323" spans="2:43" s="123" customFormat="1">
      <c r="B323" s="125"/>
      <c r="D323" s="125"/>
      <c r="AA323" s="74"/>
      <c r="AE323" s="124"/>
      <c r="AI323" s="74"/>
      <c r="AM323" s="74"/>
      <c r="AQ323" s="74"/>
    </row>
    <row r="324" spans="2:43" s="123" customFormat="1">
      <c r="B324" s="125"/>
      <c r="D324" s="125"/>
      <c r="AA324" s="74"/>
      <c r="AE324" s="124"/>
      <c r="AI324" s="74"/>
      <c r="AM324" s="74"/>
      <c r="AQ324" s="74"/>
    </row>
    <row r="325" spans="2:43" s="123" customFormat="1">
      <c r="B325" s="125"/>
      <c r="D325" s="125"/>
      <c r="AA325" s="74"/>
      <c r="AE325" s="124"/>
      <c r="AI325" s="74"/>
      <c r="AM325" s="74"/>
      <c r="AQ325" s="74"/>
    </row>
    <row r="326" spans="2:43" s="123" customFormat="1">
      <c r="B326" s="125"/>
      <c r="D326" s="125"/>
      <c r="AA326" s="74"/>
      <c r="AE326" s="124"/>
      <c r="AI326" s="74"/>
      <c r="AM326" s="74"/>
      <c r="AQ326" s="74"/>
    </row>
    <row r="327" spans="2:43" s="123" customFormat="1">
      <c r="B327" s="125"/>
      <c r="D327" s="125"/>
      <c r="AA327" s="74"/>
      <c r="AE327" s="124"/>
      <c r="AI327" s="74"/>
      <c r="AM327" s="74"/>
      <c r="AQ327" s="74"/>
    </row>
    <row r="328" spans="2:43" s="123" customFormat="1">
      <c r="B328" s="125"/>
      <c r="D328" s="125"/>
      <c r="AA328" s="74"/>
      <c r="AE328" s="124"/>
      <c r="AI328" s="74"/>
      <c r="AM328" s="74"/>
      <c r="AQ328" s="74"/>
    </row>
    <row r="329" spans="2:43" s="123" customFormat="1">
      <c r="B329" s="125"/>
      <c r="D329" s="125"/>
      <c r="AA329" s="74"/>
      <c r="AE329" s="124"/>
      <c r="AI329" s="74"/>
      <c r="AM329" s="74"/>
      <c r="AQ329" s="74"/>
    </row>
    <row r="330" spans="2:43" s="123" customFormat="1">
      <c r="B330" s="125"/>
      <c r="D330" s="125"/>
      <c r="AA330" s="74"/>
      <c r="AE330" s="124"/>
      <c r="AI330" s="74"/>
      <c r="AM330" s="74"/>
      <c r="AQ330" s="74"/>
    </row>
    <row r="331" spans="2:43" s="123" customFormat="1">
      <c r="B331" s="125"/>
      <c r="D331" s="125"/>
      <c r="AA331" s="74"/>
      <c r="AE331" s="124"/>
      <c r="AI331" s="74"/>
      <c r="AM331" s="74"/>
      <c r="AQ331" s="74"/>
    </row>
    <row r="332" spans="2:43" s="123" customFormat="1">
      <c r="B332" s="125"/>
      <c r="D332" s="125"/>
      <c r="AA332" s="74"/>
      <c r="AE332" s="124"/>
      <c r="AI332" s="74"/>
      <c r="AM332" s="74"/>
      <c r="AQ332" s="74"/>
    </row>
    <row r="333" spans="2:43" s="123" customFormat="1">
      <c r="B333" s="125"/>
      <c r="D333" s="125"/>
      <c r="AA333" s="74"/>
      <c r="AE333" s="124"/>
      <c r="AI333" s="74"/>
      <c r="AM333" s="74"/>
      <c r="AQ333" s="74"/>
    </row>
    <row r="334" spans="2:43" s="123" customFormat="1">
      <c r="B334" s="125"/>
      <c r="D334" s="125"/>
      <c r="AA334" s="74"/>
      <c r="AE334" s="124"/>
      <c r="AI334" s="74"/>
      <c r="AM334" s="74"/>
      <c r="AQ334" s="74"/>
    </row>
    <row r="335" spans="2:43" s="123" customFormat="1">
      <c r="B335" s="125"/>
      <c r="D335" s="125"/>
      <c r="AA335" s="74"/>
      <c r="AE335" s="124"/>
      <c r="AI335" s="74"/>
      <c r="AM335" s="74"/>
      <c r="AQ335" s="74"/>
    </row>
    <row r="336" spans="2:43" s="123" customFormat="1">
      <c r="B336" s="125"/>
      <c r="D336" s="125"/>
      <c r="AA336" s="74"/>
      <c r="AE336" s="124"/>
      <c r="AI336" s="74"/>
      <c r="AM336" s="74"/>
      <c r="AQ336" s="74"/>
    </row>
    <row r="337" spans="2:43" s="123" customFormat="1">
      <c r="B337" s="125"/>
      <c r="D337" s="125"/>
      <c r="AA337" s="74"/>
      <c r="AE337" s="124"/>
      <c r="AI337" s="74"/>
      <c r="AM337" s="74"/>
      <c r="AQ337" s="74"/>
    </row>
    <row r="338" spans="2:43" s="123" customFormat="1">
      <c r="B338" s="125"/>
      <c r="D338" s="125"/>
      <c r="AA338" s="74"/>
      <c r="AE338" s="124"/>
      <c r="AI338" s="74"/>
      <c r="AM338" s="74"/>
      <c r="AQ338" s="74"/>
    </row>
    <row r="339" spans="2:43" s="123" customFormat="1">
      <c r="B339" s="125"/>
      <c r="D339" s="125"/>
      <c r="AA339" s="74"/>
      <c r="AE339" s="124"/>
      <c r="AI339" s="74"/>
      <c r="AM339" s="74"/>
      <c r="AQ339" s="74"/>
    </row>
    <row r="340" spans="2:43" s="123" customFormat="1">
      <c r="B340" s="125"/>
      <c r="D340" s="125"/>
      <c r="AA340" s="74"/>
      <c r="AE340" s="124"/>
      <c r="AI340" s="74"/>
      <c r="AM340" s="74"/>
      <c r="AQ340" s="74"/>
    </row>
    <row r="341" spans="2:43" s="123" customFormat="1">
      <c r="B341" s="125"/>
      <c r="D341" s="125"/>
      <c r="AA341" s="74"/>
      <c r="AE341" s="124"/>
      <c r="AI341" s="74"/>
      <c r="AM341" s="74"/>
      <c r="AQ341" s="74"/>
    </row>
    <row r="342" spans="2:43" s="123" customFormat="1">
      <c r="B342" s="125"/>
      <c r="D342" s="125"/>
      <c r="AA342" s="74"/>
      <c r="AE342" s="124"/>
      <c r="AI342" s="74"/>
      <c r="AM342" s="74"/>
      <c r="AQ342" s="74"/>
    </row>
    <row r="343" spans="2:43" s="123" customFormat="1">
      <c r="B343" s="125"/>
      <c r="D343" s="125"/>
      <c r="AA343" s="74"/>
      <c r="AE343" s="124"/>
      <c r="AI343" s="74"/>
      <c r="AM343" s="74"/>
      <c r="AQ343" s="74"/>
    </row>
    <row r="344" spans="2:43" s="123" customFormat="1">
      <c r="B344" s="125"/>
      <c r="D344" s="125"/>
      <c r="AA344" s="74"/>
      <c r="AE344" s="124"/>
      <c r="AI344" s="74"/>
      <c r="AM344" s="74"/>
      <c r="AQ344" s="74"/>
    </row>
    <row r="345" spans="2:43" s="123" customFormat="1">
      <c r="B345" s="125"/>
      <c r="D345" s="125"/>
      <c r="AA345" s="74"/>
      <c r="AE345" s="124"/>
      <c r="AI345" s="74"/>
      <c r="AM345" s="74"/>
      <c r="AQ345" s="74"/>
    </row>
    <row r="346" spans="2:43" s="123" customFormat="1">
      <c r="B346" s="125"/>
      <c r="D346" s="125"/>
      <c r="AA346" s="74"/>
      <c r="AE346" s="124"/>
      <c r="AI346" s="74"/>
      <c r="AM346" s="74"/>
      <c r="AQ346" s="74"/>
    </row>
    <row r="347" spans="2:43" s="123" customFormat="1">
      <c r="B347" s="125"/>
      <c r="D347" s="125"/>
      <c r="AA347" s="74"/>
      <c r="AE347" s="124"/>
      <c r="AI347" s="74"/>
      <c r="AM347" s="74"/>
      <c r="AQ347" s="74"/>
    </row>
    <row r="348" spans="2:43" s="123" customFormat="1">
      <c r="B348" s="125"/>
      <c r="D348" s="125"/>
      <c r="AA348" s="74"/>
      <c r="AE348" s="124"/>
      <c r="AI348" s="74"/>
      <c r="AM348" s="74"/>
      <c r="AQ348" s="74"/>
    </row>
    <row r="349" spans="2:43" s="123" customFormat="1">
      <c r="B349" s="125"/>
      <c r="D349" s="125"/>
      <c r="AA349" s="74"/>
      <c r="AE349" s="124"/>
      <c r="AI349" s="74"/>
      <c r="AM349" s="74"/>
      <c r="AQ349" s="74"/>
    </row>
    <row r="350" spans="2:43" s="123" customFormat="1">
      <c r="B350" s="125"/>
      <c r="D350" s="125"/>
      <c r="AA350" s="74"/>
      <c r="AE350" s="124"/>
      <c r="AI350" s="74"/>
      <c r="AM350" s="74"/>
      <c r="AQ350" s="74"/>
    </row>
    <row r="351" spans="2:43" s="123" customFormat="1">
      <c r="B351" s="125"/>
      <c r="D351" s="125"/>
      <c r="AA351" s="74"/>
      <c r="AE351" s="124"/>
      <c r="AI351" s="74"/>
      <c r="AM351" s="74"/>
      <c r="AQ351" s="74"/>
    </row>
    <row r="352" spans="2:43" s="123" customFormat="1">
      <c r="B352" s="125"/>
      <c r="D352" s="125"/>
      <c r="AA352" s="74"/>
      <c r="AE352" s="124"/>
      <c r="AI352" s="74"/>
      <c r="AM352" s="74"/>
      <c r="AQ352" s="74"/>
    </row>
    <row r="353" spans="2:43" s="123" customFormat="1">
      <c r="B353" s="125"/>
      <c r="D353" s="125"/>
      <c r="AA353" s="74"/>
      <c r="AE353" s="124"/>
      <c r="AI353" s="74"/>
      <c r="AM353" s="74"/>
      <c r="AQ353" s="74"/>
    </row>
    <row r="354" spans="2:43" s="123" customFormat="1">
      <c r="B354" s="125"/>
      <c r="D354" s="125"/>
      <c r="AA354" s="74"/>
      <c r="AE354" s="124"/>
      <c r="AI354" s="74"/>
      <c r="AM354" s="74"/>
      <c r="AQ354" s="74"/>
    </row>
    <row r="355" spans="2:43" s="123" customFormat="1">
      <c r="B355" s="125"/>
      <c r="D355" s="125"/>
      <c r="AA355" s="74"/>
      <c r="AE355" s="124"/>
      <c r="AI355" s="74"/>
      <c r="AM355" s="74"/>
      <c r="AQ355" s="74"/>
    </row>
    <row r="356" spans="2:43" s="123" customFormat="1">
      <c r="B356" s="125"/>
      <c r="D356" s="125"/>
      <c r="AA356" s="74"/>
      <c r="AE356" s="124"/>
      <c r="AI356" s="74"/>
      <c r="AM356" s="74"/>
      <c r="AQ356" s="74"/>
    </row>
    <row r="357" spans="2:43" s="123" customFormat="1">
      <c r="B357" s="125"/>
      <c r="D357" s="125"/>
      <c r="AA357" s="74"/>
      <c r="AE357" s="124"/>
      <c r="AI357" s="74"/>
      <c r="AM357" s="74"/>
      <c r="AQ357" s="74"/>
    </row>
    <row r="358" spans="2:43" s="123" customFormat="1">
      <c r="B358" s="125"/>
      <c r="D358" s="125"/>
      <c r="AA358" s="74"/>
      <c r="AE358" s="124"/>
      <c r="AI358" s="74"/>
      <c r="AM358" s="74"/>
      <c r="AQ358" s="74"/>
    </row>
    <row r="359" spans="2:43" s="123" customFormat="1">
      <c r="B359" s="125"/>
      <c r="D359" s="125"/>
      <c r="AA359" s="74"/>
      <c r="AE359" s="124"/>
      <c r="AI359" s="74"/>
      <c r="AM359" s="74"/>
      <c r="AQ359" s="74"/>
    </row>
    <row r="360" spans="2:43" s="123" customFormat="1">
      <c r="B360" s="125"/>
      <c r="D360" s="125"/>
      <c r="AA360" s="74"/>
      <c r="AE360" s="124"/>
      <c r="AI360" s="74"/>
      <c r="AM360" s="74"/>
      <c r="AQ360" s="74"/>
    </row>
    <row r="361" spans="2:43" s="123" customFormat="1">
      <c r="B361" s="125"/>
      <c r="D361" s="125"/>
      <c r="AA361" s="74"/>
      <c r="AE361" s="124"/>
      <c r="AI361" s="74"/>
      <c r="AM361" s="74"/>
      <c r="AQ361" s="74"/>
    </row>
    <row r="362" spans="2:43" s="123" customFormat="1">
      <c r="B362" s="125"/>
      <c r="D362" s="125"/>
      <c r="AA362" s="74"/>
      <c r="AE362" s="124"/>
      <c r="AI362" s="74"/>
      <c r="AM362" s="74"/>
      <c r="AQ362" s="74"/>
    </row>
    <row r="363" spans="2:43" s="123" customFormat="1">
      <c r="B363" s="125"/>
      <c r="D363" s="125"/>
      <c r="AA363" s="74"/>
      <c r="AE363" s="124"/>
      <c r="AI363" s="74"/>
      <c r="AM363" s="74"/>
      <c r="AQ363" s="74"/>
    </row>
    <row r="364" spans="2:43" s="123" customFormat="1">
      <c r="B364" s="125"/>
      <c r="D364" s="125"/>
      <c r="AA364" s="74"/>
      <c r="AE364" s="124"/>
      <c r="AI364" s="74"/>
      <c r="AM364" s="74"/>
      <c r="AQ364" s="74"/>
    </row>
    <row r="365" spans="2:43" s="123" customFormat="1">
      <c r="B365" s="125"/>
      <c r="D365" s="125"/>
      <c r="AA365" s="74"/>
      <c r="AE365" s="124"/>
      <c r="AI365" s="74"/>
      <c r="AM365" s="74"/>
      <c r="AQ365" s="74"/>
    </row>
    <row r="366" spans="2:43" s="123" customFormat="1">
      <c r="B366" s="125"/>
      <c r="D366" s="125"/>
      <c r="AA366" s="74"/>
      <c r="AE366" s="124"/>
      <c r="AI366" s="74"/>
      <c r="AM366" s="74"/>
      <c r="AQ366" s="74"/>
    </row>
    <row r="367" spans="2:43" s="123" customFormat="1">
      <c r="B367" s="125"/>
      <c r="D367" s="125"/>
      <c r="AA367" s="74"/>
      <c r="AE367" s="124"/>
      <c r="AI367" s="74"/>
      <c r="AM367" s="74"/>
      <c r="AQ367" s="74"/>
    </row>
    <row r="368" spans="2:43" s="123" customFormat="1">
      <c r="B368" s="125"/>
      <c r="D368" s="125"/>
      <c r="AA368" s="74"/>
      <c r="AE368" s="124"/>
      <c r="AI368" s="74"/>
      <c r="AM368" s="74"/>
      <c r="AQ368" s="74"/>
    </row>
    <row r="369" spans="2:43" s="123" customFormat="1">
      <c r="B369" s="125"/>
      <c r="D369" s="125"/>
      <c r="AA369" s="74"/>
      <c r="AE369" s="124"/>
      <c r="AI369" s="74"/>
      <c r="AM369" s="74"/>
      <c r="AQ369" s="74"/>
    </row>
    <row r="370" spans="2:43" s="123" customFormat="1">
      <c r="B370" s="125"/>
      <c r="D370" s="125"/>
      <c r="AA370" s="74"/>
      <c r="AE370" s="124"/>
      <c r="AI370" s="74"/>
      <c r="AM370" s="74"/>
      <c r="AQ370" s="74"/>
    </row>
    <row r="371" spans="2:43" s="123" customFormat="1">
      <c r="B371" s="125"/>
      <c r="D371" s="125"/>
      <c r="AA371" s="74"/>
      <c r="AE371" s="124"/>
      <c r="AI371" s="74"/>
      <c r="AM371" s="74"/>
      <c r="AQ371" s="74"/>
    </row>
    <row r="372" spans="2:43" s="123" customFormat="1">
      <c r="B372" s="125"/>
      <c r="D372" s="125"/>
      <c r="AA372" s="74"/>
      <c r="AE372" s="124"/>
      <c r="AI372" s="74"/>
      <c r="AM372" s="74"/>
      <c r="AQ372" s="74"/>
    </row>
    <row r="373" spans="2:43" s="123" customFormat="1">
      <c r="B373" s="125"/>
      <c r="D373" s="125"/>
      <c r="AA373" s="74"/>
      <c r="AE373" s="124"/>
      <c r="AI373" s="74"/>
      <c r="AM373" s="74"/>
      <c r="AQ373" s="74"/>
    </row>
    <row r="374" spans="2:43" s="123" customFormat="1">
      <c r="B374" s="125"/>
      <c r="D374" s="125"/>
      <c r="AA374" s="74"/>
      <c r="AE374" s="124"/>
      <c r="AI374" s="74"/>
      <c r="AM374" s="74"/>
      <c r="AQ374" s="74"/>
    </row>
    <row r="375" spans="2:43" s="123" customFormat="1">
      <c r="B375" s="125"/>
      <c r="D375" s="125"/>
      <c r="AA375" s="74"/>
      <c r="AE375" s="124"/>
      <c r="AI375" s="74"/>
      <c r="AM375" s="74"/>
      <c r="AQ375" s="74"/>
    </row>
  </sheetData>
  <mergeCells count="16">
    <mergeCell ref="B8:AC8"/>
    <mergeCell ref="B1:AC2"/>
    <mergeCell ref="B3:AC4"/>
    <mergeCell ref="B5:AC5"/>
    <mergeCell ref="B6:AC6"/>
    <mergeCell ref="B7:AC7"/>
    <mergeCell ref="AT14:AU14"/>
    <mergeCell ref="B156:I156"/>
    <mergeCell ref="B157:E157"/>
    <mergeCell ref="B158:AC158"/>
    <mergeCell ref="B9:AC10"/>
    <mergeCell ref="Z14:AC14"/>
    <mergeCell ref="AD14:AG14"/>
    <mergeCell ref="AH14:AK14"/>
    <mergeCell ref="AL14:AO14"/>
    <mergeCell ref="AP14:AS14"/>
  </mergeCells>
  <conditionalFormatting sqref="D16:D37">
    <cfRule type="duplicateValues" dxfId="30" priority="1"/>
  </conditionalFormatting>
  <conditionalFormatting sqref="D16:D37">
    <cfRule type="duplicateValues" dxfId="29" priority="2"/>
  </conditionalFormatting>
  <conditionalFormatting sqref="D155">
    <cfRule type="duplicateValues" dxfId="28" priority="3"/>
  </conditionalFormatting>
  <conditionalFormatting sqref="D38:D154">
    <cfRule type="duplicateValues" dxfId="27" priority="4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159"/>
  <sheetViews>
    <sheetView topLeftCell="U70" zoomScale="95" zoomScaleNormal="95" workbookViewId="0">
      <selection activeCell="AI53" sqref="AI53"/>
    </sheetView>
  </sheetViews>
  <sheetFormatPr baseColWidth="10" defaultRowHeight="15"/>
  <cols>
    <col min="1" max="1" width="3.42578125" style="21" customWidth="1"/>
    <col min="5" max="5" width="39.140625" customWidth="1"/>
    <col min="10" max="10" width="15" customWidth="1"/>
    <col min="11" max="12" width="13.140625" customWidth="1"/>
    <col min="15" max="15" width="12.5703125" customWidth="1"/>
    <col min="18" max="18" width="12.140625" customWidth="1"/>
    <col min="19" max="19" width="12.7109375" customWidth="1"/>
    <col min="20" max="20" width="12.5703125" customWidth="1"/>
    <col min="21" max="21" width="13" customWidth="1"/>
    <col min="23" max="23" width="12.7109375" bestFit="1" customWidth="1"/>
    <col min="25" max="25" width="13.140625" customWidth="1"/>
    <col min="26" max="26" width="14.140625" customWidth="1"/>
    <col min="28" max="28" width="13.140625" customWidth="1"/>
    <col min="29" max="29" width="13.140625" bestFit="1" customWidth="1"/>
    <col min="30" max="30" width="15" customWidth="1"/>
    <col min="34" max="34" width="13.28515625" customWidth="1"/>
    <col min="38" max="38" width="14.28515625" customWidth="1"/>
    <col min="46" max="46" width="12.28515625" customWidth="1"/>
    <col min="50" max="50" width="15.42578125" customWidth="1"/>
    <col min="51" max="51" width="16" customWidth="1"/>
    <col min="52" max="95" width="11.42578125" style="21"/>
  </cols>
  <sheetData>
    <row r="1" spans="1:51" s="21" customFormat="1"/>
    <row r="2" spans="1:51" s="21" customFormat="1"/>
    <row r="3" spans="1:51" s="21" customFormat="1"/>
    <row r="4" spans="1:51" s="21" customFormat="1" ht="15" customHeight="1"/>
    <row r="5" spans="1:51" s="21" customFormat="1" ht="15" customHeight="1">
      <c r="B5" s="733" t="s">
        <v>0</v>
      </c>
      <c r="C5" s="733"/>
      <c r="D5" s="733"/>
      <c r="E5" s="733"/>
      <c r="F5" s="733"/>
      <c r="G5" s="733"/>
      <c r="H5" s="733"/>
      <c r="I5" s="733"/>
      <c r="J5" s="733"/>
      <c r="K5" s="734"/>
      <c r="L5" s="734"/>
      <c r="M5" s="734"/>
      <c r="N5" s="733"/>
      <c r="O5" s="733"/>
      <c r="P5" s="733"/>
      <c r="Q5" s="733"/>
      <c r="R5" s="733"/>
      <c r="S5" s="733"/>
      <c r="T5" s="733"/>
      <c r="U5" s="733"/>
      <c r="V5" s="733"/>
      <c r="W5" s="733"/>
      <c r="X5" s="733"/>
      <c r="Y5" s="733"/>
      <c r="Z5" s="733"/>
      <c r="AA5" s="733"/>
      <c r="AB5" s="733"/>
      <c r="AC5" s="735"/>
      <c r="AD5" s="733"/>
    </row>
    <row r="6" spans="1:51" s="21" customFormat="1" ht="15" customHeight="1">
      <c r="B6" s="733"/>
      <c r="C6" s="733"/>
      <c r="D6" s="733"/>
      <c r="E6" s="733"/>
      <c r="F6" s="733"/>
      <c r="G6" s="733"/>
      <c r="H6" s="733"/>
      <c r="I6" s="733"/>
      <c r="J6" s="733"/>
      <c r="K6" s="734"/>
      <c r="L6" s="734"/>
      <c r="M6" s="734"/>
      <c r="N6" s="733"/>
      <c r="O6" s="733"/>
      <c r="P6" s="733"/>
      <c r="Q6" s="733"/>
      <c r="R6" s="733"/>
      <c r="S6" s="733"/>
      <c r="T6" s="733"/>
      <c r="U6" s="733"/>
      <c r="V6" s="733"/>
      <c r="W6" s="733"/>
      <c r="X6" s="733"/>
      <c r="Y6" s="733"/>
      <c r="Z6" s="733"/>
      <c r="AA6" s="733"/>
      <c r="AB6" s="733"/>
      <c r="AC6" s="735"/>
      <c r="AD6" s="733"/>
      <c r="AE6" s="62"/>
      <c r="AF6" s="61"/>
      <c r="AG6" s="61"/>
      <c r="AH6" s="61"/>
      <c r="AI6" s="63"/>
      <c r="AJ6" s="61"/>
      <c r="AK6" s="61"/>
      <c r="AL6" s="61"/>
      <c r="AM6" s="63"/>
      <c r="AN6" s="61"/>
      <c r="AO6" s="61"/>
      <c r="AP6" s="61"/>
      <c r="AQ6" s="63"/>
      <c r="AR6" s="61"/>
      <c r="AS6" s="61"/>
      <c r="AT6" s="61"/>
      <c r="AU6" s="61"/>
      <c r="AV6" s="61"/>
      <c r="AW6" s="61"/>
    </row>
    <row r="7" spans="1:51" s="21" customFormat="1" ht="15" customHeight="1"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51" ht="18.75"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</row>
    <row r="9" spans="1:51" ht="24">
      <c r="B9" s="70" t="s">
        <v>1</v>
      </c>
      <c r="C9" s="70" t="s">
        <v>2</v>
      </c>
      <c r="D9" s="70" t="s">
        <v>3</v>
      </c>
      <c r="E9" s="70" t="s">
        <v>4</v>
      </c>
      <c r="F9" s="7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</row>
    <row r="10" spans="1:51" ht="18.75">
      <c r="B10" s="66">
        <v>30792063</v>
      </c>
      <c r="C10" s="66">
        <v>24500968</v>
      </c>
      <c r="D10" s="66">
        <v>24500968</v>
      </c>
      <c r="E10" s="66">
        <v>4445688.9910000004</v>
      </c>
      <c r="F10" s="67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</row>
    <row r="11" spans="1:51" ht="15" customHeight="1">
      <c r="B11" s="21"/>
      <c r="C11" s="68"/>
      <c r="D11" s="69"/>
      <c r="E11" s="68"/>
      <c r="F11" s="68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742" t="s">
        <v>5</v>
      </c>
      <c r="AA11" s="787"/>
      <c r="AB11" s="787"/>
      <c r="AC11" s="788"/>
      <c r="AD11" s="745" t="s">
        <v>6</v>
      </c>
      <c r="AE11" s="784"/>
      <c r="AF11" s="784"/>
      <c r="AG11" s="785"/>
      <c r="AH11" s="745" t="s">
        <v>6</v>
      </c>
      <c r="AI11" s="784"/>
      <c r="AJ11" s="784"/>
      <c r="AK11" s="785"/>
      <c r="AL11" s="745" t="s">
        <v>6</v>
      </c>
      <c r="AM11" s="784"/>
      <c r="AN11" s="784"/>
      <c r="AO11" s="785"/>
      <c r="AP11" s="745" t="s">
        <v>6</v>
      </c>
      <c r="AQ11" s="784"/>
      <c r="AR11" s="784"/>
      <c r="AS11" s="785"/>
      <c r="AT11" s="745" t="s">
        <v>6</v>
      </c>
      <c r="AU11" s="784"/>
      <c r="AV11" s="784"/>
      <c r="AW11" s="785"/>
      <c r="AX11" s="786" t="s">
        <v>7</v>
      </c>
      <c r="AY11" s="747"/>
    </row>
    <row r="12" spans="1:51" ht="58.5" customHeight="1">
      <c r="B12" s="11" t="s">
        <v>8</v>
      </c>
      <c r="C12" s="11" t="s">
        <v>9</v>
      </c>
      <c r="D12" s="11" t="s">
        <v>10</v>
      </c>
      <c r="E12" s="12" t="s">
        <v>11</v>
      </c>
      <c r="F12" s="12" t="s">
        <v>12</v>
      </c>
      <c r="G12" s="12" t="s">
        <v>13</v>
      </c>
      <c r="H12" s="12" t="s">
        <v>14</v>
      </c>
      <c r="I12" s="12" t="s">
        <v>15</v>
      </c>
      <c r="J12" s="12" t="s">
        <v>16</v>
      </c>
      <c r="K12" s="12" t="s">
        <v>17</v>
      </c>
      <c r="L12" s="12" t="s">
        <v>18</v>
      </c>
      <c r="M12" s="13" t="s">
        <v>19</v>
      </c>
      <c r="N12" s="13" t="s">
        <v>20</v>
      </c>
      <c r="O12" s="13" t="s">
        <v>21</v>
      </c>
      <c r="P12" s="13" t="s">
        <v>22</v>
      </c>
      <c r="Q12" s="13" t="s">
        <v>23</v>
      </c>
      <c r="R12" s="14" t="s">
        <v>24</v>
      </c>
      <c r="S12" s="14" t="s">
        <v>25</v>
      </c>
      <c r="T12" s="14" t="s">
        <v>26</v>
      </c>
      <c r="U12" s="14" t="s">
        <v>27</v>
      </c>
      <c r="V12" s="14" t="s">
        <v>28</v>
      </c>
      <c r="W12" s="14" t="s">
        <v>29</v>
      </c>
      <c r="X12" s="14" t="s">
        <v>30</v>
      </c>
      <c r="Y12" s="15" t="s">
        <v>31</v>
      </c>
      <c r="Z12" s="16" t="s">
        <v>32</v>
      </c>
      <c r="AA12" s="17" t="s">
        <v>33</v>
      </c>
      <c r="AB12" s="16" t="s">
        <v>34</v>
      </c>
      <c r="AC12" s="16" t="s">
        <v>35</v>
      </c>
      <c r="AD12" s="18" t="s">
        <v>36</v>
      </c>
      <c r="AE12" s="19" t="s">
        <v>33</v>
      </c>
      <c r="AF12" s="18" t="s">
        <v>34</v>
      </c>
      <c r="AG12" s="18" t="s">
        <v>35</v>
      </c>
      <c r="AH12" s="18" t="s">
        <v>36</v>
      </c>
      <c r="AI12" s="19" t="s">
        <v>33</v>
      </c>
      <c r="AJ12" s="18" t="s">
        <v>34</v>
      </c>
      <c r="AK12" s="18" t="s">
        <v>35</v>
      </c>
      <c r="AL12" s="18" t="s">
        <v>36</v>
      </c>
      <c r="AM12" s="19" t="s">
        <v>33</v>
      </c>
      <c r="AN12" s="18" t="s">
        <v>34</v>
      </c>
      <c r="AO12" s="18" t="s">
        <v>35</v>
      </c>
      <c r="AP12" s="18" t="s">
        <v>36</v>
      </c>
      <c r="AQ12" s="19" t="s">
        <v>33</v>
      </c>
      <c r="AR12" s="18" t="s">
        <v>34</v>
      </c>
      <c r="AS12" s="18" t="s">
        <v>35</v>
      </c>
      <c r="AT12" s="18" t="s">
        <v>36</v>
      </c>
      <c r="AU12" s="19" t="s">
        <v>33</v>
      </c>
      <c r="AV12" s="18" t="s">
        <v>34</v>
      </c>
      <c r="AW12" s="18" t="s">
        <v>35</v>
      </c>
      <c r="AX12" s="20" t="s">
        <v>37</v>
      </c>
      <c r="AY12" s="20" t="s">
        <v>38</v>
      </c>
    </row>
    <row r="13" spans="1:51" s="21" customFormat="1" ht="24.75" customHeight="1">
      <c r="B13" s="22">
        <v>1</v>
      </c>
      <c r="C13" s="22" t="s">
        <v>39</v>
      </c>
      <c r="D13" s="23">
        <v>30003322</v>
      </c>
      <c r="E13" s="24" t="s">
        <v>40</v>
      </c>
      <c r="F13" s="25" t="s">
        <v>41</v>
      </c>
      <c r="G13" s="26" t="s">
        <v>42</v>
      </c>
      <c r="H13" s="27" t="s">
        <v>43</v>
      </c>
      <c r="I13" s="28" t="s">
        <v>44</v>
      </c>
      <c r="J13" s="29">
        <v>5743398</v>
      </c>
      <c r="K13" s="29">
        <v>2414298</v>
      </c>
      <c r="L13" s="29">
        <v>3329099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/>
      <c r="W13" s="30"/>
      <c r="X13" s="30"/>
      <c r="Y13" s="30">
        <f>SUM(M13:X13)</f>
        <v>0</v>
      </c>
      <c r="Z13" s="31">
        <v>1</v>
      </c>
      <c r="AA13" s="32">
        <v>11</v>
      </c>
      <c r="AB13" s="33">
        <v>44245</v>
      </c>
      <c r="AC13" s="33">
        <v>44258</v>
      </c>
      <c r="AD13" s="34"/>
      <c r="AE13" s="35"/>
      <c r="AF13" s="33"/>
      <c r="AG13" s="36"/>
      <c r="AH13" s="34"/>
      <c r="AI13" s="32"/>
      <c r="AJ13" s="27"/>
      <c r="AK13" s="36"/>
      <c r="AL13" s="34"/>
      <c r="AM13" s="32"/>
      <c r="AN13" s="27"/>
      <c r="AO13" s="36"/>
      <c r="AP13" s="34"/>
      <c r="AQ13" s="32"/>
      <c r="AR13" s="27"/>
      <c r="AS13" s="36"/>
      <c r="AT13" s="36"/>
      <c r="AU13" s="36"/>
      <c r="AV13" s="36"/>
      <c r="AW13" s="36"/>
      <c r="AX13" s="37">
        <f>+Z13+AD13+AH13+AL13+AP13+AT13</f>
        <v>1</v>
      </c>
      <c r="AY13" s="38">
        <f>+AX13-Y13</f>
        <v>1</v>
      </c>
    </row>
    <row r="14" spans="1:51" s="21" customFormat="1" ht="22.5">
      <c r="A14" s="39"/>
      <c r="B14" s="22">
        <v>2</v>
      </c>
      <c r="C14" s="22" t="s">
        <v>39</v>
      </c>
      <c r="D14" s="23">
        <v>30079146</v>
      </c>
      <c r="E14" s="40" t="s">
        <v>45</v>
      </c>
      <c r="F14" s="25" t="s">
        <v>41</v>
      </c>
      <c r="G14" s="26" t="s">
        <v>42</v>
      </c>
      <c r="H14" s="27" t="s">
        <v>43</v>
      </c>
      <c r="I14" s="28" t="s">
        <v>44</v>
      </c>
      <c r="J14" s="29">
        <v>7566188</v>
      </c>
      <c r="K14" s="29">
        <v>6808972</v>
      </c>
      <c r="L14" s="29">
        <v>0</v>
      </c>
      <c r="M14" s="30">
        <v>0</v>
      </c>
      <c r="N14" s="30">
        <v>0</v>
      </c>
      <c r="O14" s="30">
        <v>2578.73</v>
      </c>
      <c r="P14" s="30">
        <v>37532</v>
      </c>
      <c r="Q14" s="30">
        <v>20658</v>
      </c>
      <c r="R14" s="30">
        <v>0</v>
      </c>
      <c r="S14" s="30">
        <v>0</v>
      </c>
      <c r="T14" s="30">
        <v>0</v>
      </c>
      <c r="U14" s="30">
        <v>0</v>
      </c>
      <c r="V14" s="30"/>
      <c r="W14" s="30"/>
      <c r="X14" s="30"/>
      <c r="Y14" s="30">
        <f t="shared" ref="Y14:Y77" si="0">SUM(M14:X14)</f>
        <v>60768.73</v>
      </c>
      <c r="Z14" s="31">
        <v>221392</v>
      </c>
      <c r="AA14" s="32">
        <v>12</v>
      </c>
      <c r="AB14" s="33">
        <v>44245</v>
      </c>
      <c r="AC14" s="33">
        <v>44266</v>
      </c>
      <c r="AD14" s="34">
        <v>-150116</v>
      </c>
      <c r="AE14" s="35">
        <v>25</v>
      </c>
      <c r="AF14" s="33">
        <v>44328</v>
      </c>
      <c r="AG14" s="36">
        <v>44342</v>
      </c>
      <c r="AH14" s="34"/>
      <c r="AI14" s="32"/>
      <c r="AJ14" s="27"/>
      <c r="AK14" s="36"/>
      <c r="AL14" s="34"/>
      <c r="AM14" s="32"/>
      <c r="AN14" s="27"/>
      <c r="AO14" s="36"/>
      <c r="AP14" s="34"/>
      <c r="AQ14" s="32"/>
      <c r="AR14" s="27"/>
      <c r="AS14" s="36"/>
      <c r="AT14" s="36"/>
      <c r="AU14" s="36"/>
      <c r="AV14" s="36"/>
      <c r="AW14" s="36"/>
      <c r="AX14" s="37">
        <f t="shared" ref="AX14:AX77" si="1">+Z14+AD14+AH14+AL14+AP14+AT14</f>
        <v>71276</v>
      </c>
      <c r="AY14" s="38">
        <f t="shared" ref="AY14:AY77" si="2">+AX14-Y14</f>
        <v>10507.269999999997</v>
      </c>
    </row>
    <row r="15" spans="1:51" s="21" customFormat="1" ht="22.5">
      <c r="A15" s="39"/>
      <c r="B15" s="22">
        <v>3</v>
      </c>
      <c r="C15" s="22" t="s">
        <v>39</v>
      </c>
      <c r="D15" s="23">
        <v>30080082</v>
      </c>
      <c r="E15" s="40" t="s">
        <v>46</v>
      </c>
      <c r="F15" s="25" t="s">
        <v>47</v>
      </c>
      <c r="G15" s="26" t="s">
        <v>42</v>
      </c>
      <c r="H15" s="27" t="s">
        <v>43</v>
      </c>
      <c r="I15" s="28" t="s">
        <v>44</v>
      </c>
      <c r="J15" s="29">
        <v>264481</v>
      </c>
      <c r="K15" s="29">
        <v>223376</v>
      </c>
      <c r="L15" s="29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/>
      <c r="W15" s="30"/>
      <c r="X15" s="30"/>
      <c r="Y15" s="30">
        <f t="shared" si="0"/>
        <v>0</v>
      </c>
      <c r="Z15" s="31">
        <v>30131</v>
      </c>
      <c r="AA15" s="32">
        <v>12</v>
      </c>
      <c r="AB15" s="33">
        <v>44245</v>
      </c>
      <c r="AC15" s="33">
        <v>44266</v>
      </c>
      <c r="AD15" s="41"/>
      <c r="AE15" s="35"/>
      <c r="AF15" s="33"/>
      <c r="AG15" s="36"/>
      <c r="AH15" s="41"/>
      <c r="AI15" s="32"/>
      <c r="AJ15" s="33"/>
      <c r="AK15" s="36"/>
      <c r="AL15" s="41"/>
      <c r="AM15" s="32"/>
      <c r="AN15" s="33"/>
      <c r="AO15" s="36"/>
      <c r="AP15" s="41"/>
      <c r="AQ15" s="32"/>
      <c r="AR15" s="33"/>
      <c r="AS15" s="36"/>
      <c r="AT15" s="36"/>
      <c r="AU15" s="36"/>
      <c r="AV15" s="36"/>
      <c r="AW15" s="36"/>
      <c r="AX15" s="37">
        <f t="shared" si="1"/>
        <v>30131</v>
      </c>
      <c r="AY15" s="38">
        <f t="shared" si="2"/>
        <v>30131</v>
      </c>
    </row>
    <row r="16" spans="1:51" s="21" customFormat="1" ht="22.5">
      <c r="A16" s="39"/>
      <c r="B16" s="22">
        <v>4</v>
      </c>
      <c r="C16" s="22" t="s">
        <v>39</v>
      </c>
      <c r="D16" s="23">
        <v>30080169</v>
      </c>
      <c r="E16" s="40" t="s">
        <v>48</v>
      </c>
      <c r="F16" s="25" t="s">
        <v>41</v>
      </c>
      <c r="G16" s="26" t="s">
        <v>42</v>
      </c>
      <c r="H16" s="27" t="s">
        <v>43</v>
      </c>
      <c r="I16" s="28" t="s">
        <v>44</v>
      </c>
      <c r="J16" s="29">
        <v>2453067</v>
      </c>
      <c r="K16" s="29">
        <v>1760909</v>
      </c>
      <c r="L16" s="29">
        <v>0</v>
      </c>
      <c r="M16" s="30">
        <v>0</v>
      </c>
      <c r="N16" s="30">
        <v>9999.7559999999994</v>
      </c>
      <c r="O16" s="30">
        <v>49284.885000000002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/>
      <c r="W16" s="30"/>
      <c r="X16" s="30"/>
      <c r="Y16" s="30">
        <f t="shared" si="0"/>
        <v>59284.641000000003</v>
      </c>
      <c r="Z16" s="31">
        <v>307029</v>
      </c>
      <c r="AA16" s="32">
        <v>11</v>
      </c>
      <c r="AB16" s="33">
        <v>44245</v>
      </c>
      <c r="AC16" s="33">
        <v>44258</v>
      </c>
      <c r="AD16" s="34">
        <v>200000</v>
      </c>
      <c r="AE16" s="35">
        <v>19</v>
      </c>
      <c r="AF16" s="33">
        <v>44267</v>
      </c>
      <c r="AG16" s="36">
        <v>44287</v>
      </c>
      <c r="AH16" s="34"/>
      <c r="AI16" s="32"/>
      <c r="AJ16" s="33"/>
      <c r="AK16" s="36"/>
      <c r="AL16" s="34"/>
      <c r="AM16" s="32"/>
      <c r="AN16" s="33"/>
      <c r="AO16" s="36"/>
      <c r="AP16" s="34"/>
      <c r="AQ16" s="32"/>
      <c r="AR16" s="33"/>
      <c r="AS16" s="36"/>
      <c r="AT16" s="36"/>
      <c r="AU16" s="36"/>
      <c r="AV16" s="36"/>
      <c r="AW16" s="36"/>
      <c r="AX16" s="37">
        <f t="shared" si="1"/>
        <v>507029</v>
      </c>
      <c r="AY16" s="38">
        <f t="shared" si="2"/>
        <v>447744.359</v>
      </c>
    </row>
    <row r="17" spans="1:51" s="21" customFormat="1" ht="22.5">
      <c r="A17" s="39"/>
      <c r="B17" s="22">
        <v>5</v>
      </c>
      <c r="C17" s="22" t="s">
        <v>39</v>
      </c>
      <c r="D17" s="23">
        <v>30118733</v>
      </c>
      <c r="E17" s="40" t="s">
        <v>49</v>
      </c>
      <c r="F17" s="25" t="s">
        <v>41</v>
      </c>
      <c r="G17" s="26" t="s">
        <v>42</v>
      </c>
      <c r="H17" s="27" t="s">
        <v>43</v>
      </c>
      <c r="I17" s="28" t="s">
        <v>44</v>
      </c>
      <c r="J17" s="29">
        <v>6349137</v>
      </c>
      <c r="K17" s="29">
        <v>5969452</v>
      </c>
      <c r="L17" s="29">
        <v>0</v>
      </c>
      <c r="M17" s="30">
        <v>0</v>
      </c>
      <c r="N17" s="30">
        <v>0</v>
      </c>
      <c r="O17" s="30">
        <v>305.77800000000002</v>
      </c>
      <c r="P17" s="30">
        <v>2851</v>
      </c>
      <c r="Q17" s="30">
        <v>0</v>
      </c>
      <c r="R17" s="30">
        <v>0</v>
      </c>
      <c r="S17" s="30">
        <v>1563.088</v>
      </c>
      <c r="T17" s="30">
        <v>649.90099999999995</v>
      </c>
      <c r="U17" s="30">
        <v>0</v>
      </c>
      <c r="V17" s="30"/>
      <c r="W17" s="30"/>
      <c r="X17" s="30"/>
      <c r="Y17" s="30">
        <f>SUM(M17:X17)</f>
        <v>5369.7669999999998</v>
      </c>
      <c r="Z17" s="31">
        <v>334307</v>
      </c>
      <c r="AA17" s="32">
        <v>11</v>
      </c>
      <c r="AB17" s="33">
        <v>44245</v>
      </c>
      <c r="AC17" s="33">
        <v>44258</v>
      </c>
      <c r="AD17" s="34">
        <f>+-304836</f>
        <v>-304836</v>
      </c>
      <c r="AE17" s="35">
        <v>42</v>
      </c>
      <c r="AF17" s="33">
        <v>44412</v>
      </c>
      <c r="AG17" s="36">
        <v>44421</v>
      </c>
      <c r="AH17" s="34">
        <v>22143</v>
      </c>
      <c r="AI17" s="32">
        <v>48</v>
      </c>
      <c r="AJ17" s="33">
        <v>44448</v>
      </c>
      <c r="AK17" s="36">
        <v>44459</v>
      </c>
      <c r="AL17" s="34"/>
      <c r="AM17" s="32"/>
      <c r="AN17" s="33"/>
      <c r="AO17" s="36"/>
      <c r="AP17" s="34"/>
      <c r="AQ17" s="32"/>
      <c r="AR17" s="33"/>
      <c r="AS17" s="36"/>
      <c r="AT17" s="36"/>
      <c r="AU17" s="36"/>
      <c r="AV17" s="36"/>
      <c r="AW17" s="36"/>
      <c r="AX17" s="37">
        <f t="shared" si="1"/>
        <v>51614</v>
      </c>
      <c r="AY17" s="38">
        <f t="shared" si="2"/>
        <v>46244.233</v>
      </c>
    </row>
    <row r="18" spans="1:51" s="21" customFormat="1" ht="22.5">
      <c r="A18" s="39"/>
      <c r="B18" s="22">
        <v>6</v>
      </c>
      <c r="C18" s="22" t="s">
        <v>39</v>
      </c>
      <c r="D18" s="23">
        <v>30121373</v>
      </c>
      <c r="E18" s="40" t="s">
        <v>50</v>
      </c>
      <c r="F18" s="25" t="s">
        <v>51</v>
      </c>
      <c r="G18" s="26" t="s">
        <v>42</v>
      </c>
      <c r="H18" s="27" t="s">
        <v>43</v>
      </c>
      <c r="I18" s="28" t="s">
        <v>52</v>
      </c>
      <c r="J18" s="29">
        <v>4207118</v>
      </c>
      <c r="K18" s="29">
        <v>1535</v>
      </c>
      <c r="L18" s="29">
        <v>384184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134128.19</v>
      </c>
      <c r="T18" s="30">
        <v>44936.065000000002</v>
      </c>
      <c r="U18" s="30">
        <v>83331.192999999999</v>
      </c>
      <c r="V18" s="30"/>
      <c r="W18" s="30"/>
      <c r="X18" s="30"/>
      <c r="Y18" s="30">
        <f t="shared" si="0"/>
        <v>262395.44799999997</v>
      </c>
      <c r="Z18" s="31">
        <v>10001</v>
      </c>
      <c r="AA18" s="32">
        <v>8</v>
      </c>
      <c r="AB18" s="33">
        <v>44223</v>
      </c>
      <c r="AC18" s="33">
        <v>44237</v>
      </c>
      <c r="AD18" s="34">
        <v>403797</v>
      </c>
      <c r="AE18" s="35">
        <v>32</v>
      </c>
      <c r="AF18" s="33">
        <v>44362</v>
      </c>
      <c r="AG18" s="36">
        <v>44372</v>
      </c>
      <c r="AH18" s="34"/>
      <c r="AI18" s="32"/>
      <c r="AJ18" s="33"/>
      <c r="AK18" s="36"/>
      <c r="AL18" s="34"/>
      <c r="AM18" s="32"/>
      <c r="AN18" s="33"/>
      <c r="AO18" s="36"/>
      <c r="AP18" s="34"/>
      <c r="AQ18" s="32"/>
      <c r="AR18" s="33"/>
      <c r="AS18" s="36"/>
      <c r="AT18" s="36"/>
      <c r="AU18" s="36"/>
      <c r="AV18" s="36"/>
      <c r="AW18" s="36"/>
      <c r="AX18" s="37">
        <f t="shared" si="1"/>
        <v>413798</v>
      </c>
      <c r="AY18" s="38">
        <f t="shared" si="2"/>
        <v>151402.55200000003</v>
      </c>
    </row>
    <row r="19" spans="1:51" s="21" customFormat="1" ht="22.5">
      <c r="A19" s="39"/>
      <c r="B19" s="22">
        <v>7</v>
      </c>
      <c r="C19" s="22" t="s">
        <v>39</v>
      </c>
      <c r="D19" s="23">
        <v>30131113</v>
      </c>
      <c r="E19" s="40" t="s">
        <v>53</v>
      </c>
      <c r="F19" s="25" t="s">
        <v>41</v>
      </c>
      <c r="G19" s="26" t="s">
        <v>42</v>
      </c>
      <c r="H19" s="27" t="s">
        <v>43</v>
      </c>
      <c r="I19" s="28" t="s">
        <v>44</v>
      </c>
      <c r="J19" s="29">
        <v>369823</v>
      </c>
      <c r="K19" s="29">
        <v>346798</v>
      </c>
      <c r="L19" s="29">
        <v>0</v>
      </c>
      <c r="M19" s="30">
        <v>0</v>
      </c>
      <c r="N19" s="30">
        <v>0</v>
      </c>
      <c r="O19" s="30">
        <v>8500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/>
      <c r="W19" s="30"/>
      <c r="X19" s="30"/>
      <c r="Y19" s="30">
        <f t="shared" si="0"/>
        <v>8500</v>
      </c>
      <c r="Z19" s="31">
        <v>9439</v>
      </c>
      <c r="AA19" s="32">
        <v>12</v>
      </c>
      <c r="AB19" s="33">
        <v>44245</v>
      </c>
      <c r="AC19" s="33">
        <v>44266</v>
      </c>
      <c r="AD19" s="34"/>
      <c r="AE19" s="35"/>
      <c r="AF19" s="27"/>
      <c r="AG19" s="36"/>
      <c r="AH19" s="34"/>
      <c r="AI19" s="32"/>
      <c r="AJ19" s="27"/>
      <c r="AK19" s="36"/>
      <c r="AL19" s="34"/>
      <c r="AM19" s="32"/>
      <c r="AN19" s="27"/>
      <c r="AO19" s="36"/>
      <c r="AP19" s="34"/>
      <c r="AQ19" s="32"/>
      <c r="AR19" s="27"/>
      <c r="AS19" s="36"/>
      <c r="AT19" s="36"/>
      <c r="AU19" s="36"/>
      <c r="AV19" s="36"/>
      <c r="AW19" s="36"/>
      <c r="AX19" s="37">
        <f t="shared" si="1"/>
        <v>9439</v>
      </c>
      <c r="AY19" s="38">
        <f t="shared" si="2"/>
        <v>939</v>
      </c>
    </row>
    <row r="20" spans="1:51" s="21" customFormat="1" ht="22.5">
      <c r="A20" s="39"/>
      <c r="B20" s="22">
        <v>8</v>
      </c>
      <c r="C20" s="22" t="s">
        <v>39</v>
      </c>
      <c r="D20" s="23">
        <v>30134490</v>
      </c>
      <c r="E20" s="40" t="s">
        <v>54</v>
      </c>
      <c r="F20" s="25" t="s">
        <v>51</v>
      </c>
      <c r="G20" s="26" t="s">
        <v>42</v>
      </c>
      <c r="H20" s="27" t="s">
        <v>43</v>
      </c>
      <c r="I20" s="28" t="s">
        <v>52</v>
      </c>
      <c r="J20" s="29">
        <v>882987</v>
      </c>
      <c r="K20" s="29">
        <v>2593</v>
      </c>
      <c r="L20" s="29">
        <v>2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/>
      <c r="W20" s="30"/>
      <c r="X20" s="30"/>
      <c r="Y20" s="30">
        <f t="shared" si="0"/>
        <v>0</v>
      </c>
      <c r="Z20" s="31">
        <v>817338</v>
      </c>
      <c r="AA20" s="32">
        <v>7</v>
      </c>
      <c r="AB20" s="33">
        <v>44223</v>
      </c>
      <c r="AC20" s="33">
        <v>44244</v>
      </c>
      <c r="AD20" s="34">
        <v>43685</v>
      </c>
      <c r="AE20" s="35">
        <v>17</v>
      </c>
      <c r="AF20" s="33">
        <v>44260</v>
      </c>
      <c r="AG20" s="33">
        <v>44272</v>
      </c>
      <c r="AH20" s="34">
        <v>-497597</v>
      </c>
      <c r="AI20" s="32">
        <v>25</v>
      </c>
      <c r="AJ20" s="33">
        <v>44328</v>
      </c>
      <c r="AK20" s="36">
        <v>44342</v>
      </c>
      <c r="AL20" s="34">
        <f>+-160028</f>
        <v>-160028</v>
      </c>
      <c r="AM20" s="32">
        <v>33</v>
      </c>
      <c r="AN20" s="33">
        <v>44382</v>
      </c>
      <c r="AO20" s="36">
        <v>44389</v>
      </c>
      <c r="AP20" s="34"/>
      <c r="AQ20" s="32"/>
      <c r="AR20" s="27"/>
      <c r="AS20" s="36"/>
      <c r="AT20" s="36"/>
      <c r="AU20" s="36"/>
      <c r="AV20" s="36"/>
      <c r="AW20" s="36"/>
      <c r="AX20" s="37">
        <f t="shared" si="1"/>
        <v>203398</v>
      </c>
      <c r="AY20" s="38">
        <f t="shared" si="2"/>
        <v>203398</v>
      </c>
    </row>
    <row r="21" spans="1:51" s="21" customFormat="1" ht="22.5">
      <c r="A21" s="39"/>
      <c r="B21" s="22">
        <v>9</v>
      </c>
      <c r="C21" s="22" t="s">
        <v>39</v>
      </c>
      <c r="D21" s="23">
        <v>30135806</v>
      </c>
      <c r="E21" s="40" t="s">
        <v>55</v>
      </c>
      <c r="F21" s="25" t="s">
        <v>51</v>
      </c>
      <c r="G21" s="26" t="s">
        <v>42</v>
      </c>
      <c r="H21" s="27" t="s">
        <v>43</v>
      </c>
      <c r="I21" s="28" t="s">
        <v>44</v>
      </c>
      <c r="J21" s="29">
        <v>152093</v>
      </c>
      <c r="K21" s="29">
        <v>3029</v>
      </c>
      <c r="L21" s="29">
        <v>0</v>
      </c>
      <c r="M21" s="30">
        <v>0</v>
      </c>
      <c r="N21" s="30">
        <v>0</v>
      </c>
      <c r="O21" s="30">
        <v>0</v>
      </c>
      <c r="P21" s="30">
        <v>11000</v>
      </c>
      <c r="Q21" s="30">
        <v>0</v>
      </c>
      <c r="R21" s="30">
        <v>22000</v>
      </c>
      <c r="S21" s="30">
        <v>0</v>
      </c>
      <c r="T21" s="30">
        <v>0</v>
      </c>
      <c r="U21" s="30">
        <v>0</v>
      </c>
      <c r="V21" s="30"/>
      <c r="W21" s="30"/>
      <c r="X21" s="30"/>
      <c r="Y21" s="30">
        <f t="shared" si="0"/>
        <v>33000</v>
      </c>
      <c r="Z21" s="31">
        <v>104122</v>
      </c>
      <c r="AA21" s="32">
        <v>8</v>
      </c>
      <c r="AB21" s="33">
        <v>44223</v>
      </c>
      <c r="AC21" s="33">
        <v>44237</v>
      </c>
      <c r="AD21" s="34">
        <v>41662</v>
      </c>
      <c r="AE21" s="35">
        <v>17</v>
      </c>
      <c r="AF21" s="33">
        <v>44260</v>
      </c>
      <c r="AG21" s="33">
        <v>44272</v>
      </c>
      <c r="AH21" s="34">
        <f>+-68784</f>
        <v>-68784</v>
      </c>
      <c r="AI21" s="32">
        <v>42</v>
      </c>
      <c r="AJ21" s="33">
        <v>44412</v>
      </c>
      <c r="AK21" s="36">
        <v>44421</v>
      </c>
      <c r="AL21" s="34"/>
      <c r="AM21" s="32"/>
      <c r="AN21" s="27"/>
      <c r="AO21" s="36"/>
      <c r="AP21" s="34"/>
      <c r="AQ21" s="32"/>
      <c r="AR21" s="27"/>
      <c r="AS21" s="36"/>
      <c r="AT21" s="36"/>
      <c r="AU21" s="36"/>
      <c r="AV21" s="36"/>
      <c r="AW21" s="36"/>
      <c r="AX21" s="37">
        <f t="shared" si="1"/>
        <v>77000</v>
      </c>
      <c r="AY21" s="38">
        <f t="shared" si="2"/>
        <v>44000</v>
      </c>
    </row>
    <row r="22" spans="1:51" s="21" customFormat="1" ht="22.5">
      <c r="A22" s="39"/>
      <c r="B22" s="22">
        <v>10</v>
      </c>
      <c r="C22" s="22" t="s">
        <v>39</v>
      </c>
      <c r="D22" s="23">
        <v>30203322</v>
      </c>
      <c r="E22" s="40" t="s">
        <v>56</v>
      </c>
      <c r="F22" s="25" t="s">
        <v>41</v>
      </c>
      <c r="G22" s="26" t="s">
        <v>42</v>
      </c>
      <c r="H22" s="27" t="s">
        <v>43</v>
      </c>
      <c r="I22" s="28" t="s">
        <v>44</v>
      </c>
      <c r="J22" s="29">
        <v>649153</v>
      </c>
      <c r="K22" s="29">
        <v>546931</v>
      </c>
      <c r="L22" s="29">
        <v>0</v>
      </c>
      <c r="M22" s="30">
        <v>0</v>
      </c>
      <c r="N22" s="30">
        <v>0</v>
      </c>
      <c r="O22" s="30">
        <v>0</v>
      </c>
      <c r="P22" s="30">
        <v>5320</v>
      </c>
      <c r="Q22" s="30">
        <v>0</v>
      </c>
      <c r="R22" s="30">
        <v>27299</v>
      </c>
      <c r="S22" s="30">
        <v>0</v>
      </c>
      <c r="T22" s="30">
        <v>0</v>
      </c>
      <c r="U22" s="30">
        <v>0</v>
      </c>
      <c r="V22" s="30"/>
      <c r="W22" s="30"/>
      <c r="X22" s="30"/>
      <c r="Y22" s="30">
        <f t="shared" si="0"/>
        <v>32619</v>
      </c>
      <c r="Z22" s="31">
        <v>33275</v>
      </c>
      <c r="AA22" s="32">
        <v>13</v>
      </c>
      <c r="AB22" s="33">
        <v>44245</v>
      </c>
      <c r="AC22" s="33">
        <v>44267</v>
      </c>
      <c r="AD22" s="34"/>
      <c r="AE22" s="35"/>
      <c r="AF22" s="27"/>
      <c r="AG22" s="36"/>
      <c r="AH22" s="34"/>
      <c r="AI22" s="32"/>
      <c r="AJ22" s="27"/>
      <c r="AK22" s="36"/>
      <c r="AL22" s="34"/>
      <c r="AM22" s="32"/>
      <c r="AN22" s="27"/>
      <c r="AO22" s="36"/>
      <c r="AP22" s="34"/>
      <c r="AQ22" s="32"/>
      <c r="AR22" s="27"/>
      <c r="AS22" s="36"/>
      <c r="AT22" s="36"/>
      <c r="AU22" s="36"/>
      <c r="AV22" s="36"/>
      <c r="AW22" s="36"/>
      <c r="AX22" s="37">
        <f t="shared" si="1"/>
        <v>33275</v>
      </c>
      <c r="AY22" s="38">
        <f t="shared" si="2"/>
        <v>656</v>
      </c>
    </row>
    <row r="23" spans="1:51" s="21" customFormat="1" ht="22.5">
      <c r="A23" s="39"/>
      <c r="B23" s="22">
        <v>11</v>
      </c>
      <c r="C23" s="22" t="s">
        <v>39</v>
      </c>
      <c r="D23" s="23">
        <v>30215723</v>
      </c>
      <c r="E23" s="40" t="s">
        <v>57</v>
      </c>
      <c r="F23" s="25" t="s">
        <v>41</v>
      </c>
      <c r="G23" s="26" t="s">
        <v>42</v>
      </c>
      <c r="H23" s="27" t="s">
        <v>43</v>
      </c>
      <c r="I23" s="28" t="s">
        <v>44</v>
      </c>
      <c r="J23" s="29">
        <v>318467</v>
      </c>
      <c r="K23" s="29">
        <v>212447</v>
      </c>
      <c r="L23" s="29">
        <v>2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/>
      <c r="W23" s="30"/>
      <c r="X23" s="30"/>
      <c r="Y23" s="30">
        <f t="shared" si="0"/>
        <v>0</v>
      </c>
      <c r="Z23" s="31">
        <v>106017</v>
      </c>
      <c r="AA23" s="32">
        <v>13</v>
      </c>
      <c r="AB23" s="33">
        <v>44245</v>
      </c>
      <c r="AC23" s="33">
        <v>44267</v>
      </c>
      <c r="AD23" s="34"/>
      <c r="AE23" s="35"/>
      <c r="AF23" s="27"/>
      <c r="AG23" s="36"/>
      <c r="AH23" s="34"/>
      <c r="AI23" s="32"/>
      <c r="AJ23" s="27"/>
      <c r="AK23" s="36"/>
      <c r="AL23" s="34"/>
      <c r="AM23" s="32"/>
      <c r="AN23" s="27"/>
      <c r="AO23" s="36"/>
      <c r="AP23" s="34"/>
      <c r="AQ23" s="32"/>
      <c r="AR23" s="27"/>
      <c r="AS23" s="36"/>
      <c r="AT23" s="36"/>
      <c r="AU23" s="36"/>
      <c r="AV23" s="36"/>
      <c r="AW23" s="36"/>
      <c r="AX23" s="37">
        <f t="shared" si="1"/>
        <v>106017</v>
      </c>
      <c r="AY23" s="38">
        <f t="shared" si="2"/>
        <v>106017</v>
      </c>
    </row>
    <row r="24" spans="1:51" s="21" customFormat="1" ht="22.5">
      <c r="A24" s="39"/>
      <c r="B24" s="22">
        <v>12</v>
      </c>
      <c r="C24" s="22" t="s">
        <v>39</v>
      </c>
      <c r="D24" s="23">
        <v>30274473</v>
      </c>
      <c r="E24" s="40" t="s">
        <v>58</v>
      </c>
      <c r="F24" s="25" t="s">
        <v>41</v>
      </c>
      <c r="G24" s="26" t="s">
        <v>42</v>
      </c>
      <c r="H24" s="27" t="s">
        <v>43</v>
      </c>
      <c r="I24" s="28" t="s">
        <v>44</v>
      </c>
      <c r="J24" s="29">
        <v>727770</v>
      </c>
      <c r="K24" s="29">
        <v>422611</v>
      </c>
      <c r="L24" s="29">
        <v>0</v>
      </c>
      <c r="M24" s="30">
        <v>0</v>
      </c>
      <c r="N24" s="30">
        <v>0</v>
      </c>
      <c r="O24" s="30">
        <v>73728.56</v>
      </c>
      <c r="P24" s="30">
        <v>16630</v>
      </c>
      <c r="Q24" s="30">
        <v>0</v>
      </c>
      <c r="R24" s="30">
        <v>34468</v>
      </c>
      <c r="S24" s="30">
        <v>12331.605</v>
      </c>
      <c r="T24" s="30">
        <v>43228.167999999998</v>
      </c>
      <c r="U24" s="30">
        <v>59038.345999999998</v>
      </c>
      <c r="V24" s="30"/>
      <c r="W24" s="30"/>
      <c r="X24" s="30"/>
      <c r="Y24" s="30">
        <f t="shared" si="0"/>
        <v>239424.679</v>
      </c>
      <c r="Z24" s="31">
        <v>253807</v>
      </c>
      <c r="AA24" s="32">
        <v>12</v>
      </c>
      <c r="AB24" s="33">
        <v>44245</v>
      </c>
      <c r="AC24" s="33">
        <v>44266</v>
      </c>
      <c r="AD24" s="34"/>
      <c r="AE24" s="35"/>
      <c r="AF24" s="27"/>
      <c r="AG24" s="36"/>
      <c r="AH24" s="34"/>
      <c r="AI24" s="32"/>
      <c r="AJ24" s="27"/>
      <c r="AK24" s="36"/>
      <c r="AL24" s="34"/>
      <c r="AM24" s="32"/>
      <c r="AN24" s="27"/>
      <c r="AO24" s="36"/>
      <c r="AP24" s="34"/>
      <c r="AQ24" s="32"/>
      <c r="AR24" s="27"/>
      <c r="AS24" s="36"/>
      <c r="AT24" s="36"/>
      <c r="AU24" s="36"/>
      <c r="AV24" s="36"/>
      <c r="AW24" s="36"/>
      <c r="AX24" s="37">
        <f t="shared" si="1"/>
        <v>253807</v>
      </c>
      <c r="AY24" s="38">
        <f t="shared" si="2"/>
        <v>14382.320999999996</v>
      </c>
    </row>
    <row r="25" spans="1:51" s="21" customFormat="1" ht="22.5">
      <c r="A25" s="39"/>
      <c r="B25" s="22">
        <v>13</v>
      </c>
      <c r="C25" s="22" t="s">
        <v>39</v>
      </c>
      <c r="D25" s="23">
        <v>30274474</v>
      </c>
      <c r="E25" s="40" t="s">
        <v>59</v>
      </c>
      <c r="F25" s="25" t="s">
        <v>41</v>
      </c>
      <c r="G25" s="26" t="s">
        <v>42</v>
      </c>
      <c r="H25" s="27" t="s">
        <v>43</v>
      </c>
      <c r="I25" s="28" t="s">
        <v>44</v>
      </c>
      <c r="J25" s="29">
        <v>812564</v>
      </c>
      <c r="K25" s="29">
        <v>520806</v>
      </c>
      <c r="L25" s="29">
        <v>0</v>
      </c>
      <c r="M25" s="30">
        <v>0</v>
      </c>
      <c r="N25" s="30">
        <v>0</v>
      </c>
      <c r="O25" s="30">
        <v>725.16099999999994</v>
      </c>
      <c r="P25" s="30">
        <v>59992</v>
      </c>
      <c r="Q25" s="30">
        <v>30279</v>
      </c>
      <c r="R25" s="30">
        <v>23606</v>
      </c>
      <c r="S25" s="30">
        <v>43784.557999999997</v>
      </c>
      <c r="T25" s="30">
        <v>73079.403000000006</v>
      </c>
      <c r="U25" s="30">
        <v>0</v>
      </c>
      <c r="V25" s="30"/>
      <c r="W25" s="30"/>
      <c r="X25" s="30"/>
      <c r="Y25" s="30">
        <f t="shared" si="0"/>
        <v>231466.12199999997</v>
      </c>
      <c r="Z25" s="31">
        <v>242828</v>
      </c>
      <c r="AA25" s="32">
        <v>12</v>
      </c>
      <c r="AB25" s="33">
        <v>44245</v>
      </c>
      <c r="AC25" s="33">
        <v>44266</v>
      </c>
      <c r="AD25" s="34"/>
      <c r="AE25" s="35"/>
      <c r="AF25" s="27"/>
      <c r="AG25" s="36"/>
      <c r="AH25" s="34"/>
      <c r="AI25" s="32"/>
      <c r="AJ25" s="27"/>
      <c r="AK25" s="36"/>
      <c r="AL25" s="34"/>
      <c r="AM25" s="32"/>
      <c r="AN25" s="27"/>
      <c r="AO25" s="36"/>
      <c r="AP25" s="34"/>
      <c r="AQ25" s="32"/>
      <c r="AR25" s="27"/>
      <c r="AS25" s="36"/>
      <c r="AT25" s="36"/>
      <c r="AU25" s="36"/>
      <c r="AV25" s="36"/>
      <c r="AW25" s="36"/>
      <c r="AX25" s="37">
        <f t="shared" si="1"/>
        <v>242828</v>
      </c>
      <c r="AY25" s="38">
        <f t="shared" si="2"/>
        <v>11361.878000000026</v>
      </c>
    </row>
    <row r="26" spans="1:51" s="21" customFormat="1" ht="22.5">
      <c r="A26" s="39"/>
      <c r="B26" s="22">
        <v>14</v>
      </c>
      <c r="C26" s="22" t="s">
        <v>39</v>
      </c>
      <c r="D26" s="23">
        <v>30295074</v>
      </c>
      <c r="E26" s="40" t="s">
        <v>60</v>
      </c>
      <c r="F26" s="25" t="s">
        <v>51</v>
      </c>
      <c r="G26" s="26" t="s">
        <v>42</v>
      </c>
      <c r="H26" s="27" t="s">
        <v>43</v>
      </c>
      <c r="I26" s="28" t="s">
        <v>52</v>
      </c>
      <c r="J26" s="29">
        <v>9486666</v>
      </c>
      <c r="K26" s="29">
        <v>0</v>
      </c>
      <c r="L26" s="29">
        <v>1730579</v>
      </c>
      <c r="M26" s="30">
        <v>0</v>
      </c>
      <c r="N26" s="30">
        <v>0</v>
      </c>
      <c r="O26" s="30">
        <v>0</v>
      </c>
      <c r="P26" s="30">
        <v>1490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/>
      <c r="W26" s="30"/>
      <c r="X26" s="30"/>
      <c r="Y26" s="30">
        <f t="shared" si="0"/>
        <v>1490</v>
      </c>
      <c r="Z26" s="31">
        <v>22830</v>
      </c>
      <c r="AA26" s="32">
        <v>8</v>
      </c>
      <c r="AB26" s="33">
        <v>44223</v>
      </c>
      <c r="AC26" s="33">
        <v>44237</v>
      </c>
      <c r="AD26" s="34">
        <v>-19998</v>
      </c>
      <c r="AE26" s="35">
        <v>17</v>
      </c>
      <c r="AF26" s="33">
        <v>44260</v>
      </c>
      <c r="AG26" s="33">
        <v>44272</v>
      </c>
      <c r="AH26" s="34">
        <v>-1342</v>
      </c>
      <c r="AI26" s="32">
        <v>25</v>
      </c>
      <c r="AJ26" s="33">
        <v>44328</v>
      </c>
      <c r="AK26" s="36">
        <v>44342</v>
      </c>
      <c r="AL26" s="34">
        <v>2</v>
      </c>
      <c r="AM26" s="32">
        <v>42</v>
      </c>
      <c r="AN26" s="33">
        <v>44412</v>
      </c>
      <c r="AO26" s="36">
        <v>44421</v>
      </c>
      <c r="AP26" s="34"/>
      <c r="AQ26" s="32"/>
      <c r="AR26" s="27"/>
      <c r="AS26" s="36"/>
      <c r="AT26" s="36"/>
      <c r="AU26" s="36"/>
      <c r="AV26" s="36"/>
      <c r="AW26" s="36"/>
      <c r="AX26" s="37">
        <f t="shared" si="1"/>
        <v>1492</v>
      </c>
      <c r="AY26" s="38">
        <f t="shared" si="2"/>
        <v>2</v>
      </c>
    </row>
    <row r="27" spans="1:51" s="21" customFormat="1" ht="22.5">
      <c r="A27" s="39"/>
      <c r="B27" s="22">
        <v>15</v>
      </c>
      <c r="C27" s="22" t="s">
        <v>39</v>
      </c>
      <c r="D27" s="23">
        <v>30306072</v>
      </c>
      <c r="E27" s="40" t="s">
        <v>61</v>
      </c>
      <c r="F27" s="25" t="s">
        <v>41</v>
      </c>
      <c r="G27" s="26" t="s">
        <v>42</v>
      </c>
      <c r="H27" s="27" t="s">
        <v>43</v>
      </c>
      <c r="I27" s="28" t="s">
        <v>44</v>
      </c>
      <c r="J27" s="29">
        <v>36147728</v>
      </c>
      <c r="K27" s="29">
        <v>31062728</v>
      </c>
      <c r="L27" s="29">
        <v>0</v>
      </c>
      <c r="M27" s="30">
        <v>0</v>
      </c>
      <c r="N27" s="30">
        <v>52123.627999999997</v>
      </c>
      <c r="O27" s="30">
        <v>689046.54599999997</v>
      </c>
      <c r="P27" s="30">
        <v>340276</v>
      </c>
      <c r="Q27" s="30">
        <v>2600</v>
      </c>
      <c r="R27" s="30">
        <v>222168</v>
      </c>
      <c r="S27" s="30">
        <v>185542.78400000001</v>
      </c>
      <c r="T27" s="30">
        <v>282466.86099999998</v>
      </c>
      <c r="U27" s="30">
        <v>466661.71600000001</v>
      </c>
      <c r="V27" s="30"/>
      <c r="W27" s="30"/>
      <c r="X27" s="30"/>
      <c r="Y27" s="30">
        <f t="shared" si="0"/>
        <v>2240885.5350000001</v>
      </c>
      <c r="Z27" s="31">
        <v>2035000</v>
      </c>
      <c r="AA27" s="32">
        <v>7</v>
      </c>
      <c r="AB27" s="33">
        <v>44223</v>
      </c>
      <c r="AC27" s="33">
        <v>44244</v>
      </c>
      <c r="AD27" s="34">
        <v>722048</v>
      </c>
      <c r="AE27" s="35">
        <v>17</v>
      </c>
      <c r="AF27" s="33">
        <v>44260</v>
      </c>
      <c r="AG27" s="33">
        <v>44272</v>
      </c>
      <c r="AH27" s="34">
        <v>321447</v>
      </c>
      <c r="AI27" s="32">
        <v>43</v>
      </c>
      <c r="AJ27" s="33">
        <v>44413</v>
      </c>
      <c r="AK27" s="36">
        <v>44421</v>
      </c>
      <c r="AL27" s="34"/>
      <c r="AM27" s="32"/>
      <c r="AN27" s="27"/>
      <c r="AO27" s="36"/>
      <c r="AP27" s="34"/>
      <c r="AQ27" s="32"/>
      <c r="AR27" s="27"/>
      <c r="AS27" s="36"/>
      <c r="AT27" s="36"/>
      <c r="AU27" s="36"/>
      <c r="AV27" s="36"/>
      <c r="AW27" s="36"/>
      <c r="AX27" s="37">
        <f t="shared" si="1"/>
        <v>3078495</v>
      </c>
      <c r="AY27" s="38">
        <f t="shared" si="2"/>
        <v>837609.46499999985</v>
      </c>
    </row>
    <row r="28" spans="1:51" s="21" customFormat="1" ht="22.5">
      <c r="A28" s="39"/>
      <c r="B28" s="22">
        <v>16</v>
      </c>
      <c r="C28" s="22" t="s">
        <v>39</v>
      </c>
      <c r="D28" s="23">
        <v>30314776</v>
      </c>
      <c r="E28" s="40" t="s">
        <v>62</v>
      </c>
      <c r="F28" s="25" t="s">
        <v>63</v>
      </c>
      <c r="G28" s="26" t="s">
        <v>42</v>
      </c>
      <c r="H28" s="27" t="s">
        <v>64</v>
      </c>
      <c r="I28" s="28" t="s">
        <v>44</v>
      </c>
      <c r="J28" s="29">
        <v>75018</v>
      </c>
      <c r="K28" s="29">
        <v>20955</v>
      </c>
      <c r="L28" s="29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/>
      <c r="W28" s="30"/>
      <c r="X28" s="30"/>
      <c r="Y28" s="30">
        <f t="shared" si="0"/>
        <v>0</v>
      </c>
      <c r="Z28" s="31">
        <v>51943</v>
      </c>
      <c r="AA28" s="32">
        <v>13</v>
      </c>
      <c r="AB28" s="33">
        <v>44245</v>
      </c>
      <c r="AC28" s="33">
        <v>44267</v>
      </c>
      <c r="AD28" s="34"/>
      <c r="AE28" s="35"/>
      <c r="AF28" s="27"/>
      <c r="AG28" s="36"/>
      <c r="AH28" s="34"/>
      <c r="AI28" s="32"/>
      <c r="AJ28" s="27"/>
      <c r="AK28" s="36"/>
      <c r="AL28" s="34"/>
      <c r="AM28" s="32"/>
      <c r="AN28" s="27"/>
      <c r="AO28" s="36"/>
      <c r="AP28" s="34"/>
      <c r="AQ28" s="32"/>
      <c r="AR28" s="27"/>
      <c r="AS28" s="36"/>
      <c r="AT28" s="36"/>
      <c r="AU28" s="36"/>
      <c r="AV28" s="36"/>
      <c r="AW28" s="36"/>
      <c r="AX28" s="37">
        <f t="shared" si="1"/>
        <v>51943</v>
      </c>
      <c r="AY28" s="38">
        <f t="shared" si="2"/>
        <v>51943</v>
      </c>
    </row>
    <row r="29" spans="1:51" s="21" customFormat="1" ht="22.5">
      <c r="A29" s="39"/>
      <c r="B29" s="22">
        <v>17</v>
      </c>
      <c r="C29" s="22" t="s">
        <v>65</v>
      </c>
      <c r="D29" s="23">
        <v>40008918</v>
      </c>
      <c r="E29" s="40" t="s">
        <v>66</v>
      </c>
      <c r="F29" s="25" t="s">
        <v>41</v>
      </c>
      <c r="G29" s="26" t="s">
        <v>42</v>
      </c>
      <c r="H29" s="27" t="s">
        <v>43</v>
      </c>
      <c r="I29" s="28" t="s">
        <v>44</v>
      </c>
      <c r="J29" s="29">
        <v>177364</v>
      </c>
      <c r="K29" s="29">
        <v>27954</v>
      </c>
      <c r="L29" s="44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51600</v>
      </c>
      <c r="U29" s="30">
        <v>0</v>
      </c>
      <c r="V29" s="30"/>
      <c r="W29" s="30"/>
      <c r="X29" s="30"/>
      <c r="Y29" s="30">
        <f t="shared" si="0"/>
        <v>51600</v>
      </c>
      <c r="Z29" s="31">
        <v>141767</v>
      </c>
      <c r="AA29" s="32">
        <v>14</v>
      </c>
      <c r="AB29" s="33">
        <v>44245</v>
      </c>
      <c r="AC29" s="33">
        <v>44287</v>
      </c>
      <c r="AD29" s="34"/>
      <c r="AE29" s="35"/>
      <c r="AF29" s="27"/>
      <c r="AG29" s="36"/>
      <c r="AH29" s="34"/>
      <c r="AI29" s="32"/>
      <c r="AJ29" s="27"/>
      <c r="AK29" s="36"/>
      <c r="AL29" s="34"/>
      <c r="AM29" s="32"/>
      <c r="AN29" s="27"/>
      <c r="AO29" s="36"/>
      <c r="AP29" s="34"/>
      <c r="AQ29" s="32"/>
      <c r="AR29" s="27"/>
      <c r="AS29" s="36"/>
      <c r="AT29" s="36"/>
      <c r="AU29" s="36"/>
      <c r="AV29" s="36"/>
      <c r="AW29" s="36"/>
      <c r="AX29" s="37">
        <f t="shared" si="1"/>
        <v>141767</v>
      </c>
      <c r="AY29" s="38">
        <f t="shared" si="2"/>
        <v>90167</v>
      </c>
    </row>
    <row r="30" spans="1:51" s="21" customFormat="1" ht="22.5">
      <c r="A30" s="39"/>
      <c r="B30" s="22">
        <v>18</v>
      </c>
      <c r="C30" s="22" t="s">
        <v>39</v>
      </c>
      <c r="D30" s="23">
        <v>30341673</v>
      </c>
      <c r="E30" s="40" t="s">
        <v>67</v>
      </c>
      <c r="F30" s="25" t="s">
        <v>41</v>
      </c>
      <c r="G30" s="26" t="s">
        <v>42</v>
      </c>
      <c r="H30" s="27" t="s">
        <v>43</v>
      </c>
      <c r="I30" s="28" t="s">
        <v>44</v>
      </c>
      <c r="J30" s="29">
        <v>679249</v>
      </c>
      <c r="K30" s="29">
        <v>667476</v>
      </c>
      <c r="L30" s="29">
        <v>0</v>
      </c>
      <c r="M30" s="30">
        <v>0</v>
      </c>
      <c r="N30" s="30">
        <v>0</v>
      </c>
      <c r="O30" s="30">
        <v>573.84199999999998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/>
      <c r="W30" s="30"/>
      <c r="X30" s="30"/>
      <c r="Y30" s="30">
        <f t="shared" si="0"/>
        <v>573.84199999999998</v>
      </c>
      <c r="Z30" s="31">
        <v>3009</v>
      </c>
      <c r="AA30" s="32">
        <v>11</v>
      </c>
      <c r="AB30" s="33">
        <v>44245</v>
      </c>
      <c r="AC30" s="33">
        <v>44258</v>
      </c>
      <c r="AD30" s="34"/>
      <c r="AE30" s="35"/>
      <c r="AF30" s="27"/>
      <c r="AG30" s="36"/>
      <c r="AH30" s="34"/>
      <c r="AI30" s="32"/>
      <c r="AJ30" s="27"/>
      <c r="AK30" s="36"/>
      <c r="AL30" s="34"/>
      <c r="AM30" s="32"/>
      <c r="AN30" s="27"/>
      <c r="AO30" s="36"/>
      <c r="AP30" s="34"/>
      <c r="AQ30" s="32"/>
      <c r="AR30" s="27"/>
      <c r="AS30" s="36"/>
      <c r="AT30" s="36"/>
      <c r="AU30" s="36"/>
      <c r="AV30" s="36"/>
      <c r="AW30" s="36"/>
      <c r="AX30" s="37">
        <f t="shared" si="1"/>
        <v>3009</v>
      </c>
      <c r="AY30" s="38">
        <f t="shared" si="2"/>
        <v>2435.1579999999999</v>
      </c>
    </row>
    <row r="31" spans="1:51" s="21" customFormat="1" ht="22.5">
      <c r="A31" s="39"/>
      <c r="B31" s="22">
        <v>19</v>
      </c>
      <c r="C31" s="22" t="s">
        <v>39</v>
      </c>
      <c r="D31" s="23">
        <v>30347722</v>
      </c>
      <c r="E31" s="40" t="s">
        <v>68</v>
      </c>
      <c r="F31" s="25" t="s">
        <v>47</v>
      </c>
      <c r="G31" s="26" t="s">
        <v>42</v>
      </c>
      <c r="H31" s="27" t="s">
        <v>43</v>
      </c>
      <c r="I31" s="28" t="s">
        <v>44</v>
      </c>
      <c r="J31" s="29">
        <v>432689</v>
      </c>
      <c r="K31" s="29">
        <v>80160</v>
      </c>
      <c r="L31" s="29">
        <v>0</v>
      </c>
      <c r="M31" s="30">
        <v>0</v>
      </c>
      <c r="N31" s="30">
        <v>0</v>
      </c>
      <c r="O31" s="30">
        <v>47586.654000000002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/>
      <c r="W31" s="30"/>
      <c r="X31" s="30"/>
      <c r="Y31" s="30">
        <f t="shared" si="0"/>
        <v>47586.654000000002</v>
      </c>
      <c r="Z31" s="31">
        <v>76139</v>
      </c>
      <c r="AA31" s="32">
        <v>12</v>
      </c>
      <c r="AB31" s="33">
        <v>44245</v>
      </c>
      <c r="AC31" s="33">
        <v>44266</v>
      </c>
      <c r="AD31" s="34"/>
      <c r="AE31" s="35"/>
      <c r="AF31" s="27"/>
      <c r="AG31" s="36"/>
      <c r="AH31" s="34"/>
      <c r="AI31" s="32"/>
      <c r="AJ31" s="27"/>
      <c r="AK31" s="36"/>
      <c r="AL31" s="34"/>
      <c r="AM31" s="32"/>
      <c r="AN31" s="27"/>
      <c r="AO31" s="36"/>
      <c r="AP31" s="34"/>
      <c r="AQ31" s="32"/>
      <c r="AR31" s="27"/>
      <c r="AS31" s="36"/>
      <c r="AT31" s="36"/>
      <c r="AU31" s="36"/>
      <c r="AV31" s="36"/>
      <c r="AW31" s="36"/>
      <c r="AX31" s="37">
        <f t="shared" si="1"/>
        <v>76139</v>
      </c>
      <c r="AY31" s="38">
        <f t="shared" si="2"/>
        <v>28552.345999999998</v>
      </c>
    </row>
    <row r="32" spans="1:51" s="21" customFormat="1" ht="22.5">
      <c r="A32" s="39"/>
      <c r="B32" s="22">
        <v>20</v>
      </c>
      <c r="C32" s="22" t="s">
        <v>39</v>
      </c>
      <c r="D32" s="23">
        <v>30348429</v>
      </c>
      <c r="E32" s="40" t="s">
        <v>69</v>
      </c>
      <c r="F32" s="25" t="s">
        <v>51</v>
      </c>
      <c r="G32" s="26" t="s">
        <v>42</v>
      </c>
      <c r="H32" s="27" t="s">
        <v>43</v>
      </c>
      <c r="I32" s="28" t="s">
        <v>52</v>
      </c>
      <c r="J32" s="29">
        <v>2771622</v>
      </c>
      <c r="K32" s="29">
        <v>1840</v>
      </c>
      <c r="L32" s="29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/>
      <c r="W32" s="30"/>
      <c r="X32" s="30"/>
      <c r="Y32" s="30">
        <f t="shared" si="0"/>
        <v>0</v>
      </c>
      <c r="Z32" s="31">
        <v>1695033</v>
      </c>
      <c r="AA32" s="32">
        <v>13</v>
      </c>
      <c r="AB32" s="33">
        <v>44245</v>
      </c>
      <c r="AC32" s="33">
        <v>44267</v>
      </c>
      <c r="AD32" s="34">
        <f>+-1683833</f>
        <v>-1683833</v>
      </c>
      <c r="AE32" s="35">
        <v>42</v>
      </c>
      <c r="AF32" s="33">
        <v>44412</v>
      </c>
      <c r="AG32" s="36">
        <v>44421</v>
      </c>
      <c r="AH32" s="34"/>
      <c r="AI32" s="32"/>
      <c r="AJ32" s="27"/>
      <c r="AK32" s="36"/>
      <c r="AL32" s="34"/>
      <c r="AM32" s="32"/>
      <c r="AN32" s="27"/>
      <c r="AO32" s="36"/>
      <c r="AP32" s="34"/>
      <c r="AQ32" s="32"/>
      <c r="AR32" s="27"/>
      <c r="AS32" s="36"/>
      <c r="AT32" s="36"/>
      <c r="AU32" s="36"/>
      <c r="AV32" s="36"/>
      <c r="AW32" s="36"/>
      <c r="AX32" s="37">
        <f t="shared" si="1"/>
        <v>11200</v>
      </c>
      <c r="AY32" s="38">
        <f t="shared" si="2"/>
        <v>11200</v>
      </c>
    </row>
    <row r="33" spans="1:51" s="21" customFormat="1" ht="22.5">
      <c r="A33" s="39"/>
      <c r="B33" s="22">
        <v>21</v>
      </c>
      <c r="C33" s="22" t="s">
        <v>39</v>
      </c>
      <c r="D33" s="23">
        <v>30354106</v>
      </c>
      <c r="E33" s="40" t="s">
        <v>70</v>
      </c>
      <c r="F33" s="25" t="s">
        <v>51</v>
      </c>
      <c r="G33" s="26" t="s">
        <v>42</v>
      </c>
      <c r="H33" s="27" t="s">
        <v>43</v>
      </c>
      <c r="I33" s="28" t="s">
        <v>44</v>
      </c>
      <c r="J33" s="29">
        <v>814960</v>
      </c>
      <c r="K33" s="29">
        <v>72649</v>
      </c>
      <c r="L33" s="29">
        <v>0</v>
      </c>
      <c r="M33" s="30">
        <v>0</v>
      </c>
      <c r="N33" s="30">
        <v>0</v>
      </c>
      <c r="O33" s="30">
        <v>17317.986000000001</v>
      </c>
      <c r="P33" s="30">
        <v>1200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/>
      <c r="W33" s="30"/>
      <c r="X33" s="30"/>
      <c r="Y33" s="30">
        <f t="shared" si="0"/>
        <v>18517.986000000001</v>
      </c>
      <c r="Z33" s="31">
        <v>656966</v>
      </c>
      <c r="AA33" s="32">
        <v>12</v>
      </c>
      <c r="AB33" s="33">
        <v>44245</v>
      </c>
      <c r="AC33" s="33">
        <v>44266</v>
      </c>
      <c r="AD33" s="34">
        <f>+-553496</f>
        <v>-553496</v>
      </c>
      <c r="AE33" s="35">
        <v>47</v>
      </c>
      <c r="AF33" s="33">
        <v>44445</v>
      </c>
      <c r="AG33" s="36">
        <v>44463</v>
      </c>
      <c r="AH33" s="34"/>
      <c r="AI33" s="32"/>
      <c r="AJ33" s="27"/>
      <c r="AK33" s="36"/>
      <c r="AL33" s="34"/>
      <c r="AM33" s="32"/>
      <c r="AN33" s="27"/>
      <c r="AO33" s="36"/>
      <c r="AP33" s="34"/>
      <c r="AQ33" s="32"/>
      <c r="AR33" s="27"/>
      <c r="AS33" s="36"/>
      <c r="AT33" s="36"/>
      <c r="AU33" s="36"/>
      <c r="AV33" s="36"/>
      <c r="AW33" s="36"/>
      <c r="AX33" s="37">
        <f t="shared" si="1"/>
        <v>103470</v>
      </c>
      <c r="AY33" s="38">
        <f t="shared" si="2"/>
        <v>84952.013999999996</v>
      </c>
    </row>
    <row r="34" spans="1:51" s="21" customFormat="1" ht="22.5">
      <c r="A34" s="39"/>
      <c r="B34" s="22">
        <v>22</v>
      </c>
      <c r="C34" s="22" t="s">
        <v>39</v>
      </c>
      <c r="D34" s="23">
        <v>30354625</v>
      </c>
      <c r="E34" s="40" t="s">
        <v>71</v>
      </c>
      <c r="F34" s="25" t="s">
        <v>72</v>
      </c>
      <c r="G34" s="26" t="s">
        <v>42</v>
      </c>
      <c r="H34" s="27" t="s">
        <v>43</v>
      </c>
      <c r="I34" s="28" t="s">
        <v>44</v>
      </c>
      <c r="J34" s="29">
        <v>3754538</v>
      </c>
      <c r="K34" s="29">
        <v>3745463</v>
      </c>
      <c r="L34" s="29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/>
      <c r="W34" s="30"/>
      <c r="X34" s="30"/>
      <c r="Y34" s="30">
        <f t="shared" si="0"/>
        <v>0</v>
      </c>
      <c r="Z34" s="31">
        <v>8875</v>
      </c>
      <c r="AA34" s="32">
        <v>11</v>
      </c>
      <c r="AB34" s="33">
        <v>44245</v>
      </c>
      <c r="AC34" s="33">
        <v>44258</v>
      </c>
      <c r="AD34" s="34"/>
      <c r="AE34" s="35"/>
      <c r="AF34" s="27"/>
      <c r="AG34" s="36"/>
      <c r="AH34" s="34"/>
      <c r="AI34" s="32"/>
      <c r="AJ34" s="27"/>
      <c r="AK34" s="36"/>
      <c r="AL34" s="34"/>
      <c r="AM34" s="32"/>
      <c r="AN34" s="27"/>
      <c r="AO34" s="36"/>
      <c r="AP34" s="34"/>
      <c r="AQ34" s="32"/>
      <c r="AR34" s="27"/>
      <c r="AS34" s="36"/>
      <c r="AT34" s="36"/>
      <c r="AU34" s="36"/>
      <c r="AV34" s="36"/>
      <c r="AW34" s="36"/>
      <c r="AX34" s="37">
        <f t="shared" si="1"/>
        <v>8875</v>
      </c>
      <c r="AY34" s="38">
        <f t="shared" si="2"/>
        <v>8875</v>
      </c>
    </row>
    <row r="35" spans="1:51" s="21" customFormat="1" ht="22.5">
      <c r="A35" s="39"/>
      <c r="B35" s="22">
        <v>23</v>
      </c>
      <c r="C35" s="22" t="s">
        <v>39</v>
      </c>
      <c r="D35" s="23">
        <v>30354725</v>
      </c>
      <c r="E35" s="40" t="s">
        <v>73</v>
      </c>
      <c r="F35" s="25" t="s">
        <v>41</v>
      </c>
      <c r="G35" s="26" t="s">
        <v>42</v>
      </c>
      <c r="H35" s="27" t="s">
        <v>43</v>
      </c>
      <c r="I35" s="28" t="s">
        <v>44</v>
      </c>
      <c r="J35" s="29">
        <v>680491</v>
      </c>
      <c r="K35" s="29">
        <v>456722</v>
      </c>
      <c r="L35" s="29">
        <v>0</v>
      </c>
      <c r="M35" s="30">
        <v>0</v>
      </c>
      <c r="N35" s="30">
        <v>0</v>
      </c>
      <c r="O35" s="30">
        <v>179729.95600000001</v>
      </c>
      <c r="P35" s="30">
        <v>28289</v>
      </c>
      <c r="Q35" s="30">
        <v>0</v>
      </c>
      <c r="R35" s="30">
        <v>1250</v>
      </c>
      <c r="S35" s="30">
        <v>0</v>
      </c>
      <c r="T35" s="30">
        <v>708.33299999999997</v>
      </c>
      <c r="U35" s="30">
        <v>0</v>
      </c>
      <c r="V35" s="30"/>
      <c r="W35" s="30"/>
      <c r="X35" s="30"/>
      <c r="Y35" s="30">
        <f t="shared" si="0"/>
        <v>209977.28900000002</v>
      </c>
      <c r="Z35" s="31">
        <v>215769</v>
      </c>
      <c r="AA35" s="32">
        <v>12</v>
      </c>
      <c r="AB35" s="33">
        <v>44245</v>
      </c>
      <c r="AC35" s="33">
        <v>44266</v>
      </c>
      <c r="AD35" s="34">
        <v>-1250</v>
      </c>
      <c r="AE35" s="35">
        <v>25</v>
      </c>
      <c r="AF35" s="33">
        <v>44328</v>
      </c>
      <c r="AG35" s="36">
        <v>44342</v>
      </c>
      <c r="AH35" s="34"/>
      <c r="AI35" s="32"/>
      <c r="AJ35" s="27"/>
      <c r="AK35" s="36"/>
      <c r="AL35" s="34"/>
      <c r="AM35" s="32"/>
      <c r="AN35" s="27"/>
      <c r="AO35" s="36"/>
      <c r="AP35" s="34"/>
      <c r="AQ35" s="32"/>
      <c r="AR35" s="27"/>
      <c r="AS35" s="36"/>
      <c r="AT35" s="36"/>
      <c r="AU35" s="36"/>
      <c r="AV35" s="36"/>
      <c r="AW35" s="36"/>
      <c r="AX35" s="37">
        <f t="shared" si="1"/>
        <v>214519</v>
      </c>
      <c r="AY35" s="38">
        <f t="shared" si="2"/>
        <v>4541.7109999999811</v>
      </c>
    </row>
    <row r="36" spans="1:51" s="21" customFormat="1" ht="22.5">
      <c r="A36" s="39"/>
      <c r="B36" s="22">
        <v>24</v>
      </c>
      <c r="C36" s="22" t="s">
        <v>39</v>
      </c>
      <c r="D36" s="23">
        <v>30354778</v>
      </c>
      <c r="E36" s="40" t="s">
        <v>74</v>
      </c>
      <c r="F36" s="25" t="s">
        <v>51</v>
      </c>
      <c r="G36" s="26" t="s">
        <v>42</v>
      </c>
      <c r="H36" s="27" t="s">
        <v>43</v>
      </c>
      <c r="I36" s="28" t="s">
        <v>52</v>
      </c>
      <c r="J36" s="29">
        <v>1053981</v>
      </c>
      <c r="K36" s="29">
        <v>0</v>
      </c>
      <c r="L36" s="29">
        <v>501481</v>
      </c>
      <c r="M36" s="30">
        <v>0</v>
      </c>
      <c r="N36" s="30">
        <v>0</v>
      </c>
      <c r="O36" s="30">
        <v>0</v>
      </c>
      <c r="P36" s="30">
        <v>2500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/>
      <c r="W36" s="30"/>
      <c r="X36" s="30"/>
      <c r="Y36" s="30">
        <f t="shared" si="0"/>
        <v>2500</v>
      </c>
      <c r="Z36" s="31">
        <v>12500</v>
      </c>
      <c r="AA36" s="32">
        <v>8</v>
      </c>
      <c r="AB36" s="33">
        <v>44223</v>
      </c>
      <c r="AC36" s="33">
        <v>44237</v>
      </c>
      <c r="AD36" s="34">
        <v>1</v>
      </c>
      <c r="AE36" s="35">
        <v>17</v>
      </c>
      <c r="AF36" s="33">
        <v>44260</v>
      </c>
      <c r="AG36" s="33">
        <v>44272</v>
      </c>
      <c r="AH36" s="34">
        <v>539999</v>
      </c>
      <c r="AI36" s="35">
        <v>18</v>
      </c>
      <c r="AJ36" s="33">
        <v>44264</v>
      </c>
      <c r="AK36" s="33">
        <v>44273</v>
      </c>
      <c r="AL36" s="34">
        <v>-97297</v>
      </c>
      <c r="AM36" s="32">
        <v>25</v>
      </c>
      <c r="AN36" s="33">
        <v>44328</v>
      </c>
      <c r="AO36" s="36">
        <v>44342</v>
      </c>
      <c r="AP36" s="34">
        <v>97297</v>
      </c>
      <c r="AQ36" s="32">
        <v>40</v>
      </c>
      <c r="AR36" s="33">
        <v>44397</v>
      </c>
      <c r="AS36" s="36">
        <v>44410</v>
      </c>
      <c r="AT36" s="45">
        <f>+-397388</f>
        <v>-397388</v>
      </c>
      <c r="AU36" s="46">
        <v>47</v>
      </c>
      <c r="AV36" s="36">
        <v>44445</v>
      </c>
      <c r="AW36" s="36">
        <v>44463</v>
      </c>
      <c r="AX36" s="37">
        <f t="shared" si="1"/>
        <v>155112</v>
      </c>
      <c r="AY36" s="38">
        <f t="shared" si="2"/>
        <v>152612</v>
      </c>
    </row>
    <row r="37" spans="1:51" s="21" customFormat="1" ht="22.5">
      <c r="A37" s="39"/>
      <c r="B37" s="22">
        <v>25</v>
      </c>
      <c r="C37" s="22" t="s">
        <v>39</v>
      </c>
      <c r="D37" s="23">
        <v>30370354</v>
      </c>
      <c r="E37" s="40" t="s">
        <v>75</v>
      </c>
      <c r="F37" s="25" t="s">
        <v>47</v>
      </c>
      <c r="G37" s="26" t="s">
        <v>42</v>
      </c>
      <c r="H37" s="27" t="s">
        <v>43</v>
      </c>
      <c r="I37" s="28" t="s">
        <v>44</v>
      </c>
      <c r="J37" s="29">
        <v>28164</v>
      </c>
      <c r="K37" s="29">
        <v>20768</v>
      </c>
      <c r="L37" s="29">
        <v>0</v>
      </c>
      <c r="M37" s="30">
        <v>0</v>
      </c>
      <c r="N37" s="30">
        <v>0</v>
      </c>
      <c r="O37" s="30">
        <v>1908.09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/>
      <c r="W37" s="30"/>
      <c r="X37" s="30"/>
      <c r="Y37" s="30">
        <f t="shared" si="0"/>
        <v>1908.09</v>
      </c>
      <c r="Z37" s="31">
        <v>1909</v>
      </c>
      <c r="AA37" s="32">
        <v>12</v>
      </c>
      <c r="AB37" s="33">
        <v>44245</v>
      </c>
      <c r="AC37" s="33">
        <v>44266</v>
      </c>
      <c r="AD37" s="34"/>
      <c r="AE37" s="35"/>
      <c r="AF37" s="27"/>
      <c r="AG37" s="36"/>
      <c r="AH37" s="34"/>
      <c r="AI37" s="32"/>
      <c r="AJ37" s="27"/>
      <c r="AK37" s="36"/>
      <c r="AL37" s="34"/>
      <c r="AM37" s="32"/>
      <c r="AN37" s="27"/>
      <c r="AO37" s="36"/>
      <c r="AP37" s="34"/>
      <c r="AQ37" s="32"/>
      <c r="AR37" s="27"/>
      <c r="AS37" s="36"/>
      <c r="AT37" s="36"/>
      <c r="AU37" s="36"/>
      <c r="AV37" s="36"/>
      <c r="AW37" s="36"/>
      <c r="AX37" s="37">
        <f t="shared" si="1"/>
        <v>1909</v>
      </c>
      <c r="AY37" s="38">
        <f t="shared" si="2"/>
        <v>0.91000000000008185</v>
      </c>
    </row>
    <row r="38" spans="1:51" s="21" customFormat="1" ht="22.5">
      <c r="A38" s="39"/>
      <c r="B38" s="22">
        <v>26</v>
      </c>
      <c r="C38" s="22" t="s">
        <v>39</v>
      </c>
      <c r="D38" s="23">
        <v>30373727</v>
      </c>
      <c r="E38" s="40" t="s">
        <v>76</v>
      </c>
      <c r="F38" s="25" t="s">
        <v>51</v>
      </c>
      <c r="G38" s="26" t="s">
        <v>42</v>
      </c>
      <c r="H38" s="27" t="s">
        <v>43</v>
      </c>
      <c r="I38" s="28" t="s">
        <v>44</v>
      </c>
      <c r="J38" s="29">
        <v>1117578</v>
      </c>
      <c r="K38" s="29">
        <v>574453</v>
      </c>
      <c r="L38" s="29">
        <v>0</v>
      </c>
      <c r="M38" s="30">
        <v>0</v>
      </c>
      <c r="N38" s="30">
        <v>0</v>
      </c>
      <c r="O38" s="30">
        <v>51000</v>
      </c>
      <c r="P38" s="30">
        <v>153000</v>
      </c>
      <c r="Q38" s="30">
        <v>72780</v>
      </c>
      <c r="R38" s="30">
        <v>0</v>
      </c>
      <c r="S38" s="30">
        <v>0</v>
      </c>
      <c r="T38" s="30">
        <v>29300</v>
      </c>
      <c r="U38" s="30">
        <v>0</v>
      </c>
      <c r="V38" s="30"/>
      <c r="W38" s="30"/>
      <c r="X38" s="30"/>
      <c r="Y38" s="30">
        <f t="shared" si="0"/>
        <v>306080</v>
      </c>
      <c r="Z38" s="31">
        <v>531174</v>
      </c>
      <c r="AA38" s="32">
        <v>13</v>
      </c>
      <c r="AB38" s="33">
        <v>44245</v>
      </c>
      <c r="AC38" s="33">
        <v>44267</v>
      </c>
      <c r="AD38" s="34"/>
      <c r="AE38" s="35"/>
      <c r="AF38" s="27"/>
      <c r="AG38" s="36"/>
      <c r="AH38" s="34"/>
      <c r="AI38" s="32"/>
      <c r="AJ38" s="27"/>
      <c r="AK38" s="36"/>
      <c r="AL38" s="34"/>
      <c r="AM38" s="32"/>
      <c r="AN38" s="27"/>
      <c r="AO38" s="36"/>
      <c r="AP38" s="34"/>
      <c r="AQ38" s="32"/>
      <c r="AR38" s="27"/>
      <c r="AS38" s="36"/>
      <c r="AT38" s="36"/>
      <c r="AU38" s="36"/>
      <c r="AV38" s="36"/>
      <c r="AW38" s="36"/>
      <c r="AX38" s="37">
        <f t="shared" si="1"/>
        <v>531174</v>
      </c>
      <c r="AY38" s="38">
        <f t="shared" si="2"/>
        <v>225094</v>
      </c>
    </row>
    <row r="39" spans="1:51" s="21" customFormat="1" ht="22.5">
      <c r="A39" s="39"/>
      <c r="B39" s="22">
        <v>27</v>
      </c>
      <c r="C39" s="22" t="s">
        <v>39</v>
      </c>
      <c r="D39" s="23">
        <v>30422833</v>
      </c>
      <c r="E39" s="40" t="s">
        <v>77</v>
      </c>
      <c r="F39" s="25" t="s">
        <v>41</v>
      </c>
      <c r="G39" s="26" t="s">
        <v>42</v>
      </c>
      <c r="H39" s="27" t="s">
        <v>43</v>
      </c>
      <c r="I39" s="28" t="s">
        <v>44</v>
      </c>
      <c r="J39" s="29">
        <v>247003</v>
      </c>
      <c r="K39" s="29">
        <v>218971</v>
      </c>
      <c r="L39" s="29">
        <v>0</v>
      </c>
      <c r="M39" s="30">
        <v>0</v>
      </c>
      <c r="N39" s="30">
        <v>0</v>
      </c>
      <c r="O39" s="30">
        <v>0</v>
      </c>
      <c r="P39" s="30">
        <v>0</v>
      </c>
      <c r="Q39" s="30">
        <v>11510</v>
      </c>
      <c r="R39" s="30">
        <v>0</v>
      </c>
      <c r="S39" s="30">
        <v>0</v>
      </c>
      <c r="T39" s="30">
        <v>0</v>
      </c>
      <c r="U39" s="30">
        <v>0</v>
      </c>
      <c r="V39" s="30"/>
      <c r="W39" s="30"/>
      <c r="X39" s="30"/>
      <c r="Y39" s="30">
        <f t="shared" si="0"/>
        <v>11510</v>
      </c>
      <c r="Z39" s="31">
        <v>13562</v>
      </c>
      <c r="AA39" s="32">
        <v>13</v>
      </c>
      <c r="AB39" s="33">
        <v>44245</v>
      </c>
      <c r="AC39" s="33">
        <v>44267</v>
      </c>
      <c r="AD39" s="34"/>
      <c r="AE39" s="35"/>
      <c r="AF39" s="27"/>
      <c r="AG39" s="36"/>
      <c r="AH39" s="34"/>
      <c r="AI39" s="32"/>
      <c r="AJ39" s="27"/>
      <c r="AK39" s="36"/>
      <c r="AL39" s="34"/>
      <c r="AM39" s="32"/>
      <c r="AN39" s="27"/>
      <c r="AO39" s="36"/>
      <c r="AP39" s="34"/>
      <c r="AQ39" s="32"/>
      <c r="AR39" s="27"/>
      <c r="AS39" s="36"/>
      <c r="AT39" s="36"/>
      <c r="AU39" s="36"/>
      <c r="AV39" s="36"/>
      <c r="AW39" s="36"/>
      <c r="AX39" s="37">
        <f t="shared" si="1"/>
        <v>13562</v>
      </c>
      <c r="AY39" s="38">
        <f t="shared" si="2"/>
        <v>2052</v>
      </c>
    </row>
    <row r="40" spans="1:51" s="21" customFormat="1" ht="22.5">
      <c r="A40" s="39"/>
      <c r="B40" s="22">
        <v>28</v>
      </c>
      <c r="C40" s="22" t="s">
        <v>39</v>
      </c>
      <c r="D40" s="23">
        <v>30457423</v>
      </c>
      <c r="E40" s="40" t="s">
        <v>78</v>
      </c>
      <c r="F40" s="25" t="s">
        <v>72</v>
      </c>
      <c r="G40" s="26" t="s">
        <v>42</v>
      </c>
      <c r="H40" s="27" t="s">
        <v>43</v>
      </c>
      <c r="I40" s="28" t="s">
        <v>44</v>
      </c>
      <c r="J40" s="29">
        <v>988516</v>
      </c>
      <c r="K40" s="29">
        <v>432461</v>
      </c>
      <c r="L40" s="29">
        <v>0</v>
      </c>
      <c r="M40" s="30">
        <v>0</v>
      </c>
      <c r="N40" s="30">
        <v>48131.919000000002</v>
      </c>
      <c r="O40" s="30">
        <v>113523.07</v>
      </c>
      <c r="P40" s="30">
        <v>71954</v>
      </c>
      <c r="Q40" s="30">
        <v>55034</v>
      </c>
      <c r="R40" s="30">
        <v>60485</v>
      </c>
      <c r="S40" s="30">
        <v>35889.311999999998</v>
      </c>
      <c r="T40" s="30">
        <v>16409.8</v>
      </c>
      <c r="U40" s="30">
        <v>0</v>
      </c>
      <c r="V40" s="30"/>
      <c r="W40" s="30"/>
      <c r="X40" s="30"/>
      <c r="Y40" s="30">
        <f t="shared" si="0"/>
        <v>401427.10099999997</v>
      </c>
      <c r="Z40" s="31">
        <v>480073</v>
      </c>
      <c r="AA40" s="32">
        <v>11</v>
      </c>
      <c r="AB40" s="33">
        <v>44245</v>
      </c>
      <c r="AC40" s="33">
        <v>44258</v>
      </c>
      <c r="AD40" s="34"/>
      <c r="AE40" s="35"/>
      <c r="AF40" s="27"/>
      <c r="AG40" s="36"/>
      <c r="AH40" s="34"/>
      <c r="AI40" s="32"/>
      <c r="AJ40" s="27"/>
      <c r="AK40" s="36"/>
      <c r="AL40" s="34"/>
      <c r="AM40" s="32"/>
      <c r="AN40" s="27"/>
      <c r="AO40" s="36"/>
      <c r="AP40" s="34"/>
      <c r="AQ40" s="32"/>
      <c r="AR40" s="27"/>
      <c r="AS40" s="36"/>
      <c r="AT40" s="36"/>
      <c r="AU40" s="36"/>
      <c r="AV40" s="36"/>
      <c r="AW40" s="36"/>
      <c r="AX40" s="37">
        <f t="shared" si="1"/>
        <v>480073</v>
      </c>
      <c r="AY40" s="38">
        <f t="shared" si="2"/>
        <v>78645.899000000034</v>
      </c>
    </row>
    <row r="41" spans="1:51" s="21" customFormat="1" ht="22.5">
      <c r="A41" s="39"/>
      <c r="B41" s="22">
        <v>29</v>
      </c>
      <c r="C41" s="22" t="s">
        <v>39</v>
      </c>
      <c r="D41" s="23">
        <v>30464744</v>
      </c>
      <c r="E41" s="40" t="s">
        <v>79</v>
      </c>
      <c r="F41" s="25" t="s">
        <v>47</v>
      </c>
      <c r="G41" s="26" t="s">
        <v>42</v>
      </c>
      <c r="H41" s="27" t="s">
        <v>43</v>
      </c>
      <c r="I41" s="28" t="s">
        <v>44</v>
      </c>
      <c r="J41" s="29">
        <v>53283</v>
      </c>
      <c r="K41" s="29">
        <v>22016</v>
      </c>
      <c r="L41" s="29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/>
      <c r="W41" s="30"/>
      <c r="X41" s="30"/>
      <c r="Y41" s="30">
        <f t="shared" si="0"/>
        <v>0</v>
      </c>
      <c r="Z41" s="31">
        <v>28122</v>
      </c>
      <c r="AA41" s="32">
        <v>15</v>
      </c>
      <c r="AB41" s="33">
        <v>44251</v>
      </c>
      <c r="AC41" s="33">
        <v>44267</v>
      </c>
      <c r="AD41" s="34">
        <f>+-28122</f>
        <v>-28122</v>
      </c>
      <c r="AE41" s="35">
        <v>44</v>
      </c>
      <c r="AF41" s="33">
        <v>44425</v>
      </c>
      <c r="AG41" s="36">
        <v>44442</v>
      </c>
      <c r="AH41" s="34"/>
      <c r="AI41" s="32"/>
      <c r="AJ41" s="27"/>
      <c r="AK41" s="36"/>
      <c r="AL41" s="34"/>
      <c r="AM41" s="32"/>
      <c r="AN41" s="27"/>
      <c r="AO41" s="36"/>
      <c r="AP41" s="34"/>
      <c r="AQ41" s="32"/>
      <c r="AR41" s="27"/>
      <c r="AS41" s="36"/>
      <c r="AT41" s="36"/>
      <c r="AU41" s="36"/>
      <c r="AV41" s="36"/>
      <c r="AW41" s="36"/>
      <c r="AX41" s="37">
        <f t="shared" si="1"/>
        <v>0</v>
      </c>
      <c r="AY41" s="38">
        <f t="shared" si="2"/>
        <v>0</v>
      </c>
    </row>
    <row r="42" spans="1:51" s="21" customFormat="1" ht="22.5">
      <c r="A42" s="39"/>
      <c r="B42" s="22">
        <v>30</v>
      </c>
      <c r="C42" s="22" t="s">
        <v>39</v>
      </c>
      <c r="D42" s="23">
        <v>30476884</v>
      </c>
      <c r="E42" s="40" t="s">
        <v>80</v>
      </c>
      <c r="F42" s="25" t="s">
        <v>51</v>
      </c>
      <c r="G42" s="26" t="s">
        <v>42</v>
      </c>
      <c r="H42" s="27" t="s">
        <v>43</v>
      </c>
      <c r="I42" s="28" t="s">
        <v>52</v>
      </c>
      <c r="J42" s="29">
        <v>15166755</v>
      </c>
      <c r="K42" s="29">
        <v>2387</v>
      </c>
      <c r="L42" s="29">
        <v>4663854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3179</v>
      </c>
      <c r="U42" s="30">
        <v>0</v>
      </c>
      <c r="V42" s="30"/>
      <c r="W42" s="30"/>
      <c r="X42" s="30"/>
      <c r="Y42" s="30">
        <f t="shared" si="0"/>
        <v>3179</v>
      </c>
      <c r="Z42" s="31">
        <v>300876</v>
      </c>
      <c r="AA42" s="32">
        <v>13</v>
      </c>
      <c r="AB42" s="33">
        <v>44245</v>
      </c>
      <c r="AC42" s="33">
        <v>44267</v>
      </c>
      <c r="AD42" s="34">
        <v>295637</v>
      </c>
      <c r="AE42" s="35">
        <v>42</v>
      </c>
      <c r="AF42" s="33">
        <v>44412</v>
      </c>
      <c r="AG42" s="36">
        <v>44421</v>
      </c>
      <c r="AH42" s="34"/>
      <c r="AI42" s="32"/>
      <c r="AJ42" s="27"/>
      <c r="AK42" s="36"/>
      <c r="AL42" s="34"/>
      <c r="AM42" s="32"/>
      <c r="AN42" s="27"/>
      <c r="AO42" s="36"/>
      <c r="AP42" s="34"/>
      <c r="AQ42" s="32"/>
      <c r="AR42" s="27"/>
      <c r="AS42" s="36"/>
      <c r="AT42" s="36"/>
      <c r="AU42" s="36"/>
      <c r="AV42" s="36"/>
      <c r="AW42" s="36"/>
      <c r="AX42" s="37">
        <f t="shared" si="1"/>
        <v>596513</v>
      </c>
      <c r="AY42" s="38">
        <f t="shared" si="2"/>
        <v>593334</v>
      </c>
    </row>
    <row r="43" spans="1:51" s="21" customFormat="1" ht="22.5">
      <c r="A43" s="39"/>
      <c r="B43" s="22">
        <v>31</v>
      </c>
      <c r="C43" s="22" t="s">
        <v>39</v>
      </c>
      <c r="D43" s="23">
        <v>30478986</v>
      </c>
      <c r="E43" s="40" t="s">
        <v>81</v>
      </c>
      <c r="F43" s="25" t="s">
        <v>41</v>
      </c>
      <c r="G43" s="26" t="s">
        <v>42</v>
      </c>
      <c r="H43" s="27" t="s">
        <v>43</v>
      </c>
      <c r="I43" s="28" t="s">
        <v>44</v>
      </c>
      <c r="J43" s="29">
        <v>2111549</v>
      </c>
      <c r="K43" s="29">
        <v>2086039</v>
      </c>
      <c r="L43" s="29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/>
      <c r="W43" s="30"/>
      <c r="X43" s="30"/>
      <c r="Y43" s="30">
        <f t="shared" si="0"/>
        <v>0</v>
      </c>
      <c r="Z43" s="31">
        <v>15080</v>
      </c>
      <c r="AA43" s="32">
        <v>13</v>
      </c>
      <c r="AB43" s="33">
        <v>44245</v>
      </c>
      <c r="AC43" s="33">
        <v>44267</v>
      </c>
      <c r="AD43" s="34"/>
      <c r="AE43" s="35"/>
      <c r="AF43" s="27"/>
      <c r="AG43" s="36"/>
      <c r="AH43" s="34"/>
      <c r="AI43" s="32"/>
      <c r="AJ43" s="27"/>
      <c r="AK43" s="36"/>
      <c r="AL43" s="34"/>
      <c r="AM43" s="32"/>
      <c r="AN43" s="27"/>
      <c r="AO43" s="36"/>
      <c r="AP43" s="34"/>
      <c r="AQ43" s="32"/>
      <c r="AR43" s="27"/>
      <c r="AS43" s="36"/>
      <c r="AT43" s="36"/>
      <c r="AU43" s="36"/>
      <c r="AV43" s="36"/>
      <c r="AW43" s="36"/>
      <c r="AX43" s="37">
        <f t="shared" si="1"/>
        <v>15080</v>
      </c>
      <c r="AY43" s="38">
        <f t="shared" si="2"/>
        <v>15080</v>
      </c>
    </row>
    <row r="44" spans="1:51" s="21" customFormat="1" ht="22.5">
      <c r="A44" s="39"/>
      <c r="B44" s="22">
        <v>32</v>
      </c>
      <c r="C44" s="22" t="s">
        <v>39</v>
      </c>
      <c r="D44" s="23">
        <v>30480676</v>
      </c>
      <c r="E44" s="40" t="s">
        <v>82</v>
      </c>
      <c r="F44" s="25" t="s">
        <v>83</v>
      </c>
      <c r="G44" s="26" t="s">
        <v>42</v>
      </c>
      <c r="H44" s="27" t="s">
        <v>43</v>
      </c>
      <c r="I44" s="28" t="s">
        <v>44</v>
      </c>
      <c r="J44" s="29">
        <v>761177</v>
      </c>
      <c r="K44" s="29">
        <v>294026</v>
      </c>
      <c r="L44" s="29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/>
      <c r="W44" s="30"/>
      <c r="X44" s="30"/>
      <c r="Y44" s="30">
        <f t="shared" si="0"/>
        <v>0</v>
      </c>
      <c r="Z44" s="31">
        <v>1</v>
      </c>
      <c r="AA44" s="32">
        <v>15</v>
      </c>
      <c r="AB44" s="33">
        <v>44251</v>
      </c>
      <c r="AC44" s="33">
        <v>44267</v>
      </c>
      <c r="AD44" s="34"/>
      <c r="AE44" s="35"/>
      <c r="AF44" s="27"/>
      <c r="AG44" s="36"/>
      <c r="AH44" s="34"/>
      <c r="AI44" s="32"/>
      <c r="AJ44" s="27"/>
      <c r="AK44" s="36"/>
      <c r="AL44" s="34"/>
      <c r="AM44" s="32"/>
      <c r="AN44" s="27"/>
      <c r="AO44" s="36"/>
      <c r="AP44" s="34"/>
      <c r="AQ44" s="32"/>
      <c r="AR44" s="27"/>
      <c r="AS44" s="36"/>
      <c r="AT44" s="36"/>
      <c r="AU44" s="36"/>
      <c r="AV44" s="36"/>
      <c r="AW44" s="36"/>
      <c r="AX44" s="37">
        <f t="shared" si="1"/>
        <v>1</v>
      </c>
      <c r="AY44" s="38">
        <f t="shared" si="2"/>
        <v>1</v>
      </c>
    </row>
    <row r="45" spans="1:51" s="21" customFormat="1" ht="22.5">
      <c r="A45" s="39"/>
      <c r="B45" s="22">
        <v>33</v>
      </c>
      <c r="C45" s="22" t="s">
        <v>39</v>
      </c>
      <c r="D45" s="23">
        <v>30483609</v>
      </c>
      <c r="E45" s="40" t="s">
        <v>84</v>
      </c>
      <c r="F45" s="25" t="s">
        <v>85</v>
      </c>
      <c r="G45" s="26" t="s">
        <v>42</v>
      </c>
      <c r="H45" s="27" t="s">
        <v>43</v>
      </c>
      <c r="I45" s="28" t="s">
        <v>44</v>
      </c>
      <c r="J45" s="29">
        <v>271020</v>
      </c>
      <c r="K45" s="29">
        <v>186332</v>
      </c>
      <c r="L45" s="29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/>
      <c r="W45" s="30"/>
      <c r="X45" s="30"/>
      <c r="Y45" s="30">
        <f t="shared" si="0"/>
        <v>0</v>
      </c>
      <c r="Z45" s="31">
        <v>15932</v>
      </c>
      <c r="AA45" s="32">
        <v>11</v>
      </c>
      <c r="AB45" s="33">
        <v>44245</v>
      </c>
      <c r="AC45" s="33">
        <v>44258</v>
      </c>
      <c r="AD45" s="34"/>
      <c r="AE45" s="35"/>
      <c r="AF45" s="27"/>
      <c r="AG45" s="36"/>
      <c r="AH45" s="34"/>
      <c r="AI45" s="32"/>
      <c r="AJ45" s="27"/>
      <c r="AK45" s="36"/>
      <c r="AL45" s="34"/>
      <c r="AM45" s="32"/>
      <c r="AN45" s="27"/>
      <c r="AO45" s="36"/>
      <c r="AP45" s="34"/>
      <c r="AQ45" s="32"/>
      <c r="AR45" s="27"/>
      <c r="AS45" s="36"/>
      <c r="AT45" s="36"/>
      <c r="AU45" s="36"/>
      <c r="AV45" s="36"/>
      <c r="AW45" s="36"/>
      <c r="AX45" s="37">
        <f t="shared" si="1"/>
        <v>15932</v>
      </c>
      <c r="AY45" s="38">
        <f t="shared" si="2"/>
        <v>15932</v>
      </c>
    </row>
    <row r="46" spans="1:51" s="21" customFormat="1" ht="22.5">
      <c r="A46" s="39"/>
      <c r="B46" s="22">
        <v>34</v>
      </c>
      <c r="C46" s="22" t="s">
        <v>39</v>
      </c>
      <c r="D46" s="23">
        <v>30484949</v>
      </c>
      <c r="E46" s="40" t="s">
        <v>86</v>
      </c>
      <c r="F46" s="25" t="s">
        <v>47</v>
      </c>
      <c r="G46" s="26" t="s">
        <v>42</v>
      </c>
      <c r="H46" s="27" t="s">
        <v>43</v>
      </c>
      <c r="I46" s="28" t="s">
        <v>44</v>
      </c>
      <c r="J46" s="29">
        <v>50742</v>
      </c>
      <c r="K46" s="29">
        <v>35405</v>
      </c>
      <c r="L46" s="29">
        <v>0</v>
      </c>
      <c r="M46" s="30">
        <v>0</v>
      </c>
      <c r="N46" s="30">
        <v>0</v>
      </c>
      <c r="O46" s="30">
        <v>0</v>
      </c>
      <c r="P46" s="30">
        <v>14400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/>
      <c r="W46" s="30"/>
      <c r="X46" s="30"/>
      <c r="Y46" s="30">
        <f t="shared" si="0"/>
        <v>14400</v>
      </c>
      <c r="Z46" s="31">
        <v>14400</v>
      </c>
      <c r="AA46" s="32">
        <v>12</v>
      </c>
      <c r="AB46" s="33">
        <v>44245</v>
      </c>
      <c r="AC46" s="33">
        <v>44266</v>
      </c>
      <c r="AD46" s="34"/>
      <c r="AE46" s="35"/>
      <c r="AF46" s="27"/>
      <c r="AG46" s="36"/>
      <c r="AH46" s="34"/>
      <c r="AI46" s="32"/>
      <c r="AJ46" s="27"/>
      <c r="AK46" s="36"/>
      <c r="AL46" s="34"/>
      <c r="AM46" s="32"/>
      <c r="AN46" s="27"/>
      <c r="AO46" s="36"/>
      <c r="AP46" s="34"/>
      <c r="AQ46" s="32"/>
      <c r="AR46" s="27"/>
      <c r="AS46" s="36"/>
      <c r="AT46" s="36"/>
      <c r="AU46" s="36"/>
      <c r="AV46" s="36"/>
      <c r="AW46" s="36"/>
      <c r="AX46" s="37">
        <f t="shared" si="1"/>
        <v>14400</v>
      </c>
      <c r="AY46" s="38">
        <f t="shared" si="2"/>
        <v>0</v>
      </c>
    </row>
    <row r="47" spans="1:51" s="21" customFormat="1" ht="22.5">
      <c r="A47" s="39"/>
      <c r="B47" s="22">
        <v>35</v>
      </c>
      <c r="C47" s="22" t="s">
        <v>39</v>
      </c>
      <c r="D47" s="23">
        <v>30485271</v>
      </c>
      <c r="E47" s="40" t="s">
        <v>87</v>
      </c>
      <c r="F47" s="25" t="s">
        <v>41</v>
      </c>
      <c r="G47" s="26" t="s">
        <v>42</v>
      </c>
      <c r="H47" s="27" t="s">
        <v>43</v>
      </c>
      <c r="I47" s="28" t="s">
        <v>44</v>
      </c>
      <c r="J47" s="29">
        <v>904391</v>
      </c>
      <c r="K47" s="29">
        <v>599582</v>
      </c>
      <c r="L47" s="29">
        <v>0</v>
      </c>
      <c r="M47" s="30">
        <v>0</v>
      </c>
      <c r="N47" s="30">
        <v>72584.612999999998</v>
      </c>
      <c r="O47" s="30">
        <v>70116.816999999995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/>
      <c r="W47" s="30"/>
      <c r="X47" s="30"/>
      <c r="Y47" s="30">
        <f t="shared" si="0"/>
        <v>142701.43</v>
      </c>
      <c r="Z47" s="31">
        <v>252870</v>
      </c>
      <c r="AA47" s="32">
        <v>11</v>
      </c>
      <c r="AB47" s="33">
        <v>44245</v>
      </c>
      <c r="AC47" s="33">
        <v>44258</v>
      </c>
      <c r="AD47" s="34">
        <v>-101635</v>
      </c>
      <c r="AE47" s="35">
        <v>25</v>
      </c>
      <c r="AF47" s="33">
        <v>44328</v>
      </c>
      <c r="AG47" s="36">
        <v>44342</v>
      </c>
      <c r="AH47" s="34"/>
      <c r="AI47" s="32"/>
      <c r="AJ47" s="27"/>
      <c r="AK47" s="36"/>
      <c r="AL47" s="34"/>
      <c r="AM47" s="32"/>
      <c r="AN47" s="27"/>
      <c r="AO47" s="36"/>
      <c r="AP47" s="34"/>
      <c r="AQ47" s="32"/>
      <c r="AR47" s="27"/>
      <c r="AS47" s="36"/>
      <c r="AT47" s="36"/>
      <c r="AU47" s="36"/>
      <c r="AV47" s="36"/>
      <c r="AW47" s="36"/>
      <c r="AX47" s="37">
        <f t="shared" si="1"/>
        <v>151235</v>
      </c>
      <c r="AY47" s="38">
        <f t="shared" si="2"/>
        <v>8533.570000000007</v>
      </c>
    </row>
    <row r="48" spans="1:51" s="21" customFormat="1" ht="22.5">
      <c r="A48" s="39"/>
      <c r="B48" s="22">
        <v>36</v>
      </c>
      <c r="C48" s="22" t="s">
        <v>39</v>
      </c>
      <c r="D48" s="23">
        <v>40000979</v>
      </c>
      <c r="E48" s="40" t="s">
        <v>88</v>
      </c>
      <c r="F48" s="25" t="s">
        <v>41</v>
      </c>
      <c r="G48" s="26" t="s">
        <v>42</v>
      </c>
      <c r="H48" s="27" t="s">
        <v>43</v>
      </c>
      <c r="I48" s="28" t="s">
        <v>52</v>
      </c>
      <c r="J48" s="29">
        <v>3612481</v>
      </c>
      <c r="K48" s="29">
        <v>9378</v>
      </c>
      <c r="L48" s="29">
        <v>273484</v>
      </c>
      <c r="M48" s="30">
        <v>0</v>
      </c>
      <c r="N48" s="30">
        <v>0</v>
      </c>
      <c r="O48" s="30">
        <v>0</v>
      </c>
      <c r="P48" s="30">
        <v>86425</v>
      </c>
      <c r="Q48" s="30">
        <v>160683</v>
      </c>
      <c r="R48" s="30">
        <v>141231</v>
      </c>
      <c r="S48" s="30">
        <v>95142.228000000003</v>
      </c>
      <c r="T48" s="30">
        <v>125671.061</v>
      </c>
      <c r="U48" s="30">
        <v>196299.049</v>
      </c>
      <c r="V48" s="30"/>
      <c r="W48" s="30"/>
      <c r="X48" s="30"/>
      <c r="Y48" s="30">
        <f t="shared" si="0"/>
        <v>805451.33799999999</v>
      </c>
      <c r="Z48" s="31">
        <v>230000</v>
      </c>
      <c r="AA48" s="32">
        <v>7</v>
      </c>
      <c r="AB48" s="33">
        <v>44223</v>
      </c>
      <c r="AC48" s="33">
        <v>44244</v>
      </c>
      <c r="AD48" s="34">
        <v>1740000</v>
      </c>
      <c r="AE48" s="35">
        <v>25</v>
      </c>
      <c r="AF48" s="33">
        <v>44328</v>
      </c>
      <c r="AG48" s="36">
        <v>44342</v>
      </c>
      <c r="AH48" s="34">
        <f>+-431040</f>
        <v>-431040</v>
      </c>
      <c r="AI48" s="32">
        <v>42</v>
      </c>
      <c r="AJ48" s="33">
        <v>44412</v>
      </c>
      <c r="AK48" s="36">
        <v>44421</v>
      </c>
      <c r="AL48" s="34"/>
      <c r="AM48" s="32"/>
      <c r="AN48" s="27"/>
      <c r="AO48" s="36"/>
      <c r="AP48" s="34"/>
      <c r="AQ48" s="32"/>
      <c r="AR48" s="27"/>
      <c r="AS48" s="36"/>
      <c r="AT48" s="36"/>
      <c r="AU48" s="36"/>
      <c r="AV48" s="36"/>
      <c r="AW48" s="36"/>
      <c r="AX48" s="37">
        <f t="shared" si="1"/>
        <v>1538960</v>
      </c>
      <c r="AY48" s="38">
        <f t="shared" si="2"/>
        <v>733508.66200000001</v>
      </c>
    </row>
    <row r="49" spans="1:51" s="21" customFormat="1" ht="22.5">
      <c r="A49" s="39"/>
      <c r="B49" s="22">
        <v>37</v>
      </c>
      <c r="C49" s="22" t="s">
        <v>39</v>
      </c>
      <c r="D49" s="23">
        <v>40001774</v>
      </c>
      <c r="E49" s="40" t="s">
        <v>89</v>
      </c>
      <c r="F49" s="25" t="s">
        <v>41</v>
      </c>
      <c r="G49" s="26" t="s">
        <v>42</v>
      </c>
      <c r="H49" s="27" t="s">
        <v>43</v>
      </c>
      <c r="I49" s="28" t="s">
        <v>44</v>
      </c>
      <c r="J49" s="29">
        <v>480225</v>
      </c>
      <c r="K49" s="29">
        <v>441633</v>
      </c>
      <c r="L49" s="29">
        <v>0</v>
      </c>
      <c r="M49" s="30">
        <v>0</v>
      </c>
      <c r="N49" s="30">
        <v>0</v>
      </c>
      <c r="O49" s="30">
        <v>2950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/>
      <c r="W49" s="30"/>
      <c r="X49" s="30"/>
      <c r="Y49" s="30">
        <f t="shared" si="0"/>
        <v>2950</v>
      </c>
      <c r="Z49" s="31">
        <v>2950</v>
      </c>
      <c r="AA49" s="32">
        <v>12</v>
      </c>
      <c r="AB49" s="33">
        <v>44245</v>
      </c>
      <c r="AC49" s="33">
        <v>44266</v>
      </c>
      <c r="AD49" s="34"/>
      <c r="AE49" s="35"/>
      <c r="AF49" s="27"/>
      <c r="AG49" s="36"/>
      <c r="AH49" s="34"/>
      <c r="AI49" s="32"/>
      <c r="AJ49" s="27"/>
      <c r="AK49" s="36"/>
      <c r="AL49" s="34"/>
      <c r="AM49" s="32"/>
      <c r="AN49" s="27"/>
      <c r="AO49" s="36"/>
      <c r="AP49" s="34"/>
      <c r="AQ49" s="32"/>
      <c r="AR49" s="27"/>
      <c r="AS49" s="36"/>
      <c r="AT49" s="36"/>
      <c r="AU49" s="36"/>
      <c r="AV49" s="36"/>
      <c r="AW49" s="36"/>
      <c r="AX49" s="37">
        <f t="shared" si="1"/>
        <v>2950</v>
      </c>
      <c r="AY49" s="38">
        <f t="shared" si="2"/>
        <v>0</v>
      </c>
    </row>
    <row r="50" spans="1:51" s="21" customFormat="1" ht="22.5">
      <c r="A50" s="39"/>
      <c r="B50" s="22">
        <v>38</v>
      </c>
      <c r="C50" s="22" t="s">
        <v>39</v>
      </c>
      <c r="D50" s="23">
        <v>40002064</v>
      </c>
      <c r="E50" s="40" t="s">
        <v>90</v>
      </c>
      <c r="F50" s="25" t="s">
        <v>47</v>
      </c>
      <c r="G50" s="26" t="s">
        <v>42</v>
      </c>
      <c r="H50" s="27" t="s">
        <v>43</v>
      </c>
      <c r="I50" s="28" t="s">
        <v>44</v>
      </c>
      <c r="J50" s="29">
        <v>87110</v>
      </c>
      <c r="K50" s="29">
        <v>45031</v>
      </c>
      <c r="L50" s="29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18435</v>
      </c>
      <c r="S50" s="30">
        <v>0</v>
      </c>
      <c r="T50" s="30">
        <v>0</v>
      </c>
      <c r="U50" s="30">
        <v>0</v>
      </c>
      <c r="V50" s="30"/>
      <c r="W50" s="30"/>
      <c r="X50" s="30"/>
      <c r="Y50" s="30">
        <f t="shared" si="0"/>
        <v>18435</v>
      </c>
      <c r="Z50" s="31">
        <v>18435</v>
      </c>
      <c r="AA50" s="32">
        <v>12</v>
      </c>
      <c r="AB50" s="33">
        <v>44245</v>
      </c>
      <c r="AC50" s="33">
        <v>44266</v>
      </c>
      <c r="AD50" s="34"/>
      <c r="AE50" s="35"/>
      <c r="AF50" s="27"/>
      <c r="AG50" s="36"/>
      <c r="AH50" s="34"/>
      <c r="AI50" s="32"/>
      <c r="AJ50" s="27"/>
      <c r="AK50" s="36"/>
      <c r="AL50" s="34"/>
      <c r="AM50" s="32"/>
      <c r="AN50" s="27"/>
      <c r="AO50" s="36"/>
      <c r="AP50" s="34"/>
      <c r="AQ50" s="32"/>
      <c r="AR50" s="27"/>
      <c r="AS50" s="36"/>
      <c r="AT50" s="36"/>
      <c r="AU50" s="36"/>
      <c r="AV50" s="36"/>
      <c r="AW50" s="36"/>
      <c r="AX50" s="37">
        <f t="shared" si="1"/>
        <v>18435</v>
      </c>
      <c r="AY50" s="38">
        <f t="shared" si="2"/>
        <v>0</v>
      </c>
    </row>
    <row r="51" spans="1:51" s="21" customFormat="1" ht="22.5">
      <c r="A51" s="39"/>
      <c r="B51" s="22">
        <v>39</v>
      </c>
      <c r="C51" s="22" t="s">
        <v>39</v>
      </c>
      <c r="D51" s="23">
        <v>40003168</v>
      </c>
      <c r="E51" s="40" t="s">
        <v>91</v>
      </c>
      <c r="F51" s="25" t="s">
        <v>51</v>
      </c>
      <c r="G51" s="26" t="s">
        <v>42</v>
      </c>
      <c r="H51" s="27" t="s">
        <v>92</v>
      </c>
      <c r="I51" s="28" t="s">
        <v>52</v>
      </c>
      <c r="J51" s="29">
        <v>2149554</v>
      </c>
      <c r="K51" s="29">
        <v>0</v>
      </c>
      <c r="L51" s="29">
        <v>0</v>
      </c>
      <c r="M51" s="30">
        <v>0</v>
      </c>
      <c r="N51" s="30">
        <v>0</v>
      </c>
      <c r="O51" s="30">
        <v>0</v>
      </c>
      <c r="P51" s="30">
        <v>0</v>
      </c>
      <c r="Q51" s="30">
        <v>70632</v>
      </c>
      <c r="R51" s="30">
        <v>43152</v>
      </c>
      <c r="S51" s="30">
        <v>70697.688999999998</v>
      </c>
      <c r="T51" s="30">
        <v>131032.774</v>
      </c>
      <c r="U51" s="30">
        <v>8829.0930000000008</v>
      </c>
      <c r="V51" s="30"/>
      <c r="W51" s="30"/>
      <c r="X51" s="30"/>
      <c r="Y51" s="30">
        <f t="shared" si="0"/>
        <v>324343.55599999998</v>
      </c>
      <c r="Z51" s="31">
        <v>619845</v>
      </c>
      <c r="AA51" s="32">
        <v>8</v>
      </c>
      <c r="AB51" s="33">
        <v>44223</v>
      </c>
      <c r="AC51" s="33">
        <v>44237</v>
      </c>
      <c r="AD51" s="34">
        <v>7000</v>
      </c>
      <c r="AE51" s="35">
        <v>48</v>
      </c>
      <c r="AF51" s="33">
        <v>44448</v>
      </c>
      <c r="AG51" s="36">
        <v>44459</v>
      </c>
      <c r="AH51" s="34"/>
      <c r="AI51" s="32"/>
      <c r="AJ51" s="27"/>
      <c r="AK51" s="36"/>
      <c r="AL51" s="34"/>
      <c r="AM51" s="32"/>
      <c r="AN51" s="27"/>
      <c r="AO51" s="36"/>
      <c r="AP51" s="34"/>
      <c r="AQ51" s="32"/>
      <c r="AR51" s="27"/>
      <c r="AS51" s="36"/>
      <c r="AT51" s="36"/>
      <c r="AU51" s="36"/>
      <c r="AV51" s="36"/>
      <c r="AW51" s="36"/>
      <c r="AX51" s="37">
        <f t="shared" si="1"/>
        <v>626845</v>
      </c>
      <c r="AY51" s="38">
        <f t="shared" si="2"/>
        <v>302501.44400000002</v>
      </c>
    </row>
    <row r="52" spans="1:51" s="21" customFormat="1" ht="22.5">
      <c r="A52" s="39"/>
      <c r="B52" s="22">
        <v>40</v>
      </c>
      <c r="C52" s="22" t="s">
        <v>65</v>
      </c>
      <c r="D52" s="23">
        <v>30341574</v>
      </c>
      <c r="E52" s="40" t="s">
        <v>93</v>
      </c>
      <c r="F52" s="25" t="s">
        <v>41</v>
      </c>
      <c r="G52" s="26" t="s">
        <v>42</v>
      </c>
      <c r="H52" s="27" t="s">
        <v>43</v>
      </c>
      <c r="I52" s="28" t="s">
        <v>44</v>
      </c>
      <c r="J52" s="29">
        <v>345033</v>
      </c>
      <c r="K52" s="29">
        <v>33721</v>
      </c>
      <c r="L52" s="29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/>
      <c r="W52" s="30"/>
      <c r="X52" s="30"/>
      <c r="Y52" s="30">
        <f t="shared" si="0"/>
        <v>0</v>
      </c>
      <c r="Z52" s="31">
        <v>295193</v>
      </c>
      <c r="AA52" s="32">
        <v>14</v>
      </c>
      <c r="AB52" s="33">
        <v>44245</v>
      </c>
      <c r="AC52" s="33">
        <v>44287</v>
      </c>
      <c r="AD52" s="34">
        <f>+-59821</f>
        <v>-59821</v>
      </c>
      <c r="AE52" s="35">
        <v>35</v>
      </c>
      <c r="AF52" s="33">
        <v>44383</v>
      </c>
      <c r="AG52" s="36">
        <v>44397</v>
      </c>
      <c r="AH52" s="34">
        <f>+-5010</f>
        <v>-5010</v>
      </c>
      <c r="AI52" s="32">
        <v>38</v>
      </c>
      <c r="AJ52" s="33">
        <v>44390</v>
      </c>
      <c r="AK52" s="36">
        <v>44410</v>
      </c>
      <c r="AL52" s="34">
        <f>+-6018</f>
        <v>-6018</v>
      </c>
      <c r="AM52" s="32">
        <v>50</v>
      </c>
      <c r="AN52" s="33">
        <v>44453</v>
      </c>
      <c r="AO52" s="36">
        <v>44462</v>
      </c>
      <c r="AP52" s="34"/>
      <c r="AQ52" s="32"/>
      <c r="AR52" s="27"/>
      <c r="AS52" s="36"/>
      <c r="AT52" s="36"/>
      <c r="AU52" s="36"/>
      <c r="AV52" s="36"/>
      <c r="AW52" s="36"/>
      <c r="AX52" s="37">
        <f t="shared" si="1"/>
        <v>224344</v>
      </c>
      <c r="AY52" s="38">
        <f t="shared" si="2"/>
        <v>224344</v>
      </c>
    </row>
    <row r="53" spans="1:51" s="21" customFormat="1" ht="22.5">
      <c r="A53" s="39"/>
      <c r="B53" s="22">
        <v>41</v>
      </c>
      <c r="C53" s="22" t="s">
        <v>39</v>
      </c>
      <c r="D53" s="23">
        <v>40010116</v>
      </c>
      <c r="E53" s="40" t="s">
        <v>94</v>
      </c>
      <c r="F53" s="25" t="s">
        <v>95</v>
      </c>
      <c r="G53" s="26" t="s">
        <v>42</v>
      </c>
      <c r="H53" s="27" t="s">
        <v>96</v>
      </c>
      <c r="I53" s="28" t="s">
        <v>52</v>
      </c>
      <c r="J53" s="29">
        <v>11662119</v>
      </c>
      <c r="K53" s="29">
        <v>0</v>
      </c>
      <c r="L53" s="29">
        <v>5247507</v>
      </c>
      <c r="M53" s="30">
        <v>0</v>
      </c>
      <c r="N53" s="30">
        <v>0</v>
      </c>
      <c r="O53" s="30">
        <v>0</v>
      </c>
      <c r="P53" s="30">
        <v>0</v>
      </c>
      <c r="Q53" s="30">
        <v>41936</v>
      </c>
      <c r="R53" s="30">
        <v>993712</v>
      </c>
      <c r="S53" s="30">
        <v>953739.06200000003</v>
      </c>
      <c r="T53" s="30">
        <v>1293630.9890000001</v>
      </c>
      <c r="U53" s="30">
        <v>1392596.07</v>
      </c>
      <c r="V53" s="30"/>
      <c r="W53" s="30"/>
      <c r="X53" s="30"/>
      <c r="Y53" s="30">
        <f t="shared" si="0"/>
        <v>4675614.1210000003</v>
      </c>
      <c r="Z53" s="31">
        <v>1002000</v>
      </c>
      <c r="AA53" s="32">
        <v>7</v>
      </c>
      <c r="AB53" s="33">
        <v>44223</v>
      </c>
      <c r="AC53" s="33">
        <v>44244</v>
      </c>
      <c r="AD53" s="34">
        <v>1500000</v>
      </c>
      <c r="AE53" s="35">
        <v>25</v>
      </c>
      <c r="AF53" s="33">
        <v>44328</v>
      </c>
      <c r="AG53" s="36">
        <v>44342</v>
      </c>
      <c r="AH53" s="34">
        <v>913333</v>
      </c>
      <c r="AI53" s="32">
        <v>43</v>
      </c>
      <c r="AJ53" s="33">
        <v>44413</v>
      </c>
      <c r="AK53" s="36">
        <v>44421</v>
      </c>
      <c r="AL53" s="34">
        <v>1361248</v>
      </c>
      <c r="AM53" s="32">
        <v>47</v>
      </c>
      <c r="AN53" s="33">
        <v>44445</v>
      </c>
      <c r="AO53" s="36">
        <v>44463</v>
      </c>
      <c r="AP53" s="34"/>
      <c r="AQ53" s="32"/>
      <c r="AR53" s="27"/>
      <c r="AS53" s="36"/>
      <c r="AT53" s="36"/>
      <c r="AU53" s="36"/>
      <c r="AV53" s="36"/>
      <c r="AW53" s="36"/>
      <c r="AX53" s="37">
        <f t="shared" si="1"/>
        <v>4776581</v>
      </c>
      <c r="AY53" s="38">
        <f t="shared" si="2"/>
        <v>100966.87899999972</v>
      </c>
    </row>
    <row r="54" spans="1:51" s="21" customFormat="1" ht="22.5">
      <c r="A54" s="39"/>
      <c r="B54" s="22">
        <v>42</v>
      </c>
      <c r="C54" s="22" t="s">
        <v>39</v>
      </c>
      <c r="D54" s="23">
        <v>40010167</v>
      </c>
      <c r="E54" s="40" t="s">
        <v>97</v>
      </c>
      <c r="F54" s="25" t="s">
        <v>51</v>
      </c>
      <c r="G54" s="26" t="s">
        <v>42</v>
      </c>
      <c r="H54" s="27" t="s">
        <v>92</v>
      </c>
      <c r="I54" s="28" t="s">
        <v>52</v>
      </c>
      <c r="J54" s="29">
        <v>327178</v>
      </c>
      <c r="K54" s="29">
        <v>0</v>
      </c>
      <c r="L54" s="29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/>
      <c r="W54" s="30"/>
      <c r="X54" s="30"/>
      <c r="Y54" s="30">
        <f t="shared" si="0"/>
        <v>0</v>
      </c>
      <c r="Z54" s="31">
        <v>10000</v>
      </c>
      <c r="AA54" s="32">
        <v>8</v>
      </c>
      <c r="AB54" s="33">
        <v>44223</v>
      </c>
      <c r="AC54" s="33">
        <v>44237</v>
      </c>
      <c r="AD54" s="34"/>
      <c r="AE54" s="35"/>
      <c r="AF54" s="27"/>
      <c r="AG54" s="36"/>
      <c r="AH54" s="34"/>
      <c r="AI54" s="32"/>
      <c r="AJ54" s="27"/>
      <c r="AK54" s="36"/>
      <c r="AL54" s="34"/>
      <c r="AM54" s="32"/>
      <c r="AN54" s="27"/>
      <c r="AO54" s="36"/>
      <c r="AP54" s="34"/>
      <c r="AQ54" s="32"/>
      <c r="AR54" s="27"/>
      <c r="AS54" s="36"/>
      <c r="AT54" s="36"/>
      <c r="AU54" s="36"/>
      <c r="AV54" s="36"/>
      <c r="AW54" s="36"/>
      <c r="AX54" s="37">
        <f t="shared" si="1"/>
        <v>10000</v>
      </c>
      <c r="AY54" s="38">
        <f t="shared" si="2"/>
        <v>10000</v>
      </c>
    </row>
    <row r="55" spans="1:51" s="21" customFormat="1" ht="22.5">
      <c r="A55" s="39"/>
      <c r="B55" s="22">
        <v>43</v>
      </c>
      <c r="C55" s="22" t="s">
        <v>39</v>
      </c>
      <c r="D55" s="23">
        <v>40010404</v>
      </c>
      <c r="E55" s="40" t="s">
        <v>98</v>
      </c>
      <c r="F55" s="25" t="s">
        <v>47</v>
      </c>
      <c r="G55" s="26" t="s">
        <v>42</v>
      </c>
      <c r="H55" s="27" t="s">
        <v>43</v>
      </c>
      <c r="I55" s="28" t="s">
        <v>52</v>
      </c>
      <c r="J55" s="29">
        <v>225145</v>
      </c>
      <c r="K55" s="29">
        <v>0</v>
      </c>
      <c r="L55" s="29">
        <v>102386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/>
      <c r="W55" s="30"/>
      <c r="X55" s="30"/>
      <c r="Y55" s="30">
        <f t="shared" si="0"/>
        <v>0</v>
      </c>
      <c r="Z55" s="31">
        <v>120057</v>
      </c>
      <c r="AA55" s="32">
        <v>5</v>
      </c>
      <c r="AB55" s="33">
        <v>44223</v>
      </c>
      <c r="AC55" s="33">
        <v>44230</v>
      </c>
      <c r="AD55" s="34">
        <v>1</v>
      </c>
      <c r="AE55" s="35">
        <v>17</v>
      </c>
      <c r="AF55" s="33">
        <v>44260</v>
      </c>
      <c r="AG55" s="33">
        <v>44272</v>
      </c>
      <c r="AH55" s="34">
        <v>-51735</v>
      </c>
      <c r="AI55" s="32">
        <v>25</v>
      </c>
      <c r="AJ55" s="33">
        <v>44328</v>
      </c>
      <c r="AK55" s="36">
        <v>44342</v>
      </c>
      <c r="AL55" s="34">
        <f>+-43391</f>
        <v>-43391</v>
      </c>
      <c r="AM55" s="32">
        <v>44</v>
      </c>
      <c r="AN55" s="33">
        <v>44425</v>
      </c>
      <c r="AO55" s="36">
        <v>44442</v>
      </c>
      <c r="AP55" s="34"/>
      <c r="AQ55" s="32"/>
      <c r="AR55" s="27"/>
      <c r="AS55" s="36"/>
      <c r="AT55" s="36"/>
      <c r="AU55" s="36"/>
      <c r="AV55" s="36"/>
      <c r="AW55" s="36"/>
      <c r="AX55" s="37">
        <f t="shared" si="1"/>
        <v>24932</v>
      </c>
      <c r="AY55" s="38">
        <f t="shared" si="2"/>
        <v>24932</v>
      </c>
    </row>
    <row r="56" spans="1:51" s="21" customFormat="1" ht="22.5">
      <c r="A56" s="39"/>
      <c r="B56" s="22">
        <v>44</v>
      </c>
      <c r="C56" s="22" t="s">
        <v>39</v>
      </c>
      <c r="D56" s="23">
        <v>40014571</v>
      </c>
      <c r="E56" s="40" t="s">
        <v>99</v>
      </c>
      <c r="F56" s="25" t="s">
        <v>51</v>
      </c>
      <c r="G56" s="26" t="s">
        <v>42</v>
      </c>
      <c r="H56" s="27" t="s">
        <v>64</v>
      </c>
      <c r="I56" s="28" t="s">
        <v>52</v>
      </c>
      <c r="J56" s="29">
        <v>414371</v>
      </c>
      <c r="K56" s="29">
        <v>0</v>
      </c>
      <c r="L56" s="29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1400</v>
      </c>
      <c r="U56" s="30">
        <v>0</v>
      </c>
      <c r="V56" s="30"/>
      <c r="W56" s="30"/>
      <c r="X56" s="30"/>
      <c r="Y56" s="30">
        <f t="shared" si="0"/>
        <v>1400</v>
      </c>
      <c r="Z56" s="31">
        <v>11399</v>
      </c>
      <c r="AA56" s="32">
        <v>8</v>
      </c>
      <c r="AB56" s="33">
        <v>44223</v>
      </c>
      <c r="AC56" s="33">
        <v>44237</v>
      </c>
      <c r="AD56" s="34">
        <v>1</v>
      </c>
      <c r="AE56" s="35">
        <v>17</v>
      </c>
      <c r="AF56" s="33">
        <v>44260</v>
      </c>
      <c r="AG56" s="33">
        <v>44272</v>
      </c>
      <c r="AH56" s="34">
        <v>321742</v>
      </c>
      <c r="AI56" s="32">
        <v>40</v>
      </c>
      <c r="AJ56" s="33">
        <v>44397</v>
      </c>
      <c r="AK56" s="36">
        <v>44410</v>
      </c>
      <c r="AL56" s="34">
        <f>+-148482</f>
        <v>-148482</v>
      </c>
      <c r="AM56" s="32">
        <v>44</v>
      </c>
      <c r="AN56" s="33">
        <v>44425</v>
      </c>
      <c r="AO56" s="36">
        <v>44442</v>
      </c>
      <c r="AP56" s="34"/>
      <c r="AQ56" s="32"/>
      <c r="AR56" s="27"/>
      <c r="AS56" s="36"/>
      <c r="AT56" s="36"/>
      <c r="AU56" s="36"/>
      <c r="AV56" s="36"/>
      <c r="AW56" s="36"/>
      <c r="AX56" s="37">
        <f t="shared" si="1"/>
        <v>184660</v>
      </c>
      <c r="AY56" s="38">
        <f t="shared" si="2"/>
        <v>183260</v>
      </c>
    </row>
    <row r="57" spans="1:51" s="21" customFormat="1" ht="22.5">
      <c r="A57" s="39"/>
      <c r="B57" s="22">
        <v>45</v>
      </c>
      <c r="C57" s="22" t="s">
        <v>39</v>
      </c>
      <c r="D57" s="23">
        <v>40020666</v>
      </c>
      <c r="E57" s="40" t="s">
        <v>100</v>
      </c>
      <c r="F57" s="25" t="s">
        <v>72</v>
      </c>
      <c r="G57" s="26" t="s">
        <v>42</v>
      </c>
      <c r="H57" s="27" t="s">
        <v>42</v>
      </c>
      <c r="I57" s="28" t="s">
        <v>52</v>
      </c>
      <c r="J57" s="29">
        <v>4401053</v>
      </c>
      <c r="K57" s="29">
        <v>0</v>
      </c>
      <c r="L57" s="29">
        <v>2232288</v>
      </c>
      <c r="M57" s="30">
        <v>0</v>
      </c>
      <c r="N57" s="30">
        <v>0</v>
      </c>
      <c r="O57" s="30">
        <v>0</v>
      </c>
      <c r="P57" s="30">
        <v>0</v>
      </c>
      <c r="Q57" s="30">
        <v>1300</v>
      </c>
      <c r="R57" s="30">
        <v>0</v>
      </c>
      <c r="S57" s="30">
        <v>0</v>
      </c>
      <c r="T57" s="30">
        <v>0</v>
      </c>
      <c r="U57" s="30">
        <v>307975.72499999998</v>
      </c>
      <c r="V57" s="30"/>
      <c r="W57" s="30"/>
      <c r="X57" s="30"/>
      <c r="Y57" s="30">
        <f t="shared" si="0"/>
        <v>309275.72499999998</v>
      </c>
      <c r="Z57" s="31">
        <v>101000</v>
      </c>
      <c r="AA57" s="32">
        <v>6</v>
      </c>
      <c r="AB57" s="33">
        <v>44223</v>
      </c>
      <c r="AC57" s="33">
        <v>44236</v>
      </c>
      <c r="AD57" s="34">
        <v>300</v>
      </c>
      <c r="AE57" s="35">
        <v>17</v>
      </c>
      <c r="AF57" s="33">
        <v>44260</v>
      </c>
      <c r="AG57" s="33">
        <v>44272</v>
      </c>
      <c r="AH57" s="34">
        <v>1000000</v>
      </c>
      <c r="AI57" s="32">
        <v>25</v>
      </c>
      <c r="AJ57" s="33">
        <v>44328</v>
      </c>
      <c r="AK57" s="36">
        <v>44342</v>
      </c>
      <c r="AL57" s="34">
        <v>1000000</v>
      </c>
      <c r="AM57" s="32">
        <v>28</v>
      </c>
      <c r="AN57" s="33">
        <v>44351</v>
      </c>
      <c r="AO57" s="36">
        <v>44361</v>
      </c>
      <c r="AP57" s="34">
        <f>+-736922</f>
        <v>-736922</v>
      </c>
      <c r="AQ57" s="32">
        <v>42</v>
      </c>
      <c r="AR57" s="33">
        <v>44412</v>
      </c>
      <c r="AS57" s="36">
        <v>44421</v>
      </c>
      <c r="AT57" s="36"/>
      <c r="AU57" s="36"/>
      <c r="AV57" s="36"/>
      <c r="AW57" s="36"/>
      <c r="AX57" s="37">
        <f t="shared" si="1"/>
        <v>1364378</v>
      </c>
      <c r="AY57" s="38">
        <f t="shared" si="2"/>
        <v>1055102.2749999999</v>
      </c>
    </row>
    <row r="58" spans="1:51" s="21" customFormat="1" ht="22.5">
      <c r="A58" s="39"/>
      <c r="B58" s="22">
        <v>46</v>
      </c>
      <c r="C58" s="22" t="s">
        <v>65</v>
      </c>
      <c r="D58" s="23">
        <v>30366926</v>
      </c>
      <c r="E58" s="40" t="s">
        <v>101</v>
      </c>
      <c r="F58" s="25" t="s">
        <v>51</v>
      </c>
      <c r="G58" s="26" t="s">
        <v>42</v>
      </c>
      <c r="H58" s="27" t="s">
        <v>42</v>
      </c>
      <c r="I58" s="28" t="s">
        <v>52</v>
      </c>
      <c r="J58" s="29">
        <v>217020</v>
      </c>
      <c r="K58" s="29">
        <v>0</v>
      </c>
      <c r="L58" s="29">
        <v>68540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/>
      <c r="W58" s="30"/>
      <c r="X58" s="30"/>
      <c r="Y58" s="30">
        <f t="shared" si="0"/>
        <v>0</v>
      </c>
      <c r="Z58" s="31">
        <v>566</v>
      </c>
      <c r="AA58" s="32">
        <v>14</v>
      </c>
      <c r="AB58" s="33">
        <v>44245</v>
      </c>
      <c r="AC58" s="33">
        <v>44287</v>
      </c>
      <c r="AD58" s="34"/>
      <c r="AE58" s="35"/>
      <c r="AF58" s="27"/>
      <c r="AG58" s="36"/>
      <c r="AH58" s="34"/>
      <c r="AI58" s="32"/>
      <c r="AJ58" s="27"/>
      <c r="AK58" s="36"/>
      <c r="AL58" s="34"/>
      <c r="AM58" s="32"/>
      <c r="AN58" s="27"/>
      <c r="AO58" s="36"/>
      <c r="AP58" s="34"/>
      <c r="AQ58" s="32"/>
      <c r="AR58" s="27"/>
      <c r="AS58" s="36"/>
      <c r="AT58" s="36"/>
      <c r="AU58" s="36"/>
      <c r="AV58" s="36"/>
      <c r="AW58" s="36"/>
      <c r="AX58" s="37">
        <f t="shared" si="1"/>
        <v>566</v>
      </c>
      <c r="AY58" s="38">
        <f t="shared" si="2"/>
        <v>566</v>
      </c>
    </row>
    <row r="59" spans="1:51" s="21" customFormat="1" ht="22.5">
      <c r="A59" s="39"/>
      <c r="B59" s="22">
        <v>47</v>
      </c>
      <c r="C59" s="22" t="s">
        <v>39</v>
      </c>
      <c r="D59" s="23">
        <v>30210924</v>
      </c>
      <c r="E59" s="47" t="s">
        <v>102</v>
      </c>
      <c r="F59" s="48" t="s">
        <v>47</v>
      </c>
      <c r="G59" s="26" t="s">
        <v>42</v>
      </c>
      <c r="H59" s="27" t="s">
        <v>43</v>
      </c>
      <c r="I59" s="49" t="s">
        <v>44</v>
      </c>
      <c r="J59" s="29">
        <v>253921</v>
      </c>
      <c r="K59" s="30">
        <v>50685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/>
      <c r="W59" s="30"/>
      <c r="X59" s="30"/>
      <c r="Y59" s="30">
        <f t="shared" si="0"/>
        <v>0</v>
      </c>
      <c r="Z59" s="31">
        <v>65000</v>
      </c>
      <c r="AA59" s="32">
        <v>19</v>
      </c>
      <c r="AB59" s="33">
        <v>44267</v>
      </c>
      <c r="AC59" s="36">
        <v>44287</v>
      </c>
      <c r="AD59" s="34">
        <f>+-64999</f>
        <v>-64999</v>
      </c>
      <c r="AE59" s="35">
        <v>42</v>
      </c>
      <c r="AF59" s="33">
        <v>44412</v>
      </c>
      <c r="AG59" s="36">
        <v>44421</v>
      </c>
      <c r="AH59" s="34"/>
      <c r="AI59" s="32"/>
      <c r="AJ59" s="27"/>
      <c r="AK59" s="36"/>
      <c r="AL59" s="34"/>
      <c r="AM59" s="32"/>
      <c r="AN59" s="27"/>
      <c r="AO59" s="36"/>
      <c r="AP59" s="34"/>
      <c r="AQ59" s="32"/>
      <c r="AR59" s="27"/>
      <c r="AS59" s="36"/>
      <c r="AT59" s="36"/>
      <c r="AU59" s="36"/>
      <c r="AV59" s="36"/>
      <c r="AW59" s="36"/>
      <c r="AX59" s="37">
        <f t="shared" si="1"/>
        <v>1</v>
      </c>
      <c r="AY59" s="38">
        <f t="shared" si="2"/>
        <v>1</v>
      </c>
    </row>
    <row r="60" spans="1:51" s="21" customFormat="1" ht="22.5">
      <c r="A60" s="39"/>
      <c r="B60" s="22">
        <v>48</v>
      </c>
      <c r="C60" s="22" t="s">
        <v>39</v>
      </c>
      <c r="D60" s="23">
        <v>40015747</v>
      </c>
      <c r="E60" s="47" t="s">
        <v>103</v>
      </c>
      <c r="F60" s="48" t="s">
        <v>83</v>
      </c>
      <c r="G60" s="26" t="s">
        <v>42</v>
      </c>
      <c r="H60" s="27" t="s">
        <v>43</v>
      </c>
      <c r="I60" s="49" t="s">
        <v>52</v>
      </c>
      <c r="J60" s="29">
        <v>95294</v>
      </c>
      <c r="K60" s="30">
        <v>0</v>
      </c>
      <c r="L60" s="30">
        <v>31847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/>
      <c r="W60" s="30"/>
      <c r="X60" s="30"/>
      <c r="Y60" s="30">
        <f t="shared" si="0"/>
        <v>0</v>
      </c>
      <c r="Z60" s="31">
        <v>1</v>
      </c>
      <c r="AA60" s="32">
        <v>19</v>
      </c>
      <c r="AB60" s="33">
        <v>44267</v>
      </c>
      <c r="AC60" s="36">
        <v>44287</v>
      </c>
      <c r="AD60" s="34"/>
      <c r="AE60" s="35"/>
      <c r="AF60" s="27"/>
      <c r="AG60" s="36"/>
      <c r="AH60" s="34"/>
      <c r="AI60" s="32"/>
      <c r="AJ60" s="27"/>
      <c r="AK60" s="36"/>
      <c r="AL60" s="34"/>
      <c r="AM60" s="32"/>
      <c r="AN60" s="27"/>
      <c r="AO60" s="36"/>
      <c r="AP60" s="34"/>
      <c r="AQ60" s="32"/>
      <c r="AR60" s="27"/>
      <c r="AS60" s="36"/>
      <c r="AT60" s="36"/>
      <c r="AU60" s="36"/>
      <c r="AV60" s="36"/>
      <c r="AW60" s="36"/>
      <c r="AX60" s="37">
        <f t="shared" si="1"/>
        <v>1</v>
      </c>
      <c r="AY60" s="38">
        <f t="shared" si="2"/>
        <v>1</v>
      </c>
    </row>
    <row r="61" spans="1:51" s="21" customFormat="1" ht="22.5">
      <c r="A61" s="39"/>
      <c r="B61" s="22">
        <v>49</v>
      </c>
      <c r="C61" s="22" t="s">
        <v>39</v>
      </c>
      <c r="D61" s="23">
        <v>40026641</v>
      </c>
      <c r="E61" s="47" t="s">
        <v>104</v>
      </c>
      <c r="F61" s="48" t="s">
        <v>105</v>
      </c>
      <c r="G61" s="26" t="s">
        <v>42</v>
      </c>
      <c r="H61" s="27" t="s">
        <v>43</v>
      </c>
      <c r="I61" s="49" t="s">
        <v>52</v>
      </c>
      <c r="J61" s="29">
        <v>3320838</v>
      </c>
      <c r="K61" s="30">
        <v>0</v>
      </c>
      <c r="L61" s="30">
        <v>2353940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4627</v>
      </c>
      <c r="V61" s="30"/>
      <c r="W61" s="30"/>
      <c r="X61" s="30"/>
      <c r="Y61" s="30">
        <f t="shared" si="0"/>
        <v>4627</v>
      </c>
      <c r="Z61" s="31">
        <v>4629</v>
      </c>
      <c r="AA61" s="32">
        <v>19</v>
      </c>
      <c r="AB61" s="33">
        <v>44267</v>
      </c>
      <c r="AC61" s="36">
        <v>44287</v>
      </c>
      <c r="AD61" s="34"/>
      <c r="AE61" s="35"/>
      <c r="AF61" s="27"/>
      <c r="AG61" s="36"/>
      <c r="AH61" s="34"/>
      <c r="AI61" s="32"/>
      <c r="AJ61" s="27"/>
      <c r="AK61" s="36"/>
      <c r="AL61" s="34"/>
      <c r="AM61" s="32"/>
      <c r="AN61" s="27"/>
      <c r="AO61" s="36"/>
      <c r="AP61" s="34"/>
      <c r="AQ61" s="32"/>
      <c r="AR61" s="27"/>
      <c r="AS61" s="36"/>
      <c r="AT61" s="36"/>
      <c r="AU61" s="36"/>
      <c r="AV61" s="36"/>
      <c r="AW61" s="36"/>
      <c r="AX61" s="37">
        <f t="shared" si="1"/>
        <v>4629</v>
      </c>
      <c r="AY61" s="38">
        <f t="shared" si="2"/>
        <v>2</v>
      </c>
    </row>
    <row r="62" spans="1:51" s="21" customFormat="1" ht="22.5">
      <c r="B62" s="22">
        <v>50</v>
      </c>
      <c r="C62" s="22" t="s">
        <v>39</v>
      </c>
      <c r="D62" s="23">
        <v>40010380</v>
      </c>
      <c r="E62" s="47" t="s">
        <v>106</v>
      </c>
      <c r="F62" s="48" t="s">
        <v>47</v>
      </c>
      <c r="G62" s="26" t="s">
        <v>42</v>
      </c>
      <c r="H62" s="27" t="s">
        <v>43</v>
      </c>
      <c r="I62" s="49" t="s">
        <v>52</v>
      </c>
      <c r="J62" s="29">
        <v>258885</v>
      </c>
      <c r="K62" s="30">
        <v>0</v>
      </c>
      <c r="L62" s="30">
        <v>140808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/>
      <c r="W62" s="30"/>
      <c r="X62" s="30"/>
      <c r="Y62" s="30">
        <f t="shared" si="0"/>
        <v>0</v>
      </c>
      <c r="Z62" s="31">
        <v>3001</v>
      </c>
      <c r="AA62" s="32">
        <v>19</v>
      </c>
      <c r="AB62" s="33">
        <v>44267</v>
      </c>
      <c r="AC62" s="36">
        <v>44287</v>
      </c>
      <c r="AD62" s="34"/>
      <c r="AE62" s="35"/>
      <c r="AF62" s="27"/>
      <c r="AG62" s="36"/>
      <c r="AH62" s="34"/>
      <c r="AI62" s="32"/>
      <c r="AJ62" s="27"/>
      <c r="AK62" s="36"/>
      <c r="AL62" s="34"/>
      <c r="AM62" s="32"/>
      <c r="AN62" s="27"/>
      <c r="AO62" s="36"/>
      <c r="AP62" s="34"/>
      <c r="AQ62" s="32"/>
      <c r="AR62" s="27"/>
      <c r="AS62" s="36"/>
      <c r="AT62" s="36"/>
      <c r="AU62" s="36"/>
      <c r="AV62" s="36"/>
      <c r="AW62" s="36"/>
      <c r="AX62" s="37">
        <f t="shared" si="1"/>
        <v>3001</v>
      </c>
      <c r="AY62" s="38">
        <f t="shared" si="2"/>
        <v>3001</v>
      </c>
    </row>
    <row r="63" spans="1:51" s="21" customFormat="1" ht="22.5">
      <c r="B63" s="22">
        <v>51</v>
      </c>
      <c r="C63" s="22" t="s">
        <v>39</v>
      </c>
      <c r="D63" s="23">
        <v>40013459</v>
      </c>
      <c r="E63" s="47" t="s">
        <v>107</v>
      </c>
      <c r="F63" s="48" t="s">
        <v>105</v>
      </c>
      <c r="G63" s="26" t="s">
        <v>42</v>
      </c>
      <c r="H63" s="27" t="s">
        <v>43</v>
      </c>
      <c r="I63" s="49" t="s">
        <v>52</v>
      </c>
      <c r="J63" s="29">
        <v>457040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3000</v>
      </c>
      <c r="U63" s="30">
        <v>0</v>
      </c>
      <c r="V63" s="30"/>
      <c r="W63" s="30"/>
      <c r="X63" s="30"/>
      <c r="Y63" s="30">
        <f t="shared" si="0"/>
        <v>3000</v>
      </c>
      <c r="Z63" s="31">
        <v>3003</v>
      </c>
      <c r="AA63" s="32">
        <v>19</v>
      </c>
      <c r="AB63" s="33">
        <v>44267</v>
      </c>
      <c r="AC63" s="36">
        <v>44287</v>
      </c>
      <c r="AD63" s="34"/>
      <c r="AE63" s="35"/>
      <c r="AF63" s="27"/>
      <c r="AG63" s="36"/>
      <c r="AH63" s="34"/>
      <c r="AI63" s="32"/>
      <c r="AJ63" s="27"/>
      <c r="AK63" s="36"/>
      <c r="AL63" s="34"/>
      <c r="AM63" s="32"/>
      <c r="AN63" s="27"/>
      <c r="AO63" s="36"/>
      <c r="AP63" s="34"/>
      <c r="AQ63" s="32"/>
      <c r="AR63" s="27"/>
      <c r="AS63" s="36"/>
      <c r="AT63" s="36"/>
      <c r="AU63" s="36"/>
      <c r="AV63" s="36"/>
      <c r="AW63" s="36"/>
      <c r="AX63" s="37">
        <f t="shared" si="1"/>
        <v>3003</v>
      </c>
      <c r="AY63" s="38">
        <f t="shared" si="2"/>
        <v>3</v>
      </c>
    </row>
    <row r="64" spans="1:51" s="21" customFormat="1" ht="22.5">
      <c r="B64" s="22">
        <v>52</v>
      </c>
      <c r="C64" s="22" t="s">
        <v>39</v>
      </c>
      <c r="D64" s="23">
        <v>40018963</v>
      </c>
      <c r="E64" s="47" t="s">
        <v>108</v>
      </c>
      <c r="F64" s="48" t="s">
        <v>72</v>
      </c>
      <c r="G64" s="26" t="s">
        <v>42</v>
      </c>
      <c r="H64" s="27" t="s">
        <v>43</v>
      </c>
      <c r="I64" s="49" t="s">
        <v>52</v>
      </c>
      <c r="J64" s="29">
        <v>525951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/>
      <c r="W64" s="30"/>
      <c r="X64" s="30"/>
      <c r="Y64" s="30">
        <f t="shared" si="0"/>
        <v>0</v>
      </c>
      <c r="Z64" s="31">
        <v>2</v>
      </c>
      <c r="AA64" s="32">
        <v>19</v>
      </c>
      <c r="AB64" s="33">
        <v>44267</v>
      </c>
      <c r="AC64" s="36">
        <v>44287</v>
      </c>
      <c r="AD64" s="34"/>
      <c r="AE64" s="35"/>
      <c r="AF64" s="27"/>
      <c r="AG64" s="36"/>
      <c r="AH64" s="34"/>
      <c r="AI64" s="32"/>
      <c r="AJ64" s="27"/>
      <c r="AK64" s="36"/>
      <c r="AL64" s="34"/>
      <c r="AM64" s="32"/>
      <c r="AN64" s="27"/>
      <c r="AO64" s="36"/>
      <c r="AP64" s="34"/>
      <c r="AQ64" s="32"/>
      <c r="AR64" s="27"/>
      <c r="AS64" s="36"/>
      <c r="AT64" s="36"/>
      <c r="AU64" s="36"/>
      <c r="AV64" s="36"/>
      <c r="AW64" s="36"/>
      <c r="AX64" s="37">
        <f t="shared" si="1"/>
        <v>2</v>
      </c>
      <c r="AY64" s="38">
        <f t="shared" si="2"/>
        <v>2</v>
      </c>
    </row>
    <row r="65" spans="2:51" s="21" customFormat="1" ht="22.5">
      <c r="B65" s="22">
        <v>53</v>
      </c>
      <c r="C65" s="22" t="s">
        <v>39</v>
      </c>
      <c r="D65" s="23">
        <v>30354827</v>
      </c>
      <c r="E65" s="47" t="s">
        <v>109</v>
      </c>
      <c r="F65" s="48" t="s">
        <v>105</v>
      </c>
      <c r="G65" s="26" t="s">
        <v>42</v>
      </c>
      <c r="H65" s="27" t="s">
        <v>43</v>
      </c>
      <c r="I65" s="49" t="s">
        <v>52</v>
      </c>
      <c r="J65" s="29">
        <v>756600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2500</v>
      </c>
      <c r="R65" s="30">
        <v>0</v>
      </c>
      <c r="S65" s="30">
        <v>0</v>
      </c>
      <c r="T65" s="30">
        <v>0</v>
      </c>
      <c r="U65" s="30">
        <v>0</v>
      </c>
      <c r="V65" s="30"/>
      <c r="W65" s="30"/>
      <c r="X65" s="30"/>
      <c r="Y65" s="30">
        <f t="shared" si="0"/>
        <v>2500</v>
      </c>
      <c r="Z65" s="31">
        <v>2502</v>
      </c>
      <c r="AA65" s="32">
        <v>19</v>
      </c>
      <c r="AB65" s="33">
        <v>44267</v>
      </c>
      <c r="AC65" s="36">
        <v>44287</v>
      </c>
      <c r="AD65" s="34"/>
      <c r="AE65" s="35"/>
      <c r="AF65" s="27"/>
      <c r="AG65" s="36"/>
      <c r="AH65" s="34"/>
      <c r="AI65" s="32"/>
      <c r="AJ65" s="27"/>
      <c r="AK65" s="36"/>
      <c r="AL65" s="34"/>
      <c r="AM65" s="32"/>
      <c r="AN65" s="27"/>
      <c r="AO65" s="36"/>
      <c r="AP65" s="34"/>
      <c r="AQ65" s="32"/>
      <c r="AR65" s="27"/>
      <c r="AS65" s="36"/>
      <c r="AT65" s="36"/>
      <c r="AU65" s="36"/>
      <c r="AV65" s="36"/>
      <c r="AW65" s="36"/>
      <c r="AX65" s="37">
        <f t="shared" si="1"/>
        <v>2502</v>
      </c>
      <c r="AY65" s="38">
        <f t="shared" si="2"/>
        <v>2</v>
      </c>
    </row>
    <row r="66" spans="2:51" s="21" customFormat="1" ht="22.5">
      <c r="B66" s="22">
        <v>54</v>
      </c>
      <c r="C66" s="22" t="s">
        <v>39</v>
      </c>
      <c r="D66" s="23">
        <v>40016355</v>
      </c>
      <c r="E66" s="47" t="s">
        <v>110</v>
      </c>
      <c r="F66" s="48" t="s">
        <v>47</v>
      </c>
      <c r="G66" s="26" t="s">
        <v>42</v>
      </c>
      <c r="H66" s="27" t="s">
        <v>43</v>
      </c>
      <c r="I66" s="49" t="s">
        <v>52</v>
      </c>
      <c r="J66" s="29">
        <v>55655</v>
      </c>
      <c r="K66" s="30">
        <v>0</v>
      </c>
      <c r="L66" s="30">
        <v>32052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2622</v>
      </c>
      <c r="T66" s="30">
        <v>0</v>
      </c>
      <c r="U66" s="30">
        <v>0</v>
      </c>
      <c r="V66" s="30"/>
      <c r="W66" s="30"/>
      <c r="X66" s="30"/>
      <c r="Y66" s="30">
        <f t="shared" si="0"/>
        <v>2622</v>
      </c>
      <c r="Z66" s="31">
        <v>2623</v>
      </c>
      <c r="AA66" s="32">
        <v>23</v>
      </c>
      <c r="AB66" s="33">
        <v>44307</v>
      </c>
      <c r="AC66" s="36">
        <v>44313</v>
      </c>
      <c r="AD66" s="34"/>
      <c r="AE66" s="35"/>
      <c r="AF66" s="27"/>
      <c r="AG66" s="36"/>
      <c r="AH66" s="34"/>
      <c r="AI66" s="32"/>
      <c r="AJ66" s="27"/>
      <c r="AK66" s="36"/>
      <c r="AL66" s="34"/>
      <c r="AM66" s="32"/>
      <c r="AN66" s="27"/>
      <c r="AO66" s="36"/>
      <c r="AP66" s="34"/>
      <c r="AQ66" s="32"/>
      <c r="AR66" s="27"/>
      <c r="AS66" s="36"/>
      <c r="AT66" s="36"/>
      <c r="AU66" s="36"/>
      <c r="AV66" s="36"/>
      <c r="AW66" s="36"/>
      <c r="AX66" s="37">
        <f t="shared" si="1"/>
        <v>2623</v>
      </c>
      <c r="AY66" s="38">
        <f t="shared" si="2"/>
        <v>1</v>
      </c>
    </row>
    <row r="67" spans="2:51" s="21" customFormat="1" ht="33.75">
      <c r="B67" s="22">
        <v>55</v>
      </c>
      <c r="C67" s="22" t="s">
        <v>39</v>
      </c>
      <c r="D67" s="23">
        <v>40016158</v>
      </c>
      <c r="E67" s="47" t="s">
        <v>111</v>
      </c>
      <c r="F67" s="48" t="s">
        <v>47</v>
      </c>
      <c r="G67" s="26" t="s">
        <v>42</v>
      </c>
      <c r="H67" s="27" t="s">
        <v>43</v>
      </c>
      <c r="I67" s="49" t="s">
        <v>52</v>
      </c>
      <c r="J67" s="29">
        <v>56303</v>
      </c>
      <c r="K67" s="30">
        <v>0</v>
      </c>
      <c r="L67" s="30">
        <v>42945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/>
      <c r="W67" s="30"/>
      <c r="X67" s="30"/>
      <c r="Y67" s="30">
        <f t="shared" si="0"/>
        <v>0</v>
      </c>
      <c r="Z67" s="31">
        <v>2623</v>
      </c>
      <c r="AA67" s="32">
        <v>23</v>
      </c>
      <c r="AB67" s="33">
        <v>44307</v>
      </c>
      <c r="AC67" s="36">
        <v>44313</v>
      </c>
      <c r="AD67" s="34"/>
      <c r="AE67" s="35"/>
      <c r="AF67" s="27"/>
      <c r="AG67" s="36"/>
      <c r="AH67" s="34"/>
      <c r="AI67" s="32"/>
      <c r="AJ67" s="27"/>
      <c r="AK67" s="36"/>
      <c r="AL67" s="34"/>
      <c r="AM67" s="32"/>
      <c r="AN67" s="27"/>
      <c r="AO67" s="36"/>
      <c r="AP67" s="34"/>
      <c r="AQ67" s="32"/>
      <c r="AR67" s="27"/>
      <c r="AS67" s="36"/>
      <c r="AT67" s="36"/>
      <c r="AU67" s="36"/>
      <c r="AV67" s="36"/>
      <c r="AW67" s="36"/>
      <c r="AX67" s="37">
        <f t="shared" si="1"/>
        <v>2623</v>
      </c>
      <c r="AY67" s="38">
        <f t="shared" si="2"/>
        <v>2623</v>
      </c>
    </row>
    <row r="68" spans="2:51" s="21" customFormat="1" ht="22.5">
      <c r="B68" s="22">
        <v>56</v>
      </c>
      <c r="C68" s="22" t="s">
        <v>39</v>
      </c>
      <c r="D68" s="23">
        <v>40016353</v>
      </c>
      <c r="E68" s="47" t="s">
        <v>112</v>
      </c>
      <c r="F68" s="48" t="s">
        <v>47</v>
      </c>
      <c r="G68" s="26" t="s">
        <v>42</v>
      </c>
      <c r="H68" s="27" t="s">
        <v>43</v>
      </c>
      <c r="I68" s="49" t="s">
        <v>52</v>
      </c>
      <c r="J68" s="29">
        <v>61261</v>
      </c>
      <c r="K68" s="30">
        <v>0</v>
      </c>
      <c r="L68" s="30">
        <v>31363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2622</v>
      </c>
      <c r="T68" s="30">
        <v>0</v>
      </c>
      <c r="U68" s="30">
        <v>0</v>
      </c>
      <c r="V68" s="30"/>
      <c r="W68" s="30"/>
      <c r="X68" s="30"/>
      <c r="Y68" s="30">
        <f t="shared" si="0"/>
        <v>2622</v>
      </c>
      <c r="Z68" s="31">
        <v>2623</v>
      </c>
      <c r="AA68" s="32">
        <v>23</v>
      </c>
      <c r="AB68" s="33">
        <v>44307</v>
      </c>
      <c r="AC68" s="36">
        <v>44313</v>
      </c>
      <c r="AD68" s="34"/>
      <c r="AE68" s="35"/>
      <c r="AF68" s="27"/>
      <c r="AG68" s="36"/>
      <c r="AH68" s="34"/>
      <c r="AI68" s="32"/>
      <c r="AJ68" s="27"/>
      <c r="AK68" s="36"/>
      <c r="AL68" s="34"/>
      <c r="AM68" s="32"/>
      <c r="AN68" s="27"/>
      <c r="AO68" s="36"/>
      <c r="AP68" s="34"/>
      <c r="AQ68" s="32"/>
      <c r="AR68" s="27"/>
      <c r="AS68" s="36"/>
      <c r="AT68" s="36"/>
      <c r="AU68" s="36"/>
      <c r="AV68" s="36"/>
      <c r="AW68" s="36"/>
      <c r="AX68" s="37">
        <f t="shared" si="1"/>
        <v>2623</v>
      </c>
      <c r="AY68" s="38">
        <f t="shared" si="2"/>
        <v>1</v>
      </c>
    </row>
    <row r="69" spans="2:51" s="21" customFormat="1" ht="22.5">
      <c r="B69" s="22">
        <v>57</v>
      </c>
      <c r="C69" s="22" t="s">
        <v>39</v>
      </c>
      <c r="D69" s="23">
        <v>40009222</v>
      </c>
      <c r="E69" s="47" t="s">
        <v>113</v>
      </c>
      <c r="F69" s="48" t="s">
        <v>47</v>
      </c>
      <c r="G69" s="26" t="s">
        <v>42</v>
      </c>
      <c r="H69" s="27" t="s">
        <v>43</v>
      </c>
      <c r="I69" s="49" t="s">
        <v>52</v>
      </c>
      <c r="J69" s="29">
        <v>59646</v>
      </c>
      <c r="K69" s="30">
        <v>0</v>
      </c>
      <c r="L69" s="30">
        <v>45199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/>
      <c r="W69" s="30"/>
      <c r="X69" s="30"/>
      <c r="Y69" s="30">
        <f t="shared" si="0"/>
        <v>0</v>
      </c>
      <c r="Z69" s="31">
        <v>3148</v>
      </c>
      <c r="AA69" s="32">
        <v>23</v>
      </c>
      <c r="AB69" s="33">
        <v>44307</v>
      </c>
      <c r="AC69" s="36">
        <v>44313</v>
      </c>
      <c r="AD69" s="34"/>
      <c r="AE69" s="35"/>
      <c r="AF69" s="27"/>
      <c r="AG69" s="36"/>
      <c r="AH69" s="34"/>
      <c r="AI69" s="32"/>
      <c r="AJ69" s="27"/>
      <c r="AK69" s="36"/>
      <c r="AL69" s="34"/>
      <c r="AM69" s="32"/>
      <c r="AN69" s="27"/>
      <c r="AO69" s="36"/>
      <c r="AP69" s="34"/>
      <c r="AQ69" s="32"/>
      <c r="AR69" s="27"/>
      <c r="AS69" s="36"/>
      <c r="AT69" s="36"/>
      <c r="AU69" s="36"/>
      <c r="AV69" s="36"/>
      <c r="AW69" s="36"/>
      <c r="AX69" s="37">
        <f t="shared" si="1"/>
        <v>3148</v>
      </c>
      <c r="AY69" s="38">
        <f t="shared" si="2"/>
        <v>3148</v>
      </c>
    </row>
    <row r="70" spans="2:51" s="21" customFormat="1" ht="22.5">
      <c r="B70" s="22">
        <v>58</v>
      </c>
      <c r="C70" s="22" t="s">
        <v>39</v>
      </c>
      <c r="D70" s="23">
        <v>30084822</v>
      </c>
      <c r="E70" s="47" t="s">
        <v>114</v>
      </c>
      <c r="F70" s="48" t="s">
        <v>47</v>
      </c>
      <c r="G70" s="26" t="s">
        <v>42</v>
      </c>
      <c r="H70" s="27" t="s">
        <v>43</v>
      </c>
      <c r="I70" s="49" t="s">
        <v>52</v>
      </c>
      <c r="J70" s="29">
        <v>263874</v>
      </c>
      <c r="K70" s="30">
        <v>0</v>
      </c>
      <c r="L70" s="30">
        <v>235874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2572</v>
      </c>
      <c r="U70" s="30">
        <v>0</v>
      </c>
      <c r="V70" s="30"/>
      <c r="W70" s="30"/>
      <c r="X70" s="30"/>
      <c r="Y70" s="30">
        <f t="shared" si="0"/>
        <v>2572</v>
      </c>
      <c r="Z70" s="31">
        <v>2573</v>
      </c>
      <c r="AA70" s="32">
        <v>23</v>
      </c>
      <c r="AB70" s="33">
        <v>44307</v>
      </c>
      <c r="AC70" s="36">
        <v>44313</v>
      </c>
      <c r="AD70" s="34"/>
      <c r="AE70" s="35"/>
      <c r="AF70" s="27"/>
      <c r="AG70" s="36"/>
      <c r="AH70" s="34"/>
      <c r="AI70" s="32"/>
      <c r="AJ70" s="27"/>
      <c r="AK70" s="36"/>
      <c r="AL70" s="34"/>
      <c r="AM70" s="32"/>
      <c r="AN70" s="27"/>
      <c r="AO70" s="36"/>
      <c r="AP70" s="34"/>
      <c r="AQ70" s="32"/>
      <c r="AR70" s="27"/>
      <c r="AS70" s="36"/>
      <c r="AT70" s="36"/>
      <c r="AU70" s="36"/>
      <c r="AV70" s="36"/>
      <c r="AW70" s="36"/>
      <c r="AX70" s="37">
        <f t="shared" si="1"/>
        <v>2573</v>
      </c>
      <c r="AY70" s="38">
        <f t="shared" si="2"/>
        <v>1</v>
      </c>
    </row>
    <row r="71" spans="2:51" s="21" customFormat="1" ht="22.5">
      <c r="B71" s="22">
        <v>59</v>
      </c>
      <c r="C71" s="22" t="s">
        <v>39</v>
      </c>
      <c r="D71" s="23">
        <v>30476991</v>
      </c>
      <c r="E71" s="47" t="s">
        <v>115</v>
      </c>
      <c r="F71" s="48" t="s">
        <v>47</v>
      </c>
      <c r="G71" s="26" t="s">
        <v>42</v>
      </c>
      <c r="H71" s="27" t="s">
        <v>92</v>
      </c>
      <c r="I71" s="49" t="s">
        <v>52</v>
      </c>
      <c r="J71" s="29">
        <v>83641</v>
      </c>
      <c r="K71" s="30">
        <v>6263</v>
      </c>
      <c r="L71" s="30">
        <v>37378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/>
      <c r="W71" s="30"/>
      <c r="X71" s="30"/>
      <c r="Y71" s="30">
        <f t="shared" si="0"/>
        <v>0</v>
      </c>
      <c r="Z71" s="31">
        <v>1</v>
      </c>
      <c r="AA71" s="32">
        <v>23</v>
      </c>
      <c r="AB71" s="33">
        <v>44307</v>
      </c>
      <c r="AC71" s="36">
        <v>44313</v>
      </c>
      <c r="AD71" s="34"/>
      <c r="AE71" s="35"/>
      <c r="AF71" s="27"/>
      <c r="AG71" s="36"/>
      <c r="AH71" s="34"/>
      <c r="AI71" s="32"/>
      <c r="AJ71" s="27"/>
      <c r="AK71" s="36"/>
      <c r="AL71" s="34"/>
      <c r="AM71" s="32"/>
      <c r="AN71" s="27"/>
      <c r="AO71" s="36"/>
      <c r="AP71" s="34"/>
      <c r="AQ71" s="32"/>
      <c r="AR71" s="27"/>
      <c r="AS71" s="36"/>
      <c r="AT71" s="36"/>
      <c r="AU71" s="36"/>
      <c r="AV71" s="36"/>
      <c r="AW71" s="36"/>
      <c r="AX71" s="37">
        <f t="shared" si="1"/>
        <v>1</v>
      </c>
      <c r="AY71" s="38">
        <f t="shared" si="2"/>
        <v>1</v>
      </c>
    </row>
    <row r="72" spans="2:51" s="21" customFormat="1" ht="22.5">
      <c r="B72" s="22">
        <v>60</v>
      </c>
      <c r="C72" s="22" t="s">
        <v>39</v>
      </c>
      <c r="D72" s="23">
        <v>30397027</v>
      </c>
      <c r="E72" s="47" t="s">
        <v>116</v>
      </c>
      <c r="F72" s="48" t="s">
        <v>117</v>
      </c>
      <c r="G72" s="26" t="s">
        <v>42</v>
      </c>
      <c r="H72" s="27" t="s">
        <v>43</v>
      </c>
      <c r="I72" s="49" t="s">
        <v>44</v>
      </c>
      <c r="J72" s="29">
        <v>5336119</v>
      </c>
      <c r="K72" s="30">
        <v>5226119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109573.565</v>
      </c>
      <c r="U72" s="30">
        <v>0</v>
      </c>
      <c r="V72" s="30"/>
      <c r="W72" s="30"/>
      <c r="X72" s="30"/>
      <c r="Y72" s="30">
        <f t="shared" si="0"/>
        <v>109573.565</v>
      </c>
      <c r="Z72" s="31">
        <v>109574</v>
      </c>
      <c r="AA72" s="32">
        <v>27</v>
      </c>
      <c r="AB72" s="33">
        <v>44347</v>
      </c>
      <c r="AC72" s="36">
        <v>44361</v>
      </c>
      <c r="AD72" s="34"/>
      <c r="AE72" s="35"/>
      <c r="AF72" s="27"/>
      <c r="AG72" s="36"/>
      <c r="AH72" s="34"/>
      <c r="AI72" s="32"/>
      <c r="AJ72" s="27"/>
      <c r="AK72" s="36"/>
      <c r="AL72" s="34"/>
      <c r="AM72" s="32"/>
      <c r="AN72" s="27"/>
      <c r="AO72" s="36"/>
      <c r="AP72" s="34"/>
      <c r="AQ72" s="32"/>
      <c r="AR72" s="27"/>
      <c r="AS72" s="36"/>
      <c r="AT72" s="36"/>
      <c r="AU72" s="36"/>
      <c r="AV72" s="36"/>
      <c r="AW72" s="36"/>
      <c r="AX72" s="37">
        <f t="shared" si="1"/>
        <v>109574</v>
      </c>
      <c r="AY72" s="38">
        <f t="shared" si="2"/>
        <v>0.43499999999767169</v>
      </c>
    </row>
    <row r="73" spans="2:51" s="21" customFormat="1" ht="22.5">
      <c r="B73" s="22">
        <v>61</v>
      </c>
      <c r="C73" s="22" t="s">
        <v>39</v>
      </c>
      <c r="D73" s="23">
        <v>30379523</v>
      </c>
      <c r="E73" s="47" t="s">
        <v>118</v>
      </c>
      <c r="F73" s="48" t="s">
        <v>47</v>
      </c>
      <c r="G73" s="26" t="s">
        <v>42</v>
      </c>
      <c r="H73" s="50" t="s">
        <v>92</v>
      </c>
      <c r="I73" s="49" t="s">
        <v>52</v>
      </c>
      <c r="J73" s="29">
        <v>295349</v>
      </c>
      <c r="K73" s="30">
        <v>0</v>
      </c>
      <c r="L73" s="30">
        <v>262082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/>
      <c r="W73" s="30"/>
      <c r="X73" s="30"/>
      <c r="Y73" s="30">
        <f t="shared" si="0"/>
        <v>0</v>
      </c>
      <c r="Z73" s="31">
        <v>33267</v>
      </c>
      <c r="AA73" s="32">
        <v>29</v>
      </c>
      <c r="AB73" s="27" t="s">
        <v>119</v>
      </c>
      <c r="AC73" s="36">
        <v>44365</v>
      </c>
      <c r="AD73" s="34">
        <f>+-6445</f>
        <v>-6445</v>
      </c>
      <c r="AE73" s="35">
        <v>44</v>
      </c>
      <c r="AF73" s="33">
        <v>44425</v>
      </c>
      <c r="AG73" s="36">
        <v>44442</v>
      </c>
      <c r="AH73" s="34"/>
      <c r="AI73" s="32"/>
      <c r="AJ73" s="27"/>
      <c r="AK73" s="36"/>
      <c r="AL73" s="34"/>
      <c r="AM73" s="32"/>
      <c r="AN73" s="27"/>
      <c r="AO73" s="36"/>
      <c r="AP73" s="34"/>
      <c r="AQ73" s="32"/>
      <c r="AR73" s="27"/>
      <c r="AS73" s="36"/>
      <c r="AT73" s="36"/>
      <c r="AU73" s="36"/>
      <c r="AV73" s="36"/>
      <c r="AW73" s="36"/>
      <c r="AX73" s="37">
        <f t="shared" si="1"/>
        <v>26822</v>
      </c>
      <c r="AY73" s="38">
        <f t="shared" si="2"/>
        <v>26822</v>
      </c>
    </row>
    <row r="74" spans="2:51" s="21" customFormat="1" ht="22.5">
      <c r="B74" s="22">
        <v>62</v>
      </c>
      <c r="C74" s="22" t="s">
        <v>39</v>
      </c>
      <c r="D74" s="23">
        <v>30065797</v>
      </c>
      <c r="E74" s="47" t="s">
        <v>120</v>
      </c>
      <c r="F74" s="48" t="s">
        <v>47</v>
      </c>
      <c r="G74" s="26" t="s">
        <v>42</v>
      </c>
      <c r="H74" s="27" t="s">
        <v>43</v>
      </c>
      <c r="I74" s="49" t="s">
        <v>44</v>
      </c>
      <c r="J74" s="29">
        <v>1743765</v>
      </c>
      <c r="K74" s="30">
        <v>191510</v>
      </c>
      <c r="L74" s="30">
        <v>1164512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63396</v>
      </c>
      <c r="S74" s="30">
        <v>0</v>
      </c>
      <c r="T74" s="30">
        <v>0</v>
      </c>
      <c r="U74" s="30">
        <v>322631.37400000001</v>
      </c>
      <c r="V74" s="30"/>
      <c r="W74" s="30"/>
      <c r="X74" s="30"/>
      <c r="Y74" s="30">
        <f t="shared" si="0"/>
        <v>386027.37400000001</v>
      </c>
      <c r="Z74" s="31">
        <v>387448</v>
      </c>
      <c r="AA74" s="32">
        <v>31</v>
      </c>
      <c r="AB74" s="33">
        <v>44362</v>
      </c>
      <c r="AC74" s="36">
        <v>44371</v>
      </c>
      <c r="AD74" s="34"/>
      <c r="AE74" s="35"/>
      <c r="AF74" s="27"/>
      <c r="AG74" s="36"/>
      <c r="AH74" s="34"/>
      <c r="AI74" s="32"/>
      <c r="AJ74" s="27"/>
      <c r="AK74" s="36"/>
      <c r="AL74" s="34"/>
      <c r="AM74" s="32"/>
      <c r="AN74" s="27"/>
      <c r="AO74" s="36"/>
      <c r="AP74" s="34"/>
      <c r="AQ74" s="32"/>
      <c r="AR74" s="27"/>
      <c r="AS74" s="36"/>
      <c r="AT74" s="36"/>
      <c r="AU74" s="36"/>
      <c r="AV74" s="36"/>
      <c r="AW74" s="36"/>
      <c r="AX74" s="37">
        <f t="shared" si="1"/>
        <v>387448</v>
      </c>
      <c r="AY74" s="38">
        <f t="shared" si="2"/>
        <v>1420.6259999999893</v>
      </c>
    </row>
    <row r="75" spans="2:51" s="21" customFormat="1" ht="22.5">
      <c r="B75" s="22">
        <v>63</v>
      </c>
      <c r="C75" s="22" t="s">
        <v>39</v>
      </c>
      <c r="D75" s="23">
        <v>40011410</v>
      </c>
      <c r="E75" s="47" t="s">
        <v>121</v>
      </c>
      <c r="F75" s="48" t="s">
        <v>47</v>
      </c>
      <c r="G75" s="26" t="s">
        <v>42</v>
      </c>
      <c r="H75" s="27" t="s">
        <v>43</v>
      </c>
      <c r="I75" s="49" t="s">
        <v>52</v>
      </c>
      <c r="J75" s="29">
        <v>164448</v>
      </c>
      <c r="K75" s="30">
        <v>0</v>
      </c>
      <c r="L75" s="30">
        <v>113314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/>
      <c r="W75" s="30"/>
      <c r="X75" s="30"/>
      <c r="Y75" s="30">
        <f t="shared" si="0"/>
        <v>0</v>
      </c>
      <c r="Z75" s="31">
        <v>51134</v>
      </c>
      <c r="AA75" s="32">
        <v>31</v>
      </c>
      <c r="AB75" s="33">
        <v>44362</v>
      </c>
      <c r="AC75" s="36">
        <v>44371</v>
      </c>
      <c r="AD75" s="34">
        <f>+-5000</f>
        <v>-5000</v>
      </c>
      <c r="AE75" s="35">
        <v>44</v>
      </c>
      <c r="AF75" s="33">
        <v>44425</v>
      </c>
      <c r="AG75" s="36">
        <v>44442</v>
      </c>
      <c r="AH75" s="34">
        <f>+-33563</f>
        <v>-33563</v>
      </c>
      <c r="AI75" s="32">
        <v>47</v>
      </c>
      <c r="AJ75" s="33">
        <v>44445</v>
      </c>
      <c r="AK75" s="36">
        <v>44463</v>
      </c>
      <c r="AL75" s="34"/>
      <c r="AM75" s="32"/>
      <c r="AN75" s="27"/>
      <c r="AO75" s="36"/>
      <c r="AP75" s="34"/>
      <c r="AQ75" s="32"/>
      <c r="AR75" s="27"/>
      <c r="AS75" s="36"/>
      <c r="AT75" s="36"/>
      <c r="AU75" s="36"/>
      <c r="AV75" s="36"/>
      <c r="AW75" s="36"/>
      <c r="AX75" s="37">
        <f t="shared" si="1"/>
        <v>12571</v>
      </c>
      <c r="AY75" s="38">
        <f t="shared" si="2"/>
        <v>12571</v>
      </c>
    </row>
    <row r="76" spans="2:51" s="21" customFormat="1" ht="21.95" customHeight="1">
      <c r="B76" s="22">
        <v>64</v>
      </c>
      <c r="C76" s="22" t="s">
        <v>39</v>
      </c>
      <c r="D76" s="23">
        <v>30354782</v>
      </c>
      <c r="E76" s="47" t="s">
        <v>122</v>
      </c>
      <c r="F76" s="48" t="s">
        <v>105</v>
      </c>
      <c r="G76" s="26" t="s">
        <v>42</v>
      </c>
      <c r="H76" s="27" t="s">
        <v>43</v>
      </c>
      <c r="I76" s="49" t="s">
        <v>52</v>
      </c>
      <c r="J76" s="29">
        <v>1237701</v>
      </c>
      <c r="K76" s="30">
        <v>0</v>
      </c>
      <c r="L76" s="30">
        <v>1084777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2500</v>
      </c>
      <c r="U76" s="30">
        <v>0</v>
      </c>
      <c r="V76" s="30"/>
      <c r="W76" s="30"/>
      <c r="X76" s="30"/>
      <c r="Y76" s="30">
        <f t="shared" si="0"/>
        <v>2500</v>
      </c>
      <c r="Z76" s="31">
        <v>152923</v>
      </c>
      <c r="AA76" s="32">
        <v>31</v>
      </c>
      <c r="AB76" s="33">
        <v>44362</v>
      </c>
      <c r="AC76" s="36">
        <v>44371</v>
      </c>
      <c r="AD76" s="34">
        <f>+-76496</f>
        <v>-76496</v>
      </c>
      <c r="AE76" s="35">
        <v>42</v>
      </c>
      <c r="AF76" s="33">
        <v>44412</v>
      </c>
      <c r="AG76" s="36">
        <v>44421</v>
      </c>
      <c r="AH76" s="34"/>
      <c r="AI76" s="32"/>
      <c r="AJ76" s="27"/>
      <c r="AK76" s="36"/>
      <c r="AL76" s="34"/>
      <c r="AM76" s="32"/>
      <c r="AN76" s="27"/>
      <c r="AO76" s="36"/>
      <c r="AP76" s="34"/>
      <c r="AQ76" s="32"/>
      <c r="AR76" s="27"/>
      <c r="AS76" s="36"/>
      <c r="AT76" s="36"/>
      <c r="AU76" s="36"/>
      <c r="AV76" s="36"/>
      <c r="AW76" s="36"/>
      <c r="AX76" s="37">
        <f t="shared" si="1"/>
        <v>76427</v>
      </c>
      <c r="AY76" s="38">
        <f t="shared" si="2"/>
        <v>73927</v>
      </c>
    </row>
    <row r="77" spans="2:51" s="21" customFormat="1" ht="21.95" customHeight="1">
      <c r="B77" s="22">
        <v>65</v>
      </c>
      <c r="C77" s="22" t="s">
        <v>65</v>
      </c>
      <c r="D77" s="23">
        <v>40015985</v>
      </c>
      <c r="E77" s="48" t="s">
        <v>123</v>
      </c>
      <c r="F77" s="48" t="s">
        <v>105</v>
      </c>
      <c r="G77" s="26" t="s">
        <v>42</v>
      </c>
      <c r="H77" s="27" t="s">
        <v>43</v>
      </c>
      <c r="I77" s="49" t="s">
        <v>52</v>
      </c>
      <c r="J77" s="29">
        <v>128846</v>
      </c>
      <c r="K77" s="34">
        <v>0</v>
      </c>
      <c r="L77" s="34">
        <v>88846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4"/>
      <c r="W77" s="34"/>
      <c r="X77" s="34"/>
      <c r="Y77" s="30">
        <f t="shared" si="0"/>
        <v>0</v>
      </c>
      <c r="Z77" s="31">
        <v>123</v>
      </c>
      <c r="AA77" s="32">
        <v>35</v>
      </c>
      <c r="AB77" s="33">
        <v>44383</v>
      </c>
      <c r="AC77" s="36">
        <v>44397</v>
      </c>
      <c r="AD77" s="34">
        <v>6018</v>
      </c>
      <c r="AE77" s="35">
        <v>50</v>
      </c>
      <c r="AF77" s="33">
        <v>44453</v>
      </c>
      <c r="AG77" s="36">
        <v>44462</v>
      </c>
      <c r="AH77" s="31"/>
      <c r="AI77" s="32"/>
      <c r="AJ77" s="27"/>
      <c r="AK77" s="36"/>
      <c r="AL77" s="31"/>
      <c r="AM77" s="32"/>
      <c r="AN77" s="27"/>
      <c r="AO77" s="36"/>
      <c r="AP77" s="31"/>
      <c r="AQ77" s="32"/>
      <c r="AR77" s="27"/>
      <c r="AS77" s="36"/>
      <c r="AT77" s="36"/>
      <c r="AU77" s="36"/>
      <c r="AV77" s="36"/>
      <c r="AW77" s="36"/>
      <c r="AX77" s="37">
        <f t="shared" si="1"/>
        <v>6141</v>
      </c>
      <c r="AY77" s="38">
        <f t="shared" si="2"/>
        <v>6141</v>
      </c>
    </row>
    <row r="78" spans="2:51" s="21" customFormat="1" ht="33.75" customHeight="1">
      <c r="B78" s="22">
        <v>66</v>
      </c>
      <c r="C78" s="22" t="s">
        <v>65</v>
      </c>
      <c r="D78" s="23">
        <v>40029606</v>
      </c>
      <c r="E78" s="48" t="s">
        <v>124</v>
      </c>
      <c r="F78" s="48" t="s">
        <v>105</v>
      </c>
      <c r="G78" s="26" t="s">
        <v>42</v>
      </c>
      <c r="H78" s="73" t="s">
        <v>125</v>
      </c>
      <c r="I78" s="49" t="s">
        <v>52</v>
      </c>
      <c r="J78" s="29">
        <v>149245</v>
      </c>
      <c r="K78" s="34">
        <v>0</v>
      </c>
      <c r="L78" s="34">
        <v>89547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4"/>
      <c r="W78" s="34"/>
      <c r="X78" s="34"/>
      <c r="Y78" s="30">
        <f t="shared" ref="Y78:Y84" si="3">SUM(M78:X78)</f>
        <v>0</v>
      </c>
      <c r="Z78" s="31">
        <v>59698</v>
      </c>
      <c r="AA78" s="32">
        <v>35</v>
      </c>
      <c r="AB78" s="33">
        <v>44383</v>
      </c>
      <c r="AC78" s="36">
        <v>44397</v>
      </c>
      <c r="AD78" s="31"/>
      <c r="AE78" s="35"/>
      <c r="AF78" s="27"/>
      <c r="AG78" s="36"/>
      <c r="AH78" s="31"/>
      <c r="AI78" s="32"/>
      <c r="AJ78" s="27"/>
      <c r="AK78" s="36"/>
      <c r="AL78" s="31"/>
      <c r="AM78" s="32"/>
      <c r="AN78" s="27"/>
      <c r="AO78" s="36"/>
      <c r="AP78" s="31"/>
      <c r="AQ78" s="32"/>
      <c r="AR78" s="27"/>
      <c r="AS78" s="36"/>
      <c r="AT78" s="36"/>
      <c r="AU78" s="36"/>
      <c r="AV78" s="36"/>
      <c r="AW78" s="36"/>
      <c r="AX78" s="37">
        <f t="shared" ref="AX78:AX94" si="4">+Z78+AD78+AH78+AL78+AP78+AT78</f>
        <v>59698</v>
      </c>
      <c r="AY78" s="38">
        <f t="shared" ref="AY78:AY92" si="5">+AX78-Y78</f>
        <v>59698</v>
      </c>
    </row>
    <row r="79" spans="2:51" s="21" customFormat="1" ht="21.95" customHeight="1">
      <c r="B79" s="22">
        <v>67</v>
      </c>
      <c r="C79" s="22" t="s">
        <v>39</v>
      </c>
      <c r="D79" s="23">
        <v>40013722</v>
      </c>
      <c r="E79" s="48" t="s">
        <v>126</v>
      </c>
      <c r="F79" s="48" t="s">
        <v>105</v>
      </c>
      <c r="G79" s="26" t="s">
        <v>42</v>
      </c>
      <c r="H79" s="27" t="s">
        <v>43</v>
      </c>
      <c r="I79" s="49" t="s">
        <v>52</v>
      </c>
      <c r="J79" s="29">
        <v>122688</v>
      </c>
      <c r="K79" s="34">
        <v>0</v>
      </c>
      <c r="L79" s="34">
        <v>43553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4"/>
      <c r="W79" s="34"/>
      <c r="X79" s="34"/>
      <c r="Y79" s="30">
        <f t="shared" si="3"/>
        <v>0</v>
      </c>
      <c r="Z79" s="31">
        <v>41787</v>
      </c>
      <c r="AA79" s="32">
        <v>36</v>
      </c>
      <c r="AB79" s="33">
        <v>44389</v>
      </c>
      <c r="AC79" s="36">
        <v>44403</v>
      </c>
      <c r="AD79" s="34">
        <f>+-31055</f>
        <v>-31055</v>
      </c>
      <c r="AE79" s="35">
        <v>47</v>
      </c>
      <c r="AF79" s="33">
        <v>44445</v>
      </c>
      <c r="AG79" s="36">
        <v>44463</v>
      </c>
      <c r="AH79" s="31"/>
      <c r="AI79" s="32"/>
      <c r="AJ79" s="27"/>
      <c r="AK79" s="36"/>
      <c r="AL79" s="31"/>
      <c r="AM79" s="32"/>
      <c r="AN79" s="27"/>
      <c r="AO79" s="36"/>
      <c r="AP79" s="31"/>
      <c r="AQ79" s="32"/>
      <c r="AR79" s="27"/>
      <c r="AS79" s="36"/>
      <c r="AT79" s="36"/>
      <c r="AU79" s="36"/>
      <c r="AV79" s="36"/>
      <c r="AW79" s="36"/>
      <c r="AX79" s="37">
        <f t="shared" si="4"/>
        <v>10732</v>
      </c>
      <c r="AY79" s="38">
        <f t="shared" si="5"/>
        <v>10732</v>
      </c>
    </row>
    <row r="80" spans="2:51" s="21" customFormat="1" ht="21.95" customHeight="1">
      <c r="B80" s="22">
        <v>68</v>
      </c>
      <c r="C80" s="22" t="s">
        <v>39</v>
      </c>
      <c r="D80" s="23">
        <v>40018452</v>
      </c>
      <c r="E80" s="48" t="s">
        <v>127</v>
      </c>
      <c r="F80" s="48" t="s">
        <v>117</v>
      </c>
      <c r="G80" s="26" t="s">
        <v>42</v>
      </c>
      <c r="H80" s="27" t="s">
        <v>43</v>
      </c>
      <c r="I80" s="49" t="s">
        <v>52</v>
      </c>
      <c r="J80" s="29">
        <v>234658</v>
      </c>
      <c r="K80" s="34">
        <v>0</v>
      </c>
      <c r="L80" s="34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4"/>
      <c r="W80" s="34"/>
      <c r="X80" s="34"/>
      <c r="Y80" s="30">
        <f t="shared" si="3"/>
        <v>0</v>
      </c>
      <c r="Z80" s="31">
        <v>234658</v>
      </c>
      <c r="AA80" s="32">
        <v>36</v>
      </c>
      <c r="AB80" s="33">
        <v>44389</v>
      </c>
      <c r="AC80" s="36">
        <v>44403</v>
      </c>
      <c r="AD80" s="34">
        <f>+-5000</f>
        <v>-5000</v>
      </c>
      <c r="AE80" s="35">
        <v>44</v>
      </c>
      <c r="AF80" s="33">
        <v>44425</v>
      </c>
      <c r="AG80" s="36">
        <v>44442</v>
      </c>
      <c r="AH80" s="34">
        <f>+-139658</f>
        <v>-139658</v>
      </c>
      <c r="AI80" s="32">
        <v>47</v>
      </c>
      <c r="AJ80" s="33">
        <v>44445</v>
      </c>
      <c r="AK80" s="36">
        <v>44463</v>
      </c>
      <c r="AL80" s="31"/>
      <c r="AM80" s="32"/>
      <c r="AN80" s="27"/>
      <c r="AO80" s="36"/>
      <c r="AP80" s="31"/>
      <c r="AQ80" s="32"/>
      <c r="AR80" s="27"/>
      <c r="AS80" s="36"/>
      <c r="AT80" s="36"/>
      <c r="AU80" s="36"/>
      <c r="AV80" s="36"/>
      <c r="AW80" s="36"/>
      <c r="AX80" s="37">
        <f t="shared" si="4"/>
        <v>90000</v>
      </c>
      <c r="AY80" s="38">
        <f t="shared" si="5"/>
        <v>90000</v>
      </c>
    </row>
    <row r="81" spans="2:51" s="21" customFormat="1" ht="25.5" customHeight="1">
      <c r="B81" s="22">
        <v>69</v>
      </c>
      <c r="C81" s="22" t="s">
        <v>39</v>
      </c>
      <c r="D81" s="23">
        <v>40027564</v>
      </c>
      <c r="E81" s="48" t="s">
        <v>128</v>
      </c>
      <c r="F81" s="48" t="s">
        <v>117</v>
      </c>
      <c r="G81" s="26" t="s">
        <v>42</v>
      </c>
      <c r="H81" s="27" t="s">
        <v>43</v>
      </c>
      <c r="I81" s="49" t="s">
        <v>52</v>
      </c>
      <c r="J81" s="29">
        <v>91472</v>
      </c>
      <c r="K81" s="34">
        <v>0</v>
      </c>
      <c r="L81" s="34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4"/>
      <c r="W81" s="34"/>
      <c r="X81" s="34"/>
      <c r="Y81" s="30">
        <f t="shared" si="3"/>
        <v>0</v>
      </c>
      <c r="Z81" s="31">
        <v>91472</v>
      </c>
      <c r="AA81" s="32">
        <v>36</v>
      </c>
      <c r="AB81" s="33">
        <v>44389</v>
      </c>
      <c r="AC81" s="36">
        <v>44403</v>
      </c>
      <c r="AD81" s="34">
        <f>+-91471</f>
        <v>-91471</v>
      </c>
      <c r="AE81" s="35">
        <v>44</v>
      </c>
      <c r="AF81" s="33">
        <v>44425</v>
      </c>
      <c r="AG81" s="36">
        <v>44442</v>
      </c>
      <c r="AH81" s="31"/>
      <c r="AI81" s="32"/>
      <c r="AJ81" s="27"/>
      <c r="AK81" s="36"/>
      <c r="AL81" s="31"/>
      <c r="AM81" s="32"/>
      <c r="AN81" s="27"/>
      <c r="AO81" s="36"/>
      <c r="AP81" s="31"/>
      <c r="AQ81" s="32"/>
      <c r="AR81" s="27"/>
      <c r="AS81" s="36"/>
      <c r="AT81" s="36"/>
      <c r="AU81" s="36"/>
      <c r="AV81" s="36"/>
      <c r="AW81" s="36"/>
      <c r="AX81" s="37">
        <f t="shared" si="4"/>
        <v>1</v>
      </c>
      <c r="AY81" s="38">
        <f t="shared" si="5"/>
        <v>1</v>
      </c>
    </row>
    <row r="82" spans="2:51" s="21" customFormat="1" ht="21.95" customHeight="1">
      <c r="B82" s="22">
        <v>70</v>
      </c>
      <c r="C82" s="22" t="s">
        <v>39</v>
      </c>
      <c r="D82" s="23">
        <v>40017755</v>
      </c>
      <c r="E82" s="48" t="s">
        <v>129</v>
      </c>
      <c r="F82" s="48" t="s">
        <v>105</v>
      </c>
      <c r="G82" s="26" t="s">
        <v>42</v>
      </c>
      <c r="H82" s="27" t="s">
        <v>43</v>
      </c>
      <c r="I82" s="49" t="s">
        <v>52</v>
      </c>
      <c r="J82" s="29">
        <v>164916</v>
      </c>
      <c r="K82" s="34">
        <v>0</v>
      </c>
      <c r="L82" s="34">
        <v>159906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4"/>
      <c r="W82" s="34"/>
      <c r="X82" s="34"/>
      <c r="Y82" s="30">
        <f t="shared" si="3"/>
        <v>0</v>
      </c>
      <c r="Z82" s="31">
        <v>5010</v>
      </c>
      <c r="AA82" s="32">
        <v>38</v>
      </c>
      <c r="AB82" s="33">
        <v>44390</v>
      </c>
      <c r="AC82" s="36">
        <v>44410</v>
      </c>
      <c r="AD82" s="31"/>
      <c r="AE82" s="35"/>
      <c r="AF82" s="27"/>
      <c r="AG82" s="36"/>
      <c r="AH82" s="31"/>
      <c r="AI82" s="32"/>
      <c r="AJ82" s="27"/>
      <c r="AK82" s="36"/>
      <c r="AL82" s="31"/>
      <c r="AM82" s="32"/>
      <c r="AN82" s="27"/>
      <c r="AO82" s="36"/>
      <c r="AP82" s="31"/>
      <c r="AQ82" s="32"/>
      <c r="AR82" s="27"/>
      <c r="AS82" s="36"/>
      <c r="AT82" s="36"/>
      <c r="AU82" s="36"/>
      <c r="AV82" s="36"/>
      <c r="AW82" s="36"/>
      <c r="AX82" s="37">
        <f t="shared" si="4"/>
        <v>5010</v>
      </c>
      <c r="AY82" s="38">
        <f t="shared" si="5"/>
        <v>5010</v>
      </c>
    </row>
    <row r="83" spans="2:51" s="21" customFormat="1" ht="21.95" customHeight="1">
      <c r="B83" s="22">
        <v>71</v>
      </c>
      <c r="C83" s="22" t="s">
        <v>39</v>
      </c>
      <c r="D83" s="23">
        <v>40024786</v>
      </c>
      <c r="E83" s="48" t="s">
        <v>130</v>
      </c>
      <c r="F83" s="48" t="s">
        <v>105</v>
      </c>
      <c r="G83" s="26" t="s">
        <v>42</v>
      </c>
      <c r="H83" s="27" t="s">
        <v>43</v>
      </c>
      <c r="I83" s="49" t="s">
        <v>52</v>
      </c>
      <c r="J83" s="29">
        <v>693013</v>
      </c>
      <c r="K83" s="34">
        <v>0</v>
      </c>
      <c r="L83" s="34">
        <v>358184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4"/>
      <c r="W83" s="34"/>
      <c r="X83" s="34"/>
      <c r="Y83" s="30">
        <f t="shared" si="3"/>
        <v>0</v>
      </c>
      <c r="Z83" s="31">
        <v>1001</v>
      </c>
      <c r="AA83" s="32">
        <v>43</v>
      </c>
      <c r="AB83" s="33">
        <v>44413</v>
      </c>
      <c r="AC83" s="36">
        <v>44421</v>
      </c>
      <c r="AD83" s="31"/>
      <c r="AE83" s="35"/>
      <c r="AF83" s="27"/>
      <c r="AG83" s="36"/>
      <c r="AH83" s="31"/>
      <c r="AI83" s="32"/>
      <c r="AJ83" s="27"/>
      <c r="AK83" s="36"/>
      <c r="AL83" s="31"/>
      <c r="AM83" s="32"/>
      <c r="AN83" s="27"/>
      <c r="AO83" s="36"/>
      <c r="AP83" s="31"/>
      <c r="AQ83" s="32"/>
      <c r="AR83" s="27"/>
      <c r="AS83" s="36"/>
      <c r="AT83" s="36"/>
      <c r="AU83" s="36"/>
      <c r="AV83" s="36"/>
      <c r="AW83" s="36"/>
      <c r="AX83" s="37">
        <f t="shared" si="4"/>
        <v>1001</v>
      </c>
      <c r="AY83" s="38">
        <f t="shared" si="5"/>
        <v>1001</v>
      </c>
    </row>
    <row r="84" spans="2:51" s="21" customFormat="1" ht="21.95" customHeight="1">
      <c r="B84" s="22">
        <v>72</v>
      </c>
      <c r="C84" s="22" t="s">
        <v>131</v>
      </c>
      <c r="D84" s="23">
        <v>40015625</v>
      </c>
      <c r="E84" s="48" t="s">
        <v>132</v>
      </c>
      <c r="F84" s="48" t="s">
        <v>105</v>
      </c>
      <c r="G84" s="26" t="s">
        <v>42</v>
      </c>
      <c r="H84" s="27" t="s">
        <v>43</v>
      </c>
      <c r="I84" s="49" t="s">
        <v>52</v>
      </c>
      <c r="J84" s="29">
        <v>165236</v>
      </c>
      <c r="K84" s="34">
        <v>0</v>
      </c>
      <c r="L84" s="34">
        <v>157578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4"/>
      <c r="W84" s="34"/>
      <c r="X84" s="34"/>
      <c r="Y84" s="30">
        <f t="shared" si="3"/>
        <v>0</v>
      </c>
      <c r="Z84" s="31">
        <v>818</v>
      </c>
      <c r="AA84" s="32">
        <v>50</v>
      </c>
      <c r="AB84" s="33">
        <v>44453</v>
      </c>
      <c r="AC84" s="36">
        <v>44462</v>
      </c>
      <c r="AD84" s="31"/>
      <c r="AE84" s="35"/>
      <c r="AF84" s="27"/>
      <c r="AG84" s="36"/>
      <c r="AH84" s="31"/>
      <c r="AI84" s="32"/>
      <c r="AJ84" s="27"/>
      <c r="AK84" s="36"/>
      <c r="AL84" s="31"/>
      <c r="AM84" s="32"/>
      <c r="AN84" s="27"/>
      <c r="AO84" s="36"/>
      <c r="AP84" s="31"/>
      <c r="AQ84" s="32"/>
      <c r="AR84" s="27"/>
      <c r="AS84" s="36"/>
      <c r="AT84" s="36"/>
      <c r="AU84" s="36"/>
      <c r="AV84" s="36"/>
      <c r="AW84" s="36"/>
      <c r="AX84" s="37">
        <f t="shared" si="4"/>
        <v>818</v>
      </c>
      <c r="AY84" s="38">
        <f t="shared" si="5"/>
        <v>818</v>
      </c>
    </row>
    <row r="85" spans="2:51" s="21" customFormat="1" ht="23.25" customHeight="1">
      <c r="B85" s="22">
        <v>73</v>
      </c>
      <c r="C85" s="22" t="s">
        <v>131</v>
      </c>
      <c r="D85" s="23">
        <v>40015618</v>
      </c>
      <c r="E85" s="48" t="s">
        <v>133</v>
      </c>
      <c r="F85" s="48" t="s">
        <v>105</v>
      </c>
      <c r="G85" s="26" t="s">
        <v>42</v>
      </c>
      <c r="H85" s="27" t="s">
        <v>43</v>
      </c>
      <c r="I85" s="49" t="s">
        <v>52</v>
      </c>
      <c r="J85" s="29">
        <v>201065</v>
      </c>
      <c r="K85" s="34">
        <v>0</v>
      </c>
      <c r="L85" s="34">
        <v>153487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4"/>
      <c r="W85" s="34"/>
      <c r="X85" s="34"/>
      <c r="Y85" s="30">
        <f>SUM(M85:X85)</f>
        <v>0</v>
      </c>
      <c r="Z85" s="31">
        <v>1000</v>
      </c>
      <c r="AA85" s="32">
        <v>50</v>
      </c>
      <c r="AB85" s="33">
        <v>44453</v>
      </c>
      <c r="AC85" s="36">
        <v>44462</v>
      </c>
      <c r="AD85" s="31"/>
      <c r="AE85" s="35"/>
      <c r="AF85" s="27"/>
      <c r="AG85" s="36"/>
      <c r="AH85" s="31"/>
      <c r="AI85" s="32"/>
      <c r="AJ85" s="27"/>
      <c r="AK85" s="36"/>
      <c r="AL85" s="31"/>
      <c r="AM85" s="32"/>
      <c r="AN85" s="27"/>
      <c r="AO85" s="36"/>
      <c r="AP85" s="31"/>
      <c r="AQ85" s="32"/>
      <c r="AR85" s="27"/>
      <c r="AS85" s="36"/>
      <c r="AT85" s="36"/>
      <c r="AU85" s="36"/>
      <c r="AV85" s="36"/>
      <c r="AW85" s="36"/>
      <c r="AX85" s="37">
        <f t="shared" si="4"/>
        <v>1000</v>
      </c>
      <c r="AY85" s="38">
        <f t="shared" si="5"/>
        <v>1000</v>
      </c>
    </row>
    <row r="86" spans="2:51" s="21" customFormat="1" ht="21.95" customHeight="1">
      <c r="B86" s="22"/>
      <c r="C86" s="22"/>
      <c r="D86" s="23"/>
      <c r="E86" s="48"/>
      <c r="F86" s="48"/>
      <c r="G86" s="26"/>
      <c r="H86" s="73"/>
      <c r="I86" s="49"/>
      <c r="J86" s="29"/>
      <c r="K86" s="34"/>
      <c r="L86" s="34"/>
      <c r="M86" s="30"/>
      <c r="N86" s="30"/>
      <c r="O86" s="30"/>
      <c r="P86" s="30"/>
      <c r="Q86" s="30"/>
      <c r="R86" s="30"/>
      <c r="S86" s="30"/>
      <c r="T86" s="30"/>
      <c r="U86" s="30"/>
      <c r="V86" s="34"/>
      <c r="W86" s="34"/>
      <c r="X86" s="34"/>
      <c r="Y86" s="30"/>
      <c r="Z86" s="31"/>
      <c r="AA86" s="32"/>
      <c r="AB86" s="27"/>
      <c r="AC86" s="36"/>
      <c r="AD86" s="31"/>
      <c r="AE86" s="35"/>
      <c r="AF86" s="27"/>
      <c r="AG86" s="36"/>
      <c r="AH86" s="31"/>
      <c r="AI86" s="32"/>
      <c r="AJ86" s="27"/>
      <c r="AK86" s="36"/>
      <c r="AL86" s="31"/>
      <c r="AM86" s="32"/>
      <c r="AN86" s="27"/>
      <c r="AO86" s="36"/>
      <c r="AP86" s="31"/>
      <c r="AQ86" s="32"/>
      <c r="AR86" s="27"/>
      <c r="AS86" s="36"/>
      <c r="AT86" s="36"/>
      <c r="AU86" s="36"/>
      <c r="AV86" s="36"/>
      <c r="AW86" s="36"/>
      <c r="AX86" s="37">
        <f t="shared" si="4"/>
        <v>0</v>
      </c>
      <c r="AY86" s="38">
        <f t="shared" si="5"/>
        <v>0</v>
      </c>
    </row>
    <row r="87" spans="2:51" s="21" customFormat="1" ht="21.95" customHeight="1">
      <c r="B87" s="22"/>
      <c r="C87" s="22"/>
      <c r="D87" s="23"/>
      <c r="E87" s="48"/>
      <c r="F87" s="48"/>
      <c r="G87" s="26"/>
      <c r="H87" s="73"/>
      <c r="I87" s="49"/>
      <c r="J87" s="29"/>
      <c r="K87" s="34"/>
      <c r="L87" s="34"/>
      <c r="M87" s="30"/>
      <c r="N87" s="30"/>
      <c r="O87" s="30"/>
      <c r="P87" s="30"/>
      <c r="Q87" s="30"/>
      <c r="R87" s="30"/>
      <c r="S87" s="30"/>
      <c r="T87" s="30"/>
      <c r="U87" s="30"/>
      <c r="V87" s="34"/>
      <c r="W87" s="34"/>
      <c r="X87" s="34"/>
      <c r="Y87" s="30"/>
      <c r="Z87" s="31"/>
      <c r="AA87" s="32"/>
      <c r="AB87" s="27"/>
      <c r="AC87" s="36"/>
      <c r="AD87" s="31"/>
      <c r="AE87" s="35"/>
      <c r="AF87" s="27"/>
      <c r="AG87" s="36"/>
      <c r="AH87" s="31"/>
      <c r="AI87" s="32"/>
      <c r="AJ87" s="27"/>
      <c r="AK87" s="36"/>
      <c r="AL87" s="31"/>
      <c r="AM87" s="32"/>
      <c r="AN87" s="27"/>
      <c r="AO87" s="36"/>
      <c r="AP87" s="31"/>
      <c r="AQ87" s="32"/>
      <c r="AR87" s="27"/>
      <c r="AS87" s="36"/>
      <c r="AT87" s="36"/>
      <c r="AU87" s="36"/>
      <c r="AV87" s="36"/>
      <c r="AW87" s="36"/>
      <c r="AX87" s="37">
        <f t="shared" si="4"/>
        <v>0</v>
      </c>
      <c r="AY87" s="38">
        <f t="shared" si="5"/>
        <v>0</v>
      </c>
    </row>
    <row r="88" spans="2:51" s="21" customFormat="1" ht="21.95" customHeight="1">
      <c r="B88" s="22"/>
      <c r="C88" s="22"/>
      <c r="D88" s="23"/>
      <c r="E88" s="48"/>
      <c r="F88" s="48"/>
      <c r="G88" s="26"/>
      <c r="H88" s="73"/>
      <c r="I88" s="49"/>
      <c r="J88" s="29"/>
      <c r="K88" s="34"/>
      <c r="L88" s="34"/>
      <c r="M88" s="30"/>
      <c r="N88" s="30"/>
      <c r="O88" s="30"/>
      <c r="P88" s="30"/>
      <c r="Q88" s="30"/>
      <c r="R88" s="30"/>
      <c r="S88" s="30"/>
      <c r="T88" s="30"/>
      <c r="U88" s="30"/>
      <c r="V88" s="34"/>
      <c r="W88" s="34"/>
      <c r="X88" s="34"/>
      <c r="Y88" s="30"/>
      <c r="Z88" s="31"/>
      <c r="AA88" s="32"/>
      <c r="AB88" s="27"/>
      <c r="AC88" s="36"/>
      <c r="AD88" s="31"/>
      <c r="AE88" s="35"/>
      <c r="AF88" s="27"/>
      <c r="AG88" s="36"/>
      <c r="AH88" s="31"/>
      <c r="AI88" s="32"/>
      <c r="AJ88" s="27"/>
      <c r="AK88" s="36"/>
      <c r="AL88" s="31"/>
      <c r="AM88" s="32"/>
      <c r="AN88" s="27"/>
      <c r="AO88" s="36"/>
      <c r="AP88" s="31"/>
      <c r="AQ88" s="32"/>
      <c r="AR88" s="27"/>
      <c r="AS88" s="36"/>
      <c r="AT88" s="36"/>
      <c r="AU88" s="36"/>
      <c r="AV88" s="36"/>
      <c r="AW88" s="36"/>
      <c r="AX88" s="37">
        <f t="shared" si="4"/>
        <v>0</v>
      </c>
      <c r="AY88" s="38">
        <f t="shared" si="5"/>
        <v>0</v>
      </c>
    </row>
    <row r="89" spans="2:51" s="21" customFormat="1" ht="21.95" customHeight="1">
      <c r="B89" s="22"/>
      <c r="C89" s="22"/>
      <c r="D89" s="23"/>
      <c r="E89" s="48"/>
      <c r="F89" s="48"/>
      <c r="G89" s="26"/>
      <c r="H89" s="73"/>
      <c r="I89" s="49"/>
      <c r="J89" s="29"/>
      <c r="K89" s="34"/>
      <c r="L89" s="34"/>
      <c r="M89" s="30"/>
      <c r="N89" s="30"/>
      <c r="O89" s="30"/>
      <c r="P89" s="30"/>
      <c r="Q89" s="30"/>
      <c r="R89" s="30"/>
      <c r="S89" s="30"/>
      <c r="T89" s="30"/>
      <c r="U89" s="30"/>
      <c r="V89" s="34"/>
      <c r="W89" s="34"/>
      <c r="X89" s="34"/>
      <c r="Y89" s="30"/>
      <c r="Z89" s="31"/>
      <c r="AA89" s="32"/>
      <c r="AB89" s="27"/>
      <c r="AC89" s="36"/>
      <c r="AD89" s="31"/>
      <c r="AE89" s="35"/>
      <c r="AF89" s="27"/>
      <c r="AG89" s="36"/>
      <c r="AH89" s="31"/>
      <c r="AI89" s="32"/>
      <c r="AJ89" s="27"/>
      <c r="AK89" s="36"/>
      <c r="AL89" s="31"/>
      <c r="AM89" s="32"/>
      <c r="AN89" s="27"/>
      <c r="AO89" s="36"/>
      <c r="AP89" s="31"/>
      <c r="AQ89" s="32"/>
      <c r="AR89" s="27"/>
      <c r="AS89" s="36"/>
      <c r="AT89" s="36"/>
      <c r="AU89" s="36"/>
      <c r="AV89" s="36"/>
      <c r="AW89" s="36"/>
      <c r="AX89" s="37">
        <f t="shared" si="4"/>
        <v>0</v>
      </c>
      <c r="AY89" s="38">
        <f t="shared" si="5"/>
        <v>0</v>
      </c>
    </row>
    <row r="90" spans="2:51" s="21" customFormat="1" ht="21.95" customHeight="1">
      <c r="B90" s="22"/>
      <c r="C90" s="22"/>
      <c r="D90" s="23"/>
      <c r="E90" s="48"/>
      <c r="F90" s="48"/>
      <c r="G90" s="26"/>
      <c r="H90" s="73"/>
      <c r="I90" s="49"/>
      <c r="J90" s="29"/>
      <c r="K90" s="34"/>
      <c r="L90" s="34"/>
      <c r="M90" s="30"/>
      <c r="N90" s="30"/>
      <c r="O90" s="30"/>
      <c r="P90" s="30"/>
      <c r="Q90" s="30"/>
      <c r="R90" s="30"/>
      <c r="S90" s="30"/>
      <c r="T90" s="30"/>
      <c r="U90" s="30"/>
      <c r="V90" s="34"/>
      <c r="W90" s="34"/>
      <c r="X90" s="34"/>
      <c r="Y90" s="30"/>
      <c r="Z90" s="31"/>
      <c r="AA90" s="32"/>
      <c r="AB90" s="27"/>
      <c r="AC90" s="36"/>
      <c r="AD90" s="31"/>
      <c r="AE90" s="35"/>
      <c r="AF90" s="27"/>
      <c r="AG90" s="36"/>
      <c r="AH90" s="31"/>
      <c r="AI90" s="32"/>
      <c r="AJ90" s="27"/>
      <c r="AK90" s="36"/>
      <c r="AL90" s="31"/>
      <c r="AM90" s="32"/>
      <c r="AN90" s="27"/>
      <c r="AO90" s="36"/>
      <c r="AP90" s="31"/>
      <c r="AQ90" s="32"/>
      <c r="AR90" s="27"/>
      <c r="AS90" s="36"/>
      <c r="AT90" s="36"/>
      <c r="AU90" s="36"/>
      <c r="AV90" s="36"/>
      <c r="AW90" s="36"/>
      <c r="AX90" s="37">
        <f t="shared" si="4"/>
        <v>0</v>
      </c>
      <c r="AY90" s="38">
        <f t="shared" si="5"/>
        <v>0</v>
      </c>
    </row>
    <row r="91" spans="2:51" s="21" customFormat="1" ht="21.95" customHeight="1">
      <c r="B91" s="22"/>
      <c r="C91" s="22"/>
      <c r="D91" s="23"/>
      <c r="E91" s="48"/>
      <c r="F91" s="48"/>
      <c r="G91" s="26"/>
      <c r="H91" s="73"/>
      <c r="I91" s="49"/>
      <c r="J91" s="29"/>
      <c r="K91" s="34"/>
      <c r="L91" s="34"/>
      <c r="M91" s="30"/>
      <c r="N91" s="30"/>
      <c r="O91" s="30"/>
      <c r="P91" s="30"/>
      <c r="Q91" s="30"/>
      <c r="R91" s="30"/>
      <c r="S91" s="30"/>
      <c r="T91" s="30"/>
      <c r="U91" s="30"/>
      <c r="V91" s="34"/>
      <c r="W91" s="34"/>
      <c r="X91" s="34"/>
      <c r="Y91" s="30"/>
      <c r="Z91" s="31"/>
      <c r="AA91" s="32"/>
      <c r="AB91" s="27"/>
      <c r="AC91" s="36"/>
      <c r="AD91" s="31"/>
      <c r="AE91" s="35"/>
      <c r="AF91" s="27"/>
      <c r="AG91" s="36"/>
      <c r="AH91" s="31"/>
      <c r="AI91" s="32"/>
      <c r="AJ91" s="27"/>
      <c r="AK91" s="36"/>
      <c r="AL91" s="31"/>
      <c r="AM91" s="32"/>
      <c r="AN91" s="27"/>
      <c r="AO91" s="36"/>
      <c r="AP91" s="31"/>
      <c r="AQ91" s="32"/>
      <c r="AR91" s="27"/>
      <c r="AS91" s="36"/>
      <c r="AT91" s="36"/>
      <c r="AU91" s="36"/>
      <c r="AV91" s="36"/>
      <c r="AW91" s="36"/>
      <c r="AX91" s="37">
        <f t="shared" si="4"/>
        <v>0</v>
      </c>
      <c r="AY91" s="38">
        <f t="shared" si="5"/>
        <v>0</v>
      </c>
    </row>
    <row r="92" spans="2:51" s="21" customFormat="1" ht="21.95" customHeight="1">
      <c r="B92" s="22"/>
      <c r="C92" s="22"/>
      <c r="D92" s="23"/>
      <c r="E92" s="48"/>
      <c r="F92" s="48"/>
      <c r="G92" s="26"/>
      <c r="H92" s="73"/>
      <c r="I92" s="49"/>
      <c r="J92" s="29"/>
      <c r="K92" s="34"/>
      <c r="L92" s="34"/>
      <c r="M92" s="30"/>
      <c r="N92" s="30"/>
      <c r="O92" s="30"/>
      <c r="P92" s="30"/>
      <c r="Q92" s="30"/>
      <c r="R92" s="30"/>
      <c r="S92" s="30"/>
      <c r="T92" s="30"/>
      <c r="U92" s="30"/>
      <c r="V92" s="34"/>
      <c r="W92" s="34"/>
      <c r="X92" s="34"/>
      <c r="Y92" s="30"/>
      <c r="Z92" s="31"/>
      <c r="AA92" s="32"/>
      <c r="AB92" s="27"/>
      <c r="AC92" s="36"/>
      <c r="AD92" s="31"/>
      <c r="AE92" s="35"/>
      <c r="AF92" s="27"/>
      <c r="AG92" s="36"/>
      <c r="AH92" s="31"/>
      <c r="AI92" s="32"/>
      <c r="AJ92" s="27"/>
      <c r="AK92" s="36"/>
      <c r="AL92" s="31"/>
      <c r="AM92" s="32"/>
      <c r="AN92" s="27"/>
      <c r="AO92" s="36"/>
      <c r="AP92" s="31"/>
      <c r="AQ92" s="32"/>
      <c r="AR92" s="27"/>
      <c r="AS92" s="36"/>
      <c r="AT92" s="36"/>
      <c r="AU92" s="36"/>
      <c r="AV92" s="36"/>
      <c r="AW92" s="36"/>
      <c r="AX92" s="37">
        <f t="shared" si="4"/>
        <v>0</v>
      </c>
      <c r="AY92" s="38">
        <f t="shared" si="5"/>
        <v>0</v>
      </c>
    </row>
    <row r="93" spans="2:51" ht="21.95" customHeight="1">
      <c r="B93" s="51"/>
      <c r="C93" s="51"/>
      <c r="D93" s="23"/>
      <c r="E93" s="52"/>
      <c r="F93" s="52"/>
      <c r="G93" s="56"/>
      <c r="H93" s="55"/>
      <c r="I93" s="53"/>
      <c r="J93" s="29"/>
      <c r="K93" s="54"/>
      <c r="L93" s="54"/>
      <c r="M93" s="30"/>
      <c r="N93" s="30"/>
      <c r="O93" s="30"/>
      <c r="P93" s="30"/>
      <c r="Q93" s="30"/>
      <c r="R93" s="30"/>
      <c r="S93" s="30"/>
      <c r="T93" s="30"/>
      <c r="U93" s="30"/>
      <c r="V93" s="54"/>
      <c r="W93" s="54"/>
      <c r="X93" s="54"/>
      <c r="Y93" s="30"/>
      <c r="Z93" s="31"/>
      <c r="AA93" s="32"/>
      <c r="AB93" s="27"/>
      <c r="AC93" s="36"/>
      <c r="AD93" s="31"/>
      <c r="AE93" s="35"/>
      <c r="AF93" s="27"/>
      <c r="AG93" s="36"/>
      <c r="AH93" s="31"/>
      <c r="AI93" s="32"/>
      <c r="AJ93" s="27"/>
      <c r="AK93" s="36"/>
      <c r="AL93" s="31"/>
      <c r="AM93" s="32"/>
      <c r="AN93" s="27"/>
      <c r="AO93" s="36"/>
      <c r="AP93" s="31"/>
      <c r="AQ93" s="32"/>
      <c r="AR93" s="27"/>
      <c r="AS93" s="36"/>
      <c r="AT93" s="36"/>
      <c r="AU93" s="36"/>
      <c r="AV93" s="36"/>
      <c r="AW93" s="36"/>
      <c r="AX93" s="37">
        <f t="shared" si="4"/>
        <v>0</v>
      </c>
      <c r="AY93" s="43">
        <v>0</v>
      </c>
    </row>
    <row r="94" spans="2:51" ht="21.95" customHeight="1">
      <c r="B94" s="51"/>
      <c r="C94" s="51"/>
      <c r="D94" s="23"/>
      <c r="E94" s="52"/>
      <c r="F94" s="52"/>
      <c r="G94" s="56"/>
      <c r="H94" s="55"/>
      <c r="I94" s="57"/>
      <c r="J94" s="29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30"/>
      <c r="Z94" s="31"/>
      <c r="AA94" s="32"/>
      <c r="AB94" s="27"/>
      <c r="AC94" s="36"/>
      <c r="AD94" s="31"/>
      <c r="AE94" s="35"/>
      <c r="AF94" s="27"/>
      <c r="AG94" s="36"/>
      <c r="AH94" s="31"/>
      <c r="AI94" s="32"/>
      <c r="AJ94" s="27"/>
      <c r="AK94" s="36"/>
      <c r="AL94" s="31"/>
      <c r="AM94" s="32"/>
      <c r="AN94" s="27"/>
      <c r="AO94" s="36"/>
      <c r="AP94" s="31"/>
      <c r="AQ94" s="32"/>
      <c r="AR94" s="27"/>
      <c r="AS94" s="36"/>
      <c r="AT94" s="36"/>
      <c r="AU94" s="36"/>
      <c r="AV94" s="36"/>
      <c r="AW94" s="36"/>
      <c r="AX94" s="37">
        <f t="shared" si="4"/>
        <v>0</v>
      </c>
      <c r="AY94" s="43">
        <v>0</v>
      </c>
    </row>
    <row r="95" spans="2:51" ht="21.95" customHeight="1">
      <c r="B95" s="732" t="s">
        <v>134</v>
      </c>
      <c r="C95" s="732"/>
      <c r="D95" s="732"/>
      <c r="E95" s="732"/>
      <c r="F95" s="732"/>
      <c r="G95" s="732"/>
      <c r="H95" s="732"/>
      <c r="I95" s="732"/>
      <c r="J95" s="58">
        <f>SUBTOTAL(9,J13:J91)</f>
        <v>149169449</v>
      </c>
      <c r="K95" s="58">
        <f t="shared" ref="K95:Y95" si="6">SUBTOTAL(9,K13:K91)</f>
        <v>65846484</v>
      </c>
      <c r="L95" s="58">
        <f t="shared" si="6"/>
        <v>25160598</v>
      </c>
      <c r="M95" s="58">
        <f t="shared" si="6"/>
        <v>0</v>
      </c>
      <c r="N95" s="58">
        <f t="shared" si="6"/>
        <v>182839.916</v>
      </c>
      <c r="O95" s="58">
        <f t="shared" si="6"/>
        <v>1308876.075</v>
      </c>
      <c r="P95" s="58">
        <f t="shared" si="6"/>
        <v>832859</v>
      </c>
      <c r="Q95" s="58">
        <f t="shared" si="6"/>
        <v>469912</v>
      </c>
      <c r="R95" s="58">
        <f t="shared" si="6"/>
        <v>1651202</v>
      </c>
      <c r="S95" s="58">
        <f t="shared" si="6"/>
        <v>1538062.5159999998</v>
      </c>
      <c r="T95" s="58">
        <f t="shared" si="6"/>
        <v>2214937.92</v>
      </c>
      <c r="U95" s="58">
        <f>SUBTOTAL(9,U13:U91)</f>
        <v>2841989.5660000001</v>
      </c>
      <c r="V95" s="58">
        <f t="shared" si="6"/>
        <v>0</v>
      </c>
      <c r="W95" s="58">
        <f t="shared" si="6"/>
        <v>0</v>
      </c>
      <c r="X95" s="58">
        <f t="shared" si="6"/>
        <v>0</v>
      </c>
      <c r="Y95" s="58">
        <f t="shared" si="6"/>
        <v>11040678.992999999</v>
      </c>
      <c r="Z95" s="58">
        <f>SUBTOTAL(9,Z13:Z92)</f>
        <v>12716604</v>
      </c>
      <c r="AA95" s="59"/>
      <c r="AB95" s="59"/>
      <c r="AC95" s="59"/>
      <c r="AD95" s="58">
        <f>SUBTOTAL(9,AD13:AD92)</f>
        <v>1776577</v>
      </c>
      <c r="AE95" s="59"/>
      <c r="AF95" s="59"/>
      <c r="AG95" s="59"/>
      <c r="AH95" s="58">
        <f>SUBTOTAL(9,AH13:AH92)</f>
        <v>1889935</v>
      </c>
      <c r="AI95" s="59"/>
      <c r="AJ95" s="59"/>
      <c r="AK95" s="59"/>
      <c r="AL95" s="58">
        <f>SUBTOTAL(9,AL13:AL92)</f>
        <v>1906034</v>
      </c>
      <c r="AM95" s="59"/>
      <c r="AN95" s="59"/>
      <c r="AO95" s="59"/>
      <c r="AP95" s="58">
        <f>SUBTOTAL(9,AP13:AP92)</f>
        <v>-639625</v>
      </c>
      <c r="AQ95" s="59"/>
      <c r="AR95" s="59"/>
      <c r="AS95" s="59"/>
      <c r="AT95" s="58">
        <f>SUBTOTAL(9,AT13:AT92)</f>
        <v>-397388</v>
      </c>
      <c r="AU95" s="59"/>
      <c r="AV95" s="59"/>
      <c r="AW95" s="59"/>
      <c r="AX95" s="58">
        <f>SUBTOTAL(9,AX13:AX92)</f>
        <v>17252137</v>
      </c>
      <c r="AY95" s="58">
        <f>SUBTOTAL(9,AY13:AY92)</f>
        <v>6211458.0070000002</v>
      </c>
    </row>
    <row r="96" spans="2:51" s="21" customFormat="1" ht="21.95" customHeight="1">
      <c r="J96" s="74"/>
      <c r="AX96" s="75"/>
    </row>
    <row r="97" spans="10:50" s="21" customFormat="1">
      <c r="J97" s="74"/>
    </row>
    <row r="98" spans="10:50" s="21" customFormat="1">
      <c r="J98" s="74"/>
    </row>
    <row r="99" spans="10:50" s="21" customFormat="1">
      <c r="J99" s="74"/>
      <c r="AX99" s="76"/>
    </row>
    <row r="100" spans="10:50" s="21" customFormat="1">
      <c r="J100" s="74"/>
    </row>
    <row r="101" spans="10:50" s="21" customFormat="1">
      <c r="J101" s="74"/>
    </row>
    <row r="102" spans="10:50" s="21" customFormat="1">
      <c r="J102" s="74"/>
    </row>
    <row r="103" spans="10:50" s="21" customFormat="1">
      <c r="W103" s="78"/>
    </row>
    <row r="104" spans="10:50" s="21" customFormat="1"/>
    <row r="105" spans="10:50" s="21" customFormat="1"/>
    <row r="106" spans="10:50" s="21" customFormat="1"/>
    <row r="107" spans="10:50" s="21" customFormat="1"/>
    <row r="108" spans="10:50" s="21" customFormat="1"/>
    <row r="109" spans="10:50" s="21" customFormat="1"/>
    <row r="110" spans="10:50" s="21" customFormat="1"/>
    <row r="111" spans="10:50" s="21" customFormat="1"/>
    <row r="112" spans="10:50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pans="30:32" s="21" customFormat="1"/>
    <row r="146" spans="30:32" s="21" customFormat="1"/>
    <row r="147" spans="30:32" s="21" customFormat="1"/>
    <row r="148" spans="30:32" s="21" customFormat="1"/>
    <row r="149" spans="30:32" s="21" customFormat="1">
      <c r="AD149" s="77"/>
      <c r="AE149" s="77"/>
      <c r="AF149" s="77"/>
    </row>
    <row r="150" spans="30:32" s="21" customFormat="1">
      <c r="AD150" s="77"/>
      <c r="AE150" s="77"/>
      <c r="AF150" s="77"/>
    </row>
    <row r="151" spans="30:32" s="21" customFormat="1">
      <c r="AD151" s="77"/>
      <c r="AE151" s="77"/>
      <c r="AF151" s="77"/>
    </row>
    <row r="152" spans="30:32" s="21" customFormat="1">
      <c r="AD152" s="77"/>
      <c r="AE152" s="77"/>
      <c r="AF152" s="77"/>
    </row>
    <row r="153" spans="30:32" s="21" customFormat="1">
      <c r="AD153" s="77"/>
      <c r="AE153" s="77"/>
      <c r="AF153" s="77"/>
    </row>
    <row r="154" spans="30:32" s="21" customFormat="1">
      <c r="AD154" s="77"/>
      <c r="AE154" s="77"/>
      <c r="AF154" s="77"/>
    </row>
    <row r="155" spans="30:32" s="21" customFormat="1">
      <c r="AD155" s="77"/>
      <c r="AE155" s="77"/>
      <c r="AF155" s="77"/>
    </row>
    <row r="156" spans="30:32" s="21" customFormat="1">
      <c r="AD156" s="77"/>
      <c r="AE156" s="77"/>
      <c r="AF156" s="77"/>
    </row>
    <row r="157" spans="30:32" s="21" customFormat="1">
      <c r="AD157" s="77"/>
      <c r="AE157" s="77"/>
      <c r="AF157" s="77"/>
    </row>
    <row r="158" spans="30:32" s="21" customFormat="1">
      <c r="AD158" s="77"/>
      <c r="AE158" s="77"/>
      <c r="AF158" s="77"/>
    </row>
    <row r="159" spans="30:32" s="21" customFormat="1"/>
  </sheetData>
  <mergeCells count="9">
    <mergeCell ref="B5:AD6"/>
    <mergeCell ref="Z11:AC11"/>
    <mergeCell ref="AD11:AG11"/>
    <mergeCell ref="AH11:AK11"/>
    <mergeCell ref="AL11:AO11"/>
    <mergeCell ref="AP11:AS11"/>
    <mergeCell ref="AT11:AW11"/>
    <mergeCell ref="AX11:AY11"/>
    <mergeCell ref="B95:I95"/>
  </mergeCells>
  <pageMargins left="0.11811023622047245" right="0.11811023622047245" top="0.15748031496062992" bottom="0.15748031496062992" header="0.31496062992125984" footer="0.31496062992125984"/>
  <pageSetup paperSize="14" scale="53" fitToWidth="2" fitToHeight="2" orientation="landscape" verticalDpi="0" r:id="rId1"/>
  <ignoredErrors>
    <ignoredError sqref="J95:T95 Y84:Y85 Y13:Y48 Y78:Y83 Y49:Y77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378"/>
  <sheetViews>
    <sheetView topLeftCell="A9" workbookViewId="0">
      <selection activeCell="B168" sqref="B168:AC168"/>
    </sheetView>
  </sheetViews>
  <sheetFormatPr baseColWidth="10" defaultRowHeight="11.25"/>
  <cols>
    <col min="1" max="1" width="5" style="123" customWidth="1"/>
    <col min="2" max="2" width="12.5703125" style="86" customWidth="1"/>
    <col min="3" max="3" width="11.85546875" style="83" customWidth="1"/>
    <col min="4" max="4" width="11.42578125" style="86" customWidth="1"/>
    <col min="5" max="5" width="39.42578125" style="83" customWidth="1"/>
    <col min="6" max="6" width="13.140625" style="83" customWidth="1"/>
    <col min="7" max="7" width="11.28515625" style="83" customWidth="1"/>
    <col min="8" max="8" width="12.85546875" style="206" customWidth="1"/>
    <col min="9" max="9" width="9.7109375" style="83" customWidth="1"/>
    <col min="10" max="10" width="9.7109375" style="84" customWidth="1"/>
    <col min="11" max="12" width="12" style="84" customWidth="1"/>
    <col min="13" max="15" width="12" style="83" customWidth="1"/>
    <col min="16" max="16" width="12.7109375" style="83" customWidth="1"/>
    <col min="17" max="25" width="12" style="83" customWidth="1"/>
    <col min="26" max="26" width="10.140625" style="721" customWidth="1"/>
    <col min="27" max="27" width="10.140625" style="60" customWidth="1"/>
    <col min="28" max="29" width="10.140625" style="83" customWidth="1"/>
    <col min="30" max="30" width="10.140625" style="646" customWidth="1"/>
    <col min="31" max="31" width="10.140625" style="84" customWidth="1"/>
    <col min="32" max="33" width="10.140625" style="83" customWidth="1"/>
    <col min="34" max="34" width="10.140625" style="646" customWidth="1"/>
    <col min="35" max="35" width="10.140625" style="60" customWidth="1"/>
    <col min="36" max="37" width="10.140625" style="83" customWidth="1"/>
    <col min="38" max="38" width="10.140625" style="646" customWidth="1"/>
    <col min="39" max="39" width="10.140625" style="60" customWidth="1"/>
    <col min="40" max="41" width="10.140625" style="83" customWidth="1"/>
    <col min="42" max="42" width="10.140625" style="646" customWidth="1"/>
    <col min="43" max="43" width="10.140625" style="60" customWidth="1"/>
    <col min="44" max="45" width="10.140625" style="83" customWidth="1"/>
    <col min="46" max="46" width="11.42578125" style="83"/>
    <col min="47" max="47" width="11.42578125" style="644"/>
    <col min="48" max="86" width="11.42578125" style="123"/>
    <col min="87" max="16384" width="11.42578125" style="83"/>
  </cols>
  <sheetData>
    <row r="1" spans="1:86" hidden="1">
      <c r="B1" s="738"/>
      <c r="C1" s="738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739"/>
      <c r="AB1" s="739"/>
      <c r="AC1" s="739"/>
      <c r="AD1" s="643"/>
      <c r="AE1" s="81"/>
      <c r="AF1" s="80"/>
      <c r="AG1" s="80"/>
      <c r="AH1" s="643"/>
      <c r="AI1" s="82"/>
      <c r="AJ1" s="80"/>
      <c r="AK1" s="80"/>
      <c r="AL1" s="643"/>
      <c r="AM1" s="82"/>
      <c r="AN1" s="80"/>
      <c r="AO1" s="80"/>
      <c r="AP1" s="643"/>
      <c r="AQ1" s="82"/>
      <c r="AR1" s="80"/>
      <c r="AS1" s="80"/>
    </row>
    <row r="2" spans="1:86" hidden="1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643"/>
      <c r="AE2" s="81"/>
      <c r="AF2" s="80"/>
      <c r="AG2" s="80"/>
      <c r="AH2" s="643"/>
      <c r="AI2" s="82"/>
      <c r="AJ2" s="80"/>
      <c r="AK2" s="80"/>
      <c r="AL2" s="643"/>
      <c r="AM2" s="82"/>
      <c r="AN2" s="80"/>
      <c r="AO2" s="80"/>
      <c r="AP2" s="643"/>
      <c r="AQ2" s="82"/>
      <c r="AR2" s="80"/>
      <c r="AS2" s="80"/>
    </row>
    <row r="3" spans="1:86" ht="12.75" hidden="1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645"/>
      <c r="AE3" s="2"/>
      <c r="AF3" s="1"/>
      <c r="AG3" s="1"/>
      <c r="AH3" s="645"/>
      <c r="AI3" s="3"/>
      <c r="AJ3" s="1"/>
      <c r="AK3" s="1"/>
      <c r="AL3" s="645"/>
      <c r="AM3" s="3"/>
      <c r="AN3" s="1"/>
      <c r="AO3" s="1"/>
      <c r="AP3" s="645"/>
      <c r="AQ3" s="3"/>
      <c r="AR3" s="1"/>
      <c r="AS3" s="1"/>
    </row>
    <row r="4" spans="1:86" ht="21.75" hidden="1" customHeight="1"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645"/>
      <c r="AE4" s="2"/>
      <c r="AF4" s="1"/>
      <c r="AG4" s="1"/>
      <c r="AH4" s="645"/>
      <c r="AI4" s="3"/>
      <c r="AJ4" s="1"/>
      <c r="AK4" s="1"/>
      <c r="AL4" s="645"/>
      <c r="AM4" s="3"/>
      <c r="AN4" s="1"/>
      <c r="AO4" s="1"/>
      <c r="AP4" s="645"/>
      <c r="AQ4" s="3"/>
      <c r="AR4" s="1"/>
      <c r="AS4" s="1"/>
    </row>
    <row r="5" spans="1:86" ht="11.25" hidden="1" customHeight="1"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645"/>
      <c r="AE5" s="2"/>
      <c r="AF5" s="1"/>
      <c r="AG5" s="1"/>
      <c r="AH5" s="645"/>
      <c r="AI5" s="3"/>
      <c r="AJ5" s="1"/>
      <c r="AK5" s="1"/>
      <c r="AL5" s="645"/>
      <c r="AM5" s="3"/>
      <c r="AN5" s="1"/>
      <c r="AO5" s="1"/>
      <c r="AP5" s="645"/>
      <c r="AQ5" s="3"/>
      <c r="AR5" s="1"/>
      <c r="AS5" s="1"/>
    </row>
    <row r="6" spans="1:86" ht="15" hidden="1" customHeight="1"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645"/>
      <c r="AE6" s="2"/>
      <c r="AF6" s="1"/>
      <c r="AG6" s="1"/>
      <c r="AH6" s="645"/>
      <c r="AI6" s="3"/>
      <c r="AJ6" s="1"/>
      <c r="AK6" s="1"/>
      <c r="AL6" s="645"/>
      <c r="AM6" s="3"/>
      <c r="AN6" s="1"/>
      <c r="AO6" s="1"/>
      <c r="AP6" s="645"/>
      <c r="AQ6" s="3"/>
      <c r="AR6" s="1"/>
      <c r="AS6" s="1"/>
    </row>
    <row r="7" spans="1:86" ht="21" hidden="1" customHeight="1"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645"/>
      <c r="AE7" s="2"/>
      <c r="AF7" s="1"/>
      <c r="AG7" s="1"/>
      <c r="AH7" s="645"/>
      <c r="AI7" s="3"/>
      <c r="AJ7" s="1"/>
      <c r="AK7" s="1"/>
      <c r="AL7" s="645"/>
      <c r="AM7" s="3"/>
      <c r="AN7" s="1"/>
      <c r="AO7" s="1"/>
      <c r="AP7" s="645"/>
      <c r="AQ7" s="3"/>
      <c r="AR7" s="1"/>
      <c r="AS7" s="1"/>
    </row>
    <row r="8" spans="1:86" ht="16.5" hidden="1" customHeight="1"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645"/>
      <c r="AE8" s="2"/>
      <c r="AF8" s="1"/>
      <c r="AG8" s="1"/>
      <c r="AH8" s="645"/>
      <c r="AI8" s="3"/>
      <c r="AJ8" s="1"/>
      <c r="AK8" s="1"/>
      <c r="AL8" s="645"/>
      <c r="AM8" s="3"/>
      <c r="AN8" s="1"/>
      <c r="AO8" s="1"/>
      <c r="AP8" s="645"/>
      <c r="AQ8" s="3"/>
      <c r="AR8" s="1"/>
      <c r="AS8" s="1"/>
    </row>
    <row r="9" spans="1:86" s="123" customFormat="1" ht="18.75" customHeight="1">
      <c r="B9" s="754" t="s">
        <v>0</v>
      </c>
      <c r="C9" s="754"/>
      <c r="D9" s="754"/>
      <c r="E9" s="754"/>
      <c r="F9" s="754"/>
      <c r="G9" s="754"/>
      <c r="H9" s="754"/>
      <c r="I9" s="754"/>
      <c r="J9" s="754"/>
      <c r="K9" s="754"/>
      <c r="L9" s="754"/>
      <c r="M9" s="754"/>
      <c r="N9" s="754"/>
      <c r="O9" s="754"/>
      <c r="P9" s="754"/>
      <c r="Q9" s="754"/>
      <c r="R9" s="754"/>
      <c r="S9" s="754"/>
      <c r="T9" s="754"/>
      <c r="U9" s="754"/>
      <c r="V9" s="754"/>
      <c r="W9" s="754"/>
      <c r="X9" s="754"/>
      <c r="Y9" s="754"/>
      <c r="Z9" s="754"/>
      <c r="AA9" s="754"/>
      <c r="AB9" s="754"/>
      <c r="AC9" s="754"/>
      <c r="AD9" s="645"/>
      <c r="AE9" s="62"/>
      <c r="AF9" s="61"/>
      <c r="AG9" s="61"/>
      <c r="AH9" s="645"/>
      <c r="AI9" s="63"/>
      <c r="AJ9" s="61"/>
      <c r="AK9" s="61"/>
      <c r="AL9" s="645"/>
      <c r="AM9" s="63"/>
      <c r="AN9" s="61"/>
      <c r="AO9" s="61"/>
      <c r="AP9" s="645"/>
      <c r="AQ9" s="63"/>
      <c r="AR9" s="61"/>
      <c r="AS9" s="61"/>
      <c r="AU9" s="723"/>
    </row>
    <row r="10" spans="1:86" s="123" customFormat="1">
      <c r="B10" s="754"/>
      <c r="C10" s="754"/>
      <c r="D10" s="754"/>
      <c r="E10" s="754"/>
      <c r="F10" s="754"/>
      <c r="G10" s="754"/>
      <c r="H10" s="754"/>
      <c r="I10" s="754"/>
      <c r="J10" s="754"/>
      <c r="K10" s="754"/>
      <c r="L10" s="754"/>
      <c r="M10" s="754"/>
      <c r="N10" s="754"/>
      <c r="O10" s="754"/>
      <c r="P10" s="754"/>
      <c r="Q10" s="754"/>
      <c r="R10" s="754"/>
      <c r="S10" s="754"/>
      <c r="T10" s="754"/>
      <c r="U10" s="754"/>
      <c r="V10" s="754"/>
      <c r="W10" s="754"/>
      <c r="X10" s="754"/>
      <c r="Y10" s="754"/>
      <c r="Z10" s="754"/>
      <c r="AA10" s="754"/>
      <c r="AB10" s="754"/>
      <c r="AC10" s="754"/>
      <c r="AD10" s="646"/>
      <c r="AE10" s="124"/>
      <c r="AH10" s="646"/>
      <c r="AI10" s="74"/>
      <c r="AL10" s="646"/>
      <c r="AM10" s="74"/>
      <c r="AP10" s="646"/>
      <c r="AQ10" s="74"/>
      <c r="AU10" s="723"/>
    </row>
    <row r="11" spans="1:86" s="123" customFormat="1" ht="18.75">
      <c r="B11" s="65"/>
      <c r="C11" s="65"/>
      <c r="D11" s="65"/>
      <c r="E11" s="65"/>
      <c r="F11" s="65"/>
      <c r="G11" s="65"/>
      <c r="H11" s="724"/>
      <c r="I11" s="65"/>
      <c r="J11" s="122"/>
      <c r="K11" s="122"/>
      <c r="L11" s="122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47"/>
      <c r="AA11" s="65"/>
      <c r="AB11" s="65"/>
      <c r="AC11" s="65"/>
      <c r="AD11" s="646"/>
      <c r="AE11" s="124"/>
      <c r="AH11" s="646"/>
      <c r="AI11" s="74"/>
      <c r="AL11" s="646"/>
      <c r="AM11" s="74"/>
      <c r="AP11" s="646"/>
      <c r="AQ11" s="74"/>
      <c r="AU11" s="723"/>
    </row>
    <row r="12" spans="1:86" ht="22.5">
      <c r="B12" s="4" t="s">
        <v>1</v>
      </c>
      <c r="C12" s="4" t="s">
        <v>2</v>
      </c>
      <c r="D12" s="5" t="s">
        <v>3</v>
      </c>
      <c r="E12" s="6" t="s">
        <v>4</v>
      </c>
      <c r="F12" s="7"/>
      <c r="G12" s="65"/>
      <c r="H12" s="724"/>
      <c r="I12" s="65"/>
      <c r="J12" s="122"/>
      <c r="K12" s="122"/>
      <c r="L12" s="122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47"/>
      <c r="AA12" s="65"/>
      <c r="AB12" s="65"/>
      <c r="AC12" s="65"/>
      <c r="AE12" s="124"/>
      <c r="AF12" s="123"/>
      <c r="AG12" s="123"/>
      <c r="AI12" s="74"/>
      <c r="AJ12" s="123"/>
      <c r="AK12" s="123"/>
      <c r="AM12" s="74"/>
      <c r="AN12" s="123"/>
      <c r="AO12" s="123"/>
      <c r="AQ12" s="74"/>
      <c r="AR12" s="123"/>
      <c r="AS12" s="123"/>
      <c r="AT12" s="123"/>
      <c r="AU12" s="723"/>
    </row>
    <row r="13" spans="1:86" ht="18.75">
      <c r="B13" s="648">
        <v>30320009</v>
      </c>
      <c r="C13" s="725">
        <v>30320009</v>
      </c>
      <c r="D13" s="726">
        <v>30320009</v>
      </c>
      <c r="E13" s="727">
        <f>+Y166</f>
        <v>10757482</v>
      </c>
      <c r="F13" s="67"/>
      <c r="G13" s="65"/>
      <c r="H13" s="724"/>
      <c r="I13" s="65"/>
      <c r="J13" s="122"/>
      <c r="K13" s="122"/>
      <c r="L13" s="122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47"/>
      <c r="AA13" s="65"/>
      <c r="AB13" s="65"/>
      <c r="AC13" s="65"/>
      <c r="AE13" s="124"/>
      <c r="AF13" s="123"/>
      <c r="AG13" s="123"/>
      <c r="AI13" s="74"/>
      <c r="AJ13" s="123"/>
      <c r="AK13" s="123"/>
      <c r="AM13" s="74"/>
      <c r="AN13" s="123"/>
      <c r="AO13" s="123"/>
      <c r="AQ13" s="74"/>
      <c r="AR13" s="123"/>
      <c r="AS13" s="123"/>
      <c r="AT13" s="123"/>
      <c r="AU13" s="723"/>
    </row>
    <row r="14" spans="1:86" ht="15" customHeight="1">
      <c r="C14" s="68"/>
      <c r="D14" s="69"/>
      <c r="E14" s="68"/>
      <c r="F14" s="68"/>
      <c r="G14" s="123"/>
      <c r="H14" s="210"/>
      <c r="I14" s="123"/>
      <c r="J14" s="124"/>
      <c r="K14" s="124"/>
      <c r="L14" s="124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742" t="s">
        <v>5</v>
      </c>
      <c r="AA14" s="743"/>
      <c r="AB14" s="743"/>
      <c r="AC14" s="744"/>
      <c r="AD14" s="745" t="s">
        <v>6</v>
      </c>
      <c r="AE14" s="746"/>
      <c r="AF14" s="746"/>
      <c r="AG14" s="747"/>
      <c r="AH14" s="745" t="s">
        <v>6</v>
      </c>
      <c r="AI14" s="746"/>
      <c r="AJ14" s="746"/>
      <c r="AK14" s="747"/>
      <c r="AL14" s="745" t="s">
        <v>6</v>
      </c>
      <c r="AM14" s="746"/>
      <c r="AN14" s="746"/>
      <c r="AO14" s="747"/>
      <c r="AP14" s="745" t="s">
        <v>6</v>
      </c>
      <c r="AQ14" s="746"/>
      <c r="AR14" s="746"/>
      <c r="AS14" s="747"/>
      <c r="AT14" s="729" t="s">
        <v>7</v>
      </c>
      <c r="AU14" s="729"/>
    </row>
    <row r="15" spans="1:86" s="96" customFormat="1" ht="55.5" customHeight="1">
      <c r="A15" s="39"/>
      <c r="B15" s="160" t="s">
        <v>8</v>
      </c>
      <c r="C15" s="160" t="s">
        <v>9</v>
      </c>
      <c r="D15" s="160" t="s">
        <v>10</v>
      </c>
      <c r="E15" s="4" t="s">
        <v>11</v>
      </c>
      <c r="F15" s="4" t="s">
        <v>12</v>
      </c>
      <c r="G15" s="4" t="s">
        <v>13</v>
      </c>
      <c r="H15" s="4" t="s">
        <v>14</v>
      </c>
      <c r="I15" s="4" t="s">
        <v>15</v>
      </c>
      <c r="J15" s="649" t="s">
        <v>16</v>
      </c>
      <c r="K15" s="649" t="s">
        <v>17</v>
      </c>
      <c r="L15" s="649" t="s">
        <v>18</v>
      </c>
      <c r="M15" s="650" t="s">
        <v>19</v>
      </c>
      <c r="N15" s="650" t="s">
        <v>20</v>
      </c>
      <c r="O15" s="650" t="s">
        <v>21</v>
      </c>
      <c r="P15" s="650" t="s">
        <v>22</v>
      </c>
      <c r="Q15" s="650" t="s">
        <v>23</v>
      </c>
      <c r="R15" s="220" t="s">
        <v>24</v>
      </c>
      <c r="S15" s="220" t="s">
        <v>25</v>
      </c>
      <c r="T15" s="220" t="s">
        <v>26</v>
      </c>
      <c r="U15" s="220" t="s">
        <v>27</v>
      </c>
      <c r="V15" s="220" t="s">
        <v>28</v>
      </c>
      <c r="W15" s="220" t="s">
        <v>29</v>
      </c>
      <c r="X15" s="220" t="s">
        <v>30</v>
      </c>
      <c r="Y15" s="651" t="s">
        <v>31</v>
      </c>
      <c r="Z15" s="652" t="s">
        <v>32</v>
      </c>
      <c r="AA15" s="652" t="s">
        <v>33</v>
      </c>
      <c r="AB15" s="653" t="s">
        <v>34</v>
      </c>
      <c r="AC15" s="653" t="s">
        <v>35</v>
      </c>
      <c r="AD15" s="271" t="s">
        <v>36</v>
      </c>
      <c r="AE15" s="271" t="s">
        <v>33</v>
      </c>
      <c r="AF15" s="272" t="s">
        <v>34</v>
      </c>
      <c r="AG15" s="272" t="s">
        <v>35</v>
      </c>
      <c r="AH15" s="271" t="s">
        <v>36</v>
      </c>
      <c r="AI15" s="271" t="s">
        <v>33</v>
      </c>
      <c r="AJ15" s="271" t="s">
        <v>34</v>
      </c>
      <c r="AK15" s="271" t="s">
        <v>35</v>
      </c>
      <c r="AL15" s="271" t="s">
        <v>36</v>
      </c>
      <c r="AM15" s="271" t="s">
        <v>33</v>
      </c>
      <c r="AN15" s="271" t="s">
        <v>34</v>
      </c>
      <c r="AO15" s="271" t="s">
        <v>35</v>
      </c>
      <c r="AP15" s="271" t="s">
        <v>36</v>
      </c>
      <c r="AQ15" s="271" t="s">
        <v>33</v>
      </c>
      <c r="AR15" s="272" t="s">
        <v>34</v>
      </c>
      <c r="AS15" s="272" t="s">
        <v>35</v>
      </c>
      <c r="AT15" s="654" t="s">
        <v>37</v>
      </c>
      <c r="AU15" s="655" t="s">
        <v>38</v>
      </c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</row>
    <row r="16" spans="1:86" s="96" customFormat="1" ht="24">
      <c r="A16" s="39"/>
      <c r="B16" s="656">
        <v>1</v>
      </c>
      <c r="C16" s="657" t="s">
        <v>1222</v>
      </c>
      <c r="D16" s="658">
        <v>40001916</v>
      </c>
      <c r="E16" s="659" t="s">
        <v>3241</v>
      </c>
      <c r="F16" s="660" t="s">
        <v>146</v>
      </c>
      <c r="G16" s="661" t="s">
        <v>3242</v>
      </c>
      <c r="H16" s="662" t="s">
        <v>3243</v>
      </c>
      <c r="I16" s="663" t="s">
        <v>52</v>
      </c>
      <c r="J16" s="664" t="s">
        <v>3244</v>
      </c>
      <c r="K16" s="665">
        <v>43601</v>
      </c>
      <c r="L16" s="665">
        <v>0</v>
      </c>
      <c r="M16" s="665">
        <v>0</v>
      </c>
      <c r="N16" s="665">
        <v>29892</v>
      </c>
      <c r="O16" s="665">
        <v>5643</v>
      </c>
      <c r="P16" s="665">
        <v>0</v>
      </c>
      <c r="Q16" s="665">
        <v>0</v>
      </c>
      <c r="R16" s="665">
        <v>0</v>
      </c>
      <c r="S16" s="665">
        <v>0</v>
      </c>
      <c r="T16" s="665">
        <v>0</v>
      </c>
      <c r="U16" s="665">
        <v>0</v>
      </c>
      <c r="V16" s="665"/>
      <c r="W16" s="665"/>
      <c r="X16" s="665"/>
      <c r="Y16" s="665">
        <f>SUM(M16:X16)</f>
        <v>35535</v>
      </c>
      <c r="Z16" s="666">
        <v>99497</v>
      </c>
      <c r="AA16" s="667" t="s">
        <v>427</v>
      </c>
      <c r="AB16" s="668">
        <v>44232</v>
      </c>
      <c r="AC16" s="668">
        <v>44250</v>
      </c>
      <c r="AD16" s="669"/>
      <c r="AE16" s="344"/>
      <c r="AF16" s="670"/>
      <c r="AG16" s="668"/>
      <c r="AH16" s="671"/>
      <c r="AI16" s="672"/>
      <c r="AJ16" s="360"/>
      <c r="AK16" s="673"/>
      <c r="AL16" s="666"/>
      <c r="AM16" s="672"/>
      <c r="AN16" s="360"/>
      <c r="AO16" s="673"/>
      <c r="AP16" s="674"/>
      <c r="AQ16" s="672"/>
      <c r="AR16" s="360"/>
      <c r="AS16" s="673"/>
      <c r="AT16" s="675">
        <f>+Z16+AD16+AH16+AL16+AP16</f>
        <v>99497</v>
      </c>
      <c r="AU16" s="676">
        <f t="shared" ref="AU16:AU113" si="0">+AT16-Y16</f>
        <v>63962</v>
      </c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</row>
    <row r="17" spans="1:86" s="96" customFormat="1" ht="24">
      <c r="A17" s="39"/>
      <c r="B17" s="656">
        <v>2</v>
      </c>
      <c r="C17" s="657" t="s">
        <v>1222</v>
      </c>
      <c r="D17" s="658">
        <v>40007511</v>
      </c>
      <c r="E17" s="659" t="s">
        <v>3245</v>
      </c>
      <c r="F17" s="660" t="s">
        <v>146</v>
      </c>
      <c r="G17" s="661" t="s">
        <v>3242</v>
      </c>
      <c r="H17" s="662" t="s">
        <v>3246</v>
      </c>
      <c r="I17" s="663" t="s">
        <v>52</v>
      </c>
      <c r="J17" s="664" t="s">
        <v>3247</v>
      </c>
      <c r="K17" s="665">
        <v>0</v>
      </c>
      <c r="L17" s="665">
        <v>0</v>
      </c>
      <c r="M17" s="665">
        <v>0</v>
      </c>
      <c r="N17" s="665">
        <v>0</v>
      </c>
      <c r="O17" s="665">
        <v>7550</v>
      </c>
      <c r="P17" s="665">
        <v>0</v>
      </c>
      <c r="Q17" s="677">
        <v>6040</v>
      </c>
      <c r="R17" s="665">
        <v>0</v>
      </c>
      <c r="S17" s="665">
        <v>0</v>
      </c>
      <c r="T17" s="665">
        <v>0</v>
      </c>
      <c r="U17" s="665">
        <v>0</v>
      </c>
      <c r="V17" s="665"/>
      <c r="W17" s="665"/>
      <c r="X17" s="665"/>
      <c r="Y17" s="665">
        <f t="shared" ref="Y17:Y80" si="1">SUM(M17:X17)</f>
        <v>13590</v>
      </c>
      <c r="Z17" s="666">
        <v>10000</v>
      </c>
      <c r="AA17" s="667" t="s">
        <v>427</v>
      </c>
      <c r="AB17" s="668">
        <v>44232</v>
      </c>
      <c r="AC17" s="668">
        <v>44250</v>
      </c>
      <c r="AD17" s="669">
        <v>3590</v>
      </c>
      <c r="AE17" s="344">
        <v>27</v>
      </c>
      <c r="AF17" s="136">
        <v>44322</v>
      </c>
      <c r="AG17" s="668">
        <v>44347</v>
      </c>
      <c r="AH17" s="671"/>
      <c r="AI17" s="672"/>
      <c r="AJ17" s="360"/>
      <c r="AK17" s="673"/>
      <c r="AL17" s="666"/>
      <c r="AM17" s="672"/>
      <c r="AN17" s="360"/>
      <c r="AO17" s="673"/>
      <c r="AP17" s="674"/>
      <c r="AQ17" s="672"/>
      <c r="AR17" s="360"/>
      <c r="AS17" s="673"/>
      <c r="AT17" s="675">
        <f t="shared" ref="AT17:AT80" si="2">+Z17+AD17+AH17+AL17+AP17</f>
        <v>13590</v>
      </c>
      <c r="AU17" s="676">
        <f t="shared" si="0"/>
        <v>0</v>
      </c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</row>
    <row r="18" spans="1:86" s="96" customFormat="1" ht="24">
      <c r="A18" s="39"/>
      <c r="B18" s="656">
        <v>3</v>
      </c>
      <c r="C18" s="678" t="s">
        <v>1226</v>
      </c>
      <c r="D18" s="658">
        <v>20119065</v>
      </c>
      <c r="E18" s="659" t="s">
        <v>3248</v>
      </c>
      <c r="F18" s="660" t="s">
        <v>158</v>
      </c>
      <c r="G18" s="661" t="s">
        <v>3242</v>
      </c>
      <c r="H18" s="661" t="s">
        <v>3249</v>
      </c>
      <c r="I18" s="663" t="s">
        <v>52</v>
      </c>
      <c r="J18" s="664" t="s">
        <v>3250</v>
      </c>
      <c r="K18" s="665">
        <v>14888</v>
      </c>
      <c r="L18" s="665">
        <v>0</v>
      </c>
      <c r="M18" s="665">
        <v>0</v>
      </c>
      <c r="N18" s="665">
        <v>0</v>
      </c>
      <c r="O18" s="665">
        <v>0</v>
      </c>
      <c r="P18" s="665">
        <v>0</v>
      </c>
      <c r="Q18" s="665">
        <v>0</v>
      </c>
      <c r="R18" s="665">
        <v>0</v>
      </c>
      <c r="S18" s="665">
        <v>0</v>
      </c>
      <c r="T18" s="665">
        <v>0</v>
      </c>
      <c r="U18" s="665">
        <v>0</v>
      </c>
      <c r="V18" s="665"/>
      <c r="W18" s="665"/>
      <c r="X18" s="665"/>
      <c r="Y18" s="665">
        <f t="shared" si="1"/>
        <v>0</v>
      </c>
      <c r="Z18" s="666">
        <v>27040</v>
      </c>
      <c r="AA18" s="667" t="s">
        <v>427</v>
      </c>
      <c r="AB18" s="668">
        <v>44232</v>
      </c>
      <c r="AC18" s="668">
        <v>44250</v>
      </c>
      <c r="AD18" s="669"/>
      <c r="AE18" s="679"/>
      <c r="AF18" s="670"/>
      <c r="AG18" s="670"/>
      <c r="AH18" s="671"/>
      <c r="AI18" s="680"/>
      <c r="AJ18" s="670"/>
      <c r="AK18" s="681"/>
      <c r="AL18" s="666"/>
      <c r="AM18" s="680"/>
      <c r="AN18" s="670"/>
      <c r="AO18" s="673"/>
      <c r="AP18" s="674"/>
      <c r="AQ18" s="672"/>
      <c r="AR18" s="668"/>
      <c r="AS18" s="673"/>
      <c r="AT18" s="675">
        <f t="shared" si="2"/>
        <v>27040</v>
      </c>
      <c r="AU18" s="676">
        <f t="shared" si="0"/>
        <v>27040</v>
      </c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</row>
    <row r="19" spans="1:86" s="96" customFormat="1" ht="20.25" customHeight="1">
      <c r="A19" s="39"/>
      <c r="B19" s="656">
        <v>4</v>
      </c>
      <c r="C19" s="678" t="s">
        <v>1226</v>
      </c>
      <c r="D19" s="658">
        <v>30002297</v>
      </c>
      <c r="E19" s="659" t="s">
        <v>3251</v>
      </c>
      <c r="F19" s="660" t="s">
        <v>146</v>
      </c>
      <c r="G19" s="661" t="s">
        <v>3242</v>
      </c>
      <c r="H19" s="661" t="s">
        <v>3252</v>
      </c>
      <c r="I19" s="663" t="s">
        <v>44</v>
      </c>
      <c r="J19" s="664" t="s">
        <v>3253</v>
      </c>
      <c r="K19" s="665">
        <v>0</v>
      </c>
      <c r="L19" s="665">
        <v>438576</v>
      </c>
      <c r="M19" s="665">
        <v>0</v>
      </c>
      <c r="N19" s="665">
        <v>0</v>
      </c>
      <c r="O19" s="665">
        <f>1850+50064</f>
        <v>51914</v>
      </c>
      <c r="P19" s="665">
        <f>1850+88706</f>
        <v>90556</v>
      </c>
      <c r="Q19" s="665">
        <f>180004+1850</f>
        <v>181854</v>
      </c>
      <c r="R19" s="677">
        <f>126063+1850</f>
        <v>127913</v>
      </c>
      <c r="S19" s="665">
        <f>1850+71441</f>
        <v>73291</v>
      </c>
      <c r="T19" s="665">
        <v>1850</v>
      </c>
      <c r="U19" s="665">
        <v>100361</v>
      </c>
      <c r="V19" s="665"/>
      <c r="W19" s="665"/>
      <c r="X19" s="665"/>
      <c r="Y19" s="665">
        <f t="shared" si="1"/>
        <v>627739</v>
      </c>
      <c r="Z19" s="666">
        <v>315000</v>
      </c>
      <c r="AA19" s="667" t="s">
        <v>427</v>
      </c>
      <c r="AB19" s="668">
        <v>44232</v>
      </c>
      <c r="AC19" s="668">
        <v>44250</v>
      </c>
      <c r="AD19" s="669">
        <v>285000</v>
      </c>
      <c r="AE19" s="672">
        <v>25</v>
      </c>
      <c r="AF19" s="670">
        <v>44312</v>
      </c>
      <c r="AG19" s="670">
        <v>44328</v>
      </c>
      <c r="AH19" s="669">
        <v>852235</v>
      </c>
      <c r="AI19" s="672">
        <v>37</v>
      </c>
      <c r="AJ19" s="668">
        <v>44371</v>
      </c>
      <c r="AK19" s="668">
        <v>44379</v>
      </c>
      <c r="AL19" s="666"/>
      <c r="AM19" s="680"/>
      <c r="AN19" s="670"/>
      <c r="AO19" s="673"/>
      <c r="AP19" s="671"/>
      <c r="AQ19" s="672"/>
      <c r="AR19" s="668"/>
      <c r="AS19" s="673"/>
      <c r="AT19" s="675">
        <f t="shared" si="2"/>
        <v>1452235</v>
      </c>
      <c r="AU19" s="676">
        <f t="shared" si="0"/>
        <v>824496</v>
      </c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</row>
    <row r="20" spans="1:86" s="96" customFormat="1" ht="24">
      <c r="A20" s="39"/>
      <c r="B20" s="656">
        <v>5</v>
      </c>
      <c r="C20" s="678" t="s">
        <v>1226</v>
      </c>
      <c r="D20" s="658">
        <v>30202824</v>
      </c>
      <c r="E20" s="659" t="s">
        <v>3254</v>
      </c>
      <c r="F20" s="660" t="s">
        <v>158</v>
      </c>
      <c r="G20" s="661" t="s">
        <v>3242</v>
      </c>
      <c r="H20" s="661" t="s">
        <v>3255</v>
      </c>
      <c r="I20" s="663" t="s">
        <v>52</v>
      </c>
      <c r="J20" s="664" t="s">
        <v>3256</v>
      </c>
      <c r="K20" s="665">
        <v>107857</v>
      </c>
      <c r="L20" s="665">
        <v>6590</v>
      </c>
      <c r="M20" s="665">
        <v>0</v>
      </c>
      <c r="N20" s="665">
        <v>0</v>
      </c>
      <c r="O20" s="665">
        <v>2000</v>
      </c>
      <c r="P20" s="665">
        <v>0</v>
      </c>
      <c r="Q20" s="665">
        <v>0</v>
      </c>
      <c r="R20" s="677">
        <v>16828</v>
      </c>
      <c r="S20" s="665">
        <v>2500</v>
      </c>
      <c r="T20" s="665">
        <v>0</v>
      </c>
      <c r="U20" s="665">
        <v>514</v>
      </c>
      <c r="V20" s="665"/>
      <c r="W20" s="665"/>
      <c r="X20" s="665"/>
      <c r="Y20" s="665">
        <f t="shared" si="1"/>
        <v>21842</v>
      </c>
      <c r="Z20" s="666">
        <v>67851</v>
      </c>
      <c r="AA20" s="667" t="s">
        <v>427</v>
      </c>
      <c r="AB20" s="668">
        <v>44232</v>
      </c>
      <c r="AC20" s="668">
        <v>44250</v>
      </c>
      <c r="AD20" s="669">
        <v>10000</v>
      </c>
      <c r="AE20" s="672">
        <v>25</v>
      </c>
      <c r="AF20" s="670">
        <v>44312</v>
      </c>
      <c r="AG20" s="670">
        <v>44328</v>
      </c>
      <c r="AH20" s="671"/>
      <c r="AI20" s="680"/>
      <c r="AJ20" s="670"/>
      <c r="AK20" s="681"/>
      <c r="AL20" s="666"/>
      <c r="AM20" s="680"/>
      <c r="AN20" s="670"/>
      <c r="AO20" s="673"/>
      <c r="AP20" s="671"/>
      <c r="AQ20" s="672"/>
      <c r="AR20" s="668"/>
      <c r="AS20" s="673"/>
      <c r="AT20" s="675">
        <f t="shared" si="2"/>
        <v>77851</v>
      </c>
      <c r="AU20" s="676">
        <f t="shared" si="0"/>
        <v>56009</v>
      </c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</row>
    <row r="21" spans="1:86" s="96" customFormat="1" ht="24">
      <c r="A21" s="39"/>
      <c r="B21" s="656">
        <v>6</v>
      </c>
      <c r="C21" s="678" t="s">
        <v>1226</v>
      </c>
      <c r="D21" s="658">
        <v>30245474</v>
      </c>
      <c r="E21" s="659" t="s">
        <v>3257</v>
      </c>
      <c r="F21" s="660" t="s">
        <v>146</v>
      </c>
      <c r="G21" s="661" t="s">
        <v>3242</v>
      </c>
      <c r="H21" s="661" t="s">
        <v>3258</v>
      </c>
      <c r="I21" s="663" t="s">
        <v>52</v>
      </c>
      <c r="J21" s="664" t="s">
        <v>3259</v>
      </c>
      <c r="K21" s="665">
        <v>1059853</v>
      </c>
      <c r="L21" s="665">
        <v>0</v>
      </c>
      <c r="M21" s="665">
        <v>0</v>
      </c>
      <c r="N21" s="665">
        <v>0</v>
      </c>
      <c r="O21" s="665">
        <v>0</v>
      </c>
      <c r="P21" s="665">
        <v>0</v>
      </c>
      <c r="Q21" s="665">
        <v>0</v>
      </c>
      <c r="R21" s="665">
        <v>0</v>
      </c>
      <c r="S21" s="665">
        <v>0</v>
      </c>
      <c r="T21" s="665">
        <v>0</v>
      </c>
      <c r="U21" s="665">
        <v>0</v>
      </c>
      <c r="V21" s="665"/>
      <c r="W21" s="665"/>
      <c r="X21" s="665"/>
      <c r="Y21" s="665">
        <f t="shared" si="1"/>
        <v>0</v>
      </c>
      <c r="Z21" s="666">
        <v>1</v>
      </c>
      <c r="AA21" s="667" t="s">
        <v>427</v>
      </c>
      <c r="AB21" s="668">
        <v>44232</v>
      </c>
      <c r="AC21" s="668">
        <v>44250</v>
      </c>
      <c r="AD21" s="669">
        <v>7857</v>
      </c>
      <c r="AE21" s="672">
        <v>38</v>
      </c>
      <c r="AF21" s="670">
        <v>44385</v>
      </c>
      <c r="AG21" s="670">
        <v>44392</v>
      </c>
      <c r="AH21" s="671"/>
      <c r="AI21" s="672"/>
      <c r="AJ21" s="668"/>
      <c r="AK21" s="673"/>
      <c r="AL21" s="666"/>
      <c r="AM21" s="672"/>
      <c r="AN21" s="668"/>
      <c r="AO21" s="673"/>
      <c r="AP21" s="671"/>
      <c r="AQ21" s="672"/>
      <c r="AR21" s="668"/>
      <c r="AS21" s="673"/>
      <c r="AT21" s="675">
        <f t="shared" si="2"/>
        <v>7858</v>
      </c>
      <c r="AU21" s="676">
        <f t="shared" si="0"/>
        <v>7858</v>
      </c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</row>
    <row r="22" spans="1:86" s="96" customFormat="1" ht="24">
      <c r="A22" s="39"/>
      <c r="B22" s="656">
        <v>7</v>
      </c>
      <c r="C22" s="678" t="s">
        <v>1226</v>
      </c>
      <c r="D22" s="658">
        <v>30286222</v>
      </c>
      <c r="E22" s="659" t="s">
        <v>3260</v>
      </c>
      <c r="F22" s="660" t="s">
        <v>146</v>
      </c>
      <c r="G22" s="661" t="s">
        <v>3242</v>
      </c>
      <c r="H22" s="661" t="s">
        <v>3261</v>
      </c>
      <c r="I22" s="663" t="s">
        <v>52</v>
      </c>
      <c r="J22" s="664" t="s">
        <v>3262</v>
      </c>
      <c r="K22" s="665">
        <v>189057</v>
      </c>
      <c r="L22" s="665">
        <v>1393401</v>
      </c>
      <c r="M22" s="665">
        <v>0</v>
      </c>
      <c r="N22" s="665">
        <v>0</v>
      </c>
      <c r="O22" s="665">
        <v>0</v>
      </c>
      <c r="P22" s="665">
        <v>0</v>
      </c>
      <c r="Q22" s="665">
        <v>0</v>
      </c>
      <c r="R22" s="665">
        <v>0</v>
      </c>
      <c r="S22" s="665">
        <v>0</v>
      </c>
      <c r="T22" s="665">
        <v>0</v>
      </c>
      <c r="U22" s="665">
        <v>0</v>
      </c>
      <c r="V22" s="665"/>
      <c r="W22" s="665"/>
      <c r="X22" s="665"/>
      <c r="Y22" s="665">
        <f t="shared" si="1"/>
        <v>0</v>
      </c>
      <c r="Z22" s="666">
        <v>500000</v>
      </c>
      <c r="AA22" s="667" t="s">
        <v>427</v>
      </c>
      <c r="AB22" s="668">
        <v>44232</v>
      </c>
      <c r="AC22" s="668">
        <v>44250</v>
      </c>
      <c r="AD22" s="669">
        <v>-450000</v>
      </c>
      <c r="AE22" s="672">
        <v>37</v>
      </c>
      <c r="AF22" s="668">
        <v>44371</v>
      </c>
      <c r="AG22" s="668">
        <v>44379</v>
      </c>
      <c r="AH22" s="671"/>
      <c r="AI22" s="672"/>
      <c r="AJ22" s="360"/>
      <c r="AK22" s="673"/>
      <c r="AL22" s="666"/>
      <c r="AM22" s="672"/>
      <c r="AN22" s="360"/>
      <c r="AO22" s="673"/>
      <c r="AP22" s="674"/>
      <c r="AQ22" s="672"/>
      <c r="AR22" s="360"/>
      <c r="AS22" s="673"/>
      <c r="AT22" s="675">
        <f t="shared" si="2"/>
        <v>50000</v>
      </c>
      <c r="AU22" s="676">
        <f t="shared" si="0"/>
        <v>50000</v>
      </c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</row>
    <row r="23" spans="1:86" s="96" customFormat="1" ht="21.75" customHeight="1">
      <c r="A23" s="39"/>
      <c r="B23" s="656">
        <v>8</v>
      </c>
      <c r="C23" s="678" t="s">
        <v>1226</v>
      </c>
      <c r="D23" s="658">
        <v>30391922</v>
      </c>
      <c r="E23" s="659" t="s">
        <v>3263</v>
      </c>
      <c r="F23" s="660" t="s">
        <v>146</v>
      </c>
      <c r="G23" s="661" t="s">
        <v>3242</v>
      </c>
      <c r="H23" s="661" t="s">
        <v>3264</v>
      </c>
      <c r="I23" s="663" t="s">
        <v>52</v>
      </c>
      <c r="J23" s="664" t="s">
        <v>3265</v>
      </c>
      <c r="K23" s="665">
        <v>0</v>
      </c>
      <c r="L23" s="665">
        <v>0</v>
      </c>
      <c r="M23" s="665">
        <v>0</v>
      </c>
      <c r="N23" s="665">
        <v>1321</v>
      </c>
      <c r="O23" s="665">
        <f>1321+25541-25541+25541+1321</f>
        <v>28183</v>
      </c>
      <c r="P23" s="677">
        <v>1321</v>
      </c>
      <c r="Q23" s="665">
        <v>0</v>
      </c>
      <c r="R23" s="665">
        <v>1321</v>
      </c>
      <c r="S23" s="665">
        <f>1321+1321</f>
        <v>2642</v>
      </c>
      <c r="T23" s="665">
        <v>0</v>
      </c>
      <c r="U23" s="665">
        <v>1321</v>
      </c>
      <c r="V23" s="665"/>
      <c r="W23" s="665"/>
      <c r="X23" s="665"/>
      <c r="Y23" s="665">
        <f t="shared" si="1"/>
        <v>36109</v>
      </c>
      <c r="Z23" s="666">
        <v>110567</v>
      </c>
      <c r="AA23" s="667" t="s">
        <v>427</v>
      </c>
      <c r="AB23" s="668">
        <v>44232</v>
      </c>
      <c r="AC23" s="668">
        <v>44250</v>
      </c>
      <c r="AD23" s="669"/>
      <c r="AE23" s="344"/>
      <c r="AF23" s="360"/>
      <c r="AG23" s="668"/>
      <c r="AH23" s="671"/>
      <c r="AI23" s="672"/>
      <c r="AJ23" s="360"/>
      <c r="AK23" s="673"/>
      <c r="AL23" s="666"/>
      <c r="AM23" s="672"/>
      <c r="AN23" s="360"/>
      <c r="AO23" s="673"/>
      <c r="AP23" s="674"/>
      <c r="AQ23" s="672"/>
      <c r="AR23" s="360"/>
      <c r="AS23" s="673"/>
      <c r="AT23" s="675">
        <f t="shared" si="2"/>
        <v>110567</v>
      </c>
      <c r="AU23" s="676">
        <f t="shared" si="0"/>
        <v>74458</v>
      </c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</row>
    <row r="24" spans="1:86" s="96" customFormat="1" ht="23.25" customHeight="1">
      <c r="A24" s="39"/>
      <c r="B24" s="656">
        <v>9</v>
      </c>
      <c r="C24" s="678" t="s">
        <v>1226</v>
      </c>
      <c r="D24" s="658">
        <v>30451574</v>
      </c>
      <c r="E24" s="659" t="s">
        <v>3266</v>
      </c>
      <c r="F24" s="660" t="s">
        <v>146</v>
      </c>
      <c r="G24" s="661" t="s">
        <v>3242</v>
      </c>
      <c r="H24" s="661" t="s">
        <v>3267</v>
      </c>
      <c r="I24" s="663" t="s">
        <v>52</v>
      </c>
      <c r="J24" s="664" t="s">
        <v>3268</v>
      </c>
      <c r="K24" s="665">
        <v>0</v>
      </c>
      <c r="L24" s="665">
        <v>1566779</v>
      </c>
      <c r="M24" s="665">
        <v>0</v>
      </c>
      <c r="N24" s="665">
        <v>0</v>
      </c>
      <c r="O24" s="665">
        <v>0</v>
      </c>
      <c r="P24" s="665">
        <v>0</v>
      </c>
      <c r="Q24" s="665">
        <v>0</v>
      </c>
      <c r="R24" s="665">
        <v>0</v>
      </c>
      <c r="S24" s="665">
        <v>0</v>
      </c>
      <c r="T24" s="665">
        <v>0</v>
      </c>
      <c r="U24" s="665">
        <v>0</v>
      </c>
      <c r="V24" s="665"/>
      <c r="W24" s="665"/>
      <c r="X24" s="665"/>
      <c r="Y24" s="665">
        <f t="shared" si="1"/>
        <v>0</v>
      </c>
      <c r="Z24" s="666">
        <v>1</v>
      </c>
      <c r="AA24" s="667" t="s">
        <v>427</v>
      </c>
      <c r="AB24" s="668">
        <v>44232</v>
      </c>
      <c r="AC24" s="668">
        <v>44250</v>
      </c>
      <c r="AD24" s="669"/>
      <c r="AE24" s="344"/>
      <c r="AF24" s="360"/>
      <c r="AG24" s="668"/>
      <c r="AH24" s="671"/>
      <c r="AI24" s="672"/>
      <c r="AJ24" s="360"/>
      <c r="AK24" s="673"/>
      <c r="AL24" s="666"/>
      <c r="AM24" s="672"/>
      <c r="AN24" s="360"/>
      <c r="AO24" s="673"/>
      <c r="AP24" s="674"/>
      <c r="AQ24" s="672"/>
      <c r="AR24" s="360"/>
      <c r="AS24" s="673"/>
      <c r="AT24" s="675">
        <f t="shared" si="2"/>
        <v>1</v>
      </c>
      <c r="AU24" s="676">
        <f t="shared" si="0"/>
        <v>1</v>
      </c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</row>
    <row r="25" spans="1:86" s="96" customFormat="1" ht="24">
      <c r="A25" s="39"/>
      <c r="B25" s="656">
        <v>10</v>
      </c>
      <c r="C25" s="678" t="s">
        <v>1226</v>
      </c>
      <c r="D25" s="658">
        <v>30479895</v>
      </c>
      <c r="E25" s="659" t="s">
        <v>3269</v>
      </c>
      <c r="F25" s="660" t="s">
        <v>158</v>
      </c>
      <c r="G25" s="661" t="s">
        <v>3242</v>
      </c>
      <c r="H25" s="661" t="s">
        <v>3264</v>
      </c>
      <c r="I25" s="663" t="s">
        <v>52</v>
      </c>
      <c r="J25" s="664" t="s">
        <v>3270</v>
      </c>
      <c r="K25" s="665">
        <v>53991</v>
      </c>
      <c r="L25" s="665">
        <v>0</v>
      </c>
      <c r="M25" s="665">
        <v>0</v>
      </c>
      <c r="N25" s="665">
        <v>0</v>
      </c>
      <c r="O25" s="665">
        <v>0</v>
      </c>
      <c r="P25" s="665">
        <v>0</v>
      </c>
      <c r="Q25" s="665">
        <v>0</v>
      </c>
      <c r="R25" s="665">
        <v>0</v>
      </c>
      <c r="S25" s="665">
        <v>0</v>
      </c>
      <c r="T25" s="665">
        <v>0</v>
      </c>
      <c r="U25" s="665">
        <v>34240</v>
      </c>
      <c r="V25" s="665"/>
      <c r="W25" s="665"/>
      <c r="X25" s="665"/>
      <c r="Y25" s="665">
        <f t="shared" si="1"/>
        <v>34240</v>
      </c>
      <c r="Z25" s="666">
        <v>17120</v>
      </c>
      <c r="AA25" s="667" t="s">
        <v>427</v>
      </c>
      <c r="AB25" s="668">
        <v>44232</v>
      </c>
      <c r="AC25" s="668">
        <v>44250</v>
      </c>
      <c r="AD25" s="669"/>
      <c r="AE25" s="344"/>
      <c r="AF25" s="360"/>
      <c r="AG25" s="668"/>
      <c r="AH25" s="671"/>
      <c r="AI25" s="672"/>
      <c r="AJ25" s="360"/>
      <c r="AK25" s="673"/>
      <c r="AL25" s="666"/>
      <c r="AM25" s="672"/>
      <c r="AN25" s="360"/>
      <c r="AO25" s="673"/>
      <c r="AP25" s="674"/>
      <c r="AQ25" s="672"/>
      <c r="AR25" s="360"/>
      <c r="AS25" s="673"/>
      <c r="AT25" s="675">
        <f t="shared" si="2"/>
        <v>17120</v>
      </c>
      <c r="AU25" s="676">
        <f t="shared" si="0"/>
        <v>-17120</v>
      </c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</row>
    <row r="26" spans="1:86" s="96" customFormat="1" ht="24">
      <c r="A26" s="39"/>
      <c r="B26" s="656">
        <v>11</v>
      </c>
      <c r="C26" s="678" t="s">
        <v>1226</v>
      </c>
      <c r="D26" s="658">
        <v>30480903</v>
      </c>
      <c r="E26" s="659" t="s">
        <v>3271</v>
      </c>
      <c r="F26" s="660" t="s">
        <v>146</v>
      </c>
      <c r="G26" s="661" t="s">
        <v>3242</v>
      </c>
      <c r="H26" s="661" t="s">
        <v>3272</v>
      </c>
      <c r="I26" s="663" t="s">
        <v>52</v>
      </c>
      <c r="J26" s="664" t="s">
        <v>3273</v>
      </c>
      <c r="K26" s="665">
        <v>1186054</v>
      </c>
      <c r="L26" s="665">
        <v>0</v>
      </c>
      <c r="M26" s="665">
        <v>0</v>
      </c>
      <c r="N26" s="665">
        <f>1890+1890</f>
        <v>3780</v>
      </c>
      <c r="O26" s="665">
        <f>21658+7832+1890</f>
        <v>31380</v>
      </c>
      <c r="P26" s="677">
        <v>1890</v>
      </c>
      <c r="Q26" s="665">
        <f>15719+111878</f>
        <v>127597</v>
      </c>
      <c r="R26" s="665">
        <v>0</v>
      </c>
      <c r="S26" s="665">
        <f>328638+1890</f>
        <v>330528</v>
      </c>
      <c r="T26" s="665">
        <f>6334+36126</f>
        <v>42460</v>
      </c>
      <c r="U26" s="665">
        <v>0</v>
      </c>
      <c r="V26" s="665"/>
      <c r="W26" s="665"/>
      <c r="X26" s="665"/>
      <c r="Y26" s="665">
        <f t="shared" si="1"/>
        <v>537635</v>
      </c>
      <c r="Z26" s="666">
        <v>460135</v>
      </c>
      <c r="AA26" s="667" t="s">
        <v>427</v>
      </c>
      <c r="AB26" s="668">
        <v>44232</v>
      </c>
      <c r="AC26" s="668">
        <v>44250</v>
      </c>
      <c r="AD26" s="669">
        <v>77498</v>
      </c>
      <c r="AE26" s="672">
        <v>19</v>
      </c>
      <c r="AF26" s="670">
        <v>44271</v>
      </c>
      <c r="AG26" s="670">
        <v>44312</v>
      </c>
      <c r="AH26" s="671"/>
      <c r="AI26" s="672"/>
      <c r="AJ26" s="360"/>
      <c r="AK26" s="673"/>
      <c r="AL26" s="666"/>
      <c r="AM26" s="672"/>
      <c r="AN26" s="360"/>
      <c r="AO26" s="673"/>
      <c r="AP26" s="674"/>
      <c r="AQ26" s="672"/>
      <c r="AR26" s="360"/>
      <c r="AS26" s="673"/>
      <c r="AT26" s="675">
        <f t="shared" si="2"/>
        <v>537633</v>
      </c>
      <c r="AU26" s="676">
        <f t="shared" si="0"/>
        <v>-2</v>
      </c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</row>
    <row r="27" spans="1:86" s="96" customFormat="1" ht="24">
      <c r="A27" s="39"/>
      <c r="B27" s="656">
        <v>12</v>
      </c>
      <c r="C27" s="678" t="s">
        <v>1226</v>
      </c>
      <c r="D27" s="658">
        <v>30485888</v>
      </c>
      <c r="E27" s="659" t="s">
        <v>3274</v>
      </c>
      <c r="F27" s="660" t="s">
        <v>158</v>
      </c>
      <c r="G27" s="661" t="s">
        <v>3242</v>
      </c>
      <c r="H27" s="661" t="s">
        <v>3264</v>
      </c>
      <c r="I27" s="663" t="s">
        <v>52</v>
      </c>
      <c r="J27" s="664" t="s">
        <v>3275</v>
      </c>
      <c r="K27" s="665">
        <v>14494</v>
      </c>
      <c r="L27" s="665">
        <v>0</v>
      </c>
      <c r="M27" s="665">
        <v>0</v>
      </c>
      <c r="N27" s="665">
        <v>0</v>
      </c>
      <c r="O27" s="665">
        <v>0</v>
      </c>
      <c r="P27" s="665">
        <v>0</v>
      </c>
      <c r="Q27" s="665">
        <v>0</v>
      </c>
      <c r="R27" s="665">
        <v>0</v>
      </c>
      <c r="S27" s="665">
        <v>0</v>
      </c>
      <c r="T27" s="665">
        <v>0</v>
      </c>
      <c r="U27" s="665">
        <v>0</v>
      </c>
      <c r="V27" s="665"/>
      <c r="W27" s="665"/>
      <c r="X27" s="665"/>
      <c r="Y27" s="665">
        <f t="shared" si="1"/>
        <v>0</v>
      </c>
      <c r="Z27" s="666">
        <v>33075</v>
      </c>
      <c r="AA27" s="667" t="s">
        <v>427</v>
      </c>
      <c r="AB27" s="668">
        <v>44232</v>
      </c>
      <c r="AC27" s="668">
        <v>44250</v>
      </c>
      <c r="AD27" s="669"/>
      <c r="AE27" s="344"/>
      <c r="AF27" s="360"/>
      <c r="AG27" s="668"/>
      <c r="AH27" s="671"/>
      <c r="AI27" s="672"/>
      <c r="AJ27" s="360"/>
      <c r="AK27" s="673"/>
      <c r="AL27" s="666"/>
      <c r="AM27" s="672"/>
      <c r="AN27" s="360"/>
      <c r="AO27" s="673"/>
      <c r="AP27" s="674"/>
      <c r="AQ27" s="672"/>
      <c r="AR27" s="360"/>
      <c r="AS27" s="673"/>
      <c r="AT27" s="675">
        <f t="shared" si="2"/>
        <v>33075</v>
      </c>
      <c r="AU27" s="676">
        <f t="shared" si="0"/>
        <v>33075</v>
      </c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</row>
    <row r="28" spans="1:86" s="96" customFormat="1" ht="24">
      <c r="A28" s="39"/>
      <c r="B28" s="656">
        <v>13</v>
      </c>
      <c r="C28" s="678" t="s">
        <v>1226</v>
      </c>
      <c r="D28" s="658">
        <v>40001573</v>
      </c>
      <c r="E28" s="659" t="s">
        <v>3276</v>
      </c>
      <c r="F28" s="660" t="s">
        <v>158</v>
      </c>
      <c r="G28" s="661" t="s">
        <v>3242</v>
      </c>
      <c r="H28" s="661" t="s">
        <v>3277</v>
      </c>
      <c r="I28" s="663" t="s">
        <v>52</v>
      </c>
      <c r="J28" s="664" t="s">
        <v>3278</v>
      </c>
      <c r="K28" s="665">
        <v>143449</v>
      </c>
      <c r="L28" s="665">
        <v>0</v>
      </c>
      <c r="M28" s="665">
        <v>0</v>
      </c>
      <c r="N28" s="665">
        <v>0</v>
      </c>
      <c r="O28" s="665">
        <v>0</v>
      </c>
      <c r="P28" s="665">
        <v>0</v>
      </c>
      <c r="Q28" s="665">
        <v>0</v>
      </c>
      <c r="R28" s="665">
        <v>0</v>
      </c>
      <c r="S28" s="665">
        <v>0</v>
      </c>
      <c r="T28" s="665">
        <v>0</v>
      </c>
      <c r="U28" s="665">
        <v>25124</v>
      </c>
      <c r="V28" s="665"/>
      <c r="W28" s="665"/>
      <c r="X28" s="665"/>
      <c r="Y28" s="665">
        <f t="shared" si="1"/>
        <v>25124</v>
      </c>
      <c r="Z28" s="666">
        <v>20000</v>
      </c>
      <c r="AA28" s="667" t="s">
        <v>427</v>
      </c>
      <c r="AB28" s="668">
        <v>44232</v>
      </c>
      <c r="AC28" s="668">
        <v>44250</v>
      </c>
      <c r="AD28" s="669">
        <v>30000</v>
      </c>
      <c r="AE28" s="672">
        <v>38</v>
      </c>
      <c r="AF28" s="670">
        <v>44385</v>
      </c>
      <c r="AG28" s="670">
        <v>44392</v>
      </c>
      <c r="AH28" s="671"/>
      <c r="AI28" s="672"/>
      <c r="AJ28" s="360"/>
      <c r="AK28" s="673"/>
      <c r="AL28" s="666"/>
      <c r="AM28" s="672"/>
      <c r="AN28" s="360"/>
      <c r="AO28" s="673"/>
      <c r="AP28" s="674"/>
      <c r="AQ28" s="672"/>
      <c r="AR28" s="360"/>
      <c r="AS28" s="673"/>
      <c r="AT28" s="675">
        <f t="shared" si="2"/>
        <v>50000</v>
      </c>
      <c r="AU28" s="676">
        <f t="shared" si="0"/>
        <v>24876</v>
      </c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</row>
    <row r="29" spans="1:86" s="96" customFormat="1" ht="24">
      <c r="A29" s="39"/>
      <c r="B29" s="656">
        <v>14</v>
      </c>
      <c r="C29" s="678" t="s">
        <v>1226</v>
      </c>
      <c r="D29" s="658">
        <v>40004175</v>
      </c>
      <c r="E29" s="659" t="s">
        <v>3279</v>
      </c>
      <c r="F29" s="660" t="s">
        <v>146</v>
      </c>
      <c r="G29" s="661" t="s">
        <v>3242</v>
      </c>
      <c r="H29" s="661" t="s">
        <v>3280</v>
      </c>
      <c r="I29" s="663" t="s">
        <v>52</v>
      </c>
      <c r="J29" s="664" t="s">
        <v>3281</v>
      </c>
      <c r="K29" s="665">
        <v>0</v>
      </c>
      <c r="L29" s="665">
        <v>0</v>
      </c>
      <c r="M29" s="665">
        <v>0</v>
      </c>
      <c r="N29" s="665">
        <v>67500</v>
      </c>
      <c r="O29" s="665">
        <v>0</v>
      </c>
      <c r="P29" s="665">
        <v>0</v>
      </c>
      <c r="Q29" s="665">
        <v>0</v>
      </c>
      <c r="R29" s="665">
        <v>0</v>
      </c>
      <c r="S29" s="665">
        <v>0</v>
      </c>
      <c r="T29" s="665">
        <v>0</v>
      </c>
      <c r="U29" s="665">
        <v>94913</v>
      </c>
      <c r="V29" s="665"/>
      <c r="W29" s="665"/>
      <c r="X29" s="665"/>
      <c r="Y29" s="665">
        <f t="shared" si="1"/>
        <v>162413</v>
      </c>
      <c r="Z29" s="666">
        <v>925000</v>
      </c>
      <c r="AA29" s="667" t="s">
        <v>427</v>
      </c>
      <c r="AB29" s="668">
        <v>44232</v>
      </c>
      <c r="AC29" s="668">
        <v>44250</v>
      </c>
      <c r="AD29" s="669">
        <v>-751254</v>
      </c>
      <c r="AE29" s="672">
        <v>38</v>
      </c>
      <c r="AF29" s="670">
        <v>44385</v>
      </c>
      <c r="AG29" s="670">
        <v>44392</v>
      </c>
      <c r="AH29" s="671"/>
      <c r="AI29" s="672"/>
      <c r="AJ29" s="360"/>
      <c r="AK29" s="673"/>
      <c r="AL29" s="666"/>
      <c r="AM29" s="672"/>
      <c r="AN29" s="360"/>
      <c r="AO29" s="673"/>
      <c r="AP29" s="674"/>
      <c r="AQ29" s="672"/>
      <c r="AR29" s="360"/>
      <c r="AS29" s="673"/>
      <c r="AT29" s="675">
        <f t="shared" si="2"/>
        <v>173746</v>
      </c>
      <c r="AU29" s="676">
        <f t="shared" si="0"/>
        <v>11333</v>
      </c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</row>
    <row r="30" spans="1:86" s="96" customFormat="1" ht="24">
      <c r="A30" s="39"/>
      <c r="B30" s="656">
        <v>15</v>
      </c>
      <c r="C30" s="678" t="s">
        <v>1226</v>
      </c>
      <c r="D30" s="658">
        <v>40004289</v>
      </c>
      <c r="E30" s="659" t="s">
        <v>3282</v>
      </c>
      <c r="F30" s="660" t="s">
        <v>146</v>
      </c>
      <c r="G30" s="661" t="s">
        <v>3242</v>
      </c>
      <c r="H30" s="661" t="s">
        <v>3264</v>
      </c>
      <c r="I30" s="663" t="s">
        <v>52</v>
      </c>
      <c r="J30" s="664" t="s">
        <v>3283</v>
      </c>
      <c r="K30" s="665">
        <v>0</v>
      </c>
      <c r="L30" s="665">
        <v>0</v>
      </c>
      <c r="M30" s="665">
        <v>0</v>
      </c>
      <c r="N30" s="665">
        <v>0</v>
      </c>
      <c r="O30" s="665">
        <v>0</v>
      </c>
      <c r="P30" s="665">
        <v>0</v>
      </c>
      <c r="Q30" s="665">
        <v>0</v>
      </c>
      <c r="R30" s="665">
        <v>0</v>
      </c>
      <c r="S30" s="665">
        <v>0</v>
      </c>
      <c r="T30" s="665">
        <v>0</v>
      </c>
      <c r="U30" s="665">
        <v>0</v>
      </c>
      <c r="V30" s="665"/>
      <c r="W30" s="665"/>
      <c r="X30" s="665"/>
      <c r="Y30" s="665">
        <f t="shared" si="1"/>
        <v>0</v>
      </c>
      <c r="Z30" s="666">
        <v>100000</v>
      </c>
      <c r="AA30" s="667" t="s">
        <v>427</v>
      </c>
      <c r="AB30" s="668">
        <v>44232</v>
      </c>
      <c r="AC30" s="668">
        <v>44250</v>
      </c>
      <c r="AD30" s="669"/>
      <c r="AE30" s="344"/>
      <c r="AF30" s="360"/>
      <c r="AG30" s="668"/>
      <c r="AH30" s="671"/>
      <c r="AI30" s="672"/>
      <c r="AJ30" s="360"/>
      <c r="AK30" s="673"/>
      <c r="AL30" s="666"/>
      <c r="AM30" s="672"/>
      <c r="AN30" s="360"/>
      <c r="AO30" s="673"/>
      <c r="AP30" s="674"/>
      <c r="AQ30" s="672"/>
      <c r="AR30" s="360"/>
      <c r="AS30" s="673"/>
      <c r="AT30" s="675">
        <f t="shared" si="2"/>
        <v>100000</v>
      </c>
      <c r="AU30" s="676">
        <f t="shared" si="0"/>
        <v>100000</v>
      </c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</row>
    <row r="31" spans="1:86" s="96" customFormat="1" ht="21.75" customHeight="1">
      <c r="A31" s="39"/>
      <c r="B31" s="656">
        <v>16</v>
      </c>
      <c r="C31" s="678" t="s">
        <v>1226</v>
      </c>
      <c r="D31" s="658">
        <v>40007647</v>
      </c>
      <c r="E31" s="659" t="s">
        <v>3284</v>
      </c>
      <c r="F31" s="660" t="s">
        <v>146</v>
      </c>
      <c r="G31" s="661" t="s">
        <v>3242</v>
      </c>
      <c r="H31" s="661" t="s">
        <v>3285</v>
      </c>
      <c r="I31" s="663" t="s">
        <v>52</v>
      </c>
      <c r="J31" s="664" t="s">
        <v>3286</v>
      </c>
      <c r="K31" s="665">
        <v>260966</v>
      </c>
      <c r="L31" s="665">
        <v>0</v>
      </c>
      <c r="M31" s="665">
        <v>0</v>
      </c>
      <c r="N31" s="665">
        <f>2200+51739</f>
        <v>53939</v>
      </c>
      <c r="O31" s="665">
        <f>80459+69154</f>
        <v>149613</v>
      </c>
      <c r="P31" s="665">
        <v>0</v>
      </c>
      <c r="Q31" s="677">
        <v>44894</v>
      </c>
      <c r="R31" s="665">
        <v>16528</v>
      </c>
      <c r="S31" s="677">
        <v>24869</v>
      </c>
      <c r="T31" s="665">
        <v>18647</v>
      </c>
      <c r="U31" s="665">
        <v>0</v>
      </c>
      <c r="V31" s="665"/>
      <c r="W31" s="665"/>
      <c r="X31" s="665"/>
      <c r="Y31" s="665">
        <f t="shared" si="1"/>
        <v>308490</v>
      </c>
      <c r="Z31" s="666">
        <v>421696</v>
      </c>
      <c r="AA31" s="667" t="s">
        <v>427</v>
      </c>
      <c r="AB31" s="668">
        <v>44232</v>
      </c>
      <c r="AC31" s="668">
        <v>44250</v>
      </c>
      <c r="AD31" s="669"/>
      <c r="AE31" s="344"/>
      <c r="AF31" s="360"/>
      <c r="AG31" s="668"/>
      <c r="AH31" s="671"/>
      <c r="AI31" s="672"/>
      <c r="AJ31" s="360"/>
      <c r="AK31" s="673"/>
      <c r="AL31" s="666"/>
      <c r="AM31" s="672"/>
      <c r="AN31" s="360"/>
      <c r="AO31" s="673"/>
      <c r="AP31" s="674"/>
      <c r="AQ31" s="672"/>
      <c r="AR31" s="360"/>
      <c r="AS31" s="673"/>
      <c r="AT31" s="675">
        <f t="shared" si="2"/>
        <v>421696</v>
      </c>
      <c r="AU31" s="676">
        <f t="shared" si="0"/>
        <v>113206</v>
      </c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</row>
    <row r="32" spans="1:86" s="96" customFormat="1" ht="24">
      <c r="A32" s="39"/>
      <c r="B32" s="656">
        <v>17</v>
      </c>
      <c r="C32" s="678" t="s">
        <v>1226</v>
      </c>
      <c r="D32" s="658">
        <v>40008541</v>
      </c>
      <c r="E32" s="659" t="s">
        <v>3287</v>
      </c>
      <c r="F32" s="660" t="s">
        <v>146</v>
      </c>
      <c r="G32" s="661" t="s">
        <v>3242</v>
      </c>
      <c r="H32" s="661" t="s">
        <v>3288</v>
      </c>
      <c r="I32" s="663" t="s">
        <v>52</v>
      </c>
      <c r="J32" s="664" t="s">
        <v>3289</v>
      </c>
      <c r="K32" s="665">
        <v>47845</v>
      </c>
      <c r="L32" s="665">
        <v>0</v>
      </c>
      <c r="M32" s="665">
        <v>0</v>
      </c>
      <c r="N32" s="665">
        <v>0</v>
      </c>
      <c r="O32" s="665">
        <v>231590</v>
      </c>
      <c r="P32" s="677">
        <v>81092</v>
      </c>
      <c r="Q32" s="665">
        <v>0</v>
      </c>
      <c r="R32" s="665">
        <v>0</v>
      </c>
      <c r="S32" s="665">
        <v>0</v>
      </c>
      <c r="T32" s="665">
        <v>0</v>
      </c>
      <c r="U32" s="665">
        <v>0</v>
      </c>
      <c r="V32" s="665"/>
      <c r="W32" s="665"/>
      <c r="X32" s="665"/>
      <c r="Y32" s="665">
        <f t="shared" si="1"/>
        <v>312682</v>
      </c>
      <c r="Z32" s="666">
        <v>301953</v>
      </c>
      <c r="AA32" s="667" t="s">
        <v>427</v>
      </c>
      <c r="AB32" s="668">
        <v>44232</v>
      </c>
      <c r="AC32" s="668">
        <v>44250</v>
      </c>
      <c r="AD32" s="669">
        <v>10729</v>
      </c>
      <c r="AE32" s="672">
        <v>19</v>
      </c>
      <c r="AF32" s="670">
        <v>44271</v>
      </c>
      <c r="AG32" s="670">
        <v>44312</v>
      </c>
      <c r="AH32" s="671"/>
      <c r="AI32" s="672"/>
      <c r="AJ32" s="360"/>
      <c r="AK32" s="673"/>
      <c r="AL32" s="666"/>
      <c r="AM32" s="672"/>
      <c r="AN32" s="360"/>
      <c r="AO32" s="673"/>
      <c r="AP32" s="674"/>
      <c r="AQ32" s="672"/>
      <c r="AR32" s="360"/>
      <c r="AS32" s="673"/>
      <c r="AT32" s="675">
        <f t="shared" si="2"/>
        <v>312682</v>
      </c>
      <c r="AU32" s="676">
        <f t="shared" si="0"/>
        <v>0</v>
      </c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</row>
    <row r="33" spans="1:86" s="96" customFormat="1" ht="24">
      <c r="A33" s="39"/>
      <c r="B33" s="656">
        <v>18</v>
      </c>
      <c r="C33" s="678" t="s">
        <v>1226</v>
      </c>
      <c r="D33" s="658">
        <v>40009975</v>
      </c>
      <c r="E33" s="659" t="s">
        <v>3290</v>
      </c>
      <c r="F33" s="660" t="s">
        <v>146</v>
      </c>
      <c r="G33" s="661" t="s">
        <v>3242</v>
      </c>
      <c r="H33" s="661" t="s">
        <v>3291</v>
      </c>
      <c r="I33" s="663" t="s">
        <v>52</v>
      </c>
      <c r="J33" s="664" t="s">
        <v>3292</v>
      </c>
      <c r="K33" s="665">
        <v>0</v>
      </c>
      <c r="L33" s="665">
        <v>0</v>
      </c>
      <c r="M33" s="665">
        <v>0</v>
      </c>
      <c r="N33" s="665">
        <f>40000+85699</f>
        <v>125699</v>
      </c>
      <c r="O33" s="665">
        <v>0</v>
      </c>
      <c r="P33" s="665">
        <v>0</v>
      </c>
      <c r="Q33" s="677">
        <v>124718</v>
      </c>
      <c r="R33" s="665">
        <v>0</v>
      </c>
      <c r="S33" s="665"/>
      <c r="T33" s="665">
        <v>111104</v>
      </c>
      <c r="U33" s="665">
        <v>0</v>
      </c>
      <c r="V33" s="665"/>
      <c r="W33" s="665"/>
      <c r="X33" s="665"/>
      <c r="Y33" s="665">
        <f t="shared" si="1"/>
        <v>361521</v>
      </c>
      <c r="Z33" s="666">
        <v>372602</v>
      </c>
      <c r="AA33" s="667" t="s">
        <v>427</v>
      </c>
      <c r="AB33" s="668">
        <v>44232</v>
      </c>
      <c r="AC33" s="668">
        <v>44250</v>
      </c>
      <c r="AD33" s="669">
        <v>-11081</v>
      </c>
      <c r="AE33" s="672">
        <v>38</v>
      </c>
      <c r="AF33" s="670">
        <v>44385</v>
      </c>
      <c r="AG33" s="670">
        <v>44392</v>
      </c>
      <c r="AH33" s="671"/>
      <c r="AI33" s="672"/>
      <c r="AJ33" s="360"/>
      <c r="AK33" s="673"/>
      <c r="AL33" s="666"/>
      <c r="AM33" s="672"/>
      <c r="AN33" s="360"/>
      <c r="AO33" s="673"/>
      <c r="AP33" s="674"/>
      <c r="AQ33" s="672"/>
      <c r="AR33" s="360"/>
      <c r="AS33" s="673"/>
      <c r="AT33" s="675">
        <f t="shared" si="2"/>
        <v>361521</v>
      </c>
      <c r="AU33" s="676">
        <f t="shared" si="0"/>
        <v>0</v>
      </c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</row>
    <row r="34" spans="1:86" s="96" customFormat="1" ht="24">
      <c r="A34" s="39"/>
      <c r="B34" s="656">
        <v>19</v>
      </c>
      <c r="C34" s="678" t="s">
        <v>1226</v>
      </c>
      <c r="D34" s="658">
        <v>40010038</v>
      </c>
      <c r="E34" s="659" t="s">
        <v>3293</v>
      </c>
      <c r="F34" s="660" t="s">
        <v>158</v>
      </c>
      <c r="G34" s="661" t="s">
        <v>3242</v>
      </c>
      <c r="H34" s="661" t="s">
        <v>3291</v>
      </c>
      <c r="I34" s="663" t="s">
        <v>52</v>
      </c>
      <c r="J34" s="664" t="s">
        <v>3294</v>
      </c>
      <c r="K34" s="665">
        <v>0</v>
      </c>
      <c r="L34" s="665">
        <v>0</v>
      </c>
      <c r="M34" s="665">
        <v>0</v>
      </c>
      <c r="N34" s="665">
        <v>0</v>
      </c>
      <c r="O34" s="665">
        <v>0</v>
      </c>
      <c r="P34" s="677">
        <v>14550</v>
      </c>
      <c r="Q34" s="665">
        <v>0</v>
      </c>
      <c r="R34" s="665">
        <v>0</v>
      </c>
      <c r="S34" s="665">
        <v>0</v>
      </c>
      <c r="T34" s="665">
        <v>0</v>
      </c>
      <c r="U34" s="665">
        <v>0</v>
      </c>
      <c r="V34" s="665"/>
      <c r="W34" s="665"/>
      <c r="X34" s="665"/>
      <c r="Y34" s="665">
        <f t="shared" si="1"/>
        <v>14550</v>
      </c>
      <c r="Z34" s="666">
        <v>46560</v>
      </c>
      <c r="AA34" s="667" t="s">
        <v>427</v>
      </c>
      <c r="AB34" s="668">
        <v>44232</v>
      </c>
      <c r="AC34" s="668">
        <v>44250</v>
      </c>
      <c r="AD34" s="669">
        <v>10000</v>
      </c>
      <c r="AE34" s="672">
        <v>25</v>
      </c>
      <c r="AF34" s="670">
        <v>44312</v>
      </c>
      <c r="AG34" s="670">
        <v>44328</v>
      </c>
      <c r="AH34" s="671"/>
      <c r="AI34" s="672"/>
      <c r="AJ34" s="360"/>
      <c r="AK34" s="673"/>
      <c r="AL34" s="666"/>
      <c r="AM34" s="672"/>
      <c r="AN34" s="360"/>
      <c r="AO34" s="673"/>
      <c r="AP34" s="674"/>
      <c r="AQ34" s="672"/>
      <c r="AR34" s="360"/>
      <c r="AS34" s="673"/>
      <c r="AT34" s="675">
        <f t="shared" si="2"/>
        <v>56560</v>
      </c>
      <c r="AU34" s="676">
        <f t="shared" si="0"/>
        <v>42010</v>
      </c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</row>
    <row r="35" spans="1:86" s="96" customFormat="1" ht="24">
      <c r="A35" s="39"/>
      <c r="B35" s="656">
        <v>20</v>
      </c>
      <c r="C35" s="678" t="s">
        <v>1226</v>
      </c>
      <c r="D35" s="658">
        <v>40010470</v>
      </c>
      <c r="E35" s="659" t="s">
        <v>3295</v>
      </c>
      <c r="F35" s="660" t="s">
        <v>158</v>
      </c>
      <c r="G35" s="661" t="s">
        <v>3242</v>
      </c>
      <c r="H35" s="661" t="s">
        <v>3264</v>
      </c>
      <c r="I35" s="663" t="s">
        <v>52</v>
      </c>
      <c r="J35" s="664" t="s">
        <v>3296</v>
      </c>
      <c r="K35" s="665">
        <v>225436</v>
      </c>
      <c r="L35" s="665">
        <v>0</v>
      </c>
      <c r="M35" s="665">
        <v>0</v>
      </c>
      <c r="N35" s="665">
        <v>0</v>
      </c>
      <c r="O35" s="665">
        <v>0</v>
      </c>
      <c r="P35" s="665">
        <v>0</v>
      </c>
      <c r="Q35" s="677">
        <v>2772</v>
      </c>
      <c r="R35" s="665">
        <v>0</v>
      </c>
      <c r="S35" s="665">
        <v>0</v>
      </c>
      <c r="T35" s="665">
        <v>0</v>
      </c>
      <c r="U35" s="665">
        <v>0</v>
      </c>
      <c r="V35" s="665"/>
      <c r="W35" s="665"/>
      <c r="X35" s="665"/>
      <c r="Y35" s="665">
        <f t="shared" si="1"/>
        <v>2772</v>
      </c>
      <c r="Z35" s="666">
        <v>2835</v>
      </c>
      <c r="AA35" s="667" t="s">
        <v>427</v>
      </c>
      <c r="AB35" s="668">
        <v>44232</v>
      </c>
      <c r="AC35" s="668">
        <v>44250</v>
      </c>
      <c r="AD35" s="669">
        <v>9938</v>
      </c>
      <c r="AE35" s="672">
        <v>19</v>
      </c>
      <c r="AF35" s="670">
        <v>44271</v>
      </c>
      <c r="AG35" s="670">
        <v>44312</v>
      </c>
      <c r="AH35" s="671"/>
      <c r="AI35" s="672"/>
      <c r="AJ35" s="360"/>
      <c r="AK35" s="673"/>
      <c r="AL35" s="666"/>
      <c r="AM35" s="672"/>
      <c r="AN35" s="360"/>
      <c r="AO35" s="673"/>
      <c r="AP35" s="674"/>
      <c r="AQ35" s="672"/>
      <c r="AR35" s="360"/>
      <c r="AS35" s="673"/>
      <c r="AT35" s="675">
        <f t="shared" si="2"/>
        <v>12773</v>
      </c>
      <c r="AU35" s="676">
        <f t="shared" si="0"/>
        <v>10001</v>
      </c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</row>
    <row r="36" spans="1:86" s="96" customFormat="1" ht="36">
      <c r="A36" s="39"/>
      <c r="B36" s="656">
        <v>21</v>
      </c>
      <c r="C36" s="678" t="s">
        <v>1226</v>
      </c>
      <c r="D36" s="658">
        <v>40010478</v>
      </c>
      <c r="E36" s="659" t="s">
        <v>3297</v>
      </c>
      <c r="F36" s="660" t="s">
        <v>146</v>
      </c>
      <c r="G36" s="661" t="s">
        <v>3242</v>
      </c>
      <c r="H36" s="661" t="s">
        <v>3246</v>
      </c>
      <c r="I36" s="663" t="s">
        <v>52</v>
      </c>
      <c r="J36" s="664" t="s">
        <v>3298</v>
      </c>
      <c r="K36" s="665">
        <v>16421</v>
      </c>
      <c r="L36" s="665">
        <v>0</v>
      </c>
      <c r="M36" s="665">
        <v>0</v>
      </c>
      <c r="N36" s="665">
        <v>4015</v>
      </c>
      <c r="O36" s="665">
        <v>4015</v>
      </c>
      <c r="P36" s="665">
        <v>0</v>
      </c>
      <c r="Q36" s="665"/>
      <c r="R36" s="665">
        <v>0</v>
      </c>
      <c r="S36" s="665">
        <v>83598</v>
      </c>
      <c r="T36" s="665">
        <v>0</v>
      </c>
      <c r="U36" s="665">
        <f>37769-37769+78719</f>
        <v>78719</v>
      </c>
      <c r="V36" s="665"/>
      <c r="W36" s="665"/>
      <c r="X36" s="665"/>
      <c r="Y36" s="665">
        <f t="shared" si="1"/>
        <v>170347</v>
      </c>
      <c r="Z36" s="666">
        <v>124090</v>
      </c>
      <c r="AA36" s="667" t="s">
        <v>427</v>
      </c>
      <c r="AB36" s="668">
        <v>44232</v>
      </c>
      <c r="AC36" s="668">
        <v>44250</v>
      </c>
      <c r="AD36" s="669">
        <v>25000</v>
      </c>
      <c r="AE36" s="672">
        <v>38</v>
      </c>
      <c r="AF36" s="670">
        <v>44385</v>
      </c>
      <c r="AG36" s="670">
        <v>44392</v>
      </c>
      <c r="AH36" s="671"/>
      <c r="AI36" s="672"/>
      <c r="AJ36" s="360"/>
      <c r="AK36" s="673"/>
      <c r="AL36" s="666"/>
      <c r="AM36" s="672"/>
      <c r="AN36" s="360"/>
      <c r="AO36" s="673"/>
      <c r="AP36" s="674"/>
      <c r="AQ36" s="672"/>
      <c r="AR36" s="360"/>
      <c r="AS36" s="673"/>
      <c r="AT36" s="675">
        <f t="shared" si="2"/>
        <v>149090</v>
      </c>
      <c r="AU36" s="676">
        <f t="shared" si="0"/>
        <v>-21257</v>
      </c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</row>
    <row r="37" spans="1:86" s="96" customFormat="1" ht="24">
      <c r="A37" s="39"/>
      <c r="B37" s="656">
        <v>22</v>
      </c>
      <c r="C37" s="678" t="s">
        <v>1226</v>
      </c>
      <c r="D37" s="658">
        <v>40011215</v>
      </c>
      <c r="E37" s="659" t="s">
        <v>3299</v>
      </c>
      <c r="F37" s="660" t="s">
        <v>146</v>
      </c>
      <c r="G37" s="661" t="s">
        <v>3242</v>
      </c>
      <c r="H37" s="661" t="s">
        <v>3264</v>
      </c>
      <c r="I37" s="663" t="s">
        <v>52</v>
      </c>
      <c r="J37" s="664" t="s">
        <v>3300</v>
      </c>
      <c r="K37" s="665">
        <v>191011</v>
      </c>
      <c r="L37" s="665">
        <v>0</v>
      </c>
      <c r="M37" s="665">
        <v>0</v>
      </c>
      <c r="N37" s="665">
        <v>0</v>
      </c>
      <c r="O37" s="665">
        <v>0</v>
      </c>
      <c r="P37" s="677">
        <f>12095+27073</f>
        <v>39168</v>
      </c>
      <c r="Q37" s="665">
        <v>0</v>
      </c>
      <c r="R37" s="665">
        <v>0</v>
      </c>
      <c r="S37" s="665">
        <v>0</v>
      </c>
      <c r="T37" s="665">
        <v>0</v>
      </c>
      <c r="U37" s="665"/>
      <c r="V37" s="665"/>
      <c r="W37" s="665"/>
      <c r="X37" s="665"/>
      <c r="Y37" s="665">
        <f t="shared" si="1"/>
        <v>39168</v>
      </c>
      <c r="Z37" s="666">
        <v>42091</v>
      </c>
      <c r="AA37" s="667" t="s">
        <v>427</v>
      </c>
      <c r="AB37" s="668">
        <v>44232</v>
      </c>
      <c r="AC37" s="668">
        <v>44250</v>
      </c>
      <c r="AD37" s="669"/>
      <c r="AE37" s="344"/>
      <c r="AF37" s="360"/>
      <c r="AG37" s="668"/>
      <c r="AH37" s="671"/>
      <c r="AI37" s="672"/>
      <c r="AJ37" s="360"/>
      <c r="AK37" s="673"/>
      <c r="AL37" s="666"/>
      <c r="AM37" s="672"/>
      <c r="AN37" s="360"/>
      <c r="AO37" s="673"/>
      <c r="AP37" s="674"/>
      <c r="AQ37" s="672"/>
      <c r="AR37" s="360"/>
      <c r="AS37" s="673"/>
      <c r="AT37" s="675">
        <f t="shared" si="2"/>
        <v>42091</v>
      </c>
      <c r="AU37" s="676">
        <f t="shared" si="0"/>
        <v>2923</v>
      </c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</row>
    <row r="38" spans="1:86" s="96" customFormat="1" ht="23.25" customHeight="1">
      <c r="A38" s="39"/>
      <c r="B38" s="656">
        <v>23</v>
      </c>
      <c r="C38" s="678" t="s">
        <v>1226</v>
      </c>
      <c r="D38" s="658">
        <v>40011254</v>
      </c>
      <c r="E38" s="659" t="s">
        <v>3301</v>
      </c>
      <c r="F38" s="660"/>
      <c r="G38" s="661" t="s">
        <v>3242</v>
      </c>
      <c r="H38" s="661" t="s">
        <v>3302</v>
      </c>
      <c r="I38" s="663" t="s">
        <v>52</v>
      </c>
      <c r="J38" s="664" t="s">
        <v>3303</v>
      </c>
      <c r="K38" s="665">
        <v>321971</v>
      </c>
      <c r="L38" s="665">
        <v>0</v>
      </c>
      <c r="M38" s="665">
        <v>0</v>
      </c>
      <c r="N38" s="665">
        <v>197777</v>
      </c>
      <c r="O38" s="665">
        <v>0</v>
      </c>
      <c r="P38" s="665">
        <v>291468</v>
      </c>
      <c r="Q38" s="665">
        <v>0</v>
      </c>
      <c r="R38" s="677">
        <v>266486</v>
      </c>
      <c r="S38" s="665">
        <v>0</v>
      </c>
      <c r="T38" s="665">
        <v>0</v>
      </c>
      <c r="U38" s="665">
        <v>68363</v>
      </c>
      <c r="V38" s="665"/>
      <c r="W38" s="665"/>
      <c r="X38" s="665"/>
      <c r="Y38" s="665">
        <f t="shared" si="1"/>
        <v>824094</v>
      </c>
      <c r="Z38" s="666">
        <v>948747</v>
      </c>
      <c r="AA38" s="667" t="s">
        <v>427</v>
      </c>
      <c r="AB38" s="668">
        <v>44232</v>
      </c>
      <c r="AC38" s="668">
        <v>44250</v>
      </c>
      <c r="AD38" s="669">
        <v>85449</v>
      </c>
      <c r="AE38" s="672">
        <v>19</v>
      </c>
      <c r="AF38" s="670">
        <v>44271</v>
      </c>
      <c r="AG38" s="670">
        <v>44312</v>
      </c>
      <c r="AH38" s="671"/>
      <c r="AI38" s="672"/>
      <c r="AJ38" s="360"/>
      <c r="AK38" s="673"/>
      <c r="AL38" s="666"/>
      <c r="AM38" s="672"/>
      <c r="AN38" s="360"/>
      <c r="AO38" s="673"/>
      <c r="AP38" s="674"/>
      <c r="AQ38" s="672"/>
      <c r="AR38" s="360"/>
      <c r="AS38" s="673"/>
      <c r="AT38" s="675">
        <f t="shared" si="2"/>
        <v>1034196</v>
      </c>
      <c r="AU38" s="676">
        <f t="shared" si="0"/>
        <v>210102</v>
      </c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</row>
    <row r="39" spans="1:86" s="96" customFormat="1" ht="24">
      <c r="A39" s="39"/>
      <c r="B39" s="656">
        <v>24</v>
      </c>
      <c r="C39" s="678" t="s">
        <v>1226</v>
      </c>
      <c r="D39" s="658">
        <v>40011276</v>
      </c>
      <c r="E39" s="659" t="s">
        <v>3304</v>
      </c>
      <c r="F39" s="660" t="s">
        <v>146</v>
      </c>
      <c r="G39" s="661" t="s">
        <v>3242</v>
      </c>
      <c r="H39" s="661" t="s">
        <v>3264</v>
      </c>
      <c r="I39" s="663" t="s">
        <v>52</v>
      </c>
      <c r="J39" s="664" t="s">
        <v>3305</v>
      </c>
      <c r="K39" s="665">
        <v>378012</v>
      </c>
      <c r="L39" s="665">
        <v>0</v>
      </c>
      <c r="M39" s="665">
        <v>0</v>
      </c>
      <c r="N39" s="665">
        <v>469985</v>
      </c>
      <c r="O39" s="665">
        <v>0</v>
      </c>
      <c r="P39" s="665">
        <v>0</v>
      </c>
      <c r="Q39" s="665">
        <v>0</v>
      </c>
      <c r="R39" s="665">
        <v>0</v>
      </c>
      <c r="S39" s="665">
        <v>256570</v>
      </c>
      <c r="T39" s="665">
        <v>0</v>
      </c>
      <c r="U39" s="665">
        <v>0</v>
      </c>
      <c r="V39" s="665"/>
      <c r="W39" s="665"/>
      <c r="X39" s="665"/>
      <c r="Y39" s="665">
        <f t="shared" si="1"/>
        <v>726555</v>
      </c>
      <c r="Z39" s="666">
        <v>680445</v>
      </c>
      <c r="AA39" s="667" t="s">
        <v>427</v>
      </c>
      <c r="AB39" s="668">
        <v>44232</v>
      </c>
      <c r="AC39" s="668">
        <v>44250</v>
      </c>
      <c r="AD39" s="669">
        <v>46110</v>
      </c>
      <c r="AE39" s="672">
        <v>19</v>
      </c>
      <c r="AF39" s="670">
        <v>44271</v>
      </c>
      <c r="AG39" s="670">
        <v>44312</v>
      </c>
      <c r="AH39" s="671"/>
      <c r="AI39" s="672"/>
      <c r="AJ39" s="360"/>
      <c r="AK39" s="673"/>
      <c r="AL39" s="666"/>
      <c r="AM39" s="672"/>
      <c r="AN39" s="360"/>
      <c r="AO39" s="673"/>
      <c r="AP39" s="674"/>
      <c r="AQ39" s="672"/>
      <c r="AR39" s="360"/>
      <c r="AS39" s="673"/>
      <c r="AT39" s="675">
        <f t="shared" si="2"/>
        <v>726555</v>
      </c>
      <c r="AU39" s="676">
        <f t="shared" si="0"/>
        <v>0</v>
      </c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</row>
    <row r="40" spans="1:86" s="96" customFormat="1" ht="24">
      <c r="A40" s="39"/>
      <c r="B40" s="656">
        <v>25</v>
      </c>
      <c r="C40" s="678" t="s">
        <v>1226</v>
      </c>
      <c r="D40" s="658">
        <v>40011412</v>
      </c>
      <c r="E40" s="659" t="s">
        <v>3306</v>
      </c>
      <c r="F40" s="660" t="s">
        <v>146</v>
      </c>
      <c r="G40" s="661" t="s">
        <v>3242</v>
      </c>
      <c r="H40" s="661" t="s">
        <v>2046</v>
      </c>
      <c r="I40" s="663" t="s">
        <v>52</v>
      </c>
      <c r="J40" s="664" t="s">
        <v>3307</v>
      </c>
      <c r="K40" s="665">
        <v>456751</v>
      </c>
      <c r="L40" s="665">
        <v>0</v>
      </c>
      <c r="M40" s="665">
        <v>0</v>
      </c>
      <c r="N40" s="665">
        <v>0</v>
      </c>
      <c r="O40" s="665">
        <v>0</v>
      </c>
      <c r="P40" s="665">
        <v>0</v>
      </c>
      <c r="Q40" s="677">
        <v>2000</v>
      </c>
      <c r="R40" s="665">
        <v>0</v>
      </c>
      <c r="S40" s="665">
        <v>0</v>
      </c>
      <c r="T40" s="665">
        <v>0</v>
      </c>
      <c r="U40" s="665">
        <v>72168</v>
      </c>
      <c r="V40" s="665"/>
      <c r="W40" s="665"/>
      <c r="X40" s="665"/>
      <c r="Y40" s="665">
        <f t="shared" si="1"/>
        <v>74168</v>
      </c>
      <c r="Z40" s="666">
        <v>72169</v>
      </c>
      <c r="AA40" s="667" t="s">
        <v>427</v>
      </c>
      <c r="AB40" s="668">
        <v>44232</v>
      </c>
      <c r="AC40" s="668">
        <v>44250</v>
      </c>
      <c r="AD40" s="669">
        <v>-36066</v>
      </c>
      <c r="AE40" s="672">
        <v>33</v>
      </c>
      <c r="AF40" s="670">
        <v>44350</v>
      </c>
      <c r="AG40" s="670">
        <v>44369</v>
      </c>
      <c r="AH40" s="669">
        <v>38067</v>
      </c>
      <c r="AI40" s="672">
        <v>37</v>
      </c>
      <c r="AJ40" s="668">
        <v>44371</v>
      </c>
      <c r="AK40" s="668">
        <v>44379</v>
      </c>
      <c r="AL40" s="666"/>
      <c r="AM40" s="672"/>
      <c r="AN40" s="360"/>
      <c r="AO40" s="673"/>
      <c r="AP40" s="674"/>
      <c r="AQ40" s="672"/>
      <c r="AR40" s="360"/>
      <c r="AS40" s="673"/>
      <c r="AT40" s="675">
        <f t="shared" si="2"/>
        <v>74170</v>
      </c>
      <c r="AU40" s="676">
        <f t="shared" si="0"/>
        <v>2</v>
      </c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</row>
    <row r="41" spans="1:86" s="96" customFormat="1" ht="21.75" customHeight="1">
      <c r="A41" s="39"/>
      <c r="B41" s="656">
        <v>26</v>
      </c>
      <c r="C41" s="678" t="s">
        <v>1226</v>
      </c>
      <c r="D41" s="658">
        <v>40015342</v>
      </c>
      <c r="E41" s="659" t="s">
        <v>3308</v>
      </c>
      <c r="F41" s="660" t="s">
        <v>146</v>
      </c>
      <c r="G41" s="661" t="s">
        <v>3242</v>
      </c>
      <c r="H41" s="661" t="s">
        <v>3291</v>
      </c>
      <c r="I41" s="663" t="s">
        <v>52</v>
      </c>
      <c r="J41" s="664" t="s">
        <v>3309</v>
      </c>
      <c r="K41" s="665">
        <v>13319</v>
      </c>
      <c r="L41" s="665">
        <v>0</v>
      </c>
      <c r="M41" s="665">
        <v>0</v>
      </c>
      <c r="N41" s="665">
        <v>0</v>
      </c>
      <c r="O41" s="665">
        <v>0</v>
      </c>
      <c r="P41" s="677">
        <v>5105</v>
      </c>
      <c r="Q41" s="677">
        <f>163584+98131</f>
        <v>261715</v>
      </c>
      <c r="R41" s="665">
        <v>0</v>
      </c>
      <c r="S41" s="665">
        <v>0</v>
      </c>
      <c r="T41" s="665">
        <v>0</v>
      </c>
      <c r="U41" s="665">
        <v>0</v>
      </c>
      <c r="V41" s="665"/>
      <c r="W41" s="665"/>
      <c r="X41" s="665"/>
      <c r="Y41" s="665">
        <f t="shared" si="1"/>
        <v>266820</v>
      </c>
      <c r="Z41" s="666">
        <v>420000</v>
      </c>
      <c r="AA41" s="667" t="s">
        <v>427</v>
      </c>
      <c r="AB41" s="668">
        <v>44232</v>
      </c>
      <c r="AC41" s="668">
        <v>44250</v>
      </c>
      <c r="AD41" s="669">
        <v>5105</v>
      </c>
      <c r="AE41" s="672">
        <v>19</v>
      </c>
      <c r="AF41" s="670">
        <v>44271</v>
      </c>
      <c r="AG41" s="670">
        <v>44312</v>
      </c>
      <c r="AH41" s="669">
        <v>-25105</v>
      </c>
      <c r="AI41" s="672">
        <v>25</v>
      </c>
      <c r="AJ41" s="670">
        <v>44312</v>
      </c>
      <c r="AK41" s="681">
        <v>44328</v>
      </c>
      <c r="AL41" s="682">
        <v>279395</v>
      </c>
      <c r="AM41" s="672">
        <v>37</v>
      </c>
      <c r="AN41" s="668">
        <v>44371</v>
      </c>
      <c r="AO41" s="668">
        <v>44379</v>
      </c>
      <c r="AP41" s="674"/>
      <c r="AQ41" s="672"/>
      <c r="AR41" s="360"/>
      <c r="AS41" s="673"/>
      <c r="AT41" s="675">
        <f t="shared" si="2"/>
        <v>679395</v>
      </c>
      <c r="AU41" s="676">
        <f t="shared" si="0"/>
        <v>412575</v>
      </c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</row>
    <row r="42" spans="1:86" s="96" customFormat="1" ht="24">
      <c r="A42" s="39"/>
      <c r="B42" s="656">
        <v>27</v>
      </c>
      <c r="C42" s="678" t="s">
        <v>1226</v>
      </c>
      <c r="D42" s="658">
        <v>40015344</v>
      </c>
      <c r="E42" s="659" t="s">
        <v>3310</v>
      </c>
      <c r="F42" s="660" t="s">
        <v>146</v>
      </c>
      <c r="G42" s="661" t="s">
        <v>3242</v>
      </c>
      <c r="H42" s="661" t="s">
        <v>3252</v>
      </c>
      <c r="I42" s="663" t="s">
        <v>52</v>
      </c>
      <c r="J42" s="664" t="s">
        <v>3311</v>
      </c>
      <c r="K42" s="665">
        <v>12194</v>
      </c>
      <c r="L42" s="665">
        <v>0</v>
      </c>
      <c r="M42" s="665">
        <v>0</v>
      </c>
      <c r="N42" s="533"/>
      <c r="O42" s="665">
        <v>0</v>
      </c>
      <c r="P42" s="665">
        <v>0</v>
      </c>
      <c r="Q42" s="677">
        <v>7025</v>
      </c>
      <c r="R42" s="665">
        <v>0</v>
      </c>
      <c r="S42" s="665">
        <v>0</v>
      </c>
      <c r="T42" s="665">
        <v>0</v>
      </c>
      <c r="U42" s="665">
        <v>5277</v>
      </c>
      <c r="V42" s="665"/>
      <c r="W42" s="665"/>
      <c r="X42" s="665"/>
      <c r="Y42" s="665">
        <f t="shared" si="1"/>
        <v>12302</v>
      </c>
      <c r="Z42" s="666">
        <v>7027</v>
      </c>
      <c r="AA42" s="667" t="s">
        <v>427</v>
      </c>
      <c r="AB42" s="668">
        <v>44232</v>
      </c>
      <c r="AC42" s="668">
        <v>44250</v>
      </c>
      <c r="AD42" s="669">
        <v>35000</v>
      </c>
      <c r="AE42" s="344">
        <v>9</v>
      </c>
      <c r="AF42" s="668">
        <v>44271</v>
      </c>
      <c r="AG42" s="668">
        <v>44284</v>
      </c>
      <c r="AH42" s="669">
        <v>5277</v>
      </c>
      <c r="AI42" s="672">
        <v>19</v>
      </c>
      <c r="AJ42" s="670">
        <v>44271</v>
      </c>
      <c r="AK42" s="681">
        <v>44312</v>
      </c>
      <c r="AL42" s="666"/>
      <c r="AM42" s="672"/>
      <c r="AN42" s="360"/>
      <c r="AO42" s="673"/>
      <c r="AP42" s="674"/>
      <c r="AQ42" s="672"/>
      <c r="AR42" s="360"/>
      <c r="AS42" s="673"/>
      <c r="AT42" s="675">
        <f t="shared" si="2"/>
        <v>47304</v>
      </c>
      <c r="AU42" s="676">
        <f t="shared" si="0"/>
        <v>35002</v>
      </c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</row>
    <row r="43" spans="1:86" s="96" customFormat="1" ht="18.75" customHeight="1">
      <c r="A43" s="39"/>
      <c r="B43" s="656">
        <v>28</v>
      </c>
      <c r="C43" s="678" t="s">
        <v>1226</v>
      </c>
      <c r="D43" s="658">
        <v>40015346</v>
      </c>
      <c r="E43" s="659" t="s">
        <v>3312</v>
      </c>
      <c r="F43" s="660" t="s">
        <v>146</v>
      </c>
      <c r="G43" s="661" t="s">
        <v>3242</v>
      </c>
      <c r="H43" s="661" t="s">
        <v>3264</v>
      </c>
      <c r="I43" s="663" t="s">
        <v>52</v>
      </c>
      <c r="J43" s="664" t="s">
        <v>3313</v>
      </c>
      <c r="K43" s="665">
        <v>12808</v>
      </c>
      <c r="L43" s="665">
        <v>200457</v>
      </c>
      <c r="M43" s="665">
        <v>0</v>
      </c>
      <c r="N43" s="665">
        <v>0</v>
      </c>
      <c r="O43" s="665">
        <v>0</v>
      </c>
      <c r="P43" s="665">
        <v>0</v>
      </c>
      <c r="Q43" s="665">
        <v>0</v>
      </c>
      <c r="R43" s="665">
        <v>0</v>
      </c>
      <c r="S43" s="665">
        <v>248</v>
      </c>
      <c r="T43" s="665">
        <f>3024+238091</f>
        <v>241115</v>
      </c>
      <c r="U43" s="665">
        <v>3168</v>
      </c>
      <c r="V43" s="665"/>
      <c r="W43" s="665"/>
      <c r="X43" s="665"/>
      <c r="Y43" s="665">
        <f t="shared" si="1"/>
        <v>244531</v>
      </c>
      <c r="Z43" s="666">
        <v>20000</v>
      </c>
      <c r="AA43" s="667" t="s">
        <v>427</v>
      </c>
      <c r="AB43" s="668">
        <v>44232</v>
      </c>
      <c r="AC43" s="668">
        <v>44250</v>
      </c>
      <c r="AD43" s="669">
        <v>378493</v>
      </c>
      <c r="AE43" s="344">
        <v>9</v>
      </c>
      <c r="AF43" s="668">
        <v>44271</v>
      </c>
      <c r="AG43" s="668">
        <v>44284</v>
      </c>
      <c r="AH43" s="669">
        <v>248</v>
      </c>
      <c r="AI43" s="672">
        <v>19</v>
      </c>
      <c r="AJ43" s="670">
        <v>44271</v>
      </c>
      <c r="AK43" s="681">
        <v>44312</v>
      </c>
      <c r="AL43" s="666"/>
      <c r="AM43" s="672"/>
      <c r="AN43" s="360"/>
      <c r="AO43" s="673"/>
      <c r="AP43" s="674"/>
      <c r="AQ43" s="672"/>
      <c r="AR43" s="360"/>
      <c r="AS43" s="673"/>
      <c r="AT43" s="675">
        <f t="shared" si="2"/>
        <v>398741</v>
      </c>
      <c r="AU43" s="676">
        <f t="shared" si="0"/>
        <v>154210</v>
      </c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</row>
    <row r="44" spans="1:86" s="96" customFormat="1" ht="36">
      <c r="A44" s="39"/>
      <c r="B44" s="656">
        <v>29</v>
      </c>
      <c r="C44" s="678" t="s">
        <v>1226</v>
      </c>
      <c r="D44" s="658">
        <v>40019695</v>
      </c>
      <c r="E44" s="659" t="s">
        <v>3314</v>
      </c>
      <c r="F44" s="660"/>
      <c r="G44" s="661" t="s">
        <v>3242</v>
      </c>
      <c r="H44" s="661" t="s">
        <v>3249</v>
      </c>
      <c r="I44" s="663" t="s">
        <v>52</v>
      </c>
      <c r="J44" s="664" t="s">
        <v>3315</v>
      </c>
      <c r="K44" s="665">
        <v>209403</v>
      </c>
      <c r="L44" s="665">
        <v>0</v>
      </c>
      <c r="M44" s="665">
        <v>0</v>
      </c>
      <c r="N44" s="665">
        <f>105141+3195+2328</f>
        <v>110664</v>
      </c>
      <c r="O44" s="665">
        <f>2132+96260+95887+2123</f>
        <v>196402</v>
      </c>
      <c r="P44" s="665">
        <f>2151+97154</f>
        <v>99305</v>
      </c>
      <c r="Q44" s="665">
        <v>0</v>
      </c>
      <c r="R44" s="665">
        <f>2404+108521</f>
        <v>110925</v>
      </c>
      <c r="S44" s="665">
        <v>73711</v>
      </c>
      <c r="T44" s="665">
        <v>55412</v>
      </c>
      <c r="U44" s="665">
        <v>1631</v>
      </c>
      <c r="V44" s="665"/>
      <c r="W44" s="665"/>
      <c r="X44" s="665"/>
      <c r="Y44" s="665">
        <f t="shared" si="1"/>
        <v>648050</v>
      </c>
      <c r="Z44" s="666">
        <v>791909</v>
      </c>
      <c r="AA44" s="667" t="s">
        <v>427</v>
      </c>
      <c r="AB44" s="668">
        <v>44232</v>
      </c>
      <c r="AC44" s="668">
        <v>44250</v>
      </c>
      <c r="AD44" s="669">
        <v>69371</v>
      </c>
      <c r="AE44" s="672">
        <v>37</v>
      </c>
      <c r="AF44" s="668">
        <v>44371</v>
      </c>
      <c r="AG44" s="668">
        <v>44379</v>
      </c>
      <c r="AH44" s="671"/>
      <c r="AI44" s="672"/>
      <c r="AJ44" s="360"/>
      <c r="AK44" s="673"/>
      <c r="AL44" s="666"/>
      <c r="AM44" s="672"/>
      <c r="AN44" s="360"/>
      <c r="AO44" s="673"/>
      <c r="AP44" s="674"/>
      <c r="AQ44" s="672"/>
      <c r="AR44" s="360"/>
      <c r="AS44" s="673"/>
      <c r="AT44" s="675">
        <f t="shared" si="2"/>
        <v>861280</v>
      </c>
      <c r="AU44" s="676">
        <f t="shared" si="0"/>
        <v>213230</v>
      </c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</row>
    <row r="45" spans="1:86" s="96" customFormat="1" ht="24">
      <c r="A45" s="39"/>
      <c r="B45" s="656">
        <v>30</v>
      </c>
      <c r="C45" s="678" t="s">
        <v>1222</v>
      </c>
      <c r="D45" s="658">
        <v>30484444</v>
      </c>
      <c r="E45" s="659" t="s">
        <v>3316</v>
      </c>
      <c r="F45" s="660" t="s">
        <v>146</v>
      </c>
      <c r="G45" s="661" t="s">
        <v>3242</v>
      </c>
      <c r="H45" s="661" t="s">
        <v>3255</v>
      </c>
      <c r="I45" s="663" t="s">
        <v>52</v>
      </c>
      <c r="J45" s="664" t="s">
        <v>3317</v>
      </c>
      <c r="K45" s="665">
        <v>0</v>
      </c>
      <c r="L45" s="665">
        <v>0</v>
      </c>
      <c r="M45" s="665">
        <v>0</v>
      </c>
      <c r="N45" s="665">
        <v>0</v>
      </c>
      <c r="O45" s="665">
        <v>0</v>
      </c>
      <c r="P45" s="665">
        <v>0</v>
      </c>
      <c r="Q45" s="665">
        <v>0</v>
      </c>
      <c r="R45" s="665">
        <v>0</v>
      </c>
      <c r="S45" s="665">
        <v>0</v>
      </c>
      <c r="T45" s="665">
        <v>12360</v>
      </c>
      <c r="U45" s="665">
        <v>0</v>
      </c>
      <c r="V45" s="665"/>
      <c r="W45" s="665"/>
      <c r="X45" s="665"/>
      <c r="Y45" s="665">
        <f t="shared" si="1"/>
        <v>12360</v>
      </c>
      <c r="Z45" s="666">
        <v>15000</v>
      </c>
      <c r="AA45" s="667" t="s">
        <v>3318</v>
      </c>
      <c r="AB45" s="668">
        <v>44232</v>
      </c>
      <c r="AC45" s="668">
        <v>44250</v>
      </c>
      <c r="AD45" s="669">
        <v>9720</v>
      </c>
      <c r="AE45" s="672">
        <v>38</v>
      </c>
      <c r="AF45" s="670">
        <v>44385</v>
      </c>
      <c r="AG45" s="670">
        <v>44392</v>
      </c>
      <c r="AH45" s="671"/>
      <c r="AI45" s="672"/>
      <c r="AJ45" s="360"/>
      <c r="AK45" s="673"/>
      <c r="AL45" s="666"/>
      <c r="AM45" s="672"/>
      <c r="AN45" s="360"/>
      <c r="AO45" s="673"/>
      <c r="AP45" s="674"/>
      <c r="AQ45" s="672"/>
      <c r="AR45" s="360"/>
      <c r="AS45" s="673"/>
      <c r="AT45" s="675">
        <f t="shared" si="2"/>
        <v>24720</v>
      </c>
      <c r="AU45" s="676">
        <f t="shared" si="0"/>
        <v>12360</v>
      </c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</row>
    <row r="46" spans="1:86" s="96" customFormat="1" ht="24">
      <c r="A46" s="39"/>
      <c r="B46" s="656">
        <v>31</v>
      </c>
      <c r="C46" s="678" t="s">
        <v>1222</v>
      </c>
      <c r="D46" s="658">
        <v>40002331</v>
      </c>
      <c r="E46" s="659" t="s">
        <v>3319</v>
      </c>
      <c r="F46" s="660" t="s">
        <v>146</v>
      </c>
      <c r="G46" s="661" t="s">
        <v>3242</v>
      </c>
      <c r="H46" s="661" t="s">
        <v>3320</v>
      </c>
      <c r="I46" s="663" t="s">
        <v>52</v>
      </c>
      <c r="J46" s="664" t="s">
        <v>3321</v>
      </c>
      <c r="K46" s="665">
        <v>0</v>
      </c>
      <c r="L46" s="665">
        <v>155051</v>
      </c>
      <c r="M46" s="665">
        <v>0</v>
      </c>
      <c r="N46" s="665">
        <v>0</v>
      </c>
      <c r="O46" s="665">
        <v>0</v>
      </c>
      <c r="P46" s="665">
        <v>0</v>
      </c>
      <c r="Q46" s="665">
        <v>0</v>
      </c>
      <c r="R46" s="665">
        <v>0</v>
      </c>
      <c r="S46" s="665">
        <v>0</v>
      </c>
      <c r="T46" s="665">
        <v>37910</v>
      </c>
      <c r="U46" s="665">
        <v>0</v>
      </c>
      <c r="V46" s="665"/>
      <c r="W46" s="665"/>
      <c r="X46" s="665"/>
      <c r="Y46" s="665">
        <f t="shared" si="1"/>
        <v>37910</v>
      </c>
      <c r="Z46" s="666">
        <v>1</v>
      </c>
      <c r="AA46" s="667" t="s">
        <v>3318</v>
      </c>
      <c r="AB46" s="668">
        <v>44232</v>
      </c>
      <c r="AC46" s="668">
        <v>44250</v>
      </c>
      <c r="AD46" s="669">
        <v>38763</v>
      </c>
      <c r="AE46" s="344">
        <v>9</v>
      </c>
      <c r="AF46" s="668">
        <v>44271</v>
      </c>
      <c r="AG46" s="668">
        <v>44284</v>
      </c>
      <c r="AH46" s="669">
        <v>36236</v>
      </c>
      <c r="AI46" s="672">
        <v>25</v>
      </c>
      <c r="AJ46" s="670">
        <v>44312</v>
      </c>
      <c r="AK46" s="681">
        <v>44328</v>
      </c>
      <c r="AL46" s="666"/>
      <c r="AM46" s="672"/>
      <c r="AN46" s="360"/>
      <c r="AO46" s="673"/>
      <c r="AP46" s="674"/>
      <c r="AQ46" s="672"/>
      <c r="AR46" s="360"/>
      <c r="AS46" s="673"/>
      <c r="AT46" s="675">
        <f t="shared" si="2"/>
        <v>75000</v>
      </c>
      <c r="AU46" s="676">
        <f t="shared" si="0"/>
        <v>37090</v>
      </c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</row>
    <row r="47" spans="1:86" s="96" customFormat="1" ht="24">
      <c r="A47" s="39"/>
      <c r="B47" s="656">
        <v>32</v>
      </c>
      <c r="C47" s="678" t="s">
        <v>1222</v>
      </c>
      <c r="D47" s="658">
        <v>40002737</v>
      </c>
      <c r="E47" s="659" t="s">
        <v>3322</v>
      </c>
      <c r="F47" s="660" t="s">
        <v>146</v>
      </c>
      <c r="G47" s="661" t="s">
        <v>3242</v>
      </c>
      <c r="H47" s="661" t="s">
        <v>3291</v>
      </c>
      <c r="I47" s="663" t="s">
        <v>52</v>
      </c>
      <c r="J47" s="664" t="s">
        <v>3323</v>
      </c>
      <c r="K47" s="665">
        <v>0</v>
      </c>
      <c r="L47" s="665">
        <v>36482</v>
      </c>
      <c r="M47" s="665">
        <v>0</v>
      </c>
      <c r="N47" s="665">
        <v>0</v>
      </c>
      <c r="O47" s="665">
        <v>0</v>
      </c>
      <c r="P47" s="665">
        <v>0</v>
      </c>
      <c r="Q47" s="665">
        <v>0</v>
      </c>
      <c r="R47" s="665">
        <v>0</v>
      </c>
      <c r="S47" s="665">
        <v>0</v>
      </c>
      <c r="T47" s="665">
        <v>0</v>
      </c>
      <c r="U47" s="665">
        <v>0</v>
      </c>
      <c r="V47" s="665"/>
      <c r="W47" s="665"/>
      <c r="X47" s="665"/>
      <c r="Y47" s="665">
        <f t="shared" si="1"/>
        <v>0</v>
      </c>
      <c r="Z47" s="666">
        <v>5000</v>
      </c>
      <c r="AA47" s="667" t="s">
        <v>3318</v>
      </c>
      <c r="AB47" s="668">
        <v>44232</v>
      </c>
      <c r="AC47" s="668">
        <v>44250</v>
      </c>
      <c r="AD47" s="669">
        <v>50000</v>
      </c>
      <c r="AE47" s="672">
        <v>38</v>
      </c>
      <c r="AF47" s="670">
        <v>44385</v>
      </c>
      <c r="AG47" s="670">
        <v>44392</v>
      </c>
      <c r="AH47" s="671"/>
      <c r="AI47" s="672"/>
      <c r="AJ47" s="360"/>
      <c r="AK47" s="673"/>
      <c r="AL47" s="666"/>
      <c r="AM47" s="672"/>
      <c r="AN47" s="360"/>
      <c r="AO47" s="673"/>
      <c r="AP47" s="674"/>
      <c r="AQ47" s="672"/>
      <c r="AR47" s="360"/>
      <c r="AS47" s="673"/>
      <c r="AT47" s="675">
        <f t="shared" si="2"/>
        <v>55000</v>
      </c>
      <c r="AU47" s="676">
        <f t="shared" si="0"/>
        <v>55000</v>
      </c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</row>
    <row r="48" spans="1:86" s="96" customFormat="1" ht="24">
      <c r="A48" s="39"/>
      <c r="B48" s="656">
        <v>33</v>
      </c>
      <c r="C48" s="678" t="s">
        <v>1222</v>
      </c>
      <c r="D48" s="658">
        <v>40010023</v>
      </c>
      <c r="E48" s="659" t="s">
        <v>3324</v>
      </c>
      <c r="F48" s="660" t="s">
        <v>146</v>
      </c>
      <c r="G48" s="661" t="s">
        <v>3242</v>
      </c>
      <c r="H48" s="661" t="s">
        <v>3246</v>
      </c>
      <c r="I48" s="663" t="s">
        <v>52</v>
      </c>
      <c r="J48" s="664" t="s">
        <v>3325</v>
      </c>
      <c r="K48" s="665">
        <v>0</v>
      </c>
      <c r="L48" s="665">
        <v>0</v>
      </c>
      <c r="M48" s="665">
        <v>0</v>
      </c>
      <c r="N48" s="665">
        <v>0</v>
      </c>
      <c r="O48" s="665">
        <v>0</v>
      </c>
      <c r="P48" s="665">
        <v>0</v>
      </c>
      <c r="Q48" s="665">
        <v>0</v>
      </c>
      <c r="R48" s="665">
        <v>0</v>
      </c>
      <c r="S48" s="665">
        <v>0</v>
      </c>
      <c r="T48" s="665">
        <v>0</v>
      </c>
      <c r="U48" s="665">
        <v>0</v>
      </c>
      <c r="V48" s="665"/>
      <c r="W48" s="665"/>
      <c r="X48" s="665"/>
      <c r="Y48" s="665">
        <f t="shared" si="1"/>
        <v>0</v>
      </c>
      <c r="Z48" s="666">
        <v>5000</v>
      </c>
      <c r="AA48" s="667" t="s">
        <v>3318</v>
      </c>
      <c r="AB48" s="668">
        <v>44232</v>
      </c>
      <c r="AC48" s="668">
        <v>44250</v>
      </c>
      <c r="AD48" s="669"/>
      <c r="AE48" s="344"/>
      <c r="AF48" s="360"/>
      <c r="AG48" s="668"/>
      <c r="AH48" s="671"/>
      <c r="AI48" s="672"/>
      <c r="AJ48" s="360"/>
      <c r="AK48" s="673"/>
      <c r="AL48" s="666"/>
      <c r="AM48" s="672"/>
      <c r="AN48" s="360"/>
      <c r="AO48" s="673"/>
      <c r="AP48" s="674"/>
      <c r="AQ48" s="672"/>
      <c r="AR48" s="360"/>
      <c r="AS48" s="673"/>
      <c r="AT48" s="675">
        <f t="shared" si="2"/>
        <v>5000</v>
      </c>
      <c r="AU48" s="676">
        <f t="shared" si="0"/>
        <v>5000</v>
      </c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</row>
    <row r="49" spans="1:86" s="96" customFormat="1" ht="24">
      <c r="A49" s="39"/>
      <c r="B49" s="656">
        <v>34</v>
      </c>
      <c r="C49" s="678" t="s">
        <v>1222</v>
      </c>
      <c r="D49" s="658">
        <v>40011142</v>
      </c>
      <c r="E49" s="659" t="s">
        <v>3326</v>
      </c>
      <c r="F49" s="660" t="s">
        <v>146</v>
      </c>
      <c r="G49" s="661" t="s">
        <v>3242</v>
      </c>
      <c r="H49" s="661" t="s">
        <v>2046</v>
      </c>
      <c r="I49" s="663" t="s">
        <v>52</v>
      </c>
      <c r="J49" s="664" t="s">
        <v>3327</v>
      </c>
      <c r="K49" s="665">
        <v>0</v>
      </c>
      <c r="L49" s="665">
        <v>2066265</v>
      </c>
      <c r="M49" s="665">
        <v>0</v>
      </c>
      <c r="N49" s="665">
        <v>0</v>
      </c>
      <c r="O49" s="665">
        <v>0</v>
      </c>
      <c r="P49" s="665">
        <v>0</v>
      </c>
      <c r="Q49" s="665">
        <v>0</v>
      </c>
      <c r="R49" s="665">
        <v>0</v>
      </c>
      <c r="S49" s="665">
        <v>0</v>
      </c>
      <c r="T49" s="665">
        <v>0</v>
      </c>
      <c r="U49" s="665">
        <v>0</v>
      </c>
      <c r="V49" s="665"/>
      <c r="W49" s="665"/>
      <c r="X49" s="665"/>
      <c r="Y49" s="665">
        <f t="shared" si="1"/>
        <v>0</v>
      </c>
      <c r="Z49" s="666">
        <v>70000</v>
      </c>
      <c r="AA49" s="667" t="s">
        <v>3318</v>
      </c>
      <c r="AB49" s="668">
        <v>44232</v>
      </c>
      <c r="AC49" s="668">
        <v>44250</v>
      </c>
      <c r="AD49" s="669"/>
      <c r="AE49" s="344"/>
      <c r="AF49" s="360"/>
      <c r="AG49" s="668"/>
      <c r="AH49" s="671"/>
      <c r="AI49" s="672"/>
      <c r="AJ49" s="360"/>
      <c r="AK49" s="673"/>
      <c r="AL49" s="666"/>
      <c r="AM49" s="672"/>
      <c r="AN49" s="360"/>
      <c r="AO49" s="673"/>
      <c r="AP49" s="674"/>
      <c r="AQ49" s="672"/>
      <c r="AR49" s="360"/>
      <c r="AS49" s="673"/>
      <c r="AT49" s="675">
        <f t="shared" si="2"/>
        <v>70000</v>
      </c>
      <c r="AU49" s="676">
        <f t="shared" si="0"/>
        <v>70000</v>
      </c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</row>
    <row r="50" spans="1:86" s="96" customFormat="1" ht="25.5" customHeight="1">
      <c r="A50" s="39"/>
      <c r="B50" s="656">
        <v>35</v>
      </c>
      <c r="C50" s="678" t="s">
        <v>1222</v>
      </c>
      <c r="D50" s="658">
        <v>40012960</v>
      </c>
      <c r="E50" s="659" t="s">
        <v>3328</v>
      </c>
      <c r="F50" s="660" t="s">
        <v>146</v>
      </c>
      <c r="G50" s="661" t="s">
        <v>3242</v>
      </c>
      <c r="H50" s="661" t="s">
        <v>3264</v>
      </c>
      <c r="I50" s="663" t="s">
        <v>52</v>
      </c>
      <c r="J50" s="664" t="s">
        <v>3329</v>
      </c>
      <c r="K50" s="665">
        <v>0</v>
      </c>
      <c r="L50" s="665">
        <v>107362</v>
      </c>
      <c r="M50" s="665">
        <v>0</v>
      </c>
      <c r="N50" s="665">
        <v>0</v>
      </c>
      <c r="O50" s="665">
        <v>0</v>
      </c>
      <c r="P50" s="665">
        <v>0</v>
      </c>
      <c r="Q50" s="665">
        <v>0</v>
      </c>
      <c r="R50" s="665">
        <v>0</v>
      </c>
      <c r="S50" s="665">
        <v>0</v>
      </c>
      <c r="T50" s="665">
        <v>0</v>
      </c>
      <c r="U50" s="665">
        <v>0</v>
      </c>
      <c r="V50" s="665"/>
      <c r="W50" s="665"/>
      <c r="X50" s="665"/>
      <c r="Y50" s="665">
        <f t="shared" si="1"/>
        <v>0</v>
      </c>
      <c r="Z50" s="666">
        <v>50000</v>
      </c>
      <c r="AA50" s="667" t="s">
        <v>3318</v>
      </c>
      <c r="AB50" s="668">
        <v>44232</v>
      </c>
      <c r="AC50" s="668">
        <v>44250</v>
      </c>
      <c r="AD50" s="669"/>
      <c r="AE50" s="344"/>
      <c r="AF50" s="360"/>
      <c r="AG50" s="668"/>
      <c r="AH50" s="671"/>
      <c r="AI50" s="672"/>
      <c r="AJ50" s="360"/>
      <c r="AK50" s="673"/>
      <c r="AL50" s="666"/>
      <c r="AM50" s="672"/>
      <c r="AN50" s="360"/>
      <c r="AO50" s="673"/>
      <c r="AP50" s="674"/>
      <c r="AQ50" s="672"/>
      <c r="AR50" s="360"/>
      <c r="AS50" s="673"/>
      <c r="AT50" s="675">
        <f t="shared" si="2"/>
        <v>50000</v>
      </c>
      <c r="AU50" s="676">
        <f t="shared" si="0"/>
        <v>50000</v>
      </c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</row>
    <row r="51" spans="1:86" s="96" customFormat="1" ht="24">
      <c r="A51" s="39"/>
      <c r="B51" s="656">
        <v>36</v>
      </c>
      <c r="C51" s="678" t="s">
        <v>1222</v>
      </c>
      <c r="D51" s="658">
        <v>40013162</v>
      </c>
      <c r="E51" s="659" t="s">
        <v>3330</v>
      </c>
      <c r="F51" s="660" t="s">
        <v>146</v>
      </c>
      <c r="G51" s="661" t="s">
        <v>3242</v>
      </c>
      <c r="H51" s="661" t="s">
        <v>3264</v>
      </c>
      <c r="I51" s="663" t="s">
        <v>52</v>
      </c>
      <c r="J51" s="664" t="s">
        <v>3331</v>
      </c>
      <c r="K51" s="665">
        <v>0</v>
      </c>
      <c r="L51" s="665">
        <v>0</v>
      </c>
      <c r="M51" s="665">
        <v>0</v>
      </c>
      <c r="N51" s="665">
        <v>0</v>
      </c>
      <c r="O51" s="665">
        <v>0</v>
      </c>
      <c r="P51" s="665">
        <v>0</v>
      </c>
      <c r="Q51" s="665">
        <v>0</v>
      </c>
      <c r="R51" s="665">
        <v>0</v>
      </c>
      <c r="S51" s="665">
        <v>0</v>
      </c>
      <c r="T51" s="665">
        <v>0</v>
      </c>
      <c r="U51" s="665">
        <v>0</v>
      </c>
      <c r="V51" s="665"/>
      <c r="W51" s="665"/>
      <c r="X51" s="665"/>
      <c r="Y51" s="665">
        <f t="shared" si="1"/>
        <v>0</v>
      </c>
      <c r="Z51" s="666">
        <v>1</v>
      </c>
      <c r="AA51" s="667" t="s">
        <v>3318</v>
      </c>
      <c r="AB51" s="668">
        <v>44232</v>
      </c>
      <c r="AC51" s="668">
        <v>44250</v>
      </c>
      <c r="AD51" s="669"/>
      <c r="AE51" s="344"/>
      <c r="AF51" s="360"/>
      <c r="AG51" s="668"/>
      <c r="AH51" s="671"/>
      <c r="AI51" s="672"/>
      <c r="AJ51" s="360"/>
      <c r="AK51" s="673"/>
      <c r="AL51" s="666"/>
      <c r="AM51" s="672"/>
      <c r="AN51" s="360"/>
      <c r="AO51" s="673"/>
      <c r="AP51" s="674"/>
      <c r="AQ51" s="672"/>
      <c r="AR51" s="360"/>
      <c r="AS51" s="673"/>
      <c r="AT51" s="675">
        <f t="shared" si="2"/>
        <v>1</v>
      </c>
      <c r="AU51" s="676">
        <f t="shared" si="0"/>
        <v>1</v>
      </c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</row>
    <row r="52" spans="1:86" s="96" customFormat="1" ht="24">
      <c r="A52" s="39"/>
      <c r="B52" s="656">
        <v>37</v>
      </c>
      <c r="C52" s="678" t="s">
        <v>1222</v>
      </c>
      <c r="D52" s="658">
        <v>40013267</v>
      </c>
      <c r="E52" s="659" t="s">
        <v>3332</v>
      </c>
      <c r="F52" s="660" t="s">
        <v>146</v>
      </c>
      <c r="G52" s="661" t="s">
        <v>3242</v>
      </c>
      <c r="H52" s="661" t="s">
        <v>2046</v>
      </c>
      <c r="I52" s="663" t="s">
        <v>52</v>
      </c>
      <c r="J52" s="664" t="s">
        <v>3333</v>
      </c>
      <c r="K52" s="665">
        <v>0</v>
      </c>
      <c r="L52" s="665">
        <v>46352</v>
      </c>
      <c r="M52" s="665">
        <v>0</v>
      </c>
      <c r="N52" s="665">
        <v>0</v>
      </c>
      <c r="O52" s="665">
        <v>0</v>
      </c>
      <c r="P52" s="665">
        <v>0</v>
      </c>
      <c r="Q52" s="665">
        <v>0</v>
      </c>
      <c r="R52" s="665">
        <v>0</v>
      </c>
      <c r="S52" s="665">
        <v>65000</v>
      </c>
      <c r="T52" s="665">
        <v>0</v>
      </c>
      <c r="U52" s="665">
        <v>0</v>
      </c>
      <c r="V52" s="665"/>
      <c r="W52" s="665"/>
      <c r="X52" s="665"/>
      <c r="Y52" s="665">
        <f t="shared" si="1"/>
        <v>65000</v>
      </c>
      <c r="Z52" s="666">
        <v>11000</v>
      </c>
      <c r="AA52" s="667" t="s">
        <v>3318</v>
      </c>
      <c r="AB52" s="668">
        <v>44232</v>
      </c>
      <c r="AC52" s="668">
        <v>44250</v>
      </c>
      <c r="AD52" s="669"/>
      <c r="AE52" s="344"/>
      <c r="AF52" s="360"/>
      <c r="AG52" s="668"/>
      <c r="AH52" s="671"/>
      <c r="AI52" s="672"/>
      <c r="AJ52" s="360"/>
      <c r="AK52" s="673"/>
      <c r="AL52" s="666"/>
      <c r="AM52" s="672"/>
      <c r="AN52" s="360"/>
      <c r="AO52" s="673"/>
      <c r="AP52" s="674"/>
      <c r="AQ52" s="672"/>
      <c r="AR52" s="360"/>
      <c r="AS52" s="673"/>
      <c r="AT52" s="675">
        <f t="shared" si="2"/>
        <v>11000</v>
      </c>
      <c r="AU52" s="676">
        <f t="shared" si="0"/>
        <v>-54000</v>
      </c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</row>
    <row r="53" spans="1:86" s="96" customFormat="1" ht="24">
      <c r="A53" s="39"/>
      <c r="B53" s="656">
        <v>38</v>
      </c>
      <c r="C53" s="683" t="s">
        <v>1226</v>
      </c>
      <c r="D53" s="658">
        <v>30119286</v>
      </c>
      <c r="E53" s="659" t="s">
        <v>3334</v>
      </c>
      <c r="F53" s="660" t="s">
        <v>146</v>
      </c>
      <c r="G53" s="661" t="s">
        <v>3242</v>
      </c>
      <c r="H53" s="661" t="s">
        <v>3335</v>
      </c>
      <c r="I53" s="663" t="s">
        <v>52</v>
      </c>
      <c r="J53" s="664" t="s">
        <v>3336</v>
      </c>
      <c r="K53" s="665">
        <v>0</v>
      </c>
      <c r="L53" s="665">
        <v>0</v>
      </c>
      <c r="M53" s="665">
        <v>0</v>
      </c>
      <c r="N53" s="665">
        <v>0</v>
      </c>
      <c r="O53" s="665">
        <v>0</v>
      </c>
      <c r="P53" s="665">
        <v>0</v>
      </c>
      <c r="Q53" s="665">
        <v>0</v>
      </c>
      <c r="R53" s="677">
        <v>14800</v>
      </c>
      <c r="S53" s="665">
        <v>0</v>
      </c>
      <c r="T53" s="665">
        <v>0</v>
      </c>
      <c r="U53" s="665">
        <v>0</v>
      </c>
      <c r="V53" s="665"/>
      <c r="W53" s="665"/>
      <c r="X53" s="665"/>
      <c r="Y53" s="665">
        <f t="shared" si="1"/>
        <v>14800</v>
      </c>
      <c r="Z53" s="666">
        <v>16000</v>
      </c>
      <c r="AA53" s="667" t="s">
        <v>3318</v>
      </c>
      <c r="AB53" s="668">
        <v>44232</v>
      </c>
      <c r="AC53" s="668">
        <v>44250</v>
      </c>
      <c r="AD53" s="669">
        <v>-6000</v>
      </c>
      <c r="AE53" s="672">
        <v>38</v>
      </c>
      <c r="AF53" s="670">
        <v>44385</v>
      </c>
      <c r="AG53" s="670">
        <v>44392</v>
      </c>
      <c r="AH53" s="669">
        <v>0</v>
      </c>
      <c r="AI53" s="672">
        <v>39</v>
      </c>
      <c r="AJ53" s="360"/>
      <c r="AK53" s="668"/>
      <c r="AL53" s="666"/>
      <c r="AM53" s="672"/>
      <c r="AN53" s="360"/>
      <c r="AO53" s="673"/>
      <c r="AP53" s="674"/>
      <c r="AQ53" s="672"/>
      <c r="AR53" s="360"/>
      <c r="AS53" s="673"/>
      <c r="AT53" s="675">
        <f t="shared" si="2"/>
        <v>10000</v>
      </c>
      <c r="AU53" s="676">
        <f t="shared" si="0"/>
        <v>-4800</v>
      </c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</row>
    <row r="54" spans="1:86" s="96" customFormat="1" ht="24">
      <c r="A54" s="39"/>
      <c r="B54" s="656">
        <v>39</v>
      </c>
      <c r="C54" s="683" t="s">
        <v>1226</v>
      </c>
      <c r="D54" s="658">
        <v>30133087</v>
      </c>
      <c r="E54" s="659" t="s">
        <v>3337</v>
      </c>
      <c r="F54" s="660" t="s">
        <v>158</v>
      </c>
      <c r="G54" s="661" t="s">
        <v>3242</v>
      </c>
      <c r="H54" s="661" t="s">
        <v>3338</v>
      </c>
      <c r="I54" s="663" t="s">
        <v>52</v>
      </c>
      <c r="J54" s="664" t="s">
        <v>3339</v>
      </c>
      <c r="K54" s="665">
        <v>0</v>
      </c>
      <c r="L54" s="665">
        <v>0</v>
      </c>
      <c r="M54" s="665">
        <v>0</v>
      </c>
      <c r="N54" s="665">
        <v>0</v>
      </c>
      <c r="O54" s="665">
        <v>0</v>
      </c>
      <c r="P54" s="665">
        <v>0</v>
      </c>
      <c r="Q54" s="665">
        <v>0</v>
      </c>
      <c r="R54" s="665">
        <v>0</v>
      </c>
      <c r="S54" s="665">
        <v>0</v>
      </c>
      <c r="T54" s="665">
        <v>0</v>
      </c>
      <c r="U54" s="665">
        <v>0</v>
      </c>
      <c r="V54" s="665"/>
      <c r="W54" s="665"/>
      <c r="X54" s="665"/>
      <c r="Y54" s="665">
        <f t="shared" si="1"/>
        <v>0</v>
      </c>
      <c r="Z54" s="666">
        <v>5511</v>
      </c>
      <c r="AA54" s="667" t="s">
        <v>3318</v>
      </c>
      <c r="AB54" s="668">
        <v>44232</v>
      </c>
      <c r="AC54" s="668">
        <v>44250</v>
      </c>
      <c r="AD54" s="669"/>
      <c r="AE54" s="344"/>
      <c r="AF54" s="360"/>
      <c r="AG54" s="668"/>
      <c r="AH54" s="671"/>
      <c r="AI54" s="672"/>
      <c r="AJ54" s="360"/>
      <c r="AK54" s="673"/>
      <c r="AL54" s="666"/>
      <c r="AM54" s="672"/>
      <c r="AN54" s="360"/>
      <c r="AO54" s="673"/>
      <c r="AP54" s="674"/>
      <c r="AQ54" s="672"/>
      <c r="AR54" s="360"/>
      <c r="AS54" s="673"/>
      <c r="AT54" s="675">
        <f t="shared" si="2"/>
        <v>5511</v>
      </c>
      <c r="AU54" s="676">
        <f t="shared" si="0"/>
        <v>5511</v>
      </c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</row>
    <row r="55" spans="1:86" s="96" customFormat="1" ht="24.75" customHeight="1">
      <c r="A55" s="39"/>
      <c r="B55" s="656">
        <v>40</v>
      </c>
      <c r="C55" s="683" t="s">
        <v>1226</v>
      </c>
      <c r="D55" s="658">
        <v>30133425</v>
      </c>
      <c r="E55" s="659" t="s">
        <v>3340</v>
      </c>
      <c r="F55" s="660" t="s">
        <v>146</v>
      </c>
      <c r="G55" s="661" t="s">
        <v>3242</v>
      </c>
      <c r="H55" s="661" t="s">
        <v>3341</v>
      </c>
      <c r="I55" s="663" t="s">
        <v>52</v>
      </c>
      <c r="J55" s="664" t="s">
        <v>3342</v>
      </c>
      <c r="K55" s="665">
        <v>0</v>
      </c>
      <c r="L55" s="665">
        <v>0</v>
      </c>
      <c r="M55" s="665">
        <v>0</v>
      </c>
      <c r="N55" s="665">
        <v>0</v>
      </c>
      <c r="O55" s="665">
        <v>0</v>
      </c>
      <c r="P55" s="665">
        <v>403874</v>
      </c>
      <c r="Q55" s="665">
        <v>0</v>
      </c>
      <c r="R55" s="665">
        <v>1888</v>
      </c>
      <c r="S55" s="665">
        <f>445132+375868+1888</f>
        <v>822888</v>
      </c>
      <c r="T55" s="665">
        <v>391856</v>
      </c>
      <c r="U55" s="665">
        <v>1888</v>
      </c>
      <c r="V55" s="665"/>
      <c r="W55" s="665"/>
      <c r="X55" s="665"/>
      <c r="Y55" s="665">
        <f t="shared" si="1"/>
        <v>1622394</v>
      </c>
      <c r="Z55" s="666">
        <v>500000</v>
      </c>
      <c r="AA55" s="667" t="s">
        <v>3318</v>
      </c>
      <c r="AB55" s="668">
        <v>44232</v>
      </c>
      <c r="AC55" s="668">
        <v>44250</v>
      </c>
      <c r="AD55" s="669">
        <v>100000</v>
      </c>
      <c r="AE55" s="672">
        <v>25</v>
      </c>
      <c r="AF55" s="670">
        <v>44312</v>
      </c>
      <c r="AG55" s="670">
        <v>44328</v>
      </c>
      <c r="AH55" s="671"/>
      <c r="AI55" s="672"/>
      <c r="AJ55" s="360"/>
      <c r="AK55" s="673"/>
      <c r="AL55" s="666"/>
      <c r="AM55" s="672"/>
      <c r="AN55" s="360"/>
      <c r="AO55" s="673"/>
      <c r="AP55" s="674"/>
      <c r="AQ55" s="672"/>
      <c r="AR55" s="360"/>
      <c r="AS55" s="673"/>
      <c r="AT55" s="675">
        <f t="shared" si="2"/>
        <v>600000</v>
      </c>
      <c r="AU55" s="676">
        <f t="shared" si="0"/>
        <v>-1022394</v>
      </c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</row>
    <row r="56" spans="1:86" s="96" customFormat="1" ht="24">
      <c r="A56" s="39"/>
      <c r="B56" s="656">
        <v>41</v>
      </c>
      <c r="C56" s="683" t="s">
        <v>1226</v>
      </c>
      <c r="D56" s="658" t="s">
        <v>3343</v>
      </c>
      <c r="E56" s="659" t="s">
        <v>3344</v>
      </c>
      <c r="F56" s="660" t="s">
        <v>146</v>
      </c>
      <c r="G56" s="661" t="s">
        <v>3242</v>
      </c>
      <c r="H56" s="661" t="s">
        <v>3272</v>
      </c>
      <c r="I56" s="663" t="s">
        <v>52</v>
      </c>
      <c r="J56" s="664" t="s">
        <v>3345</v>
      </c>
      <c r="K56" s="665">
        <v>0</v>
      </c>
      <c r="L56" s="665">
        <v>0</v>
      </c>
      <c r="M56" s="665">
        <v>0</v>
      </c>
      <c r="N56" s="665">
        <v>0</v>
      </c>
      <c r="O56" s="665">
        <v>0</v>
      </c>
      <c r="P56" s="665">
        <v>0</v>
      </c>
      <c r="Q56" s="677">
        <v>1500</v>
      </c>
      <c r="R56" s="665">
        <v>102692</v>
      </c>
      <c r="S56" s="665">
        <f>1500+47019</f>
        <v>48519</v>
      </c>
      <c r="T56" s="665">
        <f>1500+114511+1500</f>
        <v>117511</v>
      </c>
      <c r="U56" s="665">
        <v>168498</v>
      </c>
      <c r="V56" s="665"/>
      <c r="W56" s="665"/>
      <c r="X56" s="665"/>
      <c r="Y56" s="665">
        <f t="shared" si="1"/>
        <v>438720</v>
      </c>
      <c r="Z56" s="666">
        <v>15000</v>
      </c>
      <c r="AA56" s="667" t="s">
        <v>3318</v>
      </c>
      <c r="AB56" s="668">
        <v>44232</v>
      </c>
      <c r="AC56" s="668">
        <v>44250</v>
      </c>
      <c r="AD56" s="669">
        <v>585000</v>
      </c>
      <c r="AE56" s="672">
        <v>25</v>
      </c>
      <c r="AF56" s="670">
        <v>44312</v>
      </c>
      <c r="AG56" s="670">
        <v>44328</v>
      </c>
      <c r="AH56" s="669">
        <v>371994</v>
      </c>
      <c r="AI56" s="672">
        <v>37</v>
      </c>
      <c r="AJ56" s="668">
        <v>44371</v>
      </c>
      <c r="AK56" s="668">
        <v>44379</v>
      </c>
      <c r="AL56" s="666"/>
      <c r="AM56" s="672"/>
      <c r="AN56" s="360"/>
      <c r="AO56" s="673"/>
      <c r="AP56" s="674"/>
      <c r="AQ56" s="672"/>
      <c r="AR56" s="360"/>
      <c r="AS56" s="673"/>
      <c r="AT56" s="675">
        <f t="shared" si="2"/>
        <v>971994</v>
      </c>
      <c r="AU56" s="676">
        <f t="shared" si="0"/>
        <v>533274</v>
      </c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</row>
    <row r="57" spans="1:86" s="96" customFormat="1" ht="20.25" customHeight="1">
      <c r="A57" s="39"/>
      <c r="B57" s="656">
        <v>42</v>
      </c>
      <c r="C57" s="683" t="s">
        <v>1226</v>
      </c>
      <c r="D57" s="658">
        <v>30386411</v>
      </c>
      <c r="E57" s="659" t="s">
        <v>3346</v>
      </c>
      <c r="F57" s="660" t="s">
        <v>158</v>
      </c>
      <c r="G57" s="661" t="s">
        <v>3242</v>
      </c>
      <c r="H57" s="661" t="s">
        <v>3347</v>
      </c>
      <c r="I57" s="663" t="s">
        <v>52</v>
      </c>
      <c r="J57" s="664" t="s">
        <v>3348</v>
      </c>
      <c r="K57" s="665">
        <v>0</v>
      </c>
      <c r="L57" s="665">
        <v>24395</v>
      </c>
      <c r="M57" s="665">
        <v>0</v>
      </c>
      <c r="N57" s="665">
        <v>0</v>
      </c>
      <c r="O57" s="665">
        <v>0</v>
      </c>
      <c r="P57" s="665">
        <v>0</v>
      </c>
      <c r="Q57" s="665">
        <v>33000</v>
      </c>
      <c r="R57" s="665">
        <v>0</v>
      </c>
      <c r="S57" s="665">
        <v>33000</v>
      </c>
      <c r="T57" s="665">
        <v>0</v>
      </c>
      <c r="U57" s="665">
        <v>33000</v>
      </c>
      <c r="V57" s="665"/>
      <c r="W57" s="665"/>
      <c r="X57" s="665"/>
      <c r="Y57" s="665">
        <f t="shared" si="1"/>
        <v>99000</v>
      </c>
      <c r="Z57" s="666">
        <v>5000</v>
      </c>
      <c r="AA57" s="667" t="s">
        <v>3318</v>
      </c>
      <c r="AB57" s="668">
        <v>44232</v>
      </c>
      <c r="AC57" s="668">
        <v>44250</v>
      </c>
      <c r="AD57" s="669">
        <v>70000</v>
      </c>
      <c r="AE57" s="344">
        <v>9</v>
      </c>
      <c r="AF57" s="668">
        <v>44455</v>
      </c>
      <c r="AG57" s="668">
        <v>44284</v>
      </c>
      <c r="AH57" s="671"/>
      <c r="AI57" s="672"/>
      <c r="AJ57" s="360"/>
      <c r="AK57" s="673"/>
      <c r="AL57" s="666"/>
      <c r="AM57" s="672"/>
      <c r="AN57" s="360"/>
      <c r="AO57" s="673"/>
      <c r="AP57" s="674"/>
      <c r="AQ57" s="672"/>
      <c r="AR57" s="360"/>
      <c r="AS57" s="673"/>
      <c r="AT57" s="675">
        <f t="shared" si="2"/>
        <v>75000</v>
      </c>
      <c r="AU57" s="676">
        <f t="shared" si="0"/>
        <v>-24000</v>
      </c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</row>
    <row r="58" spans="1:86" s="96" customFormat="1" ht="21" customHeight="1">
      <c r="A58" s="39"/>
      <c r="B58" s="656">
        <v>43</v>
      </c>
      <c r="C58" s="683" t="s">
        <v>1226</v>
      </c>
      <c r="D58" s="658">
        <v>30479905</v>
      </c>
      <c r="E58" s="659" t="s">
        <v>3349</v>
      </c>
      <c r="F58" s="660" t="s">
        <v>158</v>
      </c>
      <c r="G58" s="661" t="s">
        <v>3242</v>
      </c>
      <c r="H58" s="661" t="s">
        <v>3264</v>
      </c>
      <c r="I58" s="663" t="s">
        <v>52</v>
      </c>
      <c r="J58" s="664" t="s">
        <v>3350</v>
      </c>
      <c r="K58" s="665">
        <v>0</v>
      </c>
      <c r="L58" s="665">
        <v>0</v>
      </c>
      <c r="M58" s="665">
        <v>0</v>
      </c>
      <c r="N58" s="665">
        <v>0</v>
      </c>
      <c r="O58" s="665">
        <v>0</v>
      </c>
      <c r="P58" s="665">
        <v>0</v>
      </c>
      <c r="Q58" s="665">
        <v>0</v>
      </c>
      <c r="R58" s="665">
        <v>0</v>
      </c>
      <c r="S58" s="665">
        <v>0</v>
      </c>
      <c r="T58" s="665">
        <v>0</v>
      </c>
      <c r="U58" s="665">
        <v>0</v>
      </c>
      <c r="V58" s="665"/>
      <c r="W58" s="665"/>
      <c r="X58" s="665"/>
      <c r="Y58" s="665">
        <f t="shared" si="1"/>
        <v>0</v>
      </c>
      <c r="Z58" s="666">
        <v>10000</v>
      </c>
      <c r="AA58" s="667" t="s">
        <v>3318</v>
      </c>
      <c r="AB58" s="668">
        <v>44232</v>
      </c>
      <c r="AC58" s="668">
        <v>44250</v>
      </c>
      <c r="AD58" s="669"/>
      <c r="AE58" s="344"/>
      <c r="AF58" s="360"/>
      <c r="AG58" s="668"/>
      <c r="AH58" s="671"/>
      <c r="AI58" s="672"/>
      <c r="AJ58" s="360"/>
      <c r="AK58" s="673"/>
      <c r="AL58" s="666"/>
      <c r="AM58" s="672"/>
      <c r="AN58" s="360"/>
      <c r="AO58" s="673"/>
      <c r="AP58" s="674"/>
      <c r="AQ58" s="672"/>
      <c r="AR58" s="360"/>
      <c r="AS58" s="673"/>
      <c r="AT58" s="675">
        <f t="shared" si="2"/>
        <v>10000</v>
      </c>
      <c r="AU58" s="676">
        <f t="shared" si="0"/>
        <v>10000</v>
      </c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</row>
    <row r="59" spans="1:86" s="96" customFormat="1" ht="24">
      <c r="A59" s="39"/>
      <c r="B59" s="656">
        <v>44</v>
      </c>
      <c r="C59" s="683" t="s">
        <v>1226</v>
      </c>
      <c r="D59" s="658">
        <v>30480682</v>
      </c>
      <c r="E59" s="659" t="s">
        <v>3351</v>
      </c>
      <c r="F59" s="660" t="s">
        <v>146</v>
      </c>
      <c r="G59" s="661" t="s">
        <v>3242</v>
      </c>
      <c r="H59" s="661" t="s">
        <v>3341</v>
      </c>
      <c r="I59" s="663" t="s">
        <v>52</v>
      </c>
      <c r="J59" s="664" t="s">
        <v>3352</v>
      </c>
      <c r="K59" s="665">
        <v>0</v>
      </c>
      <c r="L59" s="665">
        <v>0</v>
      </c>
      <c r="M59" s="665">
        <v>0</v>
      </c>
      <c r="N59" s="665">
        <v>0</v>
      </c>
      <c r="O59" s="665">
        <v>0</v>
      </c>
      <c r="P59" s="665">
        <v>0</v>
      </c>
      <c r="Q59" s="665">
        <v>0</v>
      </c>
      <c r="R59" s="665">
        <v>0</v>
      </c>
      <c r="S59" s="665">
        <v>0</v>
      </c>
      <c r="T59" s="665">
        <v>0</v>
      </c>
      <c r="U59" s="665">
        <v>0</v>
      </c>
      <c r="V59" s="665"/>
      <c r="W59" s="665"/>
      <c r="X59" s="665"/>
      <c r="Y59" s="665">
        <f t="shared" si="1"/>
        <v>0</v>
      </c>
      <c r="Z59" s="666">
        <v>100000</v>
      </c>
      <c r="AA59" s="667" t="s">
        <v>3318</v>
      </c>
      <c r="AB59" s="668">
        <v>44232</v>
      </c>
      <c r="AC59" s="668">
        <v>44250</v>
      </c>
      <c r="AD59" s="669"/>
      <c r="AE59" s="344"/>
      <c r="AF59" s="360"/>
      <c r="AG59" s="668"/>
      <c r="AH59" s="671"/>
      <c r="AI59" s="672"/>
      <c r="AJ59" s="360"/>
      <c r="AK59" s="673"/>
      <c r="AL59" s="666"/>
      <c r="AM59" s="672"/>
      <c r="AN59" s="360"/>
      <c r="AO59" s="673"/>
      <c r="AP59" s="674"/>
      <c r="AQ59" s="672"/>
      <c r="AR59" s="360"/>
      <c r="AS59" s="673"/>
      <c r="AT59" s="675">
        <f t="shared" si="2"/>
        <v>100000</v>
      </c>
      <c r="AU59" s="676">
        <f t="shared" si="0"/>
        <v>100000</v>
      </c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</row>
    <row r="60" spans="1:86" s="96" customFormat="1" ht="20.25" customHeight="1">
      <c r="A60" s="39"/>
      <c r="B60" s="656">
        <v>45</v>
      </c>
      <c r="C60" s="683" t="s">
        <v>1226</v>
      </c>
      <c r="D60" s="658">
        <v>30480963</v>
      </c>
      <c r="E60" s="659" t="s">
        <v>3353</v>
      </c>
      <c r="F60" s="660" t="s">
        <v>158</v>
      </c>
      <c r="G60" s="661" t="s">
        <v>3242</v>
      </c>
      <c r="H60" s="661" t="s">
        <v>3288</v>
      </c>
      <c r="I60" s="663" t="s">
        <v>52</v>
      </c>
      <c r="J60" s="664" t="s">
        <v>3354</v>
      </c>
      <c r="K60" s="665">
        <v>0</v>
      </c>
      <c r="L60" s="665">
        <v>0</v>
      </c>
      <c r="M60" s="665">
        <v>0</v>
      </c>
      <c r="N60" s="665">
        <v>0</v>
      </c>
      <c r="O60" s="665">
        <v>0</v>
      </c>
      <c r="P60" s="665">
        <v>0</v>
      </c>
      <c r="Q60" s="665">
        <v>0</v>
      </c>
      <c r="R60" s="665">
        <v>0</v>
      </c>
      <c r="S60" s="665">
        <v>0</v>
      </c>
      <c r="T60" s="665">
        <v>186527</v>
      </c>
      <c r="U60" s="665">
        <v>0</v>
      </c>
      <c r="V60" s="665"/>
      <c r="W60" s="665"/>
      <c r="X60" s="665"/>
      <c r="Y60" s="665">
        <f t="shared" si="1"/>
        <v>186527</v>
      </c>
      <c r="Z60" s="666">
        <v>1</v>
      </c>
      <c r="AA60" s="667" t="s">
        <v>3318</v>
      </c>
      <c r="AB60" s="668">
        <v>44232</v>
      </c>
      <c r="AC60" s="668">
        <v>44250</v>
      </c>
      <c r="AD60" s="669"/>
      <c r="AE60" s="344"/>
      <c r="AF60" s="360"/>
      <c r="AG60" s="668"/>
      <c r="AH60" s="671"/>
      <c r="AI60" s="672"/>
      <c r="AJ60" s="360"/>
      <c r="AK60" s="673"/>
      <c r="AL60" s="666"/>
      <c r="AM60" s="672"/>
      <c r="AN60" s="360"/>
      <c r="AO60" s="673"/>
      <c r="AP60" s="674"/>
      <c r="AQ60" s="672"/>
      <c r="AR60" s="360"/>
      <c r="AS60" s="673"/>
      <c r="AT60" s="675">
        <f t="shared" si="2"/>
        <v>1</v>
      </c>
      <c r="AU60" s="676">
        <f t="shared" si="0"/>
        <v>-186526</v>
      </c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</row>
    <row r="61" spans="1:86" s="96" customFormat="1" ht="19.5" customHeight="1">
      <c r="A61" s="39"/>
      <c r="B61" s="656">
        <v>46</v>
      </c>
      <c r="C61" s="683" t="s">
        <v>1226</v>
      </c>
      <c r="D61" s="658">
        <v>30483692</v>
      </c>
      <c r="E61" s="659" t="s">
        <v>3355</v>
      </c>
      <c r="F61" s="660" t="s">
        <v>146</v>
      </c>
      <c r="G61" s="661" t="s">
        <v>3242</v>
      </c>
      <c r="H61" s="661" t="s">
        <v>3267</v>
      </c>
      <c r="I61" s="663" t="s">
        <v>52</v>
      </c>
      <c r="J61" s="664" t="s">
        <v>3356</v>
      </c>
      <c r="K61" s="665">
        <v>0</v>
      </c>
      <c r="L61" s="665">
        <v>0</v>
      </c>
      <c r="M61" s="665">
        <v>0</v>
      </c>
      <c r="N61" s="665">
        <v>0</v>
      </c>
      <c r="O61" s="665">
        <v>0</v>
      </c>
      <c r="P61" s="665">
        <v>0</v>
      </c>
      <c r="Q61" s="665">
        <v>0</v>
      </c>
      <c r="R61" s="665">
        <v>48495</v>
      </c>
      <c r="S61" s="665"/>
      <c r="T61" s="665"/>
      <c r="U61" s="665"/>
      <c r="V61" s="665"/>
      <c r="W61" s="665"/>
      <c r="X61" s="665"/>
      <c r="Y61" s="665">
        <f t="shared" si="1"/>
        <v>48495</v>
      </c>
      <c r="Z61" s="666">
        <v>40000</v>
      </c>
      <c r="AA61" s="667" t="s">
        <v>3318</v>
      </c>
      <c r="AB61" s="668">
        <v>44232</v>
      </c>
      <c r="AC61" s="668">
        <v>44250</v>
      </c>
      <c r="AD61" s="669">
        <v>8495</v>
      </c>
      <c r="AE61" s="680">
        <v>19</v>
      </c>
      <c r="AF61" s="670">
        <v>44271</v>
      </c>
      <c r="AG61" s="670">
        <v>44312</v>
      </c>
      <c r="AH61" s="671"/>
      <c r="AI61" s="672"/>
      <c r="AJ61" s="360"/>
      <c r="AK61" s="673"/>
      <c r="AL61" s="666"/>
      <c r="AM61" s="672"/>
      <c r="AN61" s="360"/>
      <c r="AO61" s="673"/>
      <c r="AP61" s="674"/>
      <c r="AQ61" s="672"/>
      <c r="AR61" s="360"/>
      <c r="AS61" s="673"/>
      <c r="AT61" s="675">
        <f t="shared" si="2"/>
        <v>48495</v>
      </c>
      <c r="AU61" s="676">
        <f t="shared" si="0"/>
        <v>0</v>
      </c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</row>
    <row r="62" spans="1:86" s="96" customFormat="1" ht="24">
      <c r="A62" s="39"/>
      <c r="B62" s="656">
        <v>47</v>
      </c>
      <c r="C62" s="683" t="s">
        <v>1226</v>
      </c>
      <c r="D62" s="658">
        <v>30485780</v>
      </c>
      <c r="E62" s="659" t="s">
        <v>3357</v>
      </c>
      <c r="F62" s="660" t="s">
        <v>146</v>
      </c>
      <c r="G62" s="661" t="s">
        <v>3242</v>
      </c>
      <c r="H62" s="661" t="s">
        <v>3264</v>
      </c>
      <c r="I62" s="663" t="s">
        <v>52</v>
      </c>
      <c r="J62" s="664" t="s">
        <v>3358</v>
      </c>
      <c r="K62" s="665">
        <v>0</v>
      </c>
      <c r="L62" s="665">
        <v>0</v>
      </c>
      <c r="M62" s="665">
        <v>0</v>
      </c>
      <c r="N62" s="665">
        <v>0</v>
      </c>
      <c r="O62" s="665">
        <v>0</v>
      </c>
      <c r="P62" s="665">
        <v>0</v>
      </c>
      <c r="Q62" s="665">
        <v>0</v>
      </c>
      <c r="R62" s="665">
        <v>0</v>
      </c>
      <c r="S62" s="665">
        <v>0</v>
      </c>
      <c r="T62" s="665">
        <v>0</v>
      </c>
      <c r="U62" s="665">
        <v>0</v>
      </c>
      <c r="V62" s="665"/>
      <c r="W62" s="665"/>
      <c r="X62" s="665"/>
      <c r="Y62" s="665">
        <f t="shared" si="1"/>
        <v>0</v>
      </c>
      <c r="Z62" s="666">
        <v>1</v>
      </c>
      <c r="AA62" s="667" t="s">
        <v>3318</v>
      </c>
      <c r="AB62" s="668">
        <v>44232</v>
      </c>
      <c r="AC62" s="668">
        <v>44250</v>
      </c>
      <c r="AD62" s="669"/>
      <c r="AE62" s="344"/>
      <c r="AF62" s="360"/>
      <c r="AG62" s="668"/>
      <c r="AH62" s="671"/>
      <c r="AI62" s="672"/>
      <c r="AJ62" s="360"/>
      <c r="AK62" s="673"/>
      <c r="AL62" s="666"/>
      <c r="AM62" s="672"/>
      <c r="AN62" s="360"/>
      <c r="AO62" s="673"/>
      <c r="AP62" s="674"/>
      <c r="AQ62" s="672"/>
      <c r="AR62" s="360"/>
      <c r="AS62" s="673"/>
      <c r="AT62" s="675">
        <f t="shared" si="2"/>
        <v>1</v>
      </c>
      <c r="AU62" s="676">
        <f t="shared" si="0"/>
        <v>1</v>
      </c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</row>
    <row r="63" spans="1:86" s="96" customFormat="1" ht="24">
      <c r="A63" s="39"/>
      <c r="B63" s="656">
        <v>48</v>
      </c>
      <c r="C63" s="683" t="s">
        <v>1226</v>
      </c>
      <c r="D63" s="658">
        <v>40010037</v>
      </c>
      <c r="E63" s="659" t="s">
        <v>3359</v>
      </c>
      <c r="F63" s="660" t="s">
        <v>146</v>
      </c>
      <c r="G63" s="661" t="s">
        <v>3242</v>
      </c>
      <c r="H63" s="661" t="s">
        <v>3360</v>
      </c>
      <c r="I63" s="663" t="s">
        <v>52</v>
      </c>
      <c r="J63" s="664" t="s">
        <v>3361</v>
      </c>
      <c r="K63" s="665">
        <v>0</v>
      </c>
      <c r="L63" s="665">
        <v>0</v>
      </c>
      <c r="M63" s="665">
        <v>0</v>
      </c>
      <c r="N63" s="665">
        <v>0</v>
      </c>
      <c r="O63" s="665">
        <v>0</v>
      </c>
      <c r="P63" s="665">
        <v>0</v>
      </c>
      <c r="Q63" s="665">
        <v>0</v>
      </c>
      <c r="R63" s="665">
        <v>0</v>
      </c>
      <c r="S63" s="665">
        <v>0</v>
      </c>
      <c r="T63" s="665">
        <v>0</v>
      </c>
      <c r="U63" s="665">
        <v>0</v>
      </c>
      <c r="V63" s="665"/>
      <c r="W63" s="665"/>
      <c r="X63" s="665"/>
      <c r="Y63" s="665">
        <f t="shared" si="1"/>
        <v>0</v>
      </c>
      <c r="Z63" s="666">
        <v>10000</v>
      </c>
      <c r="AA63" s="667" t="s">
        <v>3318</v>
      </c>
      <c r="AB63" s="668">
        <v>44232</v>
      </c>
      <c r="AC63" s="668">
        <v>44250</v>
      </c>
      <c r="AD63" s="669"/>
      <c r="AE63" s="344"/>
      <c r="AF63" s="360"/>
      <c r="AG63" s="668"/>
      <c r="AH63" s="671"/>
      <c r="AI63" s="672"/>
      <c r="AJ63" s="360"/>
      <c r="AK63" s="673"/>
      <c r="AL63" s="666"/>
      <c r="AM63" s="672"/>
      <c r="AN63" s="360"/>
      <c r="AO63" s="673"/>
      <c r="AP63" s="674"/>
      <c r="AQ63" s="672"/>
      <c r="AR63" s="360"/>
      <c r="AS63" s="673"/>
      <c r="AT63" s="675">
        <f t="shared" si="2"/>
        <v>10000</v>
      </c>
      <c r="AU63" s="676">
        <f t="shared" si="0"/>
        <v>10000</v>
      </c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</row>
    <row r="64" spans="1:86" s="96" customFormat="1" ht="24">
      <c r="A64" s="39"/>
      <c r="B64" s="656">
        <v>49</v>
      </c>
      <c r="C64" s="683" t="s">
        <v>1226</v>
      </c>
      <c r="D64" s="658">
        <v>40010398</v>
      </c>
      <c r="E64" s="659" t="s">
        <v>3362</v>
      </c>
      <c r="F64" s="660" t="s">
        <v>158</v>
      </c>
      <c r="G64" s="661" t="s">
        <v>3242</v>
      </c>
      <c r="H64" s="661" t="s">
        <v>2046</v>
      </c>
      <c r="I64" s="663" t="s">
        <v>52</v>
      </c>
      <c r="J64" s="664" t="s">
        <v>3363</v>
      </c>
      <c r="K64" s="665">
        <v>0</v>
      </c>
      <c r="L64" s="665">
        <v>921</v>
      </c>
      <c r="M64" s="665">
        <v>0</v>
      </c>
      <c r="N64" s="665">
        <v>0</v>
      </c>
      <c r="O64" s="665">
        <v>0</v>
      </c>
      <c r="P64" s="665">
        <v>1174</v>
      </c>
      <c r="Q64" s="665">
        <v>0</v>
      </c>
      <c r="R64" s="665">
        <v>0</v>
      </c>
      <c r="S64" s="665">
        <v>0</v>
      </c>
      <c r="T64" s="665">
        <v>0</v>
      </c>
      <c r="U64" s="665">
        <v>0</v>
      </c>
      <c r="V64" s="665"/>
      <c r="W64" s="665"/>
      <c r="X64" s="665"/>
      <c r="Y64" s="665">
        <f t="shared" si="1"/>
        <v>1174</v>
      </c>
      <c r="Z64" s="666">
        <v>11200</v>
      </c>
      <c r="AA64" s="667" t="s">
        <v>3318</v>
      </c>
      <c r="AB64" s="668">
        <v>44232</v>
      </c>
      <c r="AC64" s="668">
        <v>44250</v>
      </c>
      <c r="AD64" s="669"/>
      <c r="AE64" s="344"/>
      <c r="AF64" s="360"/>
      <c r="AG64" s="668"/>
      <c r="AH64" s="671"/>
      <c r="AI64" s="672"/>
      <c r="AJ64" s="360"/>
      <c r="AK64" s="673"/>
      <c r="AL64" s="666"/>
      <c r="AM64" s="672"/>
      <c r="AN64" s="360"/>
      <c r="AO64" s="673"/>
      <c r="AP64" s="674"/>
      <c r="AQ64" s="672"/>
      <c r="AR64" s="360"/>
      <c r="AS64" s="673"/>
      <c r="AT64" s="675">
        <f t="shared" si="2"/>
        <v>11200</v>
      </c>
      <c r="AU64" s="676">
        <f t="shared" si="0"/>
        <v>10026</v>
      </c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</row>
    <row r="65" spans="1:86" s="96" customFormat="1" ht="24">
      <c r="A65" s="39"/>
      <c r="B65" s="656">
        <v>50</v>
      </c>
      <c r="C65" s="683" t="s">
        <v>1226</v>
      </c>
      <c r="D65" s="658">
        <v>40011235</v>
      </c>
      <c r="E65" s="659" t="s">
        <v>3364</v>
      </c>
      <c r="F65" s="660" t="s">
        <v>158</v>
      </c>
      <c r="G65" s="661" t="s">
        <v>3242</v>
      </c>
      <c r="H65" s="661" t="s">
        <v>3365</v>
      </c>
      <c r="I65" s="663" t="s">
        <v>52</v>
      </c>
      <c r="J65" s="664" t="s">
        <v>3366</v>
      </c>
      <c r="K65" s="665">
        <v>0</v>
      </c>
      <c r="L65" s="665">
        <v>0</v>
      </c>
      <c r="M65" s="665">
        <v>0</v>
      </c>
      <c r="N65" s="665">
        <v>0</v>
      </c>
      <c r="O65" s="665">
        <v>0</v>
      </c>
      <c r="P65" s="665">
        <v>0</v>
      </c>
      <c r="Q65" s="665">
        <v>0</v>
      </c>
      <c r="R65" s="665">
        <v>0</v>
      </c>
      <c r="S65" s="665">
        <v>0</v>
      </c>
      <c r="T65" s="665">
        <v>0</v>
      </c>
      <c r="U65" s="665">
        <v>0</v>
      </c>
      <c r="V65" s="665"/>
      <c r="W65" s="665"/>
      <c r="X65" s="665"/>
      <c r="Y65" s="665">
        <f t="shared" si="1"/>
        <v>0</v>
      </c>
      <c r="Z65" s="666">
        <v>5000</v>
      </c>
      <c r="AA65" s="667" t="s">
        <v>3318</v>
      </c>
      <c r="AB65" s="668">
        <v>44232</v>
      </c>
      <c r="AC65" s="668">
        <v>44250</v>
      </c>
      <c r="AD65" s="669"/>
      <c r="AE65" s="344"/>
      <c r="AF65" s="360"/>
      <c r="AG65" s="668"/>
      <c r="AH65" s="671"/>
      <c r="AI65" s="672"/>
      <c r="AJ65" s="360"/>
      <c r="AK65" s="673"/>
      <c r="AL65" s="666"/>
      <c r="AM65" s="672"/>
      <c r="AN65" s="360"/>
      <c r="AO65" s="673"/>
      <c r="AP65" s="674"/>
      <c r="AQ65" s="672"/>
      <c r="AR65" s="360"/>
      <c r="AS65" s="673"/>
      <c r="AT65" s="675">
        <f t="shared" si="2"/>
        <v>5000</v>
      </c>
      <c r="AU65" s="676">
        <f t="shared" si="0"/>
        <v>5000</v>
      </c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</row>
    <row r="66" spans="1:86" s="96" customFormat="1" ht="36">
      <c r="A66" s="39"/>
      <c r="B66" s="656">
        <v>51</v>
      </c>
      <c r="C66" s="683" t="s">
        <v>1226</v>
      </c>
      <c r="D66" s="658">
        <v>40011424</v>
      </c>
      <c r="E66" s="659" t="s">
        <v>3367</v>
      </c>
      <c r="F66" s="660" t="s">
        <v>146</v>
      </c>
      <c r="G66" s="661" t="s">
        <v>3242</v>
      </c>
      <c r="H66" s="661" t="s">
        <v>2046</v>
      </c>
      <c r="I66" s="663" t="s">
        <v>52</v>
      </c>
      <c r="J66" s="664" t="s">
        <v>3368</v>
      </c>
      <c r="K66" s="665">
        <v>0</v>
      </c>
      <c r="L66" s="665">
        <v>0</v>
      </c>
      <c r="M66" s="665">
        <v>0</v>
      </c>
      <c r="N66" s="665">
        <v>0</v>
      </c>
      <c r="O66" s="665">
        <v>0</v>
      </c>
      <c r="P66" s="665">
        <v>0</v>
      </c>
      <c r="Q66" s="665">
        <v>2000</v>
      </c>
      <c r="R66" s="665">
        <v>0</v>
      </c>
      <c r="S66" s="665">
        <v>0</v>
      </c>
      <c r="T66" s="665">
        <v>0</v>
      </c>
      <c r="U66" s="665">
        <v>0</v>
      </c>
      <c r="V66" s="665"/>
      <c r="W66" s="665"/>
      <c r="X66" s="665"/>
      <c r="Y66" s="665">
        <f t="shared" si="1"/>
        <v>2000</v>
      </c>
      <c r="Z66" s="666">
        <v>602097</v>
      </c>
      <c r="AA66" s="667" t="s">
        <v>3318</v>
      </c>
      <c r="AB66" s="668">
        <v>44232</v>
      </c>
      <c r="AC66" s="668">
        <v>44250</v>
      </c>
      <c r="AD66" s="669"/>
      <c r="AE66" s="344"/>
      <c r="AF66" s="360"/>
      <c r="AG66" s="668"/>
      <c r="AH66" s="671"/>
      <c r="AI66" s="672"/>
      <c r="AJ66" s="360"/>
      <c r="AK66" s="673"/>
      <c r="AL66" s="666"/>
      <c r="AM66" s="672"/>
      <c r="AN66" s="360"/>
      <c r="AO66" s="673"/>
      <c r="AP66" s="674"/>
      <c r="AQ66" s="672"/>
      <c r="AR66" s="360"/>
      <c r="AS66" s="673"/>
      <c r="AT66" s="675">
        <f t="shared" si="2"/>
        <v>602097</v>
      </c>
      <c r="AU66" s="676">
        <f t="shared" si="0"/>
        <v>600097</v>
      </c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</row>
    <row r="67" spans="1:86" s="96" customFormat="1" ht="36">
      <c r="A67" s="39"/>
      <c r="B67" s="656">
        <v>52</v>
      </c>
      <c r="C67" s="683" t="s">
        <v>1226</v>
      </c>
      <c r="D67" s="658">
        <v>40011449</v>
      </c>
      <c r="E67" s="659" t="s">
        <v>3369</v>
      </c>
      <c r="F67" s="660" t="s">
        <v>146</v>
      </c>
      <c r="G67" s="661" t="s">
        <v>3242</v>
      </c>
      <c r="H67" s="661" t="s">
        <v>2046</v>
      </c>
      <c r="I67" s="663" t="s">
        <v>52</v>
      </c>
      <c r="J67" s="664" t="s">
        <v>3370</v>
      </c>
      <c r="K67" s="665">
        <v>0</v>
      </c>
      <c r="L67" s="665">
        <v>773969</v>
      </c>
      <c r="M67" s="665">
        <v>0</v>
      </c>
      <c r="N67" s="665">
        <v>0</v>
      </c>
      <c r="O67" s="665">
        <v>0</v>
      </c>
      <c r="P67" s="665">
        <v>0</v>
      </c>
      <c r="Q67" s="665">
        <v>0</v>
      </c>
      <c r="R67" s="665">
        <v>2000</v>
      </c>
      <c r="S67" s="665">
        <v>0</v>
      </c>
      <c r="T67" s="665">
        <v>0</v>
      </c>
      <c r="U67" s="665">
        <v>0</v>
      </c>
      <c r="V67" s="665"/>
      <c r="W67" s="665"/>
      <c r="X67" s="665"/>
      <c r="Y67" s="665">
        <f t="shared" si="1"/>
        <v>2000</v>
      </c>
      <c r="Z67" s="666">
        <v>400000</v>
      </c>
      <c r="AA67" s="667" t="s">
        <v>3318</v>
      </c>
      <c r="AB67" s="668">
        <v>44232</v>
      </c>
      <c r="AC67" s="668">
        <v>44250</v>
      </c>
      <c r="AD67" s="669">
        <v>-50000</v>
      </c>
      <c r="AE67" s="672">
        <v>33</v>
      </c>
      <c r="AF67" s="670">
        <v>44350</v>
      </c>
      <c r="AG67" s="670">
        <v>44369</v>
      </c>
      <c r="AH67" s="669">
        <v>640000</v>
      </c>
      <c r="AI67" s="672">
        <v>38</v>
      </c>
      <c r="AJ67" s="670">
        <v>44385</v>
      </c>
      <c r="AK67" s="670">
        <v>44392</v>
      </c>
      <c r="AL67" s="666"/>
      <c r="AM67" s="672"/>
      <c r="AN67" s="360"/>
      <c r="AO67" s="673"/>
      <c r="AP67" s="674"/>
      <c r="AQ67" s="672"/>
      <c r="AR67" s="360"/>
      <c r="AS67" s="673"/>
      <c r="AT67" s="675">
        <f t="shared" si="2"/>
        <v>990000</v>
      </c>
      <c r="AU67" s="676">
        <f t="shared" si="0"/>
        <v>988000</v>
      </c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</row>
    <row r="68" spans="1:86" s="96" customFormat="1" ht="24">
      <c r="A68" s="39"/>
      <c r="B68" s="656">
        <v>53</v>
      </c>
      <c r="C68" s="683" t="s">
        <v>1226</v>
      </c>
      <c r="D68" s="658">
        <v>40014384</v>
      </c>
      <c r="E68" s="659" t="s">
        <v>3371</v>
      </c>
      <c r="F68" s="660" t="s">
        <v>158</v>
      </c>
      <c r="G68" s="661" t="s">
        <v>3242</v>
      </c>
      <c r="H68" s="661" t="s">
        <v>3264</v>
      </c>
      <c r="I68" s="663" t="s">
        <v>52</v>
      </c>
      <c r="J68" s="664" t="s">
        <v>3372</v>
      </c>
      <c r="K68" s="665">
        <v>0</v>
      </c>
      <c r="L68" s="665">
        <v>2612127</v>
      </c>
      <c r="M68" s="665">
        <v>0</v>
      </c>
      <c r="N68" s="665">
        <v>0</v>
      </c>
      <c r="O68" s="665">
        <v>0</v>
      </c>
      <c r="P68" s="665">
        <v>0</v>
      </c>
      <c r="Q68" s="665">
        <v>0</v>
      </c>
      <c r="R68" s="665">
        <v>0</v>
      </c>
      <c r="S68" s="665">
        <v>0</v>
      </c>
      <c r="T68" s="665">
        <v>0</v>
      </c>
      <c r="U68" s="665">
        <v>0</v>
      </c>
      <c r="V68" s="665"/>
      <c r="W68" s="665"/>
      <c r="X68" s="665"/>
      <c r="Y68" s="665">
        <f t="shared" si="1"/>
        <v>0</v>
      </c>
      <c r="Z68" s="666">
        <v>527000</v>
      </c>
      <c r="AA68" s="667" t="s">
        <v>3318</v>
      </c>
      <c r="AB68" s="668">
        <v>44232</v>
      </c>
      <c r="AC68" s="668">
        <v>44250</v>
      </c>
      <c r="AD68" s="669"/>
      <c r="AE68" s="344"/>
      <c r="AF68" s="360"/>
      <c r="AG68" s="668"/>
      <c r="AH68" s="671"/>
      <c r="AI68" s="672"/>
      <c r="AJ68" s="360"/>
      <c r="AK68" s="673"/>
      <c r="AL68" s="666"/>
      <c r="AM68" s="672"/>
      <c r="AN68" s="360"/>
      <c r="AO68" s="673"/>
      <c r="AP68" s="674"/>
      <c r="AQ68" s="672"/>
      <c r="AR68" s="360"/>
      <c r="AS68" s="673"/>
      <c r="AT68" s="675">
        <f t="shared" si="2"/>
        <v>527000</v>
      </c>
      <c r="AU68" s="676">
        <f t="shared" si="0"/>
        <v>527000</v>
      </c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</row>
    <row r="69" spans="1:86" s="96" customFormat="1" ht="24">
      <c r="A69" s="39"/>
      <c r="B69" s="656">
        <v>54</v>
      </c>
      <c r="C69" s="683" t="s">
        <v>1226</v>
      </c>
      <c r="D69" s="658">
        <v>40015132</v>
      </c>
      <c r="E69" s="659" t="s">
        <v>3373</v>
      </c>
      <c r="F69" s="660" t="s">
        <v>158</v>
      </c>
      <c r="G69" s="661" t="s">
        <v>3242</v>
      </c>
      <c r="H69" s="661" t="s">
        <v>3252</v>
      </c>
      <c r="I69" s="663" t="s">
        <v>52</v>
      </c>
      <c r="J69" s="664" t="s">
        <v>3374</v>
      </c>
      <c r="K69" s="665">
        <v>0</v>
      </c>
      <c r="L69" s="665">
        <v>0</v>
      </c>
      <c r="M69" s="665">
        <v>0</v>
      </c>
      <c r="N69" s="665">
        <v>0</v>
      </c>
      <c r="O69" s="665">
        <v>0</v>
      </c>
      <c r="P69" s="665">
        <v>0</v>
      </c>
      <c r="Q69" s="665">
        <v>0</v>
      </c>
      <c r="R69" s="665">
        <v>0</v>
      </c>
      <c r="S69" s="665">
        <v>0</v>
      </c>
      <c r="T69" s="665">
        <v>0</v>
      </c>
      <c r="U69" s="665">
        <v>0</v>
      </c>
      <c r="V69" s="665"/>
      <c r="W69" s="665"/>
      <c r="X69" s="665"/>
      <c r="Y69" s="665">
        <f t="shared" si="1"/>
        <v>0</v>
      </c>
      <c r="Z69" s="666">
        <v>1000</v>
      </c>
      <c r="AA69" s="667" t="s">
        <v>3318</v>
      </c>
      <c r="AB69" s="668">
        <v>44232</v>
      </c>
      <c r="AC69" s="668">
        <v>44250</v>
      </c>
      <c r="AD69" s="669"/>
      <c r="AE69" s="344"/>
      <c r="AF69" s="360"/>
      <c r="AG69" s="668"/>
      <c r="AH69" s="671"/>
      <c r="AI69" s="672"/>
      <c r="AJ69" s="360"/>
      <c r="AK69" s="673"/>
      <c r="AL69" s="666"/>
      <c r="AM69" s="672"/>
      <c r="AN69" s="360"/>
      <c r="AO69" s="673"/>
      <c r="AP69" s="674"/>
      <c r="AQ69" s="672"/>
      <c r="AR69" s="360"/>
      <c r="AS69" s="673"/>
      <c r="AT69" s="675">
        <f t="shared" si="2"/>
        <v>1000</v>
      </c>
      <c r="AU69" s="676">
        <f t="shared" si="0"/>
        <v>1000</v>
      </c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</row>
    <row r="70" spans="1:86" s="96" customFormat="1" ht="24">
      <c r="A70" s="39"/>
      <c r="B70" s="656">
        <v>55</v>
      </c>
      <c r="C70" s="683" t="s">
        <v>1226</v>
      </c>
      <c r="D70" s="658">
        <v>40016548</v>
      </c>
      <c r="E70" s="659" t="s">
        <v>3375</v>
      </c>
      <c r="F70" s="660" t="s">
        <v>158</v>
      </c>
      <c r="G70" s="661" t="s">
        <v>3242</v>
      </c>
      <c r="H70" s="661" t="s">
        <v>3264</v>
      </c>
      <c r="I70" s="663" t="s">
        <v>52</v>
      </c>
      <c r="J70" s="664" t="s">
        <v>3376</v>
      </c>
      <c r="K70" s="665">
        <v>0</v>
      </c>
      <c r="L70" s="665">
        <v>0</v>
      </c>
      <c r="M70" s="665">
        <v>0</v>
      </c>
      <c r="N70" s="665">
        <v>0</v>
      </c>
      <c r="O70" s="665">
        <v>0</v>
      </c>
      <c r="P70" s="665">
        <v>0</v>
      </c>
      <c r="Q70" s="665">
        <v>0</v>
      </c>
      <c r="R70" s="665">
        <v>0</v>
      </c>
      <c r="S70" s="665">
        <v>0</v>
      </c>
      <c r="T70" s="665">
        <v>0</v>
      </c>
      <c r="U70" s="665">
        <v>0</v>
      </c>
      <c r="V70" s="665"/>
      <c r="W70" s="665"/>
      <c r="X70" s="665"/>
      <c r="Y70" s="665">
        <f t="shared" si="1"/>
        <v>0</v>
      </c>
      <c r="Z70" s="666">
        <v>5000</v>
      </c>
      <c r="AA70" s="667" t="s">
        <v>3318</v>
      </c>
      <c r="AB70" s="668">
        <v>44232</v>
      </c>
      <c r="AC70" s="668">
        <v>44250</v>
      </c>
      <c r="AD70" s="669"/>
      <c r="AE70" s="344"/>
      <c r="AF70" s="360"/>
      <c r="AG70" s="668"/>
      <c r="AH70" s="671"/>
      <c r="AI70" s="672"/>
      <c r="AJ70" s="360"/>
      <c r="AK70" s="673"/>
      <c r="AL70" s="666"/>
      <c r="AM70" s="672"/>
      <c r="AN70" s="360"/>
      <c r="AO70" s="673"/>
      <c r="AP70" s="674"/>
      <c r="AQ70" s="672"/>
      <c r="AR70" s="360"/>
      <c r="AS70" s="673"/>
      <c r="AT70" s="675">
        <f t="shared" si="2"/>
        <v>5000</v>
      </c>
      <c r="AU70" s="676">
        <f t="shared" si="0"/>
        <v>5000</v>
      </c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</row>
    <row r="71" spans="1:86" s="96" customFormat="1" ht="24">
      <c r="A71" s="39"/>
      <c r="B71" s="656">
        <v>56</v>
      </c>
      <c r="C71" s="683" t="s">
        <v>1226</v>
      </c>
      <c r="D71" s="658">
        <v>40016564</v>
      </c>
      <c r="E71" s="659" t="s">
        <v>3377</v>
      </c>
      <c r="F71" s="660" t="s">
        <v>146</v>
      </c>
      <c r="G71" s="661" t="s">
        <v>3242</v>
      </c>
      <c r="H71" s="661" t="s">
        <v>3338</v>
      </c>
      <c r="I71" s="663" t="s">
        <v>52</v>
      </c>
      <c r="J71" s="664" t="s">
        <v>3378</v>
      </c>
      <c r="K71" s="665">
        <v>1860</v>
      </c>
      <c r="L71" s="665">
        <v>0</v>
      </c>
      <c r="M71" s="665">
        <v>0</v>
      </c>
      <c r="N71" s="665">
        <v>0</v>
      </c>
      <c r="O71" s="665">
        <v>0</v>
      </c>
      <c r="P71" s="665">
        <v>0</v>
      </c>
      <c r="Q71" s="665">
        <v>0</v>
      </c>
      <c r="R71" s="665">
        <v>0</v>
      </c>
      <c r="S71" s="665">
        <v>0</v>
      </c>
      <c r="T71" s="665">
        <v>0</v>
      </c>
      <c r="U71" s="665">
        <v>126014</v>
      </c>
      <c r="V71" s="665"/>
      <c r="W71" s="665"/>
      <c r="X71" s="665"/>
      <c r="Y71" s="665">
        <f t="shared" si="1"/>
        <v>126014</v>
      </c>
      <c r="Z71" s="666">
        <v>10000</v>
      </c>
      <c r="AA71" s="667" t="s">
        <v>3318</v>
      </c>
      <c r="AB71" s="668">
        <v>44232</v>
      </c>
      <c r="AC71" s="668">
        <v>44250</v>
      </c>
      <c r="AD71" s="669"/>
      <c r="AE71" s="344"/>
      <c r="AF71" s="360"/>
      <c r="AG71" s="668"/>
      <c r="AH71" s="671"/>
      <c r="AI71" s="672"/>
      <c r="AJ71" s="360"/>
      <c r="AK71" s="673"/>
      <c r="AL71" s="666"/>
      <c r="AM71" s="672"/>
      <c r="AN71" s="360"/>
      <c r="AO71" s="673"/>
      <c r="AP71" s="674"/>
      <c r="AQ71" s="672"/>
      <c r="AR71" s="360"/>
      <c r="AS71" s="673"/>
      <c r="AT71" s="675">
        <f t="shared" si="2"/>
        <v>10000</v>
      </c>
      <c r="AU71" s="684">
        <f t="shared" si="0"/>
        <v>-116014</v>
      </c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</row>
    <row r="72" spans="1:86" s="96" customFormat="1" ht="29.25" customHeight="1">
      <c r="A72" s="39"/>
      <c r="B72" s="656">
        <v>57</v>
      </c>
      <c r="C72" s="683" t="s">
        <v>1226</v>
      </c>
      <c r="D72" s="658">
        <v>40016701</v>
      </c>
      <c r="E72" s="659" t="s">
        <v>3379</v>
      </c>
      <c r="F72" s="660" t="s">
        <v>146</v>
      </c>
      <c r="G72" s="661" t="s">
        <v>3242</v>
      </c>
      <c r="H72" s="661" t="s">
        <v>2046</v>
      </c>
      <c r="I72" s="663" t="s">
        <v>52</v>
      </c>
      <c r="J72" s="664" t="s">
        <v>3380</v>
      </c>
      <c r="K72" s="665">
        <v>0</v>
      </c>
      <c r="L72" s="665">
        <v>0</v>
      </c>
      <c r="M72" s="665">
        <v>0</v>
      </c>
      <c r="N72" s="665">
        <v>0</v>
      </c>
      <c r="O72" s="665">
        <v>0</v>
      </c>
      <c r="P72" s="665">
        <v>0</v>
      </c>
      <c r="Q72" s="665">
        <v>0</v>
      </c>
      <c r="R72" s="665">
        <v>454740</v>
      </c>
      <c r="S72" s="665">
        <v>0</v>
      </c>
      <c r="T72" s="665">
        <v>0</v>
      </c>
      <c r="U72" s="665">
        <v>0</v>
      </c>
      <c r="V72" s="665"/>
      <c r="W72" s="665"/>
      <c r="X72" s="665"/>
      <c r="Y72" s="665">
        <f t="shared" si="1"/>
        <v>454740</v>
      </c>
      <c r="Z72" s="666">
        <v>10000</v>
      </c>
      <c r="AA72" s="667" t="s">
        <v>3318</v>
      </c>
      <c r="AB72" s="668">
        <v>44232</v>
      </c>
      <c r="AC72" s="668">
        <v>44250</v>
      </c>
      <c r="AD72" s="669">
        <v>190000</v>
      </c>
      <c r="AE72" s="672">
        <v>25</v>
      </c>
      <c r="AF72" s="670">
        <v>44312</v>
      </c>
      <c r="AG72" s="670">
        <v>44328</v>
      </c>
      <c r="AH72" s="671"/>
      <c r="AI72" s="672"/>
      <c r="AJ72" s="360"/>
      <c r="AK72" s="673"/>
      <c r="AL72" s="666"/>
      <c r="AM72" s="672"/>
      <c r="AN72" s="360"/>
      <c r="AO72" s="673"/>
      <c r="AP72" s="674"/>
      <c r="AQ72" s="672"/>
      <c r="AR72" s="360"/>
      <c r="AS72" s="673"/>
      <c r="AT72" s="675">
        <f t="shared" si="2"/>
        <v>200000</v>
      </c>
      <c r="AU72" s="676">
        <f t="shared" si="0"/>
        <v>-254740</v>
      </c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</row>
    <row r="73" spans="1:86" s="96" customFormat="1" ht="24">
      <c r="A73" s="39"/>
      <c r="B73" s="656">
        <v>58</v>
      </c>
      <c r="C73" s="683" t="s">
        <v>1226</v>
      </c>
      <c r="D73" s="658">
        <v>40019013</v>
      </c>
      <c r="E73" s="659" t="s">
        <v>3381</v>
      </c>
      <c r="F73" s="660" t="s">
        <v>146</v>
      </c>
      <c r="G73" s="661" t="s">
        <v>3242</v>
      </c>
      <c r="H73" s="661" t="s">
        <v>2046</v>
      </c>
      <c r="I73" s="663" t="s">
        <v>52</v>
      </c>
      <c r="J73" s="664" t="s">
        <v>3382</v>
      </c>
      <c r="K73" s="665">
        <v>0</v>
      </c>
      <c r="L73" s="665">
        <v>0</v>
      </c>
      <c r="M73" s="665">
        <v>0</v>
      </c>
      <c r="N73" s="665">
        <v>0</v>
      </c>
      <c r="O73" s="665">
        <v>0</v>
      </c>
      <c r="P73" s="665">
        <v>0</v>
      </c>
      <c r="Q73" s="665">
        <v>0</v>
      </c>
      <c r="R73" s="665">
        <v>2500</v>
      </c>
      <c r="S73" s="665">
        <f>11478+33928</f>
        <v>45406</v>
      </c>
      <c r="T73" s="665">
        <v>0</v>
      </c>
      <c r="U73" s="665">
        <v>37769</v>
      </c>
      <c r="V73" s="665"/>
      <c r="W73" s="665"/>
      <c r="X73" s="665"/>
      <c r="Y73" s="665">
        <f t="shared" si="1"/>
        <v>85675</v>
      </c>
      <c r="Z73" s="666">
        <v>101000</v>
      </c>
      <c r="AA73" s="667" t="s">
        <v>3318</v>
      </c>
      <c r="AB73" s="668">
        <v>44232</v>
      </c>
      <c r="AC73" s="668">
        <v>44250</v>
      </c>
      <c r="AD73" s="669">
        <v>1500</v>
      </c>
      <c r="AE73" s="672">
        <v>33</v>
      </c>
      <c r="AF73" s="670">
        <v>44350</v>
      </c>
      <c r="AG73" s="670">
        <v>44369</v>
      </c>
      <c r="AH73" s="669">
        <v>348387</v>
      </c>
      <c r="AI73" s="672">
        <v>38</v>
      </c>
      <c r="AJ73" s="670">
        <v>44385</v>
      </c>
      <c r="AK73" s="670">
        <v>44392</v>
      </c>
      <c r="AL73" s="666"/>
      <c r="AM73" s="672"/>
      <c r="AN73" s="360"/>
      <c r="AO73" s="673"/>
      <c r="AP73" s="674"/>
      <c r="AQ73" s="672"/>
      <c r="AR73" s="360"/>
      <c r="AS73" s="673"/>
      <c r="AT73" s="675">
        <f t="shared" si="2"/>
        <v>450887</v>
      </c>
      <c r="AU73" s="676">
        <f t="shared" si="0"/>
        <v>365212</v>
      </c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</row>
    <row r="74" spans="1:86" s="96" customFormat="1" ht="36">
      <c r="A74" s="39"/>
      <c r="B74" s="656">
        <v>59</v>
      </c>
      <c r="C74" s="683" t="s">
        <v>1226</v>
      </c>
      <c r="D74" s="658">
        <v>40019625</v>
      </c>
      <c r="E74" s="659" t="s">
        <v>3383</v>
      </c>
      <c r="F74" s="660" t="s">
        <v>146</v>
      </c>
      <c r="G74" s="661" t="s">
        <v>3242</v>
      </c>
      <c r="H74" s="661" t="s">
        <v>2046</v>
      </c>
      <c r="I74" s="663" t="s">
        <v>52</v>
      </c>
      <c r="J74" s="664" t="s">
        <v>3384</v>
      </c>
      <c r="K74" s="665">
        <v>0</v>
      </c>
      <c r="L74" s="665">
        <v>0</v>
      </c>
      <c r="M74" s="665">
        <v>0</v>
      </c>
      <c r="N74" s="665">
        <v>0</v>
      </c>
      <c r="O74" s="665">
        <v>0</v>
      </c>
      <c r="P74" s="665">
        <v>0</v>
      </c>
      <c r="Q74" s="665">
        <v>0</v>
      </c>
      <c r="R74" s="665">
        <v>2500</v>
      </c>
      <c r="S74" s="665">
        <v>0</v>
      </c>
      <c r="T74" s="665">
        <v>0</v>
      </c>
      <c r="U74" s="665">
        <v>0</v>
      </c>
      <c r="V74" s="665"/>
      <c r="W74" s="665"/>
      <c r="X74" s="665"/>
      <c r="Y74" s="665">
        <f t="shared" si="1"/>
        <v>2500</v>
      </c>
      <c r="Z74" s="666">
        <v>101000</v>
      </c>
      <c r="AA74" s="667" t="s">
        <v>3318</v>
      </c>
      <c r="AB74" s="668">
        <v>44232</v>
      </c>
      <c r="AC74" s="668">
        <v>44250</v>
      </c>
      <c r="AD74" s="669"/>
      <c r="AE74" s="344"/>
      <c r="AF74" s="360"/>
      <c r="AG74" s="668"/>
      <c r="AH74" s="671"/>
      <c r="AI74" s="672"/>
      <c r="AJ74" s="360"/>
      <c r="AK74" s="673"/>
      <c r="AL74" s="666"/>
      <c r="AM74" s="672"/>
      <c r="AN74" s="360"/>
      <c r="AO74" s="673"/>
      <c r="AP74" s="674"/>
      <c r="AQ74" s="672"/>
      <c r="AR74" s="360"/>
      <c r="AS74" s="673"/>
      <c r="AT74" s="675">
        <f t="shared" si="2"/>
        <v>101000</v>
      </c>
      <c r="AU74" s="676">
        <f t="shared" si="0"/>
        <v>98500</v>
      </c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</row>
    <row r="75" spans="1:86" s="96" customFormat="1" ht="36">
      <c r="A75" s="39"/>
      <c r="B75" s="656">
        <v>60</v>
      </c>
      <c r="C75" s="683" t="s">
        <v>1226</v>
      </c>
      <c r="D75" s="658">
        <v>40021626</v>
      </c>
      <c r="E75" s="659" t="s">
        <v>3385</v>
      </c>
      <c r="F75" s="660" t="s">
        <v>146</v>
      </c>
      <c r="G75" s="661" t="s">
        <v>3242</v>
      </c>
      <c r="H75" s="661" t="s">
        <v>2046</v>
      </c>
      <c r="I75" s="663" t="s">
        <v>52</v>
      </c>
      <c r="J75" s="664" t="s">
        <v>3386</v>
      </c>
      <c r="K75" s="665">
        <v>0</v>
      </c>
      <c r="L75" s="665">
        <v>0</v>
      </c>
      <c r="M75" s="665">
        <v>0</v>
      </c>
      <c r="N75" s="665">
        <v>0</v>
      </c>
      <c r="O75" s="665">
        <v>0</v>
      </c>
      <c r="P75" s="665">
        <v>0</v>
      </c>
      <c r="Q75" s="665">
        <v>0</v>
      </c>
      <c r="R75" s="665">
        <v>0</v>
      </c>
      <c r="S75" s="665">
        <v>0</v>
      </c>
      <c r="T75" s="665">
        <v>0</v>
      </c>
      <c r="U75" s="665">
        <v>0</v>
      </c>
      <c r="V75" s="665"/>
      <c r="W75" s="665"/>
      <c r="X75" s="665"/>
      <c r="Y75" s="665">
        <f t="shared" si="1"/>
        <v>0</v>
      </c>
      <c r="Z75" s="666">
        <v>201000</v>
      </c>
      <c r="AA75" s="667" t="s">
        <v>3318</v>
      </c>
      <c r="AB75" s="668">
        <v>44232</v>
      </c>
      <c r="AC75" s="668">
        <v>44250</v>
      </c>
      <c r="AD75" s="669"/>
      <c r="AE75" s="344"/>
      <c r="AF75" s="360"/>
      <c r="AG75" s="668"/>
      <c r="AH75" s="671"/>
      <c r="AI75" s="672"/>
      <c r="AJ75" s="360"/>
      <c r="AK75" s="673"/>
      <c r="AL75" s="666"/>
      <c r="AM75" s="672"/>
      <c r="AN75" s="360"/>
      <c r="AO75" s="673"/>
      <c r="AP75" s="674"/>
      <c r="AQ75" s="672"/>
      <c r="AR75" s="360"/>
      <c r="AS75" s="673"/>
      <c r="AT75" s="675">
        <f t="shared" si="2"/>
        <v>201000</v>
      </c>
      <c r="AU75" s="676">
        <f t="shared" si="0"/>
        <v>201000</v>
      </c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</row>
    <row r="76" spans="1:86" s="96" customFormat="1" ht="24">
      <c r="A76" s="39"/>
      <c r="B76" s="656">
        <v>61</v>
      </c>
      <c r="C76" s="683" t="s">
        <v>1226</v>
      </c>
      <c r="D76" s="658" t="s">
        <v>3387</v>
      </c>
      <c r="E76" s="659" t="s">
        <v>3388</v>
      </c>
      <c r="F76" s="660" t="s">
        <v>158</v>
      </c>
      <c r="G76" s="661" t="s">
        <v>3242</v>
      </c>
      <c r="H76" s="661" t="s">
        <v>3252</v>
      </c>
      <c r="I76" s="663" t="s">
        <v>52</v>
      </c>
      <c r="J76" s="664" t="s">
        <v>3389</v>
      </c>
      <c r="K76" s="665">
        <v>0</v>
      </c>
      <c r="L76" s="665">
        <v>131765</v>
      </c>
      <c r="M76" s="665">
        <v>0</v>
      </c>
      <c r="N76" s="665">
        <v>0</v>
      </c>
      <c r="O76" s="665">
        <v>0</v>
      </c>
      <c r="P76" s="665">
        <v>0</v>
      </c>
      <c r="Q76" s="665">
        <v>0</v>
      </c>
      <c r="R76" s="665">
        <v>0</v>
      </c>
      <c r="S76" s="665">
        <v>0</v>
      </c>
      <c r="T76" s="665">
        <v>0</v>
      </c>
      <c r="U76" s="665">
        <v>0</v>
      </c>
      <c r="V76" s="665"/>
      <c r="W76" s="665"/>
      <c r="X76" s="665"/>
      <c r="Y76" s="665">
        <f t="shared" si="1"/>
        <v>0</v>
      </c>
      <c r="Z76" s="666">
        <v>50001</v>
      </c>
      <c r="AA76" s="667" t="s">
        <v>3318</v>
      </c>
      <c r="AB76" s="668">
        <v>44232</v>
      </c>
      <c r="AC76" s="668">
        <v>44250</v>
      </c>
      <c r="AD76" s="669"/>
      <c r="AE76" s="344"/>
      <c r="AF76" s="360"/>
      <c r="AG76" s="668"/>
      <c r="AH76" s="671"/>
      <c r="AI76" s="672"/>
      <c r="AJ76" s="360"/>
      <c r="AK76" s="673"/>
      <c r="AL76" s="666"/>
      <c r="AM76" s="672"/>
      <c r="AN76" s="360"/>
      <c r="AO76" s="673"/>
      <c r="AP76" s="674"/>
      <c r="AQ76" s="672"/>
      <c r="AR76" s="360"/>
      <c r="AS76" s="673"/>
      <c r="AT76" s="675">
        <f t="shared" si="2"/>
        <v>50001</v>
      </c>
      <c r="AU76" s="676">
        <f t="shared" si="0"/>
        <v>50001</v>
      </c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</row>
    <row r="77" spans="1:86" s="96" customFormat="1" ht="36">
      <c r="A77" s="39"/>
      <c r="B77" s="656">
        <v>62</v>
      </c>
      <c r="C77" s="678" t="s">
        <v>1226</v>
      </c>
      <c r="D77" s="658" t="s">
        <v>3390</v>
      </c>
      <c r="E77" s="659" t="s">
        <v>3391</v>
      </c>
      <c r="F77" s="660" t="s">
        <v>158</v>
      </c>
      <c r="G77" s="661" t="s">
        <v>3242</v>
      </c>
      <c r="H77" s="661" t="s">
        <v>3264</v>
      </c>
      <c r="I77" s="663" t="s">
        <v>52</v>
      </c>
      <c r="J77" s="664">
        <v>395150</v>
      </c>
      <c r="K77" s="665">
        <v>0</v>
      </c>
      <c r="L77" s="665">
        <v>393048</v>
      </c>
      <c r="M77" s="665">
        <v>0</v>
      </c>
      <c r="N77" s="665">
        <v>0</v>
      </c>
      <c r="O77" s="665">
        <v>0</v>
      </c>
      <c r="P77" s="665">
        <v>0</v>
      </c>
      <c r="Q77" s="665">
        <v>0</v>
      </c>
      <c r="R77" s="665">
        <v>102</v>
      </c>
      <c r="S77" s="665">
        <v>327</v>
      </c>
      <c r="T77" s="665">
        <v>0</v>
      </c>
      <c r="U77" s="665">
        <v>0</v>
      </c>
      <c r="V77" s="665"/>
      <c r="W77" s="665"/>
      <c r="X77" s="665"/>
      <c r="Y77" s="665">
        <f t="shared" si="1"/>
        <v>429</v>
      </c>
      <c r="Z77" s="666">
        <v>2102</v>
      </c>
      <c r="AA77" s="672">
        <v>9</v>
      </c>
      <c r="AB77" s="668">
        <v>44271</v>
      </c>
      <c r="AC77" s="668">
        <v>44284</v>
      </c>
      <c r="AD77" s="669">
        <v>307</v>
      </c>
      <c r="AE77" s="672">
        <v>37</v>
      </c>
      <c r="AF77" s="668">
        <v>44371</v>
      </c>
      <c r="AG77" s="668">
        <v>44379</v>
      </c>
      <c r="AH77" s="671"/>
      <c r="AI77" s="672"/>
      <c r="AJ77" s="360"/>
      <c r="AK77" s="673"/>
      <c r="AL77" s="666"/>
      <c r="AM77" s="672"/>
      <c r="AN77" s="360"/>
      <c r="AO77" s="673"/>
      <c r="AP77" s="674"/>
      <c r="AQ77" s="672"/>
      <c r="AR77" s="360"/>
      <c r="AS77" s="673"/>
      <c r="AT77" s="675">
        <f t="shared" si="2"/>
        <v>2409</v>
      </c>
      <c r="AU77" s="676">
        <f t="shared" si="0"/>
        <v>1980</v>
      </c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</row>
    <row r="78" spans="1:86" s="96" customFormat="1" ht="15">
      <c r="A78" s="39"/>
      <c r="B78" s="656">
        <v>63</v>
      </c>
      <c r="C78" s="678" t="s">
        <v>1226</v>
      </c>
      <c r="D78" s="360">
        <v>30480963</v>
      </c>
      <c r="E78" s="659" t="s">
        <v>3353</v>
      </c>
      <c r="F78" s="685" t="s">
        <v>47</v>
      </c>
      <c r="G78" s="661" t="s">
        <v>3242</v>
      </c>
      <c r="H78" s="661" t="s">
        <v>3288</v>
      </c>
      <c r="I78" s="685" t="s">
        <v>52</v>
      </c>
      <c r="J78" s="664">
        <v>246041</v>
      </c>
      <c r="K78" s="665">
        <v>0</v>
      </c>
      <c r="L78" s="665">
        <v>0</v>
      </c>
      <c r="M78" s="665">
        <v>0</v>
      </c>
      <c r="N78" s="665">
        <v>0</v>
      </c>
      <c r="O78" s="665">
        <v>0</v>
      </c>
      <c r="P78" s="665">
        <v>0</v>
      </c>
      <c r="Q78" s="665">
        <v>0</v>
      </c>
      <c r="R78" s="665">
        <v>0</v>
      </c>
      <c r="S78" s="665"/>
      <c r="T78" s="665">
        <v>186527</v>
      </c>
      <c r="U78" s="665">
        <v>0</v>
      </c>
      <c r="V78" s="665"/>
      <c r="W78" s="665"/>
      <c r="X78" s="665"/>
      <c r="Y78" s="665">
        <f t="shared" si="1"/>
        <v>186527</v>
      </c>
      <c r="Z78" s="686">
        <v>191527</v>
      </c>
      <c r="AA78" s="672">
        <v>19</v>
      </c>
      <c r="AB78" s="670">
        <v>44271</v>
      </c>
      <c r="AC78" s="670">
        <v>44312</v>
      </c>
      <c r="AD78" s="669"/>
      <c r="AE78" s="344"/>
      <c r="AF78" s="360"/>
      <c r="AG78" s="668"/>
      <c r="AH78" s="671"/>
      <c r="AI78" s="672"/>
      <c r="AJ78" s="360"/>
      <c r="AK78" s="673"/>
      <c r="AL78" s="666"/>
      <c r="AM78" s="672"/>
      <c r="AN78" s="360"/>
      <c r="AO78" s="673"/>
      <c r="AP78" s="674"/>
      <c r="AQ78" s="672"/>
      <c r="AR78" s="360"/>
      <c r="AS78" s="673"/>
      <c r="AT78" s="675">
        <f t="shared" si="2"/>
        <v>191527</v>
      </c>
      <c r="AU78" s="676">
        <f t="shared" si="0"/>
        <v>5000</v>
      </c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</row>
    <row r="79" spans="1:86" s="96" customFormat="1" ht="45">
      <c r="A79" s="39"/>
      <c r="B79" s="656">
        <v>65</v>
      </c>
      <c r="C79" s="683" t="s">
        <v>1226</v>
      </c>
      <c r="D79" s="685">
        <v>40027004</v>
      </c>
      <c r="E79" s="687" t="s">
        <v>3392</v>
      </c>
      <c r="F79" s="685" t="s">
        <v>51</v>
      </c>
      <c r="G79" s="661" t="s">
        <v>3242</v>
      </c>
      <c r="H79" s="661" t="s">
        <v>3393</v>
      </c>
      <c r="I79" s="685" t="s">
        <v>52</v>
      </c>
      <c r="J79" s="664">
        <v>2577727</v>
      </c>
      <c r="K79" s="665">
        <v>0</v>
      </c>
      <c r="L79" s="665">
        <v>2573632</v>
      </c>
      <c r="M79" s="665">
        <v>0</v>
      </c>
      <c r="N79" s="665">
        <v>0</v>
      </c>
      <c r="O79" s="665">
        <v>0</v>
      </c>
      <c r="P79" s="665">
        <v>0</v>
      </c>
      <c r="Q79" s="665">
        <v>0</v>
      </c>
      <c r="R79" s="665">
        <v>0</v>
      </c>
      <c r="S79" s="665">
        <v>0</v>
      </c>
      <c r="T79" s="665">
        <v>0</v>
      </c>
      <c r="U79" s="665">
        <v>0</v>
      </c>
      <c r="V79" s="665"/>
      <c r="W79" s="665"/>
      <c r="X79" s="665"/>
      <c r="Y79" s="665">
        <f t="shared" si="1"/>
        <v>0</v>
      </c>
      <c r="Z79" s="686">
        <v>4095</v>
      </c>
      <c r="AA79" s="672">
        <v>19</v>
      </c>
      <c r="AB79" s="670">
        <v>44271</v>
      </c>
      <c r="AC79" s="670">
        <v>44312</v>
      </c>
      <c r="AD79" s="669"/>
      <c r="AE79" s="344"/>
      <c r="AF79" s="360"/>
      <c r="AG79" s="668"/>
      <c r="AH79" s="671"/>
      <c r="AI79" s="672"/>
      <c r="AJ79" s="360"/>
      <c r="AK79" s="673"/>
      <c r="AL79" s="666"/>
      <c r="AM79" s="672"/>
      <c r="AN79" s="360"/>
      <c r="AO79" s="673"/>
      <c r="AP79" s="674"/>
      <c r="AQ79" s="672"/>
      <c r="AR79" s="360"/>
      <c r="AS79" s="673"/>
      <c r="AT79" s="675">
        <f t="shared" si="2"/>
        <v>4095</v>
      </c>
      <c r="AU79" s="676">
        <f t="shared" si="0"/>
        <v>4095</v>
      </c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</row>
    <row r="80" spans="1:86" s="96" customFormat="1" ht="30">
      <c r="A80" s="39"/>
      <c r="B80" s="656">
        <v>68</v>
      </c>
      <c r="C80" s="678" t="s">
        <v>1226</v>
      </c>
      <c r="D80" s="685">
        <v>30386411</v>
      </c>
      <c r="E80" s="687" t="s">
        <v>3346</v>
      </c>
      <c r="F80" s="685" t="s">
        <v>51</v>
      </c>
      <c r="G80" s="661" t="s">
        <v>3242</v>
      </c>
      <c r="H80" s="661" t="s">
        <v>3320</v>
      </c>
      <c r="I80" s="685" t="s">
        <v>52</v>
      </c>
      <c r="J80" s="664">
        <v>198744</v>
      </c>
      <c r="K80" s="665">
        <v>0</v>
      </c>
      <c r="L80" s="665">
        <v>24395</v>
      </c>
      <c r="M80" s="665">
        <v>0</v>
      </c>
      <c r="N80" s="665">
        <v>0</v>
      </c>
      <c r="O80" s="665">
        <v>0</v>
      </c>
      <c r="P80" s="665">
        <v>0</v>
      </c>
      <c r="Q80" s="665">
        <v>33000</v>
      </c>
      <c r="R80" s="665">
        <v>0</v>
      </c>
      <c r="S80" s="665">
        <v>33000</v>
      </c>
      <c r="T80" s="665">
        <v>0</v>
      </c>
      <c r="U80" s="665">
        <v>33000</v>
      </c>
      <c r="V80" s="665"/>
      <c r="W80" s="665"/>
      <c r="X80" s="665"/>
      <c r="Y80" s="665">
        <f t="shared" si="1"/>
        <v>99000</v>
      </c>
      <c r="Z80" s="686">
        <v>25000</v>
      </c>
      <c r="AA80" s="672">
        <v>25</v>
      </c>
      <c r="AB80" s="670">
        <v>44312</v>
      </c>
      <c r="AC80" s="670">
        <v>44328</v>
      </c>
      <c r="AD80" s="669"/>
      <c r="AE80" s="344"/>
      <c r="AF80" s="360"/>
      <c r="AG80" s="668"/>
      <c r="AH80" s="671"/>
      <c r="AI80" s="672"/>
      <c r="AJ80" s="360"/>
      <c r="AK80" s="673"/>
      <c r="AL80" s="666"/>
      <c r="AM80" s="672"/>
      <c r="AN80" s="360"/>
      <c r="AO80" s="673"/>
      <c r="AP80" s="674"/>
      <c r="AQ80" s="672"/>
      <c r="AR80" s="360"/>
      <c r="AS80" s="673"/>
      <c r="AT80" s="675">
        <f t="shared" si="2"/>
        <v>25000</v>
      </c>
      <c r="AU80" s="676">
        <f t="shared" si="0"/>
        <v>-74000</v>
      </c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</row>
    <row r="81" spans="1:86" s="96" customFormat="1" ht="24">
      <c r="A81" s="39"/>
      <c r="B81" s="656">
        <v>69</v>
      </c>
      <c r="C81" s="683" t="s">
        <v>1226</v>
      </c>
      <c r="D81" s="360">
        <v>40010037</v>
      </c>
      <c r="E81" s="659" t="s">
        <v>3359</v>
      </c>
      <c r="F81" s="685" t="s">
        <v>51</v>
      </c>
      <c r="G81" s="661" t="s">
        <v>3242</v>
      </c>
      <c r="H81" s="661" t="s">
        <v>3360</v>
      </c>
      <c r="I81" s="685" t="s">
        <v>52</v>
      </c>
      <c r="J81" s="664">
        <v>394910</v>
      </c>
      <c r="K81" s="665">
        <v>0</v>
      </c>
      <c r="L81" s="665">
        <v>0</v>
      </c>
      <c r="M81" s="665">
        <v>0</v>
      </c>
      <c r="N81" s="665">
        <v>0</v>
      </c>
      <c r="O81" s="665">
        <v>0</v>
      </c>
      <c r="P81" s="665">
        <v>0</v>
      </c>
      <c r="Q81" s="665">
        <v>0</v>
      </c>
      <c r="R81" s="665">
        <v>0</v>
      </c>
      <c r="S81" s="665"/>
      <c r="T81" s="665">
        <v>0</v>
      </c>
      <c r="U81" s="665">
        <v>0</v>
      </c>
      <c r="V81" s="665"/>
      <c r="W81" s="665"/>
      <c r="X81" s="665"/>
      <c r="Y81" s="665">
        <f t="shared" ref="Y81:Y89" si="3">SUM(M81:X81)</f>
        <v>0</v>
      </c>
      <c r="Z81" s="686">
        <v>100000</v>
      </c>
      <c r="AA81" s="672">
        <v>25</v>
      </c>
      <c r="AB81" s="670">
        <v>44312</v>
      </c>
      <c r="AC81" s="670">
        <v>44328</v>
      </c>
      <c r="AD81" s="669"/>
      <c r="AE81" s="344"/>
      <c r="AF81" s="360"/>
      <c r="AG81" s="668"/>
      <c r="AH81" s="671"/>
      <c r="AI81" s="672"/>
      <c r="AJ81" s="360"/>
      <c r="AK81" s="673"/>
      <c r="AL81" s="666"/>
      <c r="AM81" s="672"/>
      <c r="AN81" s="360"/>
      <c r="AO81" s="673"/>
      <c r="AP81" s="674"/>
      <c r="AQ81" s="672"/>
      <c r="AR81" s="360"/>
      <c r="AS81" s="673"/>
      <c r="AT81" s="675">
        <f t="shared" ref="AT81:AT144" si="4">+Z81+AD81+AH81+AL81+AP81</f>
        <v>100000</v>
      </c>
      <c r="AU81" s="676">
        <f t="shared" si="0"/>
        <v>100000</v>
      </c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</row>
    <row r="82" spans="1:86" s="96" customFormat="1" ht="24">
      <c r="A82" s="39"/>
      <c r="B82" s="656">
        <v>70</v>
      </c>
      <c r="C82" s="678" t="s">
        <v>1226</v>
      </c>
      <c r="D82" s="360">
        <v>40016564</v>
      </c>
      <c r="E82" s="659" t="s">
        <v>3377</v>
      </c>
      <c r="F82" s="685" t="s">
        <v>51</v>
      </c>
      <c r="G82" s="661" t="s">
        <v>3242</v>
      </c>
      <c r="H82" s="661" t="s">
        <v>3338</v>
      </c>
      <c r="I82" s="685" t="s">
        <v>52</v>
      </c>
      <c r="J82" s="664">
        <v>1440986</v>
      </c>
      <c r="K82" s="665">
        <v>1860</v>
      </c>
      <c r="L82" s="665">
        <v>0</v>
      </c>
      <c r="M82" s="665">
        <v>0</v>
      </c>
      <c r="N82" s="665">
        <v>0</v>
      </c>
      <c r="O82" s="665">
        <v>0</v>
      </c>
      <c r="P82" s="665">
        <v>0</v>
      </c>
      <c r="Q82" s="665">
        <v>0</v>
      </c>
      <c r="R82" s="665">
        <v>0</v>
      </c>
      <c r="S82" s="665">
        <v>0</v>
      </c>
      <c r="T82" s="665">
        <v>0</v>
      </c>
      <c r="U82" s="665">
        <v>126014</v>
      </c>
      <c r="V82" s="665"/>
      <c r="W82" s="665"/>
      <c r="X82" s="665"/>
      <c r="Y82" s="665">
        <f t="shared" si="3"/>
        <v>126014</v>
      </c>
      <c r="Z82" s="686">
        <v>590000</v>
      </c>
      <c r="AA82" s="672">
        <v>25</v>
      </c>
      <c r="AB82" s="670">
        <v>44312</v>
      </c>
      <c r="AC82" s="670">
        <v>44328</v>
      </c>
      <c r="AD82" s="669"/>
      <c r="AE82" s="344"/>
      <c r="AF82" s="360"/>
      <c r="AG82" s="668"/>
      <c r="AH82" s="671"/>
      <c r="AI82" s="672"/>
      <c r="AJ82" s="360"/>
      <c r="AK82" s="673"/>
      <c r="AL82" s="666"/>
      <c r="AM82" s="672"/>
      <c r="AN82" s="360"/>
      <c r="AO82" s="673"/>
      <c r="AP82" s="674"/>
      <c r="AQ82" s="672"/>
      <c r="AR82" s="360"/>
      <c r="AS82" s="673"/>
      <c r="AT82" s="675">
        <f t="shared" si="4"/>
        <v>590000</v>
      </c>
      <c r="AU82" s="676">
        <f t="shared" si="0"/>
        <v>463986</v>
      </c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</row>
    <row r="83" spans="1:86" s="96" customFormat="1" ht="30">
      <c r="A83" s="39"/>
      <c r="B83" s="656">
        <v>73</v>
      </c>
      <c r="C83" s="683" t="s">
        <v>1226</v>
      </c>
      <c r="D83" s="685">
        <v>40013967</v>
      </c>
      <c r="E83" s="687" t="s">
        <v>3394</v>
      </c>
      <c r="F83" s="685" t="s">
        <v>47</v>
      </c>
      <c r="G83" s="661" t="s">
        <v>3242</v>
      </c>
      <c r="H83" s="661" t="s">
        <v>3395</v>
      </c>
      <c r="I83" s="685" t="s">
        <v>52</v>
      </c>
      <c r="J83" s="664">
        <v>28378</v>
      </c>
      <c r="K83" s="665">
        <v>0</v>
      </c>
      <c r="L83" s="665">
        <v>14181</v>
      </c>
      <c r="M83" s="665">
        <v>0</v>
      </c>
      <c r="N83" s="665">
        <v>0</v>
      </c>
      <c r="O83" s="665">
        <v>0</v>
      </c>
      <c r="P83" s="665">
        <v>0</v>
      </c>
      <c r="Q83" s="665">
        <v>0</v>
      </c>
      <c r="R83" s="665">
        <v>0</v>
      </c>
      <c r="S83" s="665">
        <v>0</v>
      </c>
      <c r="T83" s="665">
        <v>0</v>
      </c>
      <c r="U83" s="665">
        <v>0</v>
      </c>
      <c r="V83" s="665"/>
      <c r="W83" s="665"/>
      <c r="X83" s="665"/>
      <c r="Y83" s="665">
        <f t="shared" si="3"/>
        <v>0</v>
      </c>
      <c r="Z83" s="686">
        <v>5281</v>
      </c>
      <c r="AA83" s="672">
        <v>33</v>
      </c>
      <c r="AB83" s="670">
        <v>44350</v>
      </c>
      <c r="AC83" s="670">
        <v>44369</v>
      </c>
      <c r="AD83" s="669"/>
      <c r="AE83" s="344"/>
      <c r="AF83" s="360"/>
      <c r="AG83" s="668"/>
      <c r="AH83" s="671"/>
      <c r="AI83" s="672"/>
      <c r="AJ83" s="360"/>
      <c r="AK83" s="673"/>
      <c r="AL83" s="666"/>
      <c r="AM83" s="672"/>
      <c r="AN83" s="360"/>
      <c r="AO83" s="673"/>
      <c r="AP83" s="674"/>
      <c r="AQ83" s="672"/>
      <c r="AR83" s="360"/>
      <c r="AS83" s="673"/>
      <c r="AT83" s="675">
        <f t="shared" si="4"/>
        <v>5281</v>
      </c>
      <c r="AU83" s="676">
        <f t="shared" si="0"/>
        <v>5281</v>
      </c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</row>
    <row r="84" spans="1:86" s="96" customFormat="1" ht="45">
      <c r="A84" s="39"/>
      <c r="B84" s="656">
        <v>75</v>
      </c>
      <c r="C84" s="683" t="s">
        <v>1226</v>
      </c>
      <c r="D84" s="685">
        <v>40019625</v>
      </c>
      <c r="E84" s="687" t="s">
        <v>3383</v>
      </c>
      <c r="F84" s="685" t="s">
        <v>51</v>
      </c>
      <c r="G84" s="661" t="s">
        <v>3242</v>
      </c>
      <c r="H84" s="661" t="s">
        <v>2046</v>
      </c>
      <c r="I84" s="685" t="s">
        <v>52</v>
      </c>
      <c r="J84" s="664">
        <v>918023</v>
      </c>
      <c r="K84" s="665">
        <v>0</v>
      </c>
      <c r="L84" s="665">
        <v>0</v>
      </c>
      <c r="M84" s="665">
        <v>0</v>
      </c>
      <c r="N84" s="665">
        <v>0</v>
      </c>
      <c r="O84" s="665">
        <v>0</v>
      </c>
      <c r="P84" s="665">
        <v>0</v>
      </c>
      <c r="Q84" s="665">
        <v>0</v>
      </c>
      <c r="R84" s="665">
        <v>2500</v>
      </c>
      <c r="S84" s="665">
        <v>0</v>
      </c>
      <c r="T84" s="665">
        <v>0</v>
      </c>
      <c r="U84" s="665">
        <v>0</v>
      </c>
      <c r="V84" s="665"/>
      <c r="W84" s="665"/>
      <c r="X84" s="665"/>
      <c r="Y84" s="665">
        <f t="shared" si="3"/>
        <v>2500</v>
      </c>
      <c r="Z84" s="686">
        <v>1500</v>
      </c>
      <c r="AA84" s="672">
        <v>33</v>
      </c>
      <c r="AB84" s="670">
        <v>44350</v>
      </c>
      <c r="AC84" s="670">
        <v>44369</v>
      </c>
      <c r="AD84" s="669"/>
      <c r="AE84" s="344"/>
      <c r="AF84" s="360"/>
      <c r="AG84" s="668"/>
      <c r="AH84" s="671"/>
      <c r="AI84" s="672"/>
      <c r="AJ84" s="360"/>
      <c r="AK84" s="673"/>
      <c r="AL84" s="666"/>
      <c r="AM84" s="672"/>
      <c r="AN84" s="360"/>
      <c r="AO84" s="673"/>
      <c r="AP84" s="674"/>
      <c r="AQ84" s="672"/>
      <c r="AR84" s="360"/>
      <c r="AS84" s="673"/>
      <c r="AT84" s="675">
        <f t="shared" si="4"/>
        <v>1500</v>
      </c>
      <c r="AU84" s="684">
        <f t="shared" si="0"/>
        <v>-1000</v>
      </c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</row>
    <row r="85" spans="1:86" s="96" customFormat="1" ht="45">
      <c r="A85" s="39"/>
      <c r="B85" s="656">
        <v>76</v>
      </c>
      <c r="C85" s="683" t="s">
        <v>1226</v>
      </c>
      <c r="D85" s="685">
        <v>40021626</v>
      </c>
      <c r="E85" s="687" t="s">
        <v>3385</v>
      </c>
      <c r="F85" s="685" t="s">
        <v>51</v>
      </c>
      <c r="G85" s="661" t="s">
        <v>3242</v>
      </c>
      <c r="H85" s="661" t="s">
        <v>3267</v>
      </c>
      <c r="I85" s="685" t="s">
        <v>52</v>
      </c>
      <c r="J85" s="664">
        <v>1676113</v>
      </c>
      <c r="K85" s="665">
        <v>0</v>
      </c>
      <c r="L85" s="665">
        <v>0</v>
      </c>
      <c r="M85" s="665">
        <v>0</v>
      </c>
      <c r="N85" s="665">
        <v>0</v>
      </c>
      <c r="O85" s="665">
        <v>0</v>
      </c>
      <c r="P85" s="665">
        <v>0</v>
      </c>
      <c r="Q85" s="665">
        <v>0</v>
      </c>
      <c r="R85" s="665">
        <v>0</v>
      </c>
      <c r="S85" s="665">
        <v>0</v>
      </c>
      <c r="T85" s="665">
        <v>0</v>
      </c>
      <c r="U85" s="665">
        <v>0</v>
      </c>
      <c r="V85" s="665"/>
      <c r="W85" s="665"/>
      <c r="X85" s="665"/>
      <c r="Y85" s="665">
        <f t="shared" si="3"/>
        <v>0</v>
      </c>
      <c r="Z85" s="686">
        <v>1500</v>
      </c>
      <c r="AA85" s="672">
        <v>33</v>
      </c>
      <c r="AB85" s="670">
        <v>44350</v>
      </c>
      <c r="AC85" s="670">
        <v>44369</v>
      </c>
      <c r="AD85" s="669"/>
      <c r="AE85" s="344"/>
      <c r="AF85" s="360"/>
      <c r="AG85" s="668"/>
      <c r="AH85" s="671"/>
      <c r="AI85" s="672"/>
      <c r="AJ85" s="360"/>
      <c r="AK85" s="673"/>
      <c r="AL85" s="666"/>
      <c r="AM85" s="672"/>
      <c r="AN85" s="360"/>
      <c r="AO85" s="673"/>
      <c r="AP85" s="674"/>
      <c r="AQ85" s="672"/>
      <c r="AR85" s="360"/>
      <c r="AS85" s="673"/>
      <c r="AT85" s="675">
        <f t="shared" si="4"/>
        <v>1500</v>
      </c>
      <c r="AU85" s="676">
        <f t="shared" si="0"/>
        <v>1500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</row>
    <row r="86" spans="1:86" s="96" customFormat="1" ht="30">
      <c r="A86" s="39"/>
      <c r="B86" s="656">
        <v>77</v>
      </c>
      <c r="C86" s="683" t="s">
        <v>1226</v>
      </c>
      <c r="D86" s="685">
        <v>40024561</v>
      </c>
      <c r="E86" s="687" t="s">
        <v>3396</v>
      </c>
      <c r="F86" s="685" t="s">
        <v>47</v>
      </c>
      <c r="G86" s="661" t="s">
        <v>3242</v>
      </c>
      <c r="H86" s="661" t="s">
        <v>3255</v>
      </c>
      <c r="I86" s="685" t="s">
        <v>52</v>
      </c>
      <c r="J86" s="664">
        <v>33955</v>
      </c>
      <c r="K86" s="665">
        <v>0</v>
      </c>
      <c r="L86" s="665">
        <v>0</v>
      </c>
      <c r="M86" s="665">
        <v>0</v>
      </c>
      <c r="N86" s="665">
        <v>0</v>
      </c>
      <c r="O86" s="665">
        <v>0</v>
      </c>
      <c r="P86" s="665">
        <v>0</v>
      </c>
      <c r="Q86" s="665">
        <v>0</v>
      </c>
      <c r="R86" s="665">
        <v>0</v>
      </c>
      <c r="S86" s="665">
        <v>0</v>
      </c>
      <c r="T86" s="665">
        <v>0</v>
      </c>
      <c r="U86" s="665">
        <v>0</v>
      </c>
      <c r="V86" s="665"/>
      <c r="W86" s="665"/>
      <c r="X86" s="665"/>
      <c r="Y86" s="665">
        <f t="shared" si="3"/>
        <v>0</v>
      </c>
      <c r="Z86" s="686">
        <v>6093</v>
      </c>
      <c r="AA86" s="672">
        <v>33</v>
      </c>
      <c r="AB86" s="670">
        <v>44350</v>
      </c>
      <c r="AC86" s="670">
        <v>44369</v>
      </c>
      <c r="AD86" s="669"/>
      <c r="AE86" s="344"/>
      <c r="AF86" s="360"/>
      <c r="AG86" s="668"/>
      <c r="AH86" s="671"/>
      <c r="AI86" s="672"/>
      <c r="AJ86" s="360"/>
      <c r="AK86" s="673"/>
      <c r="AL86" s="666"/>
      <c r="AM86" s="672"/>
      <c r="AN86" s="360"/>
      <c r="AO86" s="673"/>
      <c r="AP86" s="674"/>
      <c r="AQ86" s="672"/>
      <c r="AR86" s="360"/>
      <c r="AS86" s="673"/>
      <c r="AT86" s="675">
        <f t="shared" si="4"/>
        <v>6093</v>
      </c>
      <c r="AU86" s="676">
        <f t="shared" si="0"/>
        <v>6093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</row>
    <row r="87" spans="1:86" s="96" customFormat="1" ht="15">
      <c r="A87" s="39"/>
      <c r="B87" s="656">
        <v>79</v>
      </c>
      <c r="C87" s="683"/>
      <c r="D87" s="360">
        <v>30133425</v>
      </c>
      <c r="E87" s="659" t="s">
        <v>3340</v>
      </c>
      <c r="F87" s="688" t="s">
        <v>51</v>
      </c>
      <c r="G87" s="661" t="s">
        <v>3242</v>
      </c>
      <c r="H87" s="661" t="s">
        <v>3264</v>
      </c>
      <c r="I87" s="663" t="s">
        <v>52</v>
      </c>
      <c r="J87" s="664">
        <v>4048037</v>
      </c>
      <c r="K87" s="665">
        <v>0</v>
      </c>
      <c r="L87" s="665">
        <v>0</v>
      </c>
      <c r="M87" s="665"/>
      <c r="N87" s="665"/>
      <c r="O87" s="665"/>
      <c r="P87" s="665">
        <v>403874</v>
      </c>
      <c r="Q87" s="665">
        <v>0</v>
      </c>
      <c r="R87" s="665">
        <v>1888</v>
      </c>
      <c r="S87" s="665">
        <f>445132+375868+1888</f>
        <v>822888</v>
      </c>
      <c r="T87" s="665">
        <v>391856</v>
      </c>
      <c r="U87" s="665">
        <v>1888</v>
      </c>
      <c r="V87" s="665"/>
      <c r="W87" s="665"/>
      <c r="X87" s="665"/>
      <c r="Y87" s="665">
        <f t="shared" si="3"/>
        <v>1622394</v>
      </c>
      <c r="Z87" s="686">
        <v>3393184</v>
      </c>
      <c r="AA87" s="672">
        <v>37</v>
      </c>
      <c r="AB87" s="668">
        <v>44371</v>
      </c>
      <c r="AC87" s="668">
        <v>44379</v>
      </c>
      <c r="AD87" s="669">
        <v>-54621</v>
      </c>
      <c r="AE87" s="672">
        <v>38</v>
      </c>
      <c r="AF87" s="670">
        <v>44385</v>
      </c>
      <c r="AG87" s="670">
        <v>44392</v>
      </c>
      <c r="AH87" s="671"/>
      <c r="AI87" s="672"/>
      <c r="AJ87" s="360"/>
      <c r="AK87" s="673"/>
      <c r="AL87" s="666"/>
      <c r="AM87" s="672"/>
      <c r="AN87" s="360"/>
      <c r="AO87" s="673"/>
      <c r="AP87" s="674"/>
      <c r="AQ87" s="672"/>
      <c r="AR87" s="360"/>
      <c r="AS87" s="673"/>
      <c r="AT87" s="675">
        <f t="shared" si="4"/>
        <v>3338563</v>
      </c>
      <c r="AU87" s="676">
        <f t="shared" si="0"/>
        <v>1716169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</row>
    <row r="88" spans="1:86" s="96" customFormat="1" ht="45">
      <c r="A88" s="39"/>
      <c r="B88" s="656">
        <v>83</v>
      </c>
      <c r="C88" s="683"/>
      <c r="D88" s="688">
        <v>40012252</v>
      </c>
      <c r="E88" s="689" t="s">
        <v>3397</v>
      </c>
      <c r="F88" s="688" t="s">
        <v>51</v>
      </c>
      <c r="G88" s="661" t="s">
        <v>3242</v>
      </c>
      <c r="H88" s="661" t="s">
        <v>2046</v>
      </c>
      <c r="I88" s="663" t="s">
        <v>52</v>
      </c>
      <c r="J88" s="664">
        <v>3457350</v>
      </c>
      <c r="K88" s="665">
        <v>3111755</v>
      </c>
      <c r="L88" s="665">
        <v>0</v>
      </c>
      <c r="M88" s="665">
        <v>0</v>
      </c>
      <c r="N88" s="665">
        <v>0</v>
      </c>
      <c r="O88" s="665">
        <v>0</v>
      </c>
      <c r="P88" s="665">
        <v>0</v>
      </c>
      <c r="Q88" s="665">
        <v>0</v>
      </c>
      <c r="R88" s="665">
        <v>0</v>
      </c>
      <c r="S88" s="665">
        <v>0</v>
      </c>
      <c r="T88" s="665">
        <v>19</v>
      </c>
      <c r="U88" s="665">
        <v>0</v>
      </c>
      <c r="V88" s="665"/>
      <c r="W88" s="665"/>
      <c r="X88" s="665"/>
      <c r="Y88" s="665">
        <f t="shared" si="3"/>
        <v>19</v>
      </c>
      <c r="Z88" s="686">
        <v>20</v>
      </c>
      <c r="AA88" s="672">
        <v>37</v>
      </c>
      <c r="AB88" s="668">
        <v>44371</v>
      </c>
      <c r="AC88" s="668">
        <v>44379</v>
      </c>
      <c r="AD88" s="669"/>
      <c r="AE88" s="344"/>
      <c r="AF88" s="360"/>
      <c r="AG88" s="668"/>
      <c r="AH88" s="671"/>
      <c r="AI88" s="672"/>
      <c r="AJ88" s="360"/>
      <c r="AK88" s="673"/>
      <c r="AL88" s="666"/>
      <c r="AM88" s="672"/>
      <c r="AN88" s="360"/>
      <c r="AO88" s="673"/>
      <c r="AP88" s="674"/>
      <c r="AQ88" s="672"/>
      <c r="AR88" s="360"/>
      <c r="AS88" s="673"/>
      <c r="AT88" s="675">
        <f t="shared" si="4"/>
        <v>20</v>
      </c>
      <c r="AU88" s="676">
        <f t="shared" si="0"/>
        <v>1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</row>
    <row r="89" spans="1:86" s="96" customFormat="1" ht="24">
      <c r="A89" s="39"/>
      <c r="B89" s="656">
        <v>98</v>
      </c>
      <c r="C89" s="683"/>
      <c r="D89" s="360">
        <v>40008261</v>
      </c>
      <c r="E89" s="659" t="s">
        <v>3398</v>
      </c>
      <c r="F89" s="688" t="s">
        <v>51</v>
      </c>
      <c r="G89" s="661" t="s">
        <v>3242</v>
      </c>
      <c r="H89" s="661" t="s">
        <v>2046</v>
      </c>
      <c r="I89" s="663" t="s">
        <v>52</v>
      </c>
      <c r="J89" s="664">
        <v>129667</v>
      </c>
      <c r="K89" s="665">
        <v>16891</v>
      </c>
      <c r="L89" s="665">
        <v>0</v>
      </c>
      <c r="M89" s="665">
        <v>0</v>
      </c>
      <c r="N89" s="665">
        <v>0</v>
      </c>
      <c r="O89" s="665">
        <v>0</v>
      </c>
      <c r="P89" s="665">
        <v>0</v>
      </c>
      <c r="Q89" s="665">
        <v>0</v>
      </c>
      <c r="R89" s="665">
        <v>0</v>
      </c>
      <c r="S89" s="665">
        <v>0</v>
      </c>
      <c r="T89" s="665"/>
      <c r="U89" s="665">
        <f>15236+5777</f>
        <v>21013</v>
      </c>
      <c r="V89" s="665"/>
      <c r="W89" s="665"/>
      <c r="X89" s="665"/>
      <c r="Y89" s="665">
        <f t="shared" si="3"/>
        <v>21013</v>
      </c>
      <c r="Z89" s="686">
        <v>35736</v>
      </c>
      <c r="AA89" s="672">
        <v>39</v>
      </c>
      <c r="AB89" s="668">
        <v>44412</v>
      </c>
      <c r="AC89" s="668">
        <v>44463</v>
      </c>
      <c r="AD89" s="669"/>
      <c r="AE89" s="344"/>
      <c r="AF89" s="360"/>
      <c r="AG89" s="668"/>
      <c r="AH89" s="671"/>
      <c r="AI89" s="672"/>
      <c r="AJ89" s="360"/>
      <c r="AK89" s="673"/>
      <c r="AL89" s="666"/>
      <c r="AM89" s="672"/>
      <c r="AN89" s="360"/>
      <c r="AO89" s="673"/>
      <c r="AP89" s="674"/>
      <c r="AQ89" s="672"/>
      <c r="AR89" s="360"/>
      <c r="AS89" s="673"/>
      <c r="AT89" s="675">
        <f t="shared" si="4"/>
        <v>35736</v>
      </c>
      <c r="AU89" s="676">
        <f t="shared" si="0"/>
        <v>14723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</row>
    <row r="90" spans="1:86" s="96" customFormat="1" ht="12">
      <c r="A90" s="39"/>
      <c r="B90" s="656"/>
      <c r="C90" s="683"/>
      <c r="D90" s="360"/>
      <c r="E90" s="659"/>
      <c r="F90" s="660"/>
      <c r="G90" s="661"/>
      <c r="H90" s="661"/>
      <c r="I90" s="663"/>
      <c r="J90" s="664"/>
      <c r="K90" s="665"/>
      <c r="L90" s="665"/>
      <c r="M90" s="665"/>
      <c r="N90" s="665"/>
      <c r="O90" s="665"/>
      <c r="P90" s="665"/>
      <c r="Q90" s="665"/>
      <c r="R90" s="665"/>
      <c r="S90" s="665"/>
      <c r="T90" s="665"/>
      <c r="U90" s="665"/>
      <c r="V90" s="665"/>
      <c r="W90" s="665"/>
      <c r="X90" s="665"/>
      <c r="Y90" s="665">
        <f t="shared" ref="Y90:Y144" si="5">SUM(M90:X90)</f>
        <v>0</v>
      </c>
      <c r="Z90" s="686"/>
      <c r="AA90" s="672"/>
      <c r="AB90" s="360"/>
      <c r="AC90" s="668"/>
      <c r="AD90" s="669"/>
      <c r="AE90" s="344"/>
      <c r="AF90" s="360"/>
      <c r="AG90" s="668"/>
      <c r="AH90" s="671"/>
      <c r="AI90" s="672"/>
      <c r="AJ90" s="360"/>
      <c r="AK90" s="673"/>
      <c r="AL90" s="666"/>
      <c r="AM90" s="672"/>
      <c r="AN90" s="360"/>
      <c r="AO90" s="673"/>
      <c r="AP90" s="674"/>
      <c r="AQ90" s="672"/>
      <c r="AR90" s="360"/>
      <c r="AS90" s="673"/>
      <c r="AT90" s="675">
        <f t="shared" si="4"/>
        <v>0</v>
      </c>
      <c r="AU90" s="676">
        <f t="shared" si="0"/>
        <v>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</row>
    <row r="91" spans="1:86" s="96" customFormat="1" ht="12">
      <c r="A91" s="39"/>
      <c r="B91" s="690">
        <v>100</v>
      </c>
      <c r="C91" s="691"/>
      <c r="D91" s="692"/>
      <c r="E91" s="693"/>
      <c r="F91" s="694"/>
      <c r="G91" s="695"/>
      <c r="H91" s="696"/>
      <c r="I91" s="697"/>
      <c r="J91" s="698"/>
      <c r="K91" s="699"/>
      <c r="L91" s="699"/>
      <c r="M91" s="699"/>
      <c r="N91" s="699"/>
      <c r="O91" s="699"/>
      <c r="P91" s="699"/>
      <c r="Q91" s="699"/>
      <c r="R91" s="699"/>
      <c r="S91" s="699"/>
      <c r="T91" s="699"/>
      <c r="U91" s="699"/>
      <c r="V91" s="699"/>
      <c r="W91" s="699"/>
      <c r="X91" s="699"/>
      <c r="Y91" s="699">
        <f t="shared" si="5"/>
        <v>0</v>
      </c>
      <c r="Z91" s="700"/>
      <c r="AA91" s="701"/>
      <c r="AB91" s="702"/>
      <c r="AC91" s="702"/>
      <c r="AD91" s="703"/>
      <c r="AE91" s="704"/>
      <c r="AF91" s="705"/>
      <c r="AG91" s="706"/>
      <c r="AH91" s="707"/>
      <c r="AI91" s="701"/>
      <c r="AJ91" s="705"/>
      <c r="AK91" s="708"/>
      <c r="AL91" s="700"/>
      <c r="AM91" s="701"/>
      <c r="AN91" s="705"/>
      <c r="AO91" s="708"/>
      <c r="AP91" s="709"/>
      <c r="AQ91" s="701"/>
      <c r="AR91" s="705"/>
      <c r="AS91" s="708"/>
      <c r="AT91" s="710">
        <f t="shared" si="4"/>
        <v>0</v>
      </c>
      <c r="AU91" s="711">
        <f t="shared" si="0"/>
        <v>0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</row>
    <row r="92" spans="1:86" s="96" customFormat="1" ht="12" hidden="1">
      <c r="A92" s="39"/>
      <c r="B92" s="712">
        <v>101</v>
      </c>
      <c r="C92" s="713"/>
      <c r="D92" s="714"/>
      <c r="E92" s="715"/>
      <c r="F92" s="660"/>
      <c r="G92" s="661"/>
      <c r="H92" s="716"/>
      <c r="I92" s="663"/>
      <c r="J92" s="664"/>
      <c r="K92" s="665"/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5"/>
      <c r="Y92" s="665">
        <f t="shared" si="5"/>
        <v>0</v>
      </c>
      <c r="Z92" s="666"/>
      <c r="AA92" s="672"/>
      <c r="AB92" s="670"/>
      <c r="AC92" s="670"/>
      <c r="AD92" s="669"/>
      <c r="AE92" s="344"/>
      <c r="AF92" s="360"/>
      <c r="AG92" s="668"/>
      <c r="AH92" s="671"/>
      <c r="AI92" s="672"/>
      <c r="AJ92" s="360"/>
      <c r="AK92" s="673"/>
      <c r="AL92" s="666"/>
      <c r="AM92" s="672"/>
      <c r="AN92" s="360"/>
      <c r="AO92" s="673"/>
      <c r="AP92" s="674"/>
      <c r="AQ92" s="672"/>
      <c r="AR92" s="360"/>
      <c r="AS92" s="673"/>
      <c r="AT92" s="675">
        <f t="shared" si="4"/>
        <v>0</v>
      </c>
      <c r="AU92" s="676">
        <f t="shared" si="0"/>
        <v>0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</row>
    <row r="93" spans="1:86" s="96" customFormat="1" ht="12" hidden="1">
      <c r="A93" s="39"/>
      <c r="B93" s="712">
        <v>102</v>
      </c>
      <c r="C93" s="713"/>
      <c r="D93" s="714"/>
      <c r="E93" s="715"/>
      <c r="F93" s="660"/>
      <c r="G93" s="661"/>
      <c r="H93" s="716"/>
      <c r="I93" s="663"/>
      <c r="J93" s="664"/>
      <c r="K93" s="665"/>
      <c r="L93" s="665"/>
      <c r="M93" s="665"/>
      <c r="N93" s="665"/>
      <c r="O93" s="665"/>
      <c r="P93" s="665"/>
      <c r="Q93" s="665"/>
      <c r="R93" s="665"/>
      <c r="S93" s="665"/>
      <c r="T93" s="665"/>
      <c r="U93" s="665"/>
      <c r="V93" s="665"/>
      <c r="W93" s="665"/>
      <c r="X93" s="665"/>
      <c r="Y93" s="665">
        <f t="shared" si="5"/>
        <v>0</v>
      </c>
      <c r="Z93" s="666"/>
      <c r="AA93" s="672"/>
      <c r="AB93" s="670"/>
      <c r="AC93" s="670"/>
      <c r="AD93" s="669"/>
      <c r="AE93" s="344"/>
      <c r="AF93" s="360"/>
      <c r="AG93" s="668"/>
      <c r="AH93" s="671"/>
      <c r="AI93" s="672"/>
      <c r="AJ93" s="360"/>
      <c r="AK93" s="673"/>
      <c r="AL93" s="666"/>
      <c r="AM93" s="672"/>
      <c r="AN93" s="360"/>
      <c r="AO93" s="673"/>
      <c r="AP93" s="674"/>
      <c r="AQ93" s="672"/>
      <c r="AR93" s="360"/>
      <c r="AS93" s="673"/>
      <c r="AT93" s="675">
        <f t="shared" si="4"/>
        <v>0</v>
      </c>
      <c r="AU93" s="676">
        <f t="shared" si="0"/>
        <v>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</row>
    <row r="94" spans="1:86" s="96" customFormat="1" ht="12" hidden="1">
      <c r="A94" s="39"/>
      <c r="B94" s="712">
        <v>103</v>
      </c>
      <c r="C94" s="713"/>
      <c r="D94" s="714"/>
      <c r="E94" s="715"/>
      <c r="F94" s="660"/>
      <c r="G94" s="661"/>
      <c r="H94" s="716"/>
      <c r="I94" s="663"/>
      <c r="J94" s="664"/>
      <c r="K94" s="665"/>
      <c r="L94" s="665"/>
      <c r="M94" s="665"/>
      <c r="N94" s="665"/>
      <c r="O94" s="665"/>
      <c r="P94" s="665"/>
      <c r="Q94" s="665"/>
      <c r="R94" s="665"/>
      <c r="S94" s="665"/>
      <c r="T94" s="665"/>
      <c r="U94" s="665"/>
      <c r="V94" s="665"/>
      <c r="W94" s="665"/>
      <c r="X94" s="665"/>
      <c r="Y94" s="665">
        <f t="shared" si="5"/>
        <v>0</v>
      </c>
      <c r="Z94" s="666"/>
      <c r="AA94" s="672"/>
      <c r="AB94" s="670"/>
      <c r="AC94" s="670"/>
      <c r="AD94" s="669"/>
      <c r="AE94" s="344"/>
      <c r="AF94" s="360"/>
      <c r="AG94" s="668"/>
      <c r="AH94" s="671"/>
      <c r="AI94" s="672"/>
      <c r="AJ94" s="360"/>
      <c r="AK94" s="673"/>
      <c r="AL94" s="666"/>
      <c r="AM94" s="672"/>
      <c r="AN94" s="360"/>
      <c r="AO94" s="673"/>
      <c r="AP94" s="674"/>
      <c r="AQ94" s="672"/>
      <c r="AR94" s="360"/>
      <c r="AS94" s="673"/>
      <c r="AT94" s="675">
        <f t="shared" si="4"/>
        <v>0</v>
      </c>
      <c r="AU94" s="676">
        <f t="shared" si="0"/>
        <v>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</row>
    <row r="95" spans="1:86" s="96" customFormat="1" ht="12" hidden="1">
      <c r="A95" s="39"/>
      <c r="B95" s="712">
        <v>104</v>
      </c>
      <c r="C95" s="713"/>
      <c r="D95" s="714"/>
      <c r="E95" s="715"/>
      <c r="F95" s="660"/>
      <c r="G95" s="661"/>
      <c r="H95" s="716"/>
      <c r="I95" s="663"/>
      <c r="J95" s="664"/>
      <c r="K95" s="665"/>
      <c r="L95" s="665"/>
      <c r="M95" s="665"/>
      <c r="N95" s="665"/>
      <c r="O95" s="665"/>
      <c r="P95" s="665"/>
      <c r="Q95" s="665"/>
      <c r="R95" s="665"/>
      <c r="S95" s="665"/>
      <c r="T95" s="665"/>
      <c r="U95" s="665"/>
      <c r="V95" s="665"/>
      <c r="W95" s="665"/>
      <c r="X95" s="665"/>
      <c r="Y95" s="665">
        <f t="shared" si="5"/>
        <v>0</v>
      </c>
      <c r="Z95" s="666"/>
      <c r="AA95" s="672"/>
      <c r="AB95" s="670"/>
      <c r="AC95" s="670"/>
      <c r="AD95" s="669"/>
      <c r="AE95" s="344"/>
      <c r="AF95" s="360"/>
      <c r="AG95" s="668"/>
      <c r="AH95" s="671"/>
      <c r="AI95" s="672"/>
      <c r="AJ95" s="360"/>
      <c r="AK95" s="673"/>
      <c r="AL95" s="666"/>
      <c r="AM95" s="672"/>
      <c r="AN95" s="360"/>
      <c r="AO95" s="673"/>
      <c r="AP95" s="674"/>
      <c r="AQ95" s="672"/>
      <c r="AR95" s="360"/>
      <c r="AS95" s="673"/>
      <c r="AT95" s="675">
        <f t="shared" si="4"/>
        <v>0</v>
      </c>
      <c r="AU95" s="676">
        <f t="shared" si="0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</row>
    <row r="96" spans="1:86" s="96" customFormat="1" ht="12" hidden="1">
      <c r="A96" s="39"/>
      <c r="B96" s="712">
        <v>105</v>
      </c>
      <c r="C96" s="713"/>
      <c r="D96" s="714"/>
      <c r="E96" s="715"/>
      <c r="F96" s="660"/>
      <c r="G96" s="661"/>
      <c r="H96" s="716"/>
      <c r="I96" s="663"/>
      <c r="J96" s="664"/>
      <c r="K96" s="665"/>
      <c r="L96" s="665"/>
      <c r="M96" s="665"/>
      <c r="N96" s="665"/>
      <c r="O96" s="665"/>
      <c r="P96" s="665"/>
      <c r="Q96" s="665"/>
      <c r="R96" s="665"/>
      <c r="S96" s="665"/>
      <c r="T96" s="665"/>
      <c r="U96" s="665"/>
      <c r="V96" s="665"/>
      <c r="W96" s="665"/>
      <c r="X96" s="665"/>
      <c r="Y96" s="665">
        <f t="shared" si="5"/>
        <v>0</v>
      </c>
      <c r="Z96" s="666"/>
      <c r="AA96" s="672"/>
      <c r="AB96" s="670"/>
      <c r="AC96" s="670"/>
      <c r="AD96" s="669"/>
      <c r="AE96" s="344"/>
      <c r="AF96" s="360"/>
      <c r="AG96" s="668"/>
      <c r="AH96" s="671"/>
      <c r="AI96" s="672"/>
      <c r="AJ96" s="360"/>
      <c r="AK96" s="673"/>
      <c r="AL96" s="666"/>
      <c r="AM96" s="672"/>
      <c r="AN96" s="360"/>
      <c r="AO96" s="673"/>
      <c r="AP96" s="674"/>
      <c r="AQ96" s="672"/>
      <c r="AR96" s="360"/>
      <c r="AS96" s="673"/>
      <c r="AT96" s="675">
        <f t="shared" si="4"/>
        <v>0</v>
      </c>
      <c r="AU96" s="676">
        <f t="shared" si="0"/>
        <v>0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</row>
    <row r="97" spans="1:86" s="96" customFormat="1" ht="12" hidden="1">
      <c r="A97" s="39"/>
      <c r="B97" s="712">
        <v>106</v>
      </c>
      <c r="C97" s="713"/>
      <c r="D97" s="714"/>
      <c r="E97" s="715"/>
      <c r="F97" s="660"/>
      <c r="G97" s="661"/>
      <c r="H97" s="716"/>
      <c r="I97" s="663"/>
      <c r="J97" s="664"/>
      <c r="K97" s="665"/>
      <c r="L97" s="665"/>
      <c r="M97" s="665"/>
      <c r="N97" s="665"/>
      <c r="O97" s="665"/>
      <c r="P97" s="665"/>
      <c r="Q97" s="665"/>
      <c r="R97" s="665"/>
      <c r="S97" s="665"/>
      <c r="T97" s="665"/>
      <c r="U97" s="665"/>
      <c r="V97" s="665"/>
      <c r="W97" s="665"/>
      <c r="X97" s="665"/>
      <c r="Y97" s="665">
        <f t="shared" si="5"/>
        <v>0</v>
      </c>
      <c r="Z97" s="666"/>
      <c r="AA97" s="672"/>
      <c r="AB97" s="360"/>
      <c r="AC97" s="668"/>
      <c r="AD97" s="669"/>
      <c r="AE97" s="344"/>
      <c r="AF97" s="360"/>
      <c r="AG97" s="668"/>
      <c r="AH97" s="671"/>
      <c r="AI97" s="672"/>
      <c r="AJ97" s="360"/>
      <c r="AK97" s="673"/>
      <c r="AL97" s="666"/>
      <c r="AM97" s="672"/>
      <c r="AN97" s="360"/>
      <c r="AO97" s="673"/>
      <c r="AP97" s="674"/>
      <c r="AQ97" s="672"/>
      <c r="AR97" s="360"/>
      <c r="AS97" s="673"/>
      <c r="AT97" s="675">
        <f t="shared" si="4"/>
        <v>0</v>
      </c>
      <c r="AU97" s="676">
        <f t="shared" si="0"/>
        <v>0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</row>
    <row r="98" spans="1:86" s="96" customFormat="1" ht="12" hidden="1">
      <c r="A98" s="39"/>
      <c r="B98" s="712">
        <v>107</v>
      </c>
      <c r="C98" s="713"/>
      <c r="D98" s="714"/>
      <c r="E98" s="715"/>
      <c r="F98" s="660"/>
      <c r="G98" s="661"/>
      <c r="H98" s="716"/>
      <c r="I98" s="663"/>
      <c r="J98" s="664"/>
      <c r="K98" s="665"/>
      <c r="L98" s="665"/>
      <c r="M98" s="665"/>
      <c r="N98" s="665"/>
      <c r="O98" s="665"/>
      <c r="P98" s="665"/>
      <c r="Q98" s="665"/>
      <c r="R98" s="665"/>
      <c r="S98" s="665"/>
      <c r="T98" s="665"/>
      <c r="U98" s="665"/>
      <c r="V98" s="665"/>
      <c r="W98" s="665"/>
      <c r="X98" s="665"/>
      <c r="Y98" s="665">
        <f t="shared" si="5"/>
        <v>0</v>
      </c>
      <c r="Z98" s="666"/>
      <c r="AA98" s="672"/>
      <c r="AB98" s="360"/>
      <c r="AC98" s="668"/>
      <c r="AD98" s="669"/>
      <c r="AE98" s="344"/>
      <c r="AF98" s="360"/>
      <c r="AG98" s="668"/>
      <c r="AH98" s="671"/>
      <c r="AI98" s="672"/>
      <c r="AJ98" s="360"/>
      <c r="AK98" s="673"/>
      <c r="AL98" s="666"/>
      <c r="AM98" s="672"/>
      <c r="AN98" s="360"/>
      <c r="AO98" s="673"/>
      <c r="AP98" s="674"/>
      <c r="AQ98" s="672"/>
      <c r="AR98" s="360"/>
      <c r="AS98" s="673"/>
      <c r="AT98" s="675">
        <f t="shared" si="4"/>
        <v>0</v>
      </c>
      <c r="AU98" s="676">
        <f t="shared" si="0"/>
        <v>0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</row>
    <row r="99" spans="1:86" s="96" customFormat="1" ht="12" hidden="1">
      <c r="A99" s="39"/>
      <c r="B99" s="712">
        <v>108</v>
      </c>
      <c r="C99" s="713"/>
      <c r="D99" s="714"/>
      <c r="E99" s="715"/>
      <c r="F99" s="660"/>
      <c r="G99" s="661"/>
      <c r="H99" s="716"/>
      <c r="I99" s="663"/>
      <c r="J99" s="664"/>
      <c r="K99" s="665"/>
      <c r="L99" s="665"/>
      <c r="M99" s="665"/>
      <c r="N99" s="665"/>
      <c r="O99" s="665"/>
      <c r="P99" s="665"/>
      <c r="Q99" s="665"/>
      <c r="R99" s="665"/>
      <c r="S99" s="665"/>
      <c r="T99" s="665"/>
      <c r="U99" s="665"/>
      <c r="V99" s="665"/>
      <c r="W99" s="665"/>
      <c r="X99" s="665"/>
      <c r="Y99" s="665">
        <f t="shared" si="5"/>
        <v>0</v>
      </c>
      <c r="Z99" s="666"/>
      <c r="AA99" s="672"/>
      <c r="AB99" s="360"/>
      <c r="AC99" s="668"/>
      <c r="AD99" s="669"/>
      <c r="AE99" s="344"/>
      <c r="AF99" s="360"/>
      <c r="AG99" s="668"/>
      <c r="AH99" s="671"/>
      <c r="AI99" s="672"/>
      <c r="AJ99" s="360"/>
      <c r="AK99" s="673"/>
      <c r="AL99" s="666"/>
      <c r="AM99" s="672"/>
      <c r="AN99" s="360"/>
      <c r="AO99" s="673"/>
      <c r="AP99" s="674"/>
      <c r="AQ99" s="672"/>
      <c r="AR99" s="360"/>
      <c r="AS99" s="673"/>
      <c r="AT99" s="675">
        <f t="shared" si="4"/>
        <v>0</v>
      </c>
      <c r="AU99" s="676">
        <f t="shared" si="0"/>
        <v>0</v>
      </c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</row>
    <row r="100" spans="1:86" s="96" customFormat="1" ht="12" hidden="1">
      <c r="A100" s="39"/>
      <c r="B100" s="712">
        <v>109</v>
      </c>
      <c r="C100" s="713"/>
      <c r="D100" s="714"/>
      <c r="E100" s="715"/>
      <c r="F100" s="660"/>
      <c r="G100" s="661"/>
      <c r="H100" s="716"/>
      <c r="I100" s="663"/>
      <c r="J100" s="664"/>
      <c r="K100" s="665"/>
      <c r="L100" s="665"/>
      <c r="M100" s="665"/>
      <c r="N100" s="665"/>
      <c r="O100" s="665"/>
      <c r="P100" s="665"/>
      <c r="Q100" s="665"/>
      <c r="R100" s="665"/>
      <c r="S100" s="665"/>
      <c r="T100" s="665"/>
      <c r="U100" s="665"/>
      <c r="V100" s="665"/>
      <c r="W100" s="665"/>
      <c r="X100" s="665"/>
      <c r="Y100" s="665">
        <f t="shared" si="5"/>
        <v>0</v>
      </c>
      <c r="Z100" s="666"/>
      <c r="AA100" s="672"/>
      <c r="AB100" s="360"/>
      <c r="AC100" s="668"/>
      <c r="AD100" s="669"/>
      <c r="AE100" s="344"/>
      <c r="AF100" s="360"/>
      <c r="AG100" s="668"/>
      <c r="AH100" s="671"/>
      <c r="AI100" s="672"/>
      <c r="AJ100" s="360"/>
      <c r="AK100" s="673"/>
      <c r="AL100" s="666"/>
      <c r="AM100" s="672"/>
      <c r="AN100" s="360"/>
      <c r="AO100" s="673"/>
      <c r="AP100" s="674"/>
      <c r="AQ100" s="672"/>
      <c r="AR100" s="360"/>
      <c r="AS100" s="673"/>
      <c r="AT100" s="675">
        <f t="shared" si="4"/>
        <v>0</v>
      </c>
      <c r="AU100" s="676">
        <f t="shared" si="0"/>
        <v>0</v>
      </c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</row>
    <row r="101" spans="1:86" s="96" customFormat="1" ht="12" hidden="1">
      <c r="A101" s="39"/>
      <c r="B101" s="712">
        <v>110</v>
      </c>
      <c r="C101" s="713"/>
      <c r="D101" s="714"/>
      <c r="E101" s="715"/>
      <c r="F101" s="660"/>
      <c r="G101" s="661"/>
      <c r="H101" s="716"/>
      <c r="I101" s="663"/>
      <c r="J101" s="664"/>
      <c r="K101" s="665"/>
      <c r="L101" s="665"/>
      <c r="M101" s="665"/>
      <c r="N101" s="665"/>
      <c r="O101" s="665"/>
      <c r="P101" s="665"/>
      <c r="Q101" s="665"/>
      <c r="R101" s="665"/>
      <c r="S101" s="665"/>
      <c r="T101" s="665"/>
      <c r="U101" s="665"/>
      <c r="V101" s="665"/>
      <c r="W101" s="665"/>
      <c r="X101" s="665"/>
      <c r="Y101" s="665">
        <f t="shared" si="5"/>
        <v>0</v>
      </c>
      <c r="Z101" s="666"/>
      <c r="AA101" s="672"/>
      <c r="AB101" s="360"/>
      <c r="AC101" s="668"/>
      <c r="AD101" s="669"/>
      <c r="AE101" s="344"/>
      <c r="AF101" s="360"/>
      <c r="AG101" s="668"/>
      <c r="AH101" s="671"/>
      <c r="AI101" s="672"/>
      <c r="AJ101" s="360"/>
      <c r="AK101" s="673"/>
      <c r="AL101" s="666"/>
      <c r="AM101" s="672"/>
      <c r="AN101" s="360"/>
      <c r="AO101" s="673"/>
      <c r="AP101" s="674"/>
      <c r="AQ101" s="672"/>
      <c r="AR101" s="360"/>
      <c r="AS101" s="673"/>
      <c r="AT101" s="675">
        <f t="shared" si="4"/>
        <v>0</v>
      </c>
      <c r="AU101" s="676">
        <f t="shared" si="0"/>
        <v>0</v>
      </c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</row>
    <row r="102" spans="1:86" s="96" customFormat="1" ht="12" hidden="1">
      <c r="A102" s="39"/>
      <c r="B102" s="712">
        <v>111</v>
      </c>
      <c r="C102" s="713"/>
      <c r="D102" s="714"/>
      <c r="E102" s="715"/>
      <c r="F102" s="660"/>
      <c r="G102" s="661"/>
      <c r="H102" s="716"/>
      <c r="I102" s="663"/>
      <c r="J102" s="664"/>
      <c r="K102" s="665"/>
      <c r="L102" s="665"/>
      <c r="M102" s="665"/>
      <c r="N102" s="665"/>
      <c r="O102" s="665"/>
      <c r="P102" s="665"/>
      <c r="Q102" s="665"/>
      <c r="R102" s="665"/>
      <c r="S102" s="665"/>
      <c r="T102" s="665"/>
      <c r="U102" s="665"/>
      <c r="V102" s="665"/>
      <c r="W102" s="665"/>
      <c r="X102" s="665"/>
      <c r="Y102" s="665">
        <f t="shared" si="5"/>
        <v>0</v>
      </c>
      <c r="Z102" s="666"/>
      <c r="AA102" s="672"/>
      <c r="AB102" s="670"/>
      <c r="AC102" s="670"/>
      <c r="AD102" s="669"/>
      <c r="AE102" s="344"/>
      <c r="AF102" s="360"/>
      <c r="AG102" s="668"/>
      <c r="AH102" s="671"/>
      <c r="AI102" s="672"/>
      <c r="AJ102" s="360"/>
      <c r="AK102" s="673"/>
      <c r="AL102" s="666"/>
      <c r="AM102" s="672"/>
      <c r="AN102" s="360"/>
      <c r="AO102" s="673"/>
      <c r="AP102" s="674"/>
      <c r="AQ102" s="672"/>
      <c r="AR102" s="360"/>
      <c r="AS102" s="673"/>
      <c r="AT102" s="675">
        <f t="shared" si="4"/>
        <v>0</v>
      </c>
      <c r="AU102" s="676">
        <f t="shared" si="0"/>
        <v>0</v>
      </c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</row>
    <row r="103" spans="1:86" s="96" customFormat="1" ht="12" hidden="1">
      <c r="A103" s="39"/>
      <c r="B103" s="712">
        <v>112</v>
      </c>
      <c r="C103" s="713"/>
      <c r="D103" s="714"/>
      <c r="E103" s="715"/>
      <c r="F103" s="660"/>
      <c r="G103" s="661"/>
      <c r="H103" s="716"/>
      <c r="I103" s="663"/>
      <c r="J103" s="664"/>
      <c r="K103" s="665"/>
      <c r="L103" s="665"/>
      <c r="M103" s="665"/>
      <c r="N103" s="665"/>
      <c r="O103" s="665"/>
      <c r="P103" s="665"/>
      <c r="Q103" s="665"/>
      <c r="R103" s="665"/>
      <c r="S103" s="665"/>
      <c r="T103" s="665"/>
      <c r="U103" s="665"/>
      <c r="V103" s="665"/>
      <c r="W103" s="665"/>
      <c r="X103" s="665"/>
      <c r="Y103" s="665">
        <f t="shared" si="5"/>
        <v>0</v>
      </c>
      <c r="Z103" s="666"/>
      <c r="AA103" s="672"/>
      <c r="AB103" s="670"/>
      <c r="AC103" s="670"/>
      <c r="AD103" s="669"/>
      <c r="AE103" s="344"/>
      <c r="AF103" s="360"/>
      <c r="AG103" s="668"/>
      <c r="AH103" s="671"/>
      <c r="AI103" s="672"/>
      <c r="AJ103" s="360"/>
      <c r="AK103" s="673"/>
      <c r="AL103" s="666"/>
      <c r="AM103" s="672"/>
      <c r="AN103" s="360"/>
      <c r="AO103" s="673"/>
      <c r="AP103" s="674"/>
      <c r="AQ103" s="672"/>
      <c r="AR103" s="360"/>
      <c r="AS103" s="673"/>
      <c r="AT103" s="675">
        <f t="shared" si="4"/>
        <v>0</v>
      </c>
      <c r="AU103" s="676">
        <f t="shared" si="0"/>
        <v>0</v>
      </c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</row>
    <row r="104" spans="1:86" s="96" customFormat="1" ht="12" hidden="1">
      <c r="A104" s="39"/>
      <c r="B104" s="712">
        <v>113</v>
      </c>
      <c r="C104" s="713"/>
      <c r="D104" s="714"/>
      <c r="E104" s="715"/>
      <c r="F104" s="660"/>
      <c r="G104" s="661"/>
      <c r="H104" s="716"/>
      <c r="I104" s="663"/>
      <c r="J104" s="664"/>
      <c r="K104" s="665"/>
      <c r="L104" s="665"/>
      <c r="M104" s="665"/>
      <c r="N104" s="665"/>
      <c r="O104" s="665"/>
      <c r="P104" s="665"/>
      <c r="Q104" s="665"/>
      <c r="R104" s="665"/>
      <c r="S104" s="665"/>
      <c r="T104" s="665"/>
      <c r="U104" s="665"/>
      <c r="V104" s="665"/>
      <c r="W104" s="665"/>
      <c r="X104" s="665"/>
      <c r="Y104" s="665">
        <f t="shared" si="5"/>
        <v>0</v>
      </c>
      <c r="Z104" s="666"/>
      <c r="AA104" s="672"/>
      <c r="AB104" s="670"/>
      <c r="AC104" s="670"/>
      <c r="AD104" s="669"/>
      <c r="AE104" s="344"/>
      <c r="AF104" s="360"/>
      <c r="AG104" s="668"/>
      <c r="AH104" s="671"/>
      <c r="AI104" s="672"/>
      <c r="AJ104" s="360"/>
      <c r="AK104" s="673"/>
      <c r="AL104" s="666"/>
      <c r="AM104" s="672"/>
      <c r="AN104" s="360"/>
      <c r="AO104" s="673"/>
      <c r="AP104" s="674"/>
      <c r="AQ104" s="672"/>
      <c r="AR104" s="360"/>
      <c r="AS104" s="673"/>
      <c r="AT104" s="675">
        <f t="shared" si="4"/>
        <v>0</v>
      </c>
      <c r="AU104" s="676">
        <f t="shared" si="0"/>
        <v>0</v>
      </c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</row>
    <row r="105" spans="1:86" s="96" customFormat="1" ht="12" hidden="1">
      <c r="A105" s="39"/>
      <c r="B105" s="712">
        <v>114</v>
      </c>
      <c r="C105" s="713"/>
      <c r="D105" s="714"/>
      <c r="E105" s="715"/>
      <c r="F105" s="660"/>
      <c r="G105" s="661"/>
      <c r="H105" s="716"/>
      <c r="I105" s="663"/>
      <c r="J105" s="664"/>
      <c r="K105" s="665"/>
      <c r="L105" s="665"/>
      <c r="M105" s="665"/>
      <c r="N105" s="665"/>
      <c r="O105" s="665"/>
      <c r="P105" s="665"/>
      <c r="Q105" s="665"/>
      <c r="R105" s="665"/>
      <c r="S105" s="665"/>
      <c r="T105" s="665"/>
      <c r="U105" s="665"/>
      <c r="V105" s="665"/>
      <c r="W105" s="665"/>
      <c r="X105" s="665"/>
      <c r="Y105" s="665">
        <f t="shared" si="5"/>
        <v>0</v>
      </c>
      <c r="Z105" s="666"/>
      <c r="AA105" s="672"/>
      <c r="AB105" s="670"/>
      <c r="AC105" s="670"/>
      <c r="AD105" s="669"/>
      <c r="AE105" s="344"/>
      <c r="AF105" s="360"/>
      <c r="AG105" s="668"/>
      <c r="AH105" s="671"/>
      <c r="AI105" s="672"/>
      <c r="AJ105" s="360"/>
      <c r="AK105" s="673"/>
      <c r="AL105" s="666"/>
      <c r="AM105" s="672"/>
      <c r="AN105" s="360"/>
      <c r="AO105" s="673"/>
      <c r="AP105" s="674"/>
      <c r="AQ105" s="672"/>
      <c r="AR105" s="360"/>
      <c r="AS105" s="673"/>
      <c r="AT105" s="675">
        <f t="shared" si="4"/>
        <v>0</v>
      </c>
      <c r="AU105" s="676">
        <f t="shared" si="0"/>
        <v>0</v>
      </c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</row>
    <row r="106" spans="1:86" s="96" customFormat="1" ht="12" hidden="1">
      <c r="A106" s="39"/>
      <c r="B106" s="712">
        <v>115</v>
      </c>
      <c r="C106" s="713"/>
      <c r="D106" s="714"/>
      <c r="E106" s="715"/>
      <c r="F106" s="660"/>
      <c r="G106" s="661"/>
      <c r="H106" s="716"/>
      <c r="I106" s="663"/>
      <c r="J106" s="664"/>
      <c r="K106" s="665"/>
      <c r="L106" s="665"/>
      <c r="M106" s="665"/>
      <c r="N106" s="665"/>
      <c r="O106" s="665"/>
      <c r="P106" s="665"/>
      <c r="Q106" s="665"/>
      <c r="R106" s="665"/>
      <c r="S106" s="665"/>
      <c r="T106" s="665"/>
      <c r="U106" s="665"/>
      <c r="V106" s="665"/>
      <c r="W106" s="665"/>
      <c r="X106" s="665"/>
      <c r="Y106" s="665">
        <f t="shared" si="5"/>
        <v>0</v>
      </c>
      <c r="Z106" s="666"/>
      <c r="AA106" s="672"/>
      <c r="AB106" s="670"/>
      <c r="AC106" s="670"/>
      <c r="AD106" s="669"/>
      <c r="AE106" s="344"/>
      <c r="AF106" s="360"/>
      <c r="AG106" s="668"/>
      <c r="AH106" s="671"/>
      <c r="AI106" s="672"/>
      <c r="AJ106" s="360"/>
      <c r="AK106" s="673"/>
      <c r="AL106" s="666"/>
      <c r="AM106" s="672"/>
      <c r="AN106" s="360"/>
      <c r="AO106" s="673"/>
      <c r="AP106" s="674"/>
      <c r="AQ106" s="672"/>
      <c r="AR106" s="360"/>
      <c r="AS106" s="673"/>
      <c r="AT106" s="675">
        <f t="shared" si="4"/>
        <v>0</v>
      </c>
      <c r="AU106" s="676">
        <f t="shared" si="0"/>
        <v>0</v>
      </c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</row>
    <row r="107" spans="1:86" s="96" customFormat="1" ht="12" hidden="1">
      <c r="A107" s="39"/>
      <c r="B107" s="712">
        <v>116</v>
      </c>
      <c r="C107" s="713"/>
      <c r="D107" s="714"/>
      <c r="E107" s="715"/>
      <c r="F107" s="660"/>
      <c r="G107" s="661"/>
      <c r="H107" s="716"/>
      <c r="I107" s="663"/>
      <c r="J107" s="664"/>
      <c r="K107" s="665"/>
      <c r="L107" s="665"/>
      <c r="M107" s="665"/>
      <c r="N107" s="665"/>
      <c r="O107" s="665"/>
      <c r="P107" s="665"/>
      <c r="Q107" s="665"/>
      <c r="R107" s="665"/>
      <c r="S107" s="665"/>
      <c r="T107" s="665"/>
      <c r="U107" s="665"/>
      <c r="V107" s="665"/>
      <c r="W107" s="665"/>
      <c r="X107" s="665"/>
      <c r="Y107" s="665">
        <f t="shared" si="5"/>
        <v>0</v>
      </c>
      <c r="Z107" s="666"/>
      <c r="AA107" s="672"/>
      <c r="AB107" s="670"/>
      <c r="AC107" s="670"/>
      <c r="AD107" s="669"/>
      <c r="AE107" s="344"/>
      <c r="AF107" s="360"/>
      <c r="AG107" s="668"/>
      <c r="AH107" s="671"/>
      <c r="AI107" s="672"/>
      <c r="AJ107" s="360"/>
      <c r="AK107" s="673"/>
      <c r="AL107" s="666"/>
      <c r="AM107" s="672"/>
      <c r="AN107" s="360"/>
      <c r="AO107" s="673"/>
      <c r="AP107" s="674"/>
      <c r="AQ107" s="672"/>
      <c r="AR107" s="360"/>
      <c r="AS107" s="673"/>
      <c r="AT107" s="675">
        <f t="shared" si="4"/>
        <v>0</v>
      </c>
      <c r="AU107" s="676">
        <f t="shared" si="0"/>
        <v>0</v>
      </c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</row>
    <row r="108" spans="1:86" s="96" customFormat="1" ht="12" hidden="1">
      <c r="A108" s="39"/>
      <c r="B108" s="712">
        <v>117</v>
      </c>
      <c r="C108" s="713"/>
      <c r="D108" s="714"/>
      <c r="E108" s="715"/>
      <c r="F108" s="660"/>
      <c r="G108" s="661"/>
      <c r="H108" s="716"/>
      <c r="I108" s="663"/>
      <c r="J108" s="664"/>
      <c r="K108" s="665"/>
      <c r="L108" s="665"/>
      <c r="M108" s="665"/>
      <c r="N108" s="665"/>
      <c r="O108" s="665"/>
      <c r="P108" s="665"/>
      <c r="Q108" s="665"/>
      <c r="R108" s="665"/>
      <c r="S108" s="665"/>
      <c r="T108" s="665"/>
      <c r="U108" s="665"/>
      <c r="V108" s="665"/>
      <c r="W108" s="665"/>
      <c r="X108" s="665"/>
      <c r="Y108" s="665">
        <f t="shared" si="5"/>
        <v>0</v>
      </c>
      <c r="Z108" s="666"/>
      <c r="AA108" s="672"/>
      <c r="AB108" s="360"/>
      <c r="AC108" s="668"/>
      <c r="AD108" s="669"/>
      <c r="AE108" s="344"/>
      <c r="AF108" s="360"/>
      <c r="AG108" s="668"/>
      <c r="AH108" s="671"/>
      <c r="AI108" s="672"/>
      <c r="AJ108" s="360"/>
      <c r="AK108" s="673"/>
      <c r="AL108" s="666"/>
      <c r="AM108" s="672"/>
      <c r="AN108" s="360"/>
      <c r="AO108" s="673"/>
      <c r="AP108" s="674"/>
      <c r="AQ108" s="672"/>
      <c r="AR108" s="360"/>
      <c r="AS108" s="673"/>
      <c r="AT108" s="675">
        <f t="shared" si="4"/>
        <v>0</v>
      </c>
      <c r="AU108" s="676">
        <f t="shared" si="0"/>
        <v>0</v>
      </c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</row>
    <row r="109" spans="1:86" s="96" customFormat="1" ht="12" hidden="1">
      <c r="A109" s="39"/>
      <c r="B109" s="712">
        <v>118</v>
      </c>
      <c r="C109" s="713"/>
      <c r="D109" s="714"/>
      <c r="E109" s="715"/>
      <c r="F109" s="660"/>
      <c r="G109" s="661"/>
      <c r="H109" s="716"/>
      <c r="I109" s="663"/>
      <c r="J109" s="664"/>
      <c r="K109" s="665"/>
      <c r="L109" s="665"/>
      <c r="M109" s="665"/>
      <c r="N109" s="665"/>
      <c r="O109" s="665"/>
      <c r="P109" s="665"/>
      <c r="Q109" s="665"/>
      <c r="R109" s="665"/>
      <c r="S109" s="665"/>
      <c r="T109" s="665"/>
      <c r="U109" s="665"/>
      <c r="V109" s="665"/>
      <c r="W109" s="665"/>
      <c r="X109" s="665"/>
      <c r="Y109" s="665">
        <f t="shared" si="5"/>
        <v>0</v>
      </c>
      <c r="Z109" s="666"/>
      <c r="AA109" s="672"/>
      <c r="AB109" s="670"/>
      <c r="AC109" s="670"/>
      <c r="AD109" s="669"/>
      <c r="AE109" s="344"/>
      <c r="AF109" s="360"/>
      <c r="AG109" s="668"/>
      <c r="AH109" s="671"/>
      <c r="AI109" s="672"/>
      <c r="AJ109" s="360"/>
      <c r="AK109" s="673"/>
      <c r="AL109" s="666"/>
      <c r="AM109" s="672"/>
      <c r="AN109" s="360"/>
      <c r="AO109" s="673"/>
      <c r="AP109" s="674"/>
      <c r="AQ109" s="672"/>
      <c r="AR109" s="360"/>
      <c r="AS109" s="673"/>
      <c r="AT109" s="675">
        <f t="shared" si="4"/>
        <v>0</v>
      </c>
      <c r="AU109" s="676">
        <f t="shared" si="0"/>
        <v>0</v>
      </c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</row>
    <row r="110" spans="1:86" s="96" customFormat="1" ht="12" hidden="1">
      <c r="A110" s="39"/>
      <c r="B110" s="712">
        <v>119</v>
      </c>
      <c r="C110" s="713"/>
      <c r="D110" s="714"/>
      <c r="E110" s="715"/>
      <c r="F110" s="660"/>
      <c r="G110" s="661"/>
      <c r="H110" s="716"/>
      <c r="I110" s="663"/>
      <c r="J110" s="664"/>
      <c r="K110" s="665"/>
      <c r="L110" s="665"/>
      <c r="M110" s="665"/>
      <c r="N110" s="665"/>
      <c r="O110" s="665"/>
      <c r="P110" s="665"/>
      <c r="Q110" s="665"/>
      <c r="R110" s="665"/>
      <c r="S110" s="665"/>
      <c r="T110" s="665"/>
      <c r="U110" s="665"/>
      <c r="V110" s="665"/>
      <c r="W110" s="665"/>
      <c r="X110" s="665"/>
      <c r="Y110" s="665">
        <f t="shared" si="5"/>
        <v>0</v>
      </c>
      <c r="Z110" s="666"/>
      <c r="AA110" s="672"/>
      <c r="AB110" s="670"/>
      <c r="AC110" s="670"/>
      <c r="AD110" s="669"/>
      <c r="AE110" s="344"/>
      <c r="AF110" s="360"/>
      <c r="AG110" s="668"/>
      <c r="AH110" s="671"/>
      <c r="AI110" s="672"/>
      <c r="AJ110" s="360"/>
      <c r="AK110" s="673"/>
      <c r="AL110" s="666"/>
      <c r="AM110" s="672"/>
      <c r="AN110" s="360"/>
      <c r="AO110" s="673"/>
      <c r="AP110" s="674"/>
      <c r="AQ110" s="672"/>
      <c r="AR110" s="360"/>
      <c r="AS110" s="673"/>
      <c r="AT110" s="675">
        <f t="shared" si="4"/>
        <v>0</v>
      </c>
      <c r="AU110" s="676">
        <f t="shared" si="0"/>
        <v>0</v>
      </c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</row>
    <row r="111" spans="1:86" s="96" customFormat="1" ht="12" hidden="1">
      <c r="A111" s="39"/>
      <c r="B111" s="712">
        <v>120</v>
      </c>
      <c r="C111" s="713"/>
      <c r="D111" s="714"/>
      <c r="E111" s="715"/>
      <c r="F111" s="660"/>
      <c r="G111" s="661"/>
      <c r="H111" s="716"/>
      <c r="I111" s="663"/>
      <c r="J111" s="664"/>
      <c r="K111" s="665"/>
      <c r="L111" s="665"/>
      <c r="M111" s="665"/>
      <c r="N111" s="665"/>
      <c r="O111" s="665"/>
      <c r="P111" s="665"/>
      <c r="Q111" s="665"/>
      <c r="R111" s="665"/>
      <c r="S111" s="665"/>
      <c r="T111" s="665"/>
      <c r="U111" s="665"/>
      <c r="V111" s="665"/>
      <c r="W111" s="665"/>
      <c r="X111" s="665"/>
      <c r="Y111" s="665">
        <f t="shared" si="5"/>
        <v>0</v>
      </c>
      <c r="Z111" s="666"/>
      <c r="AA111" s="672"/>
      <c r="AB111" s="670"/>
      <c r="AC111" s="670"/>
      <c r="AD111" s="669"/>
      <c r="AE111" s="344"/>
      <c r="AF111" s="360"/>
      <c r="AG111" s="668"/>
      <c r="AH111" s="671"/>
      <c r="AI111" s="672"/>
      <c r="AJ111" s="360"/>
      <c r="AK111" s="673"/>
      <c r="AL111" s="666"/>
      <c r="AM111" s="672"/>
      <c r="AN111" s="360"/>
      <c r="AO111" s="673"/>
      <c r="AP111" s="674"/>
      <c r="AQ111" s="672"/>
      <c r="AR111" s="360"/>
      <c r="AS111" s="673"/>
      <c r="AT111" s="675">
        <f t="shared" si="4"/>
        <v>0</v>
      </c>
      <c r="AU111" s="676">
        <f t="shared" si="0"/>
        <v>0</v>
      </c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</row>
    <row r="112" spans="1:86" s="96" customFormat="1" ht="12" hidden="1">
      <c r="A112" s="39"/>
      <c r="B112" s="712">
        <v>121</v>
      </c>
      <c r="C112" s="713"/>
      <c r="D112" s="714"/>
      <c r="E112" s="715"/>
      <c r="F112" s="660"/>
      <c r="G112" s="661"/>
      <c r="H112" s="716"/>
      <c r="I112" s="663"/>
      <c r="J112" s="664"/>
      <c r="K112" s="665"/>
      <c r="L112" s="665"/>
      <c r="M112" s="665"/>
      <c r="N112" s="665"/>
      <c r="O112" s="665"/>
      <c r="P112" s="665"/>
      <c r="Q112" s="665"/>
      <c r="R112" s="665"/>
      <c r="S112" s="665"/>
      <c r="T112" s="665"/>
      <c r="U112" s="665"/>
      <c r="V112" s="665"/>
      <c r="W112" s="665"/>
      <c r="X112" s="665"/>
      <c r="Y112" s="665">
        <f t="shared" si="5"/>
        <v>0</v>
      </c>
      <c r="Z112" s="666"/>
      <c r="AA112" s="672"/>
      <c r="AB112" s="670"/>
      <c r="AC112" s="670"/>
      <c r="AD112" s="669"/>
      <c r="AE112" s="344"/>
      <c r="AF112" s="360"/>
      <c r="AG112" s="668"/>
      <c r="AH112" s="671"/>
      <c r="AI112" s="672"/>
      <c r="AJ112" s="360"/>
      <c r="AK112" s="673"/>
      <c r="AL112" s="666"/>
      <c r="AM112" s="672"/>
      <c r="AN112" s="360"/>
      <c r="AO112" s="673"/>
      <c r="AP112" s="674"/>
      <c r="AQ112" s="672"/>
      <c r="AR112" s="360"/>
      <c r="AS112" s="673"/>
      <c r="AT112" s="675">
        <f t="shared" si="4"/>
        <v>0</v>
      </c>
      <c r="AU112" s="676">
        <f t="shared" si="0"/>
        <v>0</v>
      </c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</row>
    <row r="113" spans="1:86" s="96" customFormat="1" ht="12" hidden="1">
      <c r="A113" s="39"/>
      <c r="B113" s="712">
        <v>122</v>
      </c>
      <c r="C113" s="713"/>
      <c r="D113" s="714"/>
      <c r="E113" s="715"/>
      <c r="F113" s="660"/>
      <c r="G113" s="661"/>
      <c r="H113" s="716"/>
      <c r="I113" s="663"/>
      <c r="J113" s="664"/>
      <c r="K113" s="665"/>
      <c r="L113" s="665"/>
      <c r="M113" s="665"/>
      <c r="N113" s="665"/>
      <c r="O113" s="665"/>
      <c r="P113" s="665"/>
      <c r="Q113" s="665"/>
      <c r="R113" s="665"/>
      <c r="S113" s="665"/>
      <c r="T113" s="665"/>
      <c r="U113" s="665"/>
      <c r="V113" s="665"/>
      <c r="W113" s="665"/>
      <c r="X113" s="665"/>
      <c r="Y113" s="665">
        <f t="shared" si="5"/>
        <v>0</v>
      </c>
      <c r="Z113" s="666"/>
      <c r="AA113" s="672"/>
      <c r="AB113" s="360"/>
      <c r="AC113" s="668"/>
      <c r="AD113" s="669"/>
      <c r="AE113" s="344"/>
      <c r="AF113" s="360"/>
      <c r="AG113" s="668"/>
      <c r="AH113" s="671"/>
      <c r="AI113" s="672"/>
      <c r="AJ113" s="360"/>
      <c r="AK113" s="673"/>
      <c r="AL113" s="666"/>
      <c r="AM113" s="672"/>
      <c r="AN113" s="360"/>
      <c r="AO113" s="673"/>
      <c r="AP113" s="674"/>
      <c r="AQ113" s="672"/>
      <c r="AR113" s="360"/>
      <c r="AS113" s="673"/>
      <c r="AT113" s="675">
        <f t="shared" si="4"/>
        <v>0</v>
      </c>
      <c r="AU113" s="676">
        <f t="shared" si="0"/>
        <v>0</v>
      </c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</row>
    <row r="114" spans="1:86" s="96" customFormat="1" ht="12" hidden="1">
      <c r="A114" s="39"/>
      <c r="B114" s="712">
        <v>123</v>
      </c>
      <c r="C114" s="713"/>
      <c r="D114" s="714"/>
      <c r="E114" s="715"/>
      <c r="F114" s="660"/>
      <c r="G114" s="661"/>
      <c r="H114" s="716"/>
      <c r="I114" s="663"/>
      <c r="J114" s="664"/>
      <c r="K114" s="665"/>
      <c r="L114" s="665"/>
      <c r="M114" s="665"/>
      <c r="N114" s="665"/>
      <c r="O114" s="665"/>
      <c r="P114" s="665"/>
      <c r="Q114" s="665"/>
      <c r="R114" s="665"/>
      <c r="S114" s="665"/>
      <c r="T114" s="665"/>
      <c r="U114" s="665"/>
      <c r="V114" s="665"/>
      <c r="W114" s="665"/>
      <c r="X114" s="665"/>
      <c r="Y114" s="665">
        <f t="shared" si="5"/>
        <v>0</v>
      </c>
      <c r="Z114" s="666"/>
      <c r="AA114" s="672"/>
      <c r="AB114" s="360"/>
      <c r="AC114" s="668"/>
      <c r="AD114" s="669"/>
      <c r="AE114" s="344"/>
      <c r="AF114" s="360"/>
      <c r="AG114" s="668"/>
      <c r="AH114" s="671"/>
      <c r="AI114" s="672"/>
      <c r="AJ114" s="360"/>
      <c r="AK114" s="673"/>
      <c r="AL114" s="666"/>
      <c r="AM114" s="672"/>
      <c r="AN114" s="360"/>
      <c r="AO114" s="673"/>
      <c r="AP114" s="674"/>
      <c r="AQ114" s="672"/>
      <c r="AR114" s="360"/>
      <c r="AS114" s="673"/>
      <c r="AT114" s="675">
        <f t="shared" si="4"/>
        <v>0</v>
      </c>
      <c r="AU114" s="676">
        <f t="shared" ref="AU114:AU165" si="6">+AT114-Y114</f>
        <v>0</v>
      </c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</row>
    <row r="115" spans="1:86" s="96" customFormat="1" ht="12" hidden="1">
      <c r="A115" s="39"/>
      <c r="B115" s="712">
        <v>124</v>
      </c>
      <c r="C115" s="713"/>
      <c r="D115" s="714"/>
      <c r="E115" s="715"/>
      <c r="F115" s="660"/>
      <c r="G115" s="661"/>
      <c r="H115" s="716"/>
      <c r="I115" s="663"/>
      <c r="J115" s="664"/>
      <c r="K115" s="665"/>
      <c r="L115" s="665"/>
      <c r="M115" s="665"/>
      <c r="N115" s="665"/>
      <c r="O115" s="665"/>
      <c r="P115" s="665"/>
      <c r="Q115" s="665"/>
      <c r="R115" s="665"/>
      <c r="S115" s="665"/>
      <c r="T115" s="665"/>
      <c r="U115" s="665"/>
      <c r="V115" s="665"/>
      <c r="W115" s="665"/>
      <c r="X115" s="665"/>
      <c r="Y115" s="665">
        <f t="shared" si="5"/>
        <v>0</v>
      </c>
      <c r="Z115" s="666"/>
      <c r="AA115" s="672"/>
      <c r="AB115" s="360"/>
      <c r="AC115" s="668"/>
      <c r="AD115" s="669"/>
      <c r="AE115" s="344"/>
      <c r="AF115" s="360"/>
      <c r="AG115" s="668"/>
      <c r="AH115" s="671"/>
      <c r="AI115" s="672"/>
      <c r="AJ115" s="360"/>
      <c r="AK115" s="673"/>
      <c r="AL115" s="666"/>
      <c r="AM115" s="672"/>
      <c r="AN115" s="360"/>
      <c r="AO115" s="673"/>
      <c r="AP115" s="674"/>
      <c r="AQ115" s="672"/>
      <c r="AR115" s="360"/>
      <c r="AS115" s="673"/>
      <c r="AT115" s="675">
        <f t="shared" si="4"/>
        <v>0</v>
      </c>
      <c r="AU115" s="676">
        <f t="shared" si="6"/>
        <v>0</v>
      </c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</row>
    <row r="116" spans="1:86" s="96" customFormat="1" ht="12" hidden="1">
      <c r="A116" s="39"/>
      <c r="B116" s="712">
        <v>125</v>
      </c>
      <c r="C116" s="713"/>
      <c r="D116" s="714"/>
      <c r="E116" s="715"/>
      <c r="F116" s="660"/>
      <c r="G116" s="661"/>
      <c r="H116" s="716"/>
      <c r="I116" s="663"/>
      <c r="J116" s="664"/>
      <c r="K116" s="665"/>
      <c r="L116" s="665"/>
      <c r="M116" s="665"/>
      <c r="N116" s="665"/>
      <c r="O116" s="665"/>
      <c r="P116" s="665"/>
      <c r="Q116" s="665"/>
      <c r="R116" s="665"/>
      <c r="S116" s="665"/>
      <c r="T116" s="665"/>
      <c r="U116" s="665"/>
      <c r="V116" s="665"/>
      <c r="W116" s="665"/>
      <c r="X116" s="665"/>
      <c r="Y116" s="665">
        <f t="shared" si="5"/>
        <v>0</v>
      </c>
      <c r="Z116" s="666"/>
      <c r="AA116" s="672"/>
      <c r="AB116" s="360"/>
      <c r="AC116" s="668"/>
      <c r="AD116" s="669"/>
      <c r="AE116" s="344"/>
      <c r="AF116" s="360"/>
      <c r="AG116" s="668"/>
      <c r="AH116" s="671"/>
      <c r="AI116" s="672"/>
      <c r="AJ116" s="360"/>
      <c r="AK116" s="673"/>
      <c r="AL116" s="666"/>
      <c r="AM116" s="672"/>
      <c r="AN116" s="360"/>
      <c r="AO116" s="673"/>
      <c r="AP116" s="674"/>
      <c r="AQ116" s="672"/>
      <c r="AR116" s="360"/>
      <c r="AS116" s="673"/>
      <c r="AT116" s="675">
        <f t="shared" si="4"/>
        <v>0</v>
      </c>
      <c r="AU116" s="676">
        <f t="shared" si="6"/>
        <v>0</v>
      </c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</row>
    <row r="117" spans="1:86" s="96" customFormat="1" ht="12" hidden="1">
      <c r="A117" s="39"/>
      <c r="B117" s="712">
        <v>126</v>
      </c>
      <c r="C117" s="713"/>
      <c r="D117" s="714"/>
      <c r="E117" s="715"/>
      <c r="F117" s="660"/>
      <c r="G117" s="661"/>
      <c r="H117" s="716"/>
      <c r="I117" s="663"/>
      <c r="J117" s="664"/>
      <c r="K117" s="665"/>
      <c r="L117" s="665"/>
      <c r="M117" s="665"/>
      <c r="N117" s="665"/>
      <c r="O117" s="665"/>
      <c r="P117" s="665"/>
      <c r="Q117" s="665"/>
      <c r="R117" s="665"/>
      <c r="S117" s="665"/>
      <c r="T117" s="665"/>
      <c r="U117" s="665"/>
      <c r="V117" s="665"/>
      <c r="W117" s="665"/>
      <c r="X117" s="665"/>
      <c r="Y117" s="665">
        <f t="shared" si="5"/>
        <v>0</v>
      </c>
      <c r="Z117" s="666"/>
      <c r="AA117" s="672"/>
      <c r="AB117" s="360"/>
      <c r="AC117" s="668"/>
      <c r="AD117" s="669"/>
      <c r="AE117" s="344"/>
      <c r="AF117" s="360"/>
      <c r="AG117" s="668"/>
      <c r="AH117" s="671"/>
      <c r="AI117" s="672"/>
      <c r="AJ117" s="360"/>
      <c r="AK117" s="673"/>
      <c r="AL117" s="666"/>
      <c r="AM117" s="672"/>
      <c r="AN117" s="360"/>
      <c r="AO117" s="673"/>
      <c r="AP117" s="674"/>
      <c r="AQ117" s="672"/>
      <c r="AR117" s="360"/>
      <c r="AS117" s="673"/>
      <c r="AT117" s="675">
        <f t="shared" si="4"/>
        <v>0</v>
      </c>
      <c r="AU117" s="676">
        <f t="shared" si="6"/>
        <v>0</v>
      </c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</row>
    <row r="118" spans="1:86" s="96" customFormat="1" ht="12" hidden="1">
      <c r="A118" s="39"/>
      <c r="B118" s="712">
        <v>127</v>
      </c>
      <c r="C118" s="713"/>
      <c r="D118" s="714"/>
      <c r="E118" s="715"/>
      <c r="F118" s="660"/>
      <c r="G118" s="661"/>
      <c r="H118" s="716"/>
      <c r="I118" s="663"/>
      <c r="J118" s="664"/>
      <c r="K118" s="665"/>
      <c r="L118" s="665"/>
      <c r="M118" s="665"/>
      <c r="N118" s="665"/>
      <c r="O118" s="665"/>
      <c r="P118" s="665"/>
      <c r="Q118" s="665"/>
      <c r="R118" s="665"/>
      <c r="S118" s="665"/>
      <c r="T118" s="665"/>
      <c r="U118" s="665"/>
      <c r="V118" s="665"/>
      <c r="W118" s="665"/>
      <c r="X118" s="665"/>
      <c r="Y118" s="665">
        <f t="shared" si="5"/>
        <v>0</v>
      </c>
      <c r="Z118" s="666"/>
      <c r="AA118" s="672"/>
      <c r="AB118" s="360"/>
      <c r="AC118" s="668"/>
      <c r="AD118" s="669"/>
      <c r="AE118" s="344"/>
      <c r="AF118" s="360"/>
      <c r="AG118" s="668"/>
      <c r="AH118" s="671"/>
      <c r="AI118" s="672"/>
      <c r="AJ118" s="360"/>
      <c r="AK118" s="673"/>
      <c r="AL118" s="666"/>
      <c r="AM118" s="672"/>
      <c r="AN118" s="360"/>
      <c r="AO118" s="673"/>
      <c r="AP118" s="674"/>
      <c r="AQ118" s="672"/>
      <c r="AR118" s="360"/>
      <c r="AS118" s="673"/>
      <c r="AT118" s="675">
        <f t="shared" si="4"/>
        <v>0</v>
      </c>
      <c r="AU118" s="676">
        <f t="shared" si="6"/>
        <v>0</v>
      </c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</row>
    <row r="119" spans="1:86" s="96" customFormat="1" ht="12" hidden="1">
      <c r="A119" s="39"/>
      <c r="B119" s="712">
        <v>128</v>
      </c>
      <c r="C119" s="713"/>
      <c r="D119" s="714"/>
      <c r="E119" s="715"/>
      <c r="F119" s="660"/>
      <c r="G119" s="661"/>
      <c r="H119" s="716"/>
      <c r="I119" s="663"/>
      <c r="J119" s="664"/>
      <c r="K119" s="665"/>
      <c r="L119" s="665"/>
      <c r="M119" s="665"/>
      <c r="N119" s="665"/>
      <c r="O119" s="665"/>
      <c r="P119" s="665"/>
      <c r="Q119" s="665"/>
      <c r="R119" s="665"/>
      <c r="S119" s="665"/>
      <c r="T119" s="665"/>
      <c r="U119" s="665"/>
      <c r="V119" s="665"/>
      <c r="W119" s="665"/>
      <c r="X119" s="665"/>
      <c r="Y119" s="665">
        <f t="shared" si="5"/>
        <v>0</v>
      </c>
      <c r="Z119" s="666"/>
      <c r="AA119" s="672"/>
      <c r="AB119" s="670"/>
      <c r="AC119" s="670"/>
      <c r="AD119" s="669"/>
      <c r="AE119" s="344"/>
      <c r="AF119" s="360"/>
      <c r="AG119" s="668"/>
      <c r="AH119" s="671"/>
      <c r="AI119" s="672"/>
      <c r="AJ119" s="360"/>
      <c r="AK119" s="673"/>
      <c r="AL119" s="666"/>
      <c r="AM119" s="672"/>
      <c r="AN119" s="360"/>
      <c r="AO119" s="673"/>
      <c r="AP119" s="674"/>
      <c r="AQ119" s="672"/>
      <c r="AR119" s="360"/>
      <c r="AS119" s="673"/>
      <c r="AT119" s="675">
        <f t="shared" si="4"/>
        <v>0</v>
      </c>
      <c r="AU119" s="676">
        <f t="shared" si="6"/>
        <v>0</v>
      </c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</row>
    <row r="120" spans="1:86" s="96" customFormat="1" ht="12" hidden="1">
      <c r="A120" s="39"/>
      <c r="B120" s="712">
        <v>129</v>
      </c>
      <c r="C120" s="713"/>
      <c r="D120" s="714"/>
      <c r="E120" s="715"/>
      <c r="F120" s="660"/>
      <c r="G120" s="661"/>
      <c r="H120" s="716"/>
      <c r="I120" s="663"/>
      <c r="J120" s="664"/>
      <c r="K120" s="665"/>
      <c r="L120" s="665"/>
      <c r="M120" s="665"/>
      <c r="N120" s="665"/>
      <c r="O120" s="665"/>
      <c r="P120" s="665"/>
      <c r="Q120" s="665"/>
      <c r="R120" s="665"/>
      <c r="S120" s="665"/>
      <c r="T120" s="665"/>
      <c r="U120" s="665"/>
      <c r="V120" s="665"/>
      <c r="W120" s="665"/>
      <c r="X120" s="665"/>
      <c r="Y120" s="665">
        <f t="shared" si="5"/>
        <v>0</v>
      </c>
      <c r="Z120" s="666"/>
      <c r="AA120" s="672"/>
      <c r="AB120" s="670"/>
      <c r="AC120" s="670"/>
      <c r="AD120" s="669"/>
      <c r="AE120" s="344"/>
      <c r="AF120" s="360"/>
      <c r="AG120" s="668"/>
      <c r="AH120" s="671"/>
      <c r="AI120" s="672"/>
      <c r="AJ120" s="360"/>
      <c r="AK120" s="673"/>
      <c r="AL120" s="666"/>
      <c r="AM120" s="672"/>
      <c r="AN120" s="360"/>
      <c r="AO120" s="673"/>
      <c r="AP120" s="674"/>
      <c r="AQ120" s="672"/>
      <c r="AR120" s="360"/>
      <c r="AS120" s="673"/>
      <c r="AT120" s="675">
        <f t="shared" si="4"/>
        <v>0</v>
      </c>
      <c r="AU120" s="676">
        <f t="shared" si="6"/>
        <v>0</v>
      </c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</row>
    <row r="121" spans="1:86" s="96" customFormat="1" ht="12" hidden="1">
      <c r="A121" s="39"/>
      <c r="B121" s="712">
        <v>130</v>
      </c>
      <c r="C121" s="713"/>
      <c r="D121" s="714"/>
      <c r="E121" s="715"/>
      <c r="F121" s="660"/>
      <c r="G121" s="661"/>
      <c r="H121" s="716"/>
      <c r="I121" s="663"/>
      <c r="J121" s="664"/>
      <c r="K121" s="665"/>
      <c r="L121" s="665"/>
      <c r="M121" s="665"/>
      <c r="N121" s="665"/>
      <c r="O121" s="665"/>
      <c r="P121" s="665"/>
      <c r="Q121" s="665"/>
      <c r="R121" s="665"/>
      <c r="S121" s="665"/>
      <c r="T121" s="665"/>
      <c r="U121" s="665"/>
      <c r="V121" s="665"/>
      <c r="W121" s="665"/>
      <c r="X121" s="665"/>
      <c r="Y121" s="665">
        <f t="shared" si="5"/>
        <v>0</v>
      </c>
      <c r="Z121" s="666"/>
      <c r="AA121" s="672"/>
      <c r="AB121" s="670"/>
      <c r="AC121" s="670"/>
      <c r="AD121" s="669"/>
      <c r="AE121" s="344"/>
      <c r="AF121" s="360"/>
      <c r="AG121" s="668"/>
      <c r="AH121" s="671"/>
      <c r="AI121" s="672"/>
      <c r="AJ121" s="360"/>
      <c r="AK121" s="673"/>
      <c r="AL121" s="666"/>
      <c r="AM121" s="672"/>
      <c r="AN121" s="360"/>
      <c r="AO121" s="673"/>
      <c r="AP121" s="674"/>
      <c r="AQ121" s="672"/>
      <c r="AR121" s="360"/>
      <c r="AS121" s="673"/>
      <c r="AT121" s="675">
        <f t="shared" si="4"/>
        <v>0</v>
      </c>
      <c r="AU121" s="676">
        <f t="shared" si="6"/>
        <v>0</v>
      </c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</row>
    <row r="122" spans="1:86" s="96" customFormat="1" ht="12" hidden="1">
      <c r="A122" s="39"/>
      <c r="B122" s="712">
        <v>131</v>
      </c>
      <c r="C122" s="713"/>
      <c r="D122" s="714"/>
      <c r="E122" s="715"/>
      <c r="F122" s="660"/>
      <c r="G122" s="661"/>
      <c r="H122" s="716"/>
      <c r="I122" s="663"/>
      <c r="J122" s="664"/>
      <c r="K122" s="665"/>
      <c r="L122" s="665"/>
      <c r="M122" s="665"/>
      <c r="N122" s="665"/>
      <c r="O122" s="665"/>
      <c r="P122" s="665"/>
      <c r="Q122" s="665"/>
      <c r="R122" s="665"/>
      <c r="S122" s="665"/>
      <c r="T122" s="665"/>
      <c r="U122" s="665"/>
      <c r="V122" s="665"/>
      <c r="W122" s="665"/>
      <c r="X122" s="665"/>
      <c r="Y122" s="665">
        <f t="shared" si="5"/>
        <v>0</v>
      </c>
      <c r="Z122" s="666"/>
      <c r="AA122" s="672"/>
      <c r="AB122" s="670"/>
      <c r="AC122" s="670"/>
      <c r="AD122" s="669"/>
      <c r="AE122" s="344"/>
      <c r="AF122" s="360"/>
      <c r="AG122" s="668"/>
      <c r="AH122" s="671"/>
      <c r="AI122" s="672"/>
      <c r="AJ122" s="360"/>
      <c r="AK122" s="673"/>
      <c r="AL122" s="666"/>
      <c r="AM122" s="672"/>
      <c r="AN122" s="360"/>
      <c r="AO122" s="673"/>
      <c r="AP122" s="674"/>
      <c r="AQ122" s="672"/>
      <c r="AR122" s="360"/>
      <c r="AS122" s="673"/>
      <c r="AT122" s="675">
        <f t="shared" si="4"/>
        <v>0</v>
      </c>
      <c r="AU122" s="676">
        <f t="shared" si="6"/>
        <v>0</v>
      </c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</row>
    <row r="123" spans="1:86" s="96" customFormat="1" ht="12" hidden="1">
      <c r="A123" s="39"/>
      <c r="B123" s="712">
        <v>132</v>
      </c>
      <c r="C123" s="713"/>
      <c r="D123" s="714"/>
      <c r="E123" s="715"/>
      <c r="F123" s="660"/>
      <c r="G123" s="661"/>
      <c r="H123" s="716"/>
      <c r="I123" s="663"/>
      <c r="J123" s="664"/>
      <c r="K123" s="665"/>
      <c r="L123" s="665"/>
      <c r="M123" s="665"/>
      <c r="N123" s="665"/>
      <c r="O123" s="665"/>
      <c r="P123" s="665"/>
      <c r="Q123" s="665"/>
      <c r="R123" s="665"/>
      <c r="S123" s="665"/>
      <c r="T123" s="665"/>
      <c r="U123" s="665"/>
      <c r="V123" s="665"/>
      <c r="W123" s="665"/>
      <c r="X123" s="665"/>
      <c r="Y123" s="665">
        <f t="shared" si="5"/>
        <v>0</v>
      </c>
      <c r="Z123" s="666"/>
      <c r="AA123" s="672"/>
      <c r="AB123" s="670"/>
      <c r="AC123" s="670"/>
      <c r="AD123" s="669"/>
      <c r="AE123" s="344"/>
      <c r="AF123" s="360"/>
      <c r="AG123" s="668"/>
      <c r="AH123" s="671"/>
      <c r="AI123" s="672"/>
      <c r="AJ123" s="360"/>
      <c r="AK123" s="673"/>
      <c r="AL123" s="666"/>
      <c r="AM123" s="672"/>
      <c r="AN123" s="360"/>
      <c r="AO123" s="673"/>
      <c r="AP123" s="674"/>
      <c r="AQ123" s="672"/>
      <c r="AR123" s="360"/>
      <c r="AS123" s="673"/>
      <c r="AT123" s="675">
        <f t="shared" si="4"/>
        <v>0</v>
      </c>
      <c r="AU123" s="676">
        <f t="shared" si="6"/>
        <v>0</v>
      </c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</row>
    <row r="124" spans="1:86" s="96" customFormat="1" ht="12" hidden="1">
      <c r="A124" s="39"/>
      <c r="B124" s="712">
        <v>133</v>
      </c>
      <c r="C124" s="713"/>
      <c r="D124" s="714"/>
      <c r="E124" s="715"/>
      <c r="F124" s="660"/>
      <c r="G124" s="661"/>
      <c r="H124" s="716"/>
      <c r="I124" s="663"/>
      <c r="J124" s="664"/>
      <c r="K124" s="665"/>
      <c r="L124" s="665"/>
      <c r="M124" s="665"/>
      <c r="N124" s="665"/>
      <c r="O124" s="665"/>
      <c r="P124" s="665"/>
      <c r="Q124" s="665"/>
      <c r="R124" s="665"/>
      <c r="S124" s="665"/>
      <c r="T124" s="665"/>
      <c r="U124" s="665"/>
      <c r="V124" s="665"/>
      <c r="W124" s="665"/>
      <c r="X124" s="665"/>
      <c r="Y124" s="665">
        <f t="shared" si="5"/>
        <v>0</v>
      </c>
      <c r="Z124" s="666"/>
      <c r="AA124" s="672"/>
      <c r="AB124" s="670"/>
      <c r="AC124" s="670"/>
      <c r="AD124" s="669"/>
      <c r="AE124" s="344"/>
      <c r="AF124" s="360"/>
      <c r="AG124" s="668"/>
      <c r="AH124" s="671"/>
      <c r="AI124" s="672"/>
      <c r="AJ124" s="360"/>
      <c r="AK124" s="673"/>
      <c r="AL124" s="666"/>
      <c r="AM124" s="672"/>
      <c r="AN124" s="360"/>
      <c r="AO124" s="673"/>
      <c r="AP124" s="674"/>
      <c r="AQ124" s="672"/>
      <c r="AR124" s="360"/>
      <c r="AS124" s="673"/>
      <c r="AT124" s="675">
        <f t="shared" si="4"/>
        <v>0</v>
      </c>
      <c r="AU124" s="676">
        <f t="shared" si="6"/>
        <v>0</v>
      </c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</row>
    <row r="125" spans="1:86" s="96" customFormat="1" ht="12" hidden="1">
      <c r="A125" s="39"/>
      <c r="B125" s="712">
        <v>134</v>
      </c>
      <c r="C125" s="713"/>
      <c r="D125" s="714"/>
      <c r="E125" s="715"/>
      <c r="F125" s="660"/>
      <c r="G125" s="661"/>
      <c r="H125" s="716"/>
      <c r="I125" s="663"/>
      <c r="J125" s="664"/>
      <c r="K125" s="665"/>
      <c r="L125" s="665"/>
      <c r="M125" s="665"/>
      <c r="N125" s="665"/>
      <c r="O125" s="665"/>
      <c r="P125" s="665"/>
      <c r="Q125" s="665"/>
      <c r="R125" s="665"/>
      <c r="S125" s="665"/>
      <c r="T125" s="665"/>
      <c r="U125" s="665"/>
      <c r="V125" s="665"/>
      <c r="W125" s="665"/>
      <c r="X125" s="665"/>
      <c r="Y125" s="665">
        <f t="shared" si="5"/>
        <v>0</v>
      </c>
      <c r="Z125" s="666"/>
      <c r="AA125" s="672"/>
      <c r="AB125" s="360"/>
      <c r="AC125" s="668"/>
      <c r="AD125" s="669"/>
      <c r="AE125" s="344"/>
      <c r="AF125" s="360"/>
      <c r="AG125" s="668"/>
      <c r="AH125" s="671"/>
      <c r="AI125" s="672"/>
      <c r="AJ125" s="360"/>
      <c r="AK125" s="673"/>
      <c r="AL125" s="666"/>
      <c r="AM125" s="672"/>
      <c r="AN125" s="360"/>
      <c r="AO125" s="673"/>
      <c r="AP125" s="674"/>
      <c r="AQ125" s="672"/>
      <c r="AR125" s="360"/>
      <c r="AS125" s="673"/>
      <c r="AT125" s="675">
        <f t="shared" si="4"/>
        <v>0</v>
      </c>
      <c r="AU125" s="676">
        <f t="shared" si="6"/>
        <v>0</v>
      </c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</row>
    <row r="126" spans="1:86" s="96" customFormat="1" ht="12" hidden="1">
      <c r="A126" s="39"/>
      <c r="B126" s="712">
        <v>135</v>
      </c>
      <c r="C126" s="713"/>
      <c r="D126" s="714"/>
      <c r="E126" s="715"/>
      <c r="F126" s="660"/>
      <c r="G126" s="661"/>
      <c r="H126" s="716"/>
      <c r="I126" s="663"/>
      <c r="J126" s="664"/>
      <c r="K126" s="665"/>
      <c r="L126" s="665"/>
      <c r="M126" s="665"/>
      <c r="N126" s="665"/>
      <c r="O126" s="665"/>
      <c r="P126" s="665"/>
      <c r="Q126" s="665"/>
      <c r="R126" s="665"/>
      <c r="S126" s="665"/>
      <c r="T126" s="665"/>
      <c r="U126" s="665"/>
      <c r="V126" s="665"/>
      <c r="W126" s="665"/>
      <c r="X126" s="665"/>
      <c r="Y126" s="665">
        <f t="shared" si="5"/>
        <v>0</v>
      </c>
      <c r="Z126" s="666"/>
      <c r="AA126" s="672"/>
      <c r="AB126" s="360"/>
      <c r="AC126" s="668"/>
      <c r="AD126" s="669"/>
      <c r="AE126" s="344"/>
      <c r="AF126" s="360"/>
      <c r="AG126" s="668"/>
      <c r="AH126" s="671"/>
      <c r="AI126" s="672"/>
      <c r="AJ126" s="360"/>
      <c r="AK126" s="673"/>
      <c r="AL126" s="666"/>
      <c r="AM126" s="672"/>
      <c r="AN126" s="360"/>
      <c r="AO126" s="673"/>
      <c r="AP126" s="674"/>
      <c r="AQ126" s="672"/>
      <c r="AR126" s="360"/>
      <c r="AS126" s="673"/>
      <c r="AT126" s="675">
        <f t="shared" si="4"/>
        <v>0</v>
      </c>
      <c r="AU126" s="676">
        <f t="shared" si="6"/>
        <v>0</v>
      </c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</row>
    <row r="127" spans="1:86" s="96" customFormat="1" ht="12" hidden="1">
      <c r="A127" s="39"/>
      <c r="B127" s="712">
        <v>136</v>
      </c>
      <c r="C127" s="713"/>
      <c r="D127" s="714"/>
      <c r="E127" s="715"/>
      <c r="F127" s="660"/>
      <c r="G127" s="661"/>
      <c r="H127" s="716"/>
      <c r="I127" s="663"/>
      <c r="J127" s="664"/>
      <c r="K127" s="665"/>
      <c r="L127" s="665"/>
      <c r="M127" s="665"/>
      <c r="N127" s="665"/>
      <c r="O127" s="665"/>
      <c r="P127" s="665"/>
      <c r="Q127" s="665"/>
      <c r="R127" s="665"/>
      <c r="S127" s="665"/>
      <c r="T127" s="665"/>
      <c r="U127" s="665"/>
      <c r="V127" s="665"/>
      <c r="W127" s="665"/>
      <c r="X127" s="665"/>
      <c r="Y127" s="665">
        <f t="shared" si="5"/>
        <v>0</v>
      </c>
      <c r="Z127" s="666"/>
      <c r="AA127" s="672"/>
      <c r="AB127" s="360"/>
      <c r="AC127" s="668"/>
      <c r="AD127" s="669"/>
      <c r="AE127" s="344"/>
      <c r="AF127" s="360"/>
      <c r="AG127" s="668"/>
      <c r="AH127" s="671"/>
      <c r="AI127" s="672"/>
      <c r="AJ127" s="360"/>
      <c r="AK127" s="673"/>
      <c r="AL127" s="666"/>
      <c r="AM127" s="672"/>
      <c r="AN127" s="360"/>
      <c r="AO127" s="673"/>
      <c r="AP127" s="674"/>
      <c r="AQ127" s="672"/>
      <c r="AR127" s="360"/>
      <c r="AS127" s="673"/>
      <c r="AT127" s="675">
        <f t="shared" si="4"/>
        <v>0</v>
      </c>
      <c r="AU127" s="676">
        <f t="shared" si="6"/>
        <v>0</v>
      </c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</row>
    <row r="128" spans="1:86" s="96" customFormat="1" ht="12" hidden="1">
      <c r="A128" s="39"/>
      <c r="B128" s="712">
        <v>137</v>
      </c>
      <c r="C128" s="713"/>
      <c r="D128" s="714"/>
      <c r="E128" s="715"/>
      <c r="F128" s="660"/>
      <c r="G128" s="661"/>
      <c r="H128" s="716"/>
      <c r="I128" s="663"/>
      <c r="J128" s="664"/>
      <c r="K128" s="665"/>
      <c r="L128" s="665"/>
      <c r="M128" s="665"/>
      <c r="N128" s="665"/>
      <c r="O128" s="665"/>
      <c r="P128" s="665"/>
      <c r="Q128" s="665"/>
      <c r="R128" s="665"/>
      <c r="S128" s="665"/>
      <c r="T128" s="665"/>
      <c r="U128" s="665"/>
      <c r="V128" s="665"/>
      <c r="W128" s="665"/>
      <c r="X128" s="665"/>
      <c r="Y128" s="665">
        <f t="shared" si="5"/>
        <v>0</v>
      </c>
      <c r="Z128" s="666"/>
      <c r="AA128" s="672"/>
      <c r="AB128" s="360"/>
      <c r="AC128" s="668"/>
      <c r="AD128" s="669"/>
      <c r="AE128" s="344"/>
      <c r="AF128" s="360"/>
      <c r="AG128" s="668"/>
      <c r="AH128" s="671"/>
      <c r="AI128" s="672"/>
      <c r="AJ128" s="360"/>
      <c r="AK128" s="673"/>
      <c r="AL128" s="666"/>
      <c r="AM128" s="672"/>
      <c r="AN128" s="360"/>
      <c r="AO128" s="673"/>
      <c r="AP128" s="674"/>
      <c r="AQ128" s="672"/>
      <c r="AR128" s="360"/>
      <c r="AS128" s="673"/>
      <c r="AT128" s="675">
        <f t="shared" si="4"/>
        <v>0</v>
      </c>
      <c r="AU128" s="676">
        <f t="shared" si="6"/>
        <v>0</v>
      </c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</row>
    <row r="129" spans="1:86" s="96" customFormat="1" ht="12" hidden="1">
      <c r="A129" s="39"/>
      <c r="B129" s="712">
        <v>138</v>
      </c>
      <c r="C129" s="713"/>
      <c r="D129" s="714"/>
      <c r="E129" s="715"/>
      <c r="F129" s="660"/>
      <c r="G129" s="661"/>
      <c r="H129" s="716"/>
      <c r="I129" s="663"/>
      <c r="J129" s="664"/>
      <c r="K129" s="665"/>
      <c r="L129" s="665"/>
      <c r="M129" s="665"/>
      <c r="N129" s="665"/>
      <c r="O129" s="665"/>
      <c r="P129" s="665"/>
      <c r="Q129" s="665"/>
      <c r="R129" s="665"/>
      <c r="S129" s="665"/>
      <c r="T129" s="665"/>
      <c r="U129" s="665"/>
      <c r="V129" s="665"/>
      <c r="W129" s="665"/>
      <c r="X129" s="665"/>
      <c r="Y129" s="665">
        <f t="shared" si="5"/>
        <v>0</v>
      </c>
      <c r="Z129" s="666"/>
      <c r="AA129" s="672"/>
      <c r="AB129" s="360"/>
      <c r="AC129" s="668"/>
      <c r="AD129" s="669"/>
      <c r="AE129" s="344"/>
      <c r="AF129" s="360"/>
      <c r="AG129" s="668"/>
      <c r="AH129" s="671"/>
      <c r="AI129" s="672"/>
      <c r="AJ129" s="360"/>
      <c r="AK129" s="673"/>
      <c r="AL129" s="666"/>
      <c r="AM129" s="672"/>
      <c r="AN129" s="360"/>
      <c r="AO129" s="673"/>
      <c r="AP129" s="674"/>
      <c r="AQ129" s="672"/>
      <c r="AR129" s="360"/>
      <c r="AS129" s="673"/>
      <c r="AT129" s="675">
        <f t="shared" si="4"/>
        <v>0</v>
      </c>
      <c r="AU129" s="676">
        <f t="shared" si="6"/>
        <v>0</v>
      </c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</row>
    <row r="130" spans="1:86" s="96" customFormat="1" ht="12" hidden="1">
      <c r="A130" s="39"/>
      <c r="B130" s="712">
        <v>139</v>
      </c>
      <c r="C130" s="713"/>
      <c r="D130" s="714"/>
      <c r="E130" s="715"/>
      <c r="F130" s="660"/>
      <c r="G130" s="661"/>
      <c r="H130" s="716"/>
      <c r="I130" s="663"/>
      <c r="J130" s="664"/>
      <c r="K130" s="665"/>
      <c r="L130" s="665"/>
      <c r="M130" s="665"/>
      <c r="N130" s="665"/>
      <c r="O130" s="665"/>
      <c r="P130" s="665"/>
      <c r="Q130" s="665"/>
      <c r="R130" s="665"/>
      <c r="S130" s="665"/>
      <c r="T130" s="665"/>
      <c r="U130" s="665"/>
      <c r="V130" s="665"/>
      <c r="W130" s="665"/>
      <c r="X130" s="665"/>
      <c r="Y130" s="665">
        <f t="shared" si="5"/>
        <v>0</v>
      </c>
      <c r="Z130" s="666"/>
      <c r="AA130" s="672"/>
      <c r="AB130" s="670"/>
      <c r="AC130" s="670"/>
      <c r="AD130" s="669"/>
      <c r="AE130" s="344"/>
      <c r="AF130" s="360"/>
      <c r="AG130" s="668"/>
      <c r="AH130" s="671"/>
      <c r="AI130" s="672"/>
      <c r="AJ130" s="360"/>
      <c r="AK130" s="673"/>
      <c r="AL130" s="666"/>
      <c r="AM130" s="672"/>
      <c r="AN130" s="360"/>
      <c r="AO130" s="673"/>
      <c r="AP130" s="674"/>
      <c r="AQ130" s="672"/>
      <c r="AR130" s="360"/>
      <c r="AS130" s="673"/>
      <c r="AT130" s="675">
        <f t="shared" si="4"/>
        <v>0</v>
      </c>
      <c r="AU130" s="676">
        <f t="shared" si="6"/>
        <v>0</v>
      </c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</row>
    <row r="131" spans="1:86" s="96" customFormat="1" ht="12" hidden="1">
      <c r="A131" s="39"/>
      <c r="B131" s="712">
        <v>140</v>
      </c>
      <c r="C131" s="713"/>
      <c r="D131" s="714"/>
      <c r="E131" s="715"/>
      <c r="F131" s="660"/>
      <c r="G131" s="661"/>
      <c r="H131" s="716"/>
      <c r="I131" s="663"/>
      <c r="J131" s="664"/>
      <c r="K131" s="66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>
        <f t="shared" si="5"/>
        <v>0</v>
      </c>
      <c r="Z131" s="666"/>
      <c r="AA131" s="672"/>
      <c r="AB131" s="670"/>
      <c r="AC131" s="670"/>
      <c r="AD131" s="669"/>
      <c r="AE131" s="344"/>
      <c r="AF131" s="360"/>
      <c r="AG131" s="668"/>
      <c r="AH131" s="671"/>
      <c r="AI131" s="672"/>
      <c r="AJ131" s="360"/>
      <c r="AK131" s="673"/>
      <c r="AL131" s="666"/>
      <c r="AM131" s="672"/>
      <c r="AN131" s="360"/>
      <c r="AO131" s="673"/>
      <c r="AP131" s="674"/>
      <c r="AQ131" s="672"/>
      <c r="AR131" s="360"/>
      <c r="AS131" s="673"/>
      <c r="AT131" s="675">
        <f t="shared" si="4"/>
        <v>0</v>
      </c>
      <c r="AU131" s="676">
        <f t="shared" si="6"/>
        <v>0</v>
      </c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</row>
    <row r="132" spans="1:86" s="96" customFormat="1" ht="12" hidden="1">
      <c r="A132" s="39"/>
      <c r="B132" s="712">
        <v>141</v>
      </c>
      <c r="C132" s="713"/>
      <c r="D132" s="714"/>
      <c r="E132" s="715"/>
      <c r="F132" s="660"/>
      <c r="G132" s="661"/>
      <c r="H132" s="716"/>
      <c r="I132" s="663"/>
      <c r="J132" s="664"/>
      <c r="K132" s="665"/>
      <c r="L132" s="665"/>
      <c r="M132" s="665"/>
      <c r="N132" s="665"/>
      <c r="O132" s="665"/>
      <c r="P132" s="665"/>
      <c r="Q132" s="665"/>
      <c r="R132" s="665"/>
      <c r="S132" s="665"/>
      <c r="T132" s="665"/>
      <c r="U132" s="665"/>
      <c r="V132" s="665"/>
      <c r="W132" s="665"/>
      <c r="X132" s="665"/>
      <c r="Y132" s="665">
        <f t="shared" si="5"/>
        <v>0</v>
      </c>
      <c r="Z132" s="666"/>
      <c r="AA132" s="672"/>
      <c r="AB132" s="670"/>
      <c r="AC132" s="670"/>
      <c r="AD132" s="669"/>
      <c r="AE132" s="344"/>
      <c r="AF132" s="360"/>
      <c r="AG132" s="668"/>
      <c r="AH132" s="671"/>
      <c r="AI132" s="672"/>
      <c r="AJ132" s="360"/>
      <c r="AK132" s="673"/>
      <c r="AL132" s="666"/>
      <c r="AM132" s="672"/>
      <c r="AN132" s="360"/>
      <c r="AO132" s="673"/>
      <c r="AP132" s="674"/>
      <c r="AQ132" s="672"/>
      <c r="AR132" s="360"/>
      <c r="AS132" s="673"/>
      <c r="AT132" s="675">
        <f t="shared" si="4"/>
        <v>0</v>
      </c>
      <c r="AU132" s="676">
        <f t="shared" si="6"/>
        <v>0</v>
      </c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</row>
    <row r="133" spans="1:86" s="96" customFormat="1" ht="12" hidden="1">
      <c r="A133" s="39"/>
      <c r="B133" s="712">
        <v>142</v>
      </c>
      <c r="C133" s="713"/>
      <c r="D133" s="714"/>
      <c r="E133" s="715"/>
      <c r="F133" s="660"/>
      <c r="G133" s="661"/>
      <c r="H133" s="716"/>
      <c r="I133" s="663"/>
      <c r="J133" s="664"/>
      <c r="K133" s="665"/>
      <c r="L133" s="665"/>
      <c r="M133" s="665"/>
      <c r="N133" s="665"/>
      <c r="O133" s="665"/>
      <c r="P133" s="665"/>
      <c r="Q133" s="665"/>
      <c r="R133" s="665"/>
      <c r="S133" s="665"/>
      <c r="T133" s="665"/>
      <c r="U133" s="665"/>
      <c r="V133" s="665"/>
      <c r="W133" s="665"/>
      <c r="X133" s="665"/>
      <c r="Y133" s="665">
        <f t="shared" si="5"/>
        <v>0</v>
      </c>
      <c r="Z133" s="666"/>
      <c r="AA133" s="672"/>
      <c r="AB133" s="670"/>
      <c r="AC133" s="670"/>
      <c r="AD133" s="669"/>
      <c r="AE133" s="344"/>
      <c r="AF133" s="360"/>
      <c r="AG133" s="668"/>
      <c r="AH133" s="671"/>
      <c r="AI133" s="672"/>
      <c r="AJ133" s="360"/>
      <c r="AK133" s="673"/>
      <c r="AL133" s="666"/>
      <c r="AM133" s="672"/>
      <c r="AN133" s="360"/>
      <c r="AO133" s="673"/>
      <c r="AP133" s="674"/>
      <c r="AQ133" s="672"/>
      <c r="AR133" s="360"/>
      <c r="AS133" s="673"/>
      <c r="AT133" s="675">
        <f t="shared" si="4"/>
        <v>0</v>
      </c>
      <c r="AU133" s="676">
        <f t="shared" si="6"/>
        <v>0</v>
      </c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</row>
    <row r="134" spans="1:86" s="96" customFormat="1" ht="12" hidden="1">
      <c r="A134" s="39"/>
      <c r="B134" s="712">
        <v>143</v>
      </c>
      <c r="C134" s="713"/>
      <c r="D134" s="714"/>
      <c r="E134" s="715"/>
      <c r="F134" s="660"/>
      <c r="G134" s="661"/>
      <c r="H134" s="716"/>
      <c r="I134" s="663"/>
      <c r="J134" s="664"/>
      <c r="K134" s="665"/>
      <c r="L134" s="665"/>
      <c r="M134" s="665"/>
      <c r="N134" s="665"/>
      <c r="O134" s="665"/>
      <c r="P134" s="665"/>
      <c r="Q134" s="665"/>
      <c r="R134" s="665"/>
      <c r="S134" s="665"/>
      <c r="T134" s="665"/>
      <c r="U134" s="665"/>
      <c r="V134" s="665"/>
      <c r="W134" s="665"/>
      <c r="X134" s="665"/>
      <c r="Y134" s="665">
        <f t="shared" si="5"/>
        <v>0</v>
      </c>
      <c r="Z134" s="666"/>
      <c r="AA134" s="672"/>
      <c r="AB134" s="670"/>
      <c r="AC134" s="670"/>
      <c r="AD134" s="669"/>
      <c r="AE134" s="344"/>
      <c r="AF134" s="360"/>
      <c r="AG134" s="668"/>
      <c r="AH134" s="671"/>
      <c r="AI134" s="672"/>
      <c r="AJ134" s="360"/>
      <c r="AK134" s="673"/>
      <c r="AL134" s="666"/>
      <c r="AM134" s="672"/>
      <c r="AN134" s="360"/>
      <c r="AO134" s="673"/>
      <c r="AP134" s="674"/>
      <c r="AQ134" s="672"/>
      <c r="AR134" s="360"/>
      <c r="AS134" s="673"/>
      <c r="AT134" s="675">
        <f t="shared" si="4"/>
        <v>0</v>
      </c>
      <c r="AU134" s="676">
        <f t="shared" si="6"/>
        <v>0</v>
      </c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</row>
    <row r="135" spans="1:86" s="96" customFormat="1" ht="12" hidden="1">
      <c r="A135" s="39"/>
      <c r="B135" s="712">
        <v>144</v>
      </c>
      <c r="C135" s="713"/>
      <c r="D135" s="714"/>
      <c r="E135" s="715"/>
      <c r="F135" s="660"/>
      <c r="G135" s="661"/>
      <c r="H135" s="716"/>
      <c r="I135" s="663"/>
      <c r="J135" s="664"/>
      <c r="K135" s="665"/>
      <c r="L135" s="665"/>
      <c r="M135" s="665"/>
      <c r="N135" s="665"/>
      <c r="O135" s="665"/>
      <c r="P135" s="665"/>
      <c r="Q135" s="665"/>
      <c r="R135" s="665"/>
      <c r="S135" s="665"/>
      <c r="T135" s="665"/>
      <c r="U135" s="665"/>
      <c r="V135" s="665"/>
      <c r="W135" s="665"/>
      <c r="X135" s="665"/>
      <c r="Y135" s="665">
        <f t="shared" si="5"/>
        <v>0</v>
      </c>
      <c r="Z135" s="666"/>
      <c r="AA135" s="672"/>
      <c r="AB135" s="670"/>
      <c r="AC135" s="670"/>
      <c r="AD135" s="669"/>
      <c r="AE135" s="344"/>
      <c r="AF135" s="360"/>
      <c r="AG135" s="668"/>
      <c r="AH135" s="671"/>
      <c r="AI135" s="672"/>
      <c r="AJ135" s="360"/>
      <c r="AK135" s="673"/>
      <c r="AL135" s="666"/>
      <c r="AM135" s="672"/>
      <c r="AN135" s="360"/>
      <c r="AO135" s="673"/>
      <c r="AP135" s="674"/>
      <c r="AQ135" s="672"/>
      <c r="AR135" s="360"/>
      <c r="AS135" s="673"/>
      <c r="AT135" s="675">
        <f t="shared" si="4"/>
        <v>0</v>
      </c>
      <c r="AU135" s="676">
        <f t="shared" si="6"/>
        <v>0</v>
      </c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</row>
    <row r="136" spans="1:86" s="96" customFormat="1" ht="12" hidden="1">
      <c r="A136" s="39"/>
      <c r="B136" s="712">
        <v>145</v>
      </c>
      <c r="C136" s="713"/>
      <c r="D136" s="714"/>
      <c r="E136" s="715"/>
      <c r="F136" s="660"/>
      <c r="G136" s="661"/>
      <c r="H136" s="716"/>
      <c r="I136" s="663"/>
      <c r="J136" s="664"/>
      <c r="K136" s="665"/>
      <c r="L136" s="665"/>
      <c r="M136" s="665"/>
      <c r="N136" s="665"/>
      <c r="O136" s="665"/>
      <c r="P136" s="665"/>
      <c r="Q136" s="665"/>
      <c r="R136" s="665"/>
      <c r="S136" s="665"/>
      <c r="T136" s="665"/>
      <c r="U136" s="665"/>
      <c r="V136" s="665"/>
      <c r="W136" s="665"/>
      <c r="X136" s="665"/>
      <c r="Y136" s="665">
        <f t="shared" si="5"/>
        <v>0</v>
      </c>
      <c r="Z136" s="666"/>
      <c r="AA136" s="672"/>
      <c r="AB136" s="360"/>
      <c r="AC136" s="668"/>
      <c r="AD136" s="669"/>
      <c r="AE136" s="344"/>
      <c r="AF136" s="360"/>
      <c r="AG136" s="668"/>
      <c r="AH136" s="671"/>
      <c r="AI136" s="672"/>
      <c r="AJ136" s="360"/>
      <c r="AK136" s="673"/>
      <c r="AL136" s="666"/>
      <c r="AM136" s="672"/>
      <c r="AN136" s="360"/>
      <c r="AO136" s="673"/>
      <c r="AP136" s="674"/>
      <c r="AQ136" s="672"/>
      <c r="AR136" s="360"/>
      <c r="AS136" s="673"/>
      <c r="AT136" s="675">
        <f t="shared" si="4"/>
        <v>0</v>
      </c>
      <c r="AU136" s="676">
        <f t="shared" si="6"/>
        <v>0</v>
      </c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</row>
    <row r="137" spans="1:86" s="96" customFormat="1" ht="12" hidden="1">
      <c r="A137" s="39"/>
      <c r="B137" s="712">
        <v>146</v>
      </c>
      <c r="C137" s="713"/>
      <c r="D137" s="714"/>
      <c r="E137" s="715"/>
      <c r="F137" s="660"/>
      <c r="G137" s="661"/>
      <c r="H137" s="716"/>
      <c r="I137" s="663"/>
      <c r="J137" s="664"/>
      <c r="K137" s="665"/>
      <c r="L137" s="665"/>
      <c r="M137" s="665"/>
      <c r="N137" s="665"/>
      <c r="O137" s="665"/>
      <c r="P137" s="665"/>
      <c r="Q137" s="665"/>
      <c r="R137" s="665"/>
      <c r="S137" s="665"/>
      <c r="T137" s="665"/>
      <c r="U137" s="665"/>
      <c r="V137" s="665"/>
      <c r="W137" s="665"/>
      <c r="X137" s="665"/>
      <c r="Y137" s="665">
        <f t="shared" si="5"/>
        <v>0</v>
      </c>
      <c r="Z137" s="666"/>
      <c r="AA137" s="672"/>
      <c r="AB137" s="360"/>
      <c r="AC137" s="668"/>
      <c r="AD137" s="669"/>
      <c r="AE137" s="344"/>
      <c r="AF137" s="360"/>
      <c r="AG137" s="668"/>
      <c r="AH137" s="671"/>
      <c r="AI137" s="672"/>
      <c r="AJ137" s="360"/>
      <c r="AK137" s="673"/>
      <c r="AL137" s="666"/>
      <c r="AM137" s="672"/>
      <c r="AN137" s="360"/>
      <c r="AO137" s="673"/>
      <c r="AP137" s="674"/>
      <c r="AQ137" s="672"/>
      <c r="AR137" s="360"/>
      <c r="AS137" s="673"/>
      <c r="AT137" s="675">
        <f t="shared" si="4"/>
        <v>0</v>
      </c>
      <c r="AU137" s="676">
        <f t="shared" si="6"/>
        <v>0</v>
      </c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</row>
    <row r="138" spans="1:86" s="96" customFormat="1" ht="12" hidden="1">
      <c r="A138" s="39"/>
      <c r="B138" s="712">
        <v>147</v>
      </c>
      <c r="C138" s="713"/>
      <c r="D138" s="714"/>
      <c r="E138" s="715"/>
      <c r="F138" s="660"/>
      <c r="G138" s="661"/>
      <c r="H138" s="716"/>
      <c r="I138" s="663"/>
      <c r="J138" s="664"/>
      <c r="K138" s="665"/>
      <c r="L138" s="665"/>
      <c r="M138" s="665"/>
      <c r="N138" s="665"/>
      <c r="O138" s="665"/>
      <c r="P138" s="665"/>
      <c r="Q138" s="665"/>
      <c r="R138" s="665"/>
      <c r="S138" s="665"/>
      <c r="T138" s="665"/>
      <c r="U138" s="665"/>
      <c r="V138" s="665"/>
      <c r="W138" s="665"/>
      <c r="X138" s="665"/>
      <c r="Y138" s="665">
        <f t="shared" si="5"/>
        <v>0</v>
      </c>
      <c r="Z138" s="666"/>
      <c r="AA138" s="672"/>
      <c r="AB138" s="670"/>
      <c r="AC138" s="670"/>
      <c r="AD138" s="669"/>
      <c r="AE138" s="344"/>
      <c r="AF138" s="360"/>
      <c r="AG138" s="668"/>
      <c r="AH138" s="671"/>
      <c r="AI138" s="672"/>
      <c r="AJ138" s="360"/>
      <c r="AK138" s="673"/>
      <c r="AL138" s="666"/>
      <c r="AM138" s="672"/>
      <c r="AN138" s="360"/>
      <c r="AO138" s="673"/>
      <c r="AP138" s="674"/>
      <c r="AQ138" s="672"/>
      <c r="AR138" s="360"/>
      <c r="AS138" s="673"/>
      <c r="AT138" s="675">
        <f t="shared" si="4"/>
        <v>0</v>
      </c>
      <c r="AU138" s="676">
        <f t="shared" si="6"/>
        <v>0</v>
      </c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</row>
    <row r="139" spans="1:86" s="96" customFormat="1" ht="12" hidden="1">
      <c r="A139" s="39"/>
      <c r="B139" s="712">
        <v>148</v>
      </c>
      <c r="C139" s="713"/>
      <c r="D139" s="714"/>
      <c r="E139" s="715"/>
      <c r="F139" s="660"/>
      <c r="G139" s="661"/>
      <c r="H139" s="716"/>
      <c r="I139" s="663"/>
      <c r="J139" s="664"/>
      <c r="K139" s="665"/>
      <c r="L139" s="665"/>
      <c r="M139" s="665"/>
      <c r="N139" s="665"/>
      <c r="O139" s="665"/>
      <c r="P139" s="665"/>
      <c r="Q139" s="665"/>
      <c r="R139" s="665"/>
      <c r="S139" s="665"/>
      <c r="T139" s="665"/>
      <c r="U139" s="665"/>
      <c r="V139" s="665"/>
      <c r="W139" s="665"/>
      <c r="X139" s="665"/>
      <c r="Y139" s="665">
        <f t="shared" si="5"/>
        <v>0</v>
      </c>
      <c r="Z139" s="666"/>
      <c r="AA139" s="672"/>
      <c r="AB139" s="670"/>
      <c r="AC139" s="670"/>
      <c r="AD139" s="669"/>
      <c r="AE139" s="344"/>
      <c r="AF139" s="360"/>
      <c r="AG139" s="668"/>
      <c r="AH139" s="671"/>
      <c r="AI139" s="672"/>
      <c r="AJ139" s="360"/>
      <c r="AK139" s="673"/>
      <c r="AL139" s="666"/>
      <c r="AM139" s="672"/>
      <c r="AN139" s="360"/>
      <c r="AO139" s="673"/>
      <c r="AP139" s="674"/>
      <c r="AQ139" s="672"/>
      <c r="AR139" s="360"/>
      <c r="AS139" s="673"/>
      <c r="AT139" s="675">
        <f t="shared" si="4"/>
        <v>0</v>
      </c>
      <c r="AU139" s="676">
        <f t="shared" si="6"/>
        <v>0</v>
      </c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</row>
    <row r="140" spans="1:86" s="96" customFormat="1" ht="12" hidden="1">
      <c r="A140" s="39"/>
      <c r="B140" s="712">
        <v>149</v>
      </c>
      <c r="C140" s="713"/>
      <c r="D140" s="714"/>
      <c r="E140" s="715"/>
      <c r="F140" s="660"/>
      <c r="G140" s="661"/>
      <c r="H140" s="716"/>
      <c r="I140" s="663"/>
      <c r="J140" s="664"/>
      <c r="K140" s="665"/>
      <c r="L140" s="665"/>
      <c r="M140" s="665"/>
      <c r="N140" s="665"/>
      <c r="O140" s="665"/>
      <c r="P140" s="665"/>
      <c r="Q140" s="665"/>
      <c r="R140" s="665"/>
      <c r="S140" s="665"/>
      <c r="T140" s="665"/>
      <c r="U140" s="665"/>
      <c r="V140" s="665"/>
      <c r="W140" s="665"/>
      <c r="X140" s="665"/>
      <c r="Y140" s="665">
        <f t="shared" si="5"/>
        <v>0</v>
      </c>
      <c r="Z140" s="666"/>
      <c r="AA140" s="672"/>
      <c r="AB140" s="670"/>
      <c r="AC140" s="670"/>
      <c r="AD140" s="669"/>
      <c r="AE140" s="344"/>
      <c r="AF140" s="360"/>
      <c r="AG140" s="668"/>
      <c r="AH140" s="671"/>
      <c r="AI140" s="672"/>
      <c r="AJ140" s="360"/>
      <c r="AK140" s="673"/>
      <c r="AL140" s="666"/>
      <c r="AM140" s="672"/>
      <c r="AN140" s="360"/>
      <c r="AO140" s="673"/>
      <c r="AP140" s="674"/>
      <c r="AQ140" s="672"/>
      <c r="AR140" s="360"/>
      <c r="AS140" s="673"/>
      <c r="AT140" s="675">
        <f t="shared" si="4"/>
        <v>0</v>
      </c>
      <c r="AU140" s="676">
        <f t="shared" si="6"/>
        <v>0</v>
      </c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</row>
    <row r="141" spans="1:86" s="96" customFormat="1" ht="12" hidden="1">
      <c r="A141" s="39"/>
      <c r="B141" s="712">
        <v>150</v>
      </c>
      <c r="C141" s="713"/>
      <c r="D141" s="714"/>
      <c r="E141" s="715"/>
      <c r="F141" s="660"/>
      <c r="G141" s="661"/>
      <c r="H141" s="716"/>
      <c r="I141" s="663"/>
      <c r="J141" s="664"/>
      <c r="K141" s="665"/>
      <c r="L141" s="665"/>
      <c r="M141" s="665"/>
      <c r="N141" s="665"/>
      <c r="O141" s="665"/>
      <c r="P141" s="665"/>
      <c r="Q141" s="665"/>
      <c r="R141" s="665"/>
      <c r="S141" s="665"/>
      <c r="T141" s="665"/>
      <c r="U141" s="665"/>
      <c r="V141" s="665"/>
      <c r="W141" s="665"/>
      <c r="X141" s="665"/>
      <c r="Y141" s="665">
        <f t="shared" si="5"/>
        <v>0</v>
      </c>
      <c r="Z141" s="666"/>
      <c r="AA141" s="672"/>
      <c r="AB141" s="670"/>
      <c r="AC141" s="670"/>
      <c r="AD141" s="669"/>
      <c r="AE141" s="344"/>
      <c r="AF141" s="360"/>
      <c r="AG141" s="668"/>
      <c r="AH141" s="671"/>
      <c r="AI141" s="672"/>
      <c r="AJ141" s="360"/>
      <c r="AK141" s="673"/>
      <c r="AL141" s="666"/>
      <c r="AM141" s="672"/>
      <c r="AN141" s="360"/>
      <c r="AO141" s="673"/>
      <c r="AP141" s="674"/>
      <c r="AQ141" s="672"/>
      <c r="AR141" s="360"/>
      <c r="AS141" s="673"/>
      <c r="AT141" s="675">
        <f t="shared" si="4"/>
        <v>0</v>
      </c>
      <c r="AU141" s="676">
        <f t="shared" si="6"/>
        <v>0</v>
      </c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</row>
    <row r="142" spans="1:86" s="96" customFormat="1" ht="12" hidden="1">
      <c r="A142" s="39"/>
      <c r="B142" s="712">
        <v>151</v>
      </c>
      <c r="C142" s="713"/>
      <c r="D142" s="714"/>
      <c r="E142" s="715"/>
      <c r="F142" s="660"/>
      <c r="G142" s="661"/>
      <c r="H142" s="716"/>
      <c r="I142" s="663"/>
      <c r="J142" s="664"/>
      <c r="K142" s="665"/>
      <c r="L142" s="665"/>
      <c r="M142" s="665"/>
      <c r="N142" s="665"/>
      <c r="O142" s="665"/>
      <c r="P142" s="665"/>
      <c r="Q142" s="665"/>
      <c r="R142" s="665"/>
      <c r="S142" s="665"/>
      <c r="T142" s="665"/>
      <c r="U142" s="665"/>
      <c r="V142" s="665"/>
      <c r="W142" s="665"/>
      <c r="X142" s="665"/>
      <c r="Y142" s="665">
        <f t="shared" si="5"/>
        <v>0</v>
      </c>
      <c r="Z142" s="666"/>
      <c r="AA142" s="672"/>
      <c r="AB142" s="360"/>
      <c r="AC142" s="668"/>
      <c r="AD142" s="669"/>
      <c r="AE142" s="344"/>
      <c r="AF142" s="360"/>
      <c r="AG142" s="668"/>
      <c r="AH142" s="671"/>
      <c r="AI142" s="672"/>
      <c r="AJ142" s="360"/>
      <c r="AK142" s="673"/>
      <c r="AL142" s="666"/>
      <c r="AM142" s="672"/>
      <c r="AN142" s="360"/>
      <c r="AO142" s="673"/>
      <c r="AP142" s="674"/>
      <c r="AQ142" s="672"/>
      <c r="AR142" s="360"/>
      <c r="AS142" s="673"/>
      <c r="AT142" s="675">
        <f t="shared" si="4"/>
        <v>0</v>
      </c>
      <c r="AU142" s="676">
        <f t="shared" si="6"/>
        <v>0</v>
      </c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</row>
    <row r="143" spans="1:86" s="96" customFormat="1" ht="12" hidden="1">
      <c r="A143" s="39"/>
      <c r="B143" s="712">
        <v>152</v>
      </c>
      <c r="C143" s="713"/>
      <c r="D143" s="714"/>
      <c r="E143" s="715"/>
      <c r="F143" s="660"/>
      <c r="G143" s="661"/>
      <c r="H143" s="716"/>
      <c r="I143" s="663"/>
      <c r="J143" s="664"/>
      <c r="K143" s="665"/>
      <c r="L143" s="665"/>
      <c r="M143" s="665"/>
      <c r="N143" s="665"/>
      <c r="O143" s="665"/>
      <c r="P143" s="665"/>
      <c r="Q143" s="665"/>
      <c r="R143" s="665"/>
      <c r="S143" s="665"/>
      <c r="T143" s="665"/>
      <c r="U143" s="665"/>
      <c r="V143" s="665"/>
      <c r="W143" s="665"/>
      <c r="X143" s="665"/>
      <c r="Y143" s="665">
        <f t="shared" si="5"/>
        <v>0</v>
      </c>
      <c r="Z143" s="666"/>
      <c r="AA143" s="672"/>
      <c r="AB143" s="360"/>
      <c r="AC143" s="668"/>
      <c r="AD143" s="669"/>
      <c r="AE143" s="344"/>
      <c r="AF143" s="360"/>
      <c r="AG143" s="668"/>
      <c r="AH143" s="671"/>
      <c r="AI143" s="672"/>
      <c r="AJ143" s="360"/>
      <c r="AK143" s="673"/>
      <c r="AL143" s="666"/>
      <c r="AM143" s="672"/>
      <c r="AN143" s="360"/>
      <c r="AO143" s="673"/>
      <c r="AP143" s="674"/>
      <c r="AQ143" s="672"/>
      <c r="AR143" s="360"/>
      <c r="AS143" s="673"/>
      <c r="AT143" s="675">
        <f t="shared" si="4"/>
        <v>0</v>
      </c>
      <c r="AU143" s="676">
        <f t="shared" si="6"/>
        <v>0</v>
      </c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</row>
    <row r="144" spans="1:86" s="96" customFormat="1" ht="12" hidden="1">
      <c r="A144" s="39"/>
      <c r="B144" s="712">
        <v>153</v>
      </c>
      <c r="C144" s="713"/>
      <c r="D144" s="714"/>
      <c r="E144" s="715"/>
      <c r="F144" s="660"/>
      <c r="G144" s="661"/>
      <c r="H144" s="716"/>
      <c r="I144" s="663"/>
      <c r="J144" s="664"/>
      <c r="K144" s="665"/>
      <c r="L144" s="665"/>
      <c r="M144" s="665"/>
      <c r="N144" s="665"/>
      <c r="O144" s="665"/>
      <c r="P144" s="665"/>
      <c r="Q144" s="665"/>
      <c r="R144" s="665"/>
      <c r="S144" s="665"/>
      <c r="T144" s="665"/>
      <c r="U144" s="665"/>
      <c r="V144" s="665"/>
      <c r="W144" s="665"/>
      <c r="X144" s="665"/>
      <c r="Y144" s="665">
        <f t="shared" si="5"/>
        <v>0</v>
      </c>
      <c r="Z144" s="666"/>
      <c r="AA144" s="672"/>
      <c r="AB144" s="360"/>
      <c r="AC144" s="668"/>
      <c r="AD144" s="669"/>
      <c r="AE144" s="344"/>
      <c r="AF144" s="360"/>
      <c r="AG144" s="668"/>
      <c r="AH144" s="671"/>
      <c r="AI144" s="672"/>
      <c r="AJ144" s="360"/>
      <c r="AK144" s="673"/>
      <c r="AL144" s="666"/>
      <c r="AM144" s="672"/>
      <c r="AN144" s="360"/>
      <c r="AO144" s="673"/>
      <c r="AP144" s="674"/>
      <c r="AQ144" s="672"/>
      <c r="AR144" s="360"/>
      <c r="AS144" s="673"/>
      <c r="AT144" s="675">
        <f t="shared" si="4"/>
        <v>0</v>
      </c>
      <c r="AU144" s="676">
        <f t="shared" si="6"/>
        <v>0</v>
      </c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</row>
    <row r="145" spans="1:86" s="96" customFormat="1" ht="12" hidden="1">
      <c r="A145" s="39"/>
      <c r="B145" s="712">
        <v>154</v>
      </c>
      <c r="C145" s="713"/>
      <c r="D145" s="714"/>
      <c r="E145" s="715"/>
      <c r="F145" s="660"/>
      <c r="G145" s="661"/>
      <c r="H145" s="716"/>
      <c r="I145" s="663"/>
      <c r="J145" s="664"/>
      <c r="K145" s="665"/>
      <c r="L145" s="665"/>
      <c r="M145" s="665"/>
      <c r="N145" s="665"/>
      <c r="O145" s="665"/>
      <c r="P145" s="665"/>
      <c r="Q145" s="665"/>
      <c r="R145" s="665"/>
      <c r="S145" s="665"/>
      <c r="T145" s="665"/>
      <c r="U145" s="665"/>
      <c r="V145" s="665"/>
      <c r="W145" s="665"/>
      <c r="X145" s="665"/>
      <c r="Y145" s="665">
        <f t="shared" ref="Y145:Y165" si="7">SUM(M145:X145)</f>
        <v>0</v>
      </c>
      <c r="Z145" s="666"/>
      <c r="AA145" s="672"/>
      <c r="AB145" s="360"/>
      <c r="AC145" s="668"/>
      <c r="AD145" s="669"/>
      <c r="AE145" s="344"/>
      <c r="AF145" s="360"/>
      <c r="AG145" s="668"/>
      <c r="AH145" s="671"/>
      <c r="AI145" s="672"/>
      <c r="AJ145" s="360"/>
      <c r="AK145" s="673"/>
      <c r="AL145" s="666"/>
      <c r="AM145" s="672"/>
      <c r="AN145" s="360"/>
      <c r="AO145" s="673"/>
      <c r="AP145" s="674"/>
      <c r="AQ145" s="672"/>
      <c r="AR145" s="360"/>
      <c r="AS145" s="673"/>
      <c r="AT145" s="675">
        <f t="shared" ref="AT145:AT165" si="8">+Z145+AD145+AH145+AL145+AP145</f>
        <v>0</v>
      </c>
      <c r="AU145" s="676">
        <f t="shared" si="6"/>
        <v>0</v>
      </c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</row>
    <row r="146" spans="1:86" s="96" customFormat="1" ht="12" hidden="1">
      <c r="A146" s="39"/>
      <c r="B146" s="712">
        <v>155</v>
      </c>
      <c r="C146" s="713"/>
      <c r="D146" s="714"/>
      <c r="E146" s="715"/>
      <c r="F146" s="660"/>
      <c r="G146" s="661"/>
      <c r="H146" s="716"/>
      <c r="I146" s="663"/>
      <c r="J146" s="664"/>
      <c r="K146" s="665"/>
      <c r="L146" s="665"/>
      <c r="M146" s="665"/>
      <c r="N146" s="665"/>
      <c r="O146" s="665"/>
      <c r="P146" s="665"/>
      <c r="Q146" s="665"/>
      <c r="R146" s="665"/>
      <c r="S146" s="665"/>
      <c r="T146" s="665"/>
      <c r="U146" s="665"/>
      <c r="V146" s="665"/>
      <c r="W146" s="665"/>
      <c r="X146" s="665"/>
      <c r="Y146" s="665">
        <f t="shared" si="7"/>
        <v>0</v>
      </c>
      <c r="Z146" s="666"/>
      <c r="AA146" s="672"/>
      <c r="AB146" s="360"/>
      <c r="AC146" s="668"/>
      <c r="AD146" s="669"/>
      <c r="AE146" s="344"/>
      <c r="AF146" s="360"/>
      <c r="AG146" s="668"/>
      <c r="AH146" s="671"/>
      <c r="AI146" s="672"/>
      <c r="AJ146" s="360"/>
      <c r="AK146" s="673"/>
      <c r="AL146" s="666"/>
      <c r="AM146" s="672"/>
      <c r="AN146" s="360"/>
      <c r="AO146" s="673"/>
      <c r="AP146" s="674"/>
      <c r="AQ146" s="672"/>
      <c r="AR146" s="360"/>
      <c r="AS146" s="673"/>
      <c r="AT146" s="675">
        <f t="shared" si="8"/>
        <v>0</v>
      </c>
      <c r="AU146" s="676">
        <f t="shared" si="6"/>
        <v>0</v>
      </c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</row>
    <row r="147" spans="1:86" s="96" customFormat="1" ht="12" hidden="1">
      <c r="A147" s="39"/>
      <c r="B147" s="712">
        <v>156</v>
      </c>
      <c r="C147" s="713"/>
      <c r="D147" s="714"/>
      <c r="E147" s="715"/>
      <c r="F147" s="660"/>
      <c r="G147" s="661"/>
      <c r="H147" s="716"/>
      <c r="I147" s="663"/>
      <c r="J147" s="664"/>
      <c r="K147" s="665"/>
      <c r="L147" s="665"/>
      <c r="M147" s="665"/>
      <c r="N147" s="665"/>
      <c r="O147" s="665"/>
      <c r="P147" s="665"/>
      <c r="Q147" s="665"/>
      <c r="R147" s="665"/>
      <c r="S147" s="665"/>
      <c r="T147" s="665"/>
      <c r="U147" s="665"/>
      <c r="V147" s="665"/>
      <c r="W147" s="665"/>
      <c r="X147" s="665"/>
      <c r="Y147" s="665">
        <f t="shared" si="7"/>
        <v>0</v>
      </c>
      <c r="Z147" s="666"/>
      <c r="AA147" s="672"/>
      <c r="AB147" s="360"/>
      <c r="AC147" s="668"/>
      <c r="AD147" s="669"/>
      <c r="AE147" s="344"/>
      <c r="AF147" s="360"/>
      <c r="AG147" s="668"/>
      <c r="AH147" s="671"/>
      <c r="AI147" s="672"/>
      <c r="AJ147" s="360"/>
      <c r="AK147" s="673"/>
      <c r="AL147" s="666"/>
      <c r="AM147" s="672"/>
      <c r="AN147" s="360"/>
      <c r="AO147" s="673"/>
      <c r="AP147" s="674"/>
      <c r="AQ147" s="672"/>
      <c r="AR147" s="360"/>
      <c r="AS147" s="673"/>
      <c r="AT147" s="675">
        <f t="shared" si="8"/>
        <v>0</v>
      </c>
      <c r="AU147" s="676">
        <f t="shared" si="6"/>
        <v>0</v>
      </c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</row>
    <row r="148" spans="1:86" s="96" customFormat="1" ht="12" hidden="1">
      <c r="A148" s="39"/>
      <c r="B148" s="712">
        <v>157</v>
      </c>
      <c r="C148" s="713"/>
      <c r="D148" s="714"/>
      <c r="E148" s="715"/>
      <c r="F148" s="660"/>
      <c r="G148" s="661"/>
      <c r="H148" s="716"/>
      <c r="I148" s="663"/>
      <c r="J148" s="664"/>
      <c r="K148" s="665"/>
      <c r="L148" s="665"/>
      <c r="M148" s="665"/>
      <c r="N148" s="665"/>
      <c r="O148" s="665"/>
      <c r="P148" s="665"/>
      <c r="Q148" s="665"/>
      <c r="R148" s="665"/>
      <c r="S148" s="665"/>
      <c r="T148" s="665"/>
      <c r="U148" s="665"/>
      <c r="V148" s="665"/>
      <c r="W148" s="665"/>
      <c r="X148" s="665"/>
      <c r="Y148" s="665">
        <f t="shared" si="7"/>
        <v>0</v>
      </c>
      <c r="Z148" s="666"/>
      <c r="AA148" s="672"/>
      <c r="AB148" s="670"/>
      <c r="AC148" s="670"/>
      <c r="AD148" s="669"/>
      <c r="AE148" s="344"/>
      <c r="AF148" s="360"/>
      <c r="AG148" s="668"/>
      <c r="AH148" s="671"/>
      <c r="AI148" s="672"/>
      <c r="AJ148" s="360"/>
      <c r="AK148" s="673"/>
      <c r="AL148" s="666"/>
      <c r="AM148" s="672"/>
      <c r="AN148" s="360"/>
      <c r="AO148" s="673"/>
      <c r="AP148" s="674"/>
      <c r="AQ148" s="672"/>
      <c r="AR148" s="360"/>
      <c r="AS148" s="673"/>
      <c r="AT148" s="675">
        <f t="shared" si="8"/>
        <v>0</v>
      </c>
      <c r="AU148" s="676">
        <f t="shared" si="6"/>
        <v>0</v>
      </c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</row>
    <row r="149" spans="1:86" s="96" customFormat="1" ht="12" hidden="1">
      <c r="A149" s="39"/>
      <c r="B149" s="712">
        <v>158</v>
      </c>
      <c r="C149" s="713"/>
      <c r="D149" s="714"/>
      <c r="E149" s="715"/>
      <c r="F149" s="660"/>
      <c r="G149" s="661"/>
      <c r="H149" s="716"/>
      <c r="I149" s="663"/>
      <c r="J149" s="664"/>
      <c r="K149" s="665"/>
      <c r="L149" s="665"/>
      <c r="M149" s="665"/>
      <c r="N149" s="665"/>
      <c r="O149" s="665"/>
      <c r="P149" s="665"/>
      <c r="Q149" s="665"/>
      <c r="R149" s="665"/>
      <c r="S149" s="665"/>
      <c r="T149" s="665"/>
      <c r="U149" s="665"/>
      <c r="V149" s="665"/>
      <c r="W149" s="665"/>
      <c r="X149" s="665"/>
      <c r="Y149" s="665">
        <f t="shared" si="7"/>
        <v>0</v>
      </c>
      <c r="Z149" s="666"/>
      <c r="AA149" s="672"/>
      <c r="AB149" s="670"/>
      <c r="AC149" s="670"/>
      <c r="AD149" s="669"/>
      <c r="AE149" s="344"/>
      <c r="AF149" s="360"/>
      <c r="AG149" s="673"/>
      <c r="AH149" s="671"/>
      <c r="AI149" s="672"/>
      <c r="AJ149" s="360"/>
      <c r="AK149" s="673"/>
      <c r="AL149" s="666"/>
      <c r="AM149" s="672"/>
      <c r="AN149" s="360"/>
      <c r="AO149" s="673"/>
      <c r="AP149" s="674"/>
      <c r="AQ149" s="672"/>
      <c r="AR149" s="360"/>
      <c r="AS149" s="673"/>
      <c r="AT149" s="675">
        <f t="shared" si="8"/>
        <v>0</v>
      </c>
      <c r="AU149" s="676">
        <f t="shared" si="6"/>
        <v>0</v>
      </c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</row>
    <row r="150" spans="1:86" s="96" customFormat="1" ht="12" hidden="1">
      <c r="A150" s="39"/>
      <c r="B150" s="712">
        <v>159</v>
      </c>
      <c r="C150" s="713"/>
      <c r="D150" s="714"/>
      <c r="E150" s="715"/>
      <c r="F150" s="660"/>
      <c r="G150" s="661"/>
      <c r="H150" s="716"/>
      <c r="I150" s="663"/>
      <c r="J150" s="664"/>
      <c r="K150" s="665"/>
      <c r="L150" s="665"/>
      <c r="M150" s="665"/>
      <c r="N150" s="665"/>
      <c r="O150" s="665"/>
      <c r="P150" s="665"/>
      <c r="Q150" s="665"/>
      <c r="R150" s="665"/>
      <c r="S150" s="665"/>
      <c r="T150" s="665"/>
      <c r="U150" s="665"/>
      <c r="V150" s="665"/>
      <c r="W150" s="665"/>
      <c r="X150" s="665"/>
      <c r="Y150" s="665">
        <f t="shared" si="7"/>
        <v>0</v>
      </c>
      <c r="Z150" s="666"/>
      <c r="AA150" s="672"/>
      <c r="AB150" s="670"/>
      <c r="AC150" s="670"/>
      <c r="AD150" s="669"/>
      <c r="AE150" s="344"/>
      <c r="AF150" s="360"/>
      <c r="AG150" s="673"/>
      <c r="AH150" s="671"/>
      <c r="AI150" s="672"/>
      <c r="AJ150" s="360"/>
      <c r="AK150" s="673"/>
      <c r="AL150" s="666"/>
      <c r="AM150" s="672"/>
      <c r="AN150" s="360"/>
      <c r="AO150" s="673"/>
      <c r="AP150" s="674"/>
      <c r="AQ150" s="672"/>
      <c r="AR150" s="360"/>
      <c r="AS150" s="673"/>
      <c r="AT150" s="675">
        <f t="shared" si="8"/>
        <v>0</v>
      </c>
      <c r="AU150" s="676">
        <f t="shared" si="6"/>
        <v>0</v>
      </c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</row>
    <row r="151" spans="1:86" s="96" customFormat="1" ht="12" hidden="1">
      <c r="A151" s="39"/>
      <c r="B151" s="712">
        <v>160</v>
      </c>
      <c r="C151" s="713"/>
      <c r="D151" s="714"/>
      <c r="E151" s="715"/>
      <c r="F151" s="660"/>
      <c r="G151" s="661"/>
      <c r="H151" s="716"/>
      <c r="I151" s="663"/>
      <c r="J151" s="664"/>
      <c r="K151" s="665"/>
      <c r="L151" s="665"/>
      <c r="M151" s="665"/>
      <c r="N151" s="665"/>
      <c r="O151" s="665"/>
      <c r="P151" s="665"/>
      <c r="Q151" s="665"/>
      <c r="R151" s="665"/>
      <c r="S151" s="665"/>
      <c r="T151" s="665"/>
      <c r="U151" s="665"/>
      <c r="V151" s="665"/>
      <c r="W151" s="665"/>
      <c r="X151" s="665"/>
      <c r="Y151" s="665">
        <f t="shared" si="7"/>
        <v>0</v>
      </c>
      <c r="Z151" s="666"/>
      <c r="AA151" s="672"/>
      <c r="AB151" s="670"/>
      <c r="AC151" s="670"/>
      <c r="AD151" s="669"/>
      <c r="AE151" s="344"/>
      <c r="AF151" s="360"/>
      <c r="AG151" s="673"/>
      <c r="AH151" s="671"/>
      <c r="AI151" s="672"/>
      <c r="AJ151" s="360"/>
      <c r="AK151" s="673"/>
      <c r="AL151" s="666"/>
      <c r="AM151" s="672"/>
      <c r="AN151" s="360"/>
      <c r="AO151" s="673"/>
      <c r="AP151" s="674"/>
      <c r="AQ151" s="672"/>
      <c r="AR151" s="360"/>
      <c r="AS151" s="673"/>
      <c r="AT151" s="675">
        <f t="shared" si="8"/>
        <v>0</v>
      </c>
      <c r="AU151" s="676">
        <f t="shared" si="6"/>
        <v>0</v>
      </c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</row>
    <row r="152" spans="1:86" s="96" customFormat="1" ht="12" hidden="1">
      <c r="A152" s="39"/>
      <c r="B152" s="712">
        <v>161</v>
      </c>
      <c r="C152" s="713"/>
      <c r="D152" s="714"/>
      <c r="E152" s="715"/>
      <c r="F152" s="660"/>
      <c r="G152" s="661"/>
      <c r="H152" s="716"/>
      <c r="I152" s="663"/>
      <c r="J152" s="664"/>
      <c r="K152" s="665"/>
      <c r="L152" s="665"/>
      <c r="M152" s="665"/>
      <c r="N152" s="665"/>
      <c r="O152" s="665"/>
      <c r="P152" s="665"/>
      <c r="Q152" s="665"/>
      <c r="R152" s="665"/>
      <c r="S152" s="665"/>
      <c r="T152" s="665"/>
      <c r="U152" s="665"/>
      <c r="V152" s="665"/>
      <c r="W152" s="665"/>
      <c r="X152" s="665"/>
      <c r="Y152" s="665">
        <f t="shared" si="7"/>
        <v>0</v>
      </c>
      <c r="Z152" s="666"/>
      <c r="AA152" s="672"/>
      <c r="AB152" s="670"/>
      <c r="AC152" s="670"/>
      <c r="AD152" s="669"/>
      <c r="AE152" s="344"/>
      <c r="AF152" s="360"/>
      <c r="AG152" s="673"/>
      <c r="AH152" s="671"/>
      <c r="AI152" s="672"/>
      <c r="AJ152" s="360"/>
      <c r="AK152" s="673"/>
      <c r="AL152" s="666"/>
      <c r="AM152" s="672"/>
      <c r="AN152" s="360"/>
      <c r="AO152" s="673"/>
      <c r="AP152" s="674"/>
      <c r="AQ152" s="672"/>
      <c r="AR152" s="360"/>
      <c r="AS152" s="673"/>
      <c r="AT152" s="675">
        <f t="shared" si="8"/>
        <v>0</v>
      </c>
      <c r="AU152" s="676">
        <f t="shared" si="6"/>
        <v>0</v>
      </c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</row>
    <row r="153" spans="1:86" s="96" customFormat="1" ht="12" hidden="1">
      <c r="A153" s="39"/>
      <c r="B153" s="712">
        <v>162</v>
      </c>
      <c r="C153" s="713"/>
      <c r="D153" s="714"/>
      <c r="E153" s="715"/>
      <c r="F153" s="660"/>
      <c r="G153" s="661"/>
      <c r="H153" s="716"/>
      <c r="I153" s="663"/>
      <c r="J153" s="664"/>
      <c r="K153" s="665"/>
      <c r="L153" s="665"/>
      <c r="M153" s="665"/>
      <c r="N153" s="665"/>
      <c r="O153" s="665"/>
      <c r="P153" s="665"/>
      <c r="Q153" s="665"/>
      <c r="R153" s="665"/>
      <c r="S153" s="665"/>
      <c r="T153" s="665"/>
      <c r="U153" s="665"/>
      <c r="V153" s="665"/>
      <c r="W153" s="665"/>
      <c r="X153" s="665"/>
      <c r="Y153" s="665">
        <f t="shared" si="7"/>
        <v>0</v>
      </c>
      <c r="Z153" s="666"/>
      <c r="AA153" s="672"/>
      <c r="AB153" s="670"/>
      <c r="AC153" s="670"/>
      <c r="AD153" s="669"/>
      <c r="AE153" s="344"/>
      <c r="AF153" s="360"/>
      <c r="AG153" s="673"/>
      <c r="AH153" s="671"/>
      <c r="AI153" s="672"/>
      <c r="AJ153" s="360"/>
      <c r="AK153" s="673"/>
      <c r="AL153" s="666"/>
      <c r="AM153" s="672"/>
      <c r="AN153" s="360"/>
      <c r="AO153" s="673"/>
      <c r="AP153" s="674"/>
      <c r="AQ153" s="672"/>
      <c r="AR153" s="360"/>
      <c r="AS153" s="673"/>
      <c r="AT153" s="675">
        <f t="shared" si="8"/>
        <v>0</v>
      </c>
      <c r="AU153" s="676">
        <f t="shared" si="6"/>
        <v>0</v>
      </c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</row>
    <row r="154" spans="1:86" s="96" customFormat="1" ht="12" hidden="1">
      <c r="A154" s="39"/>
      <c r="B154" s="712">
        <v>163</v>
      </c>
      <c r="C154" s="713"/>
      <c r="D154" s="714"/>
      <c r="E154" s="715"/>
      <c r="F154" s="660"/>
      <c r="G154" s="661"/>
      <c r="H154" s="716"/>
      <c r="I154" s="663"/>
      <c r="J154" s="664"/>
      <c r="K154" s="665"/>
      <c r="L154" s="665"/>
      <c r="M154" s="665"/>
      <c r="N154" s="665"/>
      <c r="O154" s="665"/>
      <c r="P154" s="665"/>
      <c r="Q154" s="665"/>
      <c r="R154" s="665"/>
      <c r="S154" s="665"/>
      <c r="T154" s="665"/>
      <c r="U154" s="665"/>
      <c r="V154" s="665"/>
      <c r="W154" s="665"/>
      <c r="X154" s="665"/>
      <c r="Y154" s="665">
        <f t="shared" si="7"/>
        <v>0</v>
      </c>
      <c r="Z154" s="666"/>
      <c r="AA154" s="672"/>
      <c r="AB154" s="360"/>
      <c r="AC154" s="668"/>
      <c r="AD154" s="669"/>
      <c r="AE154" s="344"/>
      <c r="AF154" s="360"/>
      <c r="AG154" s="673"/>
      <c r="AH154" s="671"/>
      <c r="AI154" s="672"/>
      <c r="AJ154" s="360"/>
      <c r="AK154" s="673"/>
      <c r="AL154" s="666"/>
      <c r="AM154" s="672"/>
      <c r="AN154" s="360"/>
      <c r="AO154" s="673"/>
      <c r="AP154" s="674"/>
      <c r="AQ154" s="672"/>
      <c r="AR154" s="360"/>
      <c r="AS154" s="673"/>
      <c r="AT154" s="675">
        <f t="shared" si="8"/>
        <v>0</v>
      </c>
      <c r="AU154" s="676">
        <f t="shared" si="6"/>
        <v>0</v>
      </c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</row>
    <row r="155" spans="1:86" s="96" customFormat="1" ht="12" hidden="1">
      <c r="A155" s="39"/>
      <c r="B155" s="712">
        <v>164</v>
      </c>
      <c r="C155" s="713"/>
      <c r="D155" s="714"/>
      <c r="E155" s="715"/>
      <c r="F155" s="660"/>
      <c r="G155" s="661"/>
      <c r="H155" s="716"/>
      <c r="I155" s="663"/>
      <c r="J155" s="664"/>
      <c r="K155" s="665"/>
      <c r="L155" s="665"/>
      <c r="M155" s="665"/>
      <c r="N155" s="665"/>
      <c r="O155" s="665"/>
      <c r="P155" s="665"/>
      <c r="Q155" s="665"/>
      <c r="R155" s="665"/>
      <c r="S155" s="665"/>
      <c r="T155" s="665"/>
      <c r="U155" s="665"/>
      <c r="V155" s="665"/>
      <c r="W155" s="665"/>
      <c r="X155" s="665"/>
      <c r="Y155" s="665">
        <f t="shared" si="7"/>
        <v>0</v>
      </c>
      <c r="Z155" s="666"/>
      <c r="AA155" s="672"/>
      <c r="AB155" s="360"/>
      <c r="AC155" s="668"/>
      <c r="AD155" s="669"/>
      <c r="AE155" s="344"/>
      <c r="AF155" s="360"/>
      <c r="AG155" s="673"/>
      <c r="AH155" s="671"/>
      <c r="AI155" s="672"/>
      <c r="AJ155" s="360"/>
      <c r="AK155" s="673"/>
      <c r="AL155" s="666"/>
      <c r="AM155" s="672"/>
      <c r="AN155" s="360"/>
      <c r="AO155" s="673"/>
      <c r="AP155" s="674"/>
      <c r="AQ155" s="672"/>
      <c r="AR155" s="360"/>
      <c r="AS155" s="673"/>
      <c r="AT155" s="675">
        <f t="shared" si="8"/>
        <v>0</v>
      </c>
      <c r="AU155" s="676">
        <f t="shared" si="6"/>
        <v>0</v>
      </c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</row>
    <row r="156" spans="1:86" s="96" customFormat="1" ht="12" hidden="1">
      <c r="A156" s="39"/>
      <c r="B156" s="712">
        <v>165</v>
      </c>
      <c r="C156" s="713"/>
      <c r="D156" s="714"/>
      <c r="E156" s="715"/>
      <c r="F156" s="660"/>
      <c r="G156" s="661"/>
      <c r="H156" s="716"/>
      <c r="I156" s="663"/>
      <c r="J156" s="664"/>
      <c r="K156" s="665"/>
      <c r="L156" s="665"/>
      <c r="M156" s="665"/>
      <c r="N156" s="665"/>
      <c r="O156" s="665"/>
      <c r="P156" s="665"/>
      <c r="Q156" s="665"/>
      <c r="R156" s="665"/>
      <c r="S156" s="665"/>
      <c r="T156" s="665"/>
      <c r="U156" s="665"/>
      <c r="V156" s="665"/>
      <c r="W156" s="665"/>
      <c r="X156" s="665"/>
      <c r="Y156" s="665">
        <f t="shared" si="7"/>
        <v>0</v>
      </c>
      <c r="Z156" s="666"/>
      <c r="AA156" s="672"/>
      <c r="AB156" s="360"/>
      <c r="AC156" s="668"/>
      <c r="AD156" s="669"/>
      <c r="AE156" s="344"/>
      <c r="AF156" s="360"/>
      <c r="AG156" s="673"/>
      <c r="AH156" s="671"/>
      <c r="AI156" s="672"/>
      <c r="AJ156" s="360"/>
      <c r="AK156" s="673"/>
      <c r="AL156" s="666"/>
      <c r="AM156" s="672"/>
      <c r="AN156" s="360"/>
      <c r="AO156" s="673"/>
      <c r="AP156" s="674"/>
      <c r="AQ156" s="672"/>
      <c r="AR156" s="360"/>
      <c r="AS156" s="673"/>
      <c r="AT156" s="675">
        <f t="shared" si="8"/>
        <v>0</v>
      </c>
      <c r="AU156" s="676">
        <f t="shared" si="6"/>
        <v>0</v>
      </c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</row>
    <row r="157" spans="1:86" s="96" customFormat="1" ht="12" hidden="1">
      <c r="A157" s="39"/>
      <c r="B157" s="712">
        <v>166</v>
      </c>
      <c r="C157" s="713"/>
      <c r="D157" s="714"/>
      <c r="E157" s="715"/>
      <c r="F157" s="660"/>
      <c r="G157" s="661"/>
      <c r="H157" s="716"/>
      <c r="I157" s="663"/>
      <c r="J157" s="664"/>
      <c r="K157" s="665"/>
      <c r="L157" s="665"/>
      <c r="M157" s="665"/>
      <c r="N157" s="665"/>
      <c r="O157" s="665"/>
      <c r="P157" s="665"/>
      <c r="Q157" s="665"/>
      <c r="R157" s="665"/>
      <c r="S157" s="665"/>
      <c r="T157" s="665"/>
      <c r="U157" s="665"/>
      <c r="V157" s="665"/>
      <c r="W157" s="665"/>
      <c r="X157" s="665"/>
      <c r="Y157" s="665">
        <f t="shared" si="7"/>
        <v>0</v>
      </c>
      <c r="Z157" s="666"/>
      <c r="AA157" s="672"/>
      <c r="AB157" s="360"/>
      <c r="AC157" s="668"/>
      <c r="AD157" s="669"/>
      <c r="AE157" s="344"/>
      <c r="AF157" s="360"/>
      <c r="AG157" s="673"/>
      <c r="AH157" s="671"/>
      <c r="AI157" s="672"/>
      <c r="AJ157" s="360"/>
      <c r="AK157" s="673"/>
      <c r="AL157" s="666"/>
      <c r="AM157" s="672"/>
      <c r="AN157" s="360"/>
      <c r="AO157" s="673"/>
      <c r="AP157" s="674"/>
      <c r="AQ157" s="672"/>
      <c r="AR157" s="360"/>
      <c r="AS157" s="673"/>
      <c r="AT157" s="675">
        <f t="shared" si="8"/>
        <v>0</v>
      </c>
      <c r="AU157" s="676">
        <f t="shared" si="6"/>
        <v>0</v>
      </c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</row>
    <row r="158" spans="1:86" s="96" customFormat="1" ht="12" hidden="1">
      <c r="A158" s="39"/>
      <c r="B158" s="712">
        <v>167</v>
      </c>
      <c r="C158" s="713"/>
      <c r="D158" s="714"/>
      <c r="E158" s="715"/>
      <c r="F158" s="660"/>
      <c r="G158" s="661"/>
      <c r="H158" s="716"/>
      <c r="I158" s="663"/>
      <c r="J158" s="664"/>
      <c r="K158" s="665"/>
      <c r="L158" s="665"/>
      <c r="M158" s="665"/>
      <c r="N158" s="665"/>
      <c r="O158" s="665"/>
      <c r="P158" s="665"/>
      <c r="Q158" s="665"/>
      <c r="R158" s="665"/>
      <c r="S158" s="665"/>
      <c r="T158" s="665"/>
      <c r="U158" s="665"/>
      <c r="V158" s="665"/>
      <c r="W158" s="665"/>
      <c r="X158" s="665"/>
      <c r="Y158" s="665">
        <f t="shared" si="7"/>
        <v>0</v>
      </c>
      <c r="Z158" s="666"/>
      <c r="AA158" s="672"/>
      <c r="AB158" s="360"/>
      <c r="AC158" s="668"/>
      <c r="AD158" s="669"/>
      <c r="AE158" s="344"/>
      <c r="AF158" s="360"/>
      <c r="AG158" s="673"/>
      <c r="AH158" s="671"/>
      <c r="AI158" s="672"/>
      <c r="AJ158" s="360"/>
      <c r="AK158" s="673"/>
      <c r="AL158" s="666"/>
      <c r="AM158" s="672"/>
      <c r="AN158" s="360"/>
      <c r="AO158" s="673"/>
      <c r="AP158" s="674"/>
      <c r="AQ158" s="672"/>
      <c r="AR158" s="360"/>
      <c r="AS158" s="673"/>
      <c r="AT158" s="675">
        <f t="shared" si="8"/>
        <v>0</v>
      </c>
      <c r="AU158" s="676">
        <f t="shared" si="6"/>
        <v>0</v>
      </c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</row>
    <row r="159" spans="1:86" s="96" customFormat="1" ht="12" hidden="1">
      <c r="A159" s="39"/>
      <c r="B159" s="712">
        <v>168</v>
      </c>
      <c r="C159" s="713"/>
      <c r="D159" s="714"/>
      <c r="E159" s="715"/>
      <c r="F159" s="660"/>
      <c r="G159" s="661"/>
      <c r="H159" s="716"/>
      <c r="I159" s="663"/>
      <c r="J159" s="664"/>
      <c r="K159" s="665"/>
      <c r="L159" s="665"/>
      <c r="M159" s="665"/>
      <c r="N159" s="665"/>
      <c r="O159" s="665"/>
      <c r="P159" s="665"/>
      <c r="Q159" s="665"/>
      <c r="R159" s="665"/>
      <c r="S159" s="665"/>
      <c r="T159" s="665"/>
      <c r="U159" s="665"/>
      <c r="V159" s="665"/>
      <c r="W159" s="665"/>
      <c r="X159" s="665"/>
      <c r="Y159" s="665">
        <f t="shared" si="7"/>
        <v>0</v>
      </c>
      <c r="Z159" s="666"/>
      <c r="AA159" s="672"/>
      <c r="AB159" s="670"/>
      <c r="AC159" s="670"/>
      <c r="AD159" s="669"/>
      <c r="AE159" s="344"/>
      <c r="AF159" s="360"/>
      <c r="AG159" s="673"/>
      <c r="AH159" s="671"/>
      <c r="AI159" s="672"/>
      <c r="AJ159" s="360"/>
      <c r="AK159" s="673"/>
      <c r="AL159" s="666"/>
      <c r="AM159" s="672"/>
      <c r="AN159" s="360"/>
      <c r="AO159" s="673"/>
      <c r="AP159" s="674"/>
      <c r="AQ159" s="672"/>
      <c r="AR159" s="360"/>
      <c r="AS159" s="673"/>
      <c r="AT159" s="675">
        <f t="shared" si="8"/>
        <v>0</v>
      </c>
      <c r="AU159" s="676">
        <f t="shared" si="6"/>
        <v>0</v>
      </c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</row>
    <row r="160" spans="1:86" s="96" customFormat="1" ht="12" hidden="1">
      <c r="A160" s="39"/>
      <c r="B160" s="712">
        <v>169</v>
      </c>
      <c r="C160" s="713"/>
      <c r="D160" s="714"/>
      <c r="E160" s="715"/>
      <c r="F160" s="660"/>
      <c r="G160" s="661"/>
      <c r="H160" s="716"/>
      <c r="I160" s="663"/>
      <c r="J160" s="664"/>
      <c r="K160" s="665"/>
      <c r="L160" s="665"/>
      <c r="M160" s="665"/>
      <c r="N160" s="665"/>
      <c r="O160" s="665"/>
      <c r="P160" s="665"/>
      <c r="Q160" s="665"/>
      <c r="R160" s="665"/>
      <c r="S160" s="665"/>
      <c r="T160" s="665"/>
      <c r="U160" s="665"/>
      <c r="V160" s="665"/>
      <c r="W160" s="665"/>
      <c r="X160" s="665"/>
      <c r="Y160" s="665">
        <f t="shared" si="7"/>
        <v>0</v>
      </c>
      <c r="Z160" s="666"/>
      <c r="AA160" s="672"/>
      <c r="AB160" s="670"/>
      <c r="AC160" s="670"/>
      <c r="AD160" s="669"/>
      <c r="AE160" s="344"/>
      <c r="AF160" s="360"/>
      <c r="AG160" s="673"/>
      <c r="AH160" s="671"/>
      <c r="AI160" s="672"/>
      <c r="AJ160" s="360"/>
      <c r="AK160" s="673"/>
      <c r="AL160" s="666"/>
      <c r="AM160" s="672"/>
      <c r="AN160" s="360"/>
      <c r="AO160" s="673"/>
      <c r="AP160" s="674"/>
      <c r="AQ160" s="672"/>
      <c r="AR160" s="360"/>
      <c r="AS160" s="673"/>
      <c r="AT160" s="675">
        <f t="shared" si="8"/>
        <v>0</v>
      </c>
      <c r="AU160" s="676">
        <f t="shared" si="6"/>
        <v>0</v>
      </c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</row>
    <row r="161" spans="1:86" s="96" customFormat="1" ht="12" hidden="1">
      <c r="A161" s="39"/>
      <c r="B161" s="712">
        <v>170</v>
      </c>
      <c r="C161" s="713"/>
      <c r="D161" s="714"/>
      <c r="E161" s="715"/>
      <c r="F161" s="660"/>
      <c r="G161" s="661"/>
      <c r="H161" s="716"/>
      <c r="I161" s="663"/>
      <c r="J161" s="664"/>
      <c r="K161" s="665"/>
      <c r="L161" s="665"/>
      <c r="M161" s="665"/>
      <c r="N161" s="665"/>
      <c r="O161" s="665"/>
      <c r="P161" s="665"/>
      <c r="Q161" s="665"/>
      <c r="R161" s="665"/>
      <c r="S161" s="665"/>
      <c r="T161" s="665"/>
      <c r="U161" s="665"/>
      <c r="V161" s="665"/>
      <c r="W161" s="665"/>
      <c r="X161" s="665"/>
      <c r="Y161" s="665">
        <f t="shared" si="7"/>
        <v>0</v>
      </c>
      <c r="Z161" s="666"/>
      <c r="AA161" s="672"/>
      <c r="AB161" s="670"/>
      <c r="AC161" s="670"/>
      <c r="AD161" s="669"/>
      <c r="AE161" s="344"/>
      <c r="AF161" s="360"/>
      <c r="AG161" s="673"/>
      <c r="AH161" s="671"/>
      <c r="AI161" s="672"/>
      <c r="AJ161" s="360"/>
      <c r="AK161" s="673"/>
      <c r="AL161" s="666"/>
      <c r="AM161" s="672"/>
      <c r="AN161" s="360"/>
      <c r="AO161" s="673"/>
      <c r="AP161" s="674"/>
      <c r="AQ161" s="672"/>
      <c r="AR161" s="360"/>
      <c r="AS161" s="673"/>
      <c r="AT161" s="675">
        <f t="shared" si="8"/>
        <v>0</v>
      </c>
      <c r="AU161" s="676">
        <f t="shared" si="6"/>
        <v>0</v>
      </c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</row>
    <row r="162" spans="1:86" s="96" customFormat="1" ht="12" hidden="1">
      <c r="A162" s="39"/>
      <c r="B162" s="712">
        <v>171</v>
      </c>
      <c r="C162" s="713"/>
      <c r="D162" s="714"/>
      <c r="E162" s="715"/>
      <c r="F162" s="660"/>
      <c r="G162" s="661"/>
      <c r="H162" s="716"/>
      <c r="I162" s="663"/>
      <c r="J162" s="664"/>
      <c r="K162" s="665"/>
      <c r="L162" s="665"/>
      <c r="M162" s="665"/>
      <c r="N162" s="665"/>
      <c r="O162" s="665"/>
      <c r="P162" s="665"/>
      <c r="Q162" s="665"/>
      <c r="R162" s="665"/>
      <c r="S162" s="665"/>
      <c r="T162" s="665"/>
      <c r="U162" s="665"/>
      <c r="V162" s="665"/>
      <c r="W162" s="665"/>
      <c r="X162" s="665"/>
      <c r="Y162" s="665">
        <f t="shared" si="7"/>
        <v>0</v>
      </c>
      <c r="Z162" s="666"/>
      <c r="AA162" s="672"/>
      <c r="AB162" s="360"/>
      <c r="AC162" s="668"/>
      <c r="AD162" s="669"/>
      <c r="AE162" s="344"/>
      <c r="AF162" s="360"/>
      <c r="AG162" s="673"/>
      <c r="AH162" s="671"/>
      <c r="AI162" s="672"/>
      <c r="AJ162" s="360"/>
      <c r="AK162" s="673"/>
      <c r="AL162" s="666"/>
      <c r="AM162" s="672"/>
      <c r="AN162" s="360"/>
      <c r="AO162" s="673"/>
      <c r="AP162" s="674"/>
      <c r="AQ162" s="672"/>
      <c r="AR162" s="360"/>
      <c r="AS162" s="673"/>
      <c r="AT162" s="675">
        <f t="shared" si="8"/>
        <v>0</v>
      </c>
      <c r="AU162" s="676">
        <f t="shared" si="6"/>
        <v>0</v>
      </c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</row>
    <row r="163" spans="1:86" s="96" customFormat="1" ht="12" hidden="1">
      <c r="A163" s="39"/>
      <c r="B163" s="712">
        <v>172</v>
      </c>
      <c r="C163" s="713"/>
      <c r="D163" s="714"/>
      <c r="E163" s="715"/>
      <c r="F163" s="660"/>
      <c r="G163" s="661"/>
      <c r="H163" s="716"/>
      <c r="I163" s="663"/>
      <c r="J163" s="664"/>
      <c r="K163" s="665"/>
      <c r="L163" s="665"/>
      <c r="M163" s="665"/>
      <c r="N163" s="665"/>
      <c r="O163" s="665"/>
      <c r="P163" s="665"/>
      <c r="Q163" s="665"/>
      <c r="R163" s="665"/>
      <c r="S163" s="665"/>
      <c r="T163" s="665"/>
      <c r="U163" s="665"/>
      <c r="V163" s="665"/>
      <c r="W163" s="665"/>
      <c r="X163" s="665"/>
      <c r="Y163" s="665">
        <f t="shared" si="7"/>
        <v>0</v>
      </c>
      <c r="Z163" s="666"/>
      <c r="AA163" s="672"/>
      <c r="AB163" s="360"/>
      <c r="AC163" s="668"/>
      <c r="AD163" s="669"/>
      <c r="AE163" s="344"/>
      <c r="AF163" s="360"/>
      <c r="AG163" s="673"/>
      <c r="AH163" s="671"/>
      <c r="AI163" s="672"/>
      <c r="AJ163" s="360"/>
      <c r="AK163" s="673"/>
      <c r="AL163" s="666"/>
      <c r="AM163" s="672"/>
      <c r="AN163" s="360"/>
      <c r="AO163" s="673"/>
      <c r="AP163" s="674"/>
      <c r="AQ163" s="672"/>
      <c r="AR163" s="360"/>
      <c r="AS163" s="673"/>
      <c r="AT163" s="675">
        <f t="shared" si="8"/>
        <v>0</v>
      </c>
      <c r="AU163" s="676">
        <f t="shared" si="6"/>
        <v>0</v>
      </c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</row>
    <row r="164" spans="1:86" s="96" customFormat="1" ht="12" hidden="1">
      <c r="A164" s="39"/>
      <c r="B164" s="712">
        <v>173</v>
      </c>
      <c r="C164" s="713"/>
      <c r="D164" s="714"/>
      <c r="E164" s="715"/>
      <c r="F164" s="660"/>
      <c r="G164" s="661"/>
      <c r="H164" s="716"/>
      <c r="I164" s="663"/>
      <c r="J164" s="664"/>
      <c r="K164" s="665"/>
      <c r="L164" s="665"/>
      <c r="M164" s="665"/>
      <c r="N164" s="665"/>
      <c r="O164" s="665"/>
      <c r="P164" s="665"/>
      <c r="Q164" s="665"/>
      <c r="R164" s="665"/>
      <c r="S164" s="665"/>
      <c r="T164" s="665"/>
      <c r="U164" s="665"/>
      <c r="V164" s="665"/>
      <c r="W164" s="665"/>
      <c r="X164" s="665"/>
      <c r="Y164" s="665">
        <f t="shared" si="7"/>
        <v>0</v>
      </c>
      <c r="Z164" s="666"/>
      <c r="AA164" s="672"/>
      <c r="AB164" s="360"/>
      <c r="AC164" s="668"/>
      <c r="AD164" s="669"/>
      <c r="AE164" s="344"/>
      <c r="AF164" s="360"/>
      <c r="AG164" s="673"/>
      <c r="AH164" s="671"/>
      <c r="AI164" s="672"/>
      <c r="AJ164" s="360"/>
      <c r="AK164" s="673"/>
      <c r="AL164" s="666"/>
      <c r="AM164" s="672"/>
      <c r="AN164" s="360"/>
      <c r="AO164" s="673"/>
      <c r="AP164" s="674"/>
      <c r="AQ164" s="672"/>
      <c r="AR164" s="360"/>
      <c r="AS164" s="673"/>
      <c r="AT164" s="675">
        <f t="shared" si="8"/>
        <v>0</v>
      </c>
      <c r="AU164" s="676">
        <f t="shared" si="6"/>
        <v>0</v>
      </c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</row>
    <row r="165" spans="1:86" s="96" customFormat="1" ht="12" hidden="1">
      <c r="A165" s="39"/>
      <c r="B165" s="712">
        <v>174</v>
      </c>
      <c r="C165" s="712"/>
      <c r="D165" s="111"/>
      <c r="E165" s="660"/>
      <c r="F165" s="660"/>
      <c r="G165" s="661"/>
      <c r="H165" s="716"/>
      <c r="I165" s="717"/>
      <c r="J165" s="664"/>
      <c r="K165" s="665"/>
      <c r="L165" s="665"/>
      <c r="M165" s="665"/>
      <c r="N165" s="665"/>
      <c r="O165" s="665"/>
      <c r="P165" s="665"/>
      <c r="Q165" s="665"/>
      <c r="R165" s="665"/>
      <c r="S165" s="665"/>
      <c r="T165" s="665"/>
      <c r="U165" s="665"/>
      <c r="V165" s="665"/>
      <c r="W165" s="665"/>
      <c r="X165" s="665"/>
      <c r="Y165" s="665">
        <f t="shared" si="7"/>
        <v>0</v>
      </c>
      <c r="Z165" s="718"/>
      <c r="AA165" s="672"/>
      <c r="AB165" s="360"/>
      <c r="AC165" s="668"/>
      <c r="AD165" s="682"/>
      <c r="AE165" s="344"/>
      <c r="AF165" s="360"/>
      <c r="AG165" s="673"/>
      <c r="AH165" s="671"/>
      <c r="AI165" s="672"/>
      <c r="AJ165" s="360"/>
      <c r="AK165" s="673"/>
      <c r="AL165" s="666"/>
      <c r="AM165" s="672"/>
      <c r="AN165" s="360"/>
      <c r="AO165" s="673"/>
      <c r="AP165" s="674"/>
      <c r="AQ165" s="672"/>
      <c r="AR165" s="360"/>
      <c r="AS165" s="673"/>
      <c r="AT165" s="675">
        <f t="shared" si="8"/>
        <v>0</v>
      </c>
      <c r="AU165" s="676">
        <f t="shared" si="6"/>
        <v>0</v>
      </c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</row>
    <row r="166" spans="1:86" ht="15" customHeight="1">
      <c r="B166" s="789" t="s">
        <v>134</v>
      </c>
      <c r="C166" s="790"/>
      <c r="D166" s="790"/>
      <c r="E166" s="790"/>
      <c r="F166" s="790"/>
      <c r="G166" s="790"/>
      <c r="H166" s="790"/>
      <c r="I166" s="791"/>
      <c r="J166" s="719"/>
      <c r="K166" s="720">
        <f>SUBTOTAL(9,K16:K90)</f>
        <v>8091747</v>
      </c>
      <c r="L166" s="720">
        <f>SUBTOTAL(9,L16:L90)</f>
        <v>12565748</v>
      </c>
      <c r="M166" s="720">
        <f t="shared" ref="M166:Y166" si="9">SUBTOTAL(9,M16:M90)</f>
        <v>0</v>
      </c>
      <c r="N166" s="720">
        <f t="shared" si="9"/>
        <v>1064572</v>
      </c>
      <c r="O166" s="720">
        <f t="shared" si="9"/>
        <v>708290</v>
      </c>
      <c r="P166" s="720">
        <f t="shared" si="9"/>
        <v>1433377</v>
      </c>
      <c r="Q166" s="720">
        <f t="shared" si="9"/>
        <v>828115</v>
      </c>
      <c r="R166" s="720">
        <f t="shared" si="9"/>
        <v>1174106</v>
      </c>
      <c r="S166" s="720">
        <f t="shared" si="9"/>
        <v>2718985</v>
      </c>
      <c r="T166" s="720">
        <f t="shared" si="9"/>
        <v>1795154</v>
      </c>
      <c r="U166" s="720">
        <f t="shared" si="9"/>
        <v>1034883</v>
      </c>
      <c r="V166" s="720">
        <f t="shared" si="9"/>
        <v>0</v>
      </c>
      <c r="W166" s="720">
        <f t="shared" si="9"/>
        <v>0</v>
      </c>
      <c r="X166" s="720">
        <f t="shared" si="9"/>
        <v>0</v>
      </c>
      <c r="Y166" s="720">
        <f t="shared" si="9"/>
        <v>10757482</v>
      </c>
      <c r="Z166" s="720">
        <f>SUBTOTAL(9,Z16:Z165)</f>
        <v>14175262</v>
      </c>
      <c r="AA166" s="720"/>
      <c r="AB166" s="720"/>
      <c r="AC166" s="720"/>
      <c r="AD166" s="720">
        <f>SUBTOTAL(9,AD16:AD89)</f>
        <v>783903</v>
      </c>
      <c r="AE166" s="720"/>
      <c r="AF166" s="720"/>
      <c r="AG166" s="720"/>
      <c r="AH166" s="720">
        <f>SUBTOTAL(9,AH16:AH89)</f>
        <v>2267339</v>
      </c>
      <c r="AI166" s="720"/>
      <c r="AJ166" s="720"/>
      <c r="AK166" s="720"/>
      <c r="AL166" s="720">
        <f>SUBTOTAL(9,AL16:AL89)</f>
        <v>279395</v>
      </c>
      <c r="AM166" s="720"/>
      <c r="AN166" s="720"/>
      <c r="AO166" s="720"/>
      <c r="AP166" s="720">
        <f>SUBTOTAL(9,AP16:AP89)</f>
        <v>0</v>
      </c>
      <c r="AQ166" s="720"/>
      <c r="AR166" s="720"/>
      <c r="AS166" s="720"/>
      <c r="AT166" s="720">
        <f>SUBTOTAL(9,AT16:AT89)</f>
        <v>17505899</v>
      </c>
      <c r="AU166" s="720">
        <f>SUBTOTAL(9,AU16:AU89)</f>
        <v>6748417</v>
      </c>
    </row>
    <row r="167" spans="1:86" s="123" customFormat="1" ht="20.25" customHeight="1">
      <c r="B167" s="752"/>
      <c r="C167" s="752"/>
      <c r="D167" s="752"/>
      <c r="E167" s="752"/>
      <c r="F167" s="140"/>
      <c r="G167" s="125"/>
      <c r="H167" s="210"/>
      <c r="J167" s="124"/>
      <c r="K167" s="124"/>
      <c r="L167" s="124"/>
      <c r="Z167" s="721"/>
      <c r="AA167" s="74"/>
      <c r="AD167" s="646"/>
      <c r="AE167" s="124"/>
      <c r="AH167" s="646"/>
      <c r="AI167" s="74"/>
      <c r="AL167" s="646"/>
      <c r="AM167" s="74"/>
      <c r="AP167" s="646"/>
      <c r="AQ167" s="74"/>
      <c r="AU167" s="723"/>
    </row>
    <row r="168" spans="1:86" s="123" customFormat="1" ht="11.25" customHeight="1">
      <c r="B168" s="748"/>
      <c r="C168" s="748"/>
      <c r="D168" s="748"/>
      <c r="E168" s="748"/>
      <c r="F168" s="748"/>
      <c r="G168" s="748"/>
      <c r="H168" s="748"/>
      <c r="I168" s="748"/>
      <c r="J168" s="748"/>
      <c r="K168" s="748"/>
      <c r="L168" s="748"/>
      <c r="M168" s="748"/>
      <c r="N168" s="748"/>
      <c r="O168" s="748"/>
      <c r="P168" s="748"/>
      <c r="Q168" s="748"/>
      <c r="R168" s="748"/>
      <c r="S168" s="748"/>
      <c r="T168" s="748"/>
      <c r="U168" s="748"/>
      <c r="V168" s="748"/>
      <c r="W168" s="748"/>
      <c r="X168" s="748"/>
      <c r="Y168" s="748"/>
      <c r="Z168" s="748"/>
      <c r="AA168" s="748"/>
      <c r="AB168" s="748"/>
      <c r="AC168" s="748"/>
      <c r="AD168" s="722"/>
      <c r="AE168" s="209"/>
      <c r="AF168" s="210"/>
      <c r="AG168" s="209"/>
      <c r="AH168" s="722"/>
      <c r="AI168" s="211"/>
      <c r="AJ168" s="210"/>
      <c r="AK168" s="210"/>
      <c r="AL168" s="722"/>
      <c r="AM168" s="211"/>
      <c r="AN168" s="210"/>
      <c r="AO168" s="210"/>
      <c r="AP168" s="722"/>
      <c r="AQ168" s="211"/>
      <c r="AR168" s="210"/>
      <c r="AS168" s="210"/>
      <c r="AT168" s="124"/>
      <c r="AU168" s="723"/>
    </row>
    <row r="169" spans="1:86" s="123" customFormat="1">
      <c r="B169" s="125"/>
      <c r="D169" s="125"/>
      <c r="H169" s="210"/>
      <c r="J169" s="124"/>
      <c r="K169" s="124"/>
      <c r="L169" s="124"/>
      <c r="Y169" s="607">
        <f>8791459064/1000</f>
        <v>8791459.0639999993</v>
      </c>
      <c r="Z169" s="721"/>
      <c r="AA169" s="74"/>
      <c r="AD169" s="646"/>
      <c r="AE169" s="124"/>
      <c r="AH169" s="646"/>
      <c r="AI169" s="74"/>
      <c r="AL169" s="646"/>
      <c r="AM169" s="74"/>
      <c r="AP169" s="646"/>
      <c r="AQ169" s="74"/>
      <c r="AU169" s="723"/>
    </row>
    <row r="170" spans="1:86" s="123" customFormat="1">
      <c r="B170" s="125"/>
      <c r="D170" s="125"/>
      <c r="H170" s="210"/>
      <c r="J170" s="124"/>
      <c r="K170" s="124"/>
      <c r="L170" s="124"/>
      <c r="Z170" s="721"/>
      <c r="AA170" s="74"/>
      <c r="AC170" s="124"/>
      <c r="AD170" s="646"/>
      <c r="AE170" s="124"/>
      <c r="AH170" s="646"/>
      <c r="AI170" s="74"/>
      <c r="AL170" s="646"/>
      <c r="AM170" s="74"/>
      <c r="AP170" s="646"/>
      <c r="AQ170" s="74"/>
      <c r="AU170" s="723"/>
    </row>
    <row r="171" spans="1:86" s="123" customFormat="1">
      <c r="B171" s="125"/>
      <c r="D171" s="125"/>
      <c r="H171" s="210"/>
      <c r="J171" s="124"/>
      <c r="K171" s="124"/>
      <c r="L171" s="124"/>
      <c r="Y171" s="142">
        <f>+Y166-Y169</f>
        <v>1966022.9360000007</v>
      </c>
      <c r="Z171" s="721"/>
      <c r="AA171" s="74"/>
      <c r="AD171" s="646"/>
      <c r="AE171" s="124"/>
      <c r="AH171" s="646"/>
      <c r="AI171" s="74"/>
      <c r="AL171" s="646"/>
      <c r="AM171" s="74"/>
      <c r="AP171" s="646"/>
      <c r="AQ171" s="74"/>
      <c r="AU171" s="723"/>
    </row>
    <row r="172" spans="1:86" s="123" customFormat="1">
      <c r="B172" s="125"/>
      <c r="D172" s="125"/>
      <c r="H172" s="210"/>
      <c r="J172" s="124"/>
      <c r="K172" s="124"/>
      <c r="L172" s="124"/>
      <c r="Z172" s="721"/>
      <c r="AA172" s="74"/>
      <c r="AD172" s="646"/>
      <c r="AE172" s="124"/>
      <c r="AH172" s="646"/>
      <c r="AI172" s="74"/>
      <c r="AL172" s="646"/>
      <c r="AM172" s="74"/>
      <c r="AP172" s="646"/>
      <c r="AQ172" s="74"/>
      <c r="AU172" s="723"/>
    </row>
    <row r="173" spans="1:86" s="123" customFormat="1">
      <c r="B173" s="125"/>
      <c r="D173" s="125"/>
      <c r="H173" s="210"/>
      <c r="J173" s="124"/>
      <c r="K173" s="124"/>
      <c r="L173" s="124"/>
      <c r="Z173" s="721"/>
      <c r="AA173" s="74"/>
      <c r="AD173" s="646"/>
      <c r="AE173" s="124"/>
      <c r="AH173" s="646"/>
      <c r="AI173" s="74"/>
      <c r="AL173" s="646"/>
      <c r="AM173" s="74"/>
      <c r="AP173" s="646"/>
      <c r="AQ173" s="74"/>
      <c r="AU173" s="723"/>
    </row>
    <row r="174" spans="1:86" s="123" customFormat="1">
      <c r="B174" s="125"/>
      <c r="D174" s="125"/>
      <c r="H174" s="210"/>
      <c r="J174" s="124"/>
      <c r="K174" s="124"/>
      <c r="L174" s="124"/>
      <c r="Z174" s="721"/>
      <c r="AA174" s="74"/>
      <c r="AD174" s="646"/>
      <c r="AE174" s="124"/>
      <c r="AH174" s="646"/>
      <c r="AI174" s="74"/>
      <c r="AL174" s="646"/>
      <c r="AM174" s="74"/>
      <c r="AP174" s="646"/>
      <c r="AQ174" s="74"/>
      <c r="AU174" s="723"/>
    </row>
    <row r="175" spans="1:86" s="123" customFormat="1">
      <c r="B175" s="125"/>
      <c r="D175" s="125"/>
      <c r="H175" s="210"/>
      <c r="J175" s="124"/>
      <c r="K175" s="124"/>
      <c r="L175" s="124"/>
      <c r="Z175" s="721"/>
      <c r="AA175" s="74"/>
      <c r="AD175" s="646"/>
      <c r="AE175" s="124"/>
      <c r="AH175" s="646"/>
      <c r="AI175" s="74"/>
      <c r="AL175" s="646"/>
      <c r="AM175" s="74"/>
      <c r="AP175" s="646"/>
      <c r="AQ175" s="74"/>
      <c r="AU175" s="723"/>
    </row>
    <row r="176" spans="1:86" s="123" customFormat="1">
      <c r="B176" s="125"/>
      <c r="D176" s="125"/>
      <c r="H176" s="210"/>
      <c r="J176" s="124"/>
      <c r="K176" s="124"/>
      <c r="L176" s="124"/>
      <c r="Z176" s="721"/>
      <c r="AA176" s="74"/>
      <c r="AD176" s="646"/>
      <c r="AE176" s="124"/>
      <c r="AH176" s="646"/>
      <c r="AI176" s="74"/>
      <c r="AL176" s="646"/>
      <c r="AM176" s="74"/>
      <c r="AP176" s="646"/>
      <c r="AQ176" s="74"/>
      <c r="AU176" s="723"/>
    </row>
    <row r="177" spans="2:47" s="123" customFormat="1">
      <c r="B177" s="125"/>
      <c r="D177" s="125"/>
      <c r="H177" s="210"/>
      <c r="J177" s="124"/>
      <c r="K177" s="124"/>
      <c r="L177" s="124"/>
      <c r="Z177" s="721"/>
      <c r="AA177" s="74"/>
      <c r="AD177" s="646"/>
      <c r="AE177" s="124"/>
      <c r="AH177" s="646"/>
      <c r="AI177" s="74"/>
      <c r="AL177" s="646"/>
      <c r="AM177" s="74"/>
      <c r="AP177" s="646"/>
      <c r="AQ177" s="74"/>
      <c r="AU177" s="723"/>
    </row>
    <row r="178" spans="2:47" s="123" customFormat="1">
      <c r="B178" s="125"/>
      <c r="D178" s="125"/>
      <c r="H178" s="210"/>
      <c r="J178" s="124"/>
      <c r="K178" s="124"/>
      <c r="L178" s="124"/>
      <c r="Z178" s="721"/>
      <c r="AA178" s="74"/>
      <c r="AD178" s="646"/>
      <c r="AE178" s="124"/>
      <c r="AH178" s="646"/>
      <c r="AI178" s="74"/>
      <c r="AL178" s="646"/>
      <c r="AM178" s="74"/>
      <c r="AP178" s="646"/>
      <c r="AQ178" s="74"/>
      <c r="AU178" s="723"/>
    </row>
    <row r="179" spans="2:47" s="123" customFormat="1">
      <c r="B179" s="125"/>
      <c r="D179" s="125"/>
      <c r="H179" s="210"/>
      <c r="J179" s="124"/>
      <c r="K179" s="124"/>
      <c r="L179" s="124"/>
      <c r="Z179" s="721"/>
      <c r="AA179" s="74"/>
      <c r="AD179" s="646"/>
      <c r="AE179" s="124"/>
      <c r="AH179" s="646"/>
      <c r="AI179" s="74"/>
      <c r="AL179" s="646"/>
      <c r="AM179" s="74"/>
      <c r="AP179" s="646"/>
      <c r="AQ179" s="74"/>
      <c r="AU179" s="723"/>
    </row>
    <row r="180" spans="2:47" s="123" customFormat="1">
      <c r="B180" s="125"/>
      <c r="D180" s="125"/>
      <c r="H180" s="210"/>
      <c r="J180" s="124"/>
      <c r="K180" s="124"/>
      <c r="L180" s="124"/>
      <c r="Z180" s="721"/>
      <c r="AA180" s="74"/>
      <c r="AD180" s="646"/>
      <c r="AE180" s="124"/>
      <c r="AH180" s="646"/>
      <c r="AI180" s="74"/>
      <c r="AL180" s="646"/>
      <c r="AM180" s="74"/>
      <c r="AP180" s="646"/>
      <c r="AQ180" s="74"/>
      <c r="AU180" s="723"/>
    </row>
    <row r="181" spans="2:47" s="123" customFormat="1">
      <c r="B181" s="125"/>
      <c r="D181" s="125"/>
      <c r="H181" s="210"/>
      <c r="J181" s="124"/>
      <c r="K181" s="124"/>
      <c r="L181" s="124"/>
      <c r="Z181" s="721"/>
      <c r="AA181" s="74"/>
      <c r="AD181" s="646"/>
      <c r="AE181" s="124"/>
      <c r="AH181" s="646"/>
      <c r="AI181" s="74"/>
      <c r="AL181" s="646"/>
      <c r="AM181" s="74"/>
      <c r="AP181" s="646"/>
      <c r="AQ181" s="74"/>
      <c r="AU181" s="723"/>
    </row>
    <row r="182" spans="2:47" s="123" customFormat="1">
      <c r="B182" s="125"/>
      <c r="D182" s="125"/>
      <c r="H182" s="210"/>
      <c r="J182" s="124"/>
      <c r="K182" s="124"/>
      <c r="L182" s="124"/>
      <c r="Z182" s="721"/>
      <c r="AA182" s="74"/>
      <c r="AD182" s="646"/>
      <c r="AE182" s="124"/>
      <c r="AH182" s="646"/>
      <c r="AI182" s="74"/>
      <c r="AL182" s="646"/>
      <c r="AM182" s="74"/>
      <c r="AP182" s="646"/>
      <c r="AQ182" s="74"/>
      <c r="AU182" s="723"/>
    </row>
    <row r="183" spans="2:47" s="123" customFormat="1">
      <c r="B183" s="125"/>
      <c r="D183" s="125"/>
      <c r="H183" s="210"/>
      <c r="J183" s="124"/>
      <c r="K183" s="124"/>
      <c r="L183" s="124"/>
      <c r="Z183" s="721"/>
      <c r="AA183" s="74"/>
      <c r="AD183" s="646"/>
      <c r="AE183" s="124"/>
      <c r="AH183" s="646"/>
      <c r="AI183" s="74"/>
      <c r="AL183" s="646"/>
      <c r="AM183" s="74"/>
      <c r="AP183" s="646"/>
      <c r="AQ183" s="74"/>
      <c r="AU183" s="723"/>
    </row>
    <row r="184" spans="2:47" s="123" customFormat="1">
      <c r="B184" s="125"/>
      <c r="D184" s="125"/>
      <c r="H184" s="210"/>
      <c r="J184" s="124"/>
      <c r="K184" s="124"/>
      <c r="L184" s="124"/>
      <c r="Z184" s="721"/>
      <c r="AA184" s="74"/>
      <c r="AD184" s="646"/>
      <c r="AE184" s="124"/>
      <c r="AH184" s="646"/>
      <c r="AI184" s="74"/>
      <c r="AL184" s="646"/>
      <c r="AM184" s="74"/>
      <c r="AP184" s="646"/>
      <c r="AQ184" s="74"/>
      <c r="AU184" s="723"/>
    </row>
    <row r="185" spans="2:47" s="123" customFormat="1">
      <c r="B185" s="125"/>
      <c r="D185" s="125"/>
      <c r="H185" s="210"/>
      <c r="J185" s="124"/>
      <c r="K185" s="124"/>
      <c r="L185" s="124"/>
      <c r="Z185" s="721"/>
      <c r="AA185" s="74"/>
      <c r="AD185" s="646"/>
      <c r="AE185" s="124"/>
      <c r="AH185" s="646"/>
      <c r="AI185" s="74"/>
      <c r="AL185" s="646"/>
      <c r="AM185" s="74"/>
      <c r="AP185" s="646"/>
      <c r="AQ185" s="74"/>
      <c r="AU185" s="723"/>
    </row>
    <row r="186" spans="2:47" s="123" customFormat="1">
      <c r="B186" s="125"/>
      <c r="D186" s="125"/>
      <c r="H186" s="210"/>
      <c r="J186" s="124"/>
      <c r="K186" s="124"/>
      <c r="L186" s="124"/>
      <c r="Z186" s="721"/>
      <c r="AA186" s="74"/>
      <c r="AD186" s="646"/>
      <c r="AE186" s="124"/>
      <c r="AH186" s="646"/>
      <c r="AI186" s="74"/>
      <c r="AL186" s="646"/>
      <c r="AM186" s="74"/>
      <c r="AP186" s="646"/>
      <c r="AQ186" s="74"/>
      <c r="AU186" s="723"/>
    </row>
    <row r="187" spans="2:47" s="123" customFormat="1">
      <c r="B187" s="125"/>
      <c r="D187" s="125"/>
      <c r="H187" s="210"/>
      <c r="J187" s="124"/>
      <c r="K187" s="124"/>
      <c r="L187" s="124"/>
      <c r="Z187" s="721"/>
      <c r="AA187" s="74"/>
      <c r="AD187" s="646"/>
      <c r="AE187" s="124"/>
      <c r="AH187" s="646"/>
      <c r="AI187" s="74"/>
      <c r="AL187" s="646"/>
      <c r="AM187" s="74"/>
      <c r="AP187" s="646"/>
      <c r="AQ187" s="74"/>
      <c r="AU187" s="723"/>
    </row>
    <row r="188" spans="2:47" s="123" customFormat="1">
      <c r="B188" s="125"/>
      <c r="D188" s="125"/>
      <c r="H188" s="210"/>
      <c r="J188" s="124"/>
      <c r="K188" s="124"/>
      <c r="L188" s="124"/>
      <c r="Z188" s="721"/>
      <c r="AA188" s="74"/>
      <c r="AD188" s="646"/>
      <c r="AE188" s="124"/>
      <c r="AH188" s="646"/>
      <c r="AI188" s="74"/>
      <c r="AL188" s="646"/>
      <c r="AM188" s="74"/>
      <c r="AP188" s="646"/>
      <c r="AQ188" s="74"/>
      <c r="AU188" s="723"/>
    </row>
    <row r="189" spans="2:47" s="123" customFormat="1">
      <c r="B189" s="125"/>
      <c r="D189" s="125"/>
      <c r="H189" s="210"/>
      <c r="J189" s="124"/>
      <c r="K189" s="124"/>
      <c r="L189" s="124"/>
      <c r="Z189" s="721"/>
      <c r="AA189" s="74"/>
      <c r="AD189" s="646"/>
      <c r="AE189" s="124"/>
      <c r="AH189" s="646"/>
      <c r="AI189" s="74"/>
      <c r="AL189" s="646"/>
      <c r="AM189" s="74"/>
      <c r="AP189" s="646"/>
      <c r="AQ189" s="74"/>
      <c r="AU189" s="723"/>
    </row>
    <row r="190" spans="2:47" s="123" customFormat="1">
      <c r="B190" s="125"/>
      <c r="D190" s="125"/>
      <c r="H190" s="210"/>
      <c r="J190" s="124"/>
      <c r="K190" s="124"/>
      <c r="L190" s="124"/>
      <c r="Z190" s="721"/>
      <c r="AA190" s="74"/>
      <c r="AD190" s="646"/>
      <c r="AE190" s="124"/>
      <c r="AH190" s="646"/>
      <c r="AI190" s="74"/>
      <c r="AL190" s="646"/>
      <c r="AM190" s="74"/>
      <c r="AP190" s="646"/>
      <c r="AQ190" s="74"/>
      <c r="AU190" s="723"/>
    </row>
    <row r="191" spans="2:47" s="123" customFormat="1">
      <c r="B191" s="125"/>
      <c r="D191" s="125"/>
      <c r="H191" s="210"/>
      <c r="J191" s="124"/>
      <c r="K191" s="124"/>
      <c r="L191" s="124"/>
      <c r="Z191" s="721"/>
      <c r="AA191" s="74"/>
      <c r="AD191" s="646"/>
      <c r="AE191" s="124"/>
      <c r="AH191" s="646"/>
      <c r="AI191" s="74"/>
      <c r="AL191" s="646"/>
      <c r="AM191" s="74"/>
      <c r="AP191" s="646"/>
      <c r="AQ191" s="74"/>
      <c r="AU191" s="723"/>
    </row>
    <row r="192" spans="2:47" s="123" customFormat="1">
      <c r="B192" s="125"/>
      <c r="D192" s="125"/>
      <c r="H192" s="210"/>
      <c r="J192" s="124"/>
      <c r="K192" s="124"/>
      <c r="L192" s="124"/>
      <c r="Z192" s="721"/>
      <c r="AA192" s="74"/>
      <c r="AD192" s="646"/>
      <c r="AE192" s="124"/>
      <c r="AH192" s="646"/>
      <c r="AI192" s="74"/>
      <c r="AL192" s="646"/>
      <c r="AM192" s="74"/>
      <c r="AP192" s="646"/>
      <c r="AQ192" s="74"/>
      <c r="AU192" s="723"/>
    </row>
    <row r="193" spans="2:47" s="123" customFormat="1">
      <c r="B193" s="125"/>
      <c r="D193" s="125"/>
      <c r="H193" s="210"/>
      <c r="J193" s="124"/>
      <c r="K193" s="124"/>
      <c r="L193" s="124"/>
      <c r="Z193" s="721"/>
      <c r="AA193" s="74"/>
      <c r="AD193" s="646"/>
      <c r="AE193" s="124"/>
      <c r="AH193" s="646"/>
      <c r="AI193" s="74"/>
      <c r="AL193" s="646"/>
      <c r="AM193" s="74"/>
      <c r="AP193" s="646"/>
      <c r="AQ193" s="74"/>
      <c r="AU193" s="723"/>
    </row>
    <row r="194" spans="2:47" s="123" customFormat="1">
      <c r="B194" s="125"/>
      <c r="D194" s="125"/>
      <c r="H194" s="210"/>
      <c r="J194" s="124"/>
      <c r="K194" s="124"/>
      <c r="L194" s="124"/>
      <c r="Z194" s="721"/>
      <c r="AA194" s="74"/>
      <c r="AD194" s="646"/>
      <c r="AE194" s="124"/>
      <c r="AH194" s="646"/>
      <c r="AI194" s="74"/>
      <c r="AL194" s="646"/>
      <c r="AM194" s="74"/>
      <c r="AP194" s="646"/>
      <c r="AQ194" s="74"/>
      <c r="AU194" s="723"/>
    </row>
    <row r="195" spans="2:47" s="123" customFormat="1">
      <c r="B195" s="125"/>
      <c r="D195" s="125"/>
      <c r="H195" s="210"/>
      <c r="J195" s="124"/>
      <c r="K195" s="124"/>
      <c r="L195" s="124"/>
      <c r="Z195" s="721"/>
      <c r="AA195" s="74"/>
      <c r="AD195" s="646"/>
      <c r="AE195" s="124"/>
      <c r="AH195" s="646"/>
      <c r="AI195" s="74"/>
      <c r="AL195" s="646"/>
      <c r="AM195" s="74"/>
      <c r="AP195" s="646"/>
      <c r="AQ195" s="74"/>
      <c r="AU195" s="723"/>
    </row>
    <row r="196" spans="2:47" s="123" customFormat="1">
      <c r="B196" s="125"/>
      <c r="D196" s="125"/>
      <c r="H196" s="210"/>
      <c r="J196" s="124"/>
      <c r="K196" s="124"/>
      <c r="L196" s="124"/>
      <c r="Z196" s="721"/>
      <c r="AA196" s="74"/>
      <c r="AD196" s="646"/>
      <c r="AE196" s="124"/>
      <c r="AH196" s="646"/>
      <c r="AI196" s="74"/>
      <c r="AL196" s="646"/>
      <c r="AM196" s="74"/>
      <c r="AP196" s="646"/>
      <c r="AQ196" s="74"/>
      <c r="AU196" s="723"/>
    </row>
    <row r="197" spans="2:47" s="123" customFormat="1">
      <c r="B197" s="125"/>
      <c r="D197" s="125"/>
      <c r="H197" s="210"/>
      <c r="J197" s="124"/>
      <c r="K197" s="124"/>
      <c r="L197" s="124"/>
      <c r="Z197" s="721"/>
      <c r="AA197" s="74"/>
      <c r="AD197" s="646"/>
      <c r="AE197" s="124"/>
      <c r="AH197" s="646"/>
      <c r="AI197" s="74"/>
      <c r="AL197" s="646"/>
      <c r="AM197" s="74"/>
      <c r="AP197" s="646"/>
      <c r="AQ197" s="74"/>
      <c r="AU197" s="723"/>
    </row>
    <row r="198" spans="2:47" s="123" customFormat="1">
      <c r="B198" s="125"/>
      <c r="D198" s="125"/>
      <c r="H198" s="210"/>
      <c r="J198" s="124"/>
      <c r="K198" s="124"/>
      <c r="L198" s="124"/>
      <c r="Z198" s="721"/>
      <c r="AA198" s="74"/>
      <c r="AD198" s="646"/>
      <c r="AE198" s="124"/>
      <c r="AH198" s="646"/>
      <c r="AI198" s="74"/>
      <c r="AL198" s="646"/>
      <c r="AM198" s="74"/>
      <c r="AP198" s="646"/>
      <c r="AQ198" s="74"/>
      <c r="AU198" s="723"/>
    </row>
    <row r="199" spans="2:47" s="123" customFormat="1">
      <c r="B199" s="125"/>
      <c r="D199" s="125"/>
      <c r="H199" s="210"/>
      <c r="J199" s="124"/>
      <c r="K199" s="124"/>
      <c r="L199" s="124"/>
      <c r="Z199" s="721"/>
      <c r="AA199" s="74"/>
      <c r="AD199" s="646"/>
      <c r="AE199" s="124"/>
      <c r="AH199" s="646"/>
      <c r="AI199" s="74"/>
      <c r="AL199" s="646"/>
      <c r="AM199" s="74"/>
      <c r="AP199" s="646"/>
      <c r="AQ199" s="74"/>
      <c r="AU199" s="723"/>
    </row>
    <row r="200" spans="2:47" s="123" customFormat="1">
      <c r="B200" s="125"/>
      <c r="D200" s="125"/>
      <c r="H200" s="210"/>
      <c r="J200" s="124"/>
      <c r="K200" s="124"/>
      <c r="L200" s="124"/>
      <c r="Z200" s="721"/>
      <c r="AA200" s="74"/>
      <c r="AD200" s="646"/>
      <c r="AE200" s="124"/>
      <c r="AH200" s="646"/>
      <c r="AI200" s="74"/>
      <c r="AL200" s="646"/>
      <c r="AM200" s="74"/>
      <c r="AP200" s="646"/>
      <c r="AQ200" s="74"/>
      <c r="AU200" s="723"/>
    </row>
    <row r="201" spans="2:47" s="123" customFormat="1">
      <c r="B201" s="125"/>
      <c r="D201" s="125"/>
      <c r="H201" s="210"/>
      <c r="J201" s="124"/>
      <c r="K201" s="124"/>
      <c r="L201" s="124"/>
      <c r="Z201" s="721"/>
      <c r="AA201" s="74"/>
      <c r="AD201" s="646"/>
      <c r="AE201" s="124"/>
      <c r="AH201" s="646"/>
      <c r="AI201" s="74"/>
      <c r="AL201" s="646"/>
      <c r="AM201" s="74"/>
      <c r="AP201" s="646"/>
      <c r="AQ201" s="74"/>
      <c r="AU201" s="723"/>
    </row>
    <row r="202" spans="2:47" s="123" customFormat="1">
      <c r="B202" s="125"/>
      <c r="D202" s="125"/>
      <c r="H202" s="210"/>
      <c r="J202" s="124"/>
      <c r="K202" s="124"/>
      <c r="L202" s="124"/>
      <c r="Z202" s="721"/>
      <c r="AA202" s="74"/>
      <c r="AD202" s="646"/>
      <c r="AE202" s="124"/>
      <c r="AH202" s="646"/>
      <c r="AI202" s="74"/>
      <c r="AL202" s="646"/>
      <c r="AM202" s="74"/>
      <c r="AP202" s="646"/>
      <c r="AQ202" s="74"/>
      <c r="AU202" s="723"/>
    </row>
    <row r="203" spans="2:47" s="123" customFormat="1">
      <c r="B203" s="125"/>
      <c r="D203" s="125"/>
      <c r="H203" s="210"/>
      <c r="J203" s="124"/>
      <c r="K203" s="124"/>
      <c r="L203" s="124"/>
      <c r="Z203" s="721"/>
      <c r="AA203" s="74"/>
      <c r="AD203" s="646"/>
      <c r="AE203" s="124"/>
      <c r="AH203" s="646"/>
      <c r="AI203" s="74"/>
      <c r="AL203" s="646"/>
      <c r="AM203" s="74"/>
      <c r="AP203" s="646"/>
      <c r="AQ203" s="74"/>
      <c r="AU203" s="723"/>
    </row>
    <row r="204" spans="2:47" s="123" customFormat="1">
      <c r="B204" s="125"/>
      <c r="D204" s="125"/>
      <c r="H204" s="210"/>
      <c r="J204" s="124"/>
      <c r="K204" s="124"/>
      <c r="L204" s="124"/>
      <c r="Z204" s="721"/>
      <c r="AA204" s="74"/>
      <c r="AD204" s="646"/>
      <c r="AE204" s="124"/>
      <c r="AH204" s="646"/>
      <c r="AI204" s="74"/>
      <c r="AL204" s="646"/>
      <c r="AM204" s="74"/>
      <c r="AP204" s="646"/>
      <c r="AQ204" s="74"/>
      <c r="AU204" s="723"/>
    </row>
    <row r="205" spans="2:47" s="123" customFormat="1">
      <c r="B205" s="125"/>
      <c r="D205" s="125"/>
      <c r="H205" s="210"/>
      <c r="J205" s="124"/>
      <c r="K205" s="124"/>
      <c r="L205" s="124"/>
      <c r="Z205" s="721"/>
      <c r="AA205" s="74"/>
      <c r="AD205" s="646"/>
      <c r="AE205" s="124"/>
      <c r="AH205" s="646"/>
      <c r="AI205" s="74"/>
      <c r="AL205" s="646"/>
      <c r="AM205" s="74"/>
      <c r="AP205" s="646"/>
      <c r="AQ205" s="74"/>
      <c r="AU205" s="723"/>
    </row>
    <row r="206" spans="2:47" s="123" customFormat="1">
      <c r="B206" s="125"/>
      <c r="D206" s="125"/>
      <c r="H206" s="210"/>
      <c r="J206" s="124"/>
      <c r="K206" s="124"/>
      <c r="L206" s="124"/>
      <c r="Z206" s="721"/>
      <c r="AA206" s="74"/>
      <c r="AD206" s="646"/>
      <c r="AE206" s="124"/>
      <c r="AH206" s="646"/>
      <c r="AI206" s="74"/>
      <c r="AL206" s="646"/>
      <c r="AM206" s="74"/>
      <c r="AP206" s="646"/>
      <c r="AQ206" s="74"/>
      <c r="AU206" s="723"/>
    </row>
    <row r="207" spans="2:47" s="123" customFormat="1">
      <c r="B207" s="125"/>
      <c r="D207" s="125"/>
      <c r="H207" s="210"/>
      <c r="J207" s="124"/>
      <c r="K207" s="124"/>
      <c r="L207" s="124"/>
      <c r="Z207" s="721"/>
      <c r="AA207" s="74"/>
      <c r="AD207" s="646"/>
      <c r="AE207" s="124"/>
      <c r="AH207" s="646"/>
      <c r="AI207" s="74"/>
      <c r="AL207" s="646"/>
      <c r="AM207" s="74"/>
      <c r="AP207" s="646"/>
      <c r="AQ207" s="74"/>
      <c r="AU207" s="723"/>
    </row>
    <row r="208" spans="2:47" s="123" customFormat="1">
      <c r="B208" s="125"/>
      <c r="D208" s="125"/>
      <c r="H208" s="210"/>
      <c r="J208" s="124"/>
      <c r="K208" s="124"/>
      <c r="L208" s="124"/>
      <c r="Z208" s="721"/>
      <c r="AA208" s="74"/>
      <c r="AD208" s="646"/>
      <c r="AE208" s="124"/>
      <c r="AH208" s="646"/>
      <c r="AI208" s="74"/>
      <c r="AL208" s="646"/>
      <c r="AM208" s="74"/>
      <c r="AP208" s="646"/>
      <c r="AQ208" s="74"/>
      <c r="AU208" s="723"/>
    </row>
    <row r="209" spans="2:47" s="123" customFormat="1">
      <c r="B209" s="125"/>
      <c r="D209" s="125"/>
      <c r="H209" s="210"/>
      <c r="J209" s="124"/>
      <c r="K209" s="124"/>
      <c r="L209" s="124"/>
      <c r="Z209" s="721"/>
      <c r="AA209" s="74"/>
      <c r="AD209" s="646"/>
      <c r="AE209" s="124"/>
      <c r="AH209" s="646"/>
      <c r="AI209" s="74"/>
      <c r="AL209" s="646"/>
      <c r="AM209" s="74"/>
      <c r="AP209" s="646"/>
      <c r="AQ209" s="74"/>
      <c r="AU209" s="723"/>
    </row>
    <row r="210" spans="2:47" s="123" customFormat="1">
      <c r="B210" s="125"/>
      <c r="D210" s="125"/>
      <c r="H210" s="210"/>
      <c r="J210" s="124"/>
      <c r="K210" s="124"/>
      <c r="L210" s="124"/>
      <c r="Z210" s="721"/>
      <c r="AA210" s="74"/>
      <c r="AD210" s="646"/>
      <c r="AE210" s="124"/>
      <c r="AH210" s="646"/>
      <c r="AI210" s="74"/>
      <c r="AL210" s="646"/>
      <c r="AM210" s="74"/>
      <c r="AP210" s="646"/>
      <c r="AQ210" s="74"/>
      <c r="AU210" s="723"/>
    </row>
    <row r="211" spans="2:47" s="123" customFormat="1">
      <c r="B211" s="125"/>
      <c r="D211" s="125"/>
      <c r="H211" s="210"/>
      <c r="J211" s="124"/>
      <c r="K211" s="124"/>
      <c r="L211" s="124"/>
      <c r="Z211" s="721"/>
      <c r="AA211" s="74"/>
      <c r="AD211" s="646"/>
      <c r="AE211" s="124"/>
      <c r="AH211" s="646"/>
      <c r="AI211" s="74"/>
      <c r="AL211" s="646"/>
      <c r="AM211" s="74"/>
      <c r="AP211" s="646"/>
      <c r="AQ211" s="74"/>
      <c r="AU211" s="723"/>
    </row>
    <row r="212" spans="2:47" s="123" customFormat="1">
      <c r="B212" s="125"/>
      <c r="D212" s="125"/>
      <c r="H212" s="210"/>
      <c r="J212" s="124"/>
      <c r="K212" s="124"/>
      <c r="L212" s="124"/>
      <c r="Z212" s="721"/>
      <c r="AA212" s="74"/>
      <c r="AD212" s="646"/>
      <c r="AE212" s="124"/>
      <c r="AH212" s="646"/>
      <c r="AI212" s="74"/>
      <c r="AL212" s="646"/>
      <c r="AM212" s="74"/>
      <c r="AP212" s="646"/>
      <c r="AQ212" s="74"/>
      <c r="AU212" s="723"/>
    </row>
    <row r="213" spans="2:47" s="123" customFormat="1">
      <c r="B213" s="125"/>
      <c r="D213" s="125"/>
      <c r="H213" s="210"/>
      <c r="J213" s="124"/>
      <c r="K213" s="124"/>
      <c r="L213" s="124"/>
      <c r="Z213" s="721"/>
      <c r="AA213" s="74"/>
      <c r="AD213" s="646"/>
      <c r="AE213" s="124"/>
      <c r="AH213" s="646"/>
      <c r="AI213" s="74"/>
      <c r="AL213" s="646"/>
      <c r="AM213" s="74"/>
      <c r="AP213" s="646"/>
      <c r="AQ213" s="74"/>
      <c r="AU213" s="723"/>
    </row>
    <row r="214" spans="2:47" s="123" customFormat="1">
      <c r="B214" s="125"/>
      <c r="D214" s="125"/>
      <c r="H214" s="210"/>
      <c r="J214" s="124"/>
      <c r="K214" s="124"/>
      <c r="L214" s="124"/>
      <c r="Z214" s="721"/>
      <c r="AA214" s="74"/>
      <c r="AD214" s="646"/>
      <c r="AE214" s="124"/>
      <c r="AH214" s="646"/>
      <c r="AI214" s="74"/>
      <c r="AL214" s="646"/>
      <c r="AM214" s="74"/>
      <c r="AP214" s="646"/>
      <c r="AQ214" s="74"/>
      <c r="AU214" s="723"/>
    </row>
    <row r="215" spans="2:47" s="123" customFormat="1">
      <c r="B215" s="125"/>
      <c r="D215" s="125"/>
      <c r="H215" s="210"/>
      <c r="J215" s="124"/>
      <c r="K215" s="124"/>
      <c r="L215" s="124"/>
      <c r="Z215" s="721"/>
      <c r="AA215" s="74"/>
      <c r="AD215" s="646"/>
      <c r="AE215" s="124"/>
      <c r="AH215" s="646"/>
      <c r="AI215" s="74"/>
      <c r="AL215" s="646"/>
      <c r="AM215" s="74"/>
      <c r="AP215" s="646"/>
      <c r="AQ215" s="74"/>
      <c r="AU215" s="723"/>
    </row>
    <row r="216" spans="2:47" s="123" customFormat="1">
      <c r="B216" s="125"/>
      <c r="D216" s="125"/>
      <c r="H216" s="210"/>
      <c r="J216" s="124"/>
      <c r="K216" s="124"/>
      <c r="L216" s="124"/>
      <c r="Z216" s="721"/>
      <c r="AA216" s="74"/>
      <c r="AD216" s="646"/>
      <c r="AE216" s="124"/>
      <c r="AH216" s="646"/>
      <c r="AI216" s="74"/>
      <c r="AL216" s="646"/>
      <c r="AM216" s="74"/>
      <c r="AP216" s="646"/>
      <c r="AQ216" s="74"/>
      <c r="AU216" s="723"/>
    </row>
    <row r="217" spans="2:47" s="123" customFormat="1">
      <c r="B217" s="125"/>
      <c r="D217" s="125"/>
      <c r="H217" s="210"/>
      <c r="J217" s="124"/>
      <c r="K217" s="124"/>
      <c r="L217" s="124"/>
      <c r="Z217" s="721"/>
      <c r="AA217" s="74"/>
      <c r="AD217" s="646"/>
      <c r="AE217" s="124"/>
      <c r="AH217" s="646"/>
      <c r="AI217" s="74"/>
      <c r="AL217" s="646"/>
      <c r="AM217" s="74"/>
      <c r="AP217" s="646"/>
      <c r="AQ217" s="74"/>
      <c r="AU217" s="723"/>
    </row>
    <row r="218" spans="2:47" s="123" customFormat="1">
      <c r="B218" s="125"/>
      <c r="D218" s="125"/>
      <c r="H218" s="210"/>
      <c r="J218" s="124"/>
      <c r="K218" s="124"/>
      <c r="L218" s="124"/>
      <c r="Z218" s="721"/>
      <c r="AA218" s="74"/>
      <c r="AD218" s="646"/>
      <c r="AE218" s="124"/>
      <c r="AH218" s="646"/>
      <c r="AI218" s="74"/>
      <c r="AL218" s="646"/>
      <c r="AM218" s="74"/>
      <c r="AP218" s="646"/>
      <c r="AQ218" s="74"/>
      <c r="AU218" s="723"/>
    </row>
    <row r="219" spans="2:47" s="123" customFormat="1">
      <c r="B219" s="125"/>
      <c r="D219" s="125"/>
      <c r="H219" s="210"/>
      <c r="J219" s="124"/>
      <c r="K219" s="124"/>
      <c r="L219" s="124"/>
      <c r="Z219" s="721"/>
      <c r="AA219" s="74"/>
      <c r="AD219" s="646"/>
      <c r="AE219" s="124"/>
      <c r="AH219" s="646"/>
      <c r="AI219" s="74"/>
      <c r="AL219" s="646"/>
      <c r="AM219" s="74"/>
      <c r="AP219" s="646"/>
      <c r="AQ219" s="74"/>
      <c r="AU219" s="723"/>
    </row>
    <row r="220" spans="2:47" s="123" customFormat="1">
      <c r="B220" s="125"/>
      <c r="D220" s="125"/>
      <c r="H220" s="210"/>
      <c r="J220" s="124"/>
      <c r="K220" s="124"/>
      <c r="L220" s="124"/>
      <c r="Z220" s="721"/>
      <c r="AA220" s="74"/>
      <c r="AD220" s="646"/>
      <c r="AE220" s="124"/>
      <c r="AH220" s="646"/>
      <c r="AI220" s="74"/>
      <c r="AL220" s="646"/>
      <c r="AM220" s="74"/>
      <c r="AP220" s="646"/>
      <c r="AQ220" s="74"/>
      <c r="AU220" s="723"/>
    </row>
    <row r="221" spans="2:47" s="123" customFormat="1">
      <c r="B221" s="125"/>
      <c r="D221" s="125"/>
      <c r="H221" s="210"/>
      <c r="J221" s="124"/>
      <c r="K221" s="124"/>
      <c r="L221" s="124"/>
      <c r="Z221" s="721"/>
      <c r="AA221" s="74"/>
      <c r="AD221" s="646"/>
      <c r="AE221" s="124"/>
      <c r="AH221" s="646"/>
      <c r="AI221" s="74"/>
      <c r="AL221" s="646"/>
      <c r="AM221" s="74"/>
      <c r="AP221" s="646"/>
      <c r="AQ221" s="74"/>
      <c r="AU221" s="723"/>
    </row>
    <row r="222" spans="2:47" s="123" customFormat="1">
      <c r="B222" s="125"/>
      <c r="D222" s="125"/>
      <c r="H222" s="210"/>
      <c r="J222" s="124"/>
      <c r="K222" s="124"/>
      <c r="L222" s="124"/>
      <c r="Z222" s="721"/>
      <c r="AA222" s="74"/>
      <c r="AD222" s="646"/>
      <c r="AE222" s="124"/>
      <c r="AH222" s="646"/>
      <c r="AI222" s="74"/>
      <c r="AL222" s="646"/>
      <c r="AM222" s="74"/>
      <c r="AP222" s="646"/>
      <c r="AQ222" s="74"/>
      <c r="AU222" s="723"/>
    </row>
    <row r="223" spans="2:47" s="123" customFormat="1">
      <c r="B223" s="125"/>
      <c r="D223" s="125"/>
      <c r="H223" s="210"/>
      <c r="J223" s="124"/>
      <c r="K223" s="124"/>
      <c r="L223" s="124"/>
      <c r="Z223" s="721"/>
      <c r="AA223" s="74"/>
      <c r="AD223" s="646"/>
      <c r="AE223" s="124"/>
      <c r="AH223" s="646"/>
      <c r="AI223" s="74"/>
      <c r="AL223" s="646"/>
      <c r="AM223" s="74"/>
      <c r="AP223" s="646"/>
      <c r="AQ223" s="74"/>
      <c r="AU223" s="723"/>
    </row>
    <row r="224" spans="2:47" s="123" customFormat="1">
      <c r="B224" s="125"/>
      <c r="D224" s="125"/>
      <c r="H224" s="210"/>
      <c r="J224" s="124"/>
      <c r="K224" s="124"/>
      <c r="L224" s="124"/>
      <c r="Z224" s="721"/>
      <c r="AA224" s="74"/>
      <c r="AD224" s="646"/>
      <c r="AE224" s="124"/>
      <c r="AH224" s="646"/>
      <c r="AI224" s="74"/>
      <c r="AL224" s="646"/>
      <c r="AM224" s="74"/>
      <c r="AP224" s="646"/>
      <c r="AQ224" s="74"/>
      <c r="AU224" s="723"/>
    </row>
    <row r="225" spans="2:47" s="123" customFormat="1">
      <c r="B225" s="125"/>
      <c r="D225" s="125"/>
      <c r="H225" s="210"/>
      <c r="J225" s="124"/>
      <c r="K225" s="124"/>
      <c r="L225" s="124"/>
      <c r="Z225" s="721"/>
      <c r="AA225" s="74"/>
      <c r="AD225" s="646"/>
      <c r="AE225" s="124"/>
      <c r="AH225" s="646"/>
      <c r="AI225" s="74"/>
      <c r="AL225" s="646"/>
      <c r="AM225" s="74"/>
      <c r="AP225" s="646"/>
      <c r="AQ225" s="74"/>
      <c r="AU225" s="723"/>
    </row>
    <row r="226" spans="2:47" s="123" customFormat="1">
      <c r="B226" s="125"/>
      <c r="D226" s="125"/>
      <c r="H226" s="210"/>
      <c r="J226" s="124"/>
      <c r="K226" s="124"/>
      <c r="L226" s="124"/>
      <c r="Z226" s="721"/>
      <c r="AA226" s="74"/>
      <c r="AD226" s="646"/>
      <c r="AE226" s="124"/>
      <c r="AH226" s="646"/>
      <c r="AI226" s="74"/>
      <c r="AL226" s="646"/>
      <c r="AM226" s="74"/>
      <c r="AP226" s="646"/>
      <c r="AQ226" s="74"/>
      <c r="AU226" s="723"/>
    </row>
    <row r="227" spans="2:47" s="123" customFormat="1">
      <c r="B227" s="125"/>
      <c r="D227" s="125"/>
      <c r="H227" s="210"/>
      <c r="J227" s="124"/>
      <c r="K227" s="124"/>
      <c r="L227" s="124"/>
      <c r="Z227" s="721"/>
      <c r="AA227" s="74"/>
      <c r="AD227" s="646"/>
      <c r="AE227" s="124"/>
      <c r="AH227" s="646"/>
      <c r="AI227" s="74"/>
      <c r="AL227" s="646"/>
      <c r="AM227" s="74"/>
      <c r="AP227" s="646"/>
      <c r="AQ227" s="74"/>
      <c r="AU227" s="723"/>
    </row>
    <row r="228" spans="2:47" s="123" customFormat="1">
      <c r="B228" s="125"/>
      <c r="D228" s="125"/>
      <c r="H228" s="210"/>
      <c r="J228" s="124"/>
      <c r="K228" s="124"/>
      <c r="L228" s="124"/>
      <c r="Z228" s="721"/>
      <c r="AA228" s="74"/>
      <c r="AD228" s="646"/>
      <c r="AE228" s="124"/>
      <c r="AH228" s="646"/>
      <c r="AI228" s="74"/>
      <c r="AL228" s="646"/>
      <c r="AM228" s="74"/>
      <c r="AP228" s="646"/>
      <c r="AQ228" s="74"/>
      <c r="AU228" s="723"/>
    </row>
    <row r="229" spans="2:47" s="123" customFormat="1">
      <c r="B229" s="125"/>
      <c r="D229" s="125"/>
      <c r="H229" s="210"/>
      <c r="J229" s="124"/>
      <c r="K229" s="124"/>
      <c r="L229" s="124"/>
      <c r="Z229" s="721"/>
      <c r="AA229" s="74"/>
      <c r="AD229" s="646"/>
      <c r="AE229" s="124"/>
      <c r="AH229" s="646"/>
      <c r="AI229" s="74"/>
      <c r="AL229" s="646"/>
      <c r="AM229" s="74"/>
      <c r="AP229" s="646"/>
      <c r="AQ229" s="74"/>
      <c r="AU229" s="723"/>
    </row>
    <row r="230" spans="2:47" s="123" customFormat="1">
      <c r="B230" s="125"/>
      <c r="D230" s="125"/>
      <c r="H230" s="210"/>
      <c r="J230" s="124"/>
      <c r="K230" s="124"/>
      <c r="L230" s="124"/>
      <c r="Z230" s="721"/>
      <c r="AA230" s="74"/>
      <c r="AD230" s="646"/>
      <c r="AE230" s="124"/>
      <c r="AH230" s="646"/>
      <c r="AI230" s="74"/>
      <c r="AL230" s="646"/>
      <c r="AM230" s="74"/>
      <c r="AP230" s="646"/>
      <c r="AQ230" s="74"/>
      <c r="AU230" s="723"/>
    </row>
    <row r="231" spans="2:47" s="123" customFormat="1">
      <c r="B231" s="125"/>
      <c r="D231" s="125"/>
      <c r="H231" s="210"/>
      <c r="J231" s="124"/>
      <c r="K231" s="124"/>
      <c r="L231" s="124"/>
      <c r="Z231" s="721"/>
      <c r="AA231" s="74"/>
      <c r="AD231" s="646"/>
      <c r="AE231" s="124"/>
      <c r="AH231" s="646"/>
      <c r="AI231" s="74"/>
      <c r="AL231" s="646"/>
      <c r="AM231" s="74"/>
      <c r="AP231" s="646"/>
      <c r="AQ231" s="74"/>
      <c r="AU231" s="723"/>
    </row>
    <row r="232" spans="2:47" s="123" customFormat="1">
      <c r="B232" s="125"/>
      <c r="D232" s="125"/>
      <c r="H232" s="210"/>
      <c r="J232" s="124"/>
      <c r="K232" s="124"/>
      <c r="L232" s="124"/>
      <c r="Z232" s="721"/>
      <c r="AA232" s="74"/>
      <c r="AD232" s="646"/>
      <c r="AE232" s="124"/>
      <c r="AH232" s="646"/>
      <c r="AI232" s="74"/>
      <c r="AL232" s="646"/>
      <c r="AM232" s="74"/>
      <c r="AP232" s="646"/>
      <c r="AQ232" s="74"/>
      <c r="AU232" s="723"/>
    </row>
    <row r="233" spans="2:47" s="123" customFormat="1">
      <c r="B233" s="125"/>
      <c r="D233" s="125"/>
      <c r="H233" s="210"/>
      <c r="J233" s="124"/>
      <c r="K233" s="124"/>
      <c r="L233" s="124"/>
      <c r="Z233" s="721"/>
      <c r="AA233" s="74"/>
      <c r="AD233" s="646"/>
      <c r="AE233" s="124"/>
      <c r="AH233" s="646"/>
      <c r="AI233" s="74"/>
      <c r="AL233" s="646"/>
      <c r="AM233" s="74"/>
      <c r="AP233" s="646"/>
      <c r="AQ233" s="74"/>
      <c r="AU233" s="723"/>
    </row>
    <row r="234" spans="2:47" s="123" customFormat="1">
      <c r="B234" s="125"/>
      <c r="D234" s="125"/>
      <c r="H234" s="210"/>
      <c r="J234" s="124"/>
      <c r="K234" s="124"/>
      <c r="L234" s="124"/>
      <c r="Z234" s="721"/>
      <c r="AA234" s="74"/>
      <c r="AD234" s="646"/>
      <c r="AE234" s="124"/>
      <c r="AH234" s="646"/>
      <c r="AI234" s="74"/>
      <c r="AL234" s="646"/>
      <c r="AM234" s="74"/>
      <c r="AP234" s="646"/>
      <c r="AQ234" s="74"/>
      <c r="AU234" s="723"/>
    </row>
    <row r="235" spans="2:47" s="123" customFormat="1">
      <c r="B235" s="125"/>
      <c r="D235" s="125"/>
      <c r="H235" s="210"/>
      <c r="J235" s="124"/>
      <c r="K235" s="124"/>
      <c r="L235" s="124"/>
      <c r="Z235" s="721"/>
      <c r="AA235" s="74"/>
      <c r="AD235" s="646"/>
      <c r="AE235" s="124"/>
      <c r="AH235" s="646"/>
      <c r="AI235" s="74"/>
      <c r="AL235" s="646"/>
      <c r="AM235" s="74"/>
      <c r="AP235" s="646"/>
      <c r="AQ235" s="74"/>
      <c r="AU235" s="723"/>
    </row>
    <row r="236" spans="2:47" s="123" customFormat="1">
      <c r="B236" s="125"/>
      <c r="D236" s="125"/>
      <c r="H236" s="210"/>
      <c r="J236" s="124"/>
      <c r="K236" s="124"/>
      <c r="L236" s="124"/>
      <c r="Z236" s="721"/>
      <c r="AA236" s="74"/>
      <c r="AD236" s="646"/>
      <c r="AE236" s="124"/>
      <c r="AH236" s="646"/>
      <c r="AI236" s="74"/>
      <c r="AL236" s="646"/>
      <c r="AM236" s="74"/>
      <c r="AP236" s="646"/>
      <c r="AQ236" s="74"/>
      <c r="AU236" s="723"/>
    </row>
    <row r="237" spans="2:47" s="123" customFormat="1">
      <c r="B237" s="125"/>
      <c r="D237" s="125"/>
      <c r="H237" s="210"/>
      <c r="J237" s="124"/>
      <c r="K237" s="124"/>
      <c r="L237" s="124"/>
      <c r="Z237" s="721"/>
      <c r="AA237" s="74"/>
      <c r="AD237" s="646"/>
      <c r="AE237" s="124"/>
      <c r="AH237" s="646"/>
      <c r="AI237" s="74"/>
      <c r="AL237" s="646"/>
      <c r="AM237" s="74"/>
      <c r="AP237" s="646"/>
      <c r="AQ237" s="74"/>
      <c r="AU237" s="723"/>
    </row>
    <row r="238" spans="2:47" s="123" customFormat="1">
      <c r="B238" s="125"/>
      <c r="D238" s="125"/>
      <c r="H238" s="210"/>
      <c r="J238" s="124"/>
      <c r="K238" s="124"/>
      <c r="L238" s="124"/>
      <c r="Z238" s="721"/>
      <c r="AA238" s="74"/>
      <c r="AD238" s="646"/>
      <c r="AE238" s="124"/>
      <c r="AH238" s="646"/>
      <c r="AI238" s="74"/>
      <c r="AL238" s="646"/>
      <c r="AM238" s="74"/>
      <c r="AP238" s="646"/>
      <c r="AQ238" s="74"/>
      <c r="AU238" s="723"/>
    </row>
    <row r="239" spans="2:47" s="123" customFormat="1">
      <c r="B239" s="125"/>
      <c r="D239" s="125"/>
      <c r="H239" s="210"/>
      <c r="J239" s="124"/>
      <c r="K239" s="124"/>
      <c r="L239" s="124"/>
      <c r="Z239" s="721"/>
      <c r="AA239" s="74"/>
      <c r="AD239" s="646"/>
      <c r="AE239" s="124"/>
      <c r="AH239" s="646"/>
      <c r="AI239" s="74"/>
      <c r="AL239" s="646"/>
      <c r="AM239" s="74"/>
      <c r="AP239" s="646"/>
      <c r="AQ239" s="74"/>
      <c r="AU239" s="723"/>
    </row>
    <row r="240" spans="2:47" s="123" customFormat="1">
      <c r="B240" s="125"/>
      <c r="D240" s="125"/>
      <c r="H240" s="210"/>
      <c r="J240" s="124"/>
      <c r="K240" s="124"/>
      <c r="L240" s="124"/>
      <c r="Z240" s="721"/>
      <c r="AA240" s="74"/>
      <c r="AD240" s="646"/>
      <c r="AE240" s="124"/>
      <c r="AH240" s="646"/>
      <c r="AI240" s="74"/>
      <c r="AL240" s="646"/>
      <c r="AM240" s="74"/>
      <c r="AP240" s="646"/>
      <c r="AQ240" s="74"/>
      <c r="AU240" s="723"/>
    </row>
    <row r="241" spans="2:47" s="123" customFormat="1">
      <c r="B241" s="125"/>
      <c r="D241" s="125"/>
      <c r="H241" s="210"/>
      <c r="J241" s="124"/>
      <c r="K241" s="124"/>
      <c r="L241" s="124"/>
      <c r="Z241" s="721"/>
      <c r="AA241" s="74"/>
      <c r="AD241" s="646"/>
      <c r="AE241" s="124"/>
      <c r="AH241" s="646"/>
      <c r="AI241" s="74"/>
      <c r="AL241" s="646"/>
      <c r="AM241" s="74"/>
      <c r="AP241" s="646"/>
      <c r="AQ241" s="74"/>
      <c r="AU241" s="723"/>
    </row>
    <row r="242" spans="2:47" s="123" customFormat="1">
      <c r="B242" s="125"/>
      <c r="D242" s="125"/>
      <c r="H242" s="210"/>
      <c r="J242" s="124"/>
      <c r="K242" s="124"/>
      <c r="L242" s="124"/>
      <c r="Z242" s="721"/>
      <c r="AA242" s="74"/>
      <c r="AD242" s="646"/>
      <c r="AE242" s="124"/>
      <c r="AH242" s="646"/>
      <c r="AI242" s="74"/>
      <c r="AL242" s="646"/>
      <c r="AM242" s="74"/>
      <c r="AP242" s="646"/>
      <c r="AQ242" s="74"/>
      <c r="AU242" s="723"/>
    </row>
    <row r="243" spans="2:47" s="123" customFormat="1">
      <c r="B243" s="125"/>
      <c r="D243" s="125"/>
      <c r="H243" s="210"/>
      <c r="J243" s="124"/>
      <c r="K243" s="124"/>
      <c r="L243" s="124"/>
      <c r="Z243" s="721"/>
      <c r="AA243" s="74"/>
      <c r="AD243" s="646"/>
      <c r="AE243" s="124"/>
      <c r="AH243" s="646"/>
      <c r="AI243" s="74"/>
      <c r="AL243" s="646"/>
      <c r="AM243" s="74"/>
      <c r="AP243" s="646"/>
      <c r="AQ243" s="74"/>
      <c r="AU243" s="723"/>
    </row>
    <row r="244" spans="2:47" s="123" customFormat="1">
      <c r="B244" s="125"/>
      <c r="D244" s="125"/>
      <c r="H244" s="210"/>
      <c r="J244" s="124"/>
      <c r="K244" s="124"/>
      <c r="L244" s="124"/>
      <c r="Z244" s="721"/>
      <c r="AA244" s="74"/>
      <c r="AD244" s="646"/>
      <c r="AE244" s="124"/>
      <c r="AH244" s="646"/>
      <c r="AI244" s="74"/>
      <c r="AL244" s="646"/>
      <c r="AM244" s="74"/>
      <c r="AP244" s="646"/>
      <c r="AQ244" s="74"/>
      <c r="AU244" s="723"/>
    </row>
    <row r="245" spans="2:47" s="123" customFormat="1">
      <c r="B245" s="125"/>
      <c r="D245" s="125"/>
      <c r="H245" s="210"/>
      <c r="J245" s="124"/>
      <c r="K245" s="124"/>
      <c r="L245" s="124"/>
      <c r="Z245" s="721"/>
      <c r="AA245" s="74"/>
      <c r="AD245" s="646"/>
      <c r="AE245" s="124"/>
      <c r="AH245" s="646"/>
      <c r="AI245" s="74"/>
      <c r="AL245" s="646"/>
      <c r="AM245" s="74"/>
      <c r="AP245" s="646"/>
      <c r="AQ245" s="74"/>
      <c r="AU245" s="723"/>
    </row>
    <row r="246" spans="2:47" s="123" customFormat="1">
      <c r="B246" s="125"/>
      <c r="D246" s="125"/>
      <c r="H246" s="210"/>
      <c r="J246" s="124"/>
      <c r="K246" s="124"/>
      <c r="L246" s="124"/>
      <c r="Z246" s="721"/>
      <c r="AA246" s="74"/>
      <c r="AD246" s="646"/>
      <c r="AE246" s="124"/>
      <c r="AH246" s="646"/>
      <c r="AI246" s="74"/>
      <c r="AL246" s="646"/>
      <c r="AM246" s="74"/>
      <c r="AP246" s="646"/>
      <c r="AQ246" s="74"/>
      <c r="AU246" s="723"/>
    </row>
    <row r="247" spans="2:47" s="123" customFormat="1">
      <c r="B247" s="125"/>
      <c r="D247" s="125"/>
      <c r="H247" s="210"/>
      <c r="J247" s="124"/>
      <c r="K247" s="124"/>
      <c r="L247" s="124"/>
      <c r="Z247" s="721"/>
      <c r="AA247" s="74"/>
      <c r="AD247" s="646"/>
      <c r="AE247" s="124"/>
      <c r="AH247" s="646"/>
      <c r="AI247" s="74"/>
      <c r="AL247" s="646"/>
      <c r="AM247" s="74"/>
      <c r="AP247" s="646"/>
      <c r="AQ247" s="74"/>
      <c r="AU247" s="723"/>
    </row>
    <row r="248" spans="2:47" s="123" customFormat="1">
      <c r="B248" s="125"/>
      <c r="D248" s="125"/>
      <c r="H248" s="210"/>
      <c r="J248" s="124"/>
      <c r="K248" s="124"/>
      <c r="L248" s="124"/>
      <c r="Z248" s="721"/>
      <c r="AA248" s="74"/>
      <c r="AD248" s="646"/>
      <c r="AE248" s="124"/>
      <c r="AH248" s="646"/>
      <c r="AI248" s="74"/>
      <c r="AL248" s="646"/>
      <c r="AM248" s="74"/>
      <c r="AP248" s="646"/>
      <c r="AQ248" s="74"/>
      <c r="AU248" s="723"/>
    </row>
    <row r="249" spans="2:47" s="123" customFormat="1">
      <c r="B249" s="125"/>
      <c r="D249" s="125"/>
      <c r="H249" s="210"/>
      <c r="J249" s="124"/>
      <c r="K249" s="124"/>
      <c r="L249" s="124"/>
      <c r="Z249" s="721"/>
      <c r="AA249" s="74"/>
      <c r="AD249" s="646"/>
      <c r="AE249" s="124"/>
      <c r="AH249" s="646"/>
      <c r="AI249" s="74"/>
      <c r="AL249" s="646"/>
      <c r="AM249" s="74"/>
      <c r="AP249" s="646"/>
      <c r="AQ249" s="74"/>
      <c r="AU249" s="723"/>
    </row>
    <row r="250" spans="2:47" s="123" customFormat="1">
      <c r="B250" s="125"/>
      <c r="D250" s="125"/>
      <c r="H250" s="210"/>
      <c r="J250" s="124"/>
      <c r="K250" s="124"/>
      <c r="L250" s="124"/>
      <c r="Z250" s="721"/>
      <c r="AA250" s="74"/>
      <c r="AD250" s="646"/>
      <c r="AE250" s="124"/>
      <c r="AH250" s="646"/>
      <c r="AI250" s="74"/>
      <c r="AL250" s="646"/>
      <c r="AM250" s="74"/>
      <c r="AP250" s="646"/>
      <c r="AQ250" s="74"/>
      <c r="AU250" s="723"/>
    </row>
    <row r="251" spans="2:47" s="123" customFormat="1">
      <c r="B251" s="125"/>
      <c r="D251" s="125"/>
      <c r="H251" s="210"/>
      <c r="J251" s="124"/>
      <c r="K251" s="124"/>
      <c r="L251" s="124"/>
      <c r="Z251" s="721"/>
      <c r="AA251" s="74"/>
      <c r="AD251" s="646"/>
      <c r="AE251" s="124"/>
      <c r="AH251" s="646"/>
      <c r="AI251" s="74"/>
      <c r="AL251" s="646"/>
      <c r="AM251" s="74"/>
      <c r="AP251" s="646"/>
      <c r="AQ251" s="74"/>
      <c r="AU251" s="723"/>
    </row>
    <row r="252" spans="2:47" s="123" customFormat="1">
      <c r="B252" s="125"/>
      <c r="D252" s="125"/>
      <c r="H252" s="210"/>
      <c r="J252" s="124"/>
      <c r="K252" s="124"/>
      <c r="L252" s="124"/>
      <c r="Z252" s="721"/>
      <c r="AA252" s="74"/>
      <c r="AD252" s="646"/>
      <c r="AE252" s="124"/>
      <c r="AH252" s="646"/>
      <c r="AI252" s="74"/>
      <c r="AL252" s="646"/>
      <c r="AM252" s="74"/>
      <c r="AP252" s="646"/>
      <c r="AQ252" s="74"/>
      <c r="AU252" s="723"/>
    </row>
    <row r="253" spans="2:47" s="123" customFormat="1">
      <c r="B253" s="125"/>
      <c r="D253" s="125"/>
      <c r="H253" s="210"/>
      <c r="J253" s="124"/>
      <c r="K253" s="124"/>
      <c r="L253" s="124"/>
      <c r="Z253" s="721"/>
      <c r="AA253" s="74"/>
      <c r="AD253" s="646"/>
      <c r="AE253" s="124"/>
      <c r="AH253" s="646"/>
      <c r="AI253" s="74"/>
      <c r="AL253" s="646"/>
      <c r="AM253" s="74"/>
      <c r="AP253" s="646"/>
      <c r="AQ253" s="74"/>
      <c r="AU253" s="723"/>
    </row>
    <row r="254" spans="2:47" s="123" customFormat="1">
      <c r="B254" s="125"/>
      <c r="D254" s="125"/>
      <c r="H254" s="210"/>
      <c r="J254" s="124"/>
      <c r="K254" s="124"/>
      <c r="L254" s="124"/>
      <c r="Z254" s="721"/>
      <c r="AA254" s="74"/>
      <c r="AD254" s="646"/>
      <c r="AE254" s="124"/>
      <c r="AH254" s="646"/>
      <c r="AI254" s="74"/>
      <c r="AL254" s="646"/>
      <c r="AM254" s="74"/>
      <c r="AP254" s="646"/>
      <c r="AQ254" s="74"/>
      <c r="AU254" s="723"/>
    </row>
    <row r="255" spans="2:47" s="123" customFormat="1">
      <c r="B255" s="125"/>
      <c r="D255" s="125"/>
      <c r="H255" s="210"/>
      <c r="J255" s="124"/>
      <c r="K255" s="124"/>
      <c r="L255" s="124"/>
      <c r="Z255" s="721"/>
      <c r="AA255" s="74"/>
      <c r="AD255" s="646"/>
      <c r="AE255" s="124"/>
      <c r="AH255" s="646"/>
      <c r="AI255" s="74"/>
      <c r="AL255" s="646"/>
      <c r="AM255" s="74"/>
      <c r="AP255" s="646"/>
      <c r="AQ255" s="74"/>
      <c r="AU255" s="723"/>
    </row>
    <row r="256" spans="2:47" s="123" customFormat="1">
      <c r="B256" s="125"/>
      <c r="D256" s="125"/>
      <c r="H256" s="210"/>
      <c r="J256" s="124"/>
      <c r="K256" s="124"/>
      <c r="L256" s="124"/>
      <c r="Z256" s="721"/>
      <c r="AA256" s="74"/>
      <c r="AD256" s="646"/>
      <c r="AE256" s="124"/>
      <c r="AH256" s="646"/>
      <c r="AI256" s="74"/>
      <c r="AL256" s="646"/>
      <c r="AM256" s="74"/>
      <c r="AP256" s="646"/>
      <c r="AQ256" s="74"/>
      <c r="AU256" s="723"/>
    </row>
    <row r="257" spans="2:47" s="123" customFormat="1">
      <c r="B257" s="125"/>
      <c r="D257" s="125"/>
      <c r="H257" s="210"/>
      <c r="J257" s="124"/>
      <c r="K257" s="124"/>
      <c r="L257" s="124"/>
      <c r="Z257" s="721"/>
      <c r="AA257" s="74"/>
      <c r="AD257" s="646"/>
      <c r="AE257" s="124"/>
      <c r="AH257" s="646"/>
      <c r="AI257" s="74"/>
      <c r="AL257" s="646"/>
      <c r="AM257" s="74"/>
      <c r="AP257" s="646"/>
      <c r="AQ257" s="74"/>
      <c r="AU257" s="723"/>
    </row>
    <row r="258" spans="2:47" s="123" customFormat="1">
      <c r="B258" s="125"/>
      <c r="D258" s="125"/>
      <c r="H258" s="210"/>
      <c r="J258" s="124"/>
      <c r="K258" s="124"/>
      <c r="L258" s="124"/>
      <c r="Z258" s="721"/>
      <c r="AA258" s="74"/>
      <c r="AD258" s="646"/>
      <c r="AE258" s="124"/>
      <c r="AH258" s="646"/>
      <c r="AI258" s="74"/>
      <c r="AL258" s="646"/>
      <c r="AM258" s="74"/>
      <c r="AP258" s="646"/>
      <c r="AQ258" s="74"/>
      <c r="AU258" s="723"/>
    </row>
    <row r="259" spans="2:47" s="123" customFormat="1">
      <c r="B259" s="125"/>
      <c r="D259" s="125"/>
      <c r="H259" s="210"/>
      <c r="J259" s="124"/>
      <c r="K259" s="124"/>
      <c r="L259" s="124"/>
      <c r="Z259" s="721"/>
      <c r="AA259" s="74"/>
      <c r="AD259" s="646"/>
      <c r="AE259" s="124"/>
      <c r="AH259" s="646"/>
      <c r="AI259" s="74"/>
      <c r="AL259" s="646"/>
      <c r="AM259" s="74"/>
      <c r="AP259" s="646"/>
      <c r="AQ259" s="74"/>
      <c r="AU259" s="723"/>
    </row>
    <row r="260" spans="2:47" s="123" customFormat="1">
      <c r="B260" s="125"/>
      <c r="D260" s="125"/>
      <c r="H260" s="210"/>
      <c r="J260" s="124"/>
      <c r="K260" s="124"/>
      <c r="L260" s="124"/>
      <c r="Z260" s="721"/>
      <c r="AA260" s="74"/>
      <c r="AD260" s="646"/>
      <c r="AE260" s="124"/>
      <c r="AH260" s="646"/>
      <c r="AI260" s="74"/>
      <c r="AL260" s="646"/>
      <c r="AM260" s="74"/>
      <c r="AP260" s="646"/>
      <c r="AQ260" s="74"/>
      <c r="AU260" s="723"/>
    </row>
    <row r="261" spans="2:47" s="123" customFormat="1">
      <c r="B261" s="125"/>
      <c r="D261" s="125"/>
      <c r="H261" s="210"/>
      <c r="J261" s="124"/>
      <c r="K261" s="124"/>
      <c r="L261" s="124"/>
      <c r="Z261" s="721"/>
      <c r="AA261" s="74"/>
      <c r="AD261" s="646"/>
      <c r="AE261" s="124"/>
      <c r="AH261" s="646"/>
      <c r="AI261" s="74"/>
      <c r="AL261" s="646"/>
      <c r="AM261" s="74"/>
      <c r="AP261" s="646"/>
      <c r="AQ261" s="74"/>
      <c r="AU261" s="723"/>
    </row>
    <row r="262" spans="2:47" s="123" customFormat="1">
      <c r="B262" s="125"/>
      <c r="D262" s="125"/>
      <c r="H262" s="210"/>
      <c r="J262" s="124"/>
      <c r="K262" s="124"/>
      <c r="L262" s="124"/>
      <c r="Z262" s="721"/>
      <c r="AA262" s="74"/>
      <c r="AD262" s="646"/>
      <c r="AE262" s="124"/>
      <c r="AH262" s="646"/>
      <c r="AI262" s="74"/>
      <c r="AL262" s="646"/>
      <c r="AM262" s="74"/>
      <c r="AP262" s="646"/>
      <c r="AQ262" s="74"/>
      <c r="AU262" s="723"/>
    </row>
    <row r="263" spans="2:47" s="123" customFormat="1">
      <c r="B263" s="125"/>
      <c r="D263" s="125"/>
      <c r="H263" s="210"/>
      <c r="J263" s="124"/>
      <c r="K263" s="124"/>
      <c r="L263" s="124"/>
      <c r="Z263" s="721"/>
      <c r="AA263" s="74"/>
      <c r="AD263" s="646"/>
      <c r="AE263" s="124"/>
      <c r="AH263" s="646"/>
      <c r="AI263" s="74"/>
      <c r="AL263" s="646"/>
      <c r="AM263" s="74"/>
      <c r="AP263" s="646"/>
      <c r="AQ263" s="74"/>
      <c r="AU263" s="723"/>
    </row>
    <row r="264" spans="2:47" s="123" customFormat="1">
      <c r="B264" s="125"/>
      <c r="D264" s="125"/>
      <c r="H264" s="210"/>
      <c r="J264" s="124"/>
      <c r="K264" s="124"/>
      <c r="L264" s="124"/>
      <c r="Z264" s="721"/>
      <c r="AA264" s="74"/>
      <c r="AD264" s="646"/>
      <c r="AE264" s="124"/>
      <c r="AH264" s="646"/>
      <c r="AI264" s="74"/>
      <c r="AL264" s="646"/>
      <c r="AM264" s="74"/>
      <c r="AP264" s="646"/>
      <c r="AQ264" s="74"/>
      <c r="AU264" s="723"/>
    </row>
    <row r="265" spans="2:47" s="123" customFormat="1">
      <c r="B265" s="125"/>
      <c r="D265" s="125"/>
      <c r="H265" s="210"/>
      <c r="J265" s="124"/>
      <c r="K265" s="124"/>
      <c r="L265" s="124"/>
      <c r="Z265" s="721"/>
      <c r="AA265" s="74"/>
      <c r="AD265" s="646"/>
      <c r="AE265" s="124"/>
      <c r="AH265" s="646"/>
      <c r="AI265" s="74"/>
      <c r="AL265" s="646"/>
      <c r="AM265" s="74"/>
      <c r="AP265" s="646"/>
      <c r="AQ265" s="74"/>
      <c r="AU265" s="723"/>
    </row>
    <row r="266" spans="2:47" s="123" customFormat="1">
      <c r="B266" s="125"/>
      <c r="D266" s="125"/>
      <c r="H266" s="210"/>
      <c r="J266" s="124"/>
      <c r="K266" s="124"/>
      <c r="L266" s="124"/>
      <c r="Z266" s="721"/>
      <c r="AA266" s="74"/>
      <c r="AD266" s="646"/>
      <c r="AE266" s="124"/>
      <c r="AH266" s="646"/>
      <c r="AI266" s="74"/>
      <c r="AL266" s="646"/>
      <c r="AM266" s="74"/>
      <c r="AP266" s="646"/>
      <c r="AQ266" s="74"/>
      <c r="AU266" s="723"/>
    </row>
    <row r="267" spans="2:47" s="123" customFormat="1">
      <c r="B267" s="125"/>
      <c r="D267" s="125"/>
      <c r="H267" s="210"/>
      <c r="J267" s="124"/>
      <c r="K267" s="124"/>
      <c r="L267" s="124"/>
      <c r="Z267" s="721"/>
      <c r="AA267" s="74"/>
      <c r="AD267" s="646"/>
      <c r="AE267" s="124"/>
      <c r="AH267" s="646"/>
      <c r="AI267" s="74"/>
      <c r="AL267" s="646"/>
      <c r="AM267" s="74"/>
      <c r="AP267" s="646"/>
      <c r="AQ267" s="74"/>
      <c r="AU267" s="723"/>
    </row>
    <row r="268" spans="2:47" s="123" customFormat="1">
      <c r="B268" s="125"/>
      <c r="D268" s="125"/>
      <c r="H268" s="210"/>
      <c r="J268" s="124"/>
      <c r="K268" s="124"/>
      <c r="L268" s="124"/>
      <c r="Z268" s="721"/>
      <c r="AA268" s="74"/>
      <c r="AD268" s="646"/>
      <c r="AE268" s="124"/>
      <c r="AH268" s="646"/>
      <c r="AI268" s="74"/>
      <c r="AL268" s="646"/>
      <c r="AM268" s="74"/>
      <c r="AP268" s="646"/>
      <c r="AQ268" s="74"/>
      <c r="AU268" s="723"/>
    </row>
    <row r="269" spans="2:47" s="123" customFormat="1">
      <c r="B269" s="125"/>
      <c r="D269" s="125"/>
      <c r="H269" s="210"/>
      <c r="J269" s="124"/>
      <c r="K269" s="124"/>
      <c r="L269" s="124"/>
      <c r="Z269" s="721"/>
      <c r="AA269" s="74"/>
      <c r="AD269" s="646"/>
      <c r="AE269" s="124"/>
      <c r="AH269" s="646"/>
      <c r="AI269" s="74"/>
      <c r="AL269" s="646"/>
      <c r="AM269" s="74"/>
      <c r="AP269" s="646"/>
      <c r="AQ269" s="74"/>
      <c r="AU269" s="723"/>
    </row>
    <row r="270" spans="2:47" s="123" customFormat="1">
      <c r="B270" s="125"/>
      <c r="D270" s="125"/>
      <c r="H270" s="210"/>
      <c r="J270" s="124"/>
      <c r="K270" s="124"/>
      <c r="L270" s="124"/>
      <c r="Z270" s="721"/>
      <c r="AA270" s="74"/>
      <c r="AD270" s="646"/>
      <c r="AE270" s="124"/>
      <c r="AH270" s="646"/>
      <c r="AI270" s="74"/>
      <c r="AL270" s="646"/>
      <c r="AM270" s="74"/>
      <c r="AP270" s="646"/>
      <c r="AQ270" s="74"/>
      <c r="AU270" s="723"/>
    </row>
    <row r="271" spans="2:47" s="123" customFormat="1">
      <c r="B271" s="125"/>
      <c r="D271" s="125"/>
      <c r="H271" s="210"/>
      <c r="J271" s="124"/>
      <c r="K271" s="124"/>
      <c r="L271" s="124"/>
      <c r="Z271" s="721"/>
      <c r="AA271" s="74"/>
      <c r="AD271" s="646"/>
      <c r="AE271" s="124"/>
      <c r="AH271" s="646"/>
      <c r="AI271" s="74"/>
      <c r="AL271" s="646"/>
      <c r="AM271" s="74"/>
      <c r="AP271" s="646"/>
      <c r="AQ271" s="74"/>
      <c r="AU271" s="723"/>
    </row>
    <row r="272" spans="2:47" s="123" customFormat="1">
      <c r="B272" s="125"/>
      <c r="D272" s="125"/>
      <c r="H272" s="210"/>
      <c r="J272" s="124"/>
      <c r="K272" s="124"/>
      <c r="L272" s="124"/>
      <c r="Z272" s="721"/>
      <c r="AA272" s="74"/>
      <c r="AD272" s="646"/>
      <c r="AE272" s="124"/>
      <c r="AH272" s="646"/>
      <c r="AI272" s="74"/>
      <c r="AL272" s="646"/>
      <c r="AM272" s="74"/>
      <c r="AP272" s="646"/>
      <c r="AQ272" s="74"/>
      <c r="AU272" s="723"/>
    </row>
    <row r="273" spans="2:47" s="123" customFormat="1">
      <c r="B273" s="125"/>
      <c r="D273" s="125"/>
      <c r="H273" s="210"/>
      <c r="J273" s="124"/>
      <c r="K273" s="124"/>
      <c r="L273" s="124"/>
      <c r="Z273" s="721"/>
      <c r="AA273" s="74"/>
      <c r="AD273" s="646"/>
      <c r="AE273" s="124"/>
      <c r="AH273" s="646"/>
      <c r="AI273" s="74"/>
      <c r="AL273" s="646"/>
      <c r="AM273" s="74"/>
      <c r="AP273" s="646"/>
      <c r="AQ273" s="74"/>
      <c r="AU273" s="723"/>
    </row>
    <row r="274" spans="2:47" s="123" customFormat="1">
      <c r="B274" s="125"/>
      <c r="D274" s="125"/>
      <c r="H274" s="210"/>
      <c r="J274" s="124"/>
      <c r="K274" s="124"/>
      <c r="L274" s="124"/>
      <c r="Z274" s="721"/>
      <c r="AA274" s="74"/>
      <c r="AD274" s="646"/>
      <c r="AE274" s="124"/>
      <c r="AH274" s="646"/>
      <c r="AI274" s="74"/>
      <c r="AL274" s="646"/>
      <c r="AM274" s="74"/>
      <c r="AP274" s="646"/>
      <c r="AQ274" s="74"/>
      <c r="AU274" s="723"/>
    </row>
    <row r="275" spans="2:47" s="123" customFormat="1">
      <c r="B275" s="125"/>
      <c r="D275" s="125"/>
      <c r="H275" s="210"/>
      <c r="J275" s="124"/>
      <c r="K275" s="124"/>
      <c r="L275" s="124"/>
      <c r="Z275" s="721"/>
      <c r="AA275" s="74"/>
      <c r="AD275" s="646"/>
      <c r="AE275" s="124"/>
      <c r="AH275" s="646"/>
      <c r="AI275" s="74"/>
      <c r="AL275" s="646"/>
      <c r="AM275" s="74"/>
      <c r="AP275" s="646"/>
      <c r="AQ275" s="74"/>
      <c r="AU275" s="723"/>
    </row>
    <row r="276" spans="2:47" s="123" customFormat="1">
      <c r="B276" s="125"/>
      <c r="D276" s="125"/>
      <c r="H276" s="210"/>
      <c r="J276" s="124"/>
      <c r="K276" s="124"/>
      <c r="L276" s="124"/>
      <c r="Z276" s="721"/>
      <c r="AA276" s="74"/>
      <c r="AD276" s="646"/>
      <c r="AE276" s="124"/>
      <c r="AH276" s="646"/>
      <c r="AI276" s="74"/>
      <c r="AL276" s="646"/>
      <c r="AM276" s="74"/>
      <c r="AP276" s="646"/>
      <c r="AQ276" s="74"/>
      <c r="AU276" s="723"/>
    </row>
    <row r="277" spans="2:47" s="123" customFormat="1">
      <c r="B277" s="125"/>
      <c r="D277" s="125"/>
      <c r="H277" s="210"/>
      <c r="J277" s="124"/>
      <c r="K277" s="124"/>
      <c r="L277" s="124"/>
      <c r="Z277" s="721"/>
      <c r="AA277" s="74"/>
      <c r="AD277" s="646"/>
      <c r="AE277" s="124"/>
      <c r="AH277" s="646"/>
      <c r="AI277" s="74"/>
      <c r="AL277" s="646"/>
      <c r="AM277" s="74"/>
      <c r="AP277" s="646"/>
      <c r="AQ277" s="74"/>
      <c r="AU277" s="723"/>
    </row>
    <row r="278" spans="2:47" s="123" customFormat="1">
      <c r="B278" s="125"/>
      <c r="D278" s="125"/>
      <c r="H278" s="210"/>
      <c r="J278" s="124"/>
      <c r="K278" s="124"/>
      <c r="L278" s="124"/>
      <c r="Z278" s="721"/>
      <c r="AA278" s="74"/>
      <c r="AD278" s="646"/>
      <c r="AE278" s="124"/>
      <c r="AH278" s="646"/>
      <c r="AI278" s="74"/>
      <c r="AL278" s="646"/>
      <c r="AM278" s="74"/>
      <c r="AP278" s="646"/>
      <c r="AQ278" s="74"/>
      <c r="AU278" s="723"/>
    </row>
    <row r="279" spans="2:47" s="123" customFormat="1">
      <c r="B279" s="125"/>
      <c r="D279" s="125"/>
      <c r="H279" s="210"/>
      <c r="J279" s="124"/>
      <c r="K279" s="124"/>
      <c r="L279" s="124"/>
      <c r="Z279" s="721"/>
      <c r="AA279" s="74"/>
      <c r="AD279" s="646"/>
      <c r="AE279" s="124"/>
      <c r="AH279" s="646"/>
      <c r="AI279" s="74"/>
      <c r="AL279" s="646"/>
      <c r="AM279" s="74"/>
      <c r="AP279" s="646"/>
      <c r="AQ279" s="74"/>
      <c r="AU279" s="723"/>
    </row>
    <row r="280" spans="2:47" s="123" customFormat="1">
      <c r="B280" s="125"/>
      <c r="D280" s="125"/>
      <c r="H280" s="210"/>
      <c r="J280" s="124"/>
      <c r="K280" s="124"/>
      <c r="L280" s="124"/>
      <c r="Z280" s="721"/>
      <c r="AA280" s="74"/>
      <c r="AD280" s="646"/>
      <c r="AE280" s="124"/>
      <c r="AH280" s="646"/>
      <c r="AI280" s="74"/>
      <c r="AL280" s="646"/>
      <c r="AM280" s="74"/>
      <c r="AP280" s="646"/>
      <c r="AQ280" s="74"/>
      <c r="AU280" s="723"/>
    </row>
    <row r="281" spans="2:47" s="123" customFormat="1">
      <c r="B281" s="125"/>
      <c r="D281" s="125"/>
      <c r="H281" s="210"/>
      <c r="J281" s="124"/>
      <c r="K281" s="124"/>
      <c r="L281" s="124"/>
      <c r="Z281" s="721"/>
      <c r="AA281" s="74"/>
      <c r="AD281" s="646"/>
      <c r="AE281" s="124"/>
      <c r="AH281" s="646"/>
      <c r="AI281" s="74"/>
      <c r="AL281" s="646"/>
      <c r="AM281" s="74"/>
      <c r="AP281" s="646"/>
      <c r="AQ281" s="74"/>
      <c r="AU281" s="723"/>
    </row>
    <row r="282" spans="2:47" s="123" customFormat="1">
      <c r="B282" s="125"/>
      <c r="D282" s="125"/>
      <c r="H282" s="210"/>
      <c r="J282" s="124"/>
      <c r="K282" s="124"/>
      <c r="L282" s="124"/>
      <c r="Z282" s="721"/>
      <c r="AA282" s="74"/>
      <c r="AD282" s="646"/>
      <c r="AE282" s="124"/>
      <c r="AH282" s="646"/>
      <c r="AI282" s="74"/>
      <c r="AL282" s="646"/>
      <c r="AM282" s="74"/>
      <c r="AP282" s="646"/>
      <c r="AQ282" s="74"/>
      <c r="AU282" s="723"/>
    </row>
    <row r="283" spans="2:47" s="123" customFormat="1">
      <c r="B283" s="125"/>
      <c r="D283" s="125"/>
      <c r="H283" s="210"/>
      <c r="J283" s="124"/>
      <c r="K283" s="124"/>
      <c r="L283" s="124"/>
      <c r="Z283" s="721"/>
      <c r="AA283" s="74"/>
      <c r="AD283" s="646"/>
      <c r="AE283" s="124"/>
      <c r="AH283" s="646"/>
      <c r="AI283" s="74"/>
      <c r="AL283" s="646"/>
      <c r="AM283" s="74"/>
      <c r="AP283" s="646"/>
      <c r="AQ283" s="74"/>
      <c r="AU283" s="723"/>
    </row>
    <row r="284" spans="2:47" s="123" customFormat="1">
      <c r="B284" s="125"/>
      <c r="D284" s="125"/>
      <c r="H284" s="210"/>
      <c r="J284" s="124"/>
      <c r="K284" s="124"/>
      <c r="L284" s="124"/>
      <c r="Z284" s="721"/>
      <c r="AA284" s="74"/>
      <c r="AD284" s="646"/>
      <c r="AE284" s="124"/>
      <c r="AH284" s="646"/>
      <c r="AI284" s="74"/>
      <c r="AL284" s="646"/>
      <c r="AM284" s="74"/>
      <c r="AP284" s="646"/>
      <c r="AQ284" s="74"/>
      <c r="AU284" s="723"/>
    </row>
    <row r="285" spans="2:47" s="123" customFormat="1">
      <c r="B285" s="125"/>
      <c r="D285" s="125"/>
      <c r="H285" s="210"/>
      <c r="J285" s="124"/>
      <c r="K285" s="124"/>
      <c r="L285" s="124"/>
      <c r="Z285" s="721"/>
      <c r="AA285" s="74"/>
      <c r="AD285" s="646"/>
      <c r="AE285" s="124"/>
      <c r="AH285" s="646"/>
      <c r="AI285" s="74"/>
      <c r="AL285" s="646"/>
      <c r="AM285" s="74"/>
      <c r="AP285" s="646"/>
      <c r="AQ285" s="74"/>
      <c r="AU285" s="723"/>
    </row>
    <row r="286" spans="2:47" s="123" customFormat="1">
      <c r="B286" s="125"/>
      <c r="D286" s="125"/>
      <c r="H286" s="210"/>
      <c r="J286" s="124"/>
      <c r="K286" s="124"/>
      <c r="L286" s="124"/>
      <c r="Z286" s="721"/>
      <c r="AA286" s="74"/>
      <c r="AD286" s="646"/>
      <c r="AE286" s="124"/>
      <c r="AH286" s="646"/>
      <c r="AI286" s="74"/>
      <c r="AL286" s="646"/>
      <c r="AM286" s="74"/>
      <c r="AP286" s="646"/>
      <c r="AQ286" s="74"/>
      <c r="AU286" s="723"/>
    </row>
    <row r="287" spans="2:47" s="123" customFormat="1">
      <c r="B287" s="125"/>
      <c r="D287" s="125"/>
      <c r="H287" s="210"/>
      <c r="J287" s="124"/>
      <c r="K287" s="124"/>
      <c r="L287" s="124"/>
      <c r="Z287" s="721"/>
      <c r="AA287" s="74"/>
      <c r="AD287" s="646"/>
      <c r="AE287" s="124"/>
      <c r="AH287" s="646"/>
      <c r="AI287" s="74"/>
      <c r="AL287" s="646"/>
      <c r="AM287" s="74"/>
      <c r="AP287" s="646"/>
      <c r="AQ287" s="74"/>
      <c r="AU287" s="723"/>
    </row>
    <row r="288" spans="2:47" s="123" customFormat="1">
      <c r="B288" s="125"/>
      <c r="D288" s="125"/>
      <c r="H288" s="210"/>
      <c r="J288" s="124"/>
      <c r="K288" s="124"/>
      <c r="L288" s="124"/>
      <c r="Z288" s="721"/>
      <c r="AA288" s="74"/>
      <c r="AD288" s="646"/>
      <c r="AE288" s="124"/>
      <c r="AH288" s="646"/>
      <c r="AI288" s="74"/>
      <c r="AL288" s="646"/>
      <c r="AM288" s="74"/>
      <c r="AP288" s="646"/>
      <c r="AQ288" s="74"/>
      <c r="AU288" s="723"/>
    </row>
    <row r="289" spans="2:47" s="123" customFormat="1">
      <c r="B289" s="125"/>
      <c r="D289" s="125"/>
      <c r="H289" s="210"/>
      <c r="J289" s="124"/>
      <c r="K289" s="124"/>
      <c r="L289" s="124"/>
      <c r="Z289" s="721"/>
      <c r="AA289" s="74"/>
      <c r="AD289" s="646"/>
      <c r="AE289" s="124"/>
      <c r="AH289" s="646"/>
      <c r="AI289" s="74"/>
      <c r="AL289" s="646"/>
      <c r="AM289" s="74"/>
      <c r="AP289" s="646"/>
      <c r="AQ289" s="74"/>
      <c r="AU289" s="723"/>
    </row>
    <row r="290" spans="2:47" s="123" customFormat="1">
      <c r="B290" s="125"/>
      <c r="D290" s="125"/>
      <c r="H290" s="210"/>
      <c r="J290" s="124"/>
      <c r="K290" s="124"/>
      <c r="L290" s="124"/>
      <c r="Z290" s="721"/>
      <c r="AA290" s="74"/>
      <c r="AD290" s="646"/>
      <c r="AE290" s="124"/>
      <c r="AH290" s="646"/>
      <c r="AI290" s="74"/>
      <c r="AL290" s="646"/>
      <c r="AM290" s="74"/>
      <c r="AP290" s="646"/>
      <c r="AQ290" s="74"/>
      <c r="AU290" s="723"/>
    </row>
    <row r="291" spans="2:47" s="123" customFormat="1">
      <c r="B291" s="125"/>
      <c r="D291" s="125"/>
      <c r="H291" s="210"/>
      <c r="J291" s="124"/>
      <c r="K291" s="124"/>
      <c r="L291" s="124"/>
      <c r="Z291" s="721"/>
      <c r="AA291" s="74"/>
      <c r="AD291" s="646"/>
      <c r="AE291" s="124"/>
      <c r="AH291" s="646"/>
      <c r="AI291" s="74"/>
      <c r="AL291" s="646"/>
      <c r="AM291" s="74"/>
      <c r="AP291" s="646"/>
      <c r="AQ291" s="74"/>
      <c r="AU291" s="723"/>
    </row>
    <row r="292" spans="2:47" s="123" customFormat="1">
      <c r="B292" s="125"/>
      <c r="D292" s="125"/>
      <c r="H292" s="210"/>
      <c r="J292" s="124"/>
      <c r="K292" s="124"/>
      <c r="L292" s="124"/>
      <c r="Z292" s="721"/>
      <c r="AA292" s="74"/>
      <c r="AD292" s="646"/>
      <c r="AE292" s="124"/>
      <c r="AH292" s="646"/>
      <c r="AI292" s="74"/>
      <c r="AL292" s="646"/>
      <c r="AM292" s="74"/>
      <c r="AP292" s="646"/>
      <c r="AQ292" s="74"/>
      <c r="AU292" s="723"/>
    </row>
    <row r="293" spans="2:47" s="123" customFormat="1">
      <c r="B293" s="125"/>
      <c r="D293" s="125"/>
      <c r="H293" s="210"/>
      <c r="J293" s="124"/>
      <c r="K293" s="124"/>
      <c r="L293" s="124"/>
      <c r="Z293" s="721"/>
      <c r="AA293" s="74"/>
      <c r="AD293" s="646"/>
      <c r="AE293" s="124"/>
      <c r="AH293" s="646"/>
      <c r="AI293" s="74"/>
      <c r="AL293" s="646"/>
      <c r="AM293" s="74"/>
      <c r="AP293" s="646"/>
      <c r="AQ293" s="74"/>
      <c r="AU293" s="723"/>
    </row>
    <row r="294" spans="2:47" s="123" customFormat="1">
      <c r="B294" s="125"/>
      <c r="D294" s="125"/>
      <c r="H294" s="210"/>
      <c r="J294" s="124"/>
      <c r="K294" s="124"/>
      <c r="L294" s="124"/>
      <c r="Z294" s="721"/>
      <c r="AA294" s="74"/>
      <c r="AD294" s="646"/>
      <c r="AE294" s="124"/>
      <c r="AH294" s="646"/>
      <c r="AI294" s="74"/>
      <c r="AL294" s="646"/>
      <c r="AM294" s="74"/>
      <c r="AP294" s="646"/>
      <c r="AQ294" s="74"/>
      <c r="AU294" s="723"/>
    </row>
    <row r="295" spans="2:47" s="123" customFormat="1">
      <c r="B295" s="125"/>
      <c r="D295" s="125"/>
      <c r="H295" s="210"/>
      <c r="J295" s="124"/>
      <c r="K295" s="124"/>
      <c r="L295" s="124"/>
      <c r="Z295" s="721"/>
      <c r="AA295" s="74"/>
      <c r="AD295" s="646"/>
      <c r="AE295" s="124"/>
      <c r="AH295" s="646"/>
      <c r="AI295" s="74"/>
      <c r="AL295" s="646"/>
      <c r="AM295" s="74"/>
      <c r="AP295" s="646"/>
      <c r="AQ295" s="74"/>
      <c r="AU295" s="723"/>
    </row>
    <row r="296" spans="2:47" s="123" customFormat="1">
      <c r="B296" s="125"/>
      <c r="D296" s="125"/>
      <c r="H296" s="210"/>
      <c r="J296" s="124"/>
      <c r="K296" s="124"/>
      <c r="L296" s="124"/>
      <c r="Z296" s="721"/>
      <c r="AA296" s="74"/>
      <c r="AD296" s="646"/>
      <c r="AE296" s="124"/>
      <c r="AH296" s="646"/>
      <c r="AI296" s="74"/>
      <c r="AL296" s="646"/>
      <c r="AM296" s="74"/>
      <c r="AP296" s="646"/>
      <c r="AQ296" s="74"/>
      <c r="AU296" s="723"/>
    </row>
    <row r="297" spans="2:47" s="123" customFormat="1">
      <c r="B297" s="125"/>
      <c r="D297" s="125"/>
      <c r="H297" s="210"/>
      <c r="J297" s="124"/>
      <c r="K297" s="124"/>
      <c r="L297" s="124"/>
      <c r="Z297" s="721"/>
      <c r="AA297" s="74"/>
      <c r="AD297" s="646"/>
      <c r="AE297" s="124"/>
      <c r="AH297" s="646"/>
      <c r="AI297" s="74"/>
      <c r="AL297" s="646"/>
      <c r="AM297" s="74"/>
      <c r="AP297" s="646"/>
      <c r="AQ297" s="74"/>
      <c r="AU297" s="723"/>
    </row>
    <row r="298" spans="2:47" s="123" customFormat="1">
      <c r="B298" s="125"/>
      <c r="D298" s="125"/>
      <c r="H298" s="210"/>
      <c r="J298" s="124"/>
      <c r="K298" s="124"/>
      <c r="L298" s="124"/>
      <c r="Z298" s="721"/>
      <c r="AA298" s="74"/>
      <c r="AD298" s="646"/>
      <c r="AE298" s="124"/>
      <c r="AH298" s="646"/>
      <c r="AI298" s="74"/>
      <c r="AL298" s="646"/>
      <c r="AM298" s="74"/>
      <c r="AP298" s="646"/>
      <c r="AQ298" s="74"/>
      <c r="AU298" s="723"/>
    </row>
    <row r="299" spans="2:47" s="123" customFormat="1">
      <c r="B299" s="125"/>
      <c r="D299" s="125"/>
      <c r="H299" s="210"/>
      <c r="J299" s="124"/>
      <c r="K299" s="124"/>
      <c r="L299" s="124"/>
      <c r="Z299" s="721"/>
      <c r="AA299" s="74"/>
      <c r="AD299" s="646"/>
      <c r="AE299" s="124"/>
      <c r="AH299" s="646"/>
      <c r="AI299" s="74"/>
      <c r="AL299" s="646"/>
      <c r="AM299" s="74"/>
      <c r="AP299" s="646"/>
      <c r="AQ299" s="74"/>
      <c r="AU299" s="723"/>
    </row>
    <row r="300" spans="2:47" s="123" customFormat="1">
      <c r="B300" s="125"/>
      <c r="D300" s="125"/>
      <c r="H300" s="210"/>
      <c r="J300" s="124"/>
      <c r="K300" s="124"/>
      <c r="L300" s="124"/>
      <c r="Z300" s="721"/>
      <c r="AA300" s="74"/>
      <c r="AD300" s="646"/>
      <c r="AE300" s="124"/>
      <c r="AH300" s="646"/>
      <c r="AI300" s="74"/>
      <c r="AL300" s="646"/>
      <c r="AM300" s="74"/>
      <c r="AP300" s="646"/>
      <c r="AQ300" s="74"/>
      <c r="AU300" s="723"/>
    </row>
    <row r="301" spans="2:47" s="123" customFormat="1">
      <c r="B301" s="125"/>
      <c r="D301" s="125"/>
      <c r="H301" s="210"/>
      <c r="J301" s="124"/>
      <c r="K301" s="124"/>
      <c r="L301" s="124"/>
      <c r="Z301" s="721"/>
      <c r="AA301" s="74"/>
      <c r="AD301" s="646"/>
      <c r="AE301" s="124"/>
      <c r="AH301" s="646"/>
      <c r="AI301" s="74"/>
      <c r="AL301" s="646"/>
      <c r="AM301" s="74"/>
      <c r="AP301" s="646"/>
      <c r="AQ301" s="74"/>
      <c r="AU301" s="723"/>
    </row>
    <row r="302" spans="2:47" s="123" customFormat="1">
      <c r="B302" s="125"/>
      <c r="D302" s="125"/>
      <c r="H302" s="210"/>
      <c r="J302" s="124"/>
      <c r="K302" s="124"/>
      <c r="L302" s="124"/>
      <c r="Z302" s="721"/>
      <c r="AA302" s="74"/>
      <c r="AD302" s="646"/>
      <c r="AE302" s="124"/>
      <c r="AH302" s="646"/>
      <c r="AI302" s="74"/>
      <c r="AL302" s="646"/>
      <c r="AM302" s="74"/>
      <c r="AP302" s="646"/>
      <c r="AQ302" s="74"/>
      <c r="AU302" s="723"/>
    </row>
    <row r="303" spans="2:47" s="123" customFormat="1">
      <c r="B303" s="125"/>
      <c r="D303" s="125"/>
      <c r="H303" s="210"/>
      <c r="J303" s="124"/>
      <c r="K303" s="124"/>
      <c r="L303" s="124"/>
      <c r="Z303" s="721"/>
      <c r="AA303" s="74"/>
      <c r="AD303" s="646"/>
      <c r="AE303" s="124"/>
      <c r="AH303" s="646"/>
      <c r="AI303" s="74"/>
      <c r="AL303" s="646"/>
      <c r="AM303" s="74"/>
      <c r="AP303" s="646"/>
      <c r="AQ303" s="74"/>
      <c r="AU303" s="723"/>
    </row>
    <row r="304" spans="2:47" s="123" customFormat="1">
      <c r="B304" s="125"/>
      <c r="D304" s="125"/>
      <c r="H304" s="210"/>
      <c r="J304" s="124"/>
      <c r="K304" s="124"/>
      <c r="L304" s="124"/>
      <c r="Z304" s="721"/>
      <c r="AA304" s="74"/>
      <c r="AD304" s="646"/>
      <c r="AE304" s="124"/>
      <c r="AH304" s="646"/>
      <c r="AI304" s="74"/>
      <c r="AL304" s="646"/>
      <c r="AM304" s="74"/>
      <c r="AP304" s="646"/>
      <c r="AQ304" s="74"/>
      <c r="AU304" s="723"/>
    </row>
    <row r="305" spans="2:47" s="123" customFormat="1">
      <c r="B305" s="125"/>
      <c r="D305" s="125"/>
      <c r="H305" s="210"/>
      <c r="J305" s="124"/>
      <c r="K305" s="124"/>
      <c r="L305" s="124"/>
      <c r="Z305" s="721"/>
      <c r="AA305" s="74"/>
      <c r="AD305" s="646"/>
      <c r="AE305" s="124"/>
      <c r="AH305" s="646"/>
      <c r="AI305" s="74"/>
      <c r="AL305" s="646"/>
      <c r="AM305" s="74"/>
      <c r="AP305" s="646"/>
      <c r="AQ305" s="74"/>
      <c r="AU305" s="723"/>
    </row>
    <row r="306" spans="2:47" s="123" customFormat="1">
      <c r="B306" s="125"/>
      <c r="D306" s="125"/>
      <c r="H306" s="210"/>
      <c r="J306" s="124"/>
      <c r="K306" s="124"/>
      <c r="L306" s="124"/>
      <c r="Z306" s="721"/>
      <c r="AA306" s="74"/>
      <c r="AD306" s="646"/>
      <c r="AE306" s="124"/>
      <c r="AH306" s="646"/>
      <c r="AI306" s="74"/>
      <c r="AL306" s="646"/>
      <c r="AM306" s="74"/>
      <c r="AP306" s="646"/>
      <c r="AQ306" s="74"/>
      <c r="AU306" s="723"/>
    </row>
    <row r="307" spans="2:47" s="123" customFormat="1">
      <c r="B307" s="125"/>
      <c r="D307" s="125"/>
      <c r="H307" s="210"/>
      <c r="J307" s="124"/>
      <c r="K307" s="124"/>
      <c r="L307" s="124"/>
      <c r="Z307" s="721"/>
      <c r="AA307" s="74"/>
      <c r="AD307" s="646"/>
      <c r="AE307" s="124"/>
      <c r="AH307" s="646"/>
      <c r="AI307" s="74"/>
      <c r="AL307" s="646"/>
      <c r="AM307" s="74"/>
      <c r="AP307" s="646"/>
      <c r="AQ307" s="74"/>
      <c r="AU307" s="723"/>
    </row>
    <row r="308" spans="2:47" s="123" customFormat="1">
      <c r="B308" s="125"/>
      <c r="D308" s="125"/>
      <c r="H308" s="210"/>
      <c r="J308" s="124"/>
      <c r="K308" s="124"/>
      <c r="L308" s="124"/>
      <c r="Z308" s="721"/>
      <c r="AA308" s="74"/>
      <c r="AD308" s="646"/>
      <c r="AE308" s="124"/>
      <c r="AH308" s="646"/>
      <c r="AI308" s="74"/>
      <c r="AL308" s="646"/>
      <c r="AM308" s="74"/>
      <c r="AP308" s="646"/>
      <c r="AQ308" s="74"/>
      <c r="AU308" s="723"/>
    </row>
    <row r="309" spans="2:47" s="123" customFormat="1">
      <c r="B309" s="125"/>
      <c r="D309" s="125"/>
      <c r="H309" s="210"/>
      <c r="J309" s="124"/>
      <c r="K309" s="124"/>
      <c r="L309" s="124"/>
      <c r="Z309" s="721"/>
      <c r="AA309" s="74"/>
      <c r="AD309" s="646"/>
      <c r="AE309" s="124"/>
      <c r="AH309" s="646"/>
      <c r="AI309" s="74"/>
      <c r="AL309" s="646"/>
      <c r="AM309" s="74"/>
      <c r="AP309" s="646"/>
      <c r="AQ309" s="74"/>
      <c r="AU309" s="723"/>
    </row>
    <row r="310" spans="2:47" s="123" customFormat="1">
      <c r="B310" s="125"/>
      <c r="D310" s="125"/>
      <c r="H310" s="210"/>
      <c r="J310" s="124"/>
      <c r="K310" s="124"/>
      <c r="L310" s="124"/>
      <c r="Z310" s="721"/>
      <c r="AA310" s="74"/>
      <c r="AD310" s="646"/>
      <c r="AE310" s="124"/>
      <c r="AH310" s="646"/>
      <c r="AI310" s="74"/>
      <c r="AL310" s="646"/>
      <c r="AM310" s="74"/>
      <c r="AP310" s="646"/>
      <c r="AQ310" s="74"/>
      <c r="AU310" s="723"/>
    </row>
    <row r="311" spans="2:47" s="123" customFormat="1">
      <c r="B311" s="125"/>
      <c r="D311" s="125"/>
      <c r="H311" s="210"/>
      <c r="J311" s="124"/>
      <c r="K311" s="124"/>
      <c r="L311" s="124"/>
      <c r="Z311" s="721"/>
      <c r="AA311" s="74"/>
      <c r="AD311" s="646"/>
      <c r="AE311" s="124"/>
      <c r="AH311" s="646"/>
      <c r="AI311" s="74"/>
      <c r="AL311" s="646"/>
      <c r="AM311" s="74"/>
      <c r="AP311" s="646"/>
      <c r="AQ311" s="74"/>
      <c r="AU311" s="723"/>
    </row>
    <row r="312" spans="2:47" s="123" customFormat="1">
      <c r="B312" s="125"/>
      <c r="D312" s="125"/>
      <c r="H312" s="210"/>
      <c r="J312" s="124"/>
      <c r="K312" s="124"/>
      <c r="L312" s="124"/>
      <c r="Z312" s="721"/>
      <c r="AA312" s="74"/>
      <c r="AD312" s="646"/>
      <c r="AE312" s="124"/>
      <c r="AH312" s="646"/>
      <c r="AI312" s="74"/>
      <c r="AL312" s="646"/>
      <c r="AM312" s="74"/>
      <c r="AP312" s="646"/>
      <c r="AQ312" s="74"/>
      <c r="AU312" s="723"/>
    </row>
    <row r="313" spans="2:47" s="123" customFormat="1">
      <c r="B313" s="125"/>
      <c r="D313" s="125"/>
      <c r="H313" s="210"/>
      <c r="J313" s="124"/>
      <c r="K313" s="124"/>
      <c r="L313" s="124"/>
      <c r="Z313" s="721"/>
      <c r="AA313" s="74"/>
      <c r="AD313" s="646"/>
      <c r="AE313" s="124"/>
      <c r="AH313" s="646"/>
      <c r="AI313" s="74"/>
      <c r="AL313" s="646"/>
      <c r="AM313" s="74"/>
      <c r="AP313" s="646"/>
      <c r="AQ313" s="74"/>
      <c r="AU313" s="723"/>
    </row>
    <row r="314" spans="2:47" s="123" customFormat="1">
      <c r="B314" s="125"/>
      <c r="D314" s="125"/>
      <c r="H314" s="210"/>
      <c r="J314" s="124"/>
      <c r="K314" s="124"/>
      <c r="L314" s="124"/>
      <c r="Z314" s="721"/>
      <c r="AA314" s="74"/>
      <c r="AD314" s="646"/>
      <c r="AE314" s="124"/>
      <c r="AH314" s="646"/>
      <c r="AI314" s="74"/>
      <c r="AL314" s="646"/>
      <c r="AM314" s="74"/>
      <c r="AP314" s="646"/>
      <c r="AQ314" s="74"/>
      <c r="AU314" s="723"/>
    </row>
    <row r="315" spans="2:47" s="123" customFormat="1">
      <c r="B315" s="125"/>
      <c r="D315" s="125"/>
      <c r="H315" s="210"/>
      <c r="J315" s="124"/>
      <c r="K315" s="124"/>
      <c r="L315" s="124"/>
      <c r="Z315" s="721"/>
      <c r="AA315" s="74"/>
      <c r="AD315" s="646"/>
      <c r="AE315" s="124"/>
      <c r="AH315" s="646"/>
      <c r="AI315" s="74"/>
      <c r="AL315" s="646"/>
      <c r="AM315" s="74"/>
      <c r="AP315" s="646"/>
      <c r="AQ315" s="74"/>
      <c r="AU315" s="723"/>
    </row>
    <row r="316" spans="2:47" s="123" customFormat="1">
      <c r="B316" s="125"/>
      <c r="D316" s="125"/>
      <c r="H316" s="210"/>
      <c r="J316" s="124"/>
      <c r="K316" s="124"/>
      <c r="L316" s="124"/>
      <c r="Z316" s="721"/>
      <c r="AA316" s="74"/>
      <c r="AD316" s="646"/>
      <c r="AE316" s="124"/>
      <c r="AH316" s="646"/>
      <c r="AI316" s="74"/>
      <c r="AL316" s="646"/>
      <c r="AM316" s="74"/>
      <c r="AP316" s="646"/>
      <c r="AQ316" s="74"/>
      <c r="AU316" s="723"/>
    </row>
    <row r="317" spans="2:47" s="123" customFormat="1">
      <c r="B317" s="125"/>
      <c r="D317" s="125"/>
      <c r="H317" s="210"/>
      <c r="J317" s="124"/>
      <c r="K317" s="124"/>
      <c r="L317" s="124"/>
      <c r="Z317" s="721"/>
      <c r="AA317" s="74"/>
      <c r="AD317" s="646"/>
      <c r="AE317" s="124"/>
      <c r="AH317" s="646"/>
      <c r="AI317" s="74"/>
      <c r="AL317" s="646"/>
      <c r="AM317" s="74"/>
      <c r="AP317" s="646"/>
      <c r="AQ317" s="74"/>
      <c r="AU317" s="723"/>
    </row>
    <row r="318" spans="2:47" s="123" customFormat="1">
      <c r="B318" s="125"/>
      <c r="D318" s="125"/>
      <c r="H318" s="210"/>
      <c r="J318" s="124"/>
      <c r="K318" s="124"/>
      <c r="L318" s="124"/>
      <c r="Z318" s="721"/>
      <c r="AA318" s="74"/>
      <c r="AD318" s="646"/>
      <c r="AE318" s="124"/>
      <c r="AH318" s="646"/>
      <c r="AI318" s="74"/>
      <c r="AL318" s="646"/>
      <c r="AM318" s="74"/>
      <c r="AP318" s="646"/>
      <c r="AQ318" s="74"/>
      <c r="AU318" s="723"/>
    </row>
    <row r="319" spans="2:47" s="123" customFormat="1">
      <c r="B319" s="125"/>
      <c r="D319" s="125"/>
      <c r="H319" s="210"/>
      <c r="J319" s="124"/>
      <c r="K319" s="124"/>
      <c r="L319" s="124"/>
      <c r="Z319" s="721"/>
      <c r="AA319" s="74"/>
      <c r="AD319" s="646"/>
      <c r="AE319" s="124"/>
      <c r="AH319" s="646"/>
      <c r="AI319" s="74"/>
      <c r="AL319" s="646"/>
      <c r="AM319" s="74"/>
      <c r="AP319" s="646"/>
      <c r="AQ319" s="74"/>
      <c r="AU319" s="723"/>
    </row>
    <row r="320" spans="2:47" s="123" customFormat="1">
      <c r="B320" s="125"/>
      <c r="D320" s="125"/>
      <c r="H320" s="210"/>
      <c r="J320" s="124"/>
      <c r="K320" s="124"/>
      <c r="L320" s="124"/>
      <c r="Z320" s="721"/>
      <c r="AA320" s="74"/>
      <c r="AD320" s="646"/>
      <c r="AE320" s="124"/>
      <c r="AH320" s="646"/>
      <c r="AI320" s="74"/>
      <c r="AL320" s="646"/>
      <c r="AM320" s="74"/>
      <c r="AP320" s="646"/>
      <c r="AQ320" s="74"/>
      <c r="AU320" s="723"/>
    </row>
    <row r="321" spans="2:47" s="123" customFormat="1">
      <c r="B321" s="125"/>
      <c r="D321" s="125"/>
      <c r="H321" s="210"/>
      <c r="J321" s="124"/>
      <c r="K321" s="124"/>
      <c r="L321" s="124"/>
      <c r="Z321" s="721"/>
      <c r="AA321" s="74"/>
      <c r="AD321" s="646"/>
      <c r="AE321" s="124"/>
      <c r="AH321" s="646"/>
      <c r="AI321" s="74"/>
      <c r="AL321" s="646"/>
      <c r="AM321" s="74"/>
      <c r="AP321" s="646"/>
      <c r="AQ321" s="74"/>
      <c r="AU321" s="723"/>
    </row>
    <row r="322" spans="2:47" s="123" customFormat="1">
      <c r="B322" s="125"/>
      <c r="D322" s="125"/>
      <c r="H322" s="210"/>
      <c r="J322" s="124"/>
      <c r="K322" s="124"/>
      <c r="L322" s="124"/>
      <c r="Z322" s="721"/>
      <c r="AA322" s="74"/>
      <c r="AD322" s="646"/>
      <c r="AE322" s="124"/>
      <c r="AH322" s="646"/>
      <c r="AI322" s="74"/>
      <c r="AL322" s="646"/>
      <c r="AM322" s="74"/>
      <c r="AP322" s="646"/>
      <c r="AQ322" s="74"/>
      <c r="AU322" s="723"/>
    </row>
    <row r="323" spans="2:47" s="123" customFormat="1">
      <c r="B323" s="125"/>
      <c r="D323" s="125"/>
      <c r="H323" s="210"/>
      <c r="J323" s="124"/>
      <c r="K323" s="124"/>
      <c r="L323" s="124"/>
      <c r="Z323" s="721"/>
      <c r="AA323" s="74"/>
      <c r="AD323" s="646"/>
      <c r="AE323" s="124"/>
      <c r="AH323" s="646"/>
      <c r="AI323" s="74"/>
      <c r="AL323" s="646"/>
      <c r="AM323" s="74"/>
      <c r="AP323" s="646"/>
      <c r="AQ323" s="74"/>
      <c r="AU323" s="723"/>
    </row>
    <row r="324" spans="2:47" s="123" customFormat="1">
      <c r="B324" s="125"/>
      <c r="D324" s="125"/>
      <c r="H324" s="210"/>
      <c r="J324" s="124"/>
      <c r="K324" s="124"/>
      <c r="L324" s="124"/>
      <c r="Z324" s="721"/>
      <c r="AA324" s="74"/>
      <c r="AD324" s="646"/>
      <c r="AE324" s="124"/>
      <c r="AH324" s="646"/>
      <c r="AI324" s="74"/>
      <c r="AL324" s="646"/>
      <c r="AM324" s="74"/>
      <c r="AP324" s="646"/>
      <c r="AQ324" s="74"/>
      <c r="AU324" s="723"/>
    </row>
    <row r="325" spans="2:47" s="123" customFormat="1">
      <c r="B325" s="125"/>
      <c r="D325" s="125"/>
      <c r="H325" s="210"/>
      <c r="J325" s="124"/>
      <c r="K325" s="124"/>
      <c r="L325" s="124"/>
      <c r="Z325" s="721"/>
      <c r="AA325" s="74"/>
      <c r="AD325" s="646"/>
      <c r="AE325" s="124"/>
      <c r="AH325" s="646"/>
      <c r="AI325" s="74"/>
      <c r="AL325" s="646"/>
      <c r="AM325" s="74"/>
      <c r="AP325" s="646"/>
      <c r="AQ325" s="74"/>
      <c r="AU325" s="723"/>
    </row>
    <row r="326" spans="2:47" s="123" customFormat="1">
      <c r="B326" s="125"/>
      <c r="D326" s="125"/>
      <c r="H326" s="210"/>
      <c r="J326" s="124"/>
      <c r="K326" s="124"/>
      <c r="L326" s="124"/>
      <c r="Z326" s="721"/>
      <c r="AA326" s="74"/>
      <c r="AD326" s="646"/>
      <c r="AE326" s="124"/>
      <c r="AH326" s="646"/>
      <c r="AI326" s="74"/>
      <c r="AL326" s="646"/>
      <c r="AM326" s="74"/>
      <c r="AP326" s="646"/>
      <c r="AQ326" s="74"/>
      <c r="AU326" s="723"/>
    </row>
    <row r="327" spans="2:47" s="123" customFormat="1">
      <c r="B327" s="125"/>
      <c r="D327" s="125"/>
      <c r="H327" s="210"/>
      <c r="J327" s="124"/>
      <c r="K327" s="124"/>
      <c r="L327" s="124"/>
      <c r="Z327" s="721"/>
      <c r="AA327" s="74"/>
      <c r="AD327" s="646"/>
      <c r="AE327" s="124"/>
      <c r="AH327" s="646"/>
      <c r="AI327" s="74"/>
      <c r="AL327" s="646"/>
      <c r="AM327" s="74"/>
      <c r="AP327" s="646"/>
      <c r="AQ327" s="74"/>
      <c r="AU327" s="723"/>
    </row>
    <row r="328" spans="2:47" s="123" customFormat="1">
      <c r="B328" s="125"/>
      <c r="D328" s="125"/>
      <c r="H328" s="210"/>
      <c r="J328" s="124"/>
      <c r="K328" s="124"/>
      <c r="L328" s="124"/>
      <c r="Z328" s="721"/>
      <c r="AA328" s="74"/>
      <c r="AD328" s="646"/>
      <c r="AE328" s="124"/>
      <c r="AH328" s="646"/>
      <c r="AI328" s="74"/>
      <c r="AL328" s="646"/>
      <c r="AM328" s="74"/>
      <c r="AP328" s="646"/>
      <c r="AQ328" s="74"/>
      <c r="AU328" s="723"/>
    </row>
    <row r="329" spans="2:47" s="123" customFormat="1">
      <c r="B329" s="125"/>
      <c r="D329" s="125"/>
      <c r="H329" s="210"/>
      <c r="J329" s="124"/>
      <c r="K329" s="124"/>
      <c r="L329" s="124"/>
      <c r="Z329" s="721"/>
      <c r="AA329" s="74"/>
      <c r="AD329" s="646"/>
      <c r="AE329" s="124"/>
      <c r="AH329" s="646"/>
      <c r="AI329" s="74"/>
      <c r="AL329" s="646"/>
      <c r="AM329" s="74"/>
      <c r="AP329" s="646"/>
      <c r="AQ329" s="74"/>
      <c r="AU329" s="723"/>
    </row>
    <row r="330" spans="2:47" s="123" customFormat="1">
      <c r="B330" s="125"/>
      <c r="D330" s="125"/>
      <c r="H330" s="210"/>
      <c r="J330" s="124"/>
      <c r="K330" s="124"/>
      <c r="L330" s="124"/>
      <c r="Z330" s="721"/>
      <c r="AA330" s="74"/>
      <c r="AD330" s="646"/>
      <c r="AE330" s="124"/>
      <c r="AH330" s="646"/>
      <c r="AI330" s="74"/>
      <c r="AL330" s="646"/>
      <c r="AM330" s="74"/>
      <c r="AP330" s="646"/>
      <c r="AQ330" s="74"/>
      <c r="AU330" s="723"/>
    </row>
    <row r="331" spans="2:47" s="123" customFormat="1">
      <c r="B331" s="125"/>
      <c r="D331" s="125"/>
      <c r="H331" s="210"/>
      <c r="J331" s="124"/>
      <c r="K331" s="124"/>
      <c r="L331" s="124"/>
      <c r="Z331" s="721"/>
      <c r="AA331" s="74"/>
      <c r="AD331" s="646"/>
      <c r="AE331" s="124"/>
      <c r="AH331" s="646"/>
      <c r="AI331" s="74"/>
      <c r="AL331" s="646"/>
      <c r="AM331" s="74"/>
      <c r="AP331" s="646"/>
      <c r="AQ331" s="74"/>
      <c r="AU331" s="723"/>
    </row>
    <row r="332" spans="2:47" s="123" customFormat="1">
      <c r="B332" s="125"/>
      <c r="D332" s="125"/>
      <c r="H332" s="210"/>
      <c r="J332" s="124"/>
      <c r="K332" s="124"/>
      <c r="L332" s="124"/>
      <c r="Z332" s="721"/>
      <c r="AA332" s="74"/>
      <c r="AD332" s="646"/>
      <c r="AE332" s="124"/>
      <c r="AH332" s="646"/>
      <c r="AI332" s="74"/>
      <c r="AL332" s="646"/>
      <c r="AM332" s="74"/>
      <c r="AP332" s="646"/>
      <c r="AQ332" s="74"/>
      <c r="AU332" s="723"/>
    </row>
    <row r="333" spans="2:47" s="123" customFormat="1">
      <c r="B333" s="125"/>
      <c r="D333" s="125"/>
      <c r="H333" s="210"/>
      <c r="J333" s="124"/>
      <c r="K333" s="124"/>
      <c r="L333" s="124"/>
      <c r="Z333" s="721"/>
      <c r="AA333" s="74"/>
      <c r="AD333" s="646"/>
      <c r="AE333" s="124"/>
      <c r="AH333" s="646"/>
      <c r="AI333" s="74"/>
      <c r="AL333" s="646"/>
      <c r="AM333" s="74"/>
      <c r="AP333" s="646"/>
      <c r="AQ333" s="74"/>
      <c r="AU333" s="723"/>
    </row>
    <row r="334" spans="2:47" s="123" customFormat="1">
      <c r="B334" s="125"/>
      <c r="D334" s="125"/>
      <c r="H334" s="210"/>
      <c r="J334" s="124"/>
      <c r="K334" s="124"/>
      <c r="L334" s="124"/>
      <c r="Z334" s="721"/>
      <c r="AA334" s="74"/>
      <c r="AD334" s="646"/>
      <c r="AE334" s="124"/>
      <c r="AH334" s="646"/>
      <c r="AI334" s="74"/>
      <c r="AL334" s="646"/>
      <c r="AM334" s="74"/>
      <c r="AP334" s="646"/>
      <c r="AQ334" s="74"/>
      <c r="AU334" s="723"/>
    </row>
    <row r="335" spans="2:47" s="123" customFormat="1">
      <c r="B335" s="125"/>
      <c r="D335" s="125"/>
      <c r="H335" s="210"/>
      <c r="J335" s="124"/>
      <c r="K335" s="124"/>
      <c r="L335" s="124"/>
      <c r="Z335" s="721"/>
      <c r="AA335" s="74"/>
      <c r="AD335" s="646"/>
      <c r="AE335" s="124"/>
      <c r="AH335" s="646"/>
      <c r="AI335" s="74"/>
      <c r="AL335" s="646"/>
      <c r="AM335" s="74"/>
      <c r="AP335" s="646"/>
      <c r="AQ335" s="74"/>
      <c r="AU335" s="723"/>
    </row>
    <row r="336" spans="2:47" s="123" customFormat="1">
      <c r="B336" s="125"/>
      <c r="D336" s="125"/>
      <c r="H336" s="210"/>
      <c r="J336" s="124"/>
      <c r="K336" s="124"/>
      <c r="L336" s="124"/>
      <c r="Z336" s="721"/>
      <c r="AA336" s="74"/>
      <c r="AD336" s="646"/>
      <c r="AE336" s="124"/>
      <c r="AH336" s="646"/>
      <c r="AI336" s="74"/>
      <c r="AL336" s="646"/>
      <c r="AM336" s="74"/>
      <c r="AP336" s="646"/>
      <c r="AQ336" s="74"/>
      <c r="AU336" s="723"/>
    </row>
    <row r="337" spans="2:47" s="123" customFormat="1">
      <c r="B337" s="125"/>
      <c r="D337" s="125"/>
      <c r="H337" s="210"/>
      <c r="J337" s="124"/>
      <c r="K337" s="124"/>
      <c r="L337" s="124"/>
      <c r="Z337" s="721"/>
      <c r="AA337" s="74"/>
      <c r="AD337" s="646"/>
      <c r="AE337" s="124"/>
      <c r="AH337" s="646"/>
      <c r="AI337" s="74"/>
      <c r="AL337" s="646"/>
      <c r="AM337" s="74"/>
      <c r="AP337" s="646"/>
      <c r="AQ337" s="74"/>
      <c r="AU337" s="723"/>
    </row>
    <row r="338" spans="2:47" s="123" customFormat="1">
      <c r="B338" s="125"/>
      <c r="D338" s="125"/>
      <c r="H338" s="210"/>
      <c r="J338" s="124"/>
      <c r="K338" s="124"/>
      <c r="L338" s="124"/>
      <c r="Z338" s="721"/>
      <c r="AA338" s="74"/>
      <c r="AD338" s="646"/>
      <c r="AE338" s="124"/>
      <c r="AH338" s="646"/>
      <c r="AI338" s="74"/>
      <c r="AL338" s="646"/>
      <c r="AM338" s="74"/>
      <c r="AP338" s="646"/>
      <c r="AQ338" s="74"/>
      <c r="AU338" s="723"/>
    </row>
    <row r="339" spans="2:47" s="123" customFormat="1">
      <c r="B339" s="125"/>
      <c r="D339" s="125"/>
      <c r="H339" s="210"/>
      <c r="J339" s="124"/>
      <c r="K339" s="124"/>
      <c r="L339" s="124"/>
      <c r="Z339" s="721"/>
      <c r="AA339" s="74"/>
      <c r="AD339" s="646"/>
      <c r="AE339" s="124"/>
      <c r="AH339" s="646"/>
      <c r="AI339" s="74"/>
      <c r="AL339" s="646"/>
      <c r="AM339" s="74"/>
      <c r="AP339" s="646"/>
      <c r="AQ339" s="74"/>
      <c r="AU339" s="723"/>
    </row>
    <row r="340" spans="2:47" s="123" customFormat="1">
      <c r="B340" s="125"/>
      <c r="D340" s="125"/>
      <c r="H340" s="210"/>
      <c r="J340" s="124"/>
      <c r="K340" s="124"/>
      <c r="L340" s="124"/>
      <c r="Z340" s="721"/>
      <c r="AA340" s="74"/>
      <c r="AD340" s="646"/>
      <c r="AE340" s="124"/>
      <c r="AH340" s="646"/>
      <c r="AI340" s="74"/>
      <c r="AL340" s="646"/>
      <c r="AM340" s="74"/>
      <c r="AP340" s="646"/>
      <c r="AQ340" s="74"/>
      <c r="AU340" s="723"/>
    </row>
    <row r="341" spans="2:47" s="123" customFormat="1">
      <c r="B341" s="125"/>
      <c r="D341" s="125"/>
      <c r="H341" s="210"/>
      <c r="J341" s="124"/>
      <c r="K341" s="124"/>
      <c r="L341" s="124"/>
      <c r="Z341" s="721"/>
      <c r="AA341" s="74"/>
      <c r="AD341" s="646"/>
      <c r="AE341" s="124"/>
      <c r="AH341" s="646"/>
      <c r="AI341" s="74"/>
      <c r="AL341" s="646"/>
      <c r="AM341" s="74"/>
      <c r="AP341" s="646"/>
      <c r="AQ341" s="74"/>
      <c r="AU341" s="723"/>
    </row>
    <row r="342" spans="2:47" s="123" customFormat="1">
      <c r="B342" s="125"/>
      <c r="D342" s="125"/>
      <c r="H342" s="210"/>
      <c r="J342" s="124"/>
      <c r="K342" s="124"/>
      <c r="L342" s="124"/>
      <c r="Z342" s="721"/>
      <c r="AA342" s="74"/>
      <c r="AD342" s="646"/>
      <c r="AE342" s="124"/>
      <c r="AH342" s="646"/>
      <c r="AI342" s="74"/>
      <c r="AL342" s="646"/>
      <c r="AM342" s="74"/>
      <c r="AP342" s="646"/>
      <c r="AQ342" s="74"/>
      <c r="AU342" s="723"/>
    </row>
    <row r="343" spans="2:47" s="123" customFormat="1">
      <c r="B343" s="125"/>
      <c r="D343" s="125"/>
      <c r="H343" s="210"/>
      <c r="J343" s="124"/>
      <c r="K343" s="124"/>
      <c r="L343" s="124"/>
      <c r="Z343" s="721"/>
      <c r="AA343" s="74"/>
      <c r="AD343" s="646"/>
      <c r="AE343" s="124"/>
      <c r="AH343" s="646"/>
      <c r="AI343" s="74"/>
      <c r="AL343" s="646"/>
      <c r="AM343" s="74"/>
      <c r="AP343" s="646"/>
      <c r="AQ343" s="74"/>
      <c r="AU343" s="723"/>
    </row>
    <row r="344" spans="2:47" s="123" customFormat="1">
      <c r="B344" s="125"/>
      <c r="D344" s="125"/>
      <c r="H344" s="210"/>
      <c r="J344" s="124"/>
      <c r="K344" s="124"/>
      <c r="L344" s="124"/>
      <c r="Z344" s="721"/>
      <c r="AA344" s="74"/>
      <c r="AD344" s="646"/>
      <c r="AE344" s="124"/>
      <c r="AH344" s="646"/>
      <c r="AI344" s="74"/>
      <c r="AL344" s="646"/>
      <c r="AM344" s="74"/>
      <c r="AP344" s="646"/>
      <c r="AQ344" s="74"/>
      <c r="AU344" s="723"/>
    </row>
    <row r="345" spans="2:47" s="123" customFormat="1">
      <c r="B345" s="125"/>
      <c r="D345" s="125"/>
      <c r="H345" s="210"/>
      <c r="J345" s="124"/>
      <c r="K345" s="124"/>
      <c r="L345" s="124"/>
      <c r="Z345" s="721"/>
      <c r="AA345" s="74"/>
      <c r="AD345" s="646"/>
      <c r="AE345" s="124"/>
      <c r="AH345" s="646"/>
      <c r="AI345" s="74"/>
      <c r="AL345" s="646"/>
      <c r="AM345" s="74"/>
      <c r="AP345" s="646"/>
      <c r="AQ345" s="74"/>
      <c r="AU345" s="723"/>
    </row>
    <row r="346" spans="2:47" s="123" customFormat="1">
      <c r="B346" s="125"/>
      <c r="D346" s="125"/>
      <c r="H346" s="210"/>
      <c r="J346" s="124"/>
      <c r="K346" s="124"/>
      <c r="L346" s="124"/>
      <c r="Z346" s="721"/>
      <c r="AA346" s="74"/>
      <c r="AD346" s="646"/>
      <c r="AE346" s="124"/>
      <c r="AH346" s="646"/>
      <c r="AI346" s="74"/>
      <c r="AL346" s="646"/>
      <c r="AM346" s="74"/>
      <c r="AP346" s="646"/>
      <c r="AQ346" s="74"/>
      <c r="AU346" s="723"/>
    </row>
    <row r="347" spans="2:47" s="123" customFormat="1">
      <c r="B347" s="125"/>
      <c r="D347" s="125"/>
      <c r="H347" s="210"/>
      <c r="J347" s="124"/>
      <c r="K347" s="124"/>
      <c r="L347" s="124"/>
      <c r="Z347" s="721"/>
      <c r="AA347" s="74"/>
      <c r="AD347" s="646"/>
      <c r="AE347" s="124"/>
      <c r="AH347" s="646"/>
      <c r="AI347" s="74"/>
      <c r="AL347" s="646"/>
      <c r="AM347" s="74"/>
      <c r="AP347" s="646"/>
      <c r="AQ347" s="74"/>
      <c r="AU347" s="723"/>
    </row>
    <row r="348" spans="2:47" s="123" customFormat="1">
      <c r="B348" s="125"/>
      <c r="D348" s="125"/>
      <c r="H348" s="210"/>
      <c r="J348" s="124"/>
      <c r="K348" s="124"/>
      <c r="L348" s="124"/>
      <c r="Z348" s="721"/>
      <c r="AA348" s="74"/>
      <c r="AD348" s="646"/>
      <c r="AE348" s="124"/>
      <c r="AH348" s="646"/>
      <c r="AI348" s="74"/>
      <c r="AL348" s="646"/>
      <c r="AM348" s="74"/>
      <c r="AP348" s="646"/>
      <c r="AQ348" s="74"/>
      <c r="AU348" s="723"/>
    </row>
    <row r="349" spans="2:47" s="123" customFormat="1">
      <c r="B349" s="125"/>
      <c r="D349" s="125"/>
      <c r="H349" s="210"/>
      <c r="J349" s="124"/>
      <c r="K349" s="124"/>
      <c r="L349" s="124"/>
      <c r="Z349" s="721"/>
      <c r="AA349" s="74"/>
      <c r="AD349" s="646"/>
      <c r="AE349" s="124"/>
      <c r="AH349" s="646"/>
      <c r="AI349" s="74"/>
      <c r="AL349" s="646"/>
      <c r="AM349" s="74"/>
      <c r="AP349" s="646"/>
      <c r="AQ349" s="74"/>
      <c r="AU349" s="723"/>
    </row>
    <row r="350" spans="2:47" s="123" customFormat="1">
      <c r="B350" s="125"/>
      <c r="D350" s="125"/>
      <c r="H350" s="210"/>
      <c r="J350" s="124"/>
      <c r="K350" s="124"/>
      <c r="L350" s="124"/>
      <c r="Z350" s="721"/>
      <c r="AA350" s="74"/>
      <c r="AD350" s="646"/>
      <c r="AE350" s="124"/>
      <c r="AH350" s="646"/>
      <c r="AI350" s="74"/>
      <c r="AL350" s="646"/>
      <c r="AM350" s="74"/>
      <c r="AP350" s="646"/>
      <c r="AQ350" s="74"/>
      <c r="AU350" s="723"/>
    </row>
    <row r="351" spans="2:47" s="123" customFormat="1">
      <c r="B351" s="125"/>
      <c r="D351" s="125"/>
      <c r="H351" s="210"/>
      <c r="J351" s="124"/>
      <c r="K351" s="124"/>
      <c r="L351" s="124"/>
      <c r="Z351" s="721"/>
      <c r="AA351" s="74"/>
      <c r="AD351" s="646"/>
      <c r="AE351" s="124"/>
      <c r="AH351" s="646"/>
      <c r="AI351" s="74"/>
      <c r="AL351" s="646"/>
      <c r="AM351" s="74"/>
      <c r="AP351" s="646"/>
      <c r="AQ351" s="74"/>
      <c r="AU351" s="723"/>
    </row>
    <row r="352" spans="2:47" s="123" customFormat="1">
      <c r="B352" s="125"/>
      <c r="D352" s="125"/>
      <c r="H352" s="210"/>
      <c r="J352" s="124"/>
      <c r="K352" s="124"/>
      <c r="L352" s="124"/>
      <c r="Z352" s="721"/>
      <c r="AA352" s="74"/>
      <c r="AD352" s="646"/>
      <c r="AE352" s="124"/>
      <c r="AH352" s="646"/>
      <c r="AI352" s="74"/>
      <c r="AL352" s="646"/>
      <c r="AM352" s="74"/>
      <c r="AP352" s="646"/>
      <c r="AQ352" s="74"/>
      <c r="AU352" s="723"/>
    </row>
    <row r="353" spans="2:47" s="123" customFormat="1">
      <c r="B353" s="125"/>
      <c r="D353" s="125"/>
      <c r="H353" s="210"/>
      <c r="J353" s="124"/>
      <c r="K353" s="124"/>
      <c r="L353" s="124"/>
      <c r="Z353" s="721"/>
      <c r="AA353" s="74"/>
      <c r="AD353" s="646"/>
      <c r="AE353" s="124"/>
      <c r="AH353" s="646"/>
      <c r="AI353" s="74"/>
      <c r="AL353" s="646"/>
      <c r="AM353" s="74"/>
      <c r="AP353" s="646"/>
      <c r="AQ353" s="74"/>
      <c r="AU353" s="723"/>
    </row>
    <row r="354" spans="2:47" s="123" customFormat="1">
      <c r="B354" s="125"/>
      <c r="D354" s="125"/>
      <c r="H354" s="210"/>
      <c r="J354" s="124"/>
      <c r="K354" s="124"/>
      <c r="L354" s="124"/>
      <c r="Z354" s="721"/>
      <c r="AA354" s="74"/>
      <c r="AD354" s="646"/>
      <c r="AE354" s="124"/>
      <c r="AH354" s="646"/>
      <c r="AI354" s="74"/>
      <c r="AL354" s="646"/>
      <c r="AM354" s="74"/>
      <c r="AP354" s="646"/>
      <c r="AQ354" s="74"/>
      <c r="AU354" s="723"/>
    </row>
    <row r="355" spans="2:47" s="123" customFormat="1">
      <c r="B355" s="125"/>
      <c r="D355" s="125"/>
      <c r="H355" s="210"/>
      <c r="J355" s="124"/>
      <c r="K355" s="124"/>
      <c r="L355" s="124"/>
      <c r="Z355" s="721"/>
      <c r="AA355" s="74"/>
      <c r="AD355" s="646"/>
      <c r="AE355" s="124"/>
      <c r="AH355" s="646"/>
      <c r="AI355" s="74"/>
      <c r="AL355" s="646"/>
      <c r="AM355" s="74"/>
      <c r="AP355" s="646"/>
      <c r="AQ355" s="74"/>
      <c r="AU355" s="723"/>
    </row>
    <row r="356" spans="2:47" s="123" customFormat="1">
      <c r="B356" s="125"/>
      <c r="D356" s="125"/>
      <c r="H356" s="210"/>
      <c r="J356" s="124"/>
      <c r="K356" s="124"/>
      <c r="L356" s="124"/>
      <c r="Z356" s="721"/>
      <c r="AA356" s="74"/>
      <c r="AD356" s="646"/>
      <c r="AE356" s="124"/>
      <c r="AH356" s="646"/>
      <c r="AI356" s="74"/>
      <c r="AL356" s="646"/>
      <c r="AM356" s="74"/>
      <c r="AP356" s="646"/>
      <c r="AQ356" s="74"/>
      <c r="AU356" s="723"/>
    </row>
    <row r="357" spans="2:47" s="123" customFormat="1">
      <c r="B357" s="125"/>
      <c r="D357" s="125"/>
      <c r="H357" s="210"/>
      <c r="J357" s="124"/>
      <c r="K357" s="124"/>
      <c r="L357" s="124"/>
      <c r="Z357" s="721"/>
      <c r="AA357" s="74"/>
      <c r="AD357" s="646"/>
      <c r="AE357" s="124"/>
      <c r="AH357" s="646"/>
      <c r="AI357" s="74"/>
      <c r="AL357" s="646"/>
      <c r="AM357" s="74"/>
      <c r="AP357" s="646"/>
      <c r="AQ357" s="74"/>
      <c r="AU357" s="723"/>
    </row>
    <row r="358" spans="2:47" s="123" customFormat="1">
      <c r="B358" s="125"/>
      <c r="D358" s="125"/>
      <c r="H358" s="210"/>
      <c r="J358" s="124"/>
      <c r="K358" s="124"/>
      <c r="L358" s="124"/>
      <c r="Z358" s="721"/>
      <c r="AA358" s="74"/>
      <c r="AD358" s="646"/>
      <c r="AE358" s="124"/>
      <c r="AH358" s="646"/>
      <c r="AI358" s="74"/>
      <c r="AL358" s="646"/>
      <c r="AM358" s="74"/>
      <c r="AP358" s="646"/>
      <c r="AQ358" s="74"/>
      <c r="AU358" s="723"/>
    </row>
    <row r="359" spans="2:47" s="123" customFormat="1">
      <c r="B359" s="125"/>
      <c r="D359" s="125"/>
      <c r="H359" s="210"/>
      <c r="J359" s="124"/>
      <c r="K359" s="124"/>
      <c r="L359" s="124"/>
      <c r="Z359" s="721"/>
      <c r="AA359" s="74"/>
      <c r="AD359" s="646"/>
      <c r="AE359" s="124"/>
      <c r="AH359" s="646"/>
      <c r="AI359" s="74"/>
      <c r="AL359" s="646"/>
      <c r="AM359" s="74"/>
      <c r="AP359" s="646"/>
      <c r="AQ359" s="74"/>
      <c r="AU359" s="723"/>
    </row>
    <row r="360" spans="2:47" s="123" customFormat="1">
      <c r="B360" s="125"/>
      <c r="D360" s="125"/>
      <c r="H360" s="210"/>
      <c r="J360" s="124"/>
      <c r="K360" s="124"/>
      <c r="L360" s="124"/>
      <c r="Z360" s="721"/>
      <c r="AA360" s="74"/>
      <c r="AD360" s="646"/>
      <c r="AE360" s="124"/>
      <c r="AH360" s="646"/>
      <c r="AI360" s="74"/>
      <c r="AL360" s="646"/>
      <c r="AM360" s="74"/>
      <c r="AP360" s="646"/>
      <c r="AQ360" s="74"/>
      <c r="AU360" s="723"/>
    </row>
    <row r="361" spans="2:47" s="123" customFormat="1">
      <c r="B361" s="125"/>
      <c r="D361" s="125"/>
      <c r="H361" s="210"/>
      <c r="J361" s="124"/>
      <c r="K361" s="124"/>
      <c r="L361" s="124"/>
      <c r="Z361" s="721"/>
      <c r="AA361" s="74"/>
      <c r="AD361" s="646"/>
      <c r="AE361" s="124"/>
      <c r="AH361" s="646"/>
      <c r="AI361" s="74"/>
      <c r="AL361" s="646"/>
      <c r="AM361" s="74"/>
      <c r="AP361" s="646"/>
      <c r="AQ361" s="74"/>
      <c r="AU361" s="723"/>
    </row>
    <row r="362" spans="2:47" s="123" customFormat="1">
      <c r="B362" s="125"/>
      <c r="D362" s="125"/>
      <c r="H362" s="210"/>
      <c r="J362" s="124"/>
      <c r="K362" s="124"/>
      <c r="L362" s="124"/>
      <c r="Z362" s="721"/>
      <c r="AA362" s="74"/>
      <c r="AD362" s="646"/>
      <c r="AE362" s="124"/>
      <c r="AH362" s="646"/>
      <c r="AI362" s="74"/>
      <c r="AL362" s="646"/>
      <c r="AM362" s="74"/>
      <c r="AP362" s="646"/>
      <c r="AQ362" s="74"/>
      <c r="AU362" s="723"/>
    </row>
    <row r="363" spans="2:47" s="123" customFormat="1">
      <c r="B363" s="125"/>
      <c r="D363" s="125"/>
      <c r="H363" s="210"/>
      <c r="J363" s="124"/>
      <c r="K363" s="124"/>
      <c r="L363" s="124"/>
      <c r="Z363" s="721"/>
      <c r="AA363" s="74"/>
      <c r="AD363" s="646"/>
      <c r="AE363" s="124"/>
      <c r="AH363" s="646"/>
      <c r="AI363" s="74"/>
      <c r="AL363" s="646"/>
      <c r="AM363" s="74"/>
      <c r="AP363" s="646"/>
      <c r="AQ363" s="74"/>
      <c r="AU363" s="723"/>
    </row>
    <row r="364" spans="2:47" s="123" customFormat="1">
      <c r="B364" s="125"/>
      <c r="D364" s="125"/>
      <c r="H364" s="210"/>
      <c r="J364" s="124"/>
      <c r="K364" s="124"/>
      <c r="L364" s="124"/>
      <c r="Z364" s="721"/>
      <c r="AA364" s="74"/>
      <c r="AD364" s="646"/>
      <c r="AE364" s="124"/>
      <c r="AH364" s="646"/>
      <c r="AI364" s="74"/>
      <c r="AL364" s="646"/>
      <c r="AM364" s="74"/>
      <c r="AP364" s="646"/>
      <c r="AQ364" s="74"/>
      <c r="AU364" s="723"/>
    </row>
    <row r="365" spans="2:47" s="123" customFormat="1">
      <c r="B365" s="125"/>
      <c r="D365" s="125"/>
      <c r="H365" s="210"/>
      <c r="J365" s="124"/>
      <c r="K365" s="124"/>
      <c r="L365" s="124"/>
      <c r="Z365" s="721"/>
      <c r="AA365" s="74"/>
      <c r="AD365" s="646"/>
      <c r="AE365" s="124"/>
      <c r="AH365" s="646"/>
      <c r="AI365" s="74"/>
      <c r="AL365" s="646"/>
      <c r="AM365" s="74"/>
      <c r="AP365" s="646"/>
      <c r="AQ365" s="74"/>
      <c r="AU365" s="723"/>
    </row>
    <row r="366" spans="2:47" s="123" customFormat="1">
      <c r="B366" s="125"/>
      <c r="D366" s="125"/>
      <c r="H366" s="210"/>
      <c r="J366" s="124"/>
      <c r="K366" s="124"/>
      <c r="L366" s="124"/>
      <c r="Z366" s="721"/>
      <c r="AA366" s="74"/>
      <c r="AD366" s="646"/>
      <c r="AE366" s="124"/>
      <c r="AH366" s="646"/>
      <c r="AI366" s="74"/>
      <c r="AL366" s="646"/>
      <c r="AM366" s="74"/>
      <c r="AP366" s="646"/>
      <c r="AQ366" s="74"/>
      <c r="AU366" s="723"/>
    </row>
    <row r="367" spans="2:47" s="123" customFormat="1">
      <c r="B367" s="125"/>
      <c r="D367" s="125"/>
      <c r="H367" s="210"/>
      <c r="J367" s="124"/>
      <c r="K367" s="124"/>
      <c r="L367" s="124"/>
      <c r="Z367" s="721"/>
      <c r="AA367" s="74"/>
      <c r="AD367" s="646"/>
      <c r="AE367" s="124"/>
      <c r="AH367" s="646"/>
      <c r="AI367" s="74"/>
      <c r="AL367" s="646"/>
      <c r="AM367" s="74"/>
      <c r="AP367" s="646"/>
      <c r="AQ367" s="74"/>
      <c r="AU367" s="723"/>
    </row>
    <row r="368" spans="2:47" s="123" customFormat="1">
      <c r="B368" s="125"/>
      <c r="D368" s="125"/>
      <c r="H368" s="210"/>
      <c r="J368" s="124"/>
      <c r="K368" s="124"/>
      <c r="L368" s="124"/>
      <c r="Z368" s="721"/>
      <c r="AA368" s="74"/>
      <c r="AD368" s="646"/>
      <c r="AE368" s="124"/>
      <c r="AH368" s="646"/>
      <c r="AI368" s="74"/>
      <c r="AL368" s="646"/>
      <c r="AM368" s="74"/>
      <c r="AP368" s="646"/>
      <c r="AQ368" s="74"/>
      <c r="AU368" s="723"/>
    </row>
    <row r="369" spans="2:47" s="123" customFormat="1">
      <c r="B369" s="125"/>
      <c r="D369" s="125"/>
      <c r="H369" s="210"/>
      <c r="J369" s="124"/>
      <c r="K369" s="124"/>
      <c r="L369" s="124"/>
      <c r="Z369" s="721"/>
      <c r="AA369" s="74"/>
      <c r="AD369" s="646"/>
      <c r="AE369" s="124"/>
      <c r="AH369" s="646"/>
      <c r="AI369" s="74"/>
      <c r="AL369" s="646"/>
      <c r="AM369" s="74"/>
      <c r="AP369" s="646"/>
      <c r="AQ369" s="74"/>
      <c r="AU369" s="723"/>
    </row>
    <row r="370" spans="2:47" s="123" customFormat="1">
      <c r="B370" s="125"/>
      <c r="D370" s="125"/>
      <c r="H370" s="210"/>
      <c r="J370" s="124"/>
      <c r="K370" s="124"/>
      <c r="L370" s="124"/>
      <c r="Z370" s="721"/>
      <c r="AA370" s="74"/>
      <c r="AD370" s="646"/>
      <c r="AE370" s="124"/>
      <c r="AH370" s="646"/>
      <c r="AI370" s="74"/>
      <c r="AL370" s="646"/>
      <c r="AM370" s="74"/>
      <c r="AP370" s="646"/>
      <c r="AQ370" s="74"/>
      <c r="AU370" s="723"/>
    </row>
    <row r="371" spans="2:47" s="123" customFormat="1">
      <c r="B371" s="125"/>
      <c r="D371" s="125"/>
      <c r="H371" s="210"/>
      <c r="J371" s="124"/>
      <c r="K371" s="124"/>
      <c r="L371" s="124"/>
      <c r="Z371" s="721"/>
      <c r="AA371" s="74"/>
      <c r="AD371" s="646"/>
      <c r="AE371" s="124"/>
      <c r="AH371" s="646"/>
      <c r="AI371" s="74"/>
      <c r="AL371" s="646"/>
      <c r="AM371" s="74"/>
      <c r="AP371" s="646"/>
      <c r="AQ371" s="74"/>
      <c r="AU371" s="723"/>
    </row>
    <row r="372" spans="2:47" s="123" customFormat="1">
      <c r="B372" s="125"/>
      <c r="D372" s="125"/>
      <c r="H372" s="210"/>
      <c r="J372" s="124"/>
      <c r="K372" s="124"/>
      <c r="L372" s="124"/>
      <c r="Z372" s="721"/>
      <c r="AA372" s="74"/>
      <c r="AD372" s="646"/>
      <c r="AE372" s="124"/>
      <c r="AH372" s="646"/>
      <c r="AI372" s="74"/>
      <c r="AL372" s="646"/>
      <c r="AM372" s="74"/>
      <c r="AP372" s="646"/>
      <c r="AQ372" s="74"/>
      <c r="AU372" s="723"/>
    </row>
    <row r="373" spans="2:47" s="123" customFormat="1">
      <c r="B373" s="125"/>
      <c r="D373" s="125"/>
      <c r="H373" s="210"/>
      <c r="J373" s="124"/>
      <c r="K373" s="124"/>
      <c r="L373" s="124"/>
      <c r="Z373" s="721"/>
      <c r="AA373" s="74"/>
      <c r="AD373" s="646"/>
      <c r="AE373" s="124"/>
      <c r="AH373" s="646"/>
      <c r="AI373" s="74"/>
      <c r="AL373" s="646"/>
      <c r="AM373" s="74"/>
      <c r="AP373" s="646"/>
      <c r="AQ373" s="74"/>
      <c r="AU373" s="723"/>
    </row>
    <row r="374" spans="2:47" s="123" customFormat="1">
      <c r="B374" s="125"/>
      <c r="D374" s="125"/>
      <c r="H374" s="210"/>
      <c r="J374" s="124"/>
      <c r="K374" s="124"/>
      <c r="L374" s="124"/>
      <c r="Z374" s="721"/>
      <c r="AA374" s="74"/>
      <c r="AD374" s="646"/>
      <c r="AE374" s="124"/>
      <c r="AH374" s="646"/>
      <c r="AI374" s="74"/>
      <c r="AL374" s="646"/>
      <c r="AM374" s="74"/>
      <c r="AP374" s="646"/>
      <c r="AQ374" s="74"/>
      <c r="AU374" s="723"/>
    </row>
    <row r="375" spans="2:47" s="123" customFormat="1">
      <c r="B375" s="125"/>
      <c r="D375" s="125"/>
      <c r="H375" s="210"/>
      <c r="J375" s="124"/>
      <c r="K375" s="124"/>
      <c r="L375" s="124"/>
      <c r="Z375" s="721"/>
      <c r="AA375" s="74"/>
      <c r="AD375" s="646"/>
      <c r="AE375" s="124"/>
      <c r="AH375" s="646"/>
      <c r="AI375" s="74"/>
      <c r="AL375" s="646"/>
      <c r="AM375" s="74"/>
      <c r="AP375" s="646"/>
      <c r="AQ375" s="74"/>
      <c r="AU375" s="723"/>
    </row>
    <row r="376" spans="2:47" s="123" customFormat="1">
      <c r="B376" s="125"/>
      <c r="D376" s="125"/>
      <c r="H376" s="210"/>
      <c r="J376" s="124"/>
      <c r="K376" s="124"/>
      <c r="L376" s="124"/>
      <c r="Z376" s="721"/>
      <c r="AA376" s="74"/>
      <c r="AD376" s="646"/>
      <c r="AE376" s="124"/>
      <c r="AH376" s="646"/>
      <c r="AI376" s="74"/>
      <c r="AL376" s="646"/>
      <c r="AM376" s="74"/>
      <c r="AP376" s="646"/>
      <c r="AQ376" s="74"/>
      <c r="AU376" s="723"/>
    </row>
    <row r="377" spans="2:47" s="123" customFormat="1">
      <c r="B377" s="125"/>
      <c r="D377" s="125"/>
      <c r="H377" s="210"/>
      <c r="J377" s="124"/>
      <c r="K377" s="124"/>
      <c r="L377" s="124"/>
      <c r="Z377" s="721"/>
      <c r="AA377" s="74"/>
      <c r="AD377" s="646"/>
      <c r="AE377" s="124"/>
      <c r="AH377" s="646"/>
      <c r="AI377" s="74"/>
      <c r="AL377" s="646"/>
      <c r="AM377" s="74"/>
      <c r="AP377" s="646"/>
      <c r="AQ377" s="74"/>
      <c r="AU377" s="723"/>
    </row>
    <row r="378" spans="2:47" s="123" customFormat="1">
      <c r="B378" s="125"/>
      <c r="D378" s="125"/>
      <c r="H378" s="210"/>
      <c r="J378" s="124"/>
      <c r="K378" s="124"/>
      <c r="L378" s="124"/>
      <c r="Z378" s="721"/>
      <c r="AA378" s="74"/>
      <c r="AD378" s="646"/>
      <c r="AE378" s="124"/>
      <c r="AH378" s="646"/>
      <c r="AI378" s="74"/>
      <c r="AL378" s="646"/>
      <c r="AM378" s="74"/>
      <c r="AP378" s="646"/>
      <c r="AQ378" s="74"/>
      <c r="AU378" s="723"/>
    </row>
  </sheetData>
  <mergeCells count="16">
    <mergeCell ref="B8:AC8"/>
    <mergeCell ref="B1:AC2"/>
    <mergeCell ref="B3:AC4"/>
    <mergeCell ref="B5:AC5"/>
    <mergeCell ref="B6:AC6"/>
    <mergeCell ref="B7:AC7"/>
    <mergeCell ref="AT14:AU14"/>
    <mergeCell ref="B166:I166"/>
    <mergeCell ref="B167:E167"/>
    <mergeCell ref="B168:AC168"/>
    <mergeCell ref="B9:AC10"/>
    <mergeCell ref="Z14:AC14"/>
    <mergeCell ref="AD14:AG14"/>
    <mergeCell ref="AH14:AK14"/>
    <mergeCell ref="AL14:AO14"/>
    <mergeCell ref="AP14:AS14"/>
  </mergeCells>
  <conditionalFormatting sqref="D165">
    <cfRule type="duplicateValues" dxfId="26" priority="22"/>
  </conditionalFormatting>
  <conditionalFormatting sqref="D40:D76">
    <cfRule type="duplicateValues" dxfId="25" priority="20"/>
  </conditionalFormatting>
  <conditionalFormatting sqref="D40:D76">
    <cfRule type="duplicateValues" dxfId="24" priority="21"/>
  </conditionalFormatting>
  <conditionalFormatting sqref="D18:D39">
    <cfRule type="duplicateValues" dxfId="23" priority="18"/>
  </conditionalFormatting>
  <conditionalFormatting sqref="D18:D39">
    <cfRule type="duplicateValues" dxfId="22" priority="19"/>
  </conditionalFormatting>
  <conditionalFormatting sqref="D163:D164 D88">
    <cfRule type="duplicateValues" dxfId="21" priority="17"/>
  </conditionalFormatting>
  <conditionalFormatting sqref="D91:D101">
    <cfRule type="duplicateValues" dxfId="20" priority="15"/>
  </conditionalFormatting>
  <conditionalFormatting sqref="D91:D101">
    <cfRule type="duplicateValues" dxfId="19" priority="16"/>
  </conditionalFormatting>
  <conditionalFormatting sqref="D102:D108 D162">
    <cfRule type="duplicateValues" dxfId="18" priority="13"/>
  </conditionalFormatting>
  <conditionalFormatting sqref="D102:D108">
    <cfRule type="duplicateValues" dxfId="17" priority="14"/>
  </conditionalFormatting>
  <conditionalFormatting sqref="D109:D118">
    <cfRule type="duplicateValues" dxfId="16" priority="11"/>
  </conditionalFormatting>
  <conditionalFormatting sqref="D109:D118">
    <cfRule type="duplicateValues" dxfId="15" priority="12"/>
  </conditionalFormatting>
  <conditionalFormatting sqref="D119:D129">
    <cfRule type="duplicateValues" dxfId="14" priority="9"/>
  </conditionalFormatting>
  <conditionalFormatting sqref="D119:D129">
    <cfRule type="duplicateValues" dxfId="13" priority="10"/>
  </conditionalFormatting>
  <conditionalFormatting sqref="D130:D137">
    <cfRule type="duplicateValues" dxfId="12" priority="7"/>
  </conditionalFormatting>
  <conditionalFormatting sqref="D130:D137">
    <cfRule type="duplicateValues" dxfId="11" priority="8"/>
  </conditionalFormatting>
  <conditionalFormatting sqref="D138:D147">
    <cfRule type="duplicateValues" dxfId="10" priority="5"/>
  </conditionalFormatting>
  <conditionalFormatting sqref="D138:D147">
    <cfRule type="duplicateValues" dxfId="9" priority="6"/>
  </conditionalFormatting>
  <conditionalFormatting sqref="D148:D158">
    <cfRule type="duplicateValues" dxfId="8" priority="3"/>
  </conditionalFormatting>
  <conditionalFormatting sqref="D148:D158">
    <cfRule type="duplicateValues" dxfId="7" priority="4"/>
  </conditionalFormatting>
  <conditionalFormatting sqref="D159:D161">
    <cfRule type="duplicateValues" dxfId="6" priority="1"/>
  </conditionalFormatting>
  <conditionalFormatting sqref="D159:D161">
    <cfRule type="duplicateValues" dxfId="5" priority="2"/>
  </conditionalFormatting>
  <conditionalFormatting sqref="D77:D78">
    <cfRule type="duplicateValues" dxfId="4" priority="23"/>
  </conditionalFormatting>
  <conditionalFormatting sqref="D79:D82">
    <cfRule type="duplicateValues" dxfId="3" priority="24"/>
  </conditionalFormatting>
  <conditionalFormatting sqref="D89:D90">
    <cfRule type="duplicateValues" dxfId="2" priority="25"/>
  </conditionalFormatting>
  <conditionalFormatting sqref="D88">
    <cfRule type="duplicateValues" dxfId="1" priority="26"/>
  </conditionalFormatting>
  <conditionalFormatting sqref="D83:D87">
    <cfRule type="duplicateValues" dxfId="0" priority="27"/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119"/>
  <sheetViews>
    <sheetView topLeftCell="A9" workbookViewId="0">
      <selection activeCell="B9" sqref="B9:AC10"/>
    </sheetView>
  </sheetViews>
  <sheetFormatPr baseColWidth="10" defaultRowHeight="11.25"/>
  <cols>
    <col min="1" max="1" width="5" style="147" customWidth="1"/>
    <col min="2" max="2" width="9.85546875" style="157" bestFit="1" customWidth="1"/>
    <col min="3" max="3" width="9.85546875" style="147" customWidth="1"/>
    <col min="4" max="4" width="11.42578125" style="157" customWidth="1"/>
    <col min="5" max="5" width="33.85546875" style="147" customWidth="1"/>
    <col min="6" max="6" width="13.140625" style="147" customWidth="1"/>
    <col min="7" max="7" width="15.140625" style="147" customWidth="1"/>
    <col min="8" max="8" width="18.85546875" style="147" customWidth="1"/>
    <col min="9" max="9" width="11.42578125" style="147" customWidth="1"/>
    <col min="10" max="10" width="11.28515625" style="147" customWidth="1"/>
    <col min="11" max="25" width="12" style="147" customWidth="1"/>
    <col min="26" max="26" width="13.140625" style="147" customWidth="1"/>
    <col min="27" max="27" width="12" style="153" customWidth="1"/>
    <col min="28" max="28" width="10.7109375" style="147" customWidth="1"/>
    <col min="29" max="29" width="11" style="147" customWidth="1"/>
    <col min="30" max="30" width="11.42578125" style="147" customWidth="1"/>
    <col min="31" max="31" width="12.28515625" style="152" customWidth="1"/>
    <col min="32" max="34" width="10.140625" style="147" customWidth="1"/>
    <col min="35" max="35" width="11" style="153" customWidth="1"/>
    <col min="36" max="37" width="10.140625" style="147" customWidth="1"/>
    <col min="38" max="38" width="11.85546875" style="147" customWidth="1"/>
    <col min="39" max="39" width="11.140625" style="153" customWidth="1"/>
    <col min="40" max="40" width="11.28515625" style="147" customWidth="1"/>
    <col min="41" max="42" width="10.140625" style="147" customWidth="1"/>
    <col min="43" max="43" width="12.140625" style="153" customWidth="1"/>
    <col min="44" max="44" width="12.140625" style="147" customWidth="1"/>
    <col min="45" max="45" width="10.140625" style="147" customWidth="1"/>
    <col min="46" max="16384" width="11.42578125" style="147"/>
  </cols>
  <sheetData>
    <row r="1" spans="2:47" hidden="1">
      <c r="B1" s="143"/>
      <c r="C1" s="143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5"/>
      <c r="AF1" s="144"/>
      <c r="AG1" s="144"/>
      <c r="AH1" s="144"/>
      <c r="AI1" s="146"/>
      <c r="AJ1" s="144"/>
      <c r="AK1" s="144"/>
      <c r="AL1" s="144"/>
      <c r="AM1" s="146"/>
      <c r="AN1" s="144"/>
      <c r="AO1" s="144"/>
      <c r="AP1" s="144"/>
      <c r="AQ1" s="146"/>
      <c r="AR1" s="144"/>
      <c r="AS1" s="144"/>
    </row>
    <row r="2" spans="2:47" hidden="1"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5"/>
      <c r="AF2" s="144"/>
      <c r="AG2" s="144"/>
      <c r="AH2" s="144"/>
      <c r="AI2" s="146"/>
      <c r="AJ2" s="144"/>
      <c r="AK2" s="144"/>
      <c r="AL2" s="144"/>
      <c r="AM2" s="146"/>
      <c r="AN2" s="144"/>
      <c r="AO2" s="144"/>
      <c r="AP2" s="144"/>
      <c r="AQ2" s="146"/>
      <c r="AR2" s="144"/>
      <c r="AS2" s="144"/>
    </row>
    <row r="3" spans="2:47" ht="12.75" hidden="1" customHeight="1"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9"/>
      <c r="AF3" s="148"/>
      <c r="AG3" s="148"/>
      <c r="AH3" s="148"/>
      <c r="AI3" s="150"/>
      <c r="AJ3" s="148"/>
      <c r="AK3" s="148"/>
      <c r="AL3" s="148"/>
      <c r="AM3" s="150"/>
      <c r="AN3" s="148"/>
      <c r="AO3" s="148"/>
      <c r="AP3" s="148"/>
      <c r="AQ3" s="150"/>
      <c r="AR3" s="148"/>
      <c r="AS3" s="148"/>
    </row>
    <row r="4" spans="2:47" ht="21.75" hidden="1" customHeight="1"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9"/>
      <c r="AF4" s="148"/>
      <c r="AG4" s="148"/>
      <c r="AH4" s="148"/>
      <c r="AI4" s="150"/>
      <c r="AJ4" s="148"/>
      <c r="AK4" s="148"/>
      <c r="AL4" s="148"/>
      <c r="AM4" s="150"/>
      <c r="AN4" s="148"/>
      <c r="AO4" s="148"/>
      <c r="AP4" s="148"/>
      <c r="AQ4" s="150"/>
      <c r="AR4" s="148"/>
      <c r="AS4" s="148"/>
    </row>
    <row r="5" spans="2:47" ht="11.25" hidden="1" customHeight="1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9"/>
      <c r="AF5" s="148"/>
      <c r="AG5" s="148"/>
      <c r="AH5" s="148"/>
      <c r="AI5" s="150"/>
      <c r="AJ5" s="148"/>
      <c r="AK5" s="148"/>
      <c r="AL5" s="148"/>
      <c r="AM5" s="150"/>
      <c r="AN5" s="148"/>
      <c r="AO5" s="148"/>
      <c r="AP5" s="148"/>
      <c r="AQ5" s="150"/>
      <c r="AR5" s="148"/>
      <c r="AS5" s="148"/>
    </row>
    <row r="6" spans="2:47" ht="15" hidden="1" customHeight="1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9"/>
      <c r="AF6" s="148"/>
      <c r="AG6" s="148"/>
      <c r="AH6" s="148"/>
      <c r="AI6" s="150"/>
      <c r="AJ6" s="148"/>
      <c r="AK6" s="148"/>
      <c r="AL6" s="148"/>
      <c r="AM6" s="150"/>
      <c r="AN6" s="148"/>
      <c r="AO6" s="148"/>
      <c r="AP6" s="148"/>
      <c r="AQ6" s="150"/>
      <c r="AR6" s="148"/>
      <c r="AS6" s="148"/>
    </row>
    <row r="7" spans="2:47" ht="21" hidden="1" customHeight="1"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9"/>
      <c r="AF7" s="148"/>
      <c r="AG7" s="148"/>
      <c r="AH7" s="148"/>
      <c r="AI7" s="150"/>
      <c r="AJ7" s="148"/>
      <c r="AK7" s="148"/>
      <c r="AL7" s="148"/>
      <c r="AM7" s="150"/>
      <c r="AN7" s="148"/>
      <c r="AO7" s="148"/>
      <c r="AP7" s="148"/>
      <c r="AQ7" s="150"/>
      <c r="AR7" s="148"/>
      <c r="AS7" s="148"/>
    </row>
    <row r="8" spans="2:47" ht="16.5" hidden="1" customHeight="1"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9"/>
      <c r="AF8" s="148"/>
      <c r="AG8" s="148"/>
      <c r="AH8" s="148"/>
      <c r="AI8" s="150"/>
      <c r="AJ8" s="148"/>
      <c r="AK8" s="148"/>
      <c r="AL8" s="148"/>
      <c r="AM8" s="150"/>
      <c r="AN8" s="148"/>
      <c r="AO8" s="148"/>
      <c r="AP8" s="148"/>
      <c r="AQ8" s="150"/>
      <c r="AR8" s="148"/>
      <c r="AS8" s="148"/>
    </row>
    <row r="9" spans="2:47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148"/>
      <c r="AE9" s="149"/>
      <c r="AF9" s="148"/>
      <c r="AG9" s="148"/>
      <c r="AH9" s="148"/>
      <c r="AI9" s="150"/>
      <c r="AJ9" s="148"/>
      <c r="AK9" s="148"/>
      <c r="AL9" s="148"/>
      <c r="AM9" s="150"/>
      <c r="AN9" s="148"/>
      <c r="AO9" s="148"/>
      <c r="AP9" s="148"/>
      <c r="AQ9" s="150"/>
      <c r="AR9" s="148"/>
      <c r="AS9" s="148"/>
    </row>
    <row r="10" spans="2:47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</row>
    <row r="11" spans="2:47" ht="18.75"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</row>
    <row r="12" spans="2:47" ht="22.5">
      <c r="B12" s="4" t="s">
        <v>1</v>
      </c>
      <c r="C12" s="4" t="s">
        <v>2</v>
      </c>
      <c r="D12" s="5" t="s">
        <v>3</v>
      </c>
      <c r="E12" s="6" t="s">
        <v>4</v>
      </c>
      <c r="F12" s="154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</row>
    <row r="13" spans="2:47" ht="18.75">
      <c r="B13" s="8">
        <v>55539505</v>
      </c>
      <c r="C13" s="8">
        <v>30951072</v>
      </c>
      <c r="D13" s="8">
        <v>30951072</v>
      </c>
      <c r="E13" s="8">
        <f>+Y94</f>
        <v>13158867.902000001</v>
      </c>
      <c r="F13" s="155"/>
      <c r="G13" s="156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</row>
    <row r="14" spans="2:47" ht="25.5" customHeight="1">
      <c r="C14" s="158"/>
      <c r="D14" s="159"/>
      <c r="E14" s="158"/>
      <c r="F14" s="158"/>
      <c r="Z14" s="742" t="s">
        <v>5</v>
      </c>
      <c r="AA14" s="743"/>
      <c r="AB14" s="743"/>
      <c r="AC14" s="744"/>
      <c r="AD14" s="745" t="s">
        <v>6</v>
      </c>
      <c r="AE14" s="746"/>
      <c r="AF14" s="746"/>
      <c r="AG14" s="747"/>
      <c r="AH14" s="745" t="s">
        <v>6</v>
      </c>
      <c r="AI14" s="746"/>
      <c r="AJ14" s="746"/>
      <c r="AK14" s="747"/>
      <c r="AL14" s="745" t="s">
        <v>6</v>
      </c>
      <c r="AM14" s="746"/>
      <c r="AN14" s="746"/>
      <c r="AO14" s="747"/>
      <c r="AP14" s="745" t="s">
        <v>6</v>
      </c>
      <c r="AQ14" s="746"/>
      <c r="AR14" s="746"/>
      <c r="AS14" s="747"/>
      <c r="AT14" s="729" t="s">
        <v>7</v>
      </c>
      <c r="AU14" s="729"/>
    </row>
    <row r="15" spans="2:47" s="163" customFormat="1" ht="55.5" customHeight="1">
      <c r="B15" s="11" t="s">
        <v>8</v>
      </c>
      <c r="C15" s="160" t="s">
        <v>9</v>
      </c>
      <c r="D15" s="160" t="s">
        <v>10</v>
      </c>
      <c r="E15" s="12" t="s">
        <v>11</v>
      </c>
      <c r="F15" s="4" t="s">
        <v>12</v>
      </c>
      <c r="G15" s="12" t="s">
        <v>13</v>
      </c>
      <c r="H15" s="4" t="s">
        <v>14</v>
      </c>
      <c r="I15" s="12" t="s">
        <v>15</v>
      </c>
      <c r="J15" s="12" t="s">
        <v>16</v>
      </c>
      <c r="K15" s="161" t="s">
        <v>17</v>
      </c>
      <c r="L15" s="161" t="s">
        <v>18</v>
      </c>
      <c r="M15" s="162" t="s">
        <v>19</v>
      </c>
      <c r="N15" s="162" t="s">
        <v>20</v>
      </c>
      <c r="O15" s="162" t="s">
        <v>21</v>
      </c>
      <c r="P15" s="162" t="s">
        <v>22</v>
      </c>
      <c r="Q15" s="162" t="s">
        <v>23</v>
      </c>
      <c r="R15" s="162" t="s">
        <v>24</v>
      </c>
      <c r="S15" s="162" t="s">
        <v>25</v>
      </c>
      <c r="T15" s="162" t="s">
        <v>26</v>
      </c>
      <c r="U15" s="162" t="s">
        <v>27</v>
      </c>
      <c r="V15" s="162" t="s">
        <v>28</v>
      </c>
      <c r="W15" s="12" t="s">
        <v>29</v>
      </c>
      <c r="X15" s="4" t="s">
        <v>30</v>
      </c>
      <c r="Y15" s="12" t="s">
        <v>31</v>
      </c>
      <c r="Z15" s="16" t="s">
        <v>32</v>
      </c>
      <c r="AA15" s="17" t="s">
        <v>33</v>
      </c>
      <c r="AB15" s="16" t="s">
        <v>34</v>
      </c>
      <c r="AC15" s="16" t="s">
        <v>35</v>
      </c>
      <c r="AD15" s="18" t="s">
        <v>36</v>
      </c>
      <c r="AE15" s="19" t="s">
        <v>33</v>
      </c>
      <c r="AF15" s="18" t="s">
        <v>34</v>
      </c>
      <c r="AG15" s="18" t="s">
        <v>35</v>
      </c>
      <c r="AH15" s="18" t="s">
        <v>36</v>
      </c>
      <c r="AI15" s="19" t="s">
        <v>33</v>
      </c>
      <c r="AJ15" s="18" t="s">
        <v>34</v>
      </c>
      <c r="AK15" s="18" t="s">
        <v>35</v>
      </c>
      <c r="AL15" s="18" t="s">
        <v>36</v>
      </c>
      <c r="AM15" s="19" t="s">
        <v>33</v>
      </c>
      <c r="AN15" s="18" t="s">
        <v>34</v>
      </c>
      <c r="AO15" s="18" t="s">
        <v>35</v>
      </c>
      <c r="AP15" s="18" t="s">
        <v>36</v>
      </c>
      <c r="AQ15" s="19" t="s">
        <v>33</v>
      </c>
      <c r="AR15" s="18" t="s">
        <v>34</v>
      </c>
      <c r="AS15" s="18" t="s">
        <v>35</v>
      </c>
      <c r="AT15" s="20" t="s">
        <v>37</v>
      </c>
      <c r="AU15" s="20" t="s">
        <v>38</v>
      </c>
    </row>
    <row r="16" spans="2:47" s="163" customFormat="1" ht="22.5">
      <c r="B16" s="164">
        <v>1</v>
      </c>
      <c r="C16" s="164" t="s">
        <v>39</v>
      </c>
      <c r="D16" s="165">
        <v>30075677</v>
      </c>
      <c r="E16" s="166" t="s">
        <v>227</v>
      </c>
      <c r="F16" s="166" t="s">
        <v>146</v>
      </c>
      <c r="G16" s="167" t="s">
        <v>228</v>
      </c>
      <c r="H16" s="167" t="s">
        <v>229</v>
      </c>
      <c r="I16" s="168" t="s">
        <v>44</v>
      </c>
      <c r="J16" s="169">
        <v>16591999</v>
      </c>
      <c r="K16" s="170">
        <v>11413</v>
      </c>
      <c r="L16" s="170">
        <v>7663996</v>
      </c>
      <c r="M16" s="170">
        <v>0</v>
      </c>
      <c r="N16" s="170">
        <v>0</v>
      </c>
      <c r="O16" s="170">
        <v>0</v>
      </c>
      <c r="P16" s="170">
        <v>0</v>
      </c>
      <c r="Q16" s="170">
        <v>0</v>
      </c>
      <c r="R16" s="170">
        <v>0</v>
      </c>
      <c r="S16" s="170">
        <v>0</v>
      </c>
      <c r="T16" s="170">
        <v>0</v>
      </c>
      <c r="U16" s="170">
        <v>0</v>
      </c>
      <c r="V16" s="170">
        <v>0</v>
      </c>
      <c r="W16" s="170">
        <v>0</v>
      </c>
      <c r="X16" s="170">
        <v>0</v>
      </c>
      <c r="Y16" s="170">
        <f t="shared" ref="Y16:Y47" si="0">SUM(M16:X16)</f>
        <v>0</v>
      </c>
      <c r="Z16" s="171">
        <v>843200</v>
      </c>
      <c r="AA16" s="172">
        <v>1</v>
      </c>
      <c r="AB16" s="173">
        <v>44201</v>
      </c>
      <c r="AC16" s="174">
        <v>44221</v>
      </c>
      <c r="AD16" s="171"/>
      <c r="AE16" s="175"/>
      <c r="AF16" s="173"/>
      <c r="AG16" s="174"/>
      <c r="AH16" s="171"/>
      <c r="AI16" s="172"/>
      <c r="AJ16" s="173"/>
      <c r="AK16" s="174"/>
      <c r="AL16" s="171"/>
      <c r="AM16" s="172"/>
      <c r="AN16" s="176"/>
      <c r="AO16" s="174"/>
      <c r="AP16" s="171"/>
      <c r="AQ16" s="172"/>
      <c r="AR16" s="176"/>
      <c r="AS16" s="174"/>
      <c r="AT16" s="177">
        <f>+Z16+AD16+AH16+AL16+AP16</f>
        <v>843200</v>
      </c>
      <c r="AU16" s="178">
        <f>+AT16-Y16</f>
        <v>843200</v>
      </c>
    </row>
    <row r="17" spans="2:47" s="163" customFormat="1" ht="22.5">
      <c r="B17" s="164">
        <v>2</v>
      </c>
      <c r="C17" s="164" t="s">
        <v>39</v>
      </c>
      <c r="D17" s="165">
        <v>30076880</v>
      </c>
      <c r="E17" s="166" t="s">
        <v>230</v>
      </c>
      <c r="F17" s="166" t="s">
        <v>231</v>
      </c>
      <c r="G17" s="167" t="s">
        <v>228</v>
      </c>
      <c r="H17" s="167" t="s">
        <v>232</v>
      </c>
      <c r="I17" s="168" t="s">
        <v>44</v>
      </c>
      <c r="J17" s="169">
        <v>85068</v>
      </c>
      <c r="K17" s="170">
        <v>77079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f t="shared" si="0"/>
        <v>0</v>
      </c>
      <c r="Z17" s="171">
        <v>7989</v>
      </c>
      <c r="AA17" s="172">
        <v>1</v>
      </c>
      <c r="AB17" s="173">
        <v>44201</v>
      </c>
      <c r="AC17" s="174">
        <v>44221</v>
      </c>
      <c r="AD17" s="171"/>
      <c r="AE17" s="175"/>
      <c r="AF17" s="173"/>
      <c r="AG17" s="174"/>
      <c r="AH17" s="171"/>
      <c r="AI17" s="172"/>
      <c r="AJ17" s="173"/>
      <c r="AK17" s="174"/>
      <c r="AL17" s="171"/>
      <c r="AM17" s="172"/>
      <c r="AN17" s="176"/>
      <c r="AO17" s="174"/>
      <c r="AP17" s="171"/>
      <c r="AQ17" s="172"/>
      <c r="AR17" s="176"/>
      <c r="AS17" s="174"/>
      <c r="AT17" s="177">
        <f t="shared" ref="AT17:AT80" si="1">+Z17+AD17+AH17+AL17+AP17</f>
        <v>7989</v>
      </c>
      <c r="AU17" s="178">
        <f t="shared" ref="AU17:AU80" si="2">+AT17-Y17</f>
        <v>7989</v>
      </c>
    </row>
    <row r="18" spans="2:47" s="163" customFormat="1" ht="22.5">
      <c r="B18" s="164">
        <v>3</v>
      </c>
      <c r="C18" s="164" t="s">
        <v>39</v>
      </c>
      <c r="D18" s="165">
        <v>30076886</v>
      </c>
      <c r="E18" s="166" t="s">
        <v>233</v>
      </c>
      <c r="F18" s="166" t="s">
        <v>231</v>
      </c>
      <c r="G18" s="167" t="s">
        <v>228</v>
      </c>
      <c r="H18" s="167" t="s">
        <v>234</v>
      </c>
      <c r="I18" s="168" t="s">
        <v>44</v>
      </c>
      <c r="J18" s="169">
        <v>94749</v>
      </c>
      <c r="K18" s="170">
        <v>85851</v>
      </c>
      <c r="L18" s="170">
        <v>0</v>
      </c>
      <c r="M18" s="170">
        <v>0</v>
      </c>
      <c r="N18" s="170">
        <v>0</v>
      </c>
      <c r="O18" s="170">
        <v>0</v>
      </c>
      <c r="P18" s="170">
        <v>0</v>
      </c>
      <c r="Q18" s="170">
        <v>0</v>
      </c>
      <c r="R18" s="170">
        <v>0</v>
      </c>
      <c r="S18" s="170">
        <v>0</v>
      </c>
      <c r="T18" s="170">
        <v>0</v>
      </c>
      <c r="U18" s="170">
        <v>0</v>
      </c>
      <c r="V18" s="170">
        <v>0</v>
      </c>
      <c r="W18" s="170">
        <v>0</v>
      </c>
      <c r="X18" s="170">
        <v>0</v>
      </c>
      <c r="Y18" s="170">
        <f t="shared" si="0"/>
        <v>0</v>
      </c>
      <c r="Z18" s="171">
        <v>8898</v>
      </c>
      <c r="AA18" s="172">
        <v>1</v>
      </c>
      <c r="AB18" s="173">
        <v>44201</v>
      </c>
      <c r="AC18" s="174">
        <v>44221</v>
      </c>
      <c r="AD18" s="179"/>
      <c r="AE18" s="175"/>
      <c r="AF18" s="173"/>
      <c r="AG18" s="174"/>
      <c r="AH18" s="179"/>
      <c r="AI18" s="172"/>
      <c r="AJ18" s="173"/>
      <c r="AK18" s="174"/>
      <c r="AL18" s="179"/>
      <c r="AM18" s="172"/>
      <c r="AN18" s="173"/>
      <c r="AO18" s="174"/>
      <c r="AP18" s="179"/>
      <c r="AQ18" s="172"/>
      <c r="AR18" s="173"/>
      <c r="AS18" s="174"/>
      <c r="AT18" s="177">
        <f t="shared" si="1"/>
        <v>8898</v>
      </c>
      <c r="AU18" s="178">
        <f t="shared" si="2"/>
        <v>8898</v>
      </c>
    </row>
    <row r="19" spans="2:47" s="163" customFormat="1" ht="22.5">
      <c r="B19" s="164">
        <v>4</v>
      </c>
      <c r="C19" s="164" t="s">
        <v>39</v>
      </c>
      <c r="D19" s="165">
        <v>30086885</v>
      </c>
      <c r="E19" s="166" t="s">
        <v>235</v>
      </c>
      <c r="F19" s="166" t="s">
        <v>146</v>
      </c>
      <c r="G19" s="167" t="s">
        <v>228</v>
      </c>
      <c r="H19" s="167" t="s">
        <v>236</v>
      </c>
      <c r="I19" s="168" t="s">
        <v>44</v>
      </c>
      <c r="J19" s="169">
        <v>6845779</v>
      </c>
      <c r="K19" s="170">
        <v>6766099</v>
      </c>
      <c r="L19" s="170">
        <v>34022</v>
      </c>
      <c r="M19" s="170">
        <v>0</v>
      </c>
      <c r="N19" s="170">
        <v>0</v>
      </c>
      <c r="O19" s="170">
        <v>0</v>
      </c>
      <c r="P19" s="170">
        <v>0</v>
      </c>
      <c r="Q19" s="170">
        <v>0</v>
      </c>
      <c r="R19" s="170">
        <v>0</v>
      </c>
      <c r="S19" s="170">
        <v>0</v>
      </c>
      <c r="T19" s="170">
        <v>0</v>
      </c>
      <c r="U19" s="170">
        <v>0</v>
      </c>
      <c r="V19" s="170">
        <v>0</v>
      </c>
      <c r="W19" s="170">
        <v>0</v>
      </c>
      <c r="X19" s="170">
        <v>0</v>
      </c>
      <c r="Y19" s="170">
        <f t="shared" si="0"/>
        <v>0</v>
      </c>
      <c r="Z19" s="171">
        <v>79678</v>
      </c>
      <c r="AA19" s="172">
        <v>1</v>
      </c>
      <c r="AB19" s="173">
        <v>44201</v>
      </c>
      <c r="AC19" s="174">
        <v>44221</v>
      </c>
      <c r="AD19" s="171"/>
      <c r="AE19" s="175"/>
      <c r="AF19" s="173"/>
      <c r="AG19" s="174"/>
      <c r="AH19" s="170"/>
      <c r="AI19" s="172"/>
      <c r="AJ19" s="173"/>
      <c r="AK19" s="174"/>
      <c r="AL19" s="170"/>
      <c r="AM19" s="172"/>
      <c r="AN19" s="173"/>
      <c r="AO19" s="174"/>
      <c r="AP19" s="170"/>
      <c r="AQ19" s="172"/>
      <c r="AR19" s="173"/>
      <c r="AS19" s="174"/>
      <c r="AT19" s="177">
        <f t="shared" si="1"/>
        <v>79678</v>
      </c>
      <c r="AU19" s="178">
        <f t="shared" si="2"/>
        <v>79678</v>
      </c>
    </row>
    <row r="20" spans="2:47" s="163" customFormat="1" ht="22.5">
      <c r="B20" s="164">
        <v>5</v>
      </c>
      <c r="C20" s="164" t="s">
        <v>39</v>
      </c>
      <c r="D20" s="165">
        <v>30087356</v>
      </c>
      <c r="E20" s="166" t="s">
        <v>237</v>
      </c>
      <c r="F20" s="166" t="s">
        <v>146</v>
      </c>
      <c r="G20" s="167" t="s">
        <v>228</v>
      </c>
      <c r="H20" s="167" t="s">
        <v>229</v>
      </c>
      <c r="I20" s="168" t="s">
        <v>44</v>
      </c>
      <c r="J20" s="169">
        <v>2527248</v>
      </c>
      <c r="K20" s="170">
        <v>2517925</v>
      </c>
      <c r="L20" s="170">
        <v>9323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f t="shared" si="0"/>
        <v>0</v>
      </c>
      <c r="Z20" s="171">
        <v>9323</v>
      </c>
      <c r="AA20" s="172">
        <v>1</v>
      </c>
      <c r="AB20" s="173">
        <v>44201</v>
      </c>
      <c r="AC20" s="174">
        <v>44221</v>
      </c>
      <c r="AD20" s="171"/>
      <c r="AE20" s="175"/>
      <c r="AF20" s="173"/>
      <c r="AG20" s="174"/>
      <c r="AH20" s="170"/>
      <c r="AI20" s="172"/>
      <c r="AJ20" s="173"/>
      <c r="AK20" s="174"/>
      <c r="AL20" s="170"/>
      <c r="AM20" s="172"/>
      <c r="AN20" s="173"/>
      <c r="AO20" s="174"/>
      <c r="AP20" s="170"/>
      <c r="AQ20" s="172"/>
      <c r="AR20" s="173"/>
      <c r="AS20" s="174"/>
      <c r="AT20" s="177">
        <f t="shared" si="1"/>
        <v>9323</v>
      </c>
      <c r="AU20" s="178">
        <f t="shared" si="2"/>
        <v>9323</v>
      </c>
    </row>
    <row r="21" spans="2:47" s="163" customFormat="1" ht="22.5">
      <c r="B21" s="164">
        <v>6</v>
      </c>
      <c r="C21" s="164" t="s">
        <v>39</v>
      </c>
      <c r="D21" s="165">
        <v>30087369</v>
      </c>
      <c r="E21" s="166" t="s">
        <v>238</v>
      </c>
      <c r="F21" s="166" t="s">
        <v>146</v>
      </c>
      <c r="G21" s="167" t="s">
        <v>228</v>
      </c>
      <c r="H21" s="167" t="s">
        <v>229</v>
      </c>
      <c r="I21" s="168" t="s">
        <v>44</v>
      </c>
      <c r="J21" s="169">
        <v>4322062</v>
      </c>
      <c r="K21" s="170">
        <v>24155</v>
      </c>
      <c r="L21" s="170">
        <v>4297907</v>
      </c>
      <c r="M21" s="170">
        <v>0</v>
      </c>
      <c r="N21" s="170">
        <v>0</v>
      </c>
      <c r="O21" s="170">
        <v>0</v>
      </c>
      <c r="P21" s="170">
        <v>0</v>
      </c>
      <c r="Q21" s="170">
        <v>0</v>
      </c>
      <c r="R21" s="170">
        <v>0</v>
      </c>
      <c r="S21" s="170">
        <v>0</v>
      </c>
      <c r="T21" s="170">
        <v>0</v>
      </c>
      <c r="U21" s="170">
        <v>0</v>
      </c>
      <c r="V21" s="170">
        <v>0</v>
      </c>
      <c r="W21" s="170">
        <v>0</v>
      </c>
      <c r="X21" s="170">
        <v>0</v>
      </c>
      <c r="Y21" s="170">
        <f t="shared" si="0"/>
        <v>0</v>
      </c>
      <c r="Z21" s="171">
        <v>261300</v>
      </c>
      <c r="AA21" s="172">
        <v>1</v>
      </c>
      <c r="AB21" s="173">
        <v>44201</v>
      </c>
      <c r="AC21" s="174">
        <v>44221</v>
      </c>
      <c r="AD21" s="171">
        <v>-261300</v>
      </c>
      <c r="AE21" s="175">
        <v>62</v>
      </c>
      <c r="AF21" s="173">
        <v>44435</v>
      </c>
      <c r="AG21" s="174">
        <v>44452</v>
      </c>
      <c r="AH21" s="170"/>
      <c r="AI21" s="172"/>
      <c r="AJ21" s="173"/>
      <c r="AK21" s="174"/>
      <c r="AL21" s="170"/>
      <c r="AM21" s="172"/>
      <c r="AN21" s="173"/>
      <c r="AO21" s="174"/>
      <c r="AP21" s="170"/>
      <c r="AQ21" s="172"/>
      <c r="AR21" s="173"/>
      <c r="AS21" s="174"/>
      <c r="AT21" s="177">
        <f t="shared" si="1"/>
        <v>0</v>
      </c>
      <c r="AU21" s="178">
        <f t="shared" si="2"/>
        <v>0</v>
      </c>
    </row>
    <row r="22" spans="2:47" s="163" customFormat="1" ht="22.5">
      <c r="B22" s="164">
        <v>7</v>
      </c>
      <c r="C22" s="164" t="s">
        <v>39</v>
      </c>
      <c r="D22" s="165">
        <v>30108045</v>
      </c>
      <c r="E22" s="166" t="s">
        <v>239</v>
      </c>
      <c r="F22" s="166" t="s">
        <v>146</v>
      </c>
      <c r="G22" s="167" t="s">
        <v>228</v>
      </c>
      <c r="H22" s="167" t="s">
        <v>240</v>
      </c>
      <c r="I22" s="168" t="s">
        <v>44</v>
      </c>
      <c r="J22" s="169">
        <v>725127</v>
      </c>
      <c r="K22" s="170">
        <v>642127</v>
      </c>
      <c r="L22" s="170">
        <v>30482</v>
      </c>
      <c r="M22" s="170">
        <v>0</v>
      </c>
      <c r="N22" s="170">
        <v>0</v>
      </c>
      <c r="O22" s="170">
        <v>0</v>
      </c>
      <c r="P22" s="170">
        <f>3090098/1000</f>
        <v>3090.098</v>
      </c>
      <c r="Q22" s="170">
        <v>0</v>
      </c>
      <c r="R22" s="170">
        <v>0</v>
      </c>
      <c r="S22" s="170">
        <v>0</v>
      </c>
      <c r="T22" s="170">
        <v>0</v>
      </c>
      <c r="U22" s="170">
        <v>0</v>
      </c>
      <c r="V22" s="170">
        <v>0</v>
      </c>
      <c r="W22" s="170">
        <v>0</v>
      </c>
      <c r="X22" s="170">
        <v>0</v>
      </c>
      <c r="Y22" s="170">
        <f t="shared" si="0"/>
        <v>3090.098</v>
      </c>
      <c r="Z22" s="171">
        <v>82700</v>
      </c>
      <c r="AA22" s="172">
        <v>1</v>
      </c>
      <c r="AB22" s="173">
        <v>44201</v>
      </c>
      <c r="AC22" s="174">
        <v>44221</v>
      </c>
      <c r="AD22" s="171"/>
      <c r="AE22" s="175"/>
      <c r="AF22" s="173"/>
      <c r="AG22" s="174"/>
      <c r="AH22" s="171"/>
      <c r="AI22" s="172"/>
      <c r="AJ22" s="173"/>
      <c r="AK22" s="174"/>
      <c r="AL22" s="171"/>
      <c r="AM22" s="172"/>
      <c r="AN22" s="176"/>
      <c r="AO22" s="174"/>
      <c r="AP22" s="171"/>
      <c r="AQ22" s="172"/>
      <c r="AR22" s="176"/>
      <c r="AS22" s="174"/>
      <c r="AT22" s="177">
        <f t="shared" si="1"/>
        <v>82700</v>
      </c>
      <c r="AU22" s="178">
        <f t="shared" si="2"/>
        <v>79609.902000000002</v>
      </c>
    </row>
    <row r="23" spans="2:47" s="163" customFormat="1" ht="22.5">
      <c r="B23" s="164">
        <v>8</v>
      </c>
      <c r="C23" s="164" t="s">
        <v>39</v>
      </c>
      <c r="D23" s="165">
        <v>30108048</v>
      </c>
      <c r="E23" s="166" t="s">
        <v>241</v>
      </c>
      <c r="F23" s="166" t="s">
        <v>146</v>
      </c>
      <c r="G23" s="167" t="s">
        <v>228</v>
      </c>
      <c r="H23" s="180" t="s">
        <v>240</v>
      </c>
      <c r="I23" s="168" t="s">
        <v>44</v>
      </c>
      <c r="J23" s="169">
        <v>1459964</v>
      </c>
      <c r="K23" s="170">
        <v>463780</v>
      </c>
      <c r="L23" s="170">
        <v>996184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f t="shared" si="0"/>
        <v>0</v>
      </c>
      <c r="Z23" s="171">
        <v>638833</v>
      </c>
      <c r="AA23" s="172">
        <v>1</v>
      </c>
      <c r="AB23" s="173">
        <v>44201</v>
      </c>
      <c r="AC23" s="174">
        <v>44221</v>
      </c>
      <c r="AD23" s="171">
        <v>-588833</v>
      </c>
      <c r="AE23" s="175">
        <v>35</v>
      </c>
      <c r="AF23" s="173">
        <v>44357</v>
      </c>
      <c r="AG23" s="174">
        <v>44383</v>
      </c>
      <c r="AH23" s="171"/>
      <c r="AI23" s="172"/>
      <c r="AJ23" s="173"/>
      <c r="AK23" s="174"/>
      <c r="AL23" s="171"/>
      <c r="AM23" s="172"/>
      <c r="AN23" s="176"/>
      <c r="AO23" s="174"/>
      <c r="AP23" s="171"/>
      <c r="AQ23" s="172"/>
      <c r="AR23" s="176"/>
      <c r="AS23" s="174"/>
      <c r="AT23" s="177">
        <f t="shared" si="1"/>
        <v>50000</v>
      </c>
      <c r="AU23" s="178">
        <f t="shared" si="2"/>
        <v>50000</v>
      </c>
    </row>
    <row r="24" spans="2:47" s="163" customFormat="1" ht="23.25" customHeight="1">
      <c r="B24" s="164">
        <v>9</v>
      </c>
      <c r="C24" s="164" t="s">
        <v>39</v>
      </c>
      <c r="D24" s="165">
        <v>30116086</v>
      </c>
      <c r="E24" s="166" t="s">
        <v>242</v>
      </c>
      <c r="F24" s="166" t="s">
        <v>146</v>
      </c>
      <c r="G24" s="167" t="s">
        <v>228</v>
      </c>
      <c r="H24" s="180" t="s">
        <v>240</v>
      </c>
      <c r="I24" s="168" t="s">
        <v>44</v>
      </c>
      <c r="J24" s="169">
        <v>1502255</v>
      </c>
      <c r="K24" s="170">
        <v>4532</v>
      </c>
      <c r="L24" s="170">
        <v>1497723</v>
      </c>
      <c r="M24" s="170">
        <v>0</v>
      </c>
      <c r="N24" s="170">
        <v>0</v>
      </c>
      <c r="O24" s="170">
        <v>0</v>
      </c>
      <c r="P24" s="170">
        <v>0</v>
      </c>
      <c r="Q24" s="170">
        <v>0</v>
      </c>
      <c r="R24" s="170">
        <v>0</v>
      </c>
      <c r="S24" s="170">
        <v>0</v>
      </c>
      <c r="T24" s="170">
        <v>0</v>
      </c>
      <c r="U24" s="170">
        <v>0</v>
      </c>
      <c r="V24" s="170">
        <v>0</v>
      </c>
      <c r="W24" s="170">
        <v>0</v>
      </c>
      <c r="X24" s="170">
        <v>0</v>
      </c>
      <c r="Y24" s="170">
        <f t="shared" si="0"/>
        <v>0</v>
      </c>
      <c r="Z24" s="171">
        <v>17503</v>
      </c>
      <c r="AA24" s="172">
        <v>1</v>
      </c>
      <c r="AB24" s="173">
        <v>44201</v>
      </c>
      <c r="AC24" s="174">
        <v>44221</v>
      </c>
      <c r="AD24" s="171"/>
      <c r="AE24" s="175"/>
      <c r="AF24" s="173"/>
      <c r="AG24" s="174"/>
      <c r="AH24" s="171"/>
      <c r="AI24" s="172"/>
      <c r="AJ24" s="173"/>
      <c r="AK24" s="174"/>
      <c r="AL24" s="171"/>
      <c r="AM24" s="172"/>
      <c r="AN24" s="176"/>
      <c r="AO24" s="174"/>
      <c r="AP24" s="171"/>
      <c r="AQ24" s="172"/>
      <c r="AR24" s="176"/>
      <c r="AS24" s="174"/>
      <c r="AT24" s="177">
        <f t="shared" si="1"/>
        <v>17503</v>
      </c>
      <c r="AU24" s="178">
        <f t="shared" si="2"/>
        <v>17503</v>
      </c>
    </row>
    <row r="25" spans="2:47" s="163" customFormat="1" ht="22.5">
      <c r="B25" s="164">
        <v>10</v>
      </c>
      <c r="C25" s="164" t="s">
        <v>39</v>
      </c>
      <c r="D25" s="165">
        <v>30124596</v>
      </c>
      <c r="E25" s="166" t="s">
        <v>243</v>
      </c>
      <c r="F25" s="166" t="s">
        <v>146</v>
      </c>
      <c r="G25" s="167" t="s">
        <v>228</v>
      </c>
      <c r="H25" s="180" t="s">
        <v>229</v>
      </c>
      <c r="I25" s="168" t="s">
        <v>44</v>
      </c>
      <c r="J25" s="169">
        <v>4521414</v>
      </c>
      <c r="K25" s="170">
        <v>424118</v>
      </c>
      <c r="L25" s="170">
        <v>1000000</v>
      </c>
      <c r="M25" s="170">
        <f>62184100/1000</f>
        <v>62184.1</v>
      </c>
      <c r="N25" s="170">
        <f>105432379/1000</f>
        <v>105432.379</v>
      </c>
      <c r="O25" s="170">
        <v>0</v>
      </c>
      <c r="P25" s="170">
        <f>98590171/1000</f>
        <v>98590.171000000002</v>
      </c>
      <c r="Q25" s="170">
        <f>84103353/1000</f>
        <v>84103.353000000003</v>
      </c>
      <c r="R25" s="170">
        <v>0</v>
      </c>
      <c r="S25" s="170">
        <v>0</v>
      </c>
      <c r="T25" s="170">
        <v>0</v>
      </c>
      <c r="U25" s="170">
        <v>0</v>
      </c>
      <c r="V25" s="170">
        <v>0</v>
      </c>
      <c r="W25" s="170">
        <v>0</v>
      </c>
      <c r="X25" s="170">
        <v>0</v>
      </c>
      <c r="Y25" s="170">
        <f t="shared" si="0"/>
        <v>350310.00300000003</v>
      </c>
      <c r="Z25" s="171">
        <v>2383374</v>
      </c>
      <c r="AA25" s="172">
        <v>1</v>
      </c>
      <c r="AB25" s="173">
        <v>44201</v>
      </c>
      <c r="AC25" s="174">
        <v>44221</v>
      </c>
      <c r="AD25" s="171">
        <v>-1000000</v>
      </c>
      <c r="AE25" s="175">
        <v>35</v>
      </c>
      <c r="AF25" s="173">
        <v>44357</v>
      </c>
      <c r="AG25" s="174">
        <v>44383</v>
      </c>
      <c r="AH25" s="171"/>
      <c r="AI25" s="172"/>
      <c r="AJ25" s="173"/>
      <c r="AK25" s="174"/>
      <c r="AL25" s="171"/>
      <c r="AM25" s="172"/>
      <c r="AN25" s="176"/>
      <c r="AO25" s="174"/>
      <c r="AP25" s="171"/>
      <c r="AQ25" s="172"/>
      <c r="AR25" s="176"/>
      <c r="AS25" s="174"/>
      <c r="AT25" s="177">
        <f t="shared" si="1"/>
        <v>1383374</v>
      </c>
      <c r="AU25" s="178">
        <f t="shared" si="2"/>
        <v>1033063.997</v>
      </c>
    </row>
    <row r="26" spans="2:47" s="163" customFormat="1" ht="22.5">
      <c r="B26" s="164">
        <v>11</v>
      </c>
      <c r="C26" s="164" t="s">
        <v>39</v>
      </c>
      <c r="D26" s="165">
        <v>30126588</v>
      </c>
      <c r="E26" s="166" t="s">
        <v>244</v>
      </c>
      <c r="F26" s="166" t="s">
        <v>146</v>
      </c>
      <c r="G26" s="167" t="s">
        <v>228</v>
      </c>
      <c r="H26" s="180" t="s">
        <v>229</v>
      </c>
      <c r="I26" s="168" t="s">
        <v>44</v>
      </c>
      <c r="J26" s="169">
        <v>4367044</v>
      </c>
      <c r="K26" s="170">
        <v>4267162</v>
      </c>
      <c r="L26" s="170">
        <v>99881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f t="shared" si="0"/>
        <v>0</v>
      </c>
      <c r="Z26" s="171">
        <v>1</v>
      </c>
      <c r="AA26" s="172">
        <v>1</v>
      </c>
      <c r="AB26" s="173">
        <v>44201</v>
      </c>
      <c r="AC26" s="174">
        <v>44221</v>
      </c>
      <c r="AD26" s="171"/>
      <c r="AE26" s="175"/>
      <c r="AF26" s="173"/>
      <c r="AG26" s="174"/>
      <c r="AH26" s="171"/>
      <c r="AI26" s="172"/>
      <c r="AJ26" s="173"/>
      <c r="AK26" s="174"/>
      <c r="AL26" s="171"/>
      <c r="AM26" s="172"/>
      <c r="AN26" s="176"/>
      <c r="AO26" s="174"/>
      <c r="AP26" s="171"/>
      <c r="AQ26" s="172"/>
      <c r="AR26" s="176"/>
      <c r="AS26" s="174"/>
      <c r="AT26" s="177">
        <f t="shared" si="1"/>
        <v>1</v>
      </c>
      <c r="AU26" s="178">
        <f t="shared" si="2"/>
        <v>1</v>
      </c>
    </row>
    <row r="27" spans="2:47" s="163" customFormat="1" ht="22.5">
      <c r="B27" s="164">
        <v>12</v>
      </c>
      <c r="C27" s="164" t="s">
        <v>39</v>
      </c>
      <c r="D27" s="165">
        <v>30126599</v>
      </c>
      <c r="E27" s="166" t="s">
        <v>245</v>
      </c>
      <c r="F27" s="166" t="s">
        <v>146</v>
      </c>
      <c r="G27" s="167" t="s">
        <v>228</v>
      </c>
      <c r="H27" s="180" t="s">
        <v>229</v>
      </c>
      <c r="I27" s="168" t="s">
        <v>44</v>
      </c>
      <c r="J27" s="169">
        <v>17120901</v>
      </c>
      <c r="K27" s="170">
        <v>16867219</v>
      </c>
      <c r="L27" s="170">
        <v>28612</v>
      </c>
      <c r="M27" s="170">
        <v>0</v>
      </c>
      <c r="N27" s="170">
        <v>0</v>
      </c>
      <c r="O27" s="170">
        <v>0</v>
      </c>
      <c r="P27" s="170">
        <v>0</v>
      </c>
      <c r="Q27" s="170">
        <v>0</v>
      </c>
      <c r="R27" s="170">
        <f>48816686/1000</f>
        <v>48816.686000000002</v>
      </c>
      <c r="S27" s="170">
        <v>0</v>
      </c>
      <c r="T27" s="170">
        <v>0</v>
      </c>
      <c r="U27" s="170">
        <v>0</v>
      </c>
      <c r="V27" s="170">
        <v>0</v>
      </c>
      <c r="W27" s="170">
        <v>0</v>
      </c>
      <c r="X27" s="170">
        <v>0</v>
      </c>
      <c r="Y27" s="170">
        <f t="shared" si="0"/>
        <v>48816.686000000002</v>
      </c>
      <c r="Z27" s="171">
        <v>178178</v>
      </c>
      <c r="AA27" s="172">
        <v>1</v>
      </c>
      <c r="AB27" s="173">
        <v>44201</v>
      </c>
      <c r="AC27" s="174">
        <v>44221</v>
      </c>
      <c r="AD27" s="171">
        <v>75504</v>
      </c>
      <c r="AE27" s="175">
        <v>35</v>
      </c>
      <c r="AF27" s="173">
        <v>44357</v>
      </c>
      <c r="AG27" s="174">
        <v>44383</v>
      </c>
      <c r="AH27" s="171"/>
      <c r="AI27" s="172"/>
      <c r="AJ27" s="173"/>
      <c r="AK27" s="174"/>
      <c r="AL27" s="171"/>
      <c r="AM27" s="172"/>
      <c r="AN27" s="176"/>
      <c r="AO27" s="174"/>
      <c r="AP27" s="171"/>
      <c r="AQ27" s="172"/>
      <c r="AR27" s="176"/>
      <c r="AS27" s="174"/>
      <c r="AT27" s="177">
        <f t="shared" si="1"/>
        <v>253682</v>
      </c>
      <c r="AU27" s="178">
        <f t="shared" si="2"/>
        <v>204865.31400000001</v>
      </c>
    </row>
    <row r="28" spans="2:47" s="163" customFormat="1" ht="22.5">
      <c r="B28" s="164">
        <v>13</v>
      </c>
      <c r="C28" s="164" t="s">
        <v>39</v>
      </c>
      <c r="D28" s="165">
        <v>30127208</v>
      </c>
      <c r="E28" s="166" t="s">
        <v>246</v>
      </c>
      <c r="F28" s="166" t="s">
        <v>146</v>
      </c>
      <c r="G28" s="167" t="s">
        <v>228</v>
      </c>
      <c r="H28" s="180" t="s">
        <v>247</v>
      </c>
      <c r="I28" s="168" t="s">
        <v>44</v>
      </c>
      <c r="J28" s="169">
        <v>4145124</v>
      </c>
      <c r="K28" s="170">
        <v>1976</v>
      </c>
      <c r="L28" s="170">
        <v>4143147</v>
      </c>
      <c r="M28" s="170">
        <v>0</v>
      </c>
      <c r="N28" s="170">
        <v>0</v>
      </c>
      <c r="O28" s="170">
        <v>0</v>
      </c>
      <c r="P28" s="170">
        <v>0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  <c r="V28" s="170">
        <v>0</v>
      </c>
      <c r="W28" s="170">
        <v>0</v>
      </c>
      <c r="X28" s="170">
        <v>0</v>
      </c>
      <c r="Y28" s="170">
        <f t="shared" si="0"/>
        <v>0</v>
      </c>
      <c r="Z28" s="171">
        <v>1</v>
      </c>
      <c r="AA28" s="172">
        <v>1</v>
      </c>
      <c r="AB28" s="173">
        <v>44201</v>
      </c>
      <c r="AC28" s="174">
        <v>44221</v>
      </c>
      <c r="AD28" s="171"/>
      <c r="AE28" s="175"/>
      <c r="AF28" s="173"/>
      <c r="AG28" s="174"/>
      <c r="AH28" s="171"/>
      <c r="AI28" s="172"/>
      <c r="AJ28" s="173"/>
      <c r="AK28" s="174"/>
      <c r="AL28" s="171"/>
      <c r="AM28" s="172"/>
      <c r="AN28" s="176"/>
      <c r="AO28" s="174"/>
      <c r="AP28" s="171"/>
      <c r="AQ28" s="172"/>
      <c r="AR28" s="176"/>
      <c r="AS28" s="174"/>
      <c r="AT28" s="177">
        <f t="shared" si="1"/>
        <v>1</v>
      </c>
      <c r="AU28" s="178">
        <f t="shared" si="2"/>
        <v>1</v>
      </c>
    </row>
    <row r="29" spans="2:47" s="163" customFormat="1" ht="22.5">
      <c r="B29" s="164">
        <v>14</v>
      </c>
      <c r="C29" s="164" t="s">
        <v>39</v>
      </c>
      <c r="D29" s="165">
        <v>30134875</v>
      </c>
      <c r="E29" s="166" t="s">
        <v>248</v>
      </c>
      <c r="F29" s="166" t="s">
        <v>146</v>
      </c>
      <c r="G29" s="167" t="s">
        <v>228</v>
      </c>
      <c r="H29" s="180" t="s">
        <v>249</v>
      </c>
      <c r="I29" s="168" t="s">
        <v>44</v>
      </c>
      <c r="J29" s="169">
        <v>1853967</v>
      </c>
      <c r="K29" s="170">
        <v>20084</v>
      </c>
      <c r="L29" s="170">
        <v>0</v>
      </c>
      <c r="M29" s="170">
        <f>61028821/1000</f>
        <v>61028.821000000004</v>
      </c>
      <c r="N29" s="170">
        <v>0</v>
      </c>
      <c r="O29" s="170">
        <v>0</v>
      </c>
      <c r="P29" s="170">
        <v>0</v>
      </c>
      <c r="Q29" s="170">
        <v>0</v>
      </c>
      <c r="R29" s="170">
        <f>336666316/1000</f>
        <v>336666.31599999999</v>
      </c>
      <c r="S29" s="170">
        <v>41354</v>
      </c>
      <c r="T29" s="170">
        <v>82177</v>
      </c>
      <c r="U29" s="170">
        <v>157522</v>
      </c>
      <c r="V29" s="170">
        <v>0</v>
      </c>
      <c r="W29" s="170">
        <v>0</v>
      </c>
      <c r="X29" s="170">
        <v>0</v>
      </c>
      <c r="Y29" s="170">
        <f t="shared" si="0"/>
        <v>678748.13699999999</v>
      </c>
      <c r="Z29" s="171">
        <v>976663</v>
      </c>
      <c r="AA29" s="172">
        <v>1</v>
      </c>
      <c r="AB29" s="173">
        <v>44201</v>
      </c>
      <c r="AC29" s="174">
        <v>44221</v>
      </c>
      <c r="AD29" s="171"/>
      <c r="AE29" s="175"/>
      <c r="AF29" s="173"/>
      <c r="AG29" s="174"/>
      <c r="AH29" s="171"/>
      <c r="AI29" s="172"/>
      <c r="AJ29" s="173"/>
      <c r="AK29" s="174"/>
      <c r="AL29" s="171"/>
      <c r="AM29" s="172"/>
      <c r="AN29" s="176"/>
      <c r="AO29" s="174"/>
      <c r="AP29" s="171"/>
      <c r="AQ29" s="172"/>
      <c r="AR29" s="176"/>
      <c r="AS29" s="174"/>
      <c r="AT29" s="177">
        <f t="shared" si="1"/>
        <v>976663</v>
      </c>
      <c r="AU29" s="178">
        <f t="shared" si="2"/>
        <v>297914.86300000001</v>
      </c>
    </row>
    <row r="30" spans="2:47" s="163" customFormat="1" ht="22.5">
      <c r="B30" s="164">
        <v>15</v>
      </c>
      <c r="C30" s="164" t="s">
        <v>39</v>
      </c>
      <c r="D30" s="165">
        <v>30136533</v>
      </c>
      <c r="E30" s="166" t="s">
        <v>250</v>
      </c>
      <c r="F30" s="166" t="s">
        <v>146</v>
      </c>
      <c r="G30" s="167" t="s">
        <v>228</v>
      </c>
      <c r="H30" s="180" t="s">
        <v>229</v>
      </c>
      <c r="I30" s="168" t="s">
        <v>44</v>
      </c>
      <c r="J30" s="169">
        <v>2107054</v>
      </c>
      <c r="K30" s="170">
        <v>814</v>
      </c>
      <c r="L30" s="170">
        <v>1706239</v>
      </c>
      <c r="M30" s="170">
        <v>0</v>
      </c>
      <c r="N30" s="170">
        <v>0</v>
      </c>
      <c r="O30" s="170">
        <v>0</v>
      </c>
      <c r="P30" s="170">
        <v>0</v>
      </c>
      <c r="Q30" s="170">
        <v>0</v>
      </c>
      <c r="R30" s="170">
        <v>0</v>
      </c>
      <c r="S30" s="170">
        <v>0</v>
      </c>
      <c r="T30" s="170">
        <v>0</v>
      </c>
      <c r="U30" s="170">
        <v>0</v>
      </c>
      <c r="V30" s="170">
        <v>0</v>
      </c>
      <c r="W30" s="170">
        <v>0</v>
      </c>
      <c r="X30" s="170">
        <v>0</v>
      </c>
      <c r="Y30" s="170">
        <f t="shared" si="0"/>
        <v>0</v>
      </c>
      <c r="Z30" s="171">
        <v>1</v>
      </c>
      <c r="AA30" s="172">
        <v>1</v>
      </c>
      <c r="AB30" s="173">
        <v>44201</v>
      </c>
      <c r="AC30" s="174">
        <v>44221</v>
      </c>
      <c r="AD30" s="171"/>
      <c r="AE30" s="175"/>
      <c r="AF30" s="173"/>
      <c r="AG30" s="174"/>
      <c r="AH30" s="171"/>
      <c r="AI30" s="172"/>
      <c r="AJ30" s="173"/>
      <c r="AK30" s="174"/>
      <c r="AL30" s="171"/>
      <c r="AM30" s="172"/>
      <c r="AN30" s="176"/>
      <c r="AO30" s="174"/>
      <c r="AP30" s="171"/>
      <c r="AQ30" s="172"/>
      <c r="AR30" s="176"/>
      <c r="AS30" s="174"/>
      <c r="AT30" s="177">
        <f t="shared" si="1"/>
        <v>1</v>
      </c>
      <c r="AU30" s="178">
        <f t="shared" si="2"/>
        <v>1</v>
      </c>
    </row>
    <row r="31" spans="2:47" s="163" customFormat="1" ht="22.5">
      <c r="B31" s="164">
        <v>16</v>
      </c>
      <c r="C31" s="164" t="s">
        <v>39</v>
      </c>
      <c r="D31" s="165">
        <v>30164922</v>
      </c>
      <c r="E31" s="166" t="s">
        <v>251</v>
      </c>
      <c r="F31" s="166" t="s">
        <v>146</v>
      </c>
      <c r="G31" s="167" t="s">
        <v>228</v>
      </c>
      <c r="H31" s="180" t="s">
        <v>229</v>
      </c>
      <c r="I31" s="168" t="s">
        <v>44</v>
      </c>
      <c r="J31" s="169">
        <v>3331658</v>
      </c>
      <c r="K31" s="170">
        <v>35392</v>
      </c>
      <c r="L31" s="170">
        <v>3296266</v>
      </c>
      <c r="M31" s="170">
        <v>0</v>
      </c>
      <c r="N31" s="170">
        <v>0</v>
      </c>
      <c r="O31" s="170">
        <v>0</v>
      </c>
      <c r="P31" s="170">
        <v>0</v>
      </c>
      <c r="Q31" s="170">
        <v>0</v>
      </c>
      <c r="R31" s="170">
        <v>0</v>
      </c>
      <c r="S31" s="170">
        <v>0</v>
      </c>
      <c r="T31" s="170">
        <v>0</v>
      </c>
      <c r="U31" s="170">
        <v>0</v>
      </c>
      <c r="V31" s="170">
        <v>0</v>
      </c>
      <c r="W31" s="170">
        <v>0</v>
      </c>
      <c r="X31" s="170">
        <v>0</v>
      </c>
      <c r="Y31" s="170">
        <f t="shared" si="0"/>
        <v>0</v>
      </c>
      <c r="Z31" s="171">
        <v>261300</v>
      </c>
      <c r="AA31" s="172">
        <v>1</v>
      </c>
      <c r="AB31" s="173">
        <v>44201</v>
      </c>
      <c r="AC31" s="174">
        <v>44221</v>
      </c>
      <c r="AD31" s="171">
        <v>-261300</v>
      </c>
      <c r="AE31" s="175">
        <v>62</v>
      </c>
      <c r="AF31" s="173">
        <v>44435</v>
      </c>
      <c r="AG31" s="174">
        <v>44452</v>
      </c>
      <c r="AH31" s="171"/>
      <c r="AI31" s="172"/>
      <c r="AJ31" s="173"/>
      <c r="AK31" s="174"/>
      <c r="AL31" s="171"/>
      <c r="AM31" s="172"/>
      <c r="AN31" s="176"/>
      <c r="AO31" s="174"/>
      <c r="AP31" s="171"/>
      <c r="AQ31" s="172"/>
      <c r="AR31" s="176"/>
      <c r="AS31" s="174"/>
      <c r="AT31" s="177">
        <f t="shared" si="1"/>
        <v>0</v>
      </c>
      <c r="AU31" s="178">
        <f t="shared" si="2"/>
        <v>0</v>
      </c>
    </row>
    <row r="32" spans="2:47" s="163" customFormat="1" ht="22.5">
      <c r="B32" s="164">
        <v>17</v>
      </c>
      <c r="C32" s="164" t="s">
        <v>39</v>
      </c>
      <c r="D32" s="165">
        <v>30167472</v>
      </c>
      <c r="E32" s="166" t="s">
        <v>252</v>
      </c>
      <c r="F32" s="166" t="s">
        <v>146</v>
      </c>
      <c r="G32" s="167" t="s">
        <v>228</v>
      </c>
      <c r="H32" s="180" t="s">
        <v>253</v>
      </c>
      <c r="I32" s="168" t="s">
        <v>44</v>
      </c>
      <c r="J32" s="169">
        <v>1700838</v>
      </c>
      <c r="K32" s="170">
        <v>1157952</v>
      </c>
      <c r="L32" s="170">
        <v>0</v>
      </c>
      <c r="M32" s="170">
        <v>0</v>
      </c>
      <c r="N32" s="170">
        <v>0</v>
      </c>
      <c r="O32" s="170">
        <v>0</v>
      </c>
      <c r="P32" s="170">
        <v>0</v>
      </c>
      <c r="Q32" s="170">
        <v>0</v>
      </c>
      <c r="R32" s="170">
        <v>0</v>
      </c>
      <c r="S32" s="170">
        <v>0</v>
      </c>
      <c r="T32" s="170">
        <v>0</v>
      </c>
      <c r="U32" s="170">
        <v>0</v>
      </c>
      <c r="V32" s="170">
        <v>0</v>
      </c>
      <c r="W32" s="170">
        <v>0</v>
      </c>
      <c r="X32" s="170">
        <v>0</v>
      </c>
      <c r="Y32" s="170">
        <f t="shared" si="0"/>
        <v>0</v>
      </c>
      <c r="Z32" s="171">
        <v>542886</v>
      </c>
      <c r="AA32" s="172">
        <v>1</v>
      </c>
      <c r="AB32" s="173">
        <v>44201</v>
      </c>
      <c r="AC32" s="174">
        <v>44221</v>
      </c>
      <c r="AD32" s="171"/>
      <c r="AE32" s="175"/>
      <c r="AF32" s="173"/>
      <c r="AG32" s="174"/>
      <c r="AH32" s="171"/>
      <c r="AI32" s="172"/>
      <c r="AJ32" s="173"/>
      <c r="AK32" s="174"/>
      <c r="AL32" s="171"/>
      <c r="AM32" s="172"/>
      <c r="AN32" s="176"/>
      <c r="AO32" s="174"/>
      <c r="AP32" s="171"/>
      <c r="AQ32" s="172"/>
      <c r="AR32" s="176"/>
      <c r="AS32" s="174"/>
      <c r="AT32" s="177">
        <f t="shared" si="1"/>
        <v>542886</v>
      </c>
      <c r="AU32" s="178">
        <f t="shared" si="2"/>
        <v>542886</v>
      </c>
    </row>
    <row r="33" spans="2:47" s="163" customFormat="1" ht="22.5">
      <c r="B33" s="164">
        <v>18</v>
      </c>
      <c r="C33" s="164" t="s">
        <v>39</v>
      </c>
      <c r="D33" s="165">
        <v>30360227</v>
      </c>
      <c r="E33" s="166" t="s">
        <v>254</v>
      </c>
      <c r="F33" s="166" t="s">
        <v>146</v>
      </c>
      <c r="G33" s="167" t="s">
        <v>228</v>
      </c>
      <c r="H33" s="180" t="s">
        <v>229</v>
      </c>
      <c r="I33" s="168" t="s">
        <v>44</v>
      </c>
      <c r="J33" s="169">
        <v>550886</v>
      </c>
      <c r="K33" s="170">
        <v>509216</v>
      </c>
      <c r="L33" s="170">
        <v>0</v>
      </c>
      <c r="M33" s="170">
        <v>0</v>
      </c>
      <c r="N33" s="170">
        <v>0</v>
      </c>
      <c r="O33" s="170">
        <v>0</v>
      </c>
      <c r="P33" s="170">
        <v>0</v>
      </c>
      <c r="Q33" s="170">
        <v>0</v>
      </c>
      <c r="R33" s="170">
        <v>0</v>
      </c>
      <c r="S33" s="170">
        <v>0</v>
      </c>
      <c r="T33" s="170">
        <v>0</v>
      </c>
      <c r="U33" s="170">
        <v>0</v>
      </c>
      <c r="V33" s="170">
        <v>0</v>
      </c>
      <c r="W33" s="170">
        <v>0</v>
      </c>
      <c r="X33" s="170">
        <v>0</v>
      </c>
      <c r="Y33" s="170">
        <f t="shared" si="0"/>
        <v>0</v>
      </c>
      <c r="Z33" s="171">
        <v>8866</v>
      </c>
      <c r="AA33" s="172">
        <v>1</v>
      </c>
      <c r="AB33" s="173">
        <v>44201</v>
      </c>
      <c r="AC33" s="174">
        <v>44221</v>
      </c>
      <c r="AD33" s="171">
        <v>32804</v>
      </c>
      <c r="AE33" s="175">
        <v>62</v>
      </c>
      <c r="AF33" s="173">
        <v>44435</v>
      </c>
      <c r="AG33" s="174">
        <v>44452</v>
      </c>
      <c r="AH33" s="171"/>
      <c r="AI33" s="172"/>
      <c r="AJ33" s="173"/>
      <c r="AK33" s="174"/>
      <c r="AL33" s="171"/>
      <c r="AM33" s="172"/>
      <c r="AN33" s="176"/>
      <c r="AO33" s="174"/>
      <c r="AP33" s="171"/>
      <c r="AQ33" s="172"/>
      <c r="AR33" s="176"/>
      <c r="AS33" s="174"/>
      <c r="AT33" s="177">
        <f t="shared" si="1"/>
        <v>41670</v>
      </c>
      <c r="AU33" s="178">
        <f t="shared" si="2"/>
        <v>41670</v>
      </c>
    </row>
    <row r="34" spans="2:47" s="163" customFormat="1" ht="22.5">
      <c r="B34" s="164">
        <v>19</v>
      </c>
      <c r="C34" s="164" t="s">
        <v>39</v>
      </c>
      <c r="D34" s="165">
        <v>30367047</v>
      </c>
      <c r="E34" s="166" t="s">
        <v>255</v>
      </c>
      <c r="F34" s="166" t="s">
        <v>146</v>
      </c>
      <c r="G34" s="167" t="s">
        <v>228</v>
      </c>
      <c r="H34" s="180" t="s">
        <v>240</v>
      </c>
      <c r="I34" s="168" t="s">
        <v>44</v>
      </c>
      <c r="J34" s="169">
        <v>1368732</v>
      </c>
      <c r="K34" s="170">
        <v>1349498</v>
      </c>
      <c r="L34" s="170">
        <v>19234</v>
      </c>
      <c r="M34" s="170">
        <v>0</v>
      </c>
      <c r="N34" s="170">
        <v>0</v>
      </c>
      <c r="O34" s="170">
        <v>0</v>
      </c>
      <c r="P34" s="170">
        <v>0</v>
      </c>
      <c r="Q34" s="170">
        <v>0</v>
      </c>
      <c r="R34" s="170">
        <v>0</v>
      </c>
      <c r="S34" s="170">
        <v>0</v>
      </c>
      <c r="T34" s="170">
        <v>0</v>
      </c>
      <c r="U34" s="170">
        <v>0</v>
      </c>
      <c r="V34" s="170">
        <v>0</v>
      </c>
      <c r="W34" s="170">
        <v>0</v>
      </c>
      <c r="X34" s="170">
        <v>0</v>
      </c>
      <c r="Y34" s="170">
        <f t="shared" si="0"/>
        <v>0</v>
      </c>
      <c r="Z34" s="171">
        <v>55109</v>
      </c>
      <c r="AA34" s="172">
        <v>1</v>
      </c>
      <c r="AB34" s="173">
        <v>44201</v>
      </c>
      <c r="AC34" s="174">
        <v>44221</v>
      </c>
      <c r="AD34" s="171"/>
      <c r="AE34" s="175"/>
      <c r="AF34" s="173"/>
      <c r="AG34" s="174"/>
      <c r="AH34" s="171"/>
      <c r="AI34" s="172"/>
      <c r="AJ34" s="173"/>
      <c r="AK34" s="174"/>
      <c r="AL34" s="171"/>
      <c r="AM34" s="172"/>
      <c r="AN34" s="176"/>
      <c r="AO34" s="174"/>
      <c r="AP34" s="171"/>
      <c r="AQ34" s="172"/>
      <c r="AR34" s="176"/>
      <c r="AS34" s="174"/>
      <c r="AT34" s="177">
        <f t="shared" si="1"/>
        <v>55109</v>
      </c>
      <c r="AU34" s="178">
        <f t="shared" si="2"/>
        <v>55109</v>
      </c>
    </row>
    <row r="35" spans="2:47" s="163" customFormat="1" ht="22.5">
      <c r="B35" s="164">
        <v>20</v>
      </c>
      <c r="C35" s="164" t="s">
        <v>39</v>
      </c>
      <c r="D35" s="165">
        <v>30372874</v>
      </c>
      <c r="E35" s="166" t="s">
        <v>256</v>
      </c>
      <c r="F35" s="166" t="s">
        <v>158</v>
      </c>
      <c r="G35" s="167" t="s">
        <v>228</v>
      </c>
      <c r="H35" s="180" t="s">
        <v>236</v>
      </c>
      <c r="I35" s="168" t="s">
        <v>44</v>
      </c>
      <c r="J35" s="169">
        <v>101691</v>
      </c>
      <c r="K35" s="170">
        <v>16858</v>
      </c>
      <c r="L35" s="170">
        <v>19925</v>
      </c>
      <c r="M35" s="170">
        <v>0</v>
      </c>
      <c r="N35" s="170">
        <v>0</v>
      </c>
      <c r="O35" s="170">
        <v>0</v>
      </c>
      <c r="P35" s="170">
        <v>0</v>
      </c>
      <c r="Q35" s="170">
        <f>39850000/1000</f>
        <v>39850</v>
      </c>
      <c r="R35" s="170">
        <v>0</v>
      </c>
      <c r="S35" s="170">
        <v>0</v>
      </c>
      <c r="T35" s="170">
        <v>0</v>
      </c>
      <c r="U35" s="170">
        <v>0</v>
      </c>
      <c r="V35" s="170">
        <v>0</v>
      </c>
      <c r="W35" s="170">
        <v>0</v>
      </c>
      <c r="X35" s="170">
        <v>0</v>
      </c>
      <c r="Y35" s="170">
        <f t="shared" si="0"/>
        <v>39850</v>
      </c>
      <c r="Z35" s="171">
        <v>84681</v>
      </c>
      <c r="AA35" s="172">
        <v>1</v>
      </c>
      <c r="AB35" s="173">
        <v>44201</v>
      </c>
      <c r="AC35" s="174">
        <v>44221</v>
      </c>
      <c r="AD35" s="171"/>
      <c r="AE35" s="175"/>
      <c r="AF35" s="173"/>
      <c r="AG35" s="174"/>
      <c r="AH35" s="171"/>
      <c r="AI35" s="172"/>
      <c r="AJ35" s="173"/>
      <c r="AK35" s="174"/>
      <c r="AL35" s="171"/>
      <c r="AM35" s="172"/>
      <c r="AN35" s="176"/>
      <c r="AO35" s="174"/>
      <c r="AP35" s="171"/>
      <c r="AQ35" s="172"/>
      <c r="AR35" s="176"/>
      <c r="AS35" s="174"/>
      <c r="AT35" s="177">
        <f t="shared" si="1"/>
        <v>84681</v>
      </c>
      <c r="AU35" s="178">
        <f t="shared" si="2"/>
        <v>44831</v>
      </c>
    </row>
    <row r="36" spans="2:47" s="163" customFormat="1" ht="22.5">
      <c r="B36" s="164">
        <v>21</v>
      </c>
      <c r="C36" s="164" t="s">
        <v>39</v>
      </c>
      <c r="D36" s="165">
        <v>30402075</v>
      </c>
      <c r="E36" s="166" t="s">
        <v>257</v>
      </c>
      <c r="F36" s="166" t="s">
        <v>146</v>
      </c>
      <c r="G36" s="167" t="s">
        <v>228</v>
      </c>
      <c r="H36" s="180" t="s">
        <v>253</v>
      </c>
      <c r="I36" s="168" t="s">
        <v>44</v>
      </c>
      <c r="J36" s="169">
        <v>2512592</v>
      </c>
      <c r="K36" s="170">
        <v>30980</v>
      </c>
      <c r="L36" s="170">
        <v>2479806</v>
      </c>
      <c r="M36" s="170">
        <v>0</v>
      </c>
      <c r="N36" s="170">
        <v>0</v>
      </c>
      <c r="O36" s="170">
        <v>0</v>
      </c>
      <c r="P36" s="170">
        <v>0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170">
        <v>0</v>
      </c>
      <c r="W36" s="170">
        <v>0</v>
      </c>
      <c r="X36" s="170">
        <v>0</v>
      </c>
      <c r="Y36" s="170">
        <f t="shared" si="0"/>
        <v>0</v>
      </c>
      <c r="Z36" s="171">
        <v>1806</v>
      </c>
      <c r="AA36" s="172">
        <v>1</v>
      </c>
      <c r="AB36" s="173">
        <v>44201</v>
      </c>
      <c r="AC36" s="174">
        <v>44221</v>
      </c>
      <c r="AD36" s="171"/>
      <c r="AE36" s="175"/>
      <c r="AF36" s="173"/>
      <c r="AG36" s="174"/>
      <c r="AH36" s="171"/>
      <c r="AI36" s="172"/>
      <c r="AJ36" s="173"/>
      <c r="AK36" s="174"/>
      <c r="AL36" s="171"/>
      <c r="AM36" s="172"/>
      <c r="AN36" s="176"/>
      <c r="AO36" s="174"/>
      <c r="AP36" s="171"/>
      <c r="AQ36" s="172"/>
      <c r="AR36" s="176"/>
      <c r="AS36" s="174"/>
      <c r="AT36" s="177">
        <f t="shared" si="1"/>
        <v>1806</v>
      </c>
      <c r="AU36" s="178">
        <f t="shared" si="2"/>
        <v>1806</v>
      </c>
    </row>
    <row r="37" spans="2:47" s="163" customFormat="1" ht="22.5">
      <c r="B37" s="164">
        <v>22</v>
      </c>
      <c r="C37" s="164" t="s">
        <v>39</v>
      </c>
      <c r="D37" s="165">
        <v>30402476</v>
      </c>
      <c r="E37" s="166" t="s">
        <v>258</v>
      </c>
      <c r="F37" s="166" t="s">
        <v>231</v>
      </c>
      <c r="G37" s="167" t="s">
        <v>228</v>
      </c>
      <c r="H37" s="180" t="s">
        <v>240</v>
      </c>
      <c r="I37" s="168" t="s">
        <v>44</v>
      </c>
      <c r="J37" s="169">
        <v>138779</v>
      </c>
      <c r="K37" s="170">
        <v>125576</v>
      </c>
      <c r="L37" s="170">
        <v>0</v>
      </c>
      <c r="M37" s="170">
        <v>0</v>
      </c>
      <c r="N37" s="170">
        <v>0</v>
      </c>
      <c r="O37" s="170">
        <v>0</v>
      </c>
      <c r="P37" s="170">
        <v>0</v>
      </c>
      <c r="Q37" s="170">
        <f>13203288/1000</f>
        <v>13203.288</v>
      </c>
      <c r="R37" s="170">
        <v>0</v>
      </c>
      <c r="S37" s="170">
        <v>0</v>
      </c>
      <c r="T37" s="170">
        <v>0</v>
      </c>
      <c r="U37" s="170">
        <v>0</v>
      </c>
      <c r="V37" s="170">
        <v>0</v>
      </c>
      <c r="W37" s="170">
        <v>0</v>
      </c>
      <c r="X37" s="170">
        <v>0</v>
      </c>
      <c r="Y37" s="170">
        <f t="shared" si="0"/>
        <v>13203.288</v>
      </c>
      <c r="Z37" s="171">
        <v>13203</v>
      </c>
      <c r="AA37" s="172">
        <v>1</v>
      </c>
      <c r="AB37" s="173">
        <v>44201</v>
      </c>
      <c r="AC37" s="174">
        <v>44221</v>
      </c>
      <c r="AD37" s="171"/>
      <c r="AE37" s="175"/>
      <c r="AF37" s="173"/>
      <c r="AG37" s="174"/>
      <c r="AH37" s="171"/>
      <c r="AI37" s="172"/>
      <c r="AJ37" s="173"/>
      <c r="AK37" s="174"/>
      <c r="AL37" s="171"/>
      <c r="AM37" s="172"/>
      <c r="AN37" s="176"/>
      <c r="AO37" s="174"/>
      <c r="AP37" s="171"/>
      <c r="AQ37" s="172"/>
      <c r="AR37" s="176"/>
      <c r="AS37" s="174"/>
      <c r="AT37" s="177">
        <f t="shared" si="1"/>
        <v>13203</v>
      </c>
      <c r="AU37" s="178">
        <f t="shared" si="2"/>
        <v>-0.28800000000046566</v>
      </c>
    </row>
    <row r="38" spans="2:47" s="163" customFormat="1" ht="22.5">
      <c r="B38" s="164">
        <v>23</v>
      </c>
      <c r="C38" s="164" t="s">
        <v>39</v>
      </c>
      <c r="D38" s="165">
        <v>30402478</v>
      </c>
      <c r="E38" s="166" t="s">
        <v>259</v>
      </c>
      <c r="F38" s="166" t="s">
        <v>231</v>
      </c>
      <c r="G38" s="167" t="s">
        <v>228</v>
      </c>
      <c r="H38" s="180" t="s">
        <v>229</v>
      </c>
      <c r="I38" s="168" t="s">
        <v>44</v>
      </c>
      <c r="J38" s="169">
        <v>137349</v>
      </c>
      <c r="K38" s="170">
        <v>131131</v>
      </c>
      <c r="L38" s="170">
        <v>3268</v>
      </c>
      <c r="M38" s="170">
        <f>1750000/1000</f>
        <v>1750</v>
      </c>
      <c r="N38" s="170">
        <f>1200000/1000</f>
        <v>1200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0</v>
      </c>
      <c r="X38" s="170">
        <v>0</v>
      </c>
      <c r="Y38" s="170">
        <f t="shared" si="0"/>
        <v>2950</v>
      </c>
      <c r="Z38" s="171">
        <v>6218</v>
      </c>
      <c r="AA38" s="172">
        <v>1</v>
      </c>
      <c r="AB38" s="173">
        <v>44201</v>
      </c>
      <c r="AC38" s="174">
        <v>44221</v>
      </c>
      <c r="AD38" s="171"/>
      <c r="AE38" s="175"/>
      <c r="AF38" s="173"/>
      <c r="AG38" s="174"/>
      <c r="AH38" s="171"/>
      <c r="AI38" s="172"/>
      <c r="AJ38" s="173"/>
      <c r="AK38" s="174"/>
      <c r="AL38" s="171"/>
      <c r="AM38" s="172"/>
      <c r="AN38" s="176"/>
      <c r="AO38" s="174"/>
      <c r="AP38" s="171"/>
      <c r="AQ38" s="172"/>
      <c r="AR38" s="176"/>
      <c r="AS38" s="174"/>
      <c r="AT38" s="177">
        <f t="shared" si="1"/>
        <v>6218</v>
      </c>
      <c r="AU38" s="178">
        <f t="shared" si="2"/>
        <v>3268</v>
      </c>
    </row>
    <row r="39" spans="2:47" s="163" customFormat="1" ht="22.5">
      <c r="B39" s="164">
        <v>24</v>
      </c>
      <c r="C39" s="164" t="s">
        <v>39</v>
      </c>
      <c r="D39" s="165">
        <v>30402480</v>
      </c>
      <c r="E39" s="166" t="s">
        <v>260</v>
      </c>
      <c r="F39" s="166" t="s">
        <v>146</v>
      </c>
      <c r="G39" s="167" t="s">
        <v>228</v>
      </c>
      <c r="H39" s="180" t="s">
        <v>229</v>
      </c>
      <c r="I39" s="168" t="s">
        <v>44</v>
      </c>
      <c r="J39" s="169">
        <v>1040046</v>
      </c>
      <c r="K39" s="170">
        <v>898646</v>
      </c>
      <c r="L39" s="170">
        <v>86734</v>
      </c>
      <c r="M39" s="170">
        <v>0</v>
      </c>
      <c r="N39" s="170"/>
      <c r="O39" s="170">
        <v>0</v>
      </c>
      <c r="P39" s="170">
        <v>0</v>
      </c>
      <c r="Q39" s="170">
        <v>0</v>
      </c>
      <c r="R39" s="170">
        <v>0</v>
      </c>
      <c r="S39" s="170">
        <v>0</v>
      </c>
      <c r="T39" s="170">
        <v>0</v>
      </c>
      <c r="U39" s="170">
        <v>0</v>
      </c>
      <c r="V39" s="170">
        <v>0</v>
      </c>
      <c r="W39" s="170">
        <v>0</v>
      </c>
      <c r="X39" s="170">
        <v>0</v>
      </c>
      <c r="Y39" s="170">
        <f t="shared" si="0"/>
        <v>0</v>
      </c>
      <c r="Z39" s="171">
        <v>86734</v>
      </c>
      <c r="AA39" s="172">
        <v>1</v>
      </c>
      <c r="AB39" s="173">
        <v>44201</v>
      </c>
      <c r="AC39" s="174">
        <v>44221</v>
      </c>
      <c r="AD39" s="171"/>
      <c r="AE39" s="175"/>
      <c r="AF39" s="173"/>
      <c r="AG39" s="174"/>
      <c r="AH39" s="171"/>
      <c r="AI39" s="172"/>
      <c r="AJ39" s="173"/>
      <c r="AK39" s="174"/>
      <c r="AL39" s="171"/>
      <c r="AM39" s="172"/>
      <c r="AN39" s="176"/>
      <c r="AO39" s="174"/>
      <c r="AP39" s="171"/>
      <c r="AQ39" s="172"/>
      <c r="AR39" s="176"/>
      <c r="AS39" s="174"/>
      <c r="AT39" s="177">
        <f t="shared" si="1"/>
        <v>86734</v>
      </c>
      <c r="AU39" s="178">
        <f t="shared" si="2"/>
        <v>86734</v>
      </c>
    </row>
    <row r="40" spans="2:47" s="163" customFormat="1" ht="22.5">
      <c r="B40" s="164">
        <v>25</v>
      </c>
      <c r="C40" s="164" t="s">
        <v>39</v>
      </c>
      <c r="D40" s="165">
        <v>30420635</v>
      </c>
      <c r="E40" s="166" t="s">
        <v>261</v>
      </c>
      <c r="F40" s="166" t="s">
        <v>146</v>
      </c>
      <c r="G40" s="167" t="s">
        <v>228</v>
      </c>
      <c r="H40" s="180" t="s">
        <v>247</v>
      </c>
      <c r="I40" s="168" t="s">
        <v>44</v>
      </c>
      <c r="J40" s="169">
        <v>2016022</v>
      </c>
      <c r="K40" s="170">
        <v>505363</v>
      </c>
      <c r="L40" s="170">
        <v>0</v>
      </c>
      <c r="M40" s="170">
        <v>0</v>
      </c>
      <c r="N40" s="170">
        <f>502758940/1000</f>
        <v>502758.94</v>
      </c>
      <c r="O40" s="170">
        <f>502758940/1000</f>
        <v>502758.94</v>
      </c>
      <c r="P40" s="170">
        <v>0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  <c r="W40" s="170">
        <v>0</v>
      </c>
      <c r="X40" s="170">
        <v>0</v>
      </c>
      <c r="Y40" s="170">
        <f t="shared" si="0"/>
        <v>1005517.88</v>
      </c>
      <c r="Z40" s="171">
        <v>1510659</v>
      </c>
      <c r="AA40" s="172">
        <v>1</v>
      </c>
      <c r="AB40" s="173">
        <v>44201</v>
      </c>
      <c r="AC40" s="174">
        <v>44221</v>
      </c>
      <c r="AD40" s="171"/>
      <c r="AE40" s="175"/>
      <c r="AF40" s="173"/>
      <c r="AG40" s="174"/>
      <c r="AH40" s="171"/>
      <c r="AI40" s="172"/>
      <c r="AJ40" s="173"/>
      <c r="AK40" s="174"/>
      <c r="AL40" s="171"/>
      <c r="AM40" s="172"/>
      <c r="AN40" s="176"/>
      <c r="AO40" s="174"/>
      <c r="AP40" s="171"/>
      <c r="AQ40" s="172"/>
      <c r="AR40" s="176"/>
      <c r="AS40" s="174"/>
      <c r="AT40" s="177">
        <f t="shared" si="1"/>
        <v>1510659</v>
      </c>
      <c r="AU40" s="178">
        <f t="shared" si="2"/>
        <v>505141.12</v>
      </c>
    </row>
    <row r="41" spans="2:47" s="163" customFormat="1" ht="33.75">
      <c r="B41" s="164">
        <v>26</v>
      </c>
      <c r="C41" s="164" t="s">
        <v>39</v>
      </c>
      <c r="D41" s="165">
        <v>30452924</v>
      </c>
      <c r="E41" s="166" t="s">
        <v>262</v>
      </c>
      <c r="F41" s="166" t="s">
        <v>158</v>
      </c>
      <c r="G41" s="167" t="s">
        <v>228</v>
      </c>
      <c r="H41" s="180" t="s">
        <v>247</v>
      </c>
      <c r="I41" s="168" t="s">
        <v>44</v>
      </c>
      <c r="J41" s="169">
        <v>109800</v>
      </c>
      <c r="K41" s="170">
        <v>99368</v>
      </c>
      <c r="L41" s="170">
        <v>0</v>
      </c>
      <c r="M41" s="170">
        <v>0</v>
      </c>
      <c r="N41" s="170">
        <v>0</v>
      </c>
      <c r="O41" s="170">
        <v>0</v>
      </c>
      <c r="P41" s="170">
        <v>0</v>
      </c>
      <c r="Q41" s="170">
        <v>0</v>
      </c>
      <c r="R41" s="170">
        <v>0</v>
      </c>
      <c r="S41" s="170">
        <v>0</v>
      </c>
      <c r="T41" s="170">
        <v>0</v>
      </c>
      <c r="U41" s="170">
        <v>0</v>
      </c>
      <c r="V41" s="170">
        <v>0</v>
      </c>
      <c r="W41" s="170">
        <v>0</v>
      </c>
      <c r="X41" s="170">
        <v>0</v>
      </c>
      <c r="Y41" s="170">
        <f t="shared" si="0"/>
        <v>0</v>
      </c>
      <c r="Z41" s="171">
        <v>10432</v>
      </c>
      <c r="AA41" s="172">
        <v>1</v>
      </c>
      <c r="AB41" s="173">
        <v>44201</v>
      </c>
      <c r="AC41" s="174">
        <v>44221</v>
      </c>
      <c r="AD41" s="171"/>
      <c r="AE41" s="175"/>
      <c r="AF41" s="173"/>
      <c r="AG41" s="174"/>
      <c r="AH41" s="171"/>
      <c r="AI41" s="172"/>
      <c r="AJ41" s="173"/>
      <c r="AK41" s="174"/>
      <c r="AL41" s="171"/>
      <c r="AM41" s="172"/>
      <c r="AN41" s="176"/>
      <c r="AO41" s="174"/>
      <c r="AP41" s="171"/>
      <c r="AQ41" s="172"/>
      <c r="AR41" s="176"/>
      <c r="AS41" s="174"/>
      <c r="AT41" s="177">
        <f t="shared" si="1"/>
        <v>10432</v>
      </c>
      <c r="AU41" s="178">
        <f t="shared" si="2"/>
        <v>10432</v>
      </c>
    </row>
    <row r="42" spans="2:47" s="163" customFormat="1" ht="22.5">
      <c r="B42" s="164">
        <v>27</v>
      </c>
      <c r="C42" s="164" t="s">
        <v>39</v>
      </c>
      <c r="D42" s="165">
        <v>30457688</v>
      </c>
      <c r="E42" s="166" t="s">
        <v>263</v>
      </c>
      <c r="F42" s="166" t="s">
        <v>146</v>
      </c>
      <c r="G42" s="167" t="s">
        <v>228</v>
      </c>
      <c r="H42" s="180" t="s">
        <v>229</v>
      </c>
      <c r="I42" s="168" t="s">
        <v>44</v>
      </c>
      <c r="J42" s="169">
        <v>3234865</v>
      </c>
      <c r="K42" s="170">
        <v>2433121</v>
      </c>
      <c r="L42" s="170">
        <v>801744</v>
      </c>
      <c r="M42" s="170">
        <v>0</v>
      </c>
      <c r="N42" s="170">
        <v>0</v>
      </c>
      <c r="O42" s="170">
        <v>0</v>
      </c>
      <c r="P42" s="170">
        <v>0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0</v>
      </c>
      <c r="X42" s="170">
        <v>0</v>
      </c>
      <c r="Y42" s="170">
        <f t="shared" si="0"/>
        <v>0</v>
      </c>
      <c r="Z42" s="171">
        <v>801744</v>
      </c>
      <c r="AA42" s="172">
        <v>1</v>
      </c>
      <c r="AB42" s="173">
        <v>44201</v>
      </c>
      <c r="AC42" s="174">
        <v>44221</v>
      </c>
      <c r="AD42" s="171">
        <v>-673110</v>
      </c>
      <c r="AE42" s="175">
        <v>35</v>
      </c>
      <c r="AF42" s="173">
        <v>44357</v>
      </c>
      <c r="AG42" s="174">
        <v>44383</v>
      </c>
      <c r="AH42" s="171"/>
      <c r="AI42" s="172"/>
      <c r="AJ42" s="173"/>
      <c r="AK42" s="174"/>
      <c r="AL42" s="171"/>
      <c r="AM42" s="172"/>
      <c r="AN42" s="176"/>
      <c r="AO42" s="174"/>
      <c r="AP42" s="171"/>
      <c r="AQ42" s="172"/>
      <c r="AR42" s="176"/>
      <c r="AS42" s="174"/>
      <c r="AT42" s="177">
        <f t="shared" si="1"/>
        <v>128634</v>
      </c>
      <c r="AU42" s="178">
        <f t="shared" si="2"/>
        <v>128634</v>
      </c>
    </row>
    <row r="43" spans="2:47" s="163" customFormat="1" ht="22.5">
      <c r="B43" s="164">
        <v>28</v>
      </c>
      <c r="C43" s="164" t="s">
        <v>39</v>
      </c>
      <c r="D43" s="165">
        <v>30467138</v>
      </c>
      <c r="E43" s="166" t="s">
        <v>264</v>
      </c>
      <c r="F43" s="166" t="s">
        <v>146</v>
      </c>
      <c r="G43" s="167" t="s">
        <v>228</v>
      </c>
      <c r="H43" s="180" t="s">
        <v>247</v>
      </c>
      <c r="I43" s="168" t="s">
        <v>44</v>
      </c>
      <c r="J43" s="169">
        <v>276152</v>
      </c>
      <c r="K43" s="170">
        <v>262076</v>
      </c>
      <c r="L43" s="170">
        <v>0</v>
      </c>
      <c r="M43" s="170">
        <v>0</v>
      </c>
      <c r="N43" s="170">
        <v>0</v>
      </c>
      <c r="O43" s="170">
        <v>0</v>
      </c>
      <c r="P43" s="170">
        <v>0</v>
      </c>
      <c r="Q43" s="170">
        <f>14075707/1000</f>
        <v>14075.707</v>
      </c>
      <c r="R43" s="170">
        <v>0</v>
      </c>
      <c r="S43" s="170">
        <v>0</v>
      </c>
      <c r="T43" s="170">
        <v>0</v>
      </c>
      <c r="U43" s="170">
        <v>0</v>
      </c>
      <c r="V43" s="170">
        <v>0</v>
      </c>
      <c r="W43" s="170">
        <v>0</v>
      </c>
      <c r="X43" s="170">
        <v>0</v>
      </c>
      <c r="Y43" s="170">
        <f t="shared" si="0"/>
        <v>14075.707</v>
      </c>
      <c r="Z43" s="171">
        <v>14076</v>
      </c>
      <c r="AA43" s="172">
        <v>1</v>
      </c>
      <c r="AB43" s="173">
        <v>44201</v>
      </c>
      <c r="AC43" s="174">
        <v>44221</v>
      </c>
      <c r="AD43" s="171"/>
      <c r="AE43" s="175"/>
      <c r="AF43" s="173"/>
      <c r="AG43" s="174"/>
      <c r="AH43" s="171"/>
      <c r="AI43" s="172"/>
      <c r="AJ43" s="173"/>
      <c r="AK43" s="174"/>
      <c r="AL43" s="171"/>
      <c r="AM43" s="172"/>
      <c r="AN43" s="176"/>
      <c r="AO43" s="174"/>
      <c r="AP43" s="171"/>
      <c r="AQ43" s="172"/>
      <c r="AR43" s="176"/>
      <c r="AS43" s="174"/>
      <c r="AT43" s="177">
        <f t="shared" si="1"/>
        <v>14076</v>
      </c>
      <c r="AU43" s="178">
        <f t="shared" si="2"/>
        <v>0.29299999999966531</v>
      </c>
    </row>
    <row r="44" spans="2:47" s="163" customFormat="1" ht="22.5">
      <c r="B44" s="164">
        <v>29</v>
      </c>
      <c r="C44" s="164" t="s">
        <v>39</v>
      </c>
      <c r="D44" s="165">
        <v>30474249</v>
      </c>
      <c r="E44" s="166" t="s">
        <v>265</v>
      </c>
      <c r="F44" s="166" t="s">
        <v>146</v>
      </c>
      <c r="G44" s="167" t="s">
        <v>228</v>
      </c>
      <c r="H44" s="180" t="s">
        <v>247</v>
      </c>
      <c r="I44" s="168" t="s">
        <v>44</v>
      </c>
      <c r="J44" s="169">
        <v>101632</v>
      </c>
      <c r="K44" s="170">
        <v>0</v>
      </c>
      <c r="L44" s="170">
        <v>0</v>
      </c>
      <c r="M44" s="170">
        <v>0</v>
      </c>
      <c r="N44" s="170">
        <v>0</v>
      </c>
      <c r="O44" s="170">
        <v>0</v>
      </c>
      <c r="P44" s="170">
        <v>0</v>
      </c>
      <c r="Q44" s="170">
        <v>0</v>
      </c>
      <c r="R44" s="170">
        <v>0</v>
      </c>
      <c r="S44" s="170">
        <v>0</v>
      </c>
      <c r="T44" s="170">
        <v>0</v>
      </c>
      <c r="U44" s="170">
        <v>90420</v>
      </c>
      <c r="V44" s="170">
        <v>0</v>
      </c>
      <c r="W44" s="170">
        <v>0</v>
      </c>
      <c r="X44" s="170">
        <v>0</v>
      </c>
      <c r="Y44" s="170">
        <f t="shared" si="0"/>
        <v>90420</v>
      </c>
      <c r="Z44" s="171">
        <v>101632</v>
      </c>
      <c r="AA44" s="172">
        <v>1</v>
      </c>
      <c r="AB44" s="173">
        <v>44201</v>
      </c>
      <c r="AC44" s="174">
        <v>44221</v>
      </c>
      <c r="AD44" s="171"/>
      <c r="AE44" s="175"/>
      <c r="AF44" s="173"/>
      <c r="AG44" s="174"/>
      <c r="AH44" s="171"/>
      <c r="AI44" s="172"/>
      <c r="AJ44" s="173"/>
      <c r="AK44" s="174"/>
      <c r="AL44" s="171"/>
      <c r="AM44" s="172"/>
      <c r="AN44" s="176"/>
      <c r="AO44" s="174"/>
      <c r="AP44" s="171"/>
      <c r="AQ44" s="172"/>
      <c r="AR44" s="176"/>
      <c r="AS44" s="174"/>
      <c r="AT44" s="177">
        <f t="shared" si="1"/>
        <v>101632</v>
      </c>
      <c r="AU44" s="178">
        <f t="shared" si="2"/>
        <v>11212</v>
      </c>
    </row>
    <row r="45" spans="2:47" s="163" customFormat="1" ht="22.5">
      <c r="B45" s="164">
        <v>30</v>
      </c>
      <c r="C45" s="164" t="s">
        <v>39</v>
      </c>
      <c r="D45" s="165">
        <v>30479810</v>
      </c>
      <c r="E45" s="166" t="s">
        <v>266</v>
      </c>
      <c r="F45" s="166" t="s">
        <v>146</v>
      </c>
      <c r="G45" s="167" t="s">
        <v>228</v>
      </c>
      <c r="H45" s="180" t="s">
        <v>232</v>
      </c>
      <c r="I45" s="168" t="s">
        <v>44</v>
      </c>
      <c r="J45" s="169">
        <v>1175849</v>
      </c>
      <c r="K45" s="170">
        <v>807620</v>
      </c>
      <c r="L45" s="170">
        <v>6741</v>
      </c>
      <c r="M45" s="170">
        <v>0</v>
      </c>
      <c r="N45" s="170">
        <f>31403108/1000</f>
        <v>31403.108</v>
      </c>
      <c r="O45" s="170">
        <f>80814368/1000</f>
        <v>80814.368000000002</v>
      </c>
      <c r="P45" s="170">
        <f>32637477/1000</f>
        <v>32637.476999999999</v>
      </c>
      <c r="Q45" s="170">
        <f>14049008/1000</f>
        <v>14049.008</v>
      </c>
      <c r="R45" s="170">
        <f>1248167/1000</f>
        <v>1248.1669999999999</v>
      </c>
      <c r="S45" s="170">
        <v>66414</v>
      </c>
      <c r="T45" s="170">
        <v>0</v>
      </c>
      <c r="U45" s="170">
        <v>15270</v>
      </c>
      <c r="V45" s="170">
        <v>0</v>
      </c>
      <c r="W45" s="170">
        <v>0</v>
      </c>
      <c r="X45" s="170">
        <v>0</v>
      </c>
      <c r="Y45" s="170">
        <f t="shared" si="0"/>
        <v>241836.12799999997</v>
      </c>
      <c r="Z45" s="171">
        <v>359182</v>
      </c>
      <c r="AA45" s="172">
        <v>1</v>
      </c>
      <c r="AB45" s="173">
        <v>44201</v>
      </c>
      <c r="AC45" s="174">
        <v>44221</v>
      </c>
      <c r="AD45" s="171"/>
      <c r="AE45" s="175"/>
      <c r="AF45" s="173"/>
      <c r="AG45" s="174"/>
      <c r="AH45" s="171"/>
      <c r="AI45" s="172"/>
      <c r="AJ45" s="173"/>
      <c r="AK45" s="174"/>
      <c r="AL45" s="171"/>
      <c r="AM45" s="172"/>
      <c r="AN45" s="176"/>
      <c r="AO45" s="174"/>
      <c r="AP45" s="171"/>
      <c r="AQ45" s="172"/>
      <c r="AR45" s="176"/>
      <c r="AS45" s="174"/>
      <c r="AT45" s="177">
        <f t="shared" si="1"/>
        <v>359182</v>
      </c>
      <c r="AU45" s="178">
        <f t="shared" si="2"/>
        <v>117345.87200000003</v>
      </c>
    </row>
    <row r="46" spans="2:47" s="163" customFormat="1" ht="22.5">
      <c r="B46" s="164">
        <v>31</v>
      </c>
      <c r="C46" s="164" t="s">
        <v>39</v>
      </c>
      <c r="D46" s="165">
        <v>30481623</v>
      </c>
      <c r="E46" s="166" t="s">
        <v>267</v>
      </c>
      <c r="F46" s="166" t="s">
        <v>158</v>
      </c>
      <c r="G46" s="167" t="s">
        <v>228</v>
      </c>
      <c r="H46" s="180" t="s">
        <v>247</v>
      </c>
      <c r="I46" s="168" t="s">
        <v>44</v>
      </c>
      <c r="J46" s="169">
        <v>116975</v>
      </c>
      <c r="K46" s="170">
        <v>1152</v>
      </c>
      <c r="L46" s="170">
        <v>115823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0</v>
      </c>
      <c r="X46" s="170">
        <v>0</v>
      </c>
      <c r="Y46" s="170">
        <f t="shared" si="0"/>
        <v>0</v>
      </c>
      <c r="Z46" s="171">
        <v>113274</v>
      </c>
      <c r="AA46" s="172">
        <v>1</v>
      </c>
      <c r="AB46" s="173">
        <v>44201</v>
      </c>
      <c r="AC46" s="174">
        <v>44221</v>
      </c>
      <c r="AD46" s="171"/>
      <c r="AE46" s="175"/>
      <c r="AF46" s="173"/>
      <c r="AG46" s="174"/>
      <c r="AH46" s="171"/>
      <c r="AI46" s="172"/>
      <c r="AJ46" s="173"/>
      <c r="AK46" s="174"/>
      <c r="AL46" s="171"/>
      <c r="AM46" s="172"/>
      <c r="AN46" s="176"/>
      <c r="AO46" s="174"/>
      <c r="AP46" s="171"/>
      <c r="AQ46" s="172"/>
      <c r="AR46" s="176"/>
      <c r="AS46" s="174"/>
      <c r="AT46" s="177">
        <f t="shared" si="1"/>
        <v>113274</v>
      </c>
      <c r="AU46" s="178">
        <f t="shared" si="2"/>
        <v>113274</v>
      </c>
    </row>
    <row r="47" spans="2:47" s="163" customFormat="1" ht="22.5">
      <c r="B47" s="164">
        <v>32</v>
      </c>
      <c r="C47" s="164" t="s">
        <v>65</v>
      </c>
      <c r="D47" s="165">
        <v>30481656</v>
      </c>
      <c r="E47" s="166" t="s">
        <v>268</v>
      </c>
      <c r="F47" s="166" t="s">
        <v>146</v>
      </c>
      <c r="G47" s="167" t="s">
        <v>228</v>
      </c>
      <c r="H47" s="180" t="s">
        <v>236</v>
      </c>
      <c r="I47" s="168" t="s">
        <v>44</v>
      </c>
      <c r="J47" s="169">
        <v>215552</v>
      </c>
      <c r="K47" s="170">
        <v>137952</v>
      </c>
      <c r="L47" s="170">
        <v>77600</v>
      </c>
      <c r="M47" s="170">
        <v>0</v>
      </c>
      <c r="N47" s="170">
        <v>0</v>
      </c>
      <c r="O47" s="170">
        <v>0</v>
      </c>
      <c r="P47" s="170">
        <v>0</v>
      </c>
      <c r="Q47" s="170">
        <v>0</v>
      </c>
      <c r="R47" s="170">
        <v>0</v>
      </c>
      <c r="S47" s="170">
        <v>0</v>
      </c>
      <c r="T47" s="170">
        <v>0</v>
      </c>
      <c r="U47" s="170">
        <v>0</v>
      </c>
      <c r="V47" s="170">
        <v>0</v>
      </c>
      <c r="W47" s="170">
        <v>0</v>
      </c>
      <c r="X47" s="170">
        <v>0</v>
      </c>
      <c r="Y47" s="170">
        <f t="shared" si="0"/>
        <v>0</v>
      </c>
      <c r="Z47" s="171">
        <v>77600</v>
      </c>
      <c r="AA47" s="172">
        <v>1</v>
      </c>
      <c r="AB47" s="173">
        <v>44201</v>
      </c>
      <c r="AC47" s="174">
        <v>44221</v>
      </c>
      <c r="AD47" s="171"/>
      <c r="AE47" s="175"/>
      <c r="AF47" s="173"/>
      <c r="AG47" s="174"/>
      <c r="AH47" s="171"/>
      <c r="AI47" s="172"/>
      <c r="AJ47" s="173"/>
      <c r="AK47" s="174"/>
      <c r="AL47" s="171"/>
      <c r="AM47" s="172"/>
      <c r="AN47" s="176"/>
      <c r="AO47" s="174"/>
      <c r="AP47" s="171"/>
      <c r="AQ47" s="172"/>
      <c r="AR47" s="176"/>
      <c r="AS47" s="174"/>
      <c r="AT47" s="177">
        <f t="shared" si="1"/>
        <v>77600</v>
      </c>
      <c r="AU47" s="178">
        <f t="shared" si="2"/>
        <v>77600</v>
      </c>
    </row>
    <row r="48" spans="2:47" s="163" customFormat="1">
      <c r="B48" s="164">
        <v>33</v>
      </c>
      <c r="C48" s="164" t="s">
        <v>39</v>
      </c>
      <c r="D48" s="165">
        <v>30481908</v>
      </c>
      <c r="E48" s="166" t="s">
        <v>269</v>
      </c>
      <c r="F48" s="166" t="s">
        <v>146</v>
      </c>
      <c r="G48" s="167" t="s">
        <v>228</v>
      </c>
      <c r="H48" s="180" t="s">
        <v>232</v>
      </c>
      <c r="I48" s="168" t="s">
        <v>44</v>
      </c>
      <c r="J48" s="169">
        <v>1694579</v>
      </c>
      <c r="K48" s="170">
        <v>753023</v>
      </c>
      <c r="L48" s="170">
        <v>0</v>
      </c>
      <c r="M48" s="170">
        <v>0</v>
      </c>
      <c r="N48" s="170">
        <f>90002195/1000</f>
        <v>90002.195000000007</v>
      </c>
      <c r="O48" s="170">
        <f>170176886/1000</f>
        <v>170176.886</v>
      </c>
      <c r="P48" s="170">
        <f>127522836/1000</f>
        <v>127522.836</v>
      </c>
      <c r="Q48" s="170">
        <f>100140589/1000</f>
        <v>100140.58900000001</v>
      </c>
      <c r="R48" s="170">
        <f>9372269/1000</f>
        <v>9372.2690000000002</v>
      </c>
      <c r="S48" s="170">
        <v>139235</v>
      </c>
      <c r="T48" s="170">
        <v>4080</v>
      </c>
      <c r="U48" s="170">
        <v>14840</v>
      </c>
      <c r="V48" s="170">
        <v>0</v>
      </c>
      <c r="W48" s="170">
        <v>0</v>
      </c>
      <c r="X48" s="170">
        <v>0</v>
      </c>
      <c r="Y48" s="170">
        <f t="shared" ref="Y48:Y79" si="3">SUM(M48:X48)</f>
        <v>655369.77500000002</v>
      </c>
      <c r="Z48" s="171">
        <v>941556</v>
      </c>
      <c r="AA48" s="172">
        <v>1</v>
      </c>
      <c r="AB48" s="173">
        <v>44201</v>
      </c>
      <c r="AC48" s="174">
        <v>44221</v>
      </c>
      <c r="AD48" s="171"/>
      <c r="AE48" s="175"/>
      <c r="AF48" s="173"/>
      <c r="AG48" s="174"/>
      <c r="AH48" s="171"/>
      <c r="AI48" s="172"/>
      <c r="AJ48" s="173"/>
      <c r="AK48" s="174"/>
      <c r="AL48" s="171"/>
      <c r="AM48" s="172"/>
      <c r="AN48" s="176"/>
      <c r="AO48" s="174"/>
      <c r="AP48" s="171"/>
      <c r="AQ48" s="172"/>
      <c r="AR48" s="176"/>
      <c r="AS48" s="174"/>
      <c r="AT48" s="177">
        <f t="shared" si="1"/>
        <v>941556</v>
      </c>
      <c r="AU48" s="178">
        <f t="shared" si="2"/>
        <v>286186.22499999998</v>
      </c>
    </row>
    <row r="49" spans="2:47" s="163" customFormat="1" ht="22.5">
      <c r="B49" s="164">
        <v>34</v>
      </c>
      <c r="C49" s="164" t="s">
        <v>39</v>
      </c>
      <c r="D49" s="165">
        <v>30482079</v>
      </c>
      <c r="E49" s="166" t="s">
        <v>270</v>
      </c>
      <c r="F49" s="166" t="s">
        <v>158</v>
      </c>
      <c r="G49" s="167" t="s">
        <v>228</v>
      </c>
      <c r="H49" s="180" t="s">
        <v>236</v>
      </c>
      <c r="I49" s="168" t="s">
        <v>44</v>
      </c>
      <c r="J49" s="169">
        <v>141613</v>
      </c>
      <c r="K49" s="170">
        <v>80742</v>
      </c>
      <c r="L49" s="170">
        <v>0</v>
      </c>
      <c r="M49" s="170">
        <f>28645000/1000</f>
        <v>28645</v>
      </c>
      <c r="N49" s="170">
        <v>0</v>
      </c>
      <c r="O49" s="170">
        <v>0</v>
      </c>
      <c r="P49" s="170">
        <v>0</v>
      </c>
      <c r="Q49" s="170">
        <f>14322500/1000</f>
        <v>14322.5</v>
      </c>
      <c r="R49" s="170">
        <v>0</v>
      </c>
      <c r="S49" s="170">
        <v>0</v>
      </c>
      <c r="T49" s="170">
        <v>0</v>
      </c>
      <c r="U49" s="170">
        <v>0</v>
      </c>
      <c r="V49" s="170">
        <v>0</v>
      </c>
      <c r="W49" s="170">
        <v>0</v>
      </c>
      <c r="X49" s="170">
        <v>0</v>
      </c>
      <c r="Y49" s="170">
        <f t="shared" si="3"/>
        <v>42967.5</v>
      </c>
      <c r="Z49" s="171">
        <v>60871</v>
      </c>
      <c r="AA49" s="172">
        <v>1</v>
      </c>
      <c r="AB49" s="173">
        <v>44201</v>
      </c>
      <c r="AC49" s="174">
        <v>44221</v>
      </c>
      <c r="AD49" s="171"/>
      <c r="AE49" s="175"/>
      <c r="AF49" s="173"/>
      <c r="AG49" s="174"/>
      <c r="AH49" s="171"/>
      <c r="AI49" s="172"/>
      <c r="AJ49" s="173"/>
      <c r="AK49" s="174"/>
      <c r="AL49" s="171"/>
      <c r="AM49" s="172"/>
      <c r="AN49" s="176"/>
      <c r="AO49" s="174"/>
      <c r="AP49" s="171"/>
      <c r="AQ49" s="172"/>
      <c r="AR49" s="176"/>
      <c r="AS49" s="174"/>
      <c r="AT49" s="177">
        <f t="shared" si="1"/>
        <v>60871</v>
      </c>
      <c r="AU49" s="178">
        <f t="shared" si="2"/>
        <v>17903.5</v>
      </c>
    </row>
    <row r="50" spans="2:47" s="163" customFormat="1" ht="33.75">
      <c r="B50" s="164">
        <v>35</v>
      </c>
      <c r="C50" s="164" t="s">
        <v>39</v>
      </c>
      <c r="D50" s="165">
        <v>30483963</v>
      </c>
      <c r="E50" s="166" t="s">
        <v>271</v>
      </c>
      <c r="F50" s="166" t="s">
        <v>231</v>
      </c>
      <c r="G50" s="167" t="s">
        <v>228</v>
      </c>
      <c r="H50" s="180" t="s">
        <v>232</v>
      </c>
      <c r="I50" s="168" t="s">
        <v>44</v>
      </c>
      <c r="J50" s="169">
        <v>110633</v>
      </c>
      <c r="K50" s="170">
        <v>99848</v>
      </c>
      <c r="L50" s="170">
        <v>0</v>
      </c>
      <c r="M50" s="170">
        <v>0</v>
      </c>
      <c r="N50" s="170">
        <f>10785000/1000</f>
        <v>10785</v>
      </c>
      <c r="O50" s="170">
        <v>0</v>
      </c>
      <c r="P50" s="170">
        <v>0</v>
      </c>
      <c r="Q50" s="170">
        <v>0</v>
      </c>
      <c r="R50" s="170">
        <v>0</v>
      </c>
      <c r="S50" s="170">
        <v>0</v>
      </c>
      <c r="T50" s="170">
        <v>0</v>
      </c>
      <c r="U50" s="170">
        <v>0</v>
      </c>
      <c r="V50" s="170">
        <v>0</v>
      </c>
      <c r="W50" s="170">
        <v>0</v>
      </c>
      <c r="X50" s="170">
        <v>0</v>
      </c>
      <c r="Y50" s="170">
        <f t="shared" si="3"/>
        <v>10785</v>
      </c>
      <c r="Z50" s="171">
        <v>10785</v>
      </c>
      <c r="AA50" s="172">
        <v>1</v>
      </c>
      <c r="AB50" s="173">
        <v>44201</v>
      </c>
      <c r="AC50" s="174">
        <v>44221</v>
      </c>
      <c r="AD50" s="171"/>
      <c r="AE50" s="175"/>
      <c r="AF50" s="173"/>
      <c r="AG50" s="174"/>
      <c r="AH50" s="171"/>
      <c r="AI50" s="172"/>
      <c r="AJ50" s="173"/>
      <c r="AK50" s="174"/>
      <c r="AL50" s="171"/>
      <c r="AM50" s="172"/>
      <c r="AN50" s="176"/>
      <c r="AO50" s="174"/>
      <c r="AP50" s="171"/>
      <c r="AQ50" s="172"/>
      <c r="AR50" s="176"/>
      <c r="AS50" s="174"/>
      <c r="AT50" s="177">
        <f t="shared" si="1"/>
        <v>10785</v>
      </c>
      <c r="AU50" s="178">
        <f t="shared" si="2"/>
        <v>0</v>
      </c>
    </row>
    <row r="51" spans="2:47" s="163" customFormat="1" ht="33.75">
      <c r="B51" s="164">
        <v>36</v>
      </c>
      <c r="C51" s="164" t="s">
        <v>39</v>
      </c>
      <c r="D51" s="165">
        <v>30485186</v>
      </c>
      <c r="E51" s="166" t="s">
        <v>272</v>
      </c>
      <c r="F51" s="166" t="s">
        <v>146</v>
      </c>
      <c r="G51" s="167" t="s">
        <v>228</v>
      </c>
      <c r="H51" s="180" t="s">
        <v>229</v>
      </c>
      <c r="I51" s="168" t="s">
        <v>44</v>
      </c>
      <c r="J51" s="169">
        <v>22186830</v>
      </c>
      <c r="K51" s="170">
        <v>1745710</v>
      </c>
      <c r="L51" s="170">
        <v>7149266</v>
      </c>
      <c r="M51" s="170">
        <f>438243884/1000</f>
        <v>438243.88400000002</v>
      </c>
      <c r="N51" s="170">
        <v>0</v>
      </c>
      <c r="O51" s="170">
        <f>148173780/1000</f>
        <v>148173.78</v>
      </c>
      <c r="P51" s="170">
        <f>155209556/1000</f>
        <v>155209.55600000001</v>
      </c>
      <c r="Q51" s="170">
        <f>97540177/1000</f>
        <v>97540.176999999996</v>
      </c>
      <c r="R51" s="170">
        <f>89253976/1000</f>
        <v>89253.975999999995</v>
      </c>
      <c r="S51" s="170">
        <v>65961</v>
      </c>
      <c r="T51" s="170">
        <v>168067</v>
      </c>
      <c r="U51" s="170">
        <v>167109</v>
      </c>
      <c r="V51" s="170">
        <v>0</v>
      </c>
      <c r="W51" s="170">
        <v>0</v>
      </c>
      <c r="X51" s="170">
        <v>0</v>
      </c>
      <c r="Y51" s="170">
        <f t="shared" si="3"/>
        <v>1329558.3730000001</v>
      </c>
      <c r="Z51" s="171">
        <v>2661000</v>
      </c>
      <c r="AA51" s="172">
        <v>1</v>
      </c>
      <c r="AB51" s="173">
        <v>44201</v>
      </c>
      <c r="AC51" s="174">
        <v>44221</v>
      </c>
      <c r="AD51" s="171"/>
      <c r="AE51" s="175"/>
      <c r="AF51" s="173"/>
      <c r="AG51" s="174"/>
      <c r="AH51" s="171"/>
      <c r="AI51" s="172"/>
      <c r="AJ51" s="173"/>
      <c r="AK51" s="174"/>
      <c r="AL51" s="171"/>
      <c r="AM51" s="172"/>
      <c r="AN51" s="176"/>
      <c r="AO51" s="174"/>
      <c r="AP51" s="171"/>
      <c r="AQ51" s="172"/>
      <c r="AR51" s="176"/>
      <c r="AS51" s="174"/>
      <c r="AT51" s="177">
        <f t="shared" si="1"/>
        <v>2661000</v>
      </c>
      <c r="AU51" s="178">
        <f t="shared" si="2"/>
        <v>1331441.6269999999</v>
      </c>
    </row>
    <row r="52" spans="2:47" s="163" customFormat="1" ht="22.5">
      <c r="B52" s="164">
        <v>37</v>
      </c>
      <c r="C52" s="164" t="s">
        <v>39</v>
      </c>
      <c r="D52" s="165">
        <v>30486108</v>
      </c>
      <c r="E52" s="166" t="s">
        <v>273</v>
      </c>
      <c r="F52" s="166" t="s">
        <v>158</v>
      </c>
      <c r="G52" s="167" t="s">
        <v>228</v>
      </c>
      <c r="H52" s="180" t="s">
        <v>229</v>
      </c>
      <c r="I52" s="168" t="s">
        <v>44</v>
      </c>
      <c r="J52" s="169">
        <v>222079</v>
      </c>
      <c r="K52" s="170">
        <v>3811</v>
      </c>
      <c r="L52" s="170">
        <v>0</v>
      </c>
      <c r="M52" s="170">
        <v>0</v>
      </c>
      <c r="N52" s="170">
        <v>0</v>
      </c>
      <c r="O52" s="170">
        <f>21699870/1000</f>
        <v>21699.87</v>
      </c>
      <c r="P52" s="170">
        <f>43399739/1000</f>
        <v>43399.739000000001</v>
      </c>
      <c r="Q52" s="170">
        <v>0</v>
      </c>
      <c r="R52" s="170">
        <v>0</v>
      </c>
      <c r="S52" s="170">
        <v>54250</v>
      </c>
      <c r="T52" s="170">
        <v>0</v>
      </c>
      <c r="U52" s="170">
        <v>0</v>
      </c>
      <c r="V52" s="170">
        <v>0</v>
      </c>
      <c r="W52" s="170">
        <v>0</v>
      </c>
      <c r="X52" s="170">
        <v>0</v>
      </c>
      <c r="Y52" s="170">
        <f t="shared" si="3"/>
        <v>119349.609</v>
      </c>
      <c r="Z52" s="171">
        <v>228382</v>
      </c>
      <c r="AA52" s="172">
        <v>1</v>
      </c>
      <c r="AB52" s="173">
        <v>44201</v>
      </c>
      <c r="AC52" s="174">
        <v>44221</v>
      </c>
      <c r="AD52" s="171"/>
      <c r="AE52" s="175"/>
      <c r="AF52" s="173"/>
      <c r="AG52" s="174"/>
      <c r="AH52" s="171"/>
      <c r="AI52" s="172"/>
      <c r="AJ52" s="173"/>
      <c r="AK52" s="174"/>
      <c r="AL52" s="171"/>
      <c r="AM52" s="172"/>
      <c r="AN52" s="176"/>
      <c r="AO52" s="174"/>
      <c r="AP52" s="171"/>
      <c r="AQ52" s="172"/>
      <c r="AR52" s="176"/>
      <c r="AS52" s="174"/>
      <c r="AT52" s="177">
        <f t="shared" si="1"/>
        <v>228382</v>
      </c>
      <c r="AU52" s="178">
        <f t="shared" si="2"/>
        <v>109032.391</v>
      </c>
    </row>
    <row r="53" spans="2:47" s="163" customFormat="1" ht="22.5">
      <c r="B53" s="164">
        <v>38</v>
      </c>
      <c r="C53" s="164" t="s">
        <v>39</v>
      </c>
      <c r="D53" s="165">
        <v>30486510</v>
      </c>
      <c r="E53" s="166" t="s">
        <v>274</v>
      </c>
      <c r="F53" s="166" t="s">
        <v>158</v>
      </c>
      <c r="G53" s="167" t="s">
        <v>228</v>
      </c>
      <c r="H53" s="180" t="s">
        <v>229</v>
      </c>
      <c r="I53" s="168" t="s">
        <v>44</v>
      </c>
      <c r="J53" s="169">
        <v>164052</v>
      </c>
      <c r="K53" s="170">
        <v>1268</v>
      </c>
      <c r="L53" s="170">
        <v>1</v>
      </c>
      <c r="M53" s="170">
        <v>0</v>
      </c>
      <c r="N53" s="170">
        <v>0</v>
      </c>
      <c r="O53" s="170">
        <v>0</v>
      </c>
      <c r="P53" s="170">
        <v>0</v>
      </c>
      <c r="Q53" s="170">
        <f>48113555/1000</f>
        <v>48113.555</v>
      </c>
      <c r="R53" s="170">
        <v>0</v>
      </c>
      <c r="S53" s="170">
        <v>0</v>
      </c>
      <c r="T53" s="170">
        <v>0</v>
      </c>
      <c r="U53" s="170">
        <v>316</v>
      </c>
      <c r="V53" s="170">
        <v>0</v>
      </c>
      <c r="W53" s="170">
        <v>0</v>
      </c>
      <c r="X53" s="170">
        <v>0</v>
      </c>
      <c r="Y53" s="170">
        <f t="shared" si="3"/>
        <v>48429.555</v>
      </c>
      <c r="Z53" s="171">
        <v>162783</v>
      </c>
      <c r="AA53" s="172">
        <v>1</v>
      </c>
      <c r="AB53" s="173">
        <v>44201</v>
      </c>
      <c r="AC53" s="174">
        <v>44221</v>
      </c>
      <c r="AD53" s="171"/>
      <c r="AE53" s="175"/>
      <c r="AF53" s="173"/>
      <c r="AG53" s="174"/>
      <c r="AH53" s="171"/>
      <c r="AI53" s="172"/>
      <c r="AJ53" s="173"/>
      <c r="AK53" s="174"/>
      <c r="AL53" s="171"/>
      <c r="AM53" s="172"/>
      <c r="AN53" s="176"/>
      <c r="AO53" s="174"/>
      <c r="AP53" s="171"/>
      <c r="AQ53" s="172"/>
      <c r="AR53" s="176"/>
      <c r="AS53" s="174"/>
      <c r="AT53" s="177">
        <f t="shared" si="1"/>
        <v>162783</v>
      </c>
      <c r="AU53" s="178">
        <f t="shared" si="2"/>
        <v>114353.44500000001</v>
      </c>
    </row>
    <row r="54" spans="2:47" s="163" customFormat="1" ht="22.5">
      <c r="B54" s="164">
        <v>39</v>
      </c>
      <c r="C54" s="164" t="s">
        <v>39</v>
      </c>
      <c r="D54" s="165">
        <v>40008790</v>
      </c>
      <c r="E54" s="166" t="s">
        <v>275</v>
      </c>
      <c r="F54" s="166" t="s">
        <v>146</v>
      </c>
      <c r="G54" s="167" t="s">
        <v>228</v>
      </c>
      <c r="H54" s="180" t="s">
        <v>232</v>
      </c>
      <c r="I54" s="168" t="s">
        <v>44</v>
      </c>
      <c r="J54" s="169">
        <v>7891675</v>
      </c>
      <c r="K54" s="170">
        <v>4363443</v>
      </c>
      <c r="L54" s="170">
        <v>0</v>
      </c>
      <c r="M54" s="170">
        <f>1350548874/1000</f>
        <v>1350548.8740000001</v>
      </c>
      <c r="N54" s="170">
        <f>472857672/1000</f>
        <v>472857.67200000002</v>
      </c>
      <c r="O54" s="170">
        <f>247707565/1000</f>
        <v>247707.565</v>
      </c>
      <c r="P54" s="170">
        <v>0</v>
      </c>
      <c r="Q54" s="170">
        <v>0</v>
      </c>
      <c r="R54" s="170">
        <f>1451653105/1000</f>
        <v>1451653.105</v>
      </c>
      <c r="S54" s="170">
        <v>4979</v>
      </c>
      <c r="T54" s="170">
        <v>0</v>
      </c>
      <c r="U54" s="170">
        <v>0</v>
      </c>
      <c r="V54" s="170">
        <v>0</v>
      </c>
      <c r="W54" s="170">
        <v>0</v>
      </c>
      <c r="X54" s="170">
        <v>0</v>
      </c>
      <c r="Y54" s="170">
        <f t="shared" si="3"/>
        <v>3527746.216</v>
      </c>
      <c r="Z54" s="171">
        <v>2532486</v>
      </c>
      <c r="AA54" s="172">
        <v>1</v>
      </c>
      <c r="AB54" s="173">
        <v>44201</v>
      </c>
      <c r="AC54" s="174">
        <v>44221</v>
      </c>
      <c r="AD54" s="171">
        <v>995746</v>
      </c>
      <c r="AE54" s="175">
        <v>33</v>
      </c>
      <c r="AF54" s="173">
        <v>44344</v>
      </c>
      <c r="AG54" s="174">
        <v>44369</v>
      </c>
      <c r="AH54" s="171"/>
      <c r="AI54" s="172"/>
      <c r="AJ54" s="173"/>
      <c r="AK54" s="174"/>
      <c r="AL54" s="171"/>
      <c r="AM54" s="172"/>
      <c r="AN54" s="176"/>
      <c r="AO54" s="174"/>
      <c r="AP54" s="171"/>
      <c r="AQ54" s="172"/>
      <c r="AR54" s="176"/>
      <c r="AS54" s="174"/>
      <c r="AT54" s="177">
        <f t="shared" si="1"/>
        <v>3528232</v>
      </c>
      <c r="AU54" s="178">
        <f t="shared" si="2"/>
        <v>485.7839999999851</v>
      </c>
    </row>
    <row r="55" spans="2:47" s="163" customFormat="1" ht="22.5">
      <c r="B55" s="164">
        <v>40</v>
      </c>
      <c r="C55" s="164" t="s">
        <v>39</v>
      </c>
      <c r="D55" s="165">
        <v>40014026</v>
      </c>
      <c r="E55" s="166" t="s">
        <v>276</v>
      </c>
      <c r="F55" s="166" t="s">
        <v>146</v>
      </c>
      <c r="G55" s="167" t="s">
        <v>228</v>
      </c>
      <c r="H55" s="180" t="s">
        <v>229</v>
      </c>
      <c r="I55" s="168" t="s">
        <v>44</v>
      </c>
      <c r="J55" s="169">
        <v>1110766</v>
      </c>
      <c r="K55" s="170">
        <v>141423</v>
      </c>
      <c r="L55" s="170">
        <v>0</v>
      </c>
      <c r="M55" s="170">
        <f>23692885/1000</f>
        <v>23692.884999999998</v>
      </c>
      <c r="N55" s="170">
        <f>15281256/1000</f>
        <v>15281.255999999999</v>
      </c>
      <c r="O55" s="170">
        <v>0</v>
      </c>
      <c r="P55" s="170">
        <v>0</v>
      </c>
      <c r="Q55" s="170">
        <v>0</v>
      </c>
      <c r="R55" s="170">
        <v>0</v>
      </c>
      <c r="S55" s="170">
        <v>0</v>
      </c>
      <c r="T55" s="170">
        <v>13144</v>
      </c>
      <c r="U55" s="170">
        <v>46273</v>
      </c>
      <c r="V55" s="170">
        <v>0</v>
      </c>
      <c r="W55" s="170">
        <v>0</v>
      </c>
      <c r="X55" s="170">
        <v>0</v>
      </c>
      <c r="Y55" s="170">
        <f t="shared" si="3"/>
        <v>98391.141000000003</v>
      </c>
      <c r="Z55" s="171">
        <v>183625</v>
      </c>
      <c r="AA55" s="172">
        <v>1</v>
      </c>
      <c r="AB55" s="173">
        <v>44201</v>
      </c>
      <c r="AC55" s="174">
        <v>44221</v>
      </c>
      <c r="AD55" s="171">
        <v>2489</v>
      </c>
      <c r="AE55" s="175">
        <v>33</v>
      </c>
      <c r="AF55" s="173">
        <v>44344</v>
      </c>
      <c r="AG55" s="174">
        <v>44369</v>
      </c>
      <c r="AH55" s="171"/>
      <c r="AI55" s="172"/>
      <c r="AJ55" s="173"/>
      <c r="AK55" s="174"/>
      <c r="AL55" s="171"/>
      <c r="AM55" s="172"/>
      <c r="AN55" s="176"/>
      <c r="AO55" s="174"/>
      <c r="AP55" s="171"/>
      <c r="AQ55" s="172"/>
      <c r="AR55" s="176"/>
      <c r="AS55" s="174"/>
      <c r="AT55" s="177">
        <f t="shared" si="1"/>
        <v>186114</v>
      </c>
      <c r="AU55" s="178">
        <f t="shared" si="2"/>
        <v>87722.858999999997</v>
      </c>
    </row>
    <row r="56" spans="2:47" s="163" customFormat="1" ht="22.5">
      <c r="B56" s="164">
        <v>41</v>
      </c>
      <c r="C56" s="164" t="s">
        <v>39</v>
      </c>
      <c r="D56" s="165">
        <v>40014220</v>
      </c>
      <c r="E56" s="166" t="s">
        <v>277</v>
      </c>
      <c r="F56" s="166" t="s">
        <v>158</v>
      </c>
      <c r="G56" s="167" t="s">
        <v>228</v>
      </c>
      <c r="H56" s="180" t="s">
        <v>253</v>
      </c>
      <c r="I56" s="168" t="s">
        <v>44</v>
      </c>
      <c r="J56" s="169">
        <v>83591</v>
      </c>
      <c r="K56" s="170">
        <v>0</v>
      </c>
      <c r="L56" s="170">
        <v>0</v>
      </c>
      <c r="M56" s="170">
        <v>0</v>
      </c>
      <c r="N56" s="170">
        <v>0</v>
      </c>
      <c r="O56" s="170">
        <f>24000000/1000</f>
        <v>24000</v>
      </c>
      <c r="P56" s="170">
        <v>0</v>
      </c>
      <c r="Q56" s="170">
        <v>0</v>
      </c>
      <c r="R56" s="170">
        <f>16000000/1000</f>
        <v>16000</v>
      </c>
      <c r="S56" s="170">
        <v>0</v>
      </c>
      <c r="T56" s="170">
        <v>0</v>
      </c>
      <c r="U56" s="170">
        <v>0</v>
      </c>
      <c r="V56" s="170">
        <v>0</v>
      </c>
      <c r="W56" s="170">
        <v>0</v>
      </c>
      <c r="X56" s="170">
        <v>0</v>
      </c>
      <c r="Y56" s="170">
        <f t="shared" si="3"/>
        <v>40000</v>
      </c>
      <c r="Z56" s="171">
        <v>83591</v>
      </c>
      <c r="AA56" s="172">
        <v>1</v>
      </c>
      <c r="AB56" s="173">
        <v>44201</v>
      </c>
      <c r="AC56" s="174">
        <v>44221</v>
      </c>
      <c r="AD56" s="171"/>
      <c r="AE56" s="175"/>
      <c r="AF56" s="173"/>
      <c r="AG56" s="174"/>
      <c r="AH56" s="171"/>
      <c r="AI56" s="172"/>
      <c r="AJ56" s="173"/>
      <c r="AK56" s="174"/>
      <c r="AL56" s="171"/>
      <c r="AM56" s="172"/>
      <c r="AN56" s="176"/>
      <c r="AO56" s="174"/>
      <c r="AP56" s="171"/>
      <c r="AQ56" s="172"/>
      <c r="AR56" s="176"/>
      <c r="AS56" s="174"/>
      <c r="AT56" s="177">
        <f t="shared" si="1"/>
        <v>83591</v>
      </c>
      <c r="AU56" s="178">
        <f t="shared" si="2"/>
        <v>43591</v>
      </c>
    </row>
    <row r="57" spans="2:47" s="163" customFormat="1" ht="33.75">
      <c r="B57" s="164">
        <v>42</v>
      </c>
      <c r="C57" s="164" t="s">
        <v>39</v>
      </c>
      <c r="D57" s="165">
        <v>40018702</v>
      </c>
      <c r="E57" s="166" t="s">
        <v>278</v>
      </c>
      <c r="F57" s="166" t="s">
        <v>146</v>
      </c>
      <c r="G57" s="167" t="s">
        <v>228</v>
      </c>
      <c r="H57" s="180" t="s">
        <v>229</v>
      </c>
      <c r="I57" s="168" t="s">
        <v>44</v>
      </c>
      <c r="J57" s="169">
        <v>2635707</v>
      </c>
      <c r="K57" s="170">
        <v>6818</v>
      </c>
      <c r="L57" s="170">
        <v>1127289</v>
      </c>
      <c r="M57" s="170">
        <v>0</v>
      </c>
      <c r="N57" s="170">
        <v>0</v>
      </c>
      <c r="O57" s="170">
        <v>0</v>
      </c>
      <c r="P57" s="170">
        <f>142873363/1000</f>
        <v>142873.36300000001</v>
      </c>
      <c r="Q57" s="170">
        <f>119173134/1000</f>
        <v>119173.13400000001</v>
      </c>
      <c r="R57" s="170">
        <f>229370785/1000</f>
        <v>229370.785</v>
      </c>
      <c r="S57" s="170">
        <v>116406</v>
      </c>
      <c r="T57" s="170">
        <v>138671</v>
      </c>
      <c r="U57" s="170">
        <v>97277</v>
      </c>
      <c r="V57" s="170">
        <v>0</v>
      </c>
      <c r="W57" s="170">
        <v>0</v>
      </c>
      <c r="X57" s="170">
        <v>0</v>
      </c>
      <c r="Y57" s="170">
        <f t="shared" si="3"/>
        <v>843771.28200000001</v>
      </c>
      <c r="Z57" s="171">
        <v>1090600</v>
      </c>
      <c r="AA57" s="172">
        <v>1</v>
      </c>
      <c r="AB57" s="173">
        <v>44201</v>
      </c>
      <c r="AC57" s="174">
        <v>44221</v>
      </c>
      <c r="AD57" s="171">
        <v>11000</v>
      </c>
      <c r="AE57" s="175">
        <v>33</v>
      </c>
      <c r="AF57" s="173">
        <v>44344</v>
      </c>
      <c r="AG57" s="174">
        <v>44369</v>
      </c>
      <c r="AH57" s="171">
        <v>400000</v>
      </c>
      <c r="AI57" s="172">
        <v>62</v>
      </c>
      <c r="AJ57" s="173">
        <v>44435</v>
      </c>
      <c r="AK57" s="174">
        <v>44452</v>
      </c>
      <c r="AL57" s="171"/>
      <c r="AM57" s="172"/>
      <c r="AN57" s="176"/>
      <c r="AO57" s="174"/>
      <c r="AP57" s="171"/>
      <c r="AQ57" s="172"/>
      <c r="AR57" s="176"/>
      <c r="AS57" s="174"/>
      <c r="AT57" s="177">
        <f t="shared" si="1"/>
        <v>1501600</v>
      </c>
      <c r="AU57" s="178">
        <f t="shared" si="2"/>
        <v>657828.71799999999</v>
      </c>
    </row>
    <row r="58" spans="2:47" s="163" customFormat="1" ht="33.75">
      <c r="B58" s="164">
        <v>43</v>
      </c>
      <c r="C58" s="164" t="s">
        <v>39</v>
      </c>
      <c r="D58" s="165">
        <v>30074129</v>
      </c>
      <c r="E58" s="166" t="s">
        <v>279</v>
      </c>
      <c r="F58" s="166" t="s">
        <v>146</v>
      </c>
      <c r="G58" s="167" t="s">
        <v>228</v>
      </c>
      <c r="H58" s="180" t="s">
        <v>247</v>
      </c>
      <c r="I58" s="168" t="s">
        <v>44</v>
      </c>
      <c r="J58" s="169">
        <v>7205474</v>
      </c>
      <c r="K58" s="170">
        <v>6442</v>
      </c>
      <c r="L58" s="170">
        <v>1933719</v>
      </c>
      <c r="M58" s="170">
        <v>0</v>
      </c>
      <c r="N58" s="170">
        <v>0</v>
      </c>
      <c r="O58" s="170">
        <v>0</v>
      </c>
      <c r="P58" s="170">
        <v>0</v>
      </c>
      <c r="Q58" s="170">
        <v>0</v>
      </c>
      <c r="R58" s="170">
        <v>0</v>
      </c>
      <c r="S58" s="170">
        <v>0</v>
      </c>
      <c r="T58" s="170">
        <v>0</v>
      </c>
      <c r="U58" s="170">
        <v>11000</v>
      </c>
      <c r="V58" s="170">
        <v>0</v>
      </c>
      <c r="W58" s="170">
        <v>0</v>
      </c>
      <c r="X58" s="170">
        <v>0</v>
      </c>
      <c r="Y58" s="170">
        <f t="shared" si="3"/>
        <v>11000</v>
      </c>
      <c r="Z58" s="171">
        <v>1418325</v>
      </c>
      <c r="AA58" s="172">
        <v>6</v>
      </c>
      <c r="AB58" s="173">
        <v>44249</v>
      </c>
      <c r="AC58" s="174">
        <v>44221</v>
      </c>
      <c r="AD58" s="171">
        <v>-498</v>
      </c>
      <c r="AE58" s="175">
        <v>33</v>
      </c>
      <c r="AF58" s="173">
        <v>44344</v>
      </c>
      <c r="AG58" s="174">
        <v>44369</v>
      </c>
      <c r="AH58" s="171"/>
      <c r="AI58" s="172"/>
      <c r="AJ58" s="173"/>
      <c r="AK58" s="174"/>
      <c r="AL58" s="171"/>
      <c r="AM58" s="172"/>
      <c r="AN58" s="176"/>
      <c r="AO58" s="174"/>
      <c r="AP58" s="171"/>
      <c r="AQ58" s="172"/>
      <c r="AR58" s="176"/>
      <c r="AS58" s="174"/>
      <c r="AT58" s="177">
        <f t="shared" si="1"/>
        <v>1417827</v>
      </c>
      <c r="AU58" s="178">
        <f t="shared" si="2"/>
        <v>1406827</v>
      </c>
    </row>
    <row r="59" spans="2:47" s="163" customFormat="1" ht="22.5">
      <c r="B59" s="164">
        <v>44</v>
      </c>
      <c r="C59" s="164" t="s">
        <v>39</v>
      </c>
      <c r="D59" s="165">
        <v>30137533</v>
      </c>
      <c r="E59" s="166" t="s">
        <v>280</v>
      </c>
      <c r="F59" s="166" t="s">
        <v>146</v>
      </c>
      <c r="G59" s="167" t="s">
        <v>228</v>
      </c>
      <c r="H59" s="180" t="s">
        <v>249</v>
      </c>
      <c r="I59" s="168" t="s">
        <v>44</v>
      </c>
      <c r="J59" s="169">
        <v>1550317</v>
      </c>
      <c r="K59" s="170">
        <v>9250</v>
      </c>
      <c r="L59" s="170">
        <v>1541066</v>
      </c>
      <c r="M59" s="170">
        <v>0</v>
      </c>
      <c r="N59" s="170">
        <v>0</v>
      </c>
      <c r="O59" s="170">
        <v>0</v>
      </c>
      <c r="P59" s="170">
        <v>0</v>
      </c>
      <c r="Q59" s="170">
        <v>0</v>
      </c>
      <c r="R59" s="170">
        <v>0</v>
      </c>
      <c r="S59" s="170">
        <v>0</v>
      </c>
      <c r="T59" s="170">
        <v>0</v>
      </c>
      <c r="U59" s="170">
        <v>0</v>
      </c>
      <c r="V59" s="170">
        <v>0</v>
      </c>
      <c r="W59" s="170">
        <v>0</v>
      </c>
      <c r="X59" s="170">
        <v>0</v>
      </c>
      <c r="Y59" s="170">
        <f t="shared" si="3"/>
        <v>0</v>
      </c>
      <c r="Z59" s="171">
        <v>1</v>
      </c>
      <c r="AA59" s="172">
        <v>6</v>
      </c>
      <c r="AB59" s="173">
        <v>44249</v>
      </c>
      <c r="AC59" s="174">
        <v>44272</v>
      </c>
      <c r="AD59" s="171"/>
      <c r="AE59" s="175"/>
      <c r="AF59" s="173"/>
      <c r="AG59" s="174"/>
      <c r="AH59" s="171"/>
      <c r="AI59" s="172"/>
      <c r="AJ59" s="173"/>
      <c r="AK59" s="174"/>
      <c r="AL59" s="171"/>
      <c r="AM59" s="172"/>
      <c r="AN59" s="176"/>
      <c r="AO59" s="174"/>
      <c r="AP59" s="171"/>
      <c r="AQ59" s="172"/>
      <c r="AR59" s="176"/>
      <c r="AS59" s="174"/>
      <c r="AT59" s="177">
        <f t="shared" si="1"/>
        <v>1</v>
      </c>
      <c r="AU59" s="178">
        <f t="shared" si="2"/>
        <v>1</v>
      </c>
    </row>
    <row r="60" spans="2:47" s="163" customFormat="1" ht="22.5">
      <c r="B60" s="164">
        <v>45</v>
      </c>
      <c r="C60" s="164" t="s">
        <v>39</v>
      </c>
      <c r="D60" s="165">
        <v>30394275</v>
      </c>
      <c r="E60" s="166" t="s">
        <v>281</v>
      </c>
      <c r="F60" s="166" t="s">
        <v>146</v>
      </c>
      <c r="G60" s="167" t="s">
        <v>228</v>
      </c>
      <c r="H60" s="180" t="s">
        <v>247</v>
      </c>
      <c r="I60" s="168" t="s">
        <v>44</v>
      </c>
      <c r="J60" s="169">
        <v>2392282</v>
      </c>
      <c r="K60" s="170">
        <v>0</v>
      </c>
      <c r="L60" s="170">
        <v>486198</v>
      </c>
      <c r="M60" s="170">
        <v>0</v>
      </c>
      <c r="N60" s="170">
        <v>0</v>
      </c>
      <c r="O60" s="170">
        <f>107818216/1000</f>
        <v>107818.216</v>
      </c>
      <c r="P60" s="170">
        <v>0</v>
      </c>
      <c r="Q60" s="170">
        <f>29432831/1000</f>
        <v>29432.830999999998</v>
      </c>
      <c r="R60" s="170">
        <f>163020044/1000</f>
        <v>163020.04399999999</v>
      </c>
      <c r="S60" s="170">
        <v>191137</v>
      </c>
      <c r="T60" s="170">
        <v>257659</v>
      </c>
      <c r="U60" s="170">
        <v>422982</v>
      </c>
      <c r="V60" s="170">
        <v>0</v>
      </c>
      <c r="W60" s="170">
        <v>0</v>
      </c>
      <c r="X60" s="170">
        <v>0</v>
      </c>
      <c r="Y60" s="170">
        <f t="shared" si="3"/>
        <v>1172049.091</v>
      </c>
      <c r="Z60" s="171">
        <v>1173195</v>
      </c>
      <c r="AA60" s="172">
        <v>6</v>
      </c>
      <c r="AB60" s="173">
        <v>44249</v>
      </c>
      <c r="AC60" s="174">
        <v>44272</v>
      </c>
      <c r="AD60" s="171">
        <v>-13</v>
      </c>
      <c r="AE60" s="175">
        <v>33</v>
      </c>
      <c r="AF60" s="173">
        <v>44344</v>
      </c>
      <c r="AG60" s="174">
        <v>44369</v>
      </c>
      <c r="AH60" s="171"/>
      <c r="AI60" s="172"/>
      <c r="AJ60" s="173"/>
      <c r="AK60" s="174"/>
      <c r="AL60" s="171"/>
      <c r="AM60" s="172"/>
      <c r="AN60" s="176"/>
      <c r="AO60" s="174"/>
      <c r="AP60" s="171"/>
      <c r="AQ60" s="172"/>
      <c r="AR60" s="176"/>
      <c r="AS60" s="174"/>
      <c r="AT60" s="177">
        <f t="shared" si="1"/>
        <v>1173182</v>
      </c>
      <c r="AU60" s="178">
        <f t="shared" si="2"/>
        <v>1132.9089999999851</v>
      </c>
    </row>
    <row r="61" spans="2:47" s="163" customFormat="1" ht="22.5">
      <c r="B61" s="164">
        <v>46</v>
      </c>
      <c r="C61" s="164" t="s">
        <v>39</v>
      </c>
      <c r="D61" s="165">
        <v>30457676</v>
      </c>
      <c r="E61" s="166" t="s">
        <v>282</v>
      </c>
      <c r="F61" s="166" t="s">
        <v>146</v>
      </c>
      <c r="G61" s="167" t="s">
        <v>228</v>
      </c>
      <c r="H61" s="180" t="s">
        <v>229</v>
      </c>
      <c r="I61" s="168" t="s">
        <v>44</v>
      </c>
      <c r="J61" s="169">
        <v>6722429</v>
      </c>
      <c r="K61" s="170">
        <v>10123</v>
      </c>
      <c r="L61" s="170">
        <v>2182262</v>
      </c>
      <c r="M61" s="170">
        <v>0</v>
      </c>
      <c r="N61" s="170">
        <v>0</v>
      </c>
      <c r="O61" s="170">
        <v>0</v>
      </c>
      <c r="P61" s="170">
        <v>0</v>
      </c>
      <c r="Q61" s="170">
        <v>0</v>
      </c>
      <c r="R61" s="170">
        <v>0</v>
      </c>
      <c r="S61" s="170">
        <v>0</v>
      </c>
      <c r="T61" s="170">
        <v>177209</v>
      </c>
      <c r="U61" s="170">
        <v>150419</v>
      </c>
      <c r="V61" s="170">
        <v>0</v>
      </c>
      <c r="W61" s="170">
        <v>0</v>
      </c>
      <c r="X61" s="170">
        <v>0</v>
      </c>
      <c r="Y61" s="170">
        <f t="shared" si="3"/>
        <v>327628</v>
      </c>
      <c r="Z61" s="171">
        <v>1223341</v>
      </c>
      <c r="AA61" s="172">
        <v>6</v>
      </c>
      <c r="AB61" s="173">
        <v>44249</v>
      </c>
      <c r="AC61" s="174">
        <v>44272</v>
      </c>
      <c r="AD61" s="171">
        <v>18098</v>
      </c>
      <c r="AE61" s="175">
        <v>33</v>
      </c>
      <c r="AF61" s="173">
        <v>44344</v>
      </c>
      <c r="AG61" s="174">
        <v>44369</v>
      </c>
      <c r="AH61" s="171"/>
      <c r="AI61" s="172"/>
      <c r="AJ61" s="173"/>
      <c r="AK61" s="174"/>
      <c r="AL61" s="171"/>
      <c r="AM61" s="172"/>
      <c r="AN61" s="176"/>
      <c r="AO61" s="174"/>
      <c r="AP61" s="171"/>
      <c r="AQ61" s="172"/>
      <c r="AR61" s="176"/>
      <c r="AS61" s="174"/>
      <c r="AT61" s="177">
        <f t="shared" si="1"/>
        <v>1241439</v>
      </c>
      <c r="AU61" s="178">
        <f t="shared" si="2"/>
        <v>913811</v>
      </c>
    </row>
    <row r="62" spans="2:47" s="163" customFormat="1" ht="22.5">
      <c r="B62" s="164">
        <v>47</v>
      </c>
      <c r="C62" s="164" t="s">
        <v>39</v>
      </c>
      <c r="D62" s="165">
        <v>40005850</v>
      </c>
      <c r="E62" s="166" t="s">
        <v>283</v>
      </c>
      <c r="F62" s="166" t="s">
        <v>146</v>
      </c>
      <c r="G62" s="167" t="s">
        <v>228</v>
      </c>
      <c r="H62" s="180" t="s">
        <v>236</v>
      </c>
      <c r="I62" s="168" t="s">
        <v>44</v>
      </c>
      <c r="J62" s="169">
        <v>15479193</v>
      </c>
      <c r="K62" s="170">
        <v>0</v>
      </c>
      <c r="L62" s="170">
        <v>4334096</v>
      </c>
      <c r="M62" s="170">
        <v>0</v>
      </c>
      <c r="N62" s="170">
        <v>0</v>
      </c>
      <c r="O62" s="170">
        <v>0</v>
      </c>
      <c r="P62" s="170">
        <f>322566178/1000</f>
        <v>322566.17800000001</v>
      </c>
      <c r="Q62" s="170">
        <f>222434822/1000</f>
        <v>222434.82199999999</v>
      </c>
      <c r="R62" s="170">
        <f>602911433/1000</f>
        <v>602911.43299999996</v>
      </c>
      <c r="S62" s="170">
        <v>300787</v>
      </c>
      <c r="T62" s="170">
        <v>481270</v>
      </c>
      <c r="U62" s="170">
        <v>408047</v>
      </c>
      <c r="V62" s="170">
        <v>0</v>
      </c>
      <c r="W62" s="170">
        <v>0</v>
      </c>
      <c r="X62" s="170">
        <v>0</v>
      </c>
      <c r="Y62" s="170">
        <f t="shared" si="3"/>
        <v>2338016.4330000002</v>
      </c>
      <c r="Z62" s="171">
        <v>547520</v>
      </c>
      <c r="AA62" s="172">
        <v>6</v>
      </c>
      <c r="AB62" s="173">
        <v>44249</v>
      </c>
      <c r="AC62" s="174">
        <v>44272</v>
      </c>
      <c r="AD62" s="171">
        <v>1003781</v>
      </c>
      <c r="AE62" s="175">
        <v>33</v>
      </c>
      <c r="AF62" s="173">
        <v>44344</v>
      </c>
      <c r="AG62" s="174">
        <v>44369</v>
      </c>
      <c r="AH62" s="171">
        <v>1000000</v>
      </c>
      <c r="AI62" s="172">
        <v>51</v>
      </c>
      <c r="AJ62" s="173">
        <v>44389</v>
      </c>
      <c r="AK62" s="174">
        <v>44413</v>
      </c>
      <c r="AL62" s="171"/>
      <c r="AM62" s="172"/>
      <c r="AN62" s="176"/>
      <c r="AO62" s="174"/>
      <c r="AP62" s="171"/>
      <c r="AQ62" s="172"/>
      <c r="AR62" s="176"/>
      <c r="AS62" s="174"/>
      <c r="AT62" s="177">
        <f t="shared" si="1"/>
        <v>2551301</v>
      </c>
      <c r="AU62" s="178">
        <f t="shared" si="2"/>
        <v>213284.56699999981</v>
      </c>
    </row>
    <row r="63" spans="2:47" s="163" customFormat="1" ht="22.5">
      <c r="B63" s="164">
        <v>48</v>
      </c>
      <c r="C63" s="164" t="s">
        <v>39</v>
      </c>
      <c r="D63" s="165">
        <v>40007595</v>
      </c>
      <c r="E63" s="166" t="s">
        <v>284</v>
      </c>
      <c r="F63" s="166" t="s">
        <v>146</v>
      </c>
      <c r="G63" s="167" t="s">
        <v>228</v>
      </c>
      <c r="H63" s="180" t="s">
        <v>150</v>
      </c>
      <c r="I63" s="168" t="s">
        <v>44</v>
      </c>
      <c r="J63" s="169">
        <v>1631804</v>
      </c>
      <c r="K63" s="170">
        <v>1622804</v>
      </c>
      <c r="L63" s="170">
        <v>0</v>
      </c>
      <c r="M63" s="170">
        <v>0</v>
      </c>
      <c r="N63" s="170">
        <v>0</v>
      </c>
      <c r="O63" s="170">
        <v>0</v>
      </c>
      <c r="P63" s="170">
        <f>9000000/1000</f>
        <v>9000</v>
      </c>
      <c r="Q63" s="170">
        <v>0</v>
      </c>
      <c r="R63" s="170">
        <v>0</v>
      </c>
      <c r="S63" s="170">
        <v>0</v>
      </c>
      <c r="T63" s="170">
        <v>0</v>
      </c>
      <c r="U63" s="170">
        <v>0</v>
      </c>
      <c r="V63" s="170">
        <v>0</v>
      </c>
      <c r="W63" s="170">
        <v>0</v>
      </c>
      <c r="X63" s="170">
        <v>0</v>
      </c>
      <c r="Y63" s="170">
        <f t="shared" si="3"/>
        <v>9000</v>
      </c>
      <c r="Z63" s="171">
        <v>9000</v>
      </c>
      <c r="AA63" s="172">
        <v>6</v>
      </c>
      <c r="AB63" s="173">
        <v>44249</v>
      </c>
      <c r="AC63" s="174">
        <v>44272</v>
      </c>
      <c r="AD63" s="171"/>
      <c r="AE63" s="175"/>
      <c r="AF63" s="173"/>
      <c r="AG63" s="174"/>
      <c r="AH63" s="171"/>
      <c r="AI63" s="172"/>
      <c r="AJ63" s="173"/>
      <c r="AK63" s="174"/>
      <c r="AL63" s="171"/>
      <c r="AM63" s="172"/>
      <c r="AN63" s="176"/>
      <c r="AO63" s="174"/>
      <c r="AP63" s="171"/>
      <c r="AQ63" s="172"/>
      <c r="AR63" s="176"/>
      <c r="AS63" s="174"/>
      <c r="AT63" s="177">
        <f t="shared" si="1"/>
        <v>9000</v>
      </c>
      <c r="AU63" s="178">
        <f t="shared" si="2"/>
        <v>0</v>
      </c>
    </row>
    <row r="64" spans="2:47" s="163" customFormat="1" ht="22.5">
      <c r="B64" s="164">
        <v>49</v>
      </c>
      <c r="C64" s="181" t="s">
        <v>65</v>
      </c>
      <c r="D64" s="165">
        <v>40018140</v>
      </c>
      <c r="E64" s="166" t="s">
        <v>285</v>
      </c>
      <c r="F64" s="166" t="s">
        <v>146</v>
      </c>
      <c r="G64" s="167" t="s">
        <v>228</v>
      </c>
      <c r="H64" s="180" t="s">
        <v>150</v>
      </c>
      <c r="I64" s="168" t="s">
        <v>52</v>
      </c>
      <c r="J64" s="169">
        <v>482594</v>
      </c>
      <c r="K64" s="170">
        <v>0</v>
      </c>
      <c r="L64" s="170">
        <v>452093</v>
      </c>
      <c r="M64" s="170">
        <v>0</v>
      </c>
      <c r="N64" s="170">
        <v>0</v>
      </c>
      <c r="O64" s="170">
        <v>0</v>
      </c>
      <c r="P64" s="170">
        <v>0</v>
      </c>
      <c r="Q64" s="170">
        <v>0</v>
      </c>
      <c r="R64" s="170">
        <v>0</v>
      </c>
      <c r="S64" s="170">
        <v>0</v>
      </c>
      <c r="T64" s="170">
        <v>0</v>
      </c>
      <c r="U64" s="170">
        <v>0</v>
      </c>
      <c r="V64" s="170">
        <v>0</v>
      </c>
      <c r="W64" s="170">
        <v>0</v>
      </c>
      <c r="X64" s="170">
        <v>0</v>
      </c>
      <c r="Y64" s="170">
        <f t="shared" si="3"/>
        <v>0</v>
      </c>
      <c r="Z64" s="171">
        <v>30500</v>
      </c>
      <c r="AA64" s="172">
        <v>11</v>
      </c>
      <c r="AB64" s="173">
        <v>44270</v>
      </c>
      <c r="AC64" s="174">
        <v>44287</v>
      </c>
      <c r="AD64" s="171"/>
      <c r="AE64" s="175"/>
      <c r="AF64" s="173"/>
      <c r="AG64" s="174"/>
      <c r="AH64" s="171"/>
      <c r="AI64" s="172"/>
      <c r="AJ64" s="173"/>
      <c r="AK64" s="174"/>
      <c r="AL64" s="171"/>
      <c r="AM64" s="172"/>
      <c r="AN64" s="176"/>
      <c r="AO64" s="174"/>
      <c r="AP64" s="171"/>
      <c r="AQ64" s="172"/>
      <c r="AR64" s="176"/>
      <c r="AS64" s="174"/>
      <c r="AT64" s="177">
        <f t="shared" si="1"/>
        <v>30500</v>
      </c>
      <c r="AU64" s="178">
        <f t="shared" si="2"/>
        <v>30500</v>
      </c>
    </row>
    <row r="65" spans="2:47" s="163" customFormat="1" ht="22.5">
      <c r="B65" s="164">
        <v>50</v>
      </c>
      <c r="C65" s="181" t="s">
        <v>65</v>
      </c>
      <c r="D65" s="165">
        <v>40020118</v>
      </c>
      <c r="E65" s="166" t="s">
        <v>286</v>
      </c>
      <c r="F65" s="166" t="s">
        <v>146</v>
      </c>
      <c r="G65" s="167" t="s">
        <v>228</v>
      </c>
      <c r="H65" s="180" t="s">
        <v>234</v>
      </c>
      <c r="I65" s="168" t="s">
        <v>52</v>
      </c>
      <c r="J65" s="169">
        <v>123312</v>
      </c>
      <c r="K65" s="170">
        <v>0</v>
      </c>
      <c r="L65" s="170">
        <v>118200</v>
      </c>
      <c r="M65" s="170">
        <v>0</v>
      </c>
      <c r="N65" s="170">
        <v>0</v>
      </c>
      <c r="O65" s="170">
        <v>0</v>
      </c>
      <c r="P65" s="170">
        <v>0</v>
      </c>
      <c r="Q65" s="170">
        <v>0</v>
      </c>
      <c r="R65" s="170">
        <v>0</v>
      </c>
      <c r="S65" s="170">
        <v>0</v>
      </c>
      <c r="T65" s="170">
        <v>0</v>
      </c>
      <c r="U65" s="170">
        <v>0</v>
      </c>
      <c r="V65" s="170">
        <v>0</v>
      </c>
      <c r="W65" s="170">
        <v>0</v>
      </c>
      <c r="X65" s="170">
        <v>0</v>
      </c>
      <c r="Y65" s="170">
        <f t="shared" si="3"/>
        <v>0</v>
      </c>
      <c r="Z65" s="171">
        <v>5112</v>
      </c>
      <c r="AA65" s="172">
        <v>11</v>
      </c>
      <c r="AB65" s="173">
        <v>44270</v>
      </c>
      <c r="AC65" s="174">
        <v>44287</v>
      </c>
      <c r="AD65" s="171"/>
      <c r="AE65" s="175"/>
      <c r="AF65" s="173"/>
      <c r="AG65" s="174"/>
      <c r="AH65" s="171"/>
      <c r="AI65" s="172"/>
      <c r="AJ65" s="173"/>
      <c r="AK65" s="174"/>
      <c r="AL65" s="171"/>
      <c r="AM65" s="172"/>
      <c r="AN65" s="176"/>
      <c r="AO65" s="174"/>
      <c r="AP65" s="171"/>
      <c r="AQ65" s="172"/>
      <c r="AR65" s="176"/>
      <c r="AS65" s="174"/>
      <c r="AT65" s="177">
        <f t="shared" si="1"/>
        <v>5112</v>
      </c>
      <c r="AU65" s="178">
        <f t="shared" si="2"/>
        <v>5112</v>
      </c>
    </row>
    <row r="66" spans="2:47" s="163" customFormat="1" ht="22.5">
      <c r="B66" s="164">
        <v>51</v>
      </c>
      <c r="C66" s="164" t="s">
        <v>39</v>
      </c>
      <c r="D66" s="165">
        <v>30128277</v>
      </c>
      <c r="E66" s="166" t="s">
        <v>287</v>
      </c>
      <c r="F66" s="166" t="s">
        <v>146</v>
      </c>
      <c r="G66" s="167" t="s">
        <v>228</v>
      </c>
      <c r="H66" s="180" t="s">
        <v>236</v>
      </c>
      <c r="I66" s="168" t="s">
        <v>52</v>
      </c>
      <c r="J66" s="169">
        <v>4143977</v>
      </c>
      <c r="K66" s="170">
        <v>10285</v>
      </c>
      <c r="L66" s="170">
        <v>4133681</v>
      </c>
      <c r="M66" s="170">
        <v>0</v>
      </c>
      <c r="N66" s="170">
        <v>0</v>
      </c>
      <c r="O66" s="170">
        <v>0</v>
      </c>
      <c r="P66" s="170">
        <v>0</v>
      </c>
      <c r="Q66" s="170">
        <v>0</v>
      </c>
      <c r="R66" s="170">
        <v>0</v>
      </c>
      <c r="S66" s="170">
        <v>0</v>
      </c>
      <c r="T66" s="170">
        <v>0</v>
      </c>
      <c r="U66" s="170">
        <v>0</v>
      </c>
      <c r="V66" s="170">
        <v>0</v>
      </c>
      <c r="W66" s="170">
        <v>0</v>
      </c>
      <c r="X66" s="170">
        <v>0</v>
      </c>
      <c r="Y66" s="170">
        <f t="shared" si="3"/>
        <v>0</v>
      </c>
      <c r="Z66" s="171">
        <v>10</v>
      </c>
      <c r="AA66" s="172">
        <v>11</v>
      </c>
      <c r="AB66" s="173">
        <v>44270</v>
      </c>
      <c r="AC66" s="174">
        <v>44287</v>
      </c>
      <c r="AD66" s="171"/>
      <c r="AE66" s="175"/>
      <c r="AF66" s="173"/>
      <c r="AG66" s="174"/>
      <c r="AH66" s="171"/>
      <c r="AI66" s="172"/>
      <c r="AJ66" s="173"/>
      <c r="AK66" s="174"/>
      <c r="AL66" s="171"/>
      <c r="AM66" s="172"/>
      <c r="AN66" s="176"/>
      <c r="AO66" s="174"/>
      <c r="AP66" s="171"/>
      <c r="AQ66" s="172"/>
      <c r="AR66" s="176"/>
      <c r="AS66" s="174"/>
      <c r="AT66" s="177">
        <f t="shared" si="1"/>
        <v>10</v>
      </c>
      <c r="AU66" s="178">
        <f t="shared" si="2"/>
        <v>10</v>
      </c>
    </row>
    <row r="67" spans="2:47" s="163" customFormat="1" ht="22.5">
      <c r="B67" s="164">
        <v>52</v>
      </c>
      <c r="C67" s="164" t="s">
        <v>39</v>
      </c>
      <c r="D67" s="165">
        <v>30302873</v>
      </c>
      <c r="E67" s="166" t="s">
        <v>288</v>
      </c>
      <c r="F67" s="166" t="s">
        <v>146</v>
      </c>
      <c r="G67" s="167" t="s">
        <v>228</v>
      </c>
      <c r="H67" s="180" t="s">
        <v>229</v>
      </c>
      <c r="I67" s="168" t="s">
        <v>52</v>
      </c>
      <c r="J67" s="169">
        <v>3791282</v>
      </c>
      <c r="K67" s="170">
        <v>5219</v>
      </c>
      <c r="L67" s="170">
        <v>3786062</v>
      </c>
      <c r="M67" s="170">
        <v>0</v>
      </c>
      <c r="N67" s="170">
        <v>0</v>
      </c>
      <c r="O67" s="170">
        <v>0</v>
      </c>
      <c r="P67" s="170">
        <v>0</v>
      </c>
      <c r="Q67" s="170">
        <v>0</v>
      </c>
      <c r="R67" s="170">
        <v>0</v>
      </c>
      <c r="S67" s="170">
        <v>0</v>
      </c>
      <c r="T67" s="170">
        <v>0</v>
      </c>
      <c r="U67" s="170">
        <v>0</v>
      </c>
      <c r="V67" s="170">
        <v>0</v>
      </c>
      <c r="W67" s="170">
        <v>0</v>
      </c>
      <c r="X67" s="170">
        <v>0</v>
      </c>
      <c r="Y67" s="170">
        <f t="shared" si="3"/>
        <v>0</v>
      </c>
      <c r="Z67" s="171">
        <v>161646</v>
      </c>
      <c r="AA67" s="172">
        <v>11</v>
      </c>
      <c r="AB67" s="173">
        <v>44270</v>
      </c>
      <c r="AC67" s="174">
        <v>44287</v>
      </c>
      <c r="AD67" s="171"/>
      <c r="AE67" s="175"/>
      <c r="AF67" s="173"/>
      <c r="AG67" s="174"/>
      <c r="AH67" s="171"/>
      <c r="AI67" s="172"/>
      <c r="AJ67" s="173"/>
      <c r="AK67" s="174"/>
      <c r="AL67" s="171"/>
      <c r="AM67" s="172"/>
      <c r="AN67" s="176"/>
      <c r="AO67" s="174"/>
      <c r="AP67" s="171"/>
      <c r="AQ67" s="172"/>
      <c r="AR67" s="176"/>
      <c r="AS67" s="174"/>
      <c r="AT67" s="177">
        <f t="shared" si="1"/>
        <v>161646</v>
      </c>
      <c r="AU67" s="178">
        <f t="shared" si="2"/>
        <v>161646</v>
      </c>
    </row>
    <row r="68" spans="2:47" s="163" customFormat="1" ht="22.5">
      <c r="B68" s="164">
        <v>53</v>
      </c>
      <c r="C68" s="164" t="s">
        <v>39</v>
      </c>
      <c r="D68" s="165">
        <v>30344426</v>
      </c>
      <c r="E68" s="166" t="s">
        <v>289</v>
      </c>
      <c r="F68" s="166" t="s">
        <v>146</v>
      </c>
      <c r="G68" s="167" t="s">
        <v>228</v>
      </c>
      <c r="H68" s="180" t="s">
        <v>234</v>
      </c>
      <c r="I68" s="168" t="s">
        <v>52</v>
      </c>
      <c r="J68" s="169">
        <v>2708885</v>
      </c>
      <c r="K68" s="170">
        <v>5006</v>
      </c>
      <c r="L68" s="170">
        <v>2708884</v>
      </c>
      <c r="M68" s="170">
        <v>0</v>
      </c>
      <c r="N68" s="170">
        <v>0</v>
      </c>
      <c r="O68" s="170">
        <v>0</v>
      </c>
      <c r="P68" s="170">
        <v>0</v>
      </c>
      <c r="Q68" s="170">
        <v>0</v>
      </c>
      <c r="R68" s="170">
        <v>0</v>
      </c>
      <c r="S68" s="170">
        <v>0</v>
      </c>
      <c r="T68" s="170">
        <v>0</v>
      </c>
      <c r="U68" s="170">
        <v>0</v>
      </c>
      <c r="V68" s="170">
        <v>0</v>
      </c>
      <c r="W68" s="170">
        <v>0</v>
      </c>
      <c r="X68" s="170">
        <v>0</v>
      </c>
      <c r="Y68" s="170">
        <f t="shared" si="3"/>
        <v>0</v>
      </c>
      <c r="Z68" s="171">
        <v>10</v>
      </c>
      <c r="AA68" s="172">
        <v>11</v>
      </c>
      <c r="AB68" s="173">
        <v>44270</v>
      </c>
      <c r="AC68" s="174">
        <v>44287</v>
      </c>
      <c r="AD68" s="171"/>
      <c r="AE68" s="175"/>
      <c r="AF68" s="173"/>
      <c r="AG68" s="174"/>
      <c r="AH68" s="171"/>
      <c r="AI68" s="172"/>
      <c r="AJ68" s="173"/>
      <c r="AK68" s="174"/>
      <c r="AL68" s="171"/>
      <c r="AM68" s="172"/>
      <c r="AN68" s="176"/>
      <c r="AO68" s="174"/>
      <c r="AP68" s="171"/>
      <c r="AQ68" s="172"/>
      <c r="AR68" s="176"/>
      <c r="AS68" s="174"/>
      <c r="AT68" s="177">
        <f t="shared" si="1"/>
        <v>10</v>
      </c>
      <c r="AU68" s="178">
        <f t="shared" si="2"/>
        <v>10</v>
      </c>
    </row>
    <row r="69" spans="2:47" s="163" customFormat="1" ht="22.5">
      <c r="B69" s="164">
        <v>54</v>
      </c>
      <c r="C69" s="164" t="s">
        <v>39</v>
      </c>
      <c r="D69" s="165">
        <v>30486121</v>
      </c>
      <c r="E69" s="166" t="s">
        <v>290</v>
      </c>
      <c r="F69" s="166" t="s">
        <v>146</v>
      </c>
      <c r="G69" s="167" t="s">
        <v>228</v>
      </c>
      <c r="H69" s="180" t="s">
        <v>247</v>
      </c>
      <c r="I69" s="168" t="s">
        <v>52</v>
      </c>
      <c r="J69" s="169">
        <v>2287550</v>
      </c>
      <c r="K69" s="170">
        <v>1766</v>
      </c>
      <c r="L69" s="170">
        <v>2285782</v>
      </c>
      <c r="M69" s="170">
        <v>0</v>
      </c>
      <c r="N69" s="170">
        <v>0</v>
      </c>
      <c r="O69" s="170">
        <v>0</v>
      </c>
      <c r="P69" s="170">
        <v>0</v>
      </c>
      <c r="Q69" s="170">
        <v>0</v>
      </c>
      <c r="R69" s="170">
        <v>0</v>
      </c>
      <c r="S69" s="170">
        <v>0</v>
      </c>
      <c r="T69" s="170">
        <v>0</v>
      </c>
      <c r="U69" s="170">
        <v>0</v>
      </c>
      <c r="V69" s="170">
        <v>0</v>
      </c>
      <c r="W69" s="170">
        <v>0</v>
      </c>
      <c r="X69" s="170">
        <v>0</v>
      </c>
      <c r="Y69" s="170">
        <f t="shared" si="3"/>
        <v>0</v>
      </c>
      <c r="Z69" s="171">
        <v>50</v>
      </c>
      <c r="AA69" s="172">
        <v>11</v>
      </c>
      <c r="AB69" s="173">
        <v>44270</v>
      </c>
      <c r="AC69" s="174">
        <v>44287</v>
      </c>
      <c r="AD69" s="171">
        <v>99950</v>
      </c>
      <c r="AE69" s="175">
        <v>35</v>
      </c>
      <c r="AF69" s="173">
        <v>44357</v>
      </c>
      <c r="AG69" s="174">
        <v>44383</v>
      </c>
      <c r="AH69" s="171"/>
      <c r="AI69" s="172"/>
      <c r="AJ69" s="173"/>
      <c r="AK69" s="174"/>
      <c r="AL69" s="171"/>
      <c r="AM69" s="172"/>
      <c r="AN69" s="176"/>
      <c r="AO69" s="174"/>
      <c r="AP69" s="171"/>
      <c r="AQ69" s="172"/>
      <c r="AR69" s="176"/>
      <c r="AS69" s="174"/>
      <c r="AT69" s="177">
        <f t="shared" si="1"/>
        <v>100000</v>
      </c>
      <c r="AU69" s="178">
        <f t="shared" si="2"/>
        <v>100000</v>
      </c>
    </row>
    <row r="70" spans="2:47" s="163" customFormat="1" ht="22.5">
      <c r="B70" s="164">
        <v>55</v>
      </c>
      <c r="C70" s="164" t="s">
        <v>39</v>
      </c>
      <c r="D70" s="165">
        <v>30487216</v>
      </c>
      <c r="E70" s="166" t="s">
        <v>291</v>
      </c>
      <c r="F70" s="166" t="s">
        <v>146</v>
      </c>
      <c r="G70" s="167" t="s">
        <v>228</v>
      </c>
      <c r="H70" s="180" t="s">
        <v>229</v>
      </c>
      <c r="I70" s="168" t="s">
        <v>52</v>
      </c>
      <c r="J70" s="169">
        <v>1833860</v>
      </c>
      <c r="K70" s="170">
        <v>0</v>
      </c>
      <c r="L70" s="170">
        <v>1832244</v>
      </c>
      <c r="M70" s="170">
        <v>0</v>
      </c>
      <c r="N70" s="170">
        <v>0</v>
      </c>
      <c r="O70" s="170">
        <v>0</v>
      </c>
      <c r="P70" s="170">
        <v>0</v>
      </c>
      <c r="Q70" s="170">
        <v>0</v>
      </c>
      <c r="R70" s="170">
        <v>0</v>
      </c>
      <c r="S70" s="170">
        <v>0</v>
      </c>
      <c r="T70" s="170">
        <v>0</v>
      </c>
      <c r="U70" s="170">
        <v>0</v>
      </c>
      <c r="V70" s="170">
        <v>0</v>
      </c>
      <c r="W70" s="170">
        <v>0</v>
      </c>
      <c r="X70" s="170">
        <v>0</v>
      </c>
      <c r="Y70" s="170">
        <f t="shared" si="3"/>
        <v>0</v>
      </c>
      <c r="Z70" s="171">
        <v>1616</v>
      </c>
      <c r="AA70" s="172">
        <v>11</v>
      </c>
      <c r="AB70" s="173">
        <v>44270</v>
      </c>
      <c r="AC70" s="174">
        <v>44287</v>
      </c>
      <c r="AD70" s="171"/>
      <c r="AE70" s="175"/>
      <c r="AF70" s="173"/>
      <c r="AG70" s="174"/>
      <c r="AH70" s="171"/>
      <c r="AI70" s="172"/>
      <c r="AJ70" s="173"/>
      <c r="AK70" s="174"/>
      <c r="AL70" s="171"/>
      <c r="AM70" s="172"/>
      <c r="AN70" s="176"/>
      <c r="AO70" s="174"/>
      <c r="AP70" s="171"/>
      <c r="AQ70" s="172"/>
      <c r="AR70" s="176"/>
      <c r="AS70" s="174"/>
      <c r="AT70" s="177">
        <f t="shared" si="1"/>
        <v>1616</v>
      </c>
      <c r="AU70" s="178">
        <f t="shared" si="2"/>
        <v>1616</v>
      </c>
    </row>
    <row r="71" spans="2:47" s="163" customFormat="1" ht="33.75">
      <c r="B71" s="164">
        <v>56</v>
      </c>
      <c r="C71" s="164" t="s">
        <v>39</v>
      </c>
      <c r="D71" s="165">
        <v>40006868</v>
      </c>
      <c r="E71" s="166" t="s">
        <v>292</v>
      </c>
      <c r="F71" s="166" t="s">
        <v>146</v>
      </c>
      <c r="G71" s="167" t="s">
        <v>228</v>
      </c>
      <c r="H71" s="180" t="s">
        <v>229</v>
      </c>
      <c r="I71" s="168" t="s">
        <v>52</v>
      </c>
      <c r="J71" s="169">
        <v>2514464</v>
      </c>
      <c r="K71" s="170">
        <v>0</v>
      </c>
      <c r="L71" s="170">
        <v>2514463</v>
      </c>
      <c r="M71" s="170">
        <v>0</v>
      </c>
      <c r="N71" s="170">
        <v>0</v>
      </c>
      <c r="O71" s="170">
        <v>0</v>
      </c>
      <c r="P71" s="170">
        <v>0</v>
      </c>
      <c r="Q71" s="170">
        <v>0</v>
      </c>
      <c r="R71" s="170">
        <v>0</v>
      </c>
      <c r="S71" s="170">
        <v>0</v>
      </c>
      <c r="T71" s="170">
        <v>0</v>
      </c>
      <c r="U71" s="170">
        <v>0</v>
      </c>
      <c r="V71" s="170">
        <v>0</v>
      </c>
      <c r="W71" s="170">
        <v>0</v>
      </c>
      <c r="X71" s="170">
        <v>0</v>
      </c>
      <c r="Y71" s="170">
        <f t="shared" si="3"/>
        <v>0</v>
      </c>
      <c r="Z71" s="171">
        <v>7913</v>
      </c>
      <c r="AA71" s="172">
        <v>11</v>
      </c>
      <c r="AB71" s="173">
        <v>44270</v>
      </c>
      <c r="AC71" s="174">
        <v>44287</v>
      </c>
      <c r="AD71" s="171">
        <v>-7912</v>
      </c>
      <c r="AE71" s="175">
        <v>62</v>
      </c>
      <c r="AF71" s="173">
        <v>44435</v>
      </c>
      <c r="AG71" s="174">
        <v>44452</v>
      </c>
      <c r="AH71" s="171"/>
      <c r="AI71" s="172"/>
      <c r="AJ71" s="173"/>
      <c r="AK71" s="174"/>
      <c r="AL71" s="171"/>
      <c r="AM71" s="172"/>
      <c r="AN71" s="176"/>
      <c r="AO71" s="174"/>
      <c r="AP71" s="171"/>
      <c r="AQ71" s="172"/>
      <c r="AR71" s="176"/>
      <c r="AS71" s="174"/>
      <c r="AT71" s="177">
        <f t="shared" si="1"/>
        <v>1</v>
      </c>
      <c r="AU71" s="178">
        <f t="shared" si="2"/>
        <v>1</v>
      </c>
    </row>
    <row r="72" spans="2:47" s="163" customFormat="1" ht="33.75">
      <c r="B72" s="164">
        <v>57</v>
      </c>
      <c r="C72" s="164" t="s">
        <v>39</v>
      </c>
      <c r="D72" s="165">
        <v>40010160</v>
      </c>
      <c r="E72" s="166" t="s">
        <v>293</v>
      </c>
      <c r="F72" s="166" t="s">
        <v>146</v>
      </c>
      <c r="G72" s="167" t="s">
        <v>228</v>
      </c>
      <c r="H72" s="180" t="s">
        <v>229</v>
      </c>
      <c r="I72" s="168" t="s">
        <v>52</v>
      </c>
      <c r="J72" s="169">
        <v>424734</v>
      </c>
      <c r="K72" s="170">
        <v>0</v>
      </c>
      <c r="L72" s="170">
        <v>424734</v>
      </c>
      <c r="M72" s="170">
        <v>0</v>
      </c>
      <c r="N72" s="170">
        <v>0</v>
      </c>
      <c r="O72" s="170">
        <v>0</v>
      </c>
      <c r="P72" s="170">
        <v>0</v>
      </c>
      <c r="Q72" s="170">
        <v>0</v>
      </c>
      <c r="R72" s="170">
        <v>0</v>
      </c>
      <c r="S72" s="170">
        <v>0</v>
      </c>
      <c r="T72" s="170">
        <v>0</v>
      </c>
      <c r="U72" s="170">
        <v>0</v>
      </c>
      <c r="V72" s="170">
        <v>0</v>
      </c>
      <c r="W72" s="170">
        <v>0</v>
      </c>
      <c r="X72" s="170">
        <v>0</v>
      </c>
      <c r="Y72" s="170">
        <f t="shared" si="3"/>
        <v>0</v>
      </c>
      <c r="Z72" s="171">
        <v>20000</v>
      </c>
      <c r="AA72" s="172">
        <v>11</v>
      </c>
      <c r="AB72" s="173">
        <v>44270</v>
      </c>
      <c r="AC72" s="174">
        <v>44287</v>
      </c>
      <c r="AD72" s="171"/>
      <c r="AE72" s="175"/>
      <c r="AF72" s="173"/>
      <c r="AG72" s="174"/>
      <c r="AH72" s="171"/>
      <c r="AI72" s="172"/>
      <c r="AJ72" s="173"/>
      <c r="AK72" s="174"/>
      <c r="AL72" s="171"/>
      <c r="AM72" s="172"/>
      <c r="AN72" s="176"/>
      <c r="AO72" s="174"/>
      <c r="AP72" s="171"/>
      <c r="AQ72" s="172"/>
      <c r="AR72" s="176"/>
      <c r="AS72" s="174"/>
      <c r="AT72" s="177">
        <f t="shared" si="1"/>
        <v>20000</v>
      </c>
      <c r="AU72" s="178">
        <f t="shared" si="2"/>
        <v>20000</v>
      </c>
    </row>
    <row r="73" spans="2:47" s="163" customFormat="1" ht="22.5">
      <c r="B73" s="164">
        <v>58</v>
      </c>
      <c r="C73" s="164" t="s">
        <v>39</v>
      </c>
      <c r="D73" s="165">
        <v>40010683</v>
      </c>
      <c r="E73" s="166" t="s">
        <v>294</v>
      </c>
      <c r="F73" s="166" t="s">
        <v>146</v>
      </c>
      <c r="G73" s="167" t="s">
        <v>228</v>
      </c>
      <c r="H73" s="180" t="s">
        <v>232</v>
      </c>
      <c r="I73" s="168" t="s">
        <v>52</v>
      </c>
      <c r="J73" s="169">
        <v>331415</v>
      </c>
      <c r="K73" s="170">
        <v>0</v>
      </c>
      <c r="L73" s="170">
        <v>53</v>
      </c>
      <c r="M73" s="170">
        <v>0</v>
      </c>
      <c r="N73" s="170">
        <v>0</v>
      </c>
      <c r="O73" s="170">
        <v>0</v>
      </c>
      <c r="P73" s="170">
        <v>0</v>
      </c>
      <c r="Q73" s="170">
        <v>0</v>
      </c>
      <c r="R73" s="170">
        <v>0</v>
      </c>
      <c r="S73" s="170">
        <v>95988</v>
      </c>
      <c r="T73" s="170">
        <v>0</v>
      </c>
      <c r="U73" s="170">
        <v>0</v>
      </c>
      <c r="V73" s="170">
        <v>0</v>
      </c>
      <c r="W73" s="170">
        <v>0</v>
      </c>
      <c r="X73" s="170">
        <v>0</v>
      </c>
      <c r="Y73" s="170">
        <f t="shared" si="3"/>
        <v>95988</v>
      </c>
      <c r="Z73" s="171">
        <v>10</v>
      </c>
      <c r="AA73" s="172">
        <v>11</v>
      </c>
      <c r="AB73" s="173">
        <v>44270</v>
      </c>
      <c r="AC73" s="174">
        <v>44287</v>
      </c>
      <c r="AD73" s="171">
        <v>331352</v>
      </c>
      <c r="AE73" s="175">
        <v>35</v>
      </c>
      <c r="AF73" s="173">
        <v>44357</v>
      </c>
      <c r="AG73" s="174">
        <v>44383</v>
      </c>
      <c r="AH73" s="171"/>
      <c r="AI73" s="172"/>
      <c r="AJ73" s="173"/>
      <c r="AK73" s="174"/>
      <c r="AL73" s="171"/>
      <c r="AM73" s="172"/>
      <c r="AN73" s="176"/>
      <c r="AO73" s="174"/>
      <c r="AP73" s="171"/>
      <c r="AQ73" s="172"/>
      <c r="AR73" s="176"/>
      <c r="AS73" s="174"/>
      <c r="AT73" s="177">
        <f t="shared" si="1"/>
        <v>331362</v>
      </c>
      <c r="AU73" s="178">
        <f t="shared" si="2"/>
        <v>235374</v>
      </c>
    </row>
    <row r="74" spans="2:47" s="163" customFormat="1" ht="22.5">
      <c r="B74" s="164">
        <v>59</v>
      </c>
      <c r="C74" s="164" t="s">
        <v>39</v>
      </c>
      <c r="D74" s="165">
        <v>40013565</v>
      </c>
      <c r="E74" s="166" t="s">
        <v>295</v>
      </c>
      <c r="F74" s="166" t="s">
        <v>146</v>
      </c>
      <c r="G74" s="167" t="s">
        <v>228</v>
      </c>
      <c r="H74" s="180" t="s">
        <v>249</v>
      </c>
      <c r="I74" s="168" t="s">
        <v>52</v>
      </c>
      <c r="J74" s="169">
        <v>1428465</v>
      </c>
      <c r="K74" s="170">
        <v>0</v>
      </c>
      <c r="L74" s="170">
        <v>1190570</v>
      </c>
      <c r="M74" s="170">
        <v>0</v>
      </c>
      <c r="N74" s="170">
        <v>0</v>
      </c>
      <c r="O74" s="170">
        <v>0</v>
      </c>
      <c r="P74" s="170">
        <v>0</v>
      </c>
      <c r="Q74" s="170">
        <v>0</v>
      </c>
      <c r="R74" s="170">
        <v>0</v>
      </c>
      <c r="S74" s="170">
        <v>0</v>
      </c>
      <c r="T74" s="170">
        <v>0</v>
      </c>
      <c r="U74" s="170">
        <v>0</v>
      </c>
      <c r="V74" s="170">
        <v>0</v>
      </c>
      <c r="W74" s="170">
        <v>0</v>
      </c>
      <c r="X74" s="170">
        <v>0</v>
      </c>
      <c r="Y74" s="170">
        <f t="shared" si="3"/>
        <v>0</v>
      </c>
      <c r="Z74" s="171">
        <v>947988</v>
      </c>
      <c r="AA74" s="172">
        <v>11</v>
      </c>
      <c r="AB74" s="173">
        <v>44270</v>
      </c>
      <c r="AC74" s="174">
        <v>44287</v>
      </c>
      <c r="AD74" s="171">
        <v>-377988</v>
      </c>
      <c r="AE74" s="175">
        <v>33</v>
      </c>
      <c r="AF74" s="173">
        <v>44344</v>
      </c>
      <c r="AG74" s="174">
        <v>44369</v>
      </c>
      <c r="AH74" s="171"/>
      <c r="AI74" s="172"/>
      <c r="AJ74" s="173"/>
      <c r="AK74" s="174"/>
      <c r="AL74" s="171"/>
      <c r="AM74" s="172"/>
      <c r="AN74" s="176"/>
      <c r="AO74" s="174"/>
      <c r="AP74" s="171"/>
      <c r="AQ74" s="172"/>
      <c r="AR74" s="176"/>
      <c r="AS74" s="174"/>
      <c r="AT74" s="177">
        <f t="shared" si="1"/>
        <v>570000</v>
      </c>
      <c r="AU74" s="178">
        <f t="shared" si="2"/>
        <v>570000</v>
      </c>
    </row>
    <row r="75" spans="2:47" s="163" customFormat="1" ht="22.5">
      <c r="B75" s="164">
        <v>60</v>
      </c>
      <c r="C75" s="164" t="s">
        <v>39</v>
      </c>
      <c r="D75" s="165">
        <v>40018900</v>
      </c>
      <c r="E75" s="166" t="s">
        <v>296</v>
      </c>
      <c r="F75" s="166" t="s">
        <v>146</v>
      </c>
      <c r="G75" s="167" t="s">
        <v>228</v>
      </c>
      <c r="H75" s="180" t="s">
        <v>253</v>
      </c>
      <c r="I75" s="168" t="s">
        <v>52</v>
      </c>
      <c r="J75" s="169">
        <v>288870</v>
      </c>
      <c r="K75" s="170">
        <v>0</v>
      </c>
      <c r="L75" s="170">
        <v>6357</v>
      </c>
      <c r="M75" s="170">
        <v>0</v>
      </c>
      <c r="N75" s="170">
        <v>0</v>
      </c>
      <c r="O75" s="170">
        <v>0</v>
      </c>
      <c r="P75" s="170">
        <v>0</v>
      </c>
      <c r="Q75" s="170">
        <v>0</v>
      </c>
      <c r="R75" s="170">
        <v>0</v>
      </c>
      <c r="S75" s="170">
        <v>0</v>
      </c>
      <c r="T75" s="170">
        <v>0</v>
      </c>
      <c r="U75" s="170">
        <v>0</v>
      </c>
      <c r="V75" s="170">
        <v>0</v>
      </c>
      <c r="W75" s="170">
        <v>0</v>
      </c>
      <c r="X75" s="170">
        <v>0</v>
      </c>
      <c r="Y75" s="170">
        <f t="shared" si="3"/>
        <v>0</v>
      </c>
      <c r="Z75" s="171">
        <v>282513</v>
      </c>
      <c r="AA75" s="172">
        <v>11</v>
      </c>
      <c r="AB75" s="173">
        <v>44270</v>
      </c>
      <c r="AC75" s="174">
        <v>44287</v>
      </c>
      <c r="AD75" s="171"/>
      <c r="AE75" s="175"/>
      <c r="AF75" s="173"/>
      <c r="AG75" s="174"/>
      <c r="AH75" s="171"/>
      <c r="AI75" s="172"/>
      <c r="AJ75" s="173"/>
      <c r="AK75" s="174"/>
      <c r="AL75" s="171"/>
      <c r="AM75" s="172"/>
      <c r="AN75" s="176"/>
      <c r="AO75" s="174"/>
      <c r="AP75" s="171"/>
      <c r="AQ75" s="172"/>
      <c r="AR75" s="176"/>
      <c r="AS75" s="174"/>
      <c r="AT75" s="177">
        <f t="shared" si="1"/>
        <v>282513</v>
      </c>
      <c r="AU75" s="178">
        <f t="shared" si="2"/>
        <v>282513</v>
      </c>
    </row>
    <row r="76" spans="2:47" s="163" customFormat="1" ht="22.5">
      <c r="B76" s="164">
        <v>61</v>
      </c>
      <c r="C76" s="164" t="s">
        <v>39</v>
      </c>
      <c r="D76" s="165">
        <v>40021144</v>
      </c>
      <c r="E76" s="166" t="s">
        <v>297</v>
      </c>
      <c r="F76" s="166" t="s">
        <v>146</v>
      </c>
      <c r="G76" s="167" t="s">
        <v>228</v>
      </c>
      <c r="H76" s="180" t="s">
        <v>150</v>
      </c>
      <c r="I76" s="168" t="s">
        <v>52</v>
      </c>
      <c r="J76" s="169">
        <v>3140236</v>
      </c>
      <c r="K76" s="170">
        <v>7240</v>
      </c>
      <c r="L76" s="170">
        <v>3032996</v>
      </c>
      <c r="M76" s="170">
        <v>0</v>
      </c>
      <c r="N76" s="170">
        <v>0</v>
      </c>
      <c r="O76" s="170">
        <v>0</v>
      </c>
      <c r="P76" s="170">
        <v>0</v>
      </c>
      <c r="Q76" s="170">
        <v>0</v>
      </c>
      <c r="R76" s="170">
        <v>0</v>
      </c>
      <c r="S76" s="170">
        <v>0</v>
      </c>
      <c r="T76" s="170">
        <v>0</v>
      </c>
      <c r="U76" s="170">
        <v>0</v>
      </c>
      <c r="V76" s="170">
        <v>0</v>
      </c>
      <c r="W76" s="170">
        <v>0</v>
      </c>
      <c r="X76" s="170">
        <v>0</v>
      </c>
      <c r="Y76" s="170">
        <f t="shared" si="3"/>
        <v>0</v>
      </c>
      <c r="Z76" s="171">
        <v>100000</v>
      </c>
      <c r="AA76" s="172">
        <v>11</v>
      </c>
      <c r="AB76" s="173">
        <v>44270</v>
      </c>
      <c r="AC76" s="174">
        <v>44287</v>
      </c>
      <c r="AD76" s="171"/>
      <c r="AE76" s="175"/>
      <c r="AF76" s="173"/>
      <c r="AG76" s="174"/>
      <c r="AH76" s="171"/>
      <c r="AI76" s="172"/>
      <c r="AJ76" s="173"/>
      <c r="AK76" s="174"/>
      <c r="AL76" s="171"/>
      <c r="AM76" s="172"/>
      <c r="AN76" s="176"/>
      <c r="AO76" s="174"/>
      <c r="AP76" s="171"/>
      <c r="AQ76" s="172"/>
      <c r="AR76" s="176"/>
      <c r="AS76" s="174"/>
      <c r="AT76" s="177">
        <f t="shared" si="1"/>
        <v>100000</v>
      </c>
      <c r="AU76" s="178">
        <f t="shared" si="2"/>
        <v>100000</v>
      </c>
    </row>
    <row r="77" spans="2:47" s="163" customFormat="1" ht="22.5">
      <c r="B77" s="164">
        <v>62</v>
      </c>
      <c r="C77" s="164" t="s">
        <v>39</v>
      </c>
      <c r="D77" s="165">
        <v>40025978</v>
      </c>
      <c r="E77" s="166" t="s">
        <v>298</v>
      </c>
      <c r="F77" s="166" t="s">
        <v>146</v>
      </c>
      <c r="G77" s="167" t="s">
        <v>228</v>
      </c>
      <c r="H77" s="180" t="s">
        <v>229</v>
      </c>
      <c r="I77" s="168" t="s">
        <v>52</v>
      </c>
      <c r="J77" s="169">
        <v>391160</v>
      </c>
      <c r="K77" s="170">
        <v>0</v>
      </c>
      <c r="L77" s="170">
        <v>391159</v>
      </c>
      <c r="M77" s="170">
        <v>0</v>
      </c>
      <c r="N77" s="170">
        <v>0</v>
      </c>
      <c r="O77" s="170">
        <v>0</v>
      </c>
      <c r="P77" s="170">
        <v>0</v>
      </c>
      <c r="Q77" s="170">
        <v>0</v>
      </c>
      <c r="R77" s="170">
        <v>0</v>
      </c>
      <c r="S77" s="170">
        <v>0</v>
      </c>
      <c r="T77" s="170">
        <v>0</v>
      </c>
      <c r="U77" s="170">
        <v>0</v>
      </c>
      <c r="V77" s="170">
        <v>0</v>
      </c>
      <c r="W77" s="170">
        <v>0</v>
      </c>
      <c r="X77" s="170">
        <v>0</v>
      </c>
      <c r="Y77" s="170">
        <f t="shared" si="3"/>
        <v>0</v>
      </c>
      <c r="Z77" s="171">
        <v>10</v>
      </c>
      <c r="AA77" s="172">
        <v>11</v>
      </c>
      <c r="AB77" s="173">
        <v>44270</v>
      </c>
      <c r="AC77" s="174">
        <v>44287</v>
      </c>
      <c r="AD77" s="171">
        <v>199990</v>
      </c>
      <c r="AE77" s="175">
        <v>35</v>
      </c>
      <c r="AF77" s="173">
        <v>44357</v>
      </c>
      <c r="AG77" s="174">
        <v>44383</v>
      </c>
      <c r="AH77" s="171"/>
      <c r="AI77" s="172"/>
      <c r="AJ77" s="173"/>
      <c r="AK77" s="174"/>
      <c r="AL77" s="171"/>
      <c r="AM77" s="172"/>
      <c r="AN77" s="176"/>
      <c r="AO77" s="174"/>
      <c r="AP77" s="171"/>
      <c r="AQ77" s="172"/>
      <c r="AR77" s="176"/>
      <c r="AS77" s="174"/>
      <c r="AT77" s="177">
        <f t="shared" si="1"/>
        <v>200000</v>
      </c>
      <c r="AU77" s="178">
        <f t="shared" si="2"/>
        <v>200000</v>
      </c>
    </row>
    <row r="78" spans="2:47" s="163" customFormat="1" ht="22.5">
      <c r="B78" s="164">
        <v>63</v>
      </c>
      <c r="C78" s="164" t="s">
        <v>39</v>
      </c>
      <c r="D78" s="165">
        <v>40007789</v>
      </c>
      <c r="E78" s="166" t="s">
        <v>299</v>
      </c>
      <c r="F78" s="166" t="s">
        <v>158</v>
      </c>
      <c r="G78" s="167" t="s">
        <v>228</v>
      </c>
      <c r="H78" s="180" t="s">
        <v>247</v>
      </c>
      <c r="I78" s="168" t="s">
        <v>52</v>
      </c>
      <c r="J78" s="169">
        <v>77056</v>
      </c>
      <c r="K78" s="170">
        <v>0</v>
      </c>
      <c r="L78" s="170">
        <v>75275</v>
      </c>
      <c r="M78" s="170">
        <v>0</v>
      </c>
      <c r="N78" s="170">
        <v>0</v>
      </c>
      <c r="O78" s="170">
        <v>0</v>
      </c>
      <c r="P78" s="170">
        <v>0</v>
      </c>
      <c r="Q78" s="170">
        <v>0</v>
      </c>
      <c r="R78" s="170">
        <v>0</v>
      </c>
      <c r="S78" s="170">
        <v>0</v>
      </c>
      <c r="T78" s="170">
        <v>0</v>
      </c>
      <c r="U78" s="170">
        <v>0</v>
      </c>
      <c r="V78" s="170">
        <v>0</v>
      </c>
      <c r="W78" s="170">
        <v>0</v>
      </c>
      <c r="X78" s="170">
        <v>0</v>
      </c>
      <c r="Y78" s="170">
        <f t="shared" si="3"/>
        <v>0</v>
      </c>
      <c r="Z78" s="171">
        <v>21780</v>
      </c>
      <c r="AA78" s="172">
        <v>33</v>
      </c>
      <c r="AB78" s="173">
        <v>44344</v>
      </c>
      <c r="AC78" s="174">
        <v>44369</v>
      </c>
      <c r="AD78" s="171"/>
      <c r="AE78" s="175"/>
      <c r="AF78" s="173"/>
      <c r="AG78" s="174"/>
      <c r="AH78" s="171"/>
      <c r="AI78" s="172"/>
      <c r="AJ78" s="173"/>
      <c r="AK78" s="174"/>
      <c r="AL78" s="171"/>
      <c r="AM78" s="172"/>
      <c r="AN78" s="176"/>
      <c r="AO78" s="174"/>
      <c r="AP78" s="171"/>
      <c r="AQ78" s="172"/>
      <c r="AR78" s="176"/>
      <c r="AS78" s="174"/>
      <c r="AT78" s="177">
        <f t="shared" si="1"/>
        <v>21780</v>
      </c>
      <c r="AU78" s="178">
        <f t="shared" si="2"/>
        <v>21780</v>
      </c>
    </row>
    <row r="79" spans="2:47" s="163" customFormat="1" ht="33.75">
      <c r="B79" s="164">
        <v>64</v>
      </c>
      <c r="C79" s="164" t="s">
        <v>39</v>
      </c>
      <c r="D79" s="165">
        <v>40026369</v>
      </c>
      <c r="E79" s="166" t="s">
        <v>300</v>
      </c>
      <c r="F79" s="166" t="s">
        <v>231</v>
      </c>
      <c r="G79" s="167" t="s">
        <v>228</v>
      </c>
      <c r="H79" s="180" t="s">
        <v>240</v>
      </c>
      <c r="I79" s="168" t="s">
        <v>52</v>
      </c>
      <c r="J79" s="169">
        <v>198294</v>
      </c>
      <c r="K79" s="170">
        <v>0</v>
      </c>
      <c r="L79" s="170">
        <v>195555</v>
      </c>
      <c r="M79" s="170">
        <v>0</v>
      </c>
      <c r="N79" s="170">
        <v>0</v>
      </c>
      <c r="O79" s="170">
        <v>0</v>
      </c>
      <c r="P79" s="170">
        <v>0</v>
      </c>
      <c r="Q79" s="170">
        <v>0</v>
      </c>
      <c r="R79" s="170">
        <v>0</v>
      </c>
      <c r="S79" s="170">
        <v>0</v>
      </c>
      <c r="T79" s="170">
        <v>0</v>
      </c>
      <c r="U79" s="170">
        <v>0</v>
      </c>
      <c r="V79" s="170">
        <v>0</v>
      </c>
      <c r="W79" s="170">
        <v>0</v>
      </c>
      <c r="X79" s="170">
        <v>0</v>
      </c>
      <c r="Y79" s="170">
        <f t="shared" si="3"/>
        <v>0</v>
      </c>
      <c r="Z79" s="171">
        <v>22294</v>
      </c>
      <c r="AA79" s="172">
        <v>33</v>
      </c>
      <c r="AB79" s="173">
        <v>44344</v>
      </c>
      <c r="AC79" s="174">
        <v>44369</v>
      </c>
      <c r="AD79" s="171"/>
      <c r="AE79" s="175"/>
      <c r="AF79" s="173"/>
      <c r="AG79" s="174"/>
      <c r="AH79" s="171"/>
      <c r="AI79" s="172"/>
      <c r="AJ79" s="173"/>
      <c r="AK79" s="174"/>
      <c r="AL79" s="171"/>
      <c r="AM79" s="172"/>
      <c r="AN79" s="176"/>
      <c r="AO79" s="174"/>
      <c r="AP79" s="171"/>
      <c r="AQ79" s="172"/>
      <c r="AR79" s="176"/>
      <c r="AS79" s="174"/>
      <c r="AT79" s="177">
        <f t="shared" si="1"/>
        <v>22294</v>
      </c>
      <c r="AU79" s="178">
        <f t="shared" si="2"/>
        <v>22294</v>
      </c>
    </row>
    <row r="80" spans="2:47" s="163" customFormat="1" ht="33.75">
      <c r="B80" s="164">
        <v>65</v>
      </c>
      <c r="C80" s="164" t="s">
        <v>39</v>
      </c>
      <c r="D80" s="165">
        <v>40029136</v>
      </c>
      <c r="E80" s="166" t="s">
        <v>301</v>
      </c>
      <c r="F80" s="166" t="s">
        <v>146</v>
      </c>
      <c r="G80" s="167" t="s">
        <v>228</v>
      </c>
      <c r="H80" s="180" t="s">
        <v>240</v>
      </c>
      <c r="I80" s="168" t="s">
        <v>52</v>
      </c>
      <c r="J80" s="169">
        <v>1108555</v>
      </c>
      <c r="K80" s="170">
        <v>0</v>
      </c>
      <c r="L80" s="170">
        <v>1000001</v>
      </c>
      <c r="M80" s="170">
        <v>0</v>
      </c>
      <c r="N80" s="170">
        <v>0</v>
      </c>
      <c r="O80" s="170">
        <v>0</v>
      </c>
      <c r="P80" s="170">
        <v>0</v>
      </c>
      <c r="Q80" s="170">
        <v>0</v>
      </c>
      <c r="R80" s="170">
        <v>0</v>
      </c>
      <c r="S80" s="170">
        <v>0</v>
      </c>
      <c r="T80" s="170">
        <v>0</v>
      </c>
      <c r="U80" s="170">
        <v>0</v>
      </c>
      <c r="V80" s="170">
        <v>0</v>
      </c>
      <c r="W80" s="170">
        <v>0</v>
      </c>
      <c r="X80" s="170">
        <v>0</v>
      </c>
      <c r="Y80" s="170">
        <f t="shared" ref="Y80:Y81" si="4">SUM(M80:X80)</f>
        <v>0</v>
      </c>
      <c r="Z80" s="171">
        <v>108554</v>
      </c>
      <c r="AA80" s="172">
        <v>33</v>
      </c>
      <c r="AB80" s="173">
        <v>44344</v>
      </c>
      <c r="AC80" s="174">
        <v>44369</v>
      </c>
      <c r="AD80" s="171"/>
      <c r="AE80" s="175"/>
      <c r="AF80" s="173"/>
      <c r="AG80" s="174"/>
      <c r="AH80" s="171"/>
      <c r="AI80" s="172"/>
      <c r="AJ80" s="173"/>
      <c r="AK80" s="174"/>
      <c r="AL80" s="171"/>
      <c r="AM80" s="172"/>
      <c r="AN80" s="176"/>
      <c r="AO80" s="174"/>
      <c r="AP80" s="171"/>
      <c r="AQ80" s="172"/>
      <c r="AR80" s="176"/>
      <c r="AS80" s="174"/>
      <c r="AT80" s="177">
        <f t="shared" si="1"/>
        <v>108554</v>
      </c>
      <c r="AU80" s="178">
        <f t="shared" si="2"/>
        <v>108554</v>
      </c>
    </row>
    <row r="81" spans="2:47" s="163" customFormat="1" ht="22.5">
      <c r="B81" s="164">
        <v>66</v>
      </c>
      <c r="C81" s="164" t="s">
        <v>39</v>
      </c>
      <c r="D81" s="165">
        <v>40027804</v>
      </c>
      <c r="E81" s="166" t="s">
        <v>302</v>
      </c>
      <c r="F81" s="166" t="s">
        <v>146</v>
      </c>
      <c r="G81" s="167" t="s">
        <v>228</v>
      </c>
      <c r="H81" s="180" t="s">
        <v>229</v>
      </c>
      <c r="I81" s="168" t="s">
        <v>52</v>
      </c>
      <c r="J81" s="169">
        <v>271865</v>
      </c>
      <c r="K81" s="170">
        <v>0</v>
      </c>
      <c r="L81" s="170">
        <v>270458</v>
      </c>
      <c r="M81" s="170">
        <v>0</v>
      </c>
      <c r="N81" s="170">
        <v>0</v>
      </c>
      <c r="O81" s="170">
        <v>0</v>
      </c>
      <c r="P81" s="170">
        <v>0</v>
      </c>
      <c r="Q81" s="170">
        <v>0</v>
      </c>
      <c r="R81" s="170">
        <v>0</v>
      </c>
      <c r="S81" s="170">
        <v>0</v>
      </c>
      <c r="T81" s="170">
        <v>0</v>
      </c>
      <c r="U81" s="170">
        <v>0</v>
      </c>
      <c r="V81" s="170">
        <v>0</v>
      </c>
      <c r="W81" s="170">
        <v>0</v>
      </c>
      <c r="X81" s="170">
        <v>0</v>
      </c>
      <c r="Y81" s="170">
        <f t="shared" si="4"/>
        <v>0</v>
      </c>
      <c r="Z81" s="171">
        <v>21406</v>
      </c>
      <c r="AA81" s="172">
        <v>33</v>
      </c>
      <c r="AB81" s="173">
        <v>44344</v>
      </c>
      <c r="AC81" s="174">
        <v>44369</v>
      </c>
      <c r="AD81" s="171"/>
      <c r="AE81" s="175"/>
      <c r="AF81" s="173"/>
      <c r="AG81" s="174"/>
      <c r="AH81" s="171"/>
      <c r="AI81" s="172"/>
      <c r="AJ81" s="173"/>
      <c r="AK81" s="174"/>
      <c r="AL81" s="171"/>
      <c r="AM81" s="172"/>
      <c r="AN81" s="176"/>
      <c r="AO81" s="174"/>
      <c r="AP81" s="171"/>
      <c r="AQ81" s="172"/>
      <c r="AR81" s="176"/>
      <c r="AS81" s="174"/>
      <c r="AT81" s="177">
        <f t="shared" ref="AT81:AT93" si="5">+Z81+AD81+AH81+AL81+AP81</f>
        <v>21406</v>
      </c>
      <c r="AU81" s="178">
        <f t="shared" ref="AU81:AU93" si="6">+AT81-Y81</f>
        <v>21406</v>
      </c>
    </row>
    <row r="82" spans="2:47" s="163" customFormat="1" ht="33.75">
      <c r="B82" s="164">
        <v>67</v>
      </c>
      <c r="C82" s="164" t="s">
        <v>39</v>
      </c>
      <c r="D82" s="165">
        <v>30371276</v>
      </c>
      <c r="E82" s="166" t="s">
        <v>303</v>
      </c>
      <c r="F82" s="166" t="s">
        <v>146</v>
      </c>
      <c r="G82" s="167" t="s">
        <v>228</v>
      </c>
      <c r="H82" s="180" t="s">
        <v>229</v>
      </c>
      <c r="I82" s="168" t="s">
        <v>52</v>
      </c>
      <c r="J82" s="169">
        <v>9794860</v>
      </c>
      <c r="K82" s="170">
        <v>0</v>
      </c>
      <c r="L82" s="170">
        <v>4246746</v>
      </c>
      <c r="M82" s="170">
        <v>0</v>
      </c>
      <c r="N82" s="170">
        <v>0</v>
      </c>
      <c r="O82" s="170">
        <v>0</v>
      </c>
      <c r="P82" s="170">
        <v>0</v>
      </c>
      <c r="Q82" s="170">
        <v>0</v>
      </c>
      <c r="R82" s="170">
        <v>0</v>
      </c>
      <c r="S82" s="170">
        <v>0</v>
      </c>
      <c r="T82" s="170">
        <v>0</v>
      </c>
      <c r="U82" s="170">
        <v>0</v>
      </c>
      <c r="V82" s="170">
        <v>0</v>
      </c>
      <c r="W82" s="170">
        <v>0</v>
      </c>
      <c r="X82" s="170">
        <v>0</v>
      </c>
      <c r="Y82" s="170">
        <f t="shared" ref="Y82:Y89" si="7">SUM(M82:X82)</f>
        <v>0</v>
      </c>
      <c r="Z82" s="171">
        <v>30843</v>
      </c>
      <c r="AA82" s="172">
        <v>35</v>
      </c>
      <c r="AB82" s="173">
        <v>44357</v>
      </c>
      <c r="AC82" s="174">
        <v>44383</v>
      </c>
      <c r="AD82" s="171"/>
      <c r="AE82" s="175"/>
      <c r="AF82" s="173"/>
      <c r="AG82" s="174"/>
      <c r="AH82" s="171"/>
      <c r="AI82" s="172"/>
      <c r="AJ82" s="173"/>
      <c r="AK82" s="174"/>
      <c r="AL82" s="171"/>
      <c r="AM82" s="172"/>
      <c r="AN82" s="176"/>
      <c r="AO82" s="174"/>
      <c r="AP82" s="171"/>
      <c r="AQ82" s="172"/>
      <c r="AR82" s="176"/>
      <c r="AS82" s="174"/>
      <c r="AT82" s="177">
        <f t="shared" si="5"/>
        <v>30843</v>
      </c>
      <c r="AU82" s="178">
        <f t="shared" si="6"/>
        <v>30843</v>
      </c>
    </row>
    <row r="83" spans="2:47" s="163" customFormat="1" ht="22.5">
      <c r="B83" s="164">
        <v>68</v>
      </c>
      <c r="C83" s="164" t="s">
        <v>65</v>
      </c>
      <c r="D83" s="165">
        <v>30460582</v>
      </c>
      <c r="E83" s="166" t="s">
        <v>304</v>
      </c>
      <c r="F83" s="166" t="s">
        <v>146</v>
      </c>
      <c r="G83" s="167" t="s">
        <v>228</v>
      </c>
      <c r="H83" s="180" t="s">
        <v>229</v>
      </c>
      <c r="I83" s="168" t="s">
        <v>52</v>
      </c>
      <c r="J83" s="169">
        <v>120469</v>
      </c>
      <c r="K83" s="170">
        <v>0</v>
      </c>
      <c r="L83" s="170">
        <v>117669</v>
      </c>
      <c r="M83" s="170">
        <v>0</v>
      </c>
      <c r="N83" s="170">
        <v>0</v>
      </c>
      <c r="O83" s="170">
        <v>0</v>
      </c>
      <c r="P83" s="170">
        <v>0</v>
      </c>
      <c r="Q83" s="170">
        <v>0</v>
      </c>
      <c r="R83" s="170">
        <v>0</v>
      </c>
      <c r="S83" s="170">
        <v>0</v>
      </c>
      <c r="T83" s="170">
        <v>0</v>
      </c>
      <c r="U83" s="170">
        <v>0</v>
      </c>
      <c r="V83" s="170">
        <v>0</v>
      </c>
      <c r="W83" s="170">
        <v>0</v>
      </c>
      <c r="X83" s="170">
        <v>0</v>
      </c>
      <c r="Y83" s="170">
        <f t="shared" si="7"/>
        <v>0</v>
      </c>
      <c r="Z83" s="171">
        <v>2800</v>
      </c>
      <c r="AA83" s="172">
        <v>35</v>
      </c>
      <c r="AB83" s="173">
        <v>44357</v>
      </c>
      <c r="AC83" s="174">
        <v>44383</v>
      </c>
      <c r="AD83" s="171"/>
      <c r="AE83" s="175"/>
      <c r="AF83" s="173"/>
      <c r="AG83" s="174"/>
      <c r="AH83" s="171"/>
      <c r="AI83" s="172"/>
      <c r="AJ83" s="173"/>
      <c r="AK83" s="174"/>
      <c r="AL83" s="171"/>
      <c r="AM83" s="172"/>
      <c r="AN83" s="176"/>
      <c r="AO83" s="174"/>
      <c r="AP83" s="171"/>
      <c r="AQ83" s="172"/>
      <c r="AR83" s="176"/>
      <c r="AS83" s="174"/>
      <c r="AT83" s="177">
        <f t="shared" si="5"/>
        <v>2800</v>
      </c>
      <c r="AU83" s="178">
        <f t="shared" si="6"/>
        <v>2800</v>
      </c>
    </row>
    <row r="84" spans="2:47" s="163" customFormat="1" ht="22.5">
      <c r="B84" s="164">
        <v>69</v>
      </c>
      <c r="C84" s="164" t="s">
        <v>39</v>
      </c>
      <c r="D84" s="165">
        <v>40003912</v>
      </c>
      <c r="E84" s="166" t="s">
        <v>305</v>
      </c>
      <c r="F84" s="166" t="s">
        <v>146</v>
      </c>
      <c r="G84" s="167" t="s">
        <v>228</v>
      </c>
      <c r="H84" s="180" t="s">
        <v>236</v>
      </c>
      <c r="I84" s="168" t="s">
        <v>52</v>
      </c>
      <c r="J84" s="169">
        <v>1678241</v>
      </c>
      <c r="K84" s="170">
        <v>0</v>
      </c>
      <c r="L84" s="170">
        <v>1674331</v>
      </c>
      <c r="M84" s="170">
        <v>0</v>
      </c>
      <c r="N84" s="170">
        <v>0</v>
      </c>
      <c r="O84" s="170">
        <v>0</v>
      </c>
      <c r="P84" s="170">
        <v>0</v>
      </c>
      <c r="Q84" s="170">
        <v>0</v>
      </c>
      <c r="R84" s="170">
        <v>0</v>
      </c>
      <c r="S84" s="170">
        <v>0</v>
      </c>
      <c r="T84" s="170">
        <v>0</v>
      </c>
      <c r="U84" s="170">
        <v>0</v>
      </c>
      <c r="V84" s="170">
        <v>0</v>
      </c>
      <c r="W84" s="170">
        <v>0</v>
      </c>
      <c r="X84" s="170">
        <v>0</v>
      </c>
      <c r="Y84" s="170">
        <f t="shared" si="7"/>
        <v>0</v>
      </c>
      <c r="Z84" s="171">
        <v>3910</v>
      </c>
      <c r="AA84" s="172">
        <v>51</v>
      </c>
      <c r="AB84" s="173">
        <v>44389</v>
      </c>
      <c r="AC84" s="174">
        <v>44413</v>
      </c>
      <c r="AD84" s="171"/>
      <c r="AE84" s="175"/>
      <c r="AF84" s="173"/>
      <c r="AG84" s="174"/>
      <c r="AH84" s="171"/>
      <c r="AI84" s="172"/>
      <c r="AJ84" s="173"/>
      <c r="AK84" s="174"/>
      <c r="AL84" s="171"/>
      <c r="AM84" s="172"/>
      <c r="AN84" s="176"/>
      <c r="AO84" s="174"/>
      <c r="AP84" s="171"/>
      <c r="AQ84" s="172"/>
      <c r="AR84" s="176"/>
      <c r="AS84" s="174"/>
      <c r="AT84" s="177">
        <f t="shared" si="5"/>
        <v>3910</v>
      </c>
      <c r="AU84" s="178">
        <f t="shared" si="6"/>
        <v>3910</v>
      </c>
    </row>
    <row r="85" spans="2:47" s="163" customFormat="1" ht="22.5">
      <c r="B85" s="164">
        <v>70</v>
      </c>
      <c r="C85" s="164" t="s">
        <v>131</v>
      </c>
      <c r="D85" s="165">
        <v>40027133</v>
      </c>
      <c r="E85" s="166" t="s">
        <v>306</v>
      </c>
      <c r="F85" s="166" t="s">
        <v>146</v>
      </c>
      <c r="G85" s="167" t="s">
        <v>228</v>
      </c>
      <c r="H85" s="180" t="s">
        <v>229</v>
      </c>
      <c r="I85" s="168" t="s">
        <v>52</v>
      </c>
      <c r="J85" s="169">
        <v>95060</v>
      </c>
      <c r="K85" s="170">
        <v>0</v>
      </c>
      <c r="L85" s="170">
        <v>95059</v>
      </c>
      <c r="M85" s="170">
        <v>0</v>
      </c>
      <c r="N85" s="170">
        <v>0</v>
      </c>
      <c r="O85" s="170">
        <v>0</v>
      </c>
      <c r="P85" s="170">
        <v>0</v>
      </c>
      <c r="Q85" s="170">
        <v>0</v>
      </c>
      <c r="R85" s="170">
        <v>0</v>
      </c>
      <c r="S85" s="170">
        <v>0</v>
      </c>
      <c r="T85" s="170">
        <v>0</v>
      </c>
      <c r="U85" s="170">
        <v>0</v>
      </c>
      <c r="V85" s="170">
        <v>0</v>
      </c>
      <c r="W85" s="170">
        <v>0</v>
      </c>
      <c r="X85" s="170">
        <v>0</v>
      </c>
      <c r="Y85" s="170">
        <f t="shared" si="7"/>
        <v>0</v>
      </c>
      <c r="Z85" s="171">
        <v>1</v>
      </c>
      <c r="AA85" s="172">
        <v>51</v>
      </c>
      <c r="AB85" s="173">
        <v>44389</v>
      </c>
      <c r="AC85" s="174">
        <v>44413</v>
      </c>
      <c r="AD85" s="171"/>
      <c r="AE85" s="175"/>
      <c r="AF85" s="173"/>
      <c r="AG85" s="174"/>
      <c r="AH85" s="171"/>
      <c r="AI85" s="172"/>
      <c r="AJ85" s="173"/>
      <c r="AK85" s="174"/>
      <c r="AL85" s="171"/>
      <c r="AM85" s="172"/>
      <c r="AN85" s="176"/>
      <c r="AO85" s="174"/>
      <c r="AP85" s="171"/>
      <c r="AQ85" s="172"/>
      <c r="AR85" s="176"/>
      <c r="AS85" s="174"/>
      <c r="AT85" s="177">
        <f t="shared" si="5"/>
        <v>1</v>
      </c>
      <c r="AU85" s="178">
        <f t="shared" si="6"/>
        <v>1</v>
      </c>
    </row>
    <row r="86" spans="2:47" s="163" customFormat="1" ht="33.75">
      <c r="B86" s="164">
        <v>71</v>
      </c>
      <c r="C86" s="164" t="s">
        <v>307</v>
      </c>
      <c r="D86" s="165">
        <v>40027437</v>
      </c>
      <c r="E86" s="166" t="s">
        <v>308</v>
      </c>
      <c r="F86" s="166" t="s">
        <v>146</v>
      </c>
      <c r="G86" s="167" t="s">
        <v>228</v>
      </c>
      <c r="H86" s="180" t="s">
        <v>229</v>
      </c>
      <c r="I86" s="168" t="s">
        <v>52</v>
      </c>
      <c r="J86" s="169">
        <v>385155</v>
      </c>
      <c r="K86" s="170">
        <v>0</v>
      </c>
      <c r="L86" s="170">
        <v>385154</v>
      </c>
      <c r="M86" s="170">
        <v>0</v>
      </c>
      <c r="N86" s="170">
        <v>0</v>
      </c>
      <c r="O86" s="170">
        <v>0</v>
      </c>
      <c r="P86" s="170">
        <v>0</v>
      </c>
      <c r="Q86" s="170">
        <v>0</v>
      </c>
      <c r="R86" s="170">
        <v>0</v>
      </c>
      <c r="S86" s="170">
        <v>0</v>
      </c>
      <c r="T86" s="170">
        <v>0</v>
      </c>
      <c r="U86" s="170">
        <v>0</v>
      </c>
      <c r="V86" s="170">
        <v>0</v>
      </c>
      <c r="W86" s="170">
        <v>0</v>
      </c>
      <c r="X86" s="170">
        <v>0</v>
      </c>
      <c r="Y86" s="170">
        <f t="shared" si="7"/>
        <v>0</v>
      </c>
      <c r="Z86" s="171">
        <v>1</v>
      </c>
      <c r="AA86" s="172">
        <v>51</v>
      </c>
      <c r="AB86" s="173">
        <v>44389</v>
      </c>
      <c r="AC86" s="174">
        <v>44413</v>
      </c>
      <c r="AD86" s="171"/>
      <c r="AE86" s="175"/>
      <c r="AF86" s="173"/>
      <c r="AG86" s="174"/>
      <c r="AH86" s="171"/>
      <c r="AI86" s="172"/>
      <c r="AJ86" s="173"/>
      <c r="AK86" s="174"/>
      <c r="AL86" s="171"/>
      <c r="AM86" s="172"/>
      <c r="AN86" s="176"/>
      <c r="AO86" s="174"/>
      <c r="AP86" s="171"/>
      <c r="AQ86" s="172"/>
      <c r="AR86" s="176"/>
      <c r="AS86" s="174"/>
      <c r="AT86" s="177">
        <f t="shared" si="5"/>
        <v>1</v>
      </c>
      <c r="AU86" s="178">
        <f t="shared" si="6"/>
        <v>1</v>
      </c>
    </row>
    <row r="87" spans="2:47" s="163" customFormat="1" ht="22.5">
      <c r="B87" s="164">
        <v>72</v>
      </c>
      <c r="C87" s="164" t="s">
        <v>309</v>
      </c>
      <c r="D87" s="165">
        <v>40031230</v>
      </c>
      <c r="E87" s="166" t="s">
        <v>310</v>
      </c>
      <c r="F87" s="166" t="s">
        <v>146</v>
      </c>
      <c r="G87" s="167" t="s">
        <v>228</v>
      </c>
      <c r="H87" s="180" t="s">
        <v>150</v>
      </c>
      <c r="I87" s="168" t="s">
        <v>52</v>
      </c>
      <c r="J87" s="169">
        <v>1593075</v>
      </c>
      <c r="K87" s="170">
        <v>0</v>
      </c>
      <c r="L87" s="170">
        <v>1539000</v>
      </c>
      <c r="M87" s="170">
        <v>0</v>
      </c>
      <c r="N87" s="170">
        <v>0</v>
      </c>
      <c r="O87" s="170">
        <v>0</v>
      </c>
      <c r="P87" s="170">
        <v>0</v>
      </c>
      <c r="Q87" s="170">
        <v>0</v>
      </c>
      <c r="R87" s="170">
        <v>0</v>
      </c>
      <c r="S87" s="170">
        <v>0</v>
      </c>
      <c r="T87" s="170">
        <v>0</v>
      </c>
      <c r="U87" s="170">
        <v>0</v>
      </c>
      <c r="V87" s="170">
        <v>0</v>
      </c>
      <c r="W87" s="170">
        <v>0</v>
      </c>
      <c r="X87" s="170">
        <v>0</v>
      </c>
      <c r="Y87" s="170">
        <f t="shared" si="7"/>
        <v>0</v>
      </c>
      <c r="Z87" s="171">
        <v>54075</v>
      </c>
      <c r="AA87" s="172">
        <v>51</v>
      </c>
      <c r="AB87" s="173">
        <v>44389</v>
      </c>
      <c r="AC87" s="174">
        <v>44413</v>
      </c>
      <c r="AD87" s="171"/>
      <c r="AE87" s="175"/>
      <c r="AF87" s="173"/>
      <c r="AG87" s="174"/>
      <c r="AH87" s="171"/>
      <c r="AI87" s="172"/>
      <c r="AJ87" s="173"/>
      <c r="AK87" s="174"/>
      <c r="AL87" s="171"/>
      <c r="AM87" s="172"/>
      <c r="AN87" s="176"/>
      <c r="AO87" s="174"/>
      <c r="AP87" s="171"/>
      <c r="AQ87" s="172"/>
      <c r="AR87" s="176"/>
      <c r="AS87" s="174"/>
      <c r="AT87" s="177">
        <f t="shared" si="5"/>
        <v>54075</v>
      </c>
      <c r="AU87" s="178">
        <f t="shared" si="6"/>
        <v>54075</v>
      </c>
    </row>
    <row r="88" spans="2:47" s="163" customFormat="1" ht="22.5">
      <c r="B88" s="164">
        <v>73</v>
      </c>
      <c r="C88" s="164" t="s">
        <v>311</v>
      </c>
      <c r="D88" s="165">
        <v>40027908</v>
      </c>
      <c r="E88" s="166" t="s">
        <v>312</v>
      </c>
      <c r="F88" s="166" t="s">
        <v>146</v>
      </c>
      <c r="G88" s="167" t="s">
        <v>228</v>
      </c>
      <c r="H88" s="180" t="s">
        <v>229</v>
      </c>
      <c r="I88" s="168" t="s">
        <v>52</v>
      </c>
      <c r="J88" s="169">
        <v>2799716</v>
      </c>
      <c r="K88" s="170">
        <v>0</v>
      </c>
      <c r="L88" s="170">
        <v>2799715</v>
      </c>
      <c r="M88" s="170">
        <v>0</v>
      </c>
      <c r="N88" s="170">
        <v>0</v>
      </c>
      <c r="O88" s="170">
        <v>0</v>
      </c>
      <c r="P88" s="170">
        <v>0</v>
      </c>
      <c r="Q88" s="170">
        <v>0</v>
      </c>
      <c r="R88" s="170">
        <v>0</v>
      </c>
      <c r="S88" s="170">
        <v>0</v>
      </c>
      <c r="T88" s="170">
        <v>0</v>
      </c>
      <c r="U88" s="170">
        <v>0</v>
      </c>
      <c r="V88" s="170">
        <v>0</v>
      </c>
      <c r="W88" s="170">
        <v>0</v>
      </c>
      <c r="X88" s="170">
        <v>0</v>
      </c>
      <c r="Y88" s="170">
        <f t="shared" si="7"/>
        <v>0</v>
      </c>
      <c r="Z88" s="171">
        <v>1</v>
      </c>
      <c r="AA88" s="172">
        <v>62</v>
      </c>
      <c r="AB88" s="173">
        <v>44435</v>
      </c>
      <c r="AC88" s="174">
        <v>44452</v>
      </c>
      <c r="AD88" s="171"/>
      <c r="AE88" s="175"/>
      <c r="AF88" s="173"/>
      <c r="AG88" s="174"/>
      <c r="AH88" s="171"/>
      <c r="AI88" s="172"/>
      <c r="AJ88" s="173"/>
      <c r="AK88" s="174"/>
      <c r="AL88" s="171"/>
      <c r="AM88" s="172"/>
      <c r="AN88" s="176"/>
      <c r="AO88" s="174"/>
      <c r="AP88" s="171"/>
      <c r="AQ88" s="172"/>
      <c r="AR88" s="176"/>
      <c r="AS88" s="174"/>
      <c r="AT88" s="177">
        <f t="shared" si="5"/>
        <v>1</v>
      </c>
      <c r="AU88" s="178">
        <f t="shared" si="6"/>
        <v>1</v>
      </c>
    </row>
    <row r="89" spans="2:47" s="163" customFormat="1" ht="22.5">
      <c r="B89" s="164">
        <v>74</v>
      </c>
      <c r="C89" s="164" t="s">
        <v>313</v>
      </c>
      <c r="D89" s="165">
        <v>40033389</v>
      </c>
      <c r="E89" s="166" t="s">
        <v>314</v>
      </c>
      <c r="F89" s="166" t="s">
        <v>146</v>
      </c>
      <c r="G89" s="167" t="s">
        <v>228</v>
      </c>
      <c r="H89" s="180" t="s">
        <v>240</v>
      </c>
      <c r="I89" s="168" t="s">
        <v>52</v>
      </c>
      <c r="J89" s="169">
        <v>393640</v>
      </c>
      <c r="K89" s="170">
        <v>0</v>
      </c>
      <c r="L89" s="170">
        <v>393639</v>
      </c>
      <c r="M89" s="170">
        <v>0</v>
      </c>
      <c r="N89" s="170">
        <v>0</v>
      </c>
      <c r="O89" s="170">
        <v>0</v>
      </c>
      <c r="P89" s="170">
        <v>0</v>
      </c>
      <c r="Q89" s="170">
        <v>0</v>
      </c>
      <c r="R89" s="170">
        <v>0</v>
      </c>
      <c r="S89" s="170">
        <v>0</v>
      </c>
      <c r="T89" s="170">
        <v>0</v>
      </c>
      <c r="U89" s="170">
        <v>0</v>
      </c>
      <c r="V89" s="170">
        <v>0</v>
      </c>
      <c r="W89" s="170">
        <v>0</v>
      </c>
      <c r="X89" s="170">
        <v>0</v>
      </c>
      <c r="Y89" s="170">
        <f t="shared" si="7"/>
        <v>0</v>
      </c>
      <c r="Z89" s="171">
        <v>1</v>
      </c>
      <c r="AA89" s="172">
        <v>62</v>
      </c>
      <c r="AB89" s="173">
        <v>44435</v>
      </c>
      <c r="AC89" s="174">
        <v>44452</v>
      </c>
      <c r="AD89" s="171"/>
      <c r="AE89" s="175"/>
      <c r="AF89" s="173"/>
      <c r="AG89" s="174"/>
      <c r="AH89" s="171"/>
      <c r="AI89" s="172"/>
      <c r="AJ89" s="173"/>
      <c r="AK89" s="174"/>
      <c r="AL89" s="171"/>
      <c r="AM89" s="172"/>
      <c r="AN89" s="176"/>
      <c r="AO89" s="174"/>
      <c r="AP89" s="171"/>
      <c r="AQ89" s="172"/>
      <c r="AR89" s="176"/>
      <c r="AS89" s="174"/>
      <c r="AT89" s="177">
        <f t="shared" si="5"/>
        <v>1</v>
      </c>
      <c r="AU89" s="178">
        <f t="shared" si="6"/>
        <v>1</v>
      </c>
    </row>
    <row r="90" spans="2:47" s="163" customFormat="1">
      <c r="B90" s="164"/>
      <c r="C90" s="164"/>
      <c r="D90" s="165"/>
      <c r="E90" s="166"/>
      <c r="F90" s="166"/>
      <c r="G90" s="167"/>
      <c r="H90" s="180"/>
      <c r="I90" s="168"/>
      <c r="J90" s="168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1"/>
      <c r="AA90" s="172"/>
      <c r="AB90" s="173"/>
      <c r="AC90" s="174"/>
      <c r="AD90" s="171"/>
      <c r="AE90" s="175"/>
      <c r="AF90" s="173"/>
      <c r="AG90" s="174"/>
      <c r="AH90" s="171"/>
      <c r="AI90" s="172"/>
      <c r="AJ90" s="173"/>
      <c r="AK90" s="174"/>
      <c r="AL90" s="171"/>
      <c r="AM90" s="172"/>
      <c r="AN90" s="176"/>
      <c r="AO90" s="174"/>
      <c r="AP90" s="171"/>
      <c r="AQ90" s="172"/>
      <c r="AR90" s="176"/>
      <c r="AS90" s="174"/>
      <c r="AT90" s="177">
        <f t="shared" si="5"/>
        <v>0</v>
      </c>
      <c r="AU90" s="178">
        <f t="shared" si="6"/>
        <v>0</v>
      </c>
    </row>
    <row r="91" spans="2:47" s="163" customFormat="1">
      <c r="B91" s="164"/>
      <c r="C91" s="164"/>
      <c r="D91" s="165"/>
      <c r="E91" s="166"/>
      <c r="F91" s="166"/>
      <c r="G91" s="167"/>
      <c r="H91" s="180"/>
      <c r="I91" s="168"/>
      <c r="J91" s="168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1"/>
      <c r="AA91" s="172"/>
      <c r="AB91" s="173"/>
      <c r="AC91" s="174"/>
      <c r="AD91" s="171"/>
      <c r="AE91" s="175"/>
      <c r="AF91" s="173"/>
      <c r="AG91" s="174"/>
      <c r="AH91" s="171"/>
      <c r="AI91" s="172"/>
      <c r="AJ91" s="173"/>
      <c r="AK91" s="174"/>
      <c r="AL91" s="171"/>
      <c r="AM91" s="172"/>
      <c r="AN91" s="176"/>
      <c r="AO91" s="174"/>
      <c r="AP91" s="171"/>
      <c r="AQ91" s="172"/>
      <c r="AR91" s="176"/>
      <c r="AS91" s="174"/>
      <c r="AT91" s="177">
        <f t="shared" si="5"/>
        <v>0</v>
      </c>
      <c r="AU91" s="178">
        <f t="shared" si="6"/>
        <v>0</v>
      </c>
    </row>
    <row r="92" spans="2:47" s="163" customFormat="1">
      <c r="B92" s="164"/>
      <c r="C92" s="164"/>
      <c r="D92" s="165"/>
      <c r="E92" s="166"/>
      <c r="F92" s="166"/>
      <c r="G92" s="167"/>
      <c r="H92" s="180"/>
      <c r="I92" s="168"/>
      <c r="J92" s="168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1"/>
      <c r="AA92" s="172"/>
      <c r="AB92" s="173"/>
      <c r="AC92" s="174"/>
      <c r="AD92" s="171"/>
      <c r="AE92" s="175"/>
      <c r="AF92" s="176"/>
      <c r="AG92" s="174"/>
      <c r="AH92" s="171"/>
      <c r="AI92" s="172"/>
      <c r="AJ92" s="173"/>
      <c r="AK92" s="174"/>
      <c r="AL92" s="171"/>
      <c r="AM92" s="172"/>
      <c r="AN92" s="176"/>
      <c r="AO92" s="174"/>
      <c r="AP92" s="171"/>
      <c r="AQ92" s="172"/>
      <c r="AR92" s="176"/>
      <c r="AS92" s="174"/>
      <c r="AT92" s="177">
        <f t="shared" si="5"/>
        <v>0</v>
      </c>
      <c r="AU92" s="178">
        <f t="shared" si="6"/>
        <v>0</v>
      </c>
    </row>
    <row r="93" spans="2:47" s="163" customFormat="1">
      <c r="B93" s="164"/>
      <c r="C93" s="164"/>
      <c r="D93" s="165"/>
      <c r="E93" s="166"/>
      <c r="F93" s="166"/>
      <c r="G93" s="167"/>
      <c r="H93" s="180"/>
      <c r="I93" s="168"/>
      <c r="J93" s="168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1"/>
      <c r="AA93" s="172"/>
      <c r="AB93" s="173"/>
      <c r="AC93" s="174"/>
      <c r="AD93" s="171"/>
      <c r="AE93" s="175"/>
      <c r="AF93" s="176"/>
      <c r="AG93" s="174"/>
      <c r="AH93" s="171"/>
      <c r="AI93" s="172"/>
      <c r="AJ93" s="173"/>
      <c r="AK93" s="174"/>
      <c r="AL93" s="171"/>
      <c r="AM93" s="172"/>
      <c r="AN93" s="176"/>
      <c r="AO93" s="174"/>
      <c r="AP93" s="171"/>
      <c r="AQ93" s="172"/>
      <c r="AR93" s="176"/>
      <c r="AS93" s="174"/>
      <c r="AT93" s="177">
        <f t="shared" si="5"/>
        <v>0</v>
      </c>
      <c r="AU93" s="178">
        <f t="shared" si="6"/>
        <v>0</v>
      </c>
    </row>
    <row r="94" spans="2:47" ht="15" customHeight="1">
      <c r="B94" s="741" t="s">
        <v>134</v>
      </c>
      <c r="C94" s="741"/>
      <c r="D94" s="741"/>
      <c r="E94" s="741"/>
      <c r="F94" s="741"/>
      <c r="G94" s="741"/>
      <c r="H94" s="741"/>
      <c r="I94" s="741"/>
      <c r="J94" s="193">
        <f>SUBTOTAL(9,J16:J89)</f>
        <v>200028987</v>
      </c>
      <c r="K94" s="193">
        <f t="shared" ref="K94:Y94" si="8">SUBTOTAL(9,K16:K89)</f>
        <v>49550456</v>
      </c>
      <c r="L94" s="193">
        <f t="shared" si="8"/>
        <v>82838434</v>
      </c>
      <c r="M94" s="193">
        <f t="shared" si="8"/>
        <v>1966093.564</v>
      </c>
      <c r="N94" s="193">
        <f t="shared" si="8"/>
        <v>1229720.55</v>
      </c>
      <c r="O94" s="193">
        <f t="shared" si="8"/>
        <v>1303149.625</v>
      </c>
      <c r="P94" s="193">
        <f t="shared" si="8"/>
        <v>934889.41800000006</v>
      </c>
      <c r="Q94" s="193">
        <f t="shared" si="8"/>
        <v>796438.96399999992</v>
      </c>
      <c r="R94" s="193">
        <f t="shared" si="8"/>
        <v>2948312.7810000004</v>
      </c>
      <c r="S94" s="193">
        <f t="shared" si="8"/>
        <v>1076511</v>
      </c>
      <c r="T94" s="193">
        <f t="shared" si="8"/>
        <v>1322277</v>
      </c>
      <c r="U94" s="193">
        <f t="shared" si="8"/>
        <v>1581475</v>
      </c>
      <c r="V94" s="193">
        <f t="shared" si="8"/>
        <v>0</v>
      </c>
      <c r="W94" s="193">
        <f t="shared" si="8"/>
        <v>0</v>
      </c>
      <c r="X94" s="193">
        <f t="shared" si="8"/>
        <v>0</v>
      </c>
      <c r="Y94" s="193">
        <f t="shared" si="8"/>
        <v>13158867.902000001</v>
      </c>
      <c r="Z94" s="193">
        <f>SUBTOTAL(9,Z16:Z89)</f>
        <v>23687149</v>
      </c>
      <c r="AA94" s="193"/>
      <c r="AB94" s="193"/>
      <c r="AC94" s="193"/>
      <c r="AD94" s="193">
        <f>SUBTOTAL(9,AD16:AD89)</f>
        <v>-400240</v>
      </c>
      <c r="AE94" s="193"/>
      <c r="AF94" s="193"/>
      <c r="AG94" s="193"/>
      <c r="AH94" s="193">
        <f>SUBTOTAL(9,AH16:AH89)</f>
        <v>1400000</v>
      </c>
      <c r="AI94" s="193"/>
      <c r="AJ94" s="193"/>
      <c r="AK94" s="193"/>
      <c r="AL94" s="193">
        <f>SUBTOTAL(9,AL16:AL89)</f>
        <v>0</v>
      </c>
      <c r="AM94" s="193"/>
      <c r="AN94" s="193"/>
      <c r="AO94" s="193"/>
      <c r="AP94" s="193">
        <f>SUBTOTAL(9,AP16:AP89)</f>
        <v>0</v>
      </c>
      <c r="AQ94" s="193"/>
      <c r="AR94" s="193"/>
      <c r="AS94" s="193"/>
      <c r="AT94" s="193">
        <f>SUBTOTAL(9,AT16:AT89)</f>
        <v>24686909</v>
      </c>
      <c r="AU94" s="193">
        <f>SUBTOTAL(9,AU16:AU89)</f>
        <v>11528041.098000001</v>
      </c>
    </row>
    <row r="95" spans="2:47" ht="20.25" customHeight="1">
      <c r="B95" s="182"/>
      <c r="C95" s="182"/>
      <c r="D95" s="182"/>
      <c r="E95" s="182"/>
      <c r="F95" s="183"/>
      <c r="G95" s="157"/>
      <c r="H95" s="157"/>
      <c r="M95" s="184"/>
      <c r="N95" s="185"/>
      <c r="O95" s="185"/>
      <c r="P95" s="185"/>
      <c r="Q95" s="185"/>
      <c r="R95" s="185"/>
    </row>
    <row r="96" spans="2:47"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7"/>
      <c r="Z96" s="186"/>
      <c r="AA96" s="186"/>
      <c r="AB96" s="186"/>
      <c r="AC96" s="186"/>
      <c r="AD96" s="188"/>
      <c r="AE96" s="189"/>
      <c r="AF96" s="188"/>
      <c r="AG96" s="188"/>
      <c r="AH96" s="188"/>
      <c r="AI96" s="190"/>
      <c r="AJ96" s="188"/>
      <c r="AK96" s="188"/>
      <c r="AL96" s="188"/>
      <c r="AM96" s="190"/>
      <c r="AN96" s="188"/>
      <c r="AO96" s="188"/>
      <c r="AP96" s="188"/>
      <c r="AQ96" s="190"/>
      <c r="AR96" s="188"/>
      <c r="AS96" s="188"/>
      <c r="AT96" s="152"/>
    </row>
    <row r="97" spans="27:46">
      <c r="AT97" s="191"/>
    </row>
    <row r="103" spans="27:46">
      <c r="AA103" s="192"/>
      <c r="AB103" s="192"/>
      <c r="AC103" s="192"/>
      <c r="AD103" s="192"/>
    </row>
    <row r="104" spans="27:46">
      <c r="AA104" s="192"/>
      <c r="AB104" s="192"/>
      <c r="AC104" s="192"/>
      <c r="AD104" s="192"/>
    </row>
    <row r="105" spans="27:46">
      <c r="AA105" s="192"/>
      <c r="AB105" s="192"/>
      <c r="AC105" s="192"/>
      <c r="AD105" s="192"/>
    </row>
    <row r="106" spans="27:46">
      <c r="AA106" s="192"/>
      <c r="AB106" s="192"/>
      <c r="AC106" s="192"/>
      <c r="AD106" s="192"/>
    </row>
    <row r="107" spans="27:46">
      <c r="AA107" s="192"/>
      <c r="AB107" s="192"/>
      <c r="AC107" s="192"/>
      <c r="AD107" s="192"/>
    </row>
    <row r="108" spans="27:46">
      <c r="AA108" s="192"/>
      <c r="AB108" s="192"/>
      <c r="AC108" s="192"/>
      <c r="AD108" s="192"/>
    </row>
    <row r="109" spans="27:46">
      <c r="AA109" s="192"/>
      <c r="AB109" s="192"/>
      <c r="AC109" s="192"/>
      <c r="AD109" s="192"/>
    </row>
    <row r="110" spans="27:46">
      <c r="AA110" s="192"/>
      <c r="AB110" s="192"/>
      <c r="AC110" s="192"/>
      <c r="AD110" s="192"/>
    </row>
    <row r="111" spans="27:46">
      <c r="AA111" s="192"/>
      <c r="AB111" s="192"/>
      <c r="AC111" s="192"/>
      <c r="AD111" s="192"/>
    </row>
    <row r="112" spans="27:46">
      <c r="AA112" s="192"/>
      <c r="AB112" s="192"/>
      <c r="AC112" s="192"/>
      <c r="AD112" s="192"/>
    </row>
    <row r="113" spans="27:30">
      <c r="AA113" s="192"/>
      <c r="AB113" s="192"/>
      <c r="AC113" s="192"/>
      <c r="AD113" s="192"/>
    </row>
    <row r="114" spans="27:30">
      <c r="AA114" s="192"/>
      <c r="AB114" s="192"/>
      <c r="AC114" s="192"/>
      <c r="AD114" s="192"/>
    </row>
    <row r="115" spans="27:30">
      <c r="AA115" s="192"/>
      <c r="AB115" s="192"/>
      <c r="AC115" s="192"/>
      <c r="AD115" s="192"/>
    </row>
    <row r="116" spans="27:30">
      <c r="AA116" s="192"/>
      <c r="AB116" s="192"/>
      <c r="AC116" s="192"/>
      <c r="AD116" s="192"/>
    </row>
    <row r="117" spans="27:30">
      <c r="AA117" s="192"/>
      <c r="AB117" s="192"/>
      <c r="AC117" s="192"/>
      <c r="AD117" s="192"/>
    </row>
    <row r="118" spans="27:30">
      <c r="AA118" s="192"/>
      <c r="AB118" s="192"/>
      <c r="AC118" s="192"/>
      <c r="AD118" s="192"/>
    </row>
    <row r="119" spans="27:30">
      <c r="AA119" s="192"/>
      <c r="AB119" s="192"/>
      <c r="AC119" s="192"/>
      <c r="AD119" s="192"/>
    </row>
  </sheetData>
  <mergeCells count="8">
    <mergeCell ref="AT14:AU14"/>
    <mergeCell ref="B94:I94"/>
    <mergeCell ref="B9:AC10"/>
    <mergeCell ref="Z14:AC14"/>
    <mergeCell ref="AD14:AG14"/>
    <mergeCell ref="AH14:AK14"/>
    <mergeCell ref="AL14:AO14"/>
    <mergeCell ref="AP14:AS14"/>
  </mergeCells>
  <conditionalFormatting sqref="D16:D63">
    <cfRule type="duplicateValues" dxfId="148" priority="1"/>
  </conditionalFormatting>
  <conditionalFormatting sqref="D64:D93">
    <cfRule type="duplicateValues" dxfId="147" priority="2"/>
  </conditionalFormatting>
  <pageMargins left="0.7" right="0.7" top="0.75" bottom="0.75" header="0.3" footer="0.3"/>
  <ignoredErrors>
    <ignoredError sqref="AT16:AU93 Q62:R63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455"/>
  <sheetViews>
    <sheetView tabSelected="1" topLeftCell="X21" workbookViewId="0">
      <selection activeCell="AC44" sqref="AC44"/>
    </sheetView>
  </sheetViews>
  <sheetFormatPr baseColWidth="10" defaultRowHeight="11.25"/>
  <cols>
    <col min="1" max="1" width="5" style="123" customWidth="1"/>
    <col min="2" max="2" width="10.140625" style="86" customWidth="1"/>
    <col min="3" max="3" width="9.85546875" style="83" customWidth="1"/>
    <col min="4" max="4" width="11.42578125" style="86" customWidth="1"/>
    <col min="5" max="5" width="37" style="83" customWidth="1"/>
    <col min="6" max="6" width="13.140625" style="83" customWidth="1"/>
    <col min="7" max="7" width="11.28515625" style="83" customWidth="1"/>
    <col min="8" max="8" width="18.85546875" style="83" customWidth="1"/>
    <col min="9" max="10" width="9.7109375" style="83" customWidth="1"/>
    <col min="11" max="25" width="12" style="83" customWidth="1"/>
    <col min="26" max="26" width="10.140625" style="83" customWidth="1"/>
    <col min="27" max="27" width="10.140625" style="60" customWidth="1"/>
    <col min="28" max="29" width="10.140625" style="83" customWidth="1"/>
    <col min="30" max="30" width="13.5703125" style="196" customWidth="1"/>
    <col min="31" max="31" width="10.140625" style="84" customWidth="1"/>
    <col min="32" max="33" width="10.140625" style="83" customWidth="1"/>
    <col min="34" max="34" width="11.42578125" style="83" customWidth="1"/>
    <col min="35" max="35" width="10.140625" style="60" customWidth="1"/>
    <col min="36" max="38" width="10.140625" style="83" customWidth="1"/>
    <col min="39" max="39" width="10.140625" style="60" customWidth="1"/>
    <col min="40" max="40" width="11.7109375" style="83" customWidth="1"/>
    <col min="41" max="42" width="10.140625" style="83" customWidth="1"/>
    <col min="43" max="43" width="10.140625" style="60" customWidth="1"/>
    <col min="44" max="46" width="10.140625" style="83" customWidth="1"/>
    <col min="47" max="47" width="10.140625" style="60" customWidth="1"/>
    <col min="48" max="50" width="10.140625" style="83" customWidth="1"/>
    <col min="51" max="51" width="10.140625" style="60" customWidth="1"/>
    <col min="52" max="53" width="10.140625" style="83" customWidth="1"/>
    <col min="54" max="54" width="11.42578125" style="83" customWidth="1"/>
    <col min="55" max="55" width="10.140625" style="60" customWidth="1"/>
    <col min="56" max="57" width="10.140625" style="83" customWidth="1"/>
    <col min="58" max="59" width="11.42578125" style="83"/>
    <col min="60" max="111" width="11.42578125" style="123"/>
    <col min="112" max="256" width="11.42578125" style="83"/>
    <col min="257" max="257" width="5" style="83" customWidth="1"/>
    <col min="258" max="258" width="10.140625" style="83" customWidth="1"/>
    <col min="259" max="259" width="9.85546875" style="83" customWidth="1"/>
    <col min="260" max="260" width="11.42578125" style="83" customWidth="1"/>
    <col min="261" max="261" width="37" style="83" customWidth="1"/>
    <col min="262" max="262" width="13.140625" style="83" customWidth="1"/>
    <col min="263" max="263" width="11.28515625" style="83" customWidth="1"/>
    <col min="264" max="264" width="18.85546875" style="83" customWidth="1"/>
    <col min="265" max="266" width="9.7109375" style="83" customWidth="1"/>
    <col min="267" max="281" width="12" style="83" customWidth="1"/>
    <col min="282" max="285" width="10.140625" style="83" customWidth="1"/>
    <col min="286" max="286" width="13.5703125" style="83" customWidth="1"/>
    <col min="287" max="289" width="10.140625" style="83" customWidth="1"/>
    <col min="290" max="290" width="11.42578125" style="83" customWidth="1"/>
    <col min="291" max="295" width="10.140625" style="83" customWidth="1"/>
    <col min="296" max="296" width="11.7109375" style="83" customWidth="1"/>
    <col min="297" max="309" width="10.140625" style="83" customWidth="1"/>
    <col min="310" max="310" width="11.42578125" style="83" customWidth="1"/>
    <col min="311" max="313" width="10.140625" style="83" customWidth="1"/>
    <col min="314" max="512" width="11.42578125" style="83"/>
    <col min="513" max="513" width="5" style="83" customWidth="1"/>
    <col min="514" max="514" width="10.140625" style="83" customWidth="1"/>
    <col min="515" max="515" width="9.85546875" style="83" customWidth="1"/>
    <col min="516" max="516" width="11.42578125" style="83" customWidth="1"/>
    <col min="517" max="517" width="37" style="83" customWidth="1"/>
    <col min="518" max="518" width="13.140625" style="83" customWidth="1"/>
    <col min="519" max="519" width="11.28515625" style="83" customWidth="1"/>
    <col min="520" max="520" width="18.85546875" style="83" customWidth="1"/>
    <col min="521" max="522" width="9.7109375" style="83" customWidth="1"/>
    <col min="523" max="537" width="12" style="83" customWidth="1"/>
    <col min="538" max="541" width="10.140625" style="83" customWidth="1"/>
    <col min="542" max="542" width="13.5703125" style="83" customWidth="1"/>
    <col min="543" max="545" width="10.140625" style="83" customWidth="1"/>
    <col min="546" max="546" width="11.42578125" style="83" customWidth="1"/>
    <col min="547" max="551" width="10.140625" style="83" customWidth="1"/>
    <col min="552" max="552" width="11.7109375" style="83" customWidth="1"/>
    <col min="553" max="565" width="10.140625" style="83" customWidth="1"/>
    <col min="566" max="566" width="11.42578125" style="83" customWidth="1"/>
    <col min="567" max="569" width="10.140625" style="83" customWidth="1"/>
    <col min="570" max="768" width="11.42578125" style="83"/>
    <col min="769" max="769" width="5" style="83" customWidth="1"/>
    <col min="770" max="770" width="10.140625" style="83" customWidth="1"/>
    <col min="771" max="771" width="9.85546875" style="83" customWidth="1"/>
    <col min="772" max="772" width="11.42578125" style="83" customWidth="1"/>
    <col min="773" max="773" width="37" style="83" customWidth="1"/>
    <col min="774" max="774" width="13.140625" style="83" customWidth="1"/>
    <col min="775" max="775" width="11.28515625" style="83" customWidth="1"/>
    <col min="776" max="776" width="18.85546875" style="83" customWidth="1"/>
    <col min="777" max="778" width="9.7109375" style="83" customWidth="1"/>
    <col min="779" max="793" width="12" style="83" customWidth="1"/>
    <col min="794" max="797" width="10.140625" style="83" customWidth="1"/>
    <col min="798" max="798" width="13.5703125" style="83" customWidth="1"/>
    <col min="799" max="801" width="10.140625" style="83" customWidth="1"/>
    <col min="802" max="802" width="11.42578125" style="83" customWidth="1"/>
    <col min="803" max="807" width="10.140625" style="83" customWidth="1"/>
    <col min="808" max="808" width="11.7109375" style="83" customWidth="1"/>
    <col min="809" max="821" width="10.140625" style="83" customWidth="1"/>
    <col min="822" max="822" width="11.42578125" style="83" customWidth="1"/>
    <col min="823" max="825" width="10.140625" style="83" customWidth="1"/>
    <col min="826" max="1024" width="11.42578125" style="83"/>
    <col min="1025" max="1025" width="5" style="83" customWidth="1"/>
    <col min="1026" max="1026" width="10.140625" style="83" customWidth="1"/>
    <col min="1027" max="1027" width="9.85546875" style="83" customWidth="1"/>
    <col min="1028" max="1028" width="11.42578125" style="83" customWidth="1"/>
    <col min="1029" max="1029" width="37" style="83" customWidth="1"/>
    <col min="1030" max="1030" width="13.140625" style="83" customWidth="1"/>
    <col min="1031" max="1031" width="11.28515625" style="83" customWidth="1"/>
    <col min="1032" max="1032" width="18.85546875" style="83" customWidth="1"/>
    <col min="1033" max="1034" width="9.7109375" style="83" customWidth="1"/>
    <col min="1035" max="1049" width="12" style="83" customWidth="1"/>
    <col min="1050" max="1053" width="10.140625" style="83" customWidth="1"/>
    <col min="1054" max="1054" width="13.5703125" style="83" customWidth="1"/>
    <col min="1055" max="1057" width="10.140625" style="83" customWidth="1"/>
    <col min="1058" max="1058" width="11.42578125" style="83" customWidth="1"/>
    <col min="1059" max="1063" width="10.140625" style="83" customWidth="1"/>
    <col min="1064" max="1064" width="11.7109375" style="83" customWidth="1"/>
    <col min="1065" max="1077" width="10.140625" style="83" customWidth="1"/>
    <col min="1078" max="1078" width="11.42578125" style="83" customWidth="1"/>
    <col min="1079" max="1081" width="10.140625" style="83" customWidth="1"/>
    <col min="1082" max="1280" width="11.42578125" style="83"/>
    <col min="1281" max="1281" width="5" style="83" customWidth="1"/>
    <col min="1282" max="1282" width="10.140625" style="83" customWidth="1"/>
    <col min="1283" max="1283" width="9.85546875" style="83" customWidth="1"/>
    <col min="1284" max="1284" width="11.42578125" style="83" customWidth="1"/>
    <col min="1285" max="1285" width="37" style="83" customWidth="1"/>
    <col min="1286" max="1286" width="13.140625" style="83" customWidth="1"/>
    <col min="1287" max="1287" width="11.28515625" style="83" customWidth="1"/>
    <col min="1288" max="1288" width="18.85546875" style="83" customWidth="1"/>
    <col min="1289" max="1290" width="9.7109375" style="83" customWidth="1"/>
    <col min="1291" max="1305" width="12" style="83" customWidth="1"/>
    <col min="1306" max="1309" width="10.140625" style="83" customWidth="1"/>
    <col min="1310" max="1310" width="13.5703125" style="83" customWidth="1"/>
    <col min="1311" max="1313" width="10.140625" style="83" customWidth="1"/>
    <col min="1314" max="1314" width="11.42578125" style="83" customWidth="1"/>
    <col min="1315" max="1319" width="10.140625" style="83" customWidth="1"/>
    <col min="1320" max="1320" width="11.7109375" style="83" customWidth="1"/>
    <col min="1321" max="1333" width="10.140625" style="83" customWidth="1"/>
    <col min="1334" max="1334" width="11.42578125" style="83" customWidth="1"/>
    <col min="1335" max="1337" width="10.140625" style="83" customWidth="1"/>
    <col min="1338" max="1536" width="11.42578125" style="83"/>
    <col min="1537" max="1537" width="5" style="83" customWidth="1"/>
    <col min="1538" max="1538" width="10.140625" style="83" customWidth="1"/>
    <col min="1539" max="1539" width="9.85546875" style="83" customWidth="1"/>
    <col min="1540" max="1540" width="11.42578125" style="83" customWidth="1"/>
    <col min="1541" max="1541" width="37" style="83" customWidth="1"/>
    <col min="1542" max="1542" width="13.140625" style="83" customWidth="1"/>
    <col min="1543" max="1543" width="11.28515625" style="83" customWidth="1"/>
    <col min="1544" max="1544" width="18.85546875" style="83" customWidth="1"/>
    <col min="1545" max="1546" width="9.7109375" style="83" customWidth="1"/>
    <col min="1547" max="1561" width="12" style="83" customWidth="1"/>
    <col min="1562" max="1565" width="10.140625" style="83" customWidth="1"/>
    <col min="1566" max="1566" width="13.5703125" style="83" customWidth="1"/>
    <col min="1567" max="1569" width="10.140625" style="83" customWidth="1"/>
    <col min="1570" max="1570" width="11.42578125" style="83" customWidth="1"/>
    <col min="1571" max="1575" width="10.140625" style="83" customWidth="1"/>
    <col min="1576" max="1576" width="11.7109375" style="83" customWidth="1"/>
    <col min="1577" max="1589" width="10.140625" style="83" customWidth="1"/>
    <col min="1590" max="1590" width="11.42578125" style="83" customWidth="1"/>
    <col min="1591" max="1593" width="10.140625" style="83" customWidth="1"/>
    <col min="1594" max="1792" width="11.42578125" style="83"/>
    <col min="1793" max="1793" width="5" style="83" customWidth="1"/>
    <col min="1794" max="1794" width="10.140625" style="83" customWidth="1"/>
    <col min="1795" max="1795" width="9.85546875" style="83" customWidth="1"/>
    <col min="1796" max="1796" width="11.42578125" style="83" customWidth="1"/>
    <col min="1797" max="1797" width="37" style="83" customWidth="1"/>
    <col min="1798" max="1798" width="13.140625" style="83" customWidth="1"/>
    <col min="1799" max="1799" width="11.28515625" style="83" customWidth="1"/>
    <col min="1800" max="1800" width="18.85546875" style="83" customWidth="1"/>
    <col min="1801" max="1802" width="9.7109375" style="83" customWidth="1"/>
    <col min="1803" max="1817" width="12" style="83" customWidth="1"/>
    <col min="1818" max="1821" width="10.140625" style="83" customWidth="1"/>
    <col min="1822" max="1822" width="13.5703125" style="83" customWidth="1"/>
    <col min="1823" max="1825" width="10.140625" style="83" customWidth="1"/>
    <col min="1826" max="1826" width="11.42578125" style="83" customWidth="1"/>
    <col min="1827" max="1831" width="10.140625" style="83" customWidth="1"/>
    <col min="1832" max="1832" width="11.7109375" style="83" customWidth="1"/>
    <col min="1833" max="1845" width="10.140625" style="83" customWidth="1"/>
    <col min="1846" max="1846" width="11.42578125" style="83" customWidth="1"/>
    <col min="1847" max="1849" width="10.140625" style="83" customWidth="1"/>
    <col min="1850" max="2048" width="11.42578125" style="83"/>
    <col min="2049" max="2049" width="5" style="83" customWidth="1"/>
    <col min="2050" max="2050" width="10.140625" style="83" customWidth="1"/>
    <col min="2051" max="2051" width="9.85546875" style="83" customWidth="1"/>
    <col min="2052" max="2052" width="11.42578125" style="83" customWidth="1"/>
    <col min="2053" max="2053" width="37" style="83" customWidth="1"/>
    <col min="2054" max="2054" width="13.140625" style="83" customWidth="1"/>
    <col min="2055" max="2055" width="11.28515625" style="83" customWidth="1"/>
    <col min="2056" max="2056" width="18.85546875" style="83" customWidth="1"/>
    <col min="2057" max="2058" width="9.7109375" style="83" customWidth="1"/>
    <col min="2059" max="2073" width="12" style="83" customWidth="1"/>
    <col min="2074" max="2077" width="10.140625" style="83" customWidth="1"/>
    <col min="2078" max="2078" width="13.5703125" style="83" customWidth="1"/>
    <col min="2079" max="2081" width="10.140625" style="83" customWidth="1"/>
    <col min="2082" max="2082" width="11.42578125" style="83" customWidth="1"/>
    <col min="2083" max="2087" width="10.140625" style="83" customWidth="1"/>
    <col min="2088" max="2088" width="11.7109375" style="83" customWidth="1"/>
    <col min="2089" max="2101" width="10.140625" style="83" customWidth="1"/>
    <col min="2102" max="2102" width="11.42578125" style="83" customWidth="1"/>
    <col min="2103" max="2105" width="10.140625" style="83" customWidth="1"/>
    <col min="2106" max="2304" width="11.42578125" style="83"/>
    <col min="2305" max="2305" width="5" style="83" customWidth="1"/>
    <col min="2306" max="2306" width="10.140625" style="83" customWidth="1"/>
    <col min="2307" max="2307" width="9.85546875" style="83" customWidth="1"/>
    <col min="2308" max="2308" width="11.42578125" style="83" customWidth="1"/>
    <col min="2309" max="2309" width="37" style="83" customWidth="1"/>
    <col min="2310" max="2310" width="13.140625" style="83" customWidth="1"/>
    <col min="2311" max="2311" width="11.28515625" style="83" customWidth="1"/>
    <col min="2312" max="2312" width="18.85546875" style="83" customWidth="1"/>
    <col min="2313" max="2314" width="9.7109375" style="83" customWidth="1"/>
    <col min="2315" max="2329" width="12" style="83" customWidth="1"/>
    <col min="2330" max="2333" width="10.140625" style="83" customWidth="1"/>
    <col min="2334" max="2334" width="13.5703125" style="83" customWidth="1"/>
    <col min="2335" max="2337" width="10.140625" style="83" customWidth="1"/>
    <col min="2338" max="2338" width="11.42578125" style="83" customWidth="1"/>
    <col min="2339" max="2343" width="10.140625" style="83" customWidth="1"/>
    <col min="2344" max="2344" width="11.7109375" style="83" customWidth="1"/>
    <col min="2345" max="2357" width="10.140625" style="83" customWidth="1"/>
    <col min="2358" max="2358" width="11.42578125" style="83" customWidth="1"/>
    <col min="2359" max="2361" width="10.140625" style="83" customWidth="1"/>
    <col min="2362" max="2560" width="11.42578125" style="83"/>
    <col min="2561" max="2561" width="5" style="83" customWidth="1"/>
    <col min="2562" max="2562" width="10.140625" style="83" customWidth="1"/>
    <col min="2563" max="2563" width="9.85546875" style="83" customWidth="1"/>
    <col min="2564" max="2564" width="11.42578125" style="83" customWidth="1"/>
    <col min="2565" max="2565" width="37" style="83" customWidth="1"/>
    <col min="2566" max="2566" width="13.140625" style="83" customWidth="1"/>
    <col min="2567" max="2567" width="11.28515625" style="83" customWidth="1"/>
    <col min="2568" max="2568" width="18.85546875" style="83" customWidth="1"/>
    <col min="2569" max="2570" width="9.7109375" style="83" customWidth="1"/>
    <col min="2571" max="2585" width="12" style="83" customWidth="1"/>
    <col min="2586" max="2589" width="10.140625" style="83" customWidth="1"/>
    <col min="2590" max="2590" width="13.5703125" style="83" customWidth="1"/>
    <col min="2591" max="2593" width="10.140625" style="83" customWidth="1"/>
    <col min="2594" max="2594" width="11.42578125" style="83" customWidth="1"/>
    <col min="2595" max="2599" width="10.140625" style="83" customWidth="1"/>
    <col min="2600" max="2600" width="11.7109375" style="83" customWidth="1"/>
    <col min="2601" max="2613" width="10.140625" style="83" customWidth="1"/>
    <col min="2614" max="2614" width="11.42578125" style="83" customWidth="1"/>
    <col min="2615" max="2617" width="10.140625" style="83" customWidth="1"/>
    <col min="2618" max="2816" width="11.42578125" style="83"/>
    <col min="2817" max="2817" width="5" style="83" customWidth="1"/>
    <col min="2818" max="2818" width="10.140625" style="83" customWidth="1"/>
    <col min="2819" max="2819" width="9.85546875" style="83" customWidth="1"/>
    <col min="2820" max="2820" width="11.42578125" style="83" customWidth="1"/>
    <col min="2821" max="2821" width="37" style="83" customWidth="1"/>
    <col min="2822" max="2822" width="13.140625" style="83" customWidth="1"/>
    <col min="2823" max="2823" width="11.28515625" style="83" customWidth="1"/>
    <col min="2824" max="2824" width="18.85546875" style="83" customWidth="1"/>
    <col min="2825" max="2826" width="9.7109375" style="83" customWidth="1"/>
    <col min="2827" max="2841" width="12" style="83" customWidth="1"/>
    <col min="2842" max="2845" width="10.140625" style="83" customWidth="1"/>
    <col min="2846" max="2846" width="13.5703125" style="83" customWidth="1"/>
    <col min="2847" max="2849" width="10.140625" style="83" customWidth="1"/>
    <col min="2850" max="2850" width="11.42578125" style="83" customWidth="1"/>
    <col min="2851" max="2855" width="10.140625" style="83" customWidth="1"/>
    <col min="2856" max="2856" width="11.7109375" style="83" customWidth="1"/>
    <col min="2857" max="2869" width="10.140625" style="83" customWidth="1"/>
    <col min="2870" max="2870" width="11.42578125" style="83" customWidth="1"/>
    <col min="2871" max="2873" width="10.140625" style="83" customWidth="1"/>
    <col min="2874" max="3072" width="11.42578125" style="83"/>
    <col min="3073" max="3073" width="5" style="83" customWidth="1"/>
    <col min="3074" max="3074" width="10.140625" style="83" customWidth="1"/>
    <col min="3075" max="3075" width="9.85546875" style="83" customWidth="1"/>
    <col min="3076" max="3076" width="11.42578125" style="83" customWidth="1"/>
    <col min="3077" max="3077" width="37" style="83" customWidth="1"/>
    <col min="3078" max="3078" width="13.140625" style="83" customWidth="1"/>
    <col min="3079" max="3079" width="11.28515625" style="83" customWidth="1"/>
    <col min="3080" max="3080" width="18.85546875" style="83" customWidth="1"/>
    <col min="3081" max="3082" width="9.7109375" style="83" customWidth="1"/>
    <col min="3083" max="3097" width="12" style="83" customWidth="1"/>
    <col min="3098" max="3101" width="10.140625" style="83" customWidth="1"/>
    <col min="3102" max="3102" width="13.5703125" style="83" customWidth="1"/>
    <col min="3103" max="3105" width="10.140625" style="83" customWidth="1"/>
    <col min="3106" max="3106" width="11.42578125" style="83" customWidth="1"/>
    <col min="3107" max="3111" width="10.140625" style="83" customWidth="1"/>
    <col min="3112" max="3112" width="11.7109375" style="83" customWidth="1"/>
    <col min="3113" max="3125" width="10.140625" style="83" customWidth="1"/>
    <col min="3126" max="3126" width="11.42578125" style="83" customWidth="1"/>
    <col min="3127" max="3129" width="10.140625" style="83" customWidth="1"/>
    <col min="3130" max="3328" width="11.42578125" style="83"/>
    <col min="3329" max="3329" width="5" style="83" customWidth="1"/>
    <col min="3330" max="3330" width="10.140625" style="83" customWidth="1"/>
    <col min="3331" max="3331" width="9.85546875" style="83" customWidth="1"/>
    <col min="3332" max="3332" width="11.42578125" style="83" customWidth="1"/>
    <col min="3333" max="3333" width="37" style="83" customWidth="1"/>
    <col min="3334" max="3334" width="13.140625" style="83" customWidth="1"/>
    <col min="3335" max="3335" width="11.28515625" style="83" customWidth="1"/>
    <col min="3336" max="3336" width="18.85546875" style="83" customWidth="1"/>
    <col min="3337" max="3338" width="9.7109375" style="83" customWidth="1"/>
    <col min="3339" max="3353" width="12" style="83" customWidth="1"/>
    <col min="3354" max="3357" width="10.140625" style="83" customWidth="1"/>
    <col min="3358" max="3358" width="13.5703125" style="83" customWidth="1"/>
    <col min="3359" max="3361" width="10.140625" style="83" customWidth="1"/>
    <col min="3362" max="3362" width="11.42578125" style="83" customWidth="1"/>
    <col min="3363" max="3367" width="10.140625" style="83" customWidth="1"/>
    <col min="3368" max="3368" width="11.7109375" style="83" customWidth="1"/>
    <col min="3369" max="3381" width="10.140625" style="83" customWidth="1"/>
    <col min="3382" max="3382" width="11.42578125" style="83" customWidth="1"/>
    <col min="3383" max="3385" width="10.140625" style="83" customWidth="1"/>
    <col min="3386" max="3584" width="11.42578125" style="83"/>
    <col min="3585" max="3585" width="5" style="83" customWidth="1"/>
    <col min="3586" max="3586" width="10.140625" style="83" customWidth="1"/>
    <col min="3587" max="3587" width="9.85546875" style="83" customWidth="1"/>
    <col min="3588" max="3588" width="11.42578125" style="83" customWidth="1"/>
    <col min="3589" max="3589" width="37" style="83" customWidth="1"/>
    <col min="3590" max="3590" width="13.140625" style="83" customWidth="1"/>
    <col min="3591" max="3591" width="11.28515625" style="83" customWidth="1"/>
    <col min="3592" max="3592" width="18.85546875" style="83" customWidth="1"/>
    <col min="3593" max="3594" width="9.7109375" style="83" customWidth="1"/>
    <col min="3595" max="3609" width="12" style="83" customWidth="1"/>
    <col min="3610" max="3613" width="10.140625" style="83" customWidth="1"/>
    <col min="3614" max="3614" width="13.5703125" style="83" customWidth="1"/>
    <col min="3615" max="3617" width="10.140625" style="83" customWidth="1"/>
    <col min="3618" max="3618" width="11.42578125" style="83" customWidth="1"/>
    <col min="3619" max="3623" width="10.140625" style="83" customWidth="1"/>
    <col min="3624" max="3624" width="11.7109375" style="83" customWidth="1"/>
    <col min="3625" max="3637" width="10.140625" style="83" customWidth="1"/>
    <col min="3638" max="3638" width="11.42578125" style="83" customWidth="1"/>
    <col min="3639" max="3641" width="10.140625" style="83" customWidth="1"/>
    <col min="3642" max="3840" width="11.42578125" style="83"/>
    <col min="3841" max="3841" width="5" style="83" customWidth="1"/>
    <col min="3842" max="3842" width="10.140625" style="83" customWidth="1"/>
    <col min="3843" max="3843" width="9.85546875" style="83" customWidth="1"/>
    <col min="3844" max="3844" width="11.42578125" style="83" customWidth="1"/>
    <col min="3845" max="3845" width="37" style="83" customWidth="1"/>
    <col min="3846" max="3846" width="13.140625" style="83" customWidth="1"/>
    <col min="3847" max="3847" width="11.28515625" style="83" customWidth="1"/>
    <col min="3848" max="3848" width="18.85546875" style="83" customWidth="1"/>
    <col min="3849" max="3850" width="9.7109375" style="83" customWidth="1"/>
    <col min="3851" max="3865" width="12" style="83" customWidth="1"/>
    <col min="3866" max="3869" width="10.140625" style="83" customWidth="1"/>
    <col min="3870" max="3870" width="13.5703125" style="83" customWidth="1"/>
    <col min="3871" max="3873" width="10.140625" style="83" customWidth="1"/>
    <col min="3874" max="3874" width="11.42578125" style="83" customWidth="1"/>
    <col min="3875" max="3879" width="10.140625" style="83" customWidth="1"/>
    <col min="3880" max="3880" width="11.7109375" style="83" customWidth="1"/>
    <col min="3881" max="3893" width="10.140625" style="83" customWidth="1"/>
    <col min="3894" max="3894" width="11.42578125" style="83" customWidth="1"/>
    <col min="3895" max="3897" width="10.140625" style="83" customWidth="1"/>
    <col min="3898" max="4096" width="11.42578125" style="83"/>
    <col min="4097" max="4097" width="5" style="83" customWidth="1"/>
    <col min="4098" max="4098" width="10.140625" style="83" customWidth="1"/>
    <col min="4099" max="4099" width="9.85546875" style="83" customWidth="1"/>
    <col min="4100" max="4100" width="11.42578125" style="83" customWidth="1"/>
    <col min="4101" max="4101" width="37" style="83" customWidth="1"/>
    <col min="4102" max="4102" width="13.140625" style="83" customWidth="1"/>
    <col min="4103" max="4103" width="11.28515625" style="83" customWidth="1"/>
    <col min="4104" max="4104" width="18.85546875" style="83" customWidth="1"/>
    <col min="4105" max="4106" width="9.7109375" style="83" customWidth="1"/>
    <col min="4107" max="4121" width="12" style="83" customWidth="1"/>
    <col min="4122" max="4125" width="10.140625" style="83" customWidth="1"/>
    <col min="4126" max="4126" width="13.5703125" style="83" customWidth="1"/>
    <col min="4127" max="4129" width="10.140625" style="83" customWidth="1"/>
    <col min="4130" max="4130" width="11.42578125" style="83" customWidth="1"/>
    <col min="4131" max="4135" width="10.140625" style="83" customWidth="1"/>
    <col min="4136" max="4136" width="11.7109375" style="83" customWidth="1"/>
    <col min="4137" max="4149" width="10.140625" style="83" customWidth="1"/>
    <col min="4150" max="4150" width="11.42578125" style="83" customWidth="1"/>
    <col min="4151" max="4153" width="10.140625" style="83" customWidth="1"/>
    <col min="4154" max="4352" width="11.42578125" style="83"/>
    <col min="4353" max="4353" width="5" style="83" customWidth="1"/>
    <col min="4354" max="4354" width="10.140625" style="83" customWidth="1"/>
    <col min="4355" max="4355" width="9.85546875" style="83" customWidth="1"/>
    <col min="4356" max="4356" width="11.42578125" style="83" customWidth="1"/>
    <col min="4357" max="4357" width="37" style="83" customWidth="1"/>
    <col min="4358" max="4358" width="13.140625" style="83" customWidth="1"/>
    <col min="4359" max="4359" width="11.28515625" style="83" customWidth="1"/>
    <col min="4360" max="4360" width="18.85546875" style="83" customWidth="1"/>
    <col min="4361" max="4362" width="9.7109375" style="83" customWidth="1"/>
    <col min="4363" max="4377" width="12" style="83" customWidth="1"/>
    <col min="4378" max="4381" width="10.140625" style="83" customWidth="1"/>
    <col min="4382" max="4382" width="13.5703125" style="83" customWidth="1"/>
    <col min="4383" max="4385" width="10.140625" style="83" customWidth="1"/>
    <col min="4386" max="4386" width="11.42578125" style="83" customWidth="1"/>
    <col min="4387" max="4391" width="10.140625" style="83" customWidth="1"/>
    <col min="4392" max="4392" width="11.7109375" style="83" customWidth="1"/>
    <col min="4393" max="4405" width="10.140625" style="83" customWidth="1"/>
    <col min="4406" max="4406" width="11.42578125" style="83" customWidth="1"/>
    <col min="4407" max="4409" width="10.140625" style="83" customWidth="1"/>
    <col min="4410" max="4608" width="11.42578125" style="83"/>
    <col min="4609" max="4609" width="5" style="83" customWidth="1"/>
    <col min="4610" max="4610" width="10.140625" style="83" customWidth="1"/>
    <col min="4611" max="4611" width="9.85546875" style="83" customWidth="1"/>
    <col min="4612" max="4612" width="11.42578125" style="83" customWidth="1"/>
    <col min="4613" max="4613" width="37" style="83" customWidth="1"/>
    <col min="4614" max="4614" width="13.140625" style="83" customWidth="1"/>
    <col min="4615" max="4615" width="11.28515625" style="83" customWidth="1"/>
    <col min="4616" max="4616" width="18.85546875" style="83" customWidth="1"/>
    <col min="4617" max="4618" width="9.7109375" style="83" customWidth="1"/>
    <col min="4619" max="4633" width="12" style="83" customWidth="1"/>
    <col min="4634" max="4637" width="10.140625" style="83" customWidth="1"/>
    <col min="4638" max="4638" width="13.5703125" style="83" customWidth="1"/>
    <col min="4639" max="4641" width="10.140625" style="83" customWidth="1"/>
    <col min="4642" max="4642" width="11.42578125" style="83" customWidth="1"/>
    <col min="4643" max="4647" width="10.140625" style="83" customWidth="1"/>
    <col min="4648" max="4648" width="11.7109375" style="83" customWidth="1"/>
    <col min="4649" max="4661" width="10.140625" style="83" customWidth="1"/>
    <col min="4662" max="4662" width="11.42578125" style="83" customWidth="1"/>
    <col min="4663" max="4665" width="10.140625" style="83" customWidth="1"/>
    <col min="4666" max="4864" width="11.42578125" style="83"/>
    <col min="4865" max="4865" width="5" style="83" customWidth="1"/>
    <col min="4866" max="4866" width="10.140625" style="83" customWidth="1"/>
    <col min="4867" max="4867" width="9.85546875" style="83" customWidth="1"/>
    <col min="4868" max="4868" width="11.42578125" style="83" customWidth="1"/>
    <col min="4869" max="4869" width="37" style="83" customWidth="1"/>
    <col min="4870" max="4870" width="13.140625" style="83" customWidth="1"/>
    <col min="4871" max="4871" width="11.28515625" style="83" customWidth="1"/>
    <col min="4872" max="4872" width="18.85546875" style="83" customWidth="1"/>
    <col min="4873" max="4874" width="9.7109375" style="83" customWidth="1"/>
    <col min="4875" max="4889" width="12" style="83" customWidth="1"/>
    <col min="4890" max="4893" width="10.140625" style="83" customWidth="1"/>
    <col min="4894" max="4894" width="13.5703125" style="83" customWidth="1"/>
    <col min="4895" max="4897" width="10.140625" style="83" customWidth="1"/>
    <col min="4898" max="4898" width="11.42578125" style="83" customWidth="1"/>
    <col min="4899" max="4903" width="10.140625" style="83" customWidth="1"/>
    <col min="4904" max="4904" width="11.7109375" style="83" customWidth="1"/>
    <col min="4905" max="4917" width="10.140625" style="83" customWidth="1"/>
    <col min="4918" max="4918" width="11.42578125" style="83" customWidth="1"/>
    <col min="4919" max="4921" width="10.140625" style="83" customWidth="1"/>
    <col min="4922" max="5120" width="11.42578125" style="83"/>
    <col min="5121" max="5121" width="5" style="83" customWidth="1"/>
    <col min="5122" max="5122" width="10.140625" style="83" customWidth="1"/>
    <col min="5123" max="5123" width="9.85546875" style="83" customWidth="1"/>
    <col min="5124" max="5124" width="11.42578125" style="83" customWidth="1"/>
    <col min="5125" max="5125" width="37" style="83" customWidth="1"/>
    <col min="5126" max="5126" width="13.140625" style="83" customWidth="1"/>
    <col min="5127" max="5127" width="11.28515625" style="83" customWidth="1"/>
    <col min="5128" max="5128" width="18.85546875" style="83" customWidth="1"/>
    <col min="5129" max="5130" width="9.7109375" style="83" customWidth="1"/>
    <col min="5131" max="5145" width="12" style="83" customWidth="1"/>
    <col min="5146" max="5149" width="10.140625" style="83" customWidth="1"/>
    <col min="5150" max="5150" width="13.5703125" style="83" customWidth="1"/>
    <col min="5151" max="5153" width="10.140625" style="83" customWidth="1"/>
    <col min="5154" max="5154" width="11.42578125" style="83" customWidth="1"/>
    <col min="5155" max="5159" width="10.140625" style="83" customWidth="1"/>
    <col min="5160" max="5160" width="11.7109375" style="83" customWidth="1"/>
    <col min="5161" max="5173" width="10.140625" style="83" customWidth="1"/>
    <col min="5174" max="5174" width="11.42578125" style="83" customWidth="1"/>
    <col min="5175" max="5177" width="10.140625" style="83" customWidth="1"/>
    <col min="5178" max="5376" width="11.42578125" style="83"/>
    <col min="5377" max="5377" width="5" style="83" customWidth="1"/>
    <col min="5378" max="5378" width="10.140625" style="83" customWidth="1"/>
    <col min="5379" max="5379" width="9.85546875" style="83" customWidth="1"/>
    <col min="5380" max="5380" width="11.42578125" style="83" customWidth="1"/>
    <col min="5381" max="5381" width="37" style="83" customWidth="1"/>
    <col min="5382" max="5382" width="13.140625" style="83" customWidth="1"/>
    <col min="5383" max="5383" width="11.28515625" style="83" customWidth="1"/>
    <col min="5384" max="5384" width="18.85546875" style="83" customWidth="1"/>
    <col min="5385" max="5386" width="9.7109375" style="83" customWidth="1"/>
    <col min="5387" max="5401" width="12" style="83" customWidth="1"/>
    <col min="5402" max="5405" width="10.140625" style="83" customWidth="1"/>
    <col min="5406" max="5406" width="13.5703125" style="83" customWidth="1"/>
    <col min="5407" max="5409" width="10.140625" style="83" customWidth="1"/>
    <col min="5410" max="5410" width="11.42578125" style="83" customWidth="1"/>
    <col min="5411" max="5415" width="10.140625" style="83" customWidth="1"/>
    <col min="5416" max="5416" width="11.7109375" style="83" customWidth="1"/>
    <col min="5417" max="5429" width="10.140625" style="83" customWidth="1"/>
    <col min="5430" max="5430" width="11.42578125" style="83" customWidth="1"/>
    <col min="5431" max="5433" width="10.140625" style="83" customWidth="1"/>
    <col min="5434" max="5632" width="11.42578125" style="83"/>
    <col min="5633" max="5633" width="5" style="83" customWidth="1"/>
    <col min="5634" max="5634" width="10.140625" style="83" customWidth="1"/>
    <col min="5635" max="5635" width="9.85546875" style="83" customWidth="1"/>
    <col min="5636" max="5636" width="11.42578125" style="83" customWidth="1"/>
    <col min="5637" max="5637" width="37" style="83" customWidth="1"/>
    <col min="5638" max="5638" width="13.140625" style="83" customWidth="1"/>
    <col min="5639" max="5639" width="11.28515625" style="83" customWidth="1"/>
    <col min="5640" max="5640" width="18.85546875" style="83" customWidth="1"/>
    <col min="5641" max="5642" width="9.7109375" style="83" customWidth="1"/>
    <col min="5643" max="5657" width="12" style="83" customWidth="1"/>
    <col min="5658" max="5661" width="10.140625" style="83" customWidth="1"/>
    <col min="5662" max="5662" width="13.5703125" style="83" customWidth="1"/>
    <col min="5663" max="5665" width="10.140625" style="83" customWidth="1"/>
    <col min="5666" max="5666" width="11.42578125" style="83" customWidth="1"/>
    <col min="5667" max="5671" width="10.140625" style="83" customWidth="1"/>
    <col min="5672" max="5672" width="11.7109375" style="83" customWidth="1"/>
    <col min="5673" max="5685" width="10.140625" style="83" customWidth="1"/>
    <col min="5686" max="5686" width="11.42578125" style="83" customWidth="1"/>
    <col min="5687" max="5689" width="10.140625" style="83" customWidth="1"/>
    <col min="5690" max="5888" width="11.42578125" style="83"/>
    <col min="5889" max="5889" width="5" style="83" customWidth="1"/>
    <col min="5890" max="5890" width="10.140625" style="83" customWidth="1"/>
    <col min="5891" max="5891" width="9.85546875" style="83" customWidth="1"/>
    <col min="5892" max="5892" width="11.42578125" style="83" customWidth="1"/>
    <col min="5893" max="5893" width="37" style="83" customWidth="1"/>
    <col min="5894" max="5894" width="13.140625" style="83" customWidth="1"/>
    <col min="5895" max="5895" width="11.28515625" style="83" customWidth="1"/>
    <col min="5896" max="5896" width="18.85546875" style="83" customWidth="1"/>
    <col min="5897" max="5898" width="9.7109375" style="83" customWidth="1"/>
    <col min="5899" max="5913" width="12" style="83" customWidth="1"/>
    <col min="5914" max="5917" width="10.140625" style="83" customWidth="1"/>
    <col min="5918" max="5918" width="13.5703125" style="83" customWidth="1"/>
    <col min="5919" max="5921" width="10.140625" style="83" customWidth="1"/>
    <col min="5922" max="5922" width="11.42578125" style="83" customWidth="1"/>
    <col min="5923" max="5927" width="10.140625" style="83" customWidth="1"/>
    <col min="5928" max="5928" width="11.7109375" style="83" customWidth="1"/>
    <col min="5929" max="5941" width="10.140625" style="83" customWidth="1"/>
    <col min="5942" max="5942" width="11.42578125" style="83" customWidth="1"/>
    <col min="5943" max="5945" width="10.140625" style="83" customWidth="1"/>
    <col min="5946" max="6144" width="11.42578125" style="83"/>
    <col min="6145" max="6145" width="5" style="83" customWidth="1"/>
    <col min="6146" max="6146" width="10.140625" style="83" customWidth="1"/>
    <col min="6147" max="6147" width="9.85546875" style="83" customWidth="1"/>
    <col min="6148" max="6148" width="11.42578125" style="83" customWidth="1"/>
    <col min="6149" max="6149" width="37" style="83" customWidth="1"/>
    <col min="6150" max="6150" width="13.140625" style="83" customWidth="1"/>
    <col min="6151" max="6151" width="11.28515625" style="83" customWidth="1"/>
    <col min="6152" max="6152" width="18.85546875" style="83" customWidth="1"/>
    <col min="6153" max="6154" width="9.7109375" style="83" customWidth="1"/>
    <col min="6155" max="6169" width="12" style="83" customWidth="1"/>
    <col min="6170" max="6173" width="10.140625" style="83" customWidth="1"/>
    <col min="6174" max="6174" width="13.5703125" style="83" customWidth="1"/>
    <col min="6175" max="6177" width="10.140625" style="83" customWidth="1"/>
    <col min="6178" max="6178" width="11.42578125" style="83" customWidth="1"/>
    <col min="6179" max="6183" width="10.140625" style="83" customWidth="1"/>
    <col min="6184" max="6184" width="11.7109375" style="83" customWidth="1"/>
    <col min="6185" max="6197" width="10.140625" style="83" customWidth="1"/>
    <col min="6198" max="6198" width="11.42578125" style="83" customWidth="1"/>
    <col min="6199" max="6201" width="10.140625" style="83" customWidth="1"/>
    <col min="6202" max="6400" width="11.42578125" style="83"/>
    <col min="6401" max="6401" width="5" style="83" customWidth="1"/>
    <col min="6402" max="6402" width="10.140625" style="83" customWidth="1"/>
    <col min="6403" max="6403" width="9.85546875" style="83" customWidth="1"/>
    <col min="6404" max="6404" width="11.42578125" style="83" customWidth="1"/>
    <col min="6405" max="6405" width="37" style="83" customWidth="1"/>
    <col min="6406" max="6406" width="13.140625" style="83" customWidth="1"/>
    <col min="6407" max="6407" width="11.28515625" style="83" customWidth="1"/>
    <col min="6408" max="6408" width="18.85546875" style="83" customWidth="1"/>
    <col min="6409" max="6410" width="9.7109375" style="83" customWidth="1"/>
    <col min="6411" max="6425" width="12" style="83" customWidth="1"/>
    <col min="6426" max="6429" width="10.140625" style="83" customWidth="1"/>
    <col min="6430" max="6430" width="13.5703125" style="83" customWidth="1"/>
    <col min="6431" max="6433" width="10.140625" style="83" customWidth="1"/>
    <col min="6434" max="6434" width="11.42578125" style="83" customWidth="1"/>
    <col min="6435" max="6439" width="10.140625" style="83" customWidth="1"/>
    <col min="6440" max="6440" width="11.7109375" style="83" customWidth="1"/>
    <col min="6441" max="6453" width="10.140625" style="83" customWidth="1"/>
    <col min="6454" max="6454" width="11.42578125" style="83" customWidth="1"/>
    <col min="6455" max="6457" width="10.140625" style="83" customWidth="1"/>
    <col min="6458" max="6656" width="11.42578125" style="83"/>
    <col min="6657" max="6657" width="5" style="83" customWidth="1"/>
    <col min="6658" max="6658" width="10.140625" style="83" customWidth="1"/>
    <col min="6659" max="6659" width="9.85546875" style="83" customWidth="1"/>
    <col min="6660" max="6660" width="11.42578125" style="83" customWidth="1"/>
    <col min="6661" max="6661" width="37" style="83" customWidth="1"/>
    <col min="6662" max="6662" width="13.140625" style="83" customWidth="1"/>
    <col min="6663" max="6663" width="11.28515625" style="83" customWidth="1"/>
    <col min="6664" max="6664" width="18.85546875" style="83" customWidth="1"/>
    <col min="6665" max="6666" width="9.7109375" style="83" customWidth="1"/>
    <col min="6667" max="6681" width="12" style="83" customWidth="1"/>
    <col min="6682" max="6685" width="10.140625" style="83" customWidth="1"/>
    <col min="6686" max="6686" width="13.5703125" style="83" customWidth="1"/>
    <col min="6687" max="6689" width="10.140625" style="83" customWidth="1"/>
    <col min="6690" max="6690" width="11.42578125" style="83" customWidth="1"/>
    <col min="6691" max="6695" width="10.140625" style="83" customWidth="1"/>
    <col min="6696" max="6696" width="11.7109375" style="83" customWidth="1"/>
    <col min="6697" max="6709" width="10.140625" style="83" customWidth="1"/>
    <col min="6710" max="6710" width="11.42578125" style="83" customWidth="1"/>
    <col min="6711" max="6713" width="10.140625" style="83" customWidth="1"/>
    <col min="6714" max="6912" width="11.42578125" style="83"/>
    <col min="6913" max="6913" width="5" style="83" customWidth="1"/>
    <col min="6914" max="6914" width="10.140625" style="83" customWidth="1"/>
    <col min="6915" max="6915" width="9.85546875" style="83" customWidth="1"/>
    <col min="6916" max="6916" width="11.42578125" style="83" customWidth="1"/>
    <col min="6917" max="6917" width="37" style="83" customWidth="1"/>
    <col min="6918" max="6918" width="13.140625" style="83" customWidth="1"/>
    <col min="6919" max="6919" width="11.28515625" style="83" customWidth="1"/>
    <col min="6920" max="6920" width="18.85546875" style="83" customWidth="1"/>
    <col min="6921" max="6922" width="9.7109375" style="83" customWidth="1"/>
    <col min="6923" max="6937" width="12" style="83" customWidth="1"/>
    <col min="6938" max="6941" width="10.140625" style="83" customWidth="1"/>
    <col min="6942" max="6942" width="13.5703125" style="83" customWidth="1"/>
    <col min="6943" max="6945" width="10.140625" style="83" customWidth="1"/>
    <col min="6946" max="6946" width="11.42578125" style="83" customWidth="1"/>
    <col min="6947" max="6951" width="10.140625" style="83" customWidth="1"/>
    <col min="6952" max="6952" width="11.7109375" style="83" customWidth="1"/>
    <col min="6953" max="6965" width="10.140625" style="83" customWidth="1"/>
    <col min="6966" max="6966" width="11.42578125" style="83" customWidth="1"/>
    <col min="6967" max="6969" width="10.140625" style="83" customWidth="1"/>
    <col min="6970" max="7168" width="11.42578125" style="83"/>
    <col min="7169" max="7169" width="5" style="83" customWidth="1"/>
    <col min="7170" max="7170" width="10.140625" style="83" customWidth="1"/>
    <col min="7171" max="7171" width="9.85546875" style="83" customWidth="1"/>
    <col min="7172" max="7172" width="11.42578125" style="83" customWidth="1"/>
    <col min="7173" max="7173" width="37" style="83" customWidth="1"/>
    <col min="7174" max="7174" width="13.140625" style="83" customWidth="1"/>
    <col min="7175" max="7175" width="11.28515625" style="83" customWidth="1"/>
    <col min="7176" max="7176" width="18.85546875" style="83" customWidth="1"/>
    <col min="7177" max="7178" width="9.7109375" style="83" customWidth="1"/>
    <col min="7179" max="7193" width="12" style="83" customWidth="1"/>
    <col min="7194" max="7197" width="10.140625" style="83" customWidth="1"/>
    <col min="7198" max="7198" width="13.5703125" style="83" customWidth="1"/>
    <col min="7199" max="7201" width="10.140625" style="83" customWidth="1"/>
    <col min="7202" max="7202" width="11.42578125" style="83" customWidth="1"/>
    <col min="7203" max="7207" width="10.140625" style="83" customWidth="1"/>
    <col min="7208" max="7208" width="11.7109375" style="83" customWidth="1"/>
    <col min="7209" max="7221" width="10.140625" style="83" customWidth="1"/>
    <col min="7222" max="7222" width="11.42578125" style="83" customWidth="1"/>
    <col min="7223" max="7225" width="10.140625" style="83" customWidth="1"/>
    <col min="7226" max="7424" width="11.42578125" style="83"/>
    <col min="7425" max="7425" width="5" style="83" customWidth="1"/>
    <col min="7426" max="7426" width="10.140625" style="83" customWidth="1"/>
    <col min="7427" max="7427" width="9.85546875" style="83" customWidth="1"/>
    <col min="7428" max="7428" width="11.42578125" style="83" customWidth="1"/>
    <col min="7429" max="7429" width="37" style="83" customWidth="1"/>
    <col min="7430" max="7430" width="13.140625" style="83" customWidth="1"/>
    <col min="7431" max="7431" width="11.28515625" style="83" customWidth="1"/>
    <col min="7432" max="7432" width="18.85546875" style="83" customWidth="1"/>
    <col min="7433" max="7434" width="9.7109375" style="83" customWidth="1"/>
    <col min="7435" max="7449" width="12" style="83" customWidth="1"/>
    <col min="7450" max="7453" width="10.140625" style="83" customWidth="1"/>
    <col min="7454" max="7454" width="13.5703125" style="83" customWidth="1"/>
    <col min="7455" max="7457" width="10.140625" style="83" customWidth="1"/>
    <col min="7458" max="7458" width="11.42578125" style="83" customWidth="1"/>
    <col min="7459" max="7463" width="10.140625" style="83" customWidth="1"/>
    <col min="7464" max="7464" width="11.7109375" style="83" customWidth="1"/>
    <col min="7465" max="7477" width="10.140625" style="83" customWidth="1"/>
    <col min="7478" max="7478" width="11.42578125" style="83" customWidth="1"/>
    <col min="7479" max="7481" width="10.140625" style="83" customWidth="1"/>
    <col min="7482" max="7680" width="11.42578125" style="83"/>
    <col min="7681" max="7681" width="5" style="83" customWidth="1"/>
    <col min="7682" max="7682" width="10.140625" style="83" customWidth="1"/>
    <col min="7683" max="7683" width="9.85546875" style="83" customWidth="1"/>
    <col min="7684" max="7684" width="11.42578125" style="83" customWidth="1"/>
    <col min="7685" max="7685" width="37" style="83" customWidth="1"/>
    <col min="7686" max="7686" width="13.140625" style="83" customWidth="1"/>
    <col min="7687" max="7687" width="11.28515625" style="83" customWidth="1"/>
    <col min="7688" max="7688" width="18.85546875" style="83" customWidth="1"/>
    <col min="7689" max="7690" width="9.7109375" style="83" customWidth="1"/>
    <col min="7691" max="7705" width="12" style="83" customWidth="1"/>
    <col min="7706" max="7709" width="10.140625" style="83" customWidth="1"/>
    <col min="7710" max="7710" width="13.5703125" style="83" customWidth="1"/>
    <col min="7711" max="7713" width="10.140625" style="83" customWidth="1"/>
    <col min="7714" max="7714" width="11.42578125" style="83" customWidth="1"/>
    <col min="7715" max="7719" width="10.140625" style="83" customWidth="1"/>
    <col min="7720" max="7720" width="11.7109375" style="83" customWidth="1"/>
    <col min="7721" max="7733" width="10.140625" style="83" customWidth="1"/>
    <col min="7734" max="7734" width="11.42578125" style="83" customWidth="1"/>
    <col min="7735" max="7737" width="10.140625" style="83" customWidth="1"/>
    <col min="7738" max="7936" width="11.42578125" style="83"/>
    <col min="7937" max="7937" width="5" style="83" customWidth="1"/>
    <col min="7938" max="7938" width="10.140625" style="83" customWidth="1"/>
    <col min="7939" max="7939" width="9.85546875" style="83" customWidth="1"/>
    <col min="7940" max="7940" width="11.42578125" style="83" customWidth="1"/>
    <col min="7941" max="7941" width="37" style="83" customWidth="1"/>
    <col min="7942" max="7942" width="13.140625" style="83" customWidth="1"/>
    <col min="7943" max="7943" width="11.28515625" style="83" customWidth="1"/>
    <col min="7944" max="7944" width="18.85546875" style="83" customWidth="1"/>
    <col min="7945" max="7946" width="9.7109375" style="83" customWidth="1"/>
    <col min="7947" max="7961" width="12" style="83" customWidth="1"/>
    <col min="7962" max="7965" width="10.140625" style="83" customWidth="1"/>
    <col min="7966" max="7966" width="13.5703125" style="83" customWidth="1"/>
    <col min="7967" max="7969" width="10.140625" style="83" customWidth="1"/>
    <col min="7970" max="7970" width="11.42578125" style="83" customWidth="1"/>
    <col min="7971" max="7975" width="10.140625" style="83" customWidth="1"/>
    <col min="7976" max="7976" width="11.7109375" style="83" customWidth="1"/>
    <col min="7977" max="7989" width="10.140625" style="83" customWidth="1"/>
    <col min="7990" max="7990" width="11.42578125" style="83" customWidth="1"/>
    <col min="7991" max="7993" width="10.140625" style="83" customWidth="1"/>
    <col min="7994" max="8192" width="11.42578125" style="83"/>
    <col min="8193" max="8193" width="5" style="83" customWidth="1"/>
    <col min="8194" max="8194" width="10.140625" style="83" customWidth="1"/>
    <col min="8195" max="8195" width="9.85546875" style="83" customWidth="1"/>
    <col min="8196" max="8196" width="11.42578125" style="83" customWidth="1"/>
    <col min="8197" max="8197" width="37" style="83" customWidth="1"/>
    <col min="8198" max="8198" width="13.140625" style="83" customWidth="1"/>
    <col min="8199" max="8199" width="11.28515625" style="83" customWidth="1"/>
    <col min="8200" max="8200" width="18.85546875" style="83" customWidth="1"/>
    <col min="8201" max="8202" width="9.7109375" style="83" customWidth="1"/>
    <col min="8203" max="8217" width="12" style="83" customWidth="1"/>
    <col min="8218" max="8221" width="10.140625" style="83" customWidth="1"/>
    <col min="8222" max="8222" width="13.5703125" style="83" customWidth="1"/>
    <col min="8223" max="8225" width="10.140625" style="83" customWidth="1"/>
    <col min="8226" max="8226" width="11.42578125" style="83" customWidth="1"/>
    <col min="8227" max="8231" width="10.140625" style="83" customWidth="1"/>
    <col min="8232" max="8232" width="11.7109375" style="83" customWidth="1"/>
    <col min="8233" max="8245" width="10.140625" style="83" customWidth="1"/>
    <col min="8246" max="8246" width="11.42578125" style="83" customWidth="1"/>
    <col min="8247" max="8249" width="10.140625" style="83" customWidth="1"/>
    <col min="8250" max="8448" width="11.42578125" style="83"/>
    <col min="8449" max="8449" width="5" style="83" customWidth="1"/>
    <col min="8450" max="8450" width="10.140625" style="83" customWidth="1"/>
    <col min="8451" max="8451" width="9.85546875" style="83" customWidth="1"/>
    <col min="8452" max="8452" width="11.42578125" style="83" customWidth="1"/>
    <col min="8453" max="8453" width="37" style="83" customWidth="1"/>
    <col min="8454" max="8454" width="13.140625" style="83" customWidth="1"/>
    <col min="8455" max="8455" width="11.28515625" style="83" customWidth="1"/>
    <col min="8456" max="8456" width="18.85546875" style="83" customWidth="1"/>
    <col min="8457" max="8458" width="9.7109375" style="83" customWidth="1"/>
    <col min="8459" max="8473" width="12" style="83" customWidth="1"/>
    <col min="8474" max="8477" width="10.140625" style="83" customWidth="1"/>
    <col min="8478" max="8478" width="13.5703125" style="83" customWidth="1"/>
    <col min="8479" max="8481" width="10.140625" style="83" customWidth="1"/>
    <col min="8482" max="8482" width="11.42578125" style="83" customWidth="1"/>
    <col min="8483" max="8487" width="10.140625" style="83" customWidth="1"/>
    <col min="8488" max="8488" width="11.7109375" style="83" customWidth="1"/>
    <col min="8489" max="8501" width="10.140625" style="83" customWidth="1"/>
    <col min="8502" max="8502" width="11.42578125" style="83" customWidth="1"/>
    <col min="8503" max="8505" width="10.140625" style="83" customWidth="1"/>
    <col min="8506" max="8704" width="11.42578125" style="83"/>
    <col min="8705" max="8705" width="5" style="83" customWidth="1"/>
    <col min="8706" max="8706" width="10.140625" style="83" customWidth="1"/>
    <col min="8707" max="8707" width="9.85546875" style="83" customWidth="1"/>
    <col min="8708" max="8708" width="11.42578125" style="83" customWidth="1"/>
    <col min="8709" max="8709" width="37" style="83" customWidth="1"/>
    <col min="8710" max="8710" width="13.140625" style="83" customWidth="1"/>
    <col min="8711" max="8711" width="11.28515625" style="83" customWidth="1"/>
    <col min="8712" max="8712" width="18.85546875" style="83" customWidth="1"/>
    <col min="8713" max="8714" width="9.7109375" style="83" customWidth="1"/>
    <col min="8715" max="8729" width="12" style="83" customWidth="1"/>
    <col min="8730" max="8733" width="10.140625" style="83" customWidth="1"/>
    <col min="8734" max="8734" width="13.5703125" style="83" customWidth="1"/>
    <col min="8735" max="8737" width="10.140625" style="83" customWidth="1"/>
    <col min="8738" max="8738" width="11.42578125" style="83" customWidth="1"/>
    <col min="8739" max="8743" width="10.140625" style="83" customWidth="1"/>
    <col min="8744" max="8744" width="11.7109375" style="83" customWidth="1"/>
    <col min="8745" max="8757" width="10.140625" style="83" customWidth="1"/>
    <col min="8758" max="8758" width="11.42578125" style="83" customWidth="1"/>
    <col min="8759" max="8761" width="10.140625" style="83" customWidth="1"/>
    <col min="8762" max="8960" width="11.42578125" style="83"/>
    <col min="8961" max="8961" width="5" style="83" customWidth="1"/>
    <col min="8962" max="8962" width="10.140625" style="83" customWidth="1"/>
    <col min="8963" max="8963" width="9.85546875" style="83" customWidth="1"/>
    <col min="8964" max="8964" width="11.42578125" style="83" customWidth="1"/>
    <col min="8965" max="8965" width="37" style="83" customWidth="1"/>
    <col min="8966" max="8966" width="13.140625" style="83" customWidth="1"/>
    <col min="8967" max="8967" width="11.28515625" style="83" customWidth="1"/>
    <col min="8968" max="8968" width="18.85546875" style="83" customWidth="1"/>
    <col min="8969" max="8970" width="9.7109375" style="83" customWidth="1"/>
    <col min="8971" max="8985" width="12" style="83" customWidth="1"/>
    <col min="8986" max="8989" width="10.140625" style="83" customWidth="1"/>
    <col min="8990" max="8990" width="13.5703125" style="83" customWidth="1"/>
    <col min="8991" max="8993" width="10.140625" style="83" customWidth="1"/>
    <col min="8994" max="8994" width="11.42578125" style="83" customWidth="1"/>
    <col min="8995" max="8999" width="10.140625" style="83" customWidth="1"/>
    <col min="9000" max="9000" width="11.7109375" style="83" customWidth="1"/>
    <col min="9001" max="9013" width="10.140625" style="83" customWidth="1"/>
    <col min="9014" max="9014" width="11.42578125" style="83" customWidth="1"/>
    <col min="9015" max="9017" width="10.140625" style="83" customWidth="1"/>
    <col min="9018" max="9216" width="11.42578125" style="83"/>
    <col min="9217" max="9217" width="5" style="83" customWidth="1"/>
    <col min="9218" max="9218" width="10.140625" style="83" customWidth="1"/>
    <col min="9219" max="9219" width="9.85546875" style="83" customWidth="1"/>
    <col min="9220" max="9220" width="11.42578125" style="83" customWidth="1"/>
    <col min="9221" max="9221" width="37" style="83" customWidth="1"/>
    <col min="9222" max="9222" width="13.140625" style="83" customWidth="1"/>
    <col min="9223" max="9223" width="11.28515625" style="83" customWidth="1"/>
    <col min="9224" max="9224" width="18.85546875" style="83" customWidth="1"/>
    <col min="9225" max="9226" width="9.7109375" style="83" customWidth="1"/>
    <col min="9227" max="9241" width="12" style="83" customWidth="1"/>
    <col min="9242" max="9245" width="10.140625" style="83" customWidth="1"/>
    <col min="9246" max="9246" width="13.5703125" style="83" customWidth="1"/>
    <col min="9247" max="9249" width="10.140625" style="83" customWidth="1"/>
    <col min="9250" max="9250" width="11.42578125" style="83" customWidth="1"/>
    <col min="9251" max="9255" width="10.140625" style="83" customWidth="1"/>
    <col min="9256" max="9256" width="11.7109375" style="83" customWidth="1"/>
    <col min="9257" max="9269" width="10.140625" style="83" customWidth="1"/>
    <col min="9270" max="9270" width="11.42578125" style="83" customWidth="1"/>
    <col min="9271" max="9273" width="10.140625" style="83" customWidth="1"/>
    <col min="9274" max="9472" width="11.42578125" style="83"/>
    <col min="9473" max="9473" width="5" style="83" customWidth="1"/>
    <col min="9474" max="9474" width="10.140625" style="83" customWidth="1"/>
    <col min="9475" max="9475" width="9.85546875" style="83" customWidth="1"/>
    <col min="9476" max="9476" width="11.42578125" style="83" customWidth="1"/>
    <col min="9477" max="9477" width="37" style="83" customWidth="1"/>
    <col min="9478" max="9478" width="13.140625" style="83" customWidth="1"/>
    <col min="9479" max="9479" width="11.28515625" style="83" customWidth="1"/>
    <col min="9480" max="9480" width="18.85546875" style="83" customWidth="1"/>
    <col min="9481" max="9482" width="9.7109375" style="83" customWidth="1"/>
    <col min="9483" max="9497" width="12" style="83" customWidth="1"/>
    <col min="9498" max="9501" width="10.140625" style="83" customWidth="1"/>
    <col min="9502" max="9502" width="13.5703125" style="83" customWidth="1"/>
    <col min="9503" max="9505" width="10.140625" style="83" customWidth="1"/>
    <col min="9506" max="9506" width="11.42578125" style="83" customWidth="1"/>
    <col min="9507" max="9511" width="10.140625" style="83" customWidth="1"/>
    <col min="9512" max="9512" width="11.7109375" style="83" customWidth="1"/>
    <col min="9513" max="9525" width="10.140625" style="83" customWidth="1"/>
    <col min="9526" max="9526" width="11.42578125" style="83" customWidth="1"/>
    <col min="9527" max="9529" width="10.140625" style="83" customWidth="1"/>
    <col min="9530" max="9728" width="11.42578125" style="83"/>
    <col min="9729" max="9729" width="5" style="83" customWidth="1"/>
    <col min="9730" max="9730" width="10.140625" style="83" customWidth="1"/>
    <col min="9731" max="9731" width="9.85546875" style="83" customWidth="1"/>
    <col min="9732" max="9732" width="11.42578125" style="83" customWidth="1"/>
    <col min="9733" max="9733" width="37" style="83" customWidth="1"/>
    <col min="9734" max="9734" width="13.140625" style="83" customWidth="1"/>
    <col min="9735" max="9735" width="11.28515625" style="83" customWidth="1"/>
    <col min="9736" max="9736" width="18.85546875" style="83" customWidth="1"/>
    <col min="9737" max="9738" width="9.7109375" style="83" customWidth="1"/>
    <col min="9739" max="9753" width="12" style="83" customWidth="1"/>
    <col min="9754" max="9757" width="10.140625" style="83" customWidth="1"/>
    <col min="9758" max="9758" width="13.5703125" style="83" customWidth="1"/>
    <col min="9759" max="9761" width="10.140625" style="83" customWidth="1"/>
    <col min="9762" max="9762" width="11.42578125" style="83" customWidth="1"/>
    <col min="9763" max="9767" width="10.140625" style="83" customWidth="1"/>
    <col min="9768" max="9768" width="11.7109375" style="83" customWidth="1"/>
    <col min="9769" max="9781" width="10.140625" style="83" customWidth="1"/>
    <col min="9782" max="9782" width="11.42578125" style="83" customWidth="1"/>
    <col min="9783" max="9785" width="10.140625" style="83" customWidth="1"/>
    <col min="9786" max="9984" width="11.42578125" style="83"/>
    <col min="9985" max="9985" width="5" style="83" customWidth="1"/>
    <col min="9986" max="9986" width="10.140625" style="83" customWidth="1"/>
    <col min="9987" max="9987" width="9.85546875" style="83" customWidth="1"/>
    <col min="9988" max="9988" width="11.42578125" style="83" customWidth="1"/>
    <col min="9989" max="9989" width="37" style="83" customWidth="1"/>
    <col min="9990" max="9990" width="13.140625" style="83" customWidth="1"/>
    <col min="9991" max="9991" width="11.28515625" style="83" customWidth="1"/>
    <col min="9992" max="9992" width="18.85546875" style="83" customWidth="1"/>
    <col min="9993" max="9994" width="9.7109375" style="83" customWidth="1"/>
    <col min="9995" max="10009" width="12" style="83" customWidth="1"/>
    <col min="10010" max="10013" width="10.140625" style="83" customWidth="1"/>
    <col min="10014" max="10014" width="13.5703125" style="83" customWidth="1"/>
    <col min="10015" max="10017" width="10.140625" style="83" customWidth="1"/>
    <col min="10018" max="10018" width="11.42578125" style="83" customWidth="1"/>
    <col min="10019" max="10023" width="10.140625" style="83" customWidth="1"/>
    <col min="10024" max="10024" width="11.7109375" style="83" customWidth="1"/>
    <col min="10025" max="10037" width="10.140625" style="83" customWidth="1"/>
    <col min="10038" max="10038" width="11.42578125" style="83" customWidth="1"/>
    <col min="10039" max="10041" width="10.140625" style="83" customWidth="1"/>
    <col min="10042" max="10240" width="11.42578125" style="83"/>
    <col min="10241" max="10241" width="5" style="83" customWidth="1"/>
    <col min="10242" max="10242" width="10.140625" style="83" customWidth="1"/>
    <col min="10243" max="10243" width="9.85546875" style="83" customWidth="1"/>
    <col min="10244" max="10244" width="11.42578125" style="83" customWidth="1"/>
    <col min="10245" max="10245" width="37" style="83" customWidth="1"/>
    <col min="10246" max="10246" width="13.140625" style="83" customWidth="1"/>
    <col min="10247" max="10247" width="11.28515625" style="83" customWidth="1"/>
    <col min="10248" max="10248" width="18.85546875" style="83" customWidth="1"/>
    <col min="10249" max="10250" width="9.7109375" style="83" customWidth="1"/>
    <col min="10251" max="10265" width="12" style="83" customWidth="1"/>
    <col min="10266" max="10269" width="10.140625" style="83" customWidth="1"/>
    <col min="10270" max="10270" width="13.5703125" style="83" customWidth="1"/>
    <col min="10271" max="10273" width="10.140625" style="83" customWidth="1"/>
    <col min="10274" max="10274" width="11.42578125" style="83" customWidth="1"/>
    <col min="10275" max="10279" width="10.140625" style="83" customWidth="1"/>
    <col min="10280" max="10280" width="11.7109375" style="83" customWidth="1"/>
    <col min="10281" max="10293" width="10.140625" style="83" customWidth="1"/>
    <col min="10294" max="10294" width="11.42578125" style="83" customWidth="1"/>
    <col min="10295" max="10297" width="10.140625" style="83" customWidth="1"/>
    <col min="10298" max="10496" width="11.42578125" style="83"/>
    <col min="10497" max="10497" width="5" style="83" customWidth="1"/>
    <col min="10498" max="10498" width="10.140625" style="83" customWidth="1"/>
    <col min="10499" max="10499" width="9.85546875" style="83" customWidth="1"/>
    <col min="10500" max="10500" width="11.42578125" style="83" customWidth="1"/>
    <col min="10501" max="10501" width="37" style="83" customWidth="1"/>
    <col min="10502" max="10502" width="13.140625" style="83" customWidth="1"/>
    <col min="10503" max="10503" width="11.28515625" style="83" customWidth="1"/>
    <col min="10504" max="10504" width="18.85546875" style="83" customWidth="1"/>
    <col min="10505" max="10506" width="9.7109375" style="83" customWidth="1"/>
    <col min="10507" max="10521" width="12" style="83" customWidth="1"/>
    <col min="10522" max="10525" width="10.140625" style="83" customWidth="1"/>
    <col min="10526" max="10526" width="13.5703125" style="83" customWidth="1"/>
    <col min="10527" max="10529" width="10.140625" style="83" customWidth="1"/>
    <col min="10530" max="10530" width="11.42578125" style="83" customWidth="1"/>
    <col min="10531" max="10535" width="10.140625" style="83" customWidth="1"/>
    <col min="10536" max="10536" width="11.7109375" style="83" customWidth="1"/>
    <col min="10537" max="10549" width="10.140625" style="83" customWidth="1"/>
    <col min="10550" max="10550" width="11.42578125" style="83" customWidth="1"/>
    <col min="10551" max="10553" width="10.140625" style="83" customWidth="1"/>
    <col min="10554" max="10752" width="11.42578125" style="83"/>
    <col min="10753" max="10753" width="5" style="83" customWidth="1"/>
    <col min="10754" max="10754" width="10.140625" style="83" customWidth="1"/>
    <col min="10755" max="10755" width="9.85546875" style="83" customWidth="1"/>
    <col min="10756" max="10756" width="11.42578125" style="83" customWidth="1"/>
    <col min="10757" max="10757" width="37" style="83" customWidth="1"/>
    <col min="10758" max="10758" width="13.140625" style="83" customWidth="1"/>
    <col min="10759" max="10759" width="11.28515625" style="83" customWidth="1"/>
    <col min="10760" max="10760" width="18.85546875" style="83" customWidth="1"/>
    <col min="10761" max="10762" width="9.7109375" style="83" customWidth="1"/>
    <col min="10763" max="10777" width="12" style="83" customWidth="1"/>
    <col min="10778" max="10781" width="10.140625" style="83" customWidth="1"/>
    <col min="10782" max="10782" width="13.5703125" style="83" customWidth="1"/>
    <col min="10783" max="10785" width="10.140625" style="83" customWidth="1"/>
    <col min="10786" max="10786" width="11.42578125" style="83" customWidth="1"/>
    <col min="10787" max="10791" width="10.140625" style="83" customWidth="1"/>
    <col min="10792" max="10792" width="11.7109375" style="83" customWidth="1"/>
    <col min="10793" max="10805" width="10.140625" style="83" customWidth="1"/>
    <col min="10806" max="10806" width="11.42578125" style="83" customWidth="1"/>
    <col min="10807" max="10809" width="10.140625" style="83" customWidth="1"/>
    <col min="10810" max="11008" width="11.42578125" style="83"/>
    <col min="11009" max="11009" width="5" style="83" customWidth="1"/>
    <col min="11010" max="11010" width="10.140625" style="83" customWidth="1"/>
    <col min="11011" max="11011" width="9.85546875" style="83" customWidth="1"/>
    <col min="11012" max="11012" width="11.42578125" style="83" customWidth="1"/>
    <col min="11013" max="11013" width="37" style="83" customWidth="1"/>
    <col min="11014" max="11014" width="13.140625" style="83" customWidth="1"/>
    <col min="11015" max="11015" width="11.28515625" style="83" customWidth="1"/>
    <col min="11016" max="11016" width="18.85546875" style="83" customWidth="1"/>
    <col min="11017" max="11018" width="9.7109375" style="83" customWidth="1"/>
    <col min="11019" max="11033" width="12" style="83" customWidth="1"/>
    <col min="11034" max="11037" width="10.140625" style="83" customWidth="1"/>
    <col min="11038" max="11038" width="13.5703125" style="83" customWidth="1"/>
    <col min="11039" max="11041" width="10.140625" style="83" customWidth="1"/>
    <col min="11042" max="11042" width="11.42578125" style="83" customWidth="1"/>
    <col min="11043" max="11047" width="10.140625" style="83" customWidth="1"/>
    <col min="11048" max="11048" width="11.7109375" style="83" customWidth="1"/>
    <col min="11049" max="11061" width="10.140625" style="83" customWidth="1"/>
    <col min="11062" max="11062" width="11.42578125" style="83" customWidth="1"/>
    <col min="11063" max="11065" width="10.140625" style="83" customWidth="1"/>
    <col min="11066" max="11264" width="11.42578125" style="83"/>
    <col min="11265" max="11265" width="5" style="83" customWidth="1"/>
    <col min="11266" max="11266" width="10.140625" style="83" customWidth="1"/>
    <col min="11267" max="11267" width="9.85546875" style="83" customWidth="1"/>
    <col min="11268" max="11268" width="11.42578125" style="83" customWidth="1"/>
    <col min="11269" max="11269" width="37" style="83" customWidth="1"/>
    <col min="11270" max="11270" width="13.140625" style="83" customWidth="1"/>
    <col min="11271" max="11271" width="11.28515625" style="83" customWidth="1"/>
    <col min="11272" max="11272" width="18.85546875" style="83" customWidth="1"/>
    <col min="11273" max="11274" width="9.7109375" style="83" customWidth="1"/>
    <col min="11275" max="11289" width="12" style="83" customWidth="1"/>
    <col min="11290" max="11293" width="10.140625" style="83" customWidth="1"/>
    <col min="11294" max="11294" width="13.5703125" style="83" customWidth="1"/>
    <col min="11295" max="11297" width="10.140625" style="83" customWidth="1"/>
    <col min="11298" max="11298" width="11.42578125" style="83" customWidth="1"/>
    <col min="11299" max="11303" width="10.140625" style="83" customWidth="1"/>
    <col min="11304" max="11304" width="11.7109375" style="83" customWidth="1"/>
    <col min="11305" max="11317" width="10.140625" style="83" customWidth="1"/>
    <col min="11318" max="11318" width="11.42578125" style="83" customWidth="1"/>
    <col min="11319" max="11321" width="10.140625" style="83" customWidth="1"/>
    <col min="11322" max="11520" width="11.42578125" style="83"/>
    <col min="11521" max="11521" width="5" style="83" customWidth="1"/>
    <col min="11522" max="11522" width="10.140625" style="83" customWidth="1"/>
    <col min="11523" max="11523" width="9.85546875" style="83" customWidth="1"/>
    <col min="11524" max="11524" width="11.42578125" style="83" customWidth="1"/>
    <col min="11525" max="11525" width="37" style="83" customWidth="1"/>
    <col min="11526" max="11526" width="13.140625" style="83" customWidth="1"/>
    <col min="11527" max="11527" width="11.28515625" style="83" customWidth="1"/>
    <col min="11528" max="11528" width="18.85546875" style="83" customWidth="1"/>
    <col min="11529" max="11530" width="9.7109375" style="83" customWidth="1"/>
    <col min="11531" max="11545" width="12" style="83" customWidth="1"/>
    <col min="11546" max="11549" width="10.140625" style="83" customWidth="1"/>
    <col min="11550" max="11550" width="13.5703125" style="83" customWidth="1"/>
    <col min="11551" max="11553" width="10.140625" style="83" customWidth="1"/>
    <col min="11554" max="11554" width="11.42578125" style="83" customWidth="1"/>
    <col min="11555" max="11559" width="10.140625" style="83" customWidth="1"/>
    <col min="11560" max="11560" width="11.7109375" style="83" customWidth="1"/>
    <col min="11561" max="11573" width="10.140625" style="83" customWidth="1"/>
    <col min="11574" max="11574" width="11.42578125" style="83" customWidth="1"/>
    <col min="11575" max="11577" width="10.140625" style="83" customWidth="1"/>
    <col min="11578" max="11776" width="11.42578125" style="83"/>
    <col min="11777" max="11777" width="5" style="83" customWidth="1"/>
    <col min="11778" max="11778" width="10.140625" style="83" customWidth="1"/>
    <col min="11779" max="11779" width="9.85546875" style="83" customWidth="1"/>
    <col min="11780" max="11780" width="11.42578125" style="83" customWidth="1"/>
    <col min="11781" max="11781" width="37" style="83" customWidth="1"/>
    <col min="11782" max="11782" width="13.140625" style="83" customWidth="1"/>
    <col min="11783" max="11783" width="11.28515625" style="83" customWidth="1"/>
    <col min="11784" max="11784" width="18.85546875" style="83" customWidth="1"/>
    <col min="11785" max="11786" width="9.7109375" style="83" customWidth="1"/>
    <col min="11787" max="11801" width="12" style="83" customWidth="1"/>
    <col min="11802" max="11805" width="10.140625" style="83" customWidth="1"/>
    <col min="11806" max="11806" width="13.5703125" style="83" customWidth="1"/>
    <col min="11807" max="11809" width="10.140625" style="83" customWidth="1"/>
    <col min="11810" max="11810" width="11.42578125" style="83" customWidth="1"/>
    <col min="11811" max="11815" width="10.140625" style="83" customWidth="1"/>
    <col min="11816" max="11816" width="11.7109375" style="83" customWidth="1"/>
    <col min="11817" max="11829" width="10.140625" style="83" customWidth="1"/>
    <col min="11830" max="11830" width="11.42578125" style="83" customWidth="1"/>
    <col min="11831" max="11833" width="10.140625" style="83" customWidth="1"/>
    <col min="11834" max="12032" width="11.42578125" style="83"/>
    <col min="12033" max="12033" width="5" style="83" customWidth="1"/>
    <col min="12034" max="12034" width="10.140625" style="83" customWidth="1"/>
    <col min="12035" max="12035" width="9.85546875" style="83" customWidth="1"/>
    <col min="12036" max="12036" width="11.42578125" style="83" customWidth="1"/>
    <col min="12037" max="12037" width="37" style="83" customWidth="1"/>
    <col min="12038" max="12038" width="13.140625" style="83" customWidth="1"/>
    <col min="12039" max="12039" width="11.28515625" style="83" customWidth="1"/>
    <col min="12040" max="12040" width="18.85546875" style="83" customWidth="1"/>
    <col min="12041" max="12042" width="9.7109375" style="83" customWidth="1"/>
    <col min="12043" max="12057" width="12" style="83" customWidth="1"/>
    <col min="12058" max="12061" width="10.140625" style="83" customWidth="1"/>
    <col min="12062" max="12062" width="13.5703125" style="83" customWidth="1"/>
    <col min="12063" max="12065" width="10.140625" style="83" customWidth="1"/>
    <col min="12066" max="12066" width="11.42578125" style="83" customWidth="1"/>
    <col min="12067" max="12071" width="10.140625" style="83" customWidth="1"/>
    <col min="12072" max="12072" width="11.7109375" style="83" customWidth="1"/>
    <col min="12073" max="12085" width="10.140625" style="83" customWidth="1"/>
    <col min="12086" max="12086" width="11.42578125" style="83" customWidth="1"/>
    <col min="12087" max="12089" width="10.140625" style="83" customWidth="1"/>
    <col min="12090" max="12288" width="11.42578125" style="83"/>
    <col min="12289" max="12289" width="5" style="83" customWidth="1"/>
    <col min="12290" max="12290" width="10.140625" style="83" customWidth="1"/>
    <col min="12291" max="12291" width="9.85546875" style="83" customWidth="1"/>
    <col min="12292" max="12292" width="11.42578125" style="83" customWidth="1"/>
    <col min="12293" max="12293" width="37" style="83" customWidth="1"/>
    <col min="12294" max="12294" width="13.140625" style="83" customWidth="1"/>
    <col min="12295" max="12295" width="11.28515625" style="83" customWidth="1"/>
    <col min="12296" max="12296" width="18.85546875" style="83" customWidth="1"/>
    <col min="12297" max="12298" width="9.7109375" style="83" customWidth="1"/>
    <col min="12299" max="12313" width="12" style="83" customWidth="1"/>
    <col min="12314" max="12317" width="10.140625" style="83" customWidth="1"/>
    <col min="12318" max="12318" width="13.5703125" style="83" customWidth="1"/>
    <col min="12319" max="12321" width="10.140625" style="83" customWidth="1"/>
    <col min="12322" max="12322" width="11.42578125" style="83" customWidth="1"/>
    <col min="12323" max="12327" width="10.140625" style="83" customWidth="1"/>
    <col min="12328" max="12328" width="11.7109375" style="83" customWidth="1"/>
    <col min="12329" max="12341" width="10.140625" style="83" customWidth="1"/>
    <col min="12342" max="12342" width="11.42578125" style="83" customWidth="1"/>
    <col min="12343" max="12345" width="10.140625" style="83" customWidth="1"/>
    <col min="12346" max="12544" width="11.42578125" style="83"/>
    <col min="12545" max="12545" width="5" style="83" customWidth="1"/>
    <col min="12546" max="12546" width="10.140625" style="83" customWidth="1"/>
    <col min="12547" max="12547" width="9.85546875" style="83" customWidth="1"/>
    <col min="12548" max="12548" width="11.42578125" style="83" customWidth="1"/>
    <col min="12549" max="12549" width="37" style="83" customWidth="1"/>
    <col min="12550" max="12550" width="13.140625" style="83" customWidth="1"/>
    <col min="12551" max="12551" width="11.28515625" style="83" customWidth="1"/>
    <col min="12552" max="12552" width="18.85546875" style="83" customWidth="1"/>
    <col min="12553" max="12554" width="9.7109375" style="83" customWidth="1"/>
    <col min="12555" max="12569" width="12" style="83" customWidth="1"/>
    <col min="12570" max="12573" width="10.140625" style="83" customWidth="1"/>
    <col min="12574" max="12574" width="13.5703125" style="83" customWidth="1"/>
    <col min="12575" max="12577" width="10.140625" style="83" customWidth="1"/>
    <col min="12578" max="12578" width="11.42578125" style="83" customWidth="1"/>
    <col min="12579" max="12583" width="10.140625" style="83" customWidth="1"/>
    <col min="12584" max="12584" width="11.7109375" style="83" customWidth="1"/>
    <col min="12585" max="12597" width="10.140625" style="83" customWidth="1"/>
    <col min="12598" max="12598" width="11.42578125" style="83" customWidth="1"/>
    <col min="12599" max="12601" width="10.140625" style="83" customWidth="1"/>
    <col min="12602" max="12800" width="11.42578125" style="83"/>
    <col min="12801" max="12801" width="5" style="83" customWidth="1"/>
    <col min="12802" max="12802" width="10.140625" style="83" customWidth="1"/>
    <col min="12803" max="12803" width="9.85546875" style="83" customWidth="1"/>
    <col min="12804" max="12804" width="11.42578125" style="83" customWidth="1"/>
    <col min="12805" max="12805" width="37" style="83" customWidth="1"/>
    <col min="12806" max="12806" width="13.140625" style="83" customWidth="1"/>
    <col min="12807" max="12807" width="11.28515625" style="83" customWidth="1"/>
    <col min="12808" max="12808" width="18.85546875" style="83" customWidth="1"/>
    <col min="12809" max="12810" width="9.7109375" style="83" customWidth="1"/>
    <col min="12811" max="12825" width="12" style="83" customWidth="1"/>
    <col min="12826" max="12829" width="10.140625" style="83" customWidth="1"/>
    <col min="12830" max="12830" width="13.5703125" style="83" customWidth="1"/>
    <col min="12831" max="12833" width="10.140625" style="83" customWidth="1"/>
    <col min="12834" max="12834" width="11.42578125" style="83" customWidth="1"/>
    <col min="12835" max="12839" width="10.140625" style="83" customWidth="1"/>
    <col min="12840" max="12840" width="11.7109375" style="83" customWidth="1"/>
    <col min="12841" max="12853" width="10.140625" style="83" customWidth="1"/>
    <col min="12854" max="12854" width="11.42578125" style="83" customWidth="1"/>
    <col min="12855" max="12857" width="10.140625" style="83" customWidth="1"/>
    <col min="12858" max="13056" width="11.42578125" style="83"/>
    <col min="13057" max="13057" width="5" style="83" customWidth="1"/>
    <col min="13058" max="13058" width="10.140625" style="83" customWidth="1"/>
    <col min="13059" max="13059" width="9.85546875" style="83" customWidth="1"/>
    <col min="13060" max="13060" width="11.42578125" style="83" customWidth="1"/>
    <col min="13061" max="13061" width="37" style="83" customWidth="1"/>
    <col min="13062" max="13062" width="13.140625" style="83" customWidth="1"/>
    <col min="13063" max="13063" width="11.28515625" style="83" customWidth="1"/>
    <col min="13064" max="13064" width="18.85546875" style="83" customWidth="1"/>
    <col min="13065" max="13066" width="9.7109375" style="83" customWidth="1"/>
    <col min="13067" max="13081" width="12" style="83" customWidth="1"/>
    <col min="13082" max="13085" width="10.140625" style="83" customWidth="1"/>
    <col min="13086" max="13086" width="13.5703125" style="83" customWidth="1"/>
    <col min="13087" max="13089" width="10.140625" style="83" customWidth="1"/>
    <col min="13090" max="13090" width="11.42578125" style="83" customWidth="1"/>
    <col min="13091" max="13095" width="10.140625" style="83" customWidth="1"/>
    <col min="13096" max="13096" width="11.7109375" style="83" customWidth="1"/>
    <col min="13097" max="13109" width="10.140625" style="83" customWidth="1"/>
    <col min="13110" max="13110" width="11.42578125" style="83" customWidth="1"/>
    <col min="13111" max="13113" width="10.140625" style="83" customWidth="1"/>
    <col min="13114" max="13312" width="11.42578125" style="83"/>
    <col min="13313" max="13313" width="5" style="83" customWidth="1"/>
    <col min="13314" max="13314" width="10.140625" style="83" customWidth="1"/>
    <col min="13315" max="13315" width="9.85546875" style="83" customWidth="1"/>
    <col min="13316" max="13316" width="11.42578125" style="83" customWidth="1"/>
    <col min="13317" max="13317" width="37" style="83" customWidth="1"/>
    <col min="13318" max="13318" width="13.140625" style="83" customWidth="1"/>
    <col min="13319" max="13319" width="11.28515625" style="83" customWidth="1"/>
    <col min="13320" max="13320" width="18.85546875" style="83" customWidth="1"/>
    <col min="13321" max="13322" width="9.7109375" style="83" customWidth="1"/>
    <col min="13323" max="13337" width="12" style="83" customWidth="1"/>
    <col min="13338" max="13341" width="10.140625" style="83" customWidth="1"/>
    <col min="13342" max="13342" width="13.5703125" style="83" customWidth="1"/>
    <col min="13343" max="13345" width="10.140625" style="83" customWidth="1"/>
    <col min="13346" max="13346" width="11.42578125" style="83" customWidth="1"/>
    <col min="13347" max="13351" width="10.140625" style="83" customWidth="1"/>
    <col min="13352" max="13352" width="11.7109375" style="83" customWidth="1"/>
    <col min="13353" max="13365" width="10.140625" style="83" customWidth="1"/>
    <col min="13366" max="13366" width="11.42578125" style="83" customWidth="1"/>
    <col min="13367" max="13369" width="10.140625" style="83" customWidth="1"/>
    <col min="13370" max="13568" width="11.42578125" style="83"/>
    <col min="13569" max="13569" width="5" style="83" customWidth="1"/>
    <col min="13570" max="13570" width="10.140625" style="83" customWidth="1"/>
    <col min="13571" max="13571" width="9.85546875" style="83" customWidth="1"/>
    <col min="13572" max="13572" width="11.42578125" style="83" customWidth="1"/>
    <col min="13573" max="13573" width="37" style="83" customWidth="1"/>
    <col min="13574" max="13574" width="13.140625" style="83" customWidth="1"/>
    <col min="13575" max="13575" width="11.28515625" style="83" customWidth="1"/>
    <col min="13576" max="13576" width="18.85546875" style="83" customWidth="1"/>
    <col min="13577" max="13578" width="9.7109375" style="83" customWidth="1"/>
    <col min="13579" max="13593" width="12" style="83" customWidth="1"/>
    <col min="13594" max="13597" width="10.140625" style="83" customWidth="1"/>
    <col min="13598" max="13598" width="13.5703125" style="83" customWidth="1"/>
    <col min="13599" max="13601" width="10.140625" style="83" customWidth="1"/>
    <col min="13602" max="13602" width="11.42578125" style="83" customWidth="1"/>
    <col min="13603" max="13607" width="10.140625" style="83" customWidth="1"/>
    <col min="13608" max="13608" width="11.7109375" style="83" customWidth="1"/>
    <col min="13609" max="13621" width="10.140625" style="83" customWidth="1"/>
    <col min="13622" max="13622" width="11.42578125" style="83" customWidth="1"/>
    <col min="13623" max="13625" width="10.140625" style="83" customWidth="1"/>
    <col min="13626" max="13824" width="11.42578125" style="83"/>
    <col min="13825" max="13825" width="5" style="83" customWidth="1"/>
    <col min="13826" max="13826" width="10.140625" style="83" customWidth="1"/>
    <col min="13827" max="13827" width="9.85546875" style="83" customWidth="1"/>
    <col min="13828" max="13828" width="11.42578125" style="83" customWidth="1"/>
    <col min="13829" max="13829" width="37" style="83" customWidth="1"/>
    <col min="13830" max="13830" width="13.140625" style="83" customWidth="1"/>
    <col min="13831" max="13831" width="11.28515625" style="83" customWidth="1"/>
    <col min="13832" max="13832" width="18.85546875" style="83" customWidth="1"/>
    <col min="13833" max="13834" width="9.7109375" style="83" customWidth="1"/>
    <col min="13835" max="13849" width="12" style="83" customWidth="1"/>
    <col min="13850" max="13853" width="10.140625" style="83" customWidth="1"/>
    <col min="13854" max="13854" width="13.5703125" style="83" customWidth="1"/>
    <col min="13855" max="13857" width="10.140625" style="83" customWidth="1"/>
    <col min="13858" max="13858" width="11.42578125" style="83" customWidth="1"/>
    <col min="13859" max="13863" width="10.140625" style="83" customWidth="1"/>
    <col min="13864" max="13864" width="11.7109375" style="83" customWidth="1"/>
    <col min="13865" max="13877" width="10.140625" style="83" customWidth="1"/>
    <col min="13878" max="13878" width="11.42578125" style="83" customWidth="1"/>
    <col min="13879" max="13881" width="10.140625" style="83" customWidth="1"/>
    <col min="13882" max="14080" width="11.42578125" style="83"/>
    <col min="14081" max="14081" width="5" style="83" customWidth="1"/>
    <col min="14082" max="14082" width="10.140625" style="83" customWidth="1"/>
    <col min="14083" max="14083" width="9.85546875" style="83" customWidth="1"/>
    <col min="14084" max="14084" width="11.42578125" style="83" customWidth="1"/>
    <col min="14085" max="14085" width="37" style="83" customWidth="1"/>
    <col min="14086" max="14086" width="13.140625" style="83" customWidth="1"/>
    <col min="14087" max="14087" width="11.28515625" style="83" customWidth="1"/>
    <col min="14088" max="14088" width="18.85546875" style="83" customWidth="1"/>
    <col min="14089" max="14090" width="9.7109375" style="83" customWidth="1"/>
    <col min="14091" max="14105" width="12" style="83" customWidth="1"/>
    <col min="14106" max="14109" width="10.140625" style="83" customWidth="1"/>
    <col min="14110" max="14110" width="13.5703125" style="83" customWidth="1"/>
    <col min="14111" max="14113" width="10.140625" style="83" customWidth="1"/>
    <col min="14114" max="14114" width="11.42578125" style="83" customWidth="1"/>
    <col min="14115" max="14119" width="10.140625" style="83" customWidth="1"/>
    <col min="14120" max="14120" width="11.7109375" style="83" customWidth="1"/>
    <col min="14121" max="14133" width="10.140625" style="83" customWidth="1"/>
    <col min="14134" max="14134" width="11.42578125" style="83" customWidth="1"/>
    <col min="14135" max="14137" width="10.140625" style="83" customWidth="1"/>
    <col min="14138" max="14336" width="11.42578125" style="83"/>
    <col min="14337" max="14337" width="5" style="83" customWidth="1"/>
    <col min="14338" max="14338" width="10.140625" style="83" customWidth="1"/>
    <col min="14339" max="14339" width="9.85546875" style="83" customWidth="1"/>
    <col min="14340" max="14340" width="11.42578125" style="83" customWidth="1"/>
    <col min="14341" max="14341" width="37" style="83" customWidth="1"/>
    <col min="14342" max="14342" width="13.140625" style="83" customWidth="1"/>
    <col min="14343" max="14343" width="11.28515625" style="83" customWidth="1"/>
    <col min="14344" max="14344" width="18.85546875" style="83" customWidth="1"/>
    <col min="14345" max="14346" width="9.7109375" style="83" customWidth="1"/>
    <col min="14347" max="14361" width="12" style="83" customWidth="1"/>
    <col min="14362" max="14365" width="10.140625" style="83" customWidth="1"/>
    <col min="14366" max="14366" width="13.5703125" style="83" customWidth="1"/>
    <col min="14367" max="14369" width="10.140625" style="83" customWidth="1"/>
    <col min="14370" max="14370" width="11.42578125" style="83" customWidth="1"/>
    <col min="14371" max="14375" width="10.140625" style="83" customWidth="1"/>
    <col min="14376" max="14376" width="11.7109375" style="83" customWidth="1"/>
    <col min="14377" max="14389" width="10.140625" style="83" customWidth="1"/>
    <col min="14390" max="14390" width="11.42578125" style="83" customWidth="1"/>
    <col min="14391" max="14393" width="10.140625" style="83" customWidth="1"/>
    <col min="14394" max="14592" width="11.42578125" style="83"/>
    <col min="14593" max="14593" width="5" style="83" customWidth="1"/>
    <col min="14594" max="14594" width="10.140625" style="83" customWidth="1"/>
    <col min="14595" max="14595" width="9.85546875" style="83" customWidth="1"/>
    <col min="14596" max="14596" width="11.42578125" style="83" customWidth="1"/>
    <col min="14597" max="14597" width="37" style="83" customWidth="1"/>
    <col min="14598" max="14598" width="13.140625" style="83" customWidth="1"/>
    <col min="14599" max="14599" width="11.28515625" style="83" customWidth="1"/>
    <col min="14600" max="14600" width="18.85546875" style="83" customWidth="1"/>
    <col min="14601" max="14602" width="9.7109375" style="83" customWidth="1"/>
    <col min="14603" max="14617" width="12" style="83" customWidth="1"/>
    <col min="14618" max="14621" width="10.140625" style="83" customWidth="1"/>
    <col min="14622" max="14622" width="13.5703125" style="83" customWidth="1"/>
    <col min="14623" max="14625" width="10.140625" style="83" customWidth="1"/>
    <col min="14626" max="14626" width="11.42578125" style="83" customWidth="1"/>
    <col min="14627" max="14631" width="10.140625" style="83" customWidth="1"/>
    <col min="14632" max="14632" width="11.7109375" style="83" customWidth="1"/>
    <col min="14633" max="14645" width="10.140625" style="83" customWidth="1"/>
    <col min="14646" max="14646" width="11.42578125" style="83" customWidth="1"/>
    <col min="14647" max="14649" width="10.140625" style="83" customWidth="1"/>
    <col min="14650" max="14848" width="11.42578125" style="83"/>
    <col min="14849" max="14849" width="5" style="83" customWidth="1"/>
    <col min="14850" max="14850" width="10.140625" style="83" customWidth="1"/>
    <col min="14851" max="14851" width="9.85546875" style="83" customWidth="1"/>
    <col min="14852" max="14852" width="11.42578125" style="83" customWidth="1"/>
    <col min="14853" max="14853" width="37" style="83" customWidth="1"/>
    <col min="14854" max="14854" width="13.140625" style="83" customWidth="1"/>
    <col min="14855" max="14855" width="11.28515625" style="83" customWidth="1"/>
    <col min="14856" max="14856" width="18.85546875" style="83" customWidth="1"/>
    <col min="14857" max="14858" width="9.7109375" style="83" customWidth="1"/>
    <col min="14859" max="14873" width="12" style="83" customWidth="1"/>
    <col min="14874" max="14877" width="10.140625" style="83" customWidth="1"/>
    <col min="14878" max="14878" width="13.5703125" style="83" customWidth="1"/>
    <col min="14879" max="14881" width="10.140625" style="83" customWidth="1"/>
    <col min="14882" max="14882" width="11.42578125" style="83" customWidth="1"/>
    <col min="14883" max="14887" width="10.140625" style="83" customWidth="1"/>
    <col min="14888" max="14888" width="11.7109375" style="83" customWidth="1"/>
    <col min="14889" max="14901" width="10.140625" style="83" customWidth="1"/>
    <col min="14902" max="14902" width="11.42578125" style="83" customWidth="1"/>
    <col min="14903" max="14905" width="10.140625" style="83" customWidth="1"/>
    <col min="14906" max="15104" width="11.42578125" style="83"/>
    <col min="15105" max="15105" width="5" style="83" customWidth="1"/>
    <col min="15106" max="15106" width="10.140625" style="83" customWidth="1"/>
    <col min="15107" max="15107" width="9.85546875" style="83" customWidth="1"/>
    <col min="15108" max="15108" width="11.42578125" style="83" customWidth="1"/>
    <col min="15109" max="15109" width="37" style="83" customWidth="1"/>
    <col min="15110" max="15110" width="13.140625" style="83" customWidth="1"/>
    <col min="15111" max="15111" width="11.28515625" style="83" customWidth="1"/>
    <col min="15112" max="15112" width="18.85546875" style="83" customWidth="1"/>
    <col min="15113" max="15114" width="9.7109375" style="83" customWidth="1"/>
    <col min="15115" max="15129" width="12" style="83" customWidth="1"/>
    <col min="15130" max="15133" width="10.140625" style="83" customWidth="1"/>
    <col min="15134" max="15134" width="13.5703125" style="83" customWidth="1"/>
    <col min="15135" max="15137" width="10.140625" style="83" customWidth="1"/>
    <col min="15138" max="15138" width="11.42578125" style="83" customWidth="1"/>
    <col min="15139" max="15143" width="10.140625" style="83" customWidth="1"/>
    <col min="15144" max="15144" width="11.7109375" style="83" customWidth="1"/>
    <col min="15145" max="15157" width="10.140625" style="83" customWidth="1"/>
    <col min="15158" max="15158" width="11.42578125" style="83" customWidth="1"/>
    <col min="15159" max="15161" width="10.140625" style="83" customWidth="1"/>
    <col min="15162" max="15360" width="11.42578125" style="83"/>
    <col min="15361" max="15361" width="5" style="83" customWidth="1"/>
    <col min="15362" max="15362" width="10.140625" style="83" customWidth="1"/>
    <col min="15363" max="15363" width="9.85546875" style="83" customWidth="1"/>
    <col min="15364" max="15364" width="11.42578125" style="83" customWidth="1"/>
    <col min="15365" max="15365" width="37" style="83" customWidth="1"/>
    <col min="15366" max="15366" width="13.140625" style="83" customWidth="1"/>
    <col min="15367" max="15367" width="11.28515625" style="83" customWidth="1"/>
    <col min="15368" max="15368" width="18.85546875" style="83" customWidth="1"/>
    <col min="15369" max="15370" width="9.7109375" style="83" customWidth="1"/>
    <col min="15371" max="15385" width="12" style="83" customWidth="1"/>
    <col min="15386" max="15389" width="10.140625" style="83" customWidth="1"/>
    <col min="15390" max="15390" width="13.5703125" style="83" customWidth="1"/>
    <col min="15391" max="15393" width="10.140625" style="83" customWidth="1"/>
    <col min="15394" max="15394" width="11.42578125" style="83" customWidth="1"/>
    <col min="15395" max="15399" width="10.140625" style="83" customWidth="1"/>
    <col min="15400" max="15400" width="11.7109375" style="83" customWidth="1"/>
    <col min="15401" max="15413" width="10.140625" style="83" customWidth="1"/>
    <col min="15414" max="15414" width="11.42578125" style="83" customWidth="1"/>
    <col min="15415" max="15417" width="10.140625" style="83" customWidth="1"/>
    <col min="15418" max="15616" width="11.42578125" style="83"/>
    <col min="15617" max="15617" width="5" style="83" customWidth="1"/>
    <col min="15618" max="15618" width="10.140625" style="83" customWidth="1"/>
    <col min="15619" max="15619" width="9.85546875" style="83" customWidth="1"/>
    <col min="15620" max="15620" width="11.42578125" style="83" customWidth="1"/>
    <col min="15621" max="15621" width="37" style="83" customWidth="1"/>
    <col min="15622" max="15622" width="13.140625" style="83" customWidth="1"/>
    <col min="15623" max="15623" width="11.28515625" style="83" customWidth="1"/>
    <col min="15624" max="15624" width="18.85546875" style="83" customWidth="1"/>
    <col min="15625" max="15626" width="9.7109375" style="83" customWidth="1"/>
    <col min="15627" max="15641" width="12" style="83" customWidth="1"/>
    <col min="15642" max="15645" width="10.140625" style="83" customWidth="1"/>
    <col min="15646" max="15646" width="13.5703125" style="83" customWidth="1"/>
    <col min="15647" max="15649" width="10.140625" style="83" customWidth="1"/>
    <col min="15650" max="15650" width="11.42578125" style="83" customWidth="1"/>
    <col min="15651" max="15655" width="10.140625" style="83" customWidth="1"/>
    <col min="15656" max="15656" width="11.7109375" style="83" customWidth="1"/>
    <col min="15657" max="15669" width="10.140625" style="83" customWidth="1"/>
    <col min="15670" max="15670" width="11.42578125" style="83" customWidth="1"/>
    <col min="15671" max="15673" width="10.140625" style="83" customWidth="1"/>
    <col min="15674" max="15872" width="11.42578125" style="83"/>
    <col min="15873" max="15873" width="5" style="83" customWidth="1"/>
    <col min="15874" max="15874" width="10.140625" style="83" customWidth="1"/>
    <col min="15875" max="15875" width="9.85546875" style="83" customWidth="1"/>
    <col min="15876" max="15876" width="11.42578125" style="83" customWidth="1"/>
    <col min="15877" max="15877" width="37" style="83" customWidth="1"/>
    <col min="15878" max="15878" width="13.140625" style="83" customWidth="1"/>
    <col min="15879" max="15879" width="11.28515625" style="83" customWidth="1"/>
    <col min="15880" max="15880" width="18.85546875" style="83" customWidth="1"/>
    <col min="15881" max="15882" width="9.7109375" style="83" customWidth="1"/>
    <col min="15883" max="15897" width="12" style="83" customWidth="1"/>
    <col min="15898" max="15901" width="10.140625" style="83" customWidth="1"/>
    <col min="15902" max="15902" width="13.5703125" style="83" customWidth="1"/>
    <col min="15903" max="15905" width="10.140625" style="83" customWidth="1"/>
    <col min="15906" max="15906" width="11.42578125" style="83" customWidth="1"/>
    <col min="15907" max="15911" width="10.140625" style="83" customWidth="1"/>
    <col min="15912" max="15912" width="11.7109375" style="83" customWidth="1"/>
    <col min="15913" max="15925" width="10.140625" style="83" customWidth="1"/>
    <col min="15926" max="15926" width="11.42578125" style="83" customWidth="1"/>
    <col min="15927" max="15929" width="10.140625" style="83" customWidth="1"/>
    <col min="15930" max="16128" width="11.42578125" style="83"/>
    <col min="16129" max="16129" width="5" style="83" customWidth="1"/>
    <col min="16130" max="16130" width="10.140625" style="83" customWidth="1"/>
    <col min="16131" max="16131" width="9.85546875" style="83" customWidth="1"/>
    <col min="16132" max="16132" width="11.42578125" style="83" customWidth="1"/>
    <col min="16133" max="16133" width="37" style="83" customWidth="1"/>
    <col min="16134" max="16134" width="13.140625" style="83" customWidth="1"/>
    <col min="16135" max="16135" width="11.28515625" style="83" customWidth="1"/>
    <col min="16136" max="16136" width="18.85546875" style="83" customWidth="1"/>
    <col min="16137" max="16138" width="9.7109375" style="83" customWidth="1"/>
    <col min="16139" max="16153" width="12" style="83" customWidth="1"/>
    <col min="16154" max="16157" width="10.140625" style="83" customWidth="1"/>
    <col min="16158" max="16158" width="13.5703125" style="83" customWidth="1"/>
    <col min="16159" max="16161" width="10.140625" style="83" customWidth="1"/>
    <col min="16162" max="16162" width="11.42578125" style="83" customWidth="1"/>
    <col min="16163" max="16167" width="10.140625" style="83" customWidth="1"/>
    <col min="16168" max="16168" width="11.7109375" style="83" customWidth="1"/>
    <col min="16169" max="16181" width="10.140625" style="83" customWidth="1"/>
    <col min="16182" max="16182" width="11.42578125" style="83" customWidth="1"/>
    <col min="16183" max="16185" width="10.140625" style="83" customWidth="1"/>
    <col min="16186" max="16384" width="11.42578125" style="83"/>
  </cols>
  <sheetData>
    <row r="1" spans="1:111" hidden="1">
      <c r="B1" s="738"/>
      <c r="C1" s="738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739"/>
      <c r="AB1" s="739"/>
      <c r="AC1" s="739"/>
      <c r="AD1" s="194"/>
      <c r="AE1" s="81"/>
      <c r="AF1" s="80"/>
      <c r="AG1" s="80"/>
      <c r="AH1" s="80"/>
      <c r="AI1" s="82"/>
      <c r="AJ1" s="80"/>
      <c r="AK1" s="80"/>
      <c r="AL1" s="80"/>
      <c r="AM1" s="82"/>
      <c r="AN1" s="80"/>
      <c r="AO1" s="80"/>
      <c r="AP1" s="80"/>
      <c r="AQ1" s="82"/>
      <c r="AR1" s="80"/>
      <c r="AS1" s="80"/>
      <c r="AT1" s="80"/>
      <c r="AU1" s="82"/>
      <c r="AV1" s="80"/>
      <c r="AW1" s="80"/>
      <c r="AX1" s="80"/>
      <c r="AY1" s="82"/>
      <c r="AZ1" s="80"/>
      <c r="BA1" s="80"/>
      <c r="BB1" s="80"/>
      <c r="BC1" s="82"/>
      <c r="BD1" s="80"/>
      <c r="BE1" s="80"/>
    </row>
    <row r="2" spans="1:111" hidden="1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194"/>
      <c r="AE2" s="81"/>
      <c r="AF2" s="80"/>
      <c r="AG2" s="80"/>
      <c r="AH2" s="80"/>
      <c r="AI2" s="82"/>
      <c r="AJ2" s="80"/>
      <c r="AK2" s="80"/>
      <c r="AL2" s="80"/>
      <c r="AM2" s="82"/>
      <c r="AN2" s="80"/>
      <c r="AO2" s="80"/>
      <c r="AP2" s="80"/>
      <c r="AQ2" s="82"/>
      <c r="AR2" s="80"/>
      <c r="AS2" s="80"/>
      <c r="AT2" s="80"/>
      <c r="AU2" s="82"/>
      <c r="AV2" s="80"/>
      <c r="AW2" s="80"/>
      <c r="AX2" s="80"/>
      <c r="AY2" s="82"/>
      <c r="AZ2" s="80"/>
      <c r="BA2" s="80"/>
      <c r="BB2" s="80"/>
      <c r="BC2" s="82"/>
      <c r="BD2" s="80"/>
      <c r="BE2" s="80"/>
    </row>
    <row r="3" spans="1:111" ht="12.75" hidden="1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195"/>
      <c r="AE3" s="2"/>
      <c r="AF3" s="1"/>
      <c r="AG3" s="1"/>
      <c r="AH3" s="1"/>
      <c r="AI3" s="3"/>
      <c r="AJ3" s="1"/>
      <c r="AK3" s="1"/>
      <c r="AL3" s="1"/>
      <c r="AM3" s="3"/>
      <c r="AN3" s="1"/>
      <c r="AO3" s="1"/>
      <c r="AP3" s="1"/>
      <c r="AQ3" s="3"/>
      <c r="AR3" s="1"/>
      <c r="AS3" s="1"/>
      <c r="AT3" s="1"/>
      <c r="AU3" s="3"/>
      <c r="AV3" s="1"/>
      <c r="AW3" s="1"/>
      <c r="AX3" s="1"/>
      <c r="AY3" s="3"/>
      <c r="AZ3" s="1"/>
      <c r="BA3" s="1"/>
      <c r="BB3" s="1"/>
      <c r="BC3" s="3"/>
      <c r="BD3" s="1"/>
      <c r="BE3" s="1"/>
    </row>
    <row r="4" spans="1:111" ht="21.75" hidden="1" customHeight="1"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195"/>
      <c r="AE4" s="2"/>
      <c r="AF4" s="1"/>
      <c r="AG4" s="1"/>
      <c r="AH4" s="1"/>
      <c r="AI4" s="3"/>
      <c r="AJ4" s="1"/>
      <c r="AK4" s="1"/>
      <c r="AL4" s="1"/>
      <c r="AM4" s="3"/>
      <c r="AN4" s="1"/>
      <c r="AO4" s="1"/>
      <c r="AP4" s="1"/>
      <c r="AQ4" s="3"/>
      <c r="AR4" s="1"/>
      <c r="AS4" s="1"/>
      <c r="AT4" s="1"/>
      <c r="AU4" s="3"/>
      <c r="AV4" s="1"/>
      <c r="AW4" s="1"/>
      <c r="AX4" s="1"/>
      <c r="AY4" s="3"/>
      <c r="AZ4" s="1"/>
      <c r="BA4" s="1"/>
      <c r="BB4" s="1"/>
      <c r="BC4" s="3"/>
      <c r="BD4" s="1"/>
      <c r="BE4" s="1"/>
    </row>
    <row r="5" spans="1:111" ht="11.25" hidden="1" customHeight="1"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195"/>
      <c r="AE5" s="2"/>
      <c r="AF5" s="1"/>
      <c r="AG5" s="1"/>
      <c r="AH5" s="1"/>
      <c r="AI5" s="3"/>
      <c r="AJ5" s="1"/>
      <c r="AK5" s="1"/>
      <c r="AL5" s="1"/>
      <c r="AM5" s="3"/>
      <c r="AN5" s="1"/>
      <c r="AO5" s="1"/>
      <c r="AP5" s="1"/>
      <c r="AQ5" s="3"/>
      <c r="AR5" s="1"/>
      <c r="AS5" s="1"/>
      <c r="AT5" s="1"/>
      <c r="AU5" s="3"/>
      <c r="AV5" s="1"/>
      <c r="AW5" s="1"/>
      <c r="AX5" s="1"/>
      <c r="AY5" s="3"/>
      <c r="AZ5" s="1"/>
      <c r="BA5" s="1"/>
      <c r="BB5" s="1"/>
      <c r="BC5" s="3"/>
      <c r="BD5" s="1"/>
      <c r="BE5" s="1"/>
    </row>
    <row r="6" spans="1:111" ht="15" hidden="1" customHeight="1"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195"/>
      <c r="AE6" s="2"/>
      <c r="AF6" s="1"/>
      <c r="AG6" s="1"/>
      <c r="AH6" s="1"/>
      <c r="AI6" s="3"/>
      <c r="AJ6" s="1"/>
      <c r="AK6" s="1"/>
      <c r="AL6" s="1"/>
      <c r="AM6" s="3"/>
      <c r="AN6" s="1"/>
      <c r="AO6" s="1"/>
      <c r="AP6" s="1"/>
      <c r="AQ6" s="3"/>
      <c r="AR6" s="1"/>
      <c r="AS6" s="1"/>
      <c r="AT6" s="1"/>
      <c r="AU6" s="3"/>
      <c r="AV6" s="1"/>
      <c r="AW6" s="1"/>
      <c r="AX6" s="1"/>
      <c r="AY6" s="3"/>
      <c r="AZ6" s="1"/>
      <c r="BA6" s="1"/>
      <c r="BB6" s="1"/>
      <c r="BC6" s="3"/>
      <c r="BD6" s="1"/>
      <c r="BE6" s="1"/>
    </row>
    <row r="7" spans="1:111" ht="21" hidden="1" customHeight="1"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195"/>
      <c r="AE7" s="2"/>
      <c r="AF7" s="1"/>
      <c r="AG7" s="1"/>
      <c r="AH7" s="1"/>
      <c r="AI7" s="3"/>
      <c r="AJ7" s="1"/>
      <c r="AK7" s="1"/>
      <c r="AL7" s="1"/>
      <c r="AM7" s="3"/>
      <c r="AN7" s="1"/>
      <c r="AO7" s="1"/>
      <c r="AP7" s="1"/>
      <c r="AQ7" s="3"/>
      <c r="AR7" s="1"/>
      <c r="AS7" s="1"/>
      <c r="AT7" s="1"/>
      <c r="AU7" s="3"/>
      <c r="AV7" s="1"/>
      <c r="AW7" s="1"/>
      <c r="AX7" s="1"/>
      <c r="AY7" s="3"/>
      <c r="AZ7" s="1"/>
      <c r="BA7" s="1"/>
      <c r="BB7" s="1"/>
      <c r="BC7" s="3"/>
      <c r="BD7" s="1"/>
      <c r="BE7" s="1"/>
    </row>
    <row r="8" spans="1:111" ht="16.5" hidden="1" customHeight="1"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195"/>
      <c r="AE8" s="2"/>
      <c r="AF8" s="1"/>
      <c r="AG8" s="1"/>
      <c r="AH8" s="1"/>
      <c r="AI8" s="3"/>
      <c r="AJ8" s="1"/>
      <c r="AK8" s="1"/>
      <c r="AL8" s="1"/>
      <c r="AM8" s="3"/>
      <c r="AN8" s="1"/>
      <c r="AO8" s="1"/>
      <c r="AP8" s="1"/>
      <c r="AQ8" s="3"/>
      <c r="AR8" s="1"/>
      <c r="AS8" s="1"/>
      <c r="AT8" s="1"/>
      <c r="AU8" s="3"/>
      <c r="AV8" s="1"/>
      <c r="AW8" s="1"/>
      <c r="AX8" s="1"/>
      <c r="AY8" s="3"/>
      <c r="AZ8" s="1"/>
      <c r="BA8" s="1"/>
      <c r="BB8" s="1"/>
      <c r="BC8" s="3"/>
      <c r="BD8" s="1"/>
      <c r="BE8" s="1"/>
    </row>
    <row r="9" spans="1:111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218"/>
      <c r="AE9" s="62"/>
      <c r="AF9" s="61"/>
      <c r="AG9" s="61"/>
      <c r="AH9" s="61"/>
      <c r="AI9" s="63"/>
      <c r="AJ9" s="61"/>
      <c r="AK9" s="61"/>
      <c r="AL9" s="61"/>
      <c r="AM9" s="63"/>
      <c r="AN9" s="61"/>
      <c r="AO9" s="61"/>
      <c r="AP9" s="61"/>
      <c r="AQ9" s="63"/>
      <c r="AR9" s="61"/>
      <c r="AS9" s="61"/>
      <c r="AT9" s="61"/>
      <c r="AU9" s="63"/>
      <c r="AV9" s="61"/>
      <c r="AW9" s="61"/>
      <c r="AX9" s="61"/>
      <c r="AY9" s="63"/>
      <c r="AZ9" s="61"/>
      <c r="BA9" s="61"/>
      <c r="BB9" s="61"/>
      <c r="BC9" s="63"/>
      <c r="BD9" s="61"/>
      <c r="BE9" s="61"/>
      <c r="BF9" s="123"/>
      <c r="BG9" s="123"/>
    </row>
    <row r="10" spans="1:111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D10" s="208"/>
      <c r="AE10" s="124"/>
      <c r="AF10" s="123"/>
      <c r="AG10" s="123"/>
      <c r="AH10" s="123"/>
      <c r="AI10" s="74"/>
      <c r="AJ10" s="123"/>
      <c r="AK10" s="123"/>
      <c r="AL10" s="123"/>
      <c r="AM10" s="74"/>
      <c r="AN10" s="123"/>
      <c r="AO10" s="123"/>
      <c r="AP10" s="123"/>
      <c r="AQ10" s="74"/>
      <c r="AR10" s="123"/>
      <c r="AS10" s="123"/>
      <c r="AT10" s="123"/>
      <c r="AU10" s="74"/>
      <c r="AV10" s="123"/>
      <c r="AW10" s="123"/>
      <c r="AX10" s="123"/>
      <c r="AY10" s="74"/>
      <c r="AZ10" s="123"/>
      <c r="BA10" s="123"/>
      <c r="BB10" s="123"/>
      <c r="BC10" s="74"/>
      <c r="BD10" s="123"/>
      <c r="BE10" s="123"/>
      <c r="BF10" s="123"/>
      <c r="BG10" s="123"/>
    </row>
    <row r="11" spans="1:111" ht="18.75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208"/>
      <c r="AE11" s="124"/>
      <c r="AF11" s="123"/>
      <c r="AG11" s="123"/>
      <c r="AH11" s="123"/>
      <c r="AI11" s="74"/>
      <c r="AJ11" s="123"/>
      <c r="AK11" s="123"/>
      <c r="AL11" s="123"/>
      <c r="AM11" s="74"/>
      <c r="AN11" s="123"/>
      <c r="AO11" s="123"/>
      <c r="AP11" s="123"/>
      <c r="AQ11" s="74"/>
      <c r="AR11" s="123"/>
      <c r="AS11" s="123"/>
      <c r="AT11" s="123"/>
      <c r="AU11" s="74"/>
      <c r="AV11" s="123"/>
      <c r="AW11" s="123"/>
      <c r="AX11" s="123"/>
      <c r="AY11" s="74"/>
      <c r="AZ11" s="123"/>
      <c r="BA11" s="123"/>
      <c r="BB11" s="123"/>
      <c r="BC11" s="74"/>
      <c r="BD11" s="123"/>
      <c r="BE11" s="123"/>
      <c r="BF11" s="123"/>
      <c r="BG11" s="123"/>
    </row>
    <row r="12" spans="1:111" ht="22.5">
      <c r="B12" s="4" t="s">
        <v>1</v>
      </c>
      <c r="C12" s="4" t="s">
        <v>2</v>
      </c>
      <c r="D12" s="5" t="s">
        <v>3</v>
      </c>
      <c r="E12" s="6" t="s">
        <v>4</v>
      </c>
      <c r="F12" s="7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208"/>
      <c r="AE12" s="124"/>
      <c r="AF12" s="123"/>
      <c r="AG12" s="123"/>
      <c r="AH12" s="123"/>
      <c r="AI12" s="74"/>
      <c r="AJ12" s="123"/>
      <c r="AK12" s="123"/>
      <c r="AL12" s="123"/>
      <c r="AM12" s="74"/>
      <c r="AN12" s="123"/>
      <c r="AO12" s="123"/>
      <c r="AP12" s="123"/>
      <c r="AQ12" s="74"/>
      <c r="AR12" s="123"/>
      <c r="AS12" s="123"/>
      <c r="AT12" s="123"/>
      <c r="AU12" s="74"/>
      <c r="AV12" s="123"/>
      <c r="AW12" s="123"/>
      <c r="AX12" s="123"/>
      <c r="AY12" s="74"/>
      <c r="AZ12" s="123"/>
      <c r="BA12" s="123"/>
      <c r="BB12" s="123"/>
      <c r="BC12" s="74"/>
      <c r="BD12" s="123"/>
      <c r="BE12" s="123"/>
      <c r="BF12" s="123"/>
      <c r="BG12" s="123"/>
    </row>
    <row r="13" spans="1:111" ht="18.75">
      <c r="B13" s="8">
        <v>49594122</v>
      </c>
      <c r="C13" s="8">
        <v>44251382</v>
      </c>
      <c r="D13" s="8">
        <v>44251382</v>
      </c>
      <c r="E13" s="8">
        <f>+Y111</f>
        <v>27759325.317000005</v>
      </c>
      <c r="F13" s="67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208"/>
      <c r="AE13" s="124"/>
      <c r="AF13" s="123"/>
      <c r="AG13" s="123"/>
      <c r="AH13" s="123"/>
      <c r="AI13" s="74"/>
      <c r="AJ13" s="123"/>
      <c r="AK13" s="123"/>
      <c r="AL13" s="123"/>
      <c r="AM13" s="74"/>
      <c r="AN13" s="123"/>
      <c r="AO13" s="123"/>
      <c r="AP13" s="123"/>
      <c r="AQ13" s="74"/>
      <c r="AR13" s="123"/>
      <c r="AS13" s="123"/>
      <c r="AT13" s="123"/>
      <c r="AU13" s="74"/>
      <c r="AV13" s="123"/>
      <c r="AW13" s="123"/>
      <c r="AX13" s="123"/>
      <c r="AY13" s="74"/>
      <c r="AZ13" s="123"/>
      <c r="BA13" s="123"/>
      <c r="BB13" s="123"/>
      <c r="BC13" s="74"/>
      <c r="BD13" s="123"/>
      <c r="BE13" s="123"/>
      <c r="BF13" s="123"/>
      <c r="BG13" s="123"/>
    </row>
    <row r="14" spans="1:111" ht="15" customHeight="1">
      <c r="C14" s="9"/>
      <c r="D14" s="10"/>
      <c r="E14" s="9"/>
      <c r="F14" s="68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742" t="s">
        <v>5</v>
      </c>
      <c r="AA14" s="743"/>
      <c r="AB14" s="743"/>
      <c r="AC14" s="744"/>
      <c r="AD14" s="745" t="s">
        <v>6</v>
      </c>
      <c r="AE14" s="746"/>
      <c r="AF14" s="746"/>
      <c r="AG14" s="747"/>
      <c r="AH14" s="745" t="s">
        <v>6</v>
      </c>
      <c r="AI14" s="746"/>
      <c r="AJ14" s="746"/>
      <c r="AK14" s="747"/>
      <c r="AL14" s="745" t="s">
        <v>6</v>
      </c>
      <c r="AM14" s="746"/>
      <c r="AN14" s="746"/>
      <c r="AO14" s="747"/>
      <c r="AP14" s="745" t="s">
        <v>6</v>
      </c>
      <c r="AQ14" s="746"/>
      <c r="AR14" s="746"/>
      <c r="AS14" s="747"/>
      <c r="AT14" s="745" t="s">
        <v>6</v>
      </c>
      <c r="AU14" s="746"/>
      <c r="AV14" s="746"/>
      <c r="AW14" s="747"/>
      <c r="AX14" s="745" t="s">
        <v>6</v>
      </c>
      <c r="AY14" s="746"/>
      <c r="AZ14" s="746"/>
      <c r="BA14" s="747"/>
      <c r="BB14" s="745" t="s">
        <v>6</v>
      </c>
      <c r="BC14" s="746"/>
      <c r="BD14" s="746"/>
      <c r="BE14" s="747"/>
      <c r="BF14" s="729" t="s">
        <v>7</v>
      </c>
      <c r="BG14" s="729"/>
    </row>
    <row r="15" spans="1:111" s="96" customFormat="1" ht="55.5" customHeight="1">
      <c r="A15" s="39"/>
      <c r="B15" s="11" t="s">
        <v>8</v>
      </c>
      <c r="C15" s="11" t="s">
        <v>9</v>
      </c>
      <c r="D15" s="11" t="s">
        <v>10</v>
      </c>
      <c r="E15" s="12" t="s">
        <v>11</v>
      </c>
      <c r="F15" s="12" t="s">
        <v>12</v>
      </c>
      <c r="G15" s="12" t="s">
        <v>13</v>
      </c>
      <c r="H15" s="12" t="s">
        <v>14</v>
      </c>
      <c r="I15" s="12" t="s">
        <v>15</v>
      </c>
      <c r="J15" s="12" t="s">
        <v>16</v>
      </c>
      <c r="K15" s="12" t="s">
        <v>17</v>
      </c>
      <c r="L15" s="12" t="s">
        <v>18</v>
      </c>
      <c r="M15" s="13" t="s">
        <v>19</v>
      </c>
      <c r="N15" s="13" t="s">
        <v>20</v>
      </c>
      <c r="O15" s="13" t="s">
        <v>21</v>
      </c>
      <c r="P15" s="13" t="s">
        <v>22</v>
      </c>
      <c r="Q15" s="13" t="s">
        <v>23</v>
      </c>
      <c r="R15" s="197" t="s">
        <v>24</v>
      </c>
      <c r="S15" s="197" t="s">
        <v>25</v>
      </c>
      <c r="T15" s="197" t="s">
        <v>26</v>
      </c>
      <c r="U15" s="197" t="s">
        <v>27</v>
      </c>
      <c r="V15" s="197" t="s">
        <v>28</v>
      </c>
      <c r="W15" s="197" t="s">
        <v>29</v>
      </c>
      <c r="X15" s="197" t="s">
        <v>30</v>
      </c>
      <c r="Y15" s="15" t="s">
        <v>31</v>
      </c>
      <c r="Z15" s="16" t="s">
        <v>32</v>
      </c>
      <c r="AA15" s="17" t="s">
        <v>33</v>
      </c>
      <c r="AB15" s="16" t="s">
        <v>34</v>
      </c>
      <c r="AC15" s="16" t="s">
        <v>35</v>
      </c>
      <c r="AD15" s="198" t="s">
        <v>36</v>
      </c>
      <c r="AE15" s="19" t="s">
        <v>33</v>
      </c>
      <c r="AF15" s="18" t="s">
        <v>34</v>
      </c>
      <c r="AG15" s="18" t="s">
        <v>35</v>
      </c>
      <c r="AH15" s="18" t="s">
        <v>36</v>
      </c>
      <c r="AI15" s="19" t="s">
        <v>33</v>
      </c>
      <c r="AJ15" s="18" t="s">
        <v>34</v>
      </c>
      <c r="AK15" s="18" t="s">
        <v>35</v>
      </c>
      <c r="AL15" s="18" t="s">
        <v>36</v>
      </c>
      <c r="AM15" s="19" t="s">
        <v>33</v>
      </c>
      <c r="AN15" s="18" t="s">
        <v>34</v>
      </c>
      <c r="AO15" s="18" t="s">
        <v>35</v>
      </c>
      <c r="AP15" s="18" t="s">
        <v>36</v>
      </c>
      <c r="AQ15" s="19" t="s">
        <v>33</v>
      </c>
      <c r="AR15" s="18" t="s">
        <v>34</v>
      </c>
      <c r="AS15" s="18" t="s">
        <v>35</v>
      </c>
      <c r="AT15" s="18" t="s">
        <v>36</v>
      </c>
      <c r="AU15" s="19" t="s">
        <v>33</v>
      </c>
      <c r="AV15" s="18" t="s">
        <v>34</v>
      </c>
      <c r="AW15" s="18" t="s">
        <v>35</v>
      </c>
      <c r="AX15" s="18" t="s">
        <v>36</v>
      </c>
      <c r="AY15" s="19" t="s">
        <v>33</v>
      </c>
      <c r="AZ15" s="18" t="s">
        <v>34</v>
      </c>
      <c r="BA15" s="18" t="s">
        <v>35</v>
      </c>
      <c r="BB15" s="18" t="s">
        <v>36</v>
      </c>
      <c r="BC15" s="19" t="s">
        <v>33</v>
      </c>
      <c r="BD15" s="18" t="s">
        <v>34</v>
      </c>
      <c r="BE15" s="18" t="s">
        <v>35</v>
      </c>
      <c r="BF15" s="20" t="s">
        <v>37</v>
      </c>
      <c r="BG15" s="20" t="s">
        <v>38</v>
      </c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</row>
    <row r="16" spans="1:111" s="39" customFormat="1">
      <c r="B16" s="22">
        <v>1</v>
      </c>
      <c r="C16" s="22" t="s">
        <v>39</v>
      </c>
      <c r="D16" s="23">
        <v>30032937</v>
      </c>
      <c r="E16" s="48" t="s">
        <v>316</v>
      </c>
      <c r="F16" s="48" t="s">
        <v>317</v>
      </c>
      <c r="G16" s="26" t="s">
        <v>318</v>
      </c>
      <c r="H16" s="26" t="s">
        <v>319</v>
      </c>
      <c r="I16" s="49" t="s">
        <v>44</v>
      </c>
      <c r="J16" s="34">
        <v>5361863</v>
      </c>
      <c r="K16" s="34">
        <v>4272947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37242.923999999999</v>
      </c>
      <c r="S16" s="34">
        <v>0</v>
      </c>
      <c r="T16" s="34">
        <v>247817.76</v>
      </c>
      <c r="U16" s="34">
        <v>41530.146999999997</v>
      </c>
      <c r="V16" s="34"/>
      <c r="W16" s="34"/>
      <c r="X16" s="34"/>
      <c r="Y16" s="31">
        <f>SUM(M16:X16)</f>
        <v>326590.83100000001</v>
      </c>
      <c r="Z16" s="34">
        <v>340000</v>
      </c>
      <c r="AA16" s="32">
        <v>5</v>
      </c>
      <c r="AB16" s="33">
        <v>44216</v>
      </c>
      <c r="AC16" s="36">
        <v>44225</v>
      </c>
      <c r="AD16" s="34">
        <v>0</v>
      </c>
      <c r="AE16" s="35"/>
      <c r="AF16" s="27"/>
      <c r="AG16" s="36"/>
      <c r="AH16" s="34"/>
      <c r="AI16" s="32"/>
      <c r="AJ16" s="27"/>
      <c r="AK16" s="36"/>
      <c r="AL16" s="34"/>
      <c r="AM16" s="32"/>
      <c r="AN16" s="27"/>
      <c r="AO16" s="36"/>
      <c r="AP16" s="34"/>
      <c r="AQ16" s="32"/>
      <c r="AR16" s="27"/>
      <c r="AS16" s="36"/>
      <c r="AT16" s="34"/>
      <c r="AU16" s="32"/>
      <c r="AV16" s="27"/>
      <c r="AW16" s="36"/>
      <c r="AX16" s="34"/>
      <c r="AY16" s="32"/>
      <c r="AZ16" s="27"/>
      <c r="BA16" s="36"/>
      <c r="BB16" s="34"/>
      <c r="BC16" s="32"/>
      <c r="BD16" s="27"/>
      <c r="BE16" s="36"/>
      <c r="BF16" s="37">
        <f>+Z16+AD16+AH16+AL16+AP16+AT16+AX16+BB16</f>
        <v>340000</v>
      </c>
      <c r="BG16" s="38">
        <f t="shared" ref="BG16:BG79" si="0">+BF16-Y16</f>
        <v>13409.168999999994</v>
      </c>
      <c r="BH16" s="41"/>
      <c r="BI16" s="41"/>
    </row>
    <row r="17" spans="2:61" s="39" customFormat="1" ht="22.5">
      <c r="B17" s="22">
        <f>+B16+1</f>
        <v>2</v>
      </c>
      <c r="C17" s="22" t="s">
        <v>39</v>
      </c>
      <c r="D17" s="23">
        <v>30062899</v>
      </c>
      <c r="E17" s="48" t="s">
        <v>320</v>
      </c>
      <c r="F17" s="48" t="s">
        <v>47</v>
      </c>
      <c r="G17" s="26" t="s">
        <v>318</v>
      </c>
      <c r="H17" s="26" t="s">
        <v>321</v>
      </c>
      <c r="I17" s="49" t="s">
        <v>44</v>
      </c>
      <c r="J17" s="34">
        <v>329433</v>
      </c>
      <c r="K17" s="34">
        <v>133158</v>
      </c>
      <c r="L17" s="34">
        <v>1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45549.309000000001</v>
      </c>
      <c r="T17" s="34">
        <v>12465</v>
      </c>
      <c r="U17" s="34">
        <v>20599.797999999999</v>
      </c>
      <c r="V17" s="34"/>
      <c r="W17" s="34"/>
      <c r="X17" s="34"/>
      <c r="Y17" s="31">
        <f t="shared" ref="Y17:Y80" si="1">SUM(M17:X17)</f>
        <v>78614.107000000004</v>
      </c>
      <c r="Z17" s="34">
        <v>154062</v>
      </c>
      <c r="AA17" s="32">
        <v>5</v>
      </c>
      <c r="AB17" s="33">
        <v>44216</v>
      </c>
      <c r="AC17" s="36">
        <v>44225</v>
      </c>
      <c r="AD17" s="34">
        <v>12365</v>
      </c>
      <c r="AE17" s="35">
        <v>22</v>
      </c>
      <c r="AF17" s="33">
        <v>44329</v>
      </c>
      <c r="AG17" s="36">
        <v>44334</v>
      </c>
      <c r="AH17" s="139"/>
      <c r="AI17" s="32"/>
      <c r="AJ17" s="27"/>
      <c r="AK17" s="36"/>
      <c r="AL17" s="139"/>
      <c r="AM17" s="32"/>
      <c r="AN17" s="27"/>
      <c r="AO17" s="36"/>
      <c r="AP17" s="139"/>
      <c r="AQ17" s="32"/>
      <c r="AR17" s="27"/>
      <c r="AS17" s="36"/>
      <c r="AT17" s="139"/>
      <c r="AU17" s="32"/>
      <c r="AV17" s="27"/>
      <c r="AW17" s="36"/>
      <c r="AX17" s="139"/>
      <c r="AY17" s="32"/>
      <c r="AZ17" s="27"/>
      <c r="BA17" s="36"/>
      <c r="BB17" s="139"/>
      <c r="BC17" s="32"/>
      <c r="BD17" s="27"/>
      <c r="BE17" s="36"/>
      <c r="BF17" s="37">
        <f t="shared" ref="BF17:BF80" si="2">+Z17+AD17+AH17+AL17+AP17+AT17+AX17+BB17</f>
        <v>166427</v>
      </c>
      <c r="BG17" s="38">
        <f t="shared" si="0"/>
        <v>87812.892999999996</v>
      </c>
      <c r="BH17" s="41"/>
      <c r="BI17" s="41"/>
    </row>
    <row r="18" spans="2:61" s="39" customFormat="1">
      <c r="B18" s="22">
        <f t="shared" ref="B18:B81" si="3">+B17+1</f>
        <v>3</v>
      </c>
      <c r="C18" s="22" t="s">
        <v>39</v>
      </c>
      <c r="D18" s="23">
        <v>30070199</v>
      </c>
      <c r="E18" s="48" t="s">
        <v>322</v>
      </c>
      <c r="F18" s="48" t="s">
        <v>317</v>
      </c>
      <c r="G18" s="26" t="s">
        <v>318</v>
      </c>
      <c r="H18" s="26" t="s">
        <v>319</v>
      </c>
      <c r="I18" s="49" t="s">
        <v>44</v>
      </c>
      <c r="J18" s="34">
        <v>17855566</v>
      </c>
      <c r="K18" s="34">
        <v>4831958</v>
      </c>
      <c r="L18" s="34">
        <v>4951499</v>
      </c>
      <c r="M18" s="34">
        <v>0</v>
      </c>
      <c r="N18" s="34">
        <v>669018</v>
      </c>
      <c r="O18" s="34">
        <v>457702</v>
      </c>
      <c r="P18" s="34">
        <v>512159.47</v>
      </c>
      <c r="Q18" s="34">
        <v>812325.49600000004</v>
      </c>
      <c r="R18" s="34">
        <v>480433.66399999999</v>
      </c>
      <c r="S18" s="34">
        <v>543387.897</v>
      </c>
      <c r="T18" s="34">
        <v>592595.36499999999</v>
      </c>
      <c r="U18" s="34">
        <v>432093.94300000003</v>
      </c>
      <c r="V18" s="34"/>
      <c r="W18" s="34"/>
      <c r="X18" s="34"/>
      <c r="Y18" s="31">
        <f t="shared" si="1"/>
        <v>4499715.835</v>
      </c>
      <c r="Z18" s="34">
        <v>5000000</v>
      </c>
      <c r="AA18" s="32">
        <v>5</v>
      </c>
      <c r="AB18" s="33">
        <v>44216</v>
      </c>
      <c r="AC18" s="36">
        <v>44225</v>
      </c>
      <c r="AD18" s="34">
        <v>46648</v>
      </c>
      <c r="AE18" s="35">
        <v>16</v>
      </c>
      <c r="AF18" s="33">
        <v>44253</v>
      </c>
      <c r="AG18" s="36">
        <v>44274</v>
      </c>
      <c r="AH18" s="34">
        <v>6525</v>
      </c>
      <c r="AI18" s="32">
        <v>38</v>
      </c>
      <c r="AJ18" s="33">
        <v>44434</v>
      </c>
      <c r="AK18" s="36">
        <v>44448</v>
      </c>
      <c r="AL18" s="34"/>
      <c r="AM18" s="32"/>
      <c r="AN18" s="27"/>
      <c r="AO18" s="36"/>
      <c r="AP18" s="34"/>
      <c r="AQ18" s="32"/>
      <c r="AR18" s="27"/>
      <c r="AS18" s="36"/>
      <c r="AT18" s="34"/>
      <c r="AU18" s="32"/>
      <c r="AV18" s="27"/>
      <c r="AW18" s="36"/>
      <c r="AX18" s="34"/>
      <c r="AY18" s="32"/>
      <c r="AZ18" s="27"/>
      <c r="BA18" s="36"/>
      <c r="BB18" s="34"/>
      <c r="BC18" s="32"/>
      <c r="BD18" s="27"/>
      <c r="BE18" s="36"/>
      <c r="BF18" s="37">
        <f t="shared" si="2"/>
        <v>5053173</v>
      </c>
      <c r="BG18" s="38">
        <f t="shared" si="0"/>
        <v>553457.16500000004</v>
      </c>
      <c r="BH18" s="41"/>
      <c r="BI18" s="41"/>
    </row>
    <row r="19" spans="2:61" s="39" customFormat="1">
      <c r="B19" s="22">
        <f t="shared" si="3"/>
        <v>4</v>
      </c>
      <c r="C19" s="22" t="s">
        <v>39</v>
      </c>
      <c r="D19" s="23">
        <v>30072454</v>
      </c>
      <c r="E19" s="48" t="s">
        <v>323</v>
      </c>
      <c r="F19" s="48" t="s">
        <v>47</v>
      </c>
      <c r="G19" s="26" t="s">
        <v>318</v>
      </c>
      <c r="H19" s="26" t="s">
        <v>324</v>
      </c>
      <c r="I19" s="49" t="s">
        <v>44</v>
      </c>
      <c r="J19" s="34">
        <v>135074</v>
      </c>
      <c r="K19" s="34">
        <v>56940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/>
      <c r="W19" s="34"/>
      <c r="X19" s="34"/>
      <c r="Y19" s="31">
        <f t="shared" si="1"/>
        <v>0</v>
      </c>
      <c r="Z19" s="34">
        <v>78134</v>
      </c>
      <c r="AA19" s="32">
        <v>5</v>
      </c>
      <c r="AB19" s="33">
        <v>44216</v>
      </c>
      <c r="AC19" s="36">
        <v>44225</v>
      </c>
      <c r="AD19" s="34"/>
      <c r="AE19" s="35"/>
      <c r="AF19" s="33"/>
      <c r="AG19" s="36"/>
      <c r="AH19" s="34"/>
      <c r="AI19" s="32"/>
      <c r="AJ19" s="33"/>
      <c r="AK19" s="36"/>
      <c r="AL19" s="34"/>
      <c r="AM19" s="32"/>
      <c r="AN19" s="33"/>
      <c r="AO19" s="36"/>
      <c r="AP19" s="34"/>
      <c r="AQ19" s="32"/>
      <c r="AR19" s="33"/>
      <c r="AS19" s="36"/>
      <c r="AT19" s="34"/>
      <c r="AU19" s="32"/>
      <c r="AV19" s="33"/>
      <c r="AW19" s="36"/>
      <c r="AX19" s="34"/>
      <c r="AY19" s="32"/>
      <c r="AZ19" s="33"/>
      <c r="BA19" s="36"/>
      <c r="BB19" s="34"/>
      <c r="BC19" s="32"/>
      <c r="BD19" s="33"/>
      <c r="BE19" s="36"/>
      <c r="BF19" s="37">
        <f t="shared" si="2"/>
        <v>78134</v>
      </c>
      <c r="BG19" s="38">
        <f t="shared" si="0"/>
        <v>78134</v>
      </c>
      <c r="BH19" s="41"/>
      <c r="BI19" s="41"/>
    </row>
    <row r="20" spans="2:61" s="39" customFormat="1" ht="22.5">
      <c r="B20" s="22">
        <f t="shared" si="3"/>
        <v>5</v>
      </c>
      <c r="C20" s="22" t="s">
        <v>39</v>
      </c>
      <c r="D20" s="23">
        <v>30072770</v>
      </c>
      <c r="E20" s="48" t="s">
        <v>325</v>
      </c>
      <c r="F20" s="48" t="s">
        <v>317</v>
      </c>
      <c r="G20" s="26" t="s">
        <v>318</v>
      </c>
      <c r="H20" s="26" t="s">
        <v>324</v>
      </c>
      <c r="I20" s="49" t="s">
        <v>52</v>
      </c>
      <c r="J20" s="34">
        <v>2040928</v>
      </c>
      <c r="K20" s="34">
        <v>1792</v>
      </c>
      <c r="L20" s="34">
        <v>0</v>
      </c>
      <c r="M20" s="34">
        <v>0</v>
      </c>
      <c r="N20" s="34">
        <v>0</v>
      </c>
      <c r="O20" s="34">
        <v>0</v>
      </c>
      <c r="P20" s="34">
        <v>120188.219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/>
      <c r="W20" s="34"/>
      <c r="X20" s="34"/>
      <c r="Y20" s="31">
        <f t="shared" si="1"/>
        <v>120188.219</v>
      </c>
      <c r="Z20" s="34">
        <v>800000</v>
      </c>
      <c r="AA20" s="32">
        <v>5</v>
      </c>
      <c r="AB20" s="33">
        <v>44216</v>
      </c>
      <c r="AC20" s="36">
        <v>44225</v>
      </c>
      <c r="AD20" s="34">
        <v>0</v>
      </c>
      <c r="AE20" s="35"/>
      <c r="AF20" s="27"/>
      <c r="AG20" s="36"/>
      <c r="AH20" s="34"/>
      <c r="AI20" s="32"/>
      <c r="AJ20" s="27"/>
      <c r="AK20" s="36"/>
      <c r="AL20" s="34"/>
      <c r="AM20" s="32"/>
      <c r="AN20" s="27"/>
      <c r="AO20" s="36"/>
      <c r="AP20" s="34"/>
      <c r="AQ20" s="32"/>
      <c r="AR20" s="27"/>
      <c r="AS20" s="36"/>
      <c r="AT20" s="34"/>
      <c r="AU20" s="32"/>
      <c r="AV20" s="27"/>
      <c r="AW20" s="36"/>
      <c r="AX20" s="34"/>
      <c r="AY20" s="32"/>
      <c r="AZ20" s="27"/>
      <c r="BA20" s="36"/>
      <c r="BB20" s="34"/>
      <c r="BC20" s="32"/>
      <c r="BD20" s="27"/>
      <c r="BE20" s="36"/>
      <c r="BF20" s="37">
        <f t="shared" si="2"/>
        <v>800000</v>
      </c>
      <c r="BG20" s="38">
        <f t="shared" si="0"/>
        <v>679811.78099999996</v>
      </c>
      <c r="BH20" s="41"/>
      <c r="BI20" s="41"/>
    </row>
    <row r="21" spans="2:61" s="39" customFormat="1">
      <c r="B21" s="22">
        <f t="shared" si="3"/>
        <v>6</v>
      </c>
      <c r="C21" s="22" t="s">
        <v>39</v>
      </c>
      <c r="D21" s="23">
        <v>30076167</v>
      </c>
      <c r="E21" s="48" t="s">
        <v>326</v>
      </c>
      <c r="F21" s="48" t="s">
        <v>317</v>
      </c>
      <c r="G21" s="26" t="s">
        <v>318</v>
      </c>
      <c r="H21" s="26" t="s">
        <v>327</v>
      </c>
      <c r="I21" s="49" t="s">
        <v>44</v>
      </c>
      <c r="J21" s="34">
        <v>15714653</v>
      </c>
      <c r="K21" s="34">
        <v>1716979</v>
      </c>
      <c r="L21" s="34">
        <v>3306082</v>
      </c>
      <c r="M21" s="34">
        <v>0</v>
      </c>
      <c r="N21" s="34">
        <v>0</v>
      </c>
      <c r="O21" s="34">
        <v>4083</v>
      </c>
      <c r="P21" s="34">
        <v>6034</v>
      </c>
      <c r="Q21" s="34">
        <v>6034</v>
      </c>
      <c r="R21" s="34">
        <v>2835.8850000000002</v>
      </c>
      <c r="S21" s="34">
        <v>1951.3</v>
      </c>
      <c r="T21" s="34">
        <v>1951.3</v>
      </c>
      <c r="U21" s="34">
        <v>975.65</v>
      </c>
      <c r="V21" s="34"/>
      <c r="W21" s="34"/>
      <c r="X21" s="34"/>
      <c r="Y21" s="31">
        <f t="shared" si="1"/>
        <v>23865.135000000002</v>
      </c>
      <c r="Z21" s="34">
        <v>5010000</v>
      </c>
      <c r="AA21" s="32">
        <v>5</v>
      </c>
      <c r="AB21" s="33">
        <v>44216</v>
      </c>
      <c r="AC21" s="36">
        <v>44225</v>
      </c>
      <c r="AD21" s="34">
        <v>-171557</v>
      </c>
      <c r="AE21" s="35">
        <v>16</v>
      </c>
      <c r="AF21" s="33">
        <v>44253</v>
      </c>
      <c r="AG21" s="36">
        <v>44274</v>
      </c>
      <c r="AH21" s="34">
        <v>-119336</v>
      </c>
      <c r="AI21" s="32">
        <v>19</v>
      </c>
      <c r="AJ21" s="33">
        <v>44305</v>
      </c>
      <c r="AK21" s="36">
        <v>44330</v>
      </c>
      <c r="AL21" s="34">
        <v>30828</v>
      </c>
      <c r="AM21" s="32">
        <v>19</v>
      </c>
      <c r="AN21" s="33">
        <v>44305</v>
      </c>
      <c r="AO21" s="36">
        <v>44330</v>
      </c>
      <c r="AP21" s="34">
        <v>-691893</v>
      </c>
      <c r="AQ21" s="32">
        <v>22</v>
      </c>
      <c r="AR21" s="33">
        <v>44329</v>
      </c>
      <c r="AS21" s="36">
        <v>44334</v>
      </c>
      <c r="AT21" s="34">
        <v>-1891318</v>
      </c>
      <c r="AU21" s="32">
        <v>28</v>
      </c>
      <c r="AV21" s="33">
        <v>44357</v>
      </c>
      <c r="AW21" s="36">
        <v>44376</v>
      </c>
      <c r="AX21" s="34">
        <v>-514225</v>
      </c>
      <c r="AY21" s="32">
        <v>31</v>
      </c>
      <c r="AZ21" s="33">
        <v>44378</v>
      </c>
      <c r="BA21" s="36">
        <v>44400</v>
      </c>
      <c r="BB21" s="34">
        <v>-1611671</v>
      </c>
      <c r="BC21" s="32">
        <v>38</v>
      </c>
      <c r="BD21" s="33">
        <v>44434</v>
      </c>
      <c r="BE21" s="36">
        <v>44448</v>
      </c>
      <c r="BF21" s="37">
        <f t="shared" si="2"/>
        <v>40828</v>
      </c>
      <c r="BG21" s="38">
        <f t="shared" si="0"/>
        <v>16962.864999999998</v>
      </c>
      <c r="BH21" s="41"/>
      <c r="BI21" s="41"/>
    </row>
    <row r="22" spans="2:61" s="39" customFormat="1">
      <c r="B22" s="22">
        <f t="shared" si="3"/>
        <v>7</v>
      </c>
      <c r="C22" s="22" t="s">
        <v>39</v>
      </c>
      <c r="D22" s="23">
        <v>30081265</v>
      </c>
      <c r="E22" s="48" t="s">
        <v>328</v>
      </c>
      <c r="F22" s="48" t="s">
        <v>47</v>
      </c>
      <c r="G22" s="26" t="s">
        <v>318</v>
      </c>
      <c r="H22" s="26" t="s">
        <v>329</v>
      </c>
      <c r="I22" s="49" t="s">
        <v>44</v>
      </c>
      <c r="J22" s="34">
        <v>37509</v>
      </c>
      <c r="K22" s="34">
        <v>27194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/>
      <c r="W22" s="34"/>
      <c r="X22" s="34"/>
      <c r="Y22" s="31">
        <f t="shared" si="1"/>
        <v>0</v>
      </c>
      <c r="Z22" s="34">
        <v>10315</v>
      </c>
      <c r="AA22" s="32">
        <v>5</v>
      </c>
      <c r="AB22" s="33">
        <v>44216</v>
      </c>
      <c r="AC22" s="36">
        <v>44225</v>
      </c>
      <c r="AD22" s="34">
        <v>0</v>
      </c>
      <c r="AE22" s="35"/>
      <c r="AF22" s="33"/>
      <c r="AG22" s="36"/>
      <c r="AH22" s="34"/>
      <c r="AI22" s="32"/>
      <c r="AJ22" s="33"/>
      <c r="AK22" s="36"/>
      <c r="AL22" s="34"/>
      <c r="AM22" s="32"/>
      <c r="AN22" s="33"/>
      <c r="AO22" s="36"/>
      <c r="AP22" s="34"/>
      <c r="AQ22" s="32"/>
      <c r="AR22" s="33"/>
      <c r="AS22" s="36"/>
      <c r="AT22" s="34"/>
      <c r="AU22" s="32"/>
      <c r="AV22" s="33"/>
      <c r="AW22" s="36"/>
      <c r="AX22" s="34"/>
      <c r="AY22" s="32"/>
      <c r="AZ22" s="33"/>
      <c r="BA22" s="36"/>
      <c r="BB22" s="34"/>
      <c r="BC22" s="32"/>
      <c r="BD22" s="33"/>
      <c r="BE22" s="36"/>
      <c r="BF22" s="37">
        <f t="shared" si="2"/>
        <v>10315</v>
      </c>
      <c r="BG22" s="38">
        <f t="shared" si="0"/>
        <v>10315</v>
      </c>
      <c r="BH22" s="41"/>
      <c r="BI22" s="41"/>
    </row>
    <row r="23" spans="2:61" s="39" customFormat="1" ht="23.25" customHeight="1">
      <c r="B23" s="22">
        <f t="shared" si="3"/>
        <v>8</v>
      </c>
      <c r="C23" s="22" t="s">
        <v>39</v>
      </c>
      <c r="D23" s="23">
        <v>30082427</v>
      </c>
      <c r="E23" s="48" t="s">
        <v>330</v>
      </c>
      <c r="F23" s="48" t="s">
        <v>317</v>
      </c>
      <c r="G23" s="26" t="s">
        <v>318</v>
      </c>
      <c r="H23" s="73" t="s">
        <v>331</v>
      </c>
      <c r="I23" s="49" t="s">
        <v>44</v>
      </c>
      <c r="J23" s="34">
        <v>3835621</v>
      </c>
      <c r="K23" s="34">
        <v>3813977</v>
      </c>
      <c r="L23" s="34">
        <v>0</v>
      </c>
      <c r="M23" s="34">
        <v>0</v>
      </c>
      <c r="N23" s="34">
        <v>0</v>
      </c>
      <c r="O23" s="34">
        <v>6897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/>
      <c r="W23" s="34"/>
      <c r="X23" s="34"/>
      <c r="Y23" s="31">
        <f t="shared" si="1"/>
        <v>6897</v>
      </c>
      <c r="Z23" s="34">
        <v>21644</v>
      </c>
      <c r="AA23" s="32">
        <v>5</v>
      </c>
      <c r="AB23" s="33">
        <v>44216</v>
      </c>
      <c r="AC23" s="36">
        <v>44225</v>
      </c>
      <c r="AD23" s="34">
        <v>0</v>
      </c>
      <c r="AE23" s="35"/>
      <c r="AF23" s="27"/>
      <c r="AG23" s="36"/>
      <c r="AH23" s="34"/>
      <c r="AI23" s="32"/>
      <c r="AJ23" s="27"/>
      <c r="AK23" s="36"/>
      <c r="AL23" s="34"/>
      <c r="AM23" s="32"/>
      <c r="AN23" s="27"/>
      <c r="AO23" s="36"/>
      <c r="AP23" s="34"/>
      <c r="AQ23" s="32"/>
      <c r="AR23" s="27"/>
      <c r="AS23" s="36"/>
      <c r="AT23" s="34"/>
      <c r="AU23" s="32"/>
      <c r="AV23" s="27"/>
      <c r="AW23" s="36"/>
      <c r="AX23" s="34"/>
      <c r="AY23" s="32"/>
      <c r="AZ23" s="27"/>
      <c r="BA23" s="36"/>
      <c r="BB23" s="34"/>
      <c r="BC23" s="32"/>
      <c r="BD23" s="27"/>
      <c r="BE23" s="36"/>
      <c r="BF23" s="37">
        <f t="shared" si="2"/>
        <v>21644</v>
      </c>
      <c r="BG23" s="38">
        <f t="shared" si="0"/>
        <v>14747</v>
      </c>
      <c r="BH23" s="41"/>
      <c r="BI23" s="41"/>
    </row>
    <row r="24" spans="2:61" s="39" customFormat="1">
      <c r="B24" s="22">
        <f t="shared" si="3"/>
        <v>9</v>
      </c>
      <c r="C24" s="22" t="s">
        <v>39</v>
      </c>
      <c r="D24" s="23">
        <v>30086265</v>
      </c>
      <c r="E24" s="48" t="s">
        <v>332</v>
      </c>
      <c r="F24" s="48" t="s">
        <v>317</v>
      </c>
      <c r="G24" s="26" t="s">
        <v>318</v>
      </c>
      <c r="H24" s="73" t="s">
        <v>324</v>
      </c>
      <c r="I24" s="49" t="s">
        <v>44</v>
      </c>
      <c r="J24" s="34">
        <v>5794047</v>
      </c>
      <c r="K24" s="34">
        <v>5651699</v>
      </c>
      <c r="L24" s="34">
        <v>0</v>
      </c>
      <c r="M24" s="34">
        <v>0</v>
      </c>
      <c r="N24" s="34">
        <v>0</v>
      </c>
      <c r="O24" s="34">
        <v>0</v>
      </c>
      <c r="P24" s="34">
        <v>2439.0949999999998</v>
      </c>
      <c r="Q24" s="34">
        <v>0</v>
      </c>
      <c r="R24" s="34">
        <v>0</v>
      </c>
      <c r="S24" s="34">
        <v>0</v>
      </c>
      <c r="T24" s="34">
        <v>34153</v>
      </c>
      <c r="U24" s="34">
        <v>44561.900999999998</v>
      </c>
      <c r="V24" s="34"/>
      <c r="W24" s="34"/>
      <c r="X24" s="34"/>
      <c r="Y24" s="31">
        <f t="shared" si="1"/>
        <v>81153.995999999999</v>
      </c>
      <c r="Z24" s="34">
        <v>134213</v>
      </c>
      <c r="AA24" s="32">
        <v>5</v>
      </c>
      <c r="AB24" s="33">
        <v>44216</v>
      </c>
      <c r="AC24" s="36">
        <v>44225</v>
      </c>
      <c r="AD24" s="34"/>
      <c r="AE24" s="35"/>
      <c r="AF24" s="33"/>
      <c r="AG24" s="36"/>
      <c r="AH24" s="214"/>
      <c r="AI24" s="32"/>
      <c r="AJ24" s="33"/>
      <c r="AK24" s="36"/>
      <c r="AL24" s="214"/>
      <c r="AM24" s="32"/>
      <c r="AN24" s="33"/>
      <c r="AO24" s="36"/>
      <c r="AP24" s="214"/>
      <c r="AQ24" s="32"/>
      <c r="AR24" s="33"/>
      <c r="AS24" s="36"/>
      <c r="AT24" s="214"/>
      <c r="AU24" s="32"/>
      <c r="AV24" s="33"/>
      <c r="AW24" s="36"/>
      <c r="AX24" s="214"/>
      <c r="AY24" s="32"/>
      <c r="AZ24" s="33"/>
      <c r="BA24" s="36"/>
      <c r="BB24" s="214"/>
      <c r="BC24" s="32"/>
      <c r="BD24" s="33"/>
      <c r="BE24" s="36"/>
      <c r="BF24" s="37">
        <f t="shared" si="2"/>
        <v>134213</v>
      </c>
      <c r="BG24" s="38">
        <f t="shared" si="0"/>
        <v>53059.004000000001</v>
      </c>
      <c r="BH24" s="41"/>
      <c r="BI24" s="41"/>
    </row>
    <row r="25" spans="2:61" s="39" customFormat="1">
      <c r="B25" s="22">
        <f t="shared" si="3"/>
        <v>10</v>
      </c>
      <c r="C25" s="22" t="s">
        <v>39</v>
      </c>
      <c r="D25" s="23">
        <v>30088016</v>
      </c>
      <c r="E25" s="48" t="s">
        <v>333</v>
      </c>
      <c r="F25" s="48" t="s">
        <v>317</v>
      </c>
      <c r="G25" s="26" t="s">
        <v>318</v>
      </c>
      <c r="H25" s="73" t="s">
        <v>319</v>
      </c>
      <c r="I25" s="49" t="s">
        <v>44</v>
      </c>
      <c r="J25" s="34">
        <v>307687</v>
      </c>
      <c r="K25" s="34">
        <v>182410</v>
      </c>
      <c r="L25" s="34">
        <v>0</v>
      </c>
      <c r="M25" s="34">
        <v>0</v>
      </c>
      <c r="N25" s="34">
        <v>0</v>
      </c>
      <c r="O25" s="34">
        <v>206103</v>
      </c>
      <c r="P25" s="34">
        <v>84840.595000000001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/>
      <c r="W25" s="34"/>
      <c r="X25" s="34"/>
      <c r="Y25" s="31">
        <f t="shared" si="1"/>
        <v>290943.59499999997</v>
      </c>
      <c r="Z25" s="34">
        <v>290944</v>
      </c>
      <c r="AA25" s="32">
        <v>5</v>
      </c>
      <c r="AB25" s="33">
        <v>44216</v>
      </c>
      <c r="AC25" s="36">
        <v>44225</v>
      </c>
      <c r="AD25" s="34">
        <v>0</v>
      </c>
      <c r="AE25" s="35"/>
      <c r="AF25" s="27"/>
      <c r="AG25" s="36"/>
      <c r="AH25" s="34"/>
      <c r="AI25" s="32"/>
      <c r="AJ25" s="27"/>
      <c r="AK25" s="36"/>
      <c r="AL25" s="34"/>
      <c r="AM25" s="32"/>
      <c r="AN25" s="27"/>
      <c r="AO25" s="36"/>
      <c r="AP25" s="34"/>
      <c r="AQ25" s="32"/>
      <c r="AR25" s="27"/>
      <c r="AS25" s="36"/>
      <c r="AT25" s="34"/>
      <c r="AU25" s="32"/>
      <c r="AV25" s="27"/>
      <c r="AW25" s="36"/>
      <c r="AX25" s="34"/>
      <c r="AY25" s="32"/>
      <c r="AZ25" s="27"/>
      <c r="BA25" s="36"/>
      <c r="BB25" s="34"/>
      <c r="BC25" s="32"/>
      <c r="BD25" s="27"/>
      <c r="BE25" s="36"/>
      <c r="BF25" s="37">
        <f t="shared" si="2"/>
        <v>290944</v>
      </c>
      <c r="BG25" s="38">
        <f t="shared" si="0"/>
        <v>0.40500000002793968</v>
      </c>
      <c r="BH25" s="41"/>
      <c r="BI25" s="41"/>
    </row>
    <row r="26" spans="2:61" s="39" customFormat="1" ht="22.5">
      <c r="B26" s="22">
        <f t="shared" si="3"/>
        <v>11</v>
      </c>
      <c r="C26" s="22" t="s">
        <v>39</v>
      </c>
      <c r="D26" s="23">
        <v>30091568</v>
      </c>
      <c r="E26" s="48" t="s">
        <v>334</v>
      </c>
      <c r="F26" s="48" t="s">
        <v>317</v>
      </c>
      <c r="G26" s="26" t="s">
        <v>318</v>
      </c>
      <c r="H26" s="73" t="s">
        <v>324</v>
      </c>
      <c r="I26" s="49" t="s">
        <v>44</v>
      </c>
      <c r="J26" s="34">
        <v>20443271</v>
      </c>
      <c r="K26" s="34">
        <v>20436195</v>
      </c>
      <c r="L26" s="34">
        <v>0</v>
      </c>
      <c r="M26" s="34">
        <v>0</v>
      </c>
      <c r="N26" s="34">
        <v>7074</v>
      </c>
      <c r="O26" s="34">
        <v>54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/>
      <c r="W26" s="34"/>
      <c r="X26" s="34"/>
      <c r="Y26" s="31">
        <f t="shared" si="1"/>
        <v>7128</v>
      </c>
      <c r="Z26" s="34">
        <v>7075</v>
      </c>
      <c r="AA26" s="32">
        <v>5</v>
      </c>
      <c r="AB26" s="33">
        <v>44216</v>
      </c>
      <c r="AC26" s="36">
        <v>44225</v>
      </c>
      <c r="AD26" s="34">
        <v>54</v>
      </c>
      <c r="AE26" s="35">
        <v>16</v>
      </c>
      <c r="AF26" s="33">
        <v>44253</v>
      </c>
      <c r="AG26" s="36">
        <v>44274</v>
      </c>
      <c r="AH26" s="34"/>
      <c r="AI26" s="32"/>
      <c r="AJ26" s="27"/>
      <c r="AK26" s="36"/>
      <c r="AL26" s="34"/>
      <c r="AM26" s="32"/>
      <c r="AN26" s="27"/>
      <c r="AO26" s="36"/>
      <c r="AP26" s="34"/>
      <c r="AQ26" s="32"/>
      <c r="AR26" s="27"/>
      <c r="AS26" s="36"/>
      <c r="AT26" s="34"/>
      <c r="AU26" s="32"/>
      <c r="AV26" s="27"/>
      <c r="AW26" s="36"/>
      <c r="AX26" s="34"/>
      <c r="AY26" s="32"/>
      <c r="AZ26" s="27"/>
      <c r="BA26" s="36"/>
      <c r="BB26" s="34"/>
      <c r="BC26" s="32"/>
      <c r="BD26" s="27"/>
      <c r="BE26" s="36"/>
      <c r="BF26" s="37">
        <f t="shared" si="2"/>
        <v>7129</v>
      </c>
      <c r="BG26" s="38">
        <f t="shared" si="0"/>
        <v>1</v>
      </c>
      <c r="BH26" s="41"/>
      <c r="BI26" s="41"/>
    </row>
    <row r="27" spans="2:61" s="39" customFormat="1">
      <c r="B27" s="22">
        <f t="shared" si="3"/>
        <v>12</v>
      </c>
      <c r="C27" s="22" t="s">
        <v>39</v>
      </c>
      <c r="D27" s="23">
        <v>30096128</v>
      </c>
      <c r="E27" s="48" t="s">
        <v>335</v>
      </c>
      <c r="F27" s="48" t="s">
        <v>317</v>
      </c>
      <c r="G27" s="26" t="s">
        <v>318</v>
      </c>
      <c r="H27" s="73" t="s">
        <v>336</v>
      </c>
      <c r="I27" s="49" t="s">
        <v>44</v>
      </c>
      <c r="J27" s="34">
        <v>7836830</v>
      </c>
      <c r="K27" s="34">
        <v>0</v>
      </c>
      <c r="L27" s="34">
        <v>5332531</v>
      </c>
      <c r="M27" s="34">
        <v>0</v>
      </c>
      <c r="N27" s="34">
        <v>0</v>
      </c>
      <c r="O27" s="34">
        <v>0</v>
      </c>
      <c r="P27" s="34">
        <v>187003.75</v>
      </c>
      <c r="Q27" s="34">
        <v>298751.10399999999</v>
      </c>
      <c r="R27" s="34">
        <v>305830.772</v>
      </c>
      <c r="S27" s="34">
        <v>263659.19500000001</v>
      </c>
      <c r="T27" s="34">
        <v>277039.93300000002</v>
      </c>
      <c r="U27" s="34">
        <v>205438.58</v>
      </c>
      <c r="V27" s="34"/>
      <c r="W27" s="34"/>
      <c r="X27" s="34"/>
      <c r="Y27" s="31">
        <f t="shared" si="1"/>
        <v>1537723.334</v>
      </c>
      <c r="Z27" s="34">
        <v>510000</v>
      </c>
      <c r="AA27" s="32">
        <v>5</v>
      </c>
      <c r="AB27" s="33">
        <v>44216</v>
      </c>
      <c r="AC27" s="36">
        <v>44225</v>
      </c>
      <c r="AD27" s="34">
        <v>3478</v>
      </c>
      <c r="AE27" s="35">
        <v>16</v>
      </c>
      <c r="AF27" s="33">
        <v>44253</v>
      </c>
      <c r="AG27" s="36">
        <v>44274</v>
      </c>
      <c r="AH27" s="34">
        <v>500000</v>
      </c>
      <c r="AI27" s="32">
        <v>28</v>
      </c>
      <c r="AJ27" s="33">
        <v>44357</v>
      </c>
      <c r="AK27" s="36">
        <v>44376</v>
      </c>
      <c r="AL27" s="34">
        <v>500000</v>
      </c>
      <c r="AM27" s="32">
        <v>38</v>
      </c>
      <c r="AN27" s="33">
        <v>44434</v>
      </c>
      <c r="AO27" s="36">
        <v>44448</v>
      </c>
      <c r="AP27" s="34"/>
      <c r="AQ27" s="32"/>
      <c r="AR27" s="27"/>
      <c r="AS27" s="36"/>
      <c r="AT27" s="34"/>
      <c r="AU27" s="32"/>
      <c r="AV27" s="27"/>
      <c r="AW27" s="36"/>
      <c r="AX27" s="34"/>
      <c r="AY27" s="32"/>
      <c r="AZ27" s="27"/>
      <c r="BA27" s="36"/>
      <c r="BB27" s="34"/>
      <c r="BC27" s="32"/>
      <c r="BD27" s="27"/>
      <c r="BE27" s="36"/>
      <c r="BF27" s="37">
        <f t="shared" si="2"/>
        <v>1513478</v>
      </c>
      <c r="BG27" s="38">
        <f t="shared" si="0"/>
        <v>-24245.334000000032</v>
      </c>
      <c r="BH27" s="41"/>
      <c r="BI27" s="41"/>
    </row>
    <row r="28" spans="2:61" s="39" customFormat="1" ht="22.5">
      <c r="B28" s="22">
        <f t="shared" si="3"/>
        <v>13</v>
      </c>
      <c r="C28" s="22" t="s">
        <v>39</v>
      </c>
      <c r="D28" s="23">
        <v>30117141</v>
      </c>
      <c r="E28" s="48" t="s">
        <v>337</v>
      </c>
      <c r="F28" s="48" t="s">
        <v>47</v>
      </c>
      <c r="G28" s="26" t="s">
        <v>318</v>
      </c>
      <c r="H28" s="73" t="s">
        <v>319</v>
      </c>
      <c r="I28" s="49" t="s">
        <v>52</v>
      </c>
      <c r="J28" s="34">
        <v>169102</v>
      </c>
      <c r="K28" s="34">
        <v>0</v>
      </c>
      <c r="L28" s="34">
        <v>100833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/>
      <c r="W28" s="34"/>
      <c r="X28" s="34"/>
      <c r="Y28" s="31">
        <f t="shared" si="1"/>
        <v>0</v>
      </c>
      <c r="Z28" s="34">
        <v>13000</v>
      </c>
      <c r="AA28" s="32">
        <v>19</v>
      </c>
      <c r="AB28" s="33">
        <v>44305</v>
      </c>
      <c r="AC28" s="36">
        <v>44330</v>
      </c>
      <c r="AD28" s="34">
        <v>0</v>
      </c>
      <c r="AE28" s="35"/>
      <c r="AF28" s="27"/>
      <c r="AG28" s="36"/>
      <c r="AH28" s="34">
        <v>0</v>
      </c>
      <c r="AI28" s="32"/>
      <c r="AJ28" s="27"/>
      <c r="AK28" s="36"/>
      <c r="AL28" s="34"/>
      <c r="AM28" s="32"/>
      <c r="AN28" s="27"/>
      <c r="AO28" s="36"/>
      <c r="AP28" s="34"/>
      <c r="AQ28" s="32"/>
      <c r="AR28" s="27"/>
      <c r="AS28" s="36"/>
      <c r="AT28" s="34"/>
      <c r="AU28" s="32"/>
      <c r="AV28" s="27"/>
      <c r="AW28" s="36"/>
      <c r="AX28" s="34"/>
      <c r="AY28" s="32"/>
      <c r="AZ28" s="27"/>
      <c r="BA28" s="36"/>
      <c r="BB28" s="34"/>
      <c r="BC28" s="32"/>
      <c r="BD28" s="27"/>
      <c r="BE28" s="36"/>
      <c r="BF28" s="37">
        <f t="shared" si="2"/>
        <v>13000</v>
      </c>
      <c r="BG28" s="38">
        <f t="shared" si="0"/>
        <v>13000</v>
      </c>
      <c r="BH28" s="41"/>
      <c r="BI28" s="41"/>
    </row>
    <row r="29" spans="2:61" s="39" customFormat="1" ht="22.5">
      <c r="B29" s="22">
        <f t="shared" si="3"/>
        <v>14</v>
      </c>
      <c r="C29" s="22" t="s">
        <v>39</v>
      </c>
      <c r="D29" s="23">
        <v>30124316</v>
      </c>
      <c r="E29" s="48" t="s">
        <v>338</v>
      </c>
      <c r="F29" s="48" t="s">
        <v>317</v>
      </c>
      <c r="G29" s="26" t="s">
        <v>318</v>
      </c>
      <c r="H29" s="73" t="s">
        <v>319</v>
      </c>
      <c r="I29" s="49" t="s">
        <v>44</v>
      </c>
      <c r="J29" s="34">
        <v>2314402</v>
      </c>
      <c r="K29" s="34">
        <v>1188787</v>
      </c>
      <c r="L29" s="34">
        <v>0</v>
      </c>
      <c r="M29" s="34">
        <v>0</v>
      </c>
      <c r="N29" s="34">
        <v>33962</v>
      </c>
      <c r="O29" s="34">
        <v>0</v>
      </c>
      <c r="P29" s="34">
        <v>0</v>
      </c>
      <c r="Q29" s="34">
        <v>35282.635999999999</v>
      </c>
      <c r="R29" s="34">
        <v>183207.29399999999</v>
      </c>
      <c r="S29" s="34">
        <v>0</v>
      </c>
      <c r="T29" s="34">
        <v>0</v>
      </c>
      <c r="U29" s="34">
        <v>0</v>
      </c>
      <c r="V29" s="34"/>
      <c r="W29" s="34"/>
      <c r="X29" s="34"/>
      <c r="Y29" s="31">
        <f t="shared" si="1"/>
        <v>252451.93</v>
      </c>
      <c r="Z29" s="34">
        <v>650000</v>
      </c>
      <c r="AA29" s="32">
        <v>5</v>
      </c>
      <c r="AB29" s="33">
        <v>44216</v>
      </c>
      <c r="AC29" s="36">
        <v>44225</v>
      </c>
      <c r="AD29" s="34">
        <v>0</v>
      </c>
      <c r="AE29" s="35"/>
      <c r="AF29" s="27"/>
      <c r="AG29" s="36"/>
      <c r="AH29" s="34"/>
      <c r="AI29" s="32"/>
      <c r="AJ29" s="27"/>
      <c r="AK29" s="36"/>
      <c r="AL29" s="34"/>
      <c r="AM29" s="32"/>
      <c r="AN29" s="27"/>
      <c r="AO29" s="36"/>
      <c r="AP29" s="34"/>
      <c r="AQ29" s="32"/>
      <c r="AR29" s="27"/>
      <c r="AS29" s="36"/>
      <c r="AT29" s="34"/>
      <c r="AU29" s="32"/>
      <c r="AV29" s="27"/>
      <c r="AW29" s="36"/>
      <c r="AX29" s="34"/>
      <c r="AY29" s="32"/>
      <c r="AZ29" s="27"/>
      <c r="BA29" s="36"/>
      <c r="BB29" s="34"/>
      <c r="BC29" s="32"/>
      <c r="BD29" s="27"/>
      <c r="BE29" s="36"/>
      <c r="BF29" s="37">
        <f t="shared" si="2"/>
        <v>650000</v>
      </c>
      <c r="BG29" s="38">
        <f t="shared" si="0"/>
        <v>397548.07</v>
      </c>
      <c r="BH29" s="41"/>
      <c r="BI29" s="41"/>
    </row>
    <row r="30" spans="2:61" s="39" customFormat="1" ht="22.5">
      <c r="B30" s="22">
        <f t="shared" si="3"/>
        <v>15</v>
      </c>
      <c r="C30" s="22" t="s">
        <v>39</v>
      </c>
      <c r="D30" s="23">
        <v>30124516</v>
      </c>
      <c r="E30" s="48" t="s">
        <v>339</v>
      </c>
      <c r="F30" s="48" t="s">
        <v>317</v>
      </c>
      <c r="G30" s="26" t="s">
        <v>318</v>
      </c>
      <c r="H30" s="73" t="s">
        <v>340</v>
      </c>
      <c r="I30" s="49" t="s">
        <v>44</v>
      </c>
      <c r="J30" s="34">
        <v>745587</v>
      </c>
      <c r="K30" s="34">
        <v>534592</v>
      </c>
      <c r="L30" s="34">
        <v>0</v>
      </c>
      <c r="M30" s="34">
        <v>0</v>
      </c>
      <c r="N30" s="34">
        <v>125946</v>
      </c>
      <c r="O30" s="34">
        <v>0</v>
      </c>
      <c r="P30" s="34">
        <v>67918.388999999996</v>
      </c>
      <c r="Q30" s="34">
        <v>0</v>
      </c>
      <c r="R30" s="34">
        <v>0</v>
      </c>
      <c r="S30" s="34">
        <v>71611.188999999998</v>
      </c>
      <c r="T30" s="34">
        <v>3646.9070000000002</v>
      </c>
      <c r="U30" s="34">
        <v>0</v>
      </c>
      <c r="V30" s="34"/>
      <c r="W30" s="34"/>
      <c r="X30" s="34"/>
      <c r="Y30" s="31">
        <f t="shared" si="1"/>
        <v>269122.48499999999</v>
      </c>
      <c r="Z30" s="34">
        <v>209946</v>
      </c>
      <c r="AA30" s="32">
        <v>5</v>
      </c>
      <c r="AB30" s="33">
        <v>44216</v>
      </c>
      <c r="AC30" s="36">
        <v>44225</v>
      </c>
      <c r="AD30" s="34">
        <v>150000</v>
      </c>
      <c r="AE30" s="35">
        <v>38</v>
      </c>
      <c r="AF30" s="33">
        <v>44434</v>
      </c>
      <c r="AG30" s="36">
        <v>44448</v>
      </c>
      <c r="AH30" s="34"/>
      <c r="AI30" s="32"/>
      <c r="AJ30" s="27"/>
      <c r="AK30" s="36"/>
      <c r="AL30" s="34"/>
      <c r="AM30" s="32"/>
      <c r="AN30" s="27"/>
      <c r="AO30" s="36"/>
      <c r="AP30" s="34"/>
      <c r="AQ30" s="32"/>
      <c r="AR30" s="27"/>
      <c r="AS30" s="36"/>
      <c r="AT30" s="34"/>
      <c r="AU30" s="32"/>
      <c r="AV30" s="27"/>
      <c r="AW30" s="36"/>
      <c r="AX30" s="34"/>
      <c r="AY30" s="32"/>
      <c r="AZ30" s="27"/>
      <c r="BA30" s="36"/>
      <c r="BB30" s="34"/>
      <c r="BC30" s="32"/>
      <c r="BD30" s="27"/>
      <c r="BE30" s="36"/>
      <c r="BF30" s="37">
        <f t="shared" si="2"/>
        <v>359946</v>
      </c>
      <c r="BG30" s="38">
        <f t="shared" si="0"/>
        <v>90823.515000000014</v>
      </c>
      <c r="BH30" s="41"/>
      <c r="BI30" s="41"/>
    </row>
    <row r="31" spans="2:61" s="39" customFormat="1" ht="22.5">
      <c r="B31" s="22">
        <f t="shared" si="3"/>
        <v>16</v>
      </c>
      <c r="C31" s="22" t="s">
        <v>39</v>
      </c>
      <c r="D31" s="23">
        <v>30128427</v>
      </c>
      <c r="E31" s="48" t="s">
        <v>341</v>
      </c>
      <c r="F31" s="48" t="s">
        <v>317</v>
      </c>
      <c r="G31" s="26" t="s">
        <v>318</v>
      </c>
      <c r="H31" s="73" t="s">
        <v>342</v>
      </c>
      <c r="I31" s="49" t="s">
        <v>44</v>
      </c>
      <c r="J31" s="34">
        <v>294655</v>
      </c>
      <c r="K31" s="34">
        <v>190038</v>
      </c>
      <c r="L31" s="34">
        <v>0</v>
      </c>
      <c r="M31" s="34">
        <v>0</v>
      </c>
      <c r="N31" s="34">
        <v>0</v>
      </c>
      <c r="O31" s="34">
        <v>0</v>
      </c>
      <c r="P31" s="34">
        <v>2835</v>
      </c>
      <c r="Q31" s="34">
        <v>0</v>
      </c>
      <c r="R31" s="34">
        <v>30548.637999999999</v>
      </c>
      <c r="S31" s="34">
        <v>1238</v>
      </c>
      <c r="T31" s="34">
        <v>53473.784</v>
      </c>
      <c r="U31" s="34">
        <v>0</v>
      </c>
      <c r="V31" s="34"/>
      <c r="W31" s="34"/>
      <c r="X31" s="34"/>
      <c r="Y31" s="31">
        <f t="shared" si="1"/>
        <v>88095.421999999991</v>
      </c>
      <c r="Z31" s="34">
        <v>62457</v>
      </c>
      <c r="AA31" s="32">
        <v>5</v>
      </c>
      <c r="AB31" s="33">
        <v>44216</v>
      </c>
      <c r="AC31" s="36">
        <v>44225</v>
      </c>
      <c r="AD31" s="34">
        <v>2835</v>
      </c>
      <c r="AE31" s="35">
        <v>16</v>
      </c>
      <c r="AF31" s="33">
        <v>44253</v>
      </c>
      <c r="AG31" s="36">
        <v>44274</v>
      </c>
      <c r="AH31" s="34"/>
      <c r="AI31" s="32"/>
      <c r="AJ31" s="33"/>
      <c r="AK31" s="36"/>
      <c r="AL31" s="34"/>
      <c r="AM31" s="32"/>
      <c r="AN31" s="33"/>
      <c r="AO31" s="36"/>
      <c r="AP31" s="34"/>
      <c r="AQ31" s="32"/>
      <c r="AR31" s="33"/>
      <c r="AS31" s="36"/>
      <c r="AT31" s="34"/>
      <c r="AU31" s="32"/>
      <c r="AV31" s="33"/>
      <c r="AW31" s="36"/>
      <c r="AX31" s="34"/>
      <c r="AY31" s="32"/>
      <c r="AZ31" s="33"/>
      <c r="BA31" s="36"/>
      <c r="BB31" s="34"/>
      <c r="BC31" s="32"/>
      <c r="BD31" s="33"/>
      <c r="BE31" s="36"/>
      <c r="BF31" s="37">
        <f t="shared" si="2"/>
        <v>65292</v>
      </c>
      <c r="BG31" s="38">
        <f t="shared" si="0"/>
        <v>-22803.421999999991</v>
      </c>
      <c r="BH31" s="41"/>
      <c r="BI31" s="41"/>
    </row>
    <row r="32" spans="2:61" s="39" customFormat="1" ht="22.5">
      <c r="B32" s="22">
        <f t="shared" si="3"/>
        <v>17</v>
      </c>
      <c r="C32" s="22" t="s">
        <v>39</v>
      </c>
      <c r="D32" s="23">
        <v>30132000</v>
      </c>
      <c r="E32" s="48" t="s">
        <v>343</v>
      </c>
      <c r="F32" s="48" t="s">
        <v>47</v>
      </c>
      <c r="G32" s="26" t="s">
        <v>318</v>
      </c>
      <c r="H32" s="73" t="s">
        <v>324</v>
      </c>
      <c r="I32" s="49" t="s">
        <v>52</v>
      </c>
      <c r="J32" s="34">
        <v>117498</v>
      </c>
      <c r="K32" s="34">
        <v>0</v>
      </c>
      <c r="L32" s="34">
        <v>67383</v>
      </c>
      <c r="M32" s="34">
        <v>0</v>
      </c>
      <c r="N32" s="34">
        <v>4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/>
      <c r="W32" s="34"/>
      <c r="X32" s="34"/>
      <c r="Y32" s="31">
        <f t="shared" si="1"/>
        <v>4</v>
      </c>
      <c r="Z32" s="34">
        <v>4</v>
      </c>
      <c r="AA32" s="32">
        <v>5</v>
      </c>
      <c r="AB32" s="33">
        <v>44216</v>
      </c>
      <c r="AC32" s="36">
        <v>44225</v>
      </c>
      <c r="AD32" s="34">
        <v>0</v>
      </c>
      <c r="AE32" s="35"/>
      <c r="AF32" s="27"/>
      <c r="AG32" s="36"/>
      <c r="AH32" s="34"/>
      <c r="AI32" s="32"/>
      <c r="AJ32" s="27"/>
      <c r="AK32" s="36"/>
      <c r="AL32" s="34"/>
      <c r="AM32" s="32"/>
      <c r="AN32" s="27"/>
      <c r="AO32" s="36"/>
      <c r="AP32" s="34"/>
      <c r="AQ32" s="32"/>
      <c r="AR32" s="27"/>
      <c r="AS32" s="36"/>
      <c r="AT32" s="34"/>
      <c r="AU32" s="32"/>
      <c r="AV32" s="27"/>
      <c r="AW32" s="36"/>
      <c r="AX32" s="34"/>
      <c r="AY32" s="32"/>
      <c r="AZ32" s="27"/>
      <c r="BA32" s="36"/>
      <c r="BB32" s="34"/>
      <c r="BC32" s="32"/>
      <c r="BD32" s="27"/>
      <c r="BE32" s="36"/>
      <c r="BF32" s="37">
        <f t="shared" si="2"/>
        <v>4</v>
      </c>
      <c r="BG32" s="38">
        <f t="shared" si="0"/>
        <v>0</v>
      </c>
      <c r="BH32" s="41"/>
      <c r="BI32" s="41"/>
    </row>
    <row r="33" spans="2:61" s="39" customFormat="1" ht="22.5">
      <c r="B33" s="22">
        <f t="shared" si="3"/>
        <v>18</v>
      </c>
      <c r="C33" s="22" t="s">
        <v>39</v>
      </c>
      <c r="D33" s="23">
        <v>30132090</v>
      </c>
      <c r="E33" s="48" t="s">
        <v>344</v>
      </c>
      <c r="F33" s="48" t="s">
        <v>317</v>
      </c>
      <c r="G33" s="26" t="s">
        <v>318</v>
      </c>
      <c r="H33" s="73" t="s">
        <v>340</v>
      </c>
      <c r="I33" s="49" t="s">
        <v>52</v>
      </c>
      <c r="J33" s="34">
        <v>5006285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/>
      <c r="W33" s="34"/>
      <c r="X33" s="34"/>
      <c r="Y33" s="31">
        <f t="shared" si="1"/>
        <v>0</v>
      </c>
      <c r="Z33" s="34">
        <v>201000</v>
      </c>
      <c r="AA33" s="32">
        <v>28</v>
      </c>
      <c r="AB33" s="27">
        <v>44357</v>
      </c>
      <c r="AC33" s="36">
        <v>44376</v>
      </c>
      <c r="AD33" s="215"/>
      <c r="AE33" s="35"/>
      <c r="AF33" s="27"/>
      <c r="AG33" s="36"/>
      <c r="AH33" s="34"/>
      <c r="AI33" s="32"/>
      <c r="AJ33" s="27"/>
      <c r="AK33" s="36"/>
      <c r="AL33" s="34"/>
      <c r="AM33" s="32"/>
      <c r="AN33" s="27"/>
      <c r="AO33" s="36"/>
      <c r="AP33" s="34"/>
      <c r="AQ33" s="32"/>
      <c r="AR33" s="27"/>
      <c r="AS33" s="36"/>
      <c r="AT33" s="34"/>
      <c r="AU33" s="32"/>
      <c r="AV33" s="27"/>
      <c r="AW33" s="36"/>
      <c r="AX33" s="34"/>
      <c r="AY33" s="32"/>
      <c r="AZ33" s="27"/>
      <c r="BA33" s="36"/>
      <c r="BB33" s="34"/>
      <c r="BC33" s="32"/>
      <c r="BD33" s="27"/>
      <c r="BE33" s="36"/>
      <c r="BF33" s="37">
        <f t="shared" si="2"/>
        <v>201000</v>
      </c>
      <c r="BG33" s="38">
        <f t="shared" si="0"/>
        <v>201000</v>
      </c>
      <c r="BH33" s="41"/>
      <c r="BI33" s="41"/>
    </row>
    <row r="34" spans="2:61" s="39" customFormat="1" ht="22.5">
      <c r="B34" s="22">
        <f t="shared" si="3"/>
        <v>19</v>
      </c>
      <c r="C34" s="22" t="s">
        <v>39</v>
      </c>
      <c r="D34" s="23">
        <v>30132132</v>
      </c>
      <c r="E34" s="48" t="s">
        <v>345</v>
      </c>
      <c r="F34" s="48" t="s">
        <v>317</v>
      </c>
      <c r="G34" s="26" t="s">
        <v>318</v>
      </c>
      <c r="H34" s="73" t="s">
        <v>346</v>
      </c>
      <c r="I34" s="49" t="s">
        <v>44</v>
      </c>
      <c r="J34" s="34">
        <v>1808060</v>
      </c>
      <c r="K34" s="34">
        <v>12461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/>
      <c r="W34" s="34"/>
      <c r="X34" s="34"/>
      <c r="Y34" s="31">
        <f t="shared" si="1"/>
        <v>0</v>
      </c>
      <c r="Z34" s="34">
        <v>500000</v>
      </c>
      <c r="AA34" s="32">
        <v>5</v>
      </c>
      <c r="AB34" s="33">
        <v>44216</v>
      </c>
      <c r="AC34" s="36">
        <v>44225</v>
      </c>
      <c r="AD34" s="34">
        <v>-500000</v>
      </c>
      <c r="AE34" s="35">
        <v>38</v>
      </c>
      <c r="AF34" s="33">
        <v>44434</v>
      </c>
      <c r="AG34" s="36">
        <v>44448</v>
      </c>
      <c r="AH34" s="34"/>
      <c r="AI34" s="32"/>
      <c r="AJ34" s="27"/>
      <c r="AK34" s="36"/>
      <c r="AL34" s="34"/>
      <c r="AM34" s="32"/>
      <c r="AN34" s="27"/>
      <c r="AO34" s="36"/>
      <c r="AP34" s="34"/>
      <c r="AQ34" s="32"/>
      <c r="AR34" s="27"/>
      <c r="AS34" s="36"/>
      <c r="AT34" s="34"/>
      <c r="AU34" s="32"/>
      <c r="AV34" s="27"/>
      <c r="AW34" s="36"/>
      <c r="AX34" s="34"/>
      <c r="AY34" s="32"/>
      <c r="AZ34" s="27"/>
      <c r="BA34" s="36"/>
      <c r="BB34" s="34"/>
      <c r="BC34" s="32"/>
      <c r="BD34" s="27"/>
      <c r="BE34" s="36"/>
      <c r="BF34" s="37">
        <f t="shared" si="2"/>
        <v>0</v>
      </c>
      <c r="BG34" s="38">
        <f t="shared" si="0"/>
        <v>0</v>
      </c>
      <c r="BH34" s="41"/>
      <c r="BI34" s="41"/>
    </row>
    <row r="35" spans="2:61" s="39" customFormat="1" ht="22.5">
      <c r="B35" s="22">
        <f t="shared" si="3"/>
        <v>20</v>
      </c>
      <c r="C35" s="22" t="s">
        <v>39</v>
      </c>
      <c r="D35" s="23">
        <v>30132215</v>
      </c>
      <c r="E35" s="48" t="s">
        <v>347</v>
      </c>
      <c r="F35" s="48" t="s">
        <v>317</v>
      </c>
      <c r="G35" s="26" t="s">
        <v>318</v>
      </c>
      <c r="H35" s="73" t="s">
        <v>319</v>
      </c>
      <c r="I35" s="49" t="s">
        <v>44</v>
      </c>
      <c r="J35" s="34">
        <v>1123225</v>
      </c>
      <c r="K35" s="34">
        <v>567437</v>
      </c>
      <c r="L35" s="34">
        <v>1</v>
      </c>
      <c r="M35" s="34">
        <v>0</v>
      </c>
      <c r="N35" s="34">
        <v>3000</v>
      </c>
      <c r="O35" s="34">
        <v>1500</v>
      </c>
      <c r="P35" s="34">
        <v>750</v>
      </c>
      <c r="Q35" s="34">
        <v>0</v>
      </c>
      <c r="R35" s="34">
        <v>0</v>
      </c>
      <c r="S35" s="34">
        <v>0</v>
      </c>
      <c r="T35" s="34">
        <v>0</v>
      </c>
      <c r="U35" s="34">
        <v>49558.74</v>
      </c>
      <c r="V35" s="34"/>
      <c r="W35" s="34"/>
      <c r="X35" s="34"/>
      <c r="Y35" s="31">
        <f t="shared" si="1"/>
        <v>54808.74</v>
      </c>
      <c r="Z35" s="34">
        <v>509000</v>
      </c>
      <c r="AA35" s="32">
        <v>5</v>
      </c>
      <c r="AB35" s="33">
        <v>44216</v>
      </c>
      <c r="AC35" s="36">
        <v>44225</v>
      </c>
      <c r="AD35" s="34">
        <v>0</v>
      </c>
      <c r="AE35" s="35"/>
      <c r="AF35" s="27"/>
      <c r="AG35" s="36"/>
      <c r="AH35" s="34"/>
      <c r="AI35" s="32"/>
      <c r="AJ35" s="27"/>
      <c r="AK35" s="36"/>
      <c r="AL35" s="34"/>
      <c r="AM35" s="32"/>
      <c r="AN35" s="27"/>
      <c r="AO35" s="36"/>
      <c r="AP35" s="34"/>
      <c r="AQ35" s="32"/>
      <c r="AR35" s="27"/>
      <c r="AS35" s="36"/>
      <c r="AT35" s="34"/>
      <c r="AU35" s="32"/>
      <c r="AV35" s="27"/>
      <c r="AW35" s="36"/>
      <c r="AX35" s="34"/>
      <c r="AY35" s="32"/>
      <c r="AZ35" s="27"/>
      <c r="BA35" s="36"/>
      <c r="BB35" s="34"/>
      <c r="BC35" s="32"/>
      <c r="BD35" s="27"/>
      <c r="BE35" s="36"/>
      <c r="BF35" s="37">
        <f t="shared" si="2"/>
        <v>509000</v>
      </c>
      <c r="BG35" s="38">
        <f t="shared" si="0"/>
        <v>454191.26</v>
      </c>
      <c r="BH35" s="41"/>
      <c r="BI35" s="41"/>
    </row>
    <row r="36" spans="2:61" s="39" customFormat="1">
      <c r="B36" s="22">
        <f t="shared" si="3"/>
        <v>21</v>
      </c>
      <c r="C36" s="22" t="s">
        <v>39</v>
      </c>
      <c r="D36" s="23">
        <v>30262523</v>
      </c>
      <c r="E36" s="48" t="s">
        <v>348</v>
      </c>
      <c r="F36" s="48" t="s">
        <v>317</v>
      </c>
      <c r="G36" s="26" t="s">
        <v>318</v>
      </c>
      <c r="H36" s="73" t="s">
        <v>324</v>
      </c>
      <c r="I36" s="49" t="s">
        <v>52</v>
      </c>
      <c r="J36" s="34">
        <v>2213030</v>
      </c>
      <c r="K36" s="34">
        <v>0</v>
      </c>
      <c r="L36" s="34">
        <v>231654</v>
      </c>
      <c r="M36" s="34">
        <v>0</v>
      </c>
      <c r="N36" s="34">
        <v>74938</v>
      </c>
      <c r="O36" s="34">
        <v>64308</v>
      </c>
      <c r="P36" s="34">
        <v>175116.30100000001</v>
      </c>
      <c r="Q36" s="34">
        <v>117430.64599999999</v>
      </c>
      <c r="R36" s="34">
        <v>98210.012000000002</v>
      </c>
      <c r="S36" s="34">
        <v>174049.579</v>
      </c>
      <c r="T36" s="34">
        <v>179415.932</v>
      </c>
      <c r="U36" s="34">
        <v>111552.43700000001</v>
      </c>
      <c r="V36" s="34"/>
      <c r="W36" s="34"/>
      <c r="X36" s="34"/>
      <c r="Y36" s="31">
        <f t="shared" si="1"/>
        <v>995020.90700000012</v>
      </c>
      <c r="Z36" s="34">
        <v>1299172</v>
      </c>
      <c r="AA36" s="32">
        <v>5</v>
      </c>
      <c r="AB36" s="33">
        <v>44216</v>
      </c>
      <c r="AC36" s="36">
        <v>44225</v>
      </c>
      <c r="AD36" s="34">
        <v>0</v>
      </c>
      <c r="AE36" s="35"/>
      <c r="AF36" s="27"/>
      <c r="AG36" s="36"/>
      <c r="AH36" s="34"/>
      <c r="AI36" s="32"/>
      <c r="AJ36" s="27"/>
      <c r="AK36" s="36"/>
      <c r="AL36" s="34"/>
      <c r="AM36" s="32"/>
      <c r="AN36" s="27"/>
      <c r="AO36" s="36"/>
      <c r="AP36" s="34"/>
      <c r="AQ36" s="32"/>
      <c r="AR36" s="27"/>
      <c r="AS36" s="36"/>
      <c r="AT36" s="34"/>
      <c r="AU36" s="32"/>
      <c r="AV36" s="27"/>
      <c r="AW36" s="36"/>
      <c r="AX36" s="34"/>
      <c r="AY36" s="32"/>
      <c r="AZ36" s="27"/>
      <c r="BA36" s="36"/>
      <c r="BB36" s="34"/>
      <c r="BC36" s="32"/>
      <c r="BD36" s="27"/>
      <c r="BE36" s="36"/>
      <c r="BF36" s="37">
        <f t="shared" si="2"/>
        <v>1299172</v>
      </c>
      <c r="BG36" s="38">
        <f t="shared" si="0"/>
        <v>304151.09299999988</v>
      </c>
      <c r="BH36" s="41"/>
      <c r="BI36" s="41"/>
    </row>
    <row r="37" spans="2:61" s="39" customFormat="1" ht="22.5">
      <c r="B37" s="22">
        <f t="shared" si="3"/>
        <v>22</v>
      </c>
      <c r="C37" s="22" t="s">
        <v>39</v>
      </c>
      <c r="D37" s="23">
        <v>30263723</v>
      </c>
      <c r="E37" s="48" t="s">
        <v>349</v>
      </c>
      <c r="F37" s="48" t="s">
        <v>317</v>
      </c>
      <c r="G37" s="26" t="s">
        <v>318</v>
      </c>
      <c r="H37" s="73" t="s">
        <v>336</v>
      </c>
      <c r="I37" s="49" t="s">
        <v>52</v>
      </c>
      <c r="J37" s="34">
        <v>2494898</v>
      </c>
      <c r="K37" s="34">
        <v>0</v>
      </c>
      <c r="L37" s="34">
        <v>1274889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/>
      <c r="W37" s="34"/>
      <c r="X37" s="34"/>
      <c r="Y37" s="31">
        <f t="shared" si="1"/>
        <v>0</v>
      </c>
      <c r="Z37" s="34">
        <v>304000</v>
      </c>
      <c r="AA37" s="32">
        <v>5</v>
      </c>
      <c r="AB37" s="33">
        <v>44216</v>
      </c>
      <c r="AC37" s="36">
        <v>44225</v>
      </c>
      <c r="AD37" s="34">
        <v>0</v>
      </c>
      <c r="AE37" s="35"/>
      <c r="AF37" s="27"/>
      <c r="AG37" s="36"/>
      <c r="AH37" s="34"/>
      <c r="AI37" s="32"/>
      <c r="AJ37" s="27"/>
      <c r="AK37" s="36"/>
      <c r="AL37" s="34"/>
      <c r="AM37" s="32"/>
      <c r="AN37" s="27"/>
      <c r="AO37" s="36"/>
      <c r="AP37" s="34"/>
      <c r="AQ37" s="32"/>
      <c r="AR37" s="27"/>
      <c r="AS37" s="36"/>
      <c r="AT37" s="34"/>
      <c r="AU37" s="32"/>
      <c r="AV37" s="27"/>
      <c r="AW37" s="36"/>
      <c r="AX37" s="34"/>
      <c r="AY37" s="32"/>
      <c r="AZ37" s="27"/>
      <c r="BA37" s="36"/>
      <c r="BB37" s="34"/>
      <c r="BC37" s="32"/>
      <c r="BD37" s="27"/>
      <c r="BE37" s="36"/>
      <c r="BF37" s="37">
        <f t="shared" si="2"/>
        <v>304000</v>
      </c>
      <c r="BG37" s="38">
        <f t="shared" si="0"/>
        <v>304000</v>
      </c>
      <c r="BH37" s="41"/>
      <c r="BI37" s="41"/>
    </row>
    <row r="38" spans="2:61" s="39" customFormat="1" ht="22.5">
      <c r="B38" s="22">
        <f t="shared" si="3"/>
        <v>23</v>
      </c>
      <c r="C38" s="22" t="s">
        <v>39</v>
      </c>
      <c r="D38" s="23">
        <v>30264172</v>
      </c>
      <c r="E38" s="48" t="s">
        <v>350</v>
      </c>
      <c r="F38" s="48" t="s">
        <v>317</v>
      </c>
      <c r="G38" s="26" t="s">
        <v>318</v>
      </c>
      <c r="H38" s="73" t="s">
        <v>340</v>
      </c>
      <c r="I38" s="49" t="s">
        <v>44</v>
      </c>
      <c r="J38" s="34">
        <v>2920601</v>
      </c>
      <c r="K38" s="34">
        <v>2916603</v>
      </c>
      <c r="L38" s="34">
        <v>0</v>
      </c>
      <c r="M38" s="34">
        <v>0</v>
      </c>
      <c r="N38" s="34">
        <v>0</v>
      </c>
      <c r="O38" s="34">
        <v>0</v>
      </c>
      <c r="P38" s="34">
        <v>3521.3040000000001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/>
      <c r="W38" s="34"/>
      <c r="X38" s="34"/>
      <c r="Y38" s="31">
        <f t="shared" si="1"/>
        <v>3521.3040000000001</v>
      </c>
      <c r="Z38" s="34">
        <v>3522</v>
      </c>
      <c r="AA38" s="32">
        <v>16</v>
      </c>
      <c r="AB38" s="33">
        <v>44253</v>
      </c>
      <c r="AC38" s="36">
        <v>44274</v>
      </c>
      <c r="AD38" s="34">
        <v>0</v>
      </c>
      <c r="AE38" s="35"/>
      <c r="AF38" s="27"/>
      <c r="AG38" s="36"/>
      <c r="AH38" s="34"/>
      <c r="AI38" s="32"/>
      <c r="AJ38" s="27"/>
      <c r="AK38" s="36"/>
      <c r="AL38" s="34"/>
      <c r="AM38" s="32"/>
      <c r="AN38" s="27"/>
      <c r="AO38" s="36"/>
      <c r="AP38" s="34"/>
      <c r="AQ38" s="32"/>
      <c r="AR38" s="27"/>
      <c r="AS38" s="36"/>
      <c r="AT38" s="34"/>
      <c r="AU38" s="32"/>
      <c r="AV38" s="27"/>
      <c r="AW38" s="36"/>
      <c r="AX38" s="34"/>
      <c r="AY38" s="32"/>
      <c r="AZ38" s="27"/>
      <c r="BA38" s="36"/>
      <c r="BB38" s="34"/>
      <c r="BC38" s="32"/>
      <c r="BD38" s="27"/>
      <c r="BE38" s="36"/>
      <c r="BF38" s="37">
        <f t="shared" si="2"/>
        <v>3522</v>
      </c>
      <c r="BG38" s="38">
        <f t="shared" si="0"/>
        <v>0.69599999999991269</v>
      </c>
      <c r="BH38" s="41"/>
      <c r="BI38" s="41"/>
    </row>
    <row r="39" spans="2:61" s="39" customFormat="1" ht="22.5">
      <c r="B39" s="22">
        <f t="shared" si="3"/>
        <v>24</v>
      </c>
      <c r="C39" s="22" t="s">
        <v>39</v>
      </c>
      <c r="D39" s="23">
        <v>30264173</v>
      </c>
      <c r="E39" s="48" t="s">
        <v>351</v>
      </c>
      <c r="F39" s="48" t="s">
        <v>317</v>
      </c>
      <c r="G39" s="26" t="s">
        <v>318</v>
      </c>
      <c r="H39" s="73" t="s">
        <v>340</v>
      </c>
      <c r="I39" s="49" t="s">
        <v>52</v>
      </c>
      <c r="J39" s="34">
        <v>2238043</v>
      </c>
      <c r="K39" s="34">
        <v>0</v>
      </c>
      <c r="L39" s="34">
        <v>660606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/>
      <c r="W39" s="34"/>
      <c r="X39" s="34"/>
      <c r="Y39" s="31">
        <f t="shared" si="1"/>
        <v>0</v>
      </c>
      <c r="Z39" s="34">
        <v>272000</v>
      </c>
      <c r="AA39" s="32">
        <v>5</v>
      </c>
      <c r="AB39" s="33">
        <v>44216</v>
      </c>
      <c r="AC39" s="36">
        <v>44225</v>
      </c>
      <c r="AD39" s="34">
        <v>0</v>
      </c>
      <c r="AE39" s="35"/>
      <c r="AF39" s="27"/>
      <c r="AG39" s="36"/>
      <c r="AH39" s="34"/>
      <c r="AI39" s="32"/>
      <c r="AJ39" s="27"/>
      <c r="AK39" s="36"/>
      <c r="AL39" s="34"/>
      <c r="AM39" s="32"/>
      <c r="AN39" s="27"/>
      <c r="AO39" s="36"/>
      <c r="AP39" s="34"/>
      <c r="AQ39" s="32"/>
      <c r="AR39" s="27"/>
      <c r="AS39" s="36"/>
      <c r="AT39" s="34"/>
      <c r="AU39" s="32"/>
      <c r="AV39" s="27"/>
      <c r="AW39" s="36"/>
      <c r="AX39" s="34"/>
      <c r="AY39" s="32"/>
      <c r="AZ39" s="27"/>
      <c r="BA39" s="36"/>
      <c r="BB39" s="34"/>
      <c r="BC39" s="32"/>
      <c r="BD39" s="27"/>
      <c r="BE39" s="36"/>
      <c r="BF39" s="37">
        <f t="shared" si="2"/>
        <v>272000</v>
      </c>
      <c r="BG39" s="38">
        <f t="shared" si="0"/>
        <v>272000</v>
      </c>
      <c r="BH39" s="41"/>
      <c r="BI39" s="41"/>
    </row>
    <row r="40" spans="2:61" s="39" customFormat="1" ht="22.5">
      <c r="B40" s="22">
        <f t="shared" si="3"/>
        <v>25</v>
      </c>
      <c r="C40" s="22" t="s">
        <v>39</v>
      </c>
      <c r="D40" s="23">
        <v>30264679</v>
      </c>
      <c r="E40" s="48" t="s">
        <v>352</v>
      </c>
      <c r="F40" s="48" t="s">
        <v>317</v>
      </c>
      <c r="G40" s="26" t="s">
        <v>318</v>
      </c>
      <c r="H40" s="73" t="s">
        <v>329</v>
      </c>
      <c r="I40" s="49" t="s">
        <v>44</v>
      </c>
      <c r="J40" s="34">
        <v>407324</v>
      </c>
      <c r="K40" s="34">
        <v>0</v>
      </c>
      <c r="L40" s="34">
        <v>0</v>
      </c>
      <c r="M40" s="34">
        <v>0</v>
      </c>
      <c r="N40" s="34">
        <v>59643</v>
      </c>
      <c r="O40" s="34">
        <v>51619</v>
      </c>
      <c r="P40" s="34">
        <v>64507.519999999997</v>
      </c>
      <c r="Q40" s="34">
        <v>0</v>
      </c>
      <c r="R40" s="34">
        <v>39001.06</v>
      </c>
      <c r="S40" s="34">
        <v>0</v>
      </c>
      <c r="T40" s="34">
        <v>0</v>
      </c>
      <c r="U40" s="34">
        <v>0</v>
      </c>
      <c r="V40" s="34"/>
      <c r="W40" s="34"/>
      <c r="X40" s="34"/>
      <c r="Y40" s="31">
        <f t="shared" si="1"/>
        <v>214770.58</v>
      </c>
      <c r="Z40" s="34">
        <v>214771</v>
      </c>
      <c r="AA40" s="32">
        <v>5</v>
      </c>
      <c r="AB40" s="33">
        <v>44216</v>
      </c>
      <c r="AC40" s="36">
        <v>44225</v>
      </c>
      <c r="AD40" s="34">
        <v>0</v>
      </c>
      <c r="AE40" s="35"/>
      <c r="AF40" s="27"/>
      <c r="AG40" s="36"/>
      <c r="AH40" s="34"/>
      <c r="AI40" s="32"/>
      <c r="AJ40" s="27"/>
      <c r="AK40" s="36"/>
      <c r="AL40" s="34"/>
      <c r="AM40" s="32"/>
      <c r="AN40" s="27"/>
      <c r="AO40" s="36"/>
      <c r="AP40" s="34"/>
      <c r="AQ40" s="32"/>
      <c r="AR40" s="27"/>
      <c r="AS40" s="36"/>
      <c r="AT40" s="34"/>
      <c r="AU40" s="32"/>
      <c r="AV40" s="27"/>
      <c r="AW40" s="36"/>
      <c r="AX40" s="34"/>
      <c r="AY40" s="32"/>
      <c r="AZ40" s="27"/>
      <c r="BA40" s="36"/>
      <c r="BB40" s="34"/>
      <c r="BC40" s="32"/>
      <c r="BD40" s="27"/>
      <c r="BE40" s="36"/>
      <c r="BF40" s="37">
        <f t="shared" si="2"/>
        <v>214771</v>
      </c>
      <c r="BG40" s="38">
        <f t="shared" si="0"/>
        <v>0.42000000001280569</v>
      </c>
      <c r="BH40" s="41"/>
      <c r="BI40" s="41"/>
    </row>
    <row r="41" spans="2:61" s="39" customFormat="1" ht="22.5">
      <c r="B41" s="22">
        <f t="shared" si="3"/>
        <v>26</v>
      </c>
      <c r="C41" s="22" t="s">
        <v>39</v>
      </c>
      <c r="D41" s="23">
        <v>30273179</v>
      </c>
      <c r="E41" s="48" t="s">
        <v>353</v>
      </c>
      <c r="F41" s="48" t="s">
        <v>317</v>
      </c>
      <c r="G41" s="26" t="s">
        <v>318</v>
      </c>
      <c r="H41" s="73" t="s">
        <v>331</v>
      </c>
      <c r="I41" s="49" t="s">
        <v>44</v>
      </c>
      <c r="J41" s="34">
        <v>349797</v>
      </c>
      <c r="K41" s="34">
        <v>281890</v>
      </c>
      <c r="L41" s="34">
        <v>0</v>
      </c>
      <c r="M41" s="34">
        <v>0</v>
      </c>
      <c r="N41" s="34">
        <v>0</v>
      </c>
      <c r="O41" s="34">
        <v>12783</v>
      </c>
      <c r="P41" s="34">
        <v>0</v>
      </c>
      <c r="Q41" s="34">
        <v>14926.527</v>
      </c>
      <c r="R41" s="34">
        <v>0</v>
      </c>
      <c r="S41" s="34">
        <v>3578.7979999999998</v>
      </c>
      <c r="T41" s="34">
        <v>0</v>
      </c>
      <c r="U41" s="34">
        <v>17061.004000000001</v>
      </c>
      <c r="V41" s="34"/>
      <c r="W41" s="34"/>
      <c r="X41" s="34"/>
      <c r="Y41" s="31">
        <f t="shared" si="1"/>
        <v>48349.328999999998</v>
      </c>
      <c r="Z41" s="34">
        <v>55813</v>
      </c>
      <c r="AA41" s="32">
        <v>5</v>
      </c>
      <c r="AB41" s="33">
        <v>44216</v>
      </c>
      <c r="AC41" s="36">
        <v>44225</v>
      </c>
      <c r="AD41" s="34">
        <v>0</v>
      </c>
      <c r="AE41" s="35"/>
      <c r="AF41" s="27"/>
      <c r="AG41" s="36"/>
      <c r="AH41" s="34"/>
      <c r="AI41" s="32"/>
      <c r="AJ41" s="27"/>
      <c r="AK41" s="36"/>
      <c r="AL41" s="34"/>
      <c r="AM41" s="32"/>
      <c r="AN41" s="27"/>
      <c r="AO41" s="36"/>
      <c r="AP41" s="34"/>
      <c r="AQ41" s="32"/>
      <c r="AR41" s="27"/>
      <c r="AS41" s="36"/>
      <c r="AT41" s="34"/>
      <c r="AU41" s="32"/>
      <c r="AV41" s="27"/>
      <c r="AW41" s="36"/>
      <c r="AX41" s="34"/>
      <c r="AY41" s="32"/>
      <c r="AZ41" s="27"/>
      <c r="BA41" s="36"/>
      <c r="BB41" s="34"/>
      <c r="BC41" s="32"/>
      <c r="BD41" s="27"/>
      <c r="BE41" s="36"/>
      <c r="BF41" s="37">
        <f t="shared" si="2"/>
        <v>55813</v>
      </c>
      <c r="BG41" s="38">
        <f t="shared" si="0"/>
        <v>7463.6710000000021</v>
      </c>
      <c r="BH41" s="41"/>
      <c r="BI41" s="41"/>
    </row>
    <row r="42" spans="2:61" s="39" customFormat="1" ht="22.5">
      <c r="B42" s="22">
        <f t="shared" si="3"/>
        <v>27</v>
      </c>
      <c r="C42" s="22" t="s">
        <v>39</v>
      </c>
      <c r="D42" s="23">
        <v>30352974</v>
      </c>
      <c r="E42" s="48" t="s">
        <v>354</v>
      </c>
      <c r="F42" s="48" t="s">
        <v>317</v>
      </c>
      <c r="G42" s="26" t="s">
        <v>318</v>
      </c>
      <c r="H42" s="73" t="s">
        <v>342</v>
      </c>
      <c r="I42" s="49" t="s">
        <v>44</v>
      </c>
      <c r="J42" s="34">
        <v>7371957</v>
      </c>
      <c r="K42" s="34">
        <v>6627529</v>
      </c>
      <c r="L42" s="34">
        <v>4601</v>
      </c>
      <c r="M42" s="34">
        <v>0</v>
      </c>
      <c r="N42" s="34">
        <v>223085</v>
      </c>
      <c r="O42" s="34">
        <v>0</v>
      </c>
      <c r="P42" s="34">
        <v>0</v>
      </c>
      <c r="Q42" s="34">
        <v>0</v>
      </c>
      <c r="R42" s="34">
        <v>65.911000000000001</v>
      </c>
      <c r="S42" s="34">
        <v>8859.9359999999997</v>
      </c>
      <c r="T42" s="34">
        <v>0</v>
      </c>
      <c r="U42" s="34">
        <v>0</v>
      </c>
      <c r="V42" s="34"/>
      <c r="W42" s="34"/>
      <c r="X42" s="34"/>
      <c r="Y42" s="31">
        <f t="shared" si="1"/>
        <v>232010.84699999998</v>
      </c>
      <c r="Z42" s="34">
        <v>250000</v>
      </c>
      <c r="AA42" s="32">
        <v>5</v>
      </c>
      <c r="AB42" s="33">
        <v>44216</v>
      </c>
      <c r="AC42" s="36">
        <v>44225</v>
      </c>
      <c r="AD42" s="34">
        <v>18848</v>
      </c>
      <c r="AE42" s="35">
        <v>31</v>
      </c>
      <c r="AF42" s="33">
        <v>44378</v>
      </c>
      <c r="AG42" s="36">
        <v>44400</v>
      </c>
      <c r="AH42" s="34"/>
      <c r="AI42" s="32"/>
      <c r="AJ42" s="27"/>
      <c r="AK42" s="36"/>
      <c r="AL42" s="34"/>
      <c r="AM42" s="32"/>
      <c r="AN42" s="27"/>
      <c r="AO42" s="36"/>
      <c r="AP42" s="34"/>
      <c r="AQ42" s="32"/>
      <c r="AR42" s="27"/>
      <c r="AS42" s="36"/>
      <c r="AT42" s="34"/>
      <c r="AU42" s="32"/>
      <c r="AV42" s="27"/>
      <c r="AW42" s="36"/>
      <c r="AX42" s="34"/>
      <c r="AY42" s="32"/>
      <c r="AZ42" s="27"/>
      <c r="BA42" s="36"/>
      <c r="BB42" s="34"/>
      <c r="BC42" s="32"/>
      <c r="BD42" s="27"/>
      <c r="BE42" s="36"/>
      <c r="BF42" s="37">
        <f t="shared" si="2"/>
        <v>268848</v>
      </c>
      <c r="BG42" s="38">
        <f t="shared" si="0"/>
        <v>36837.15300000002</v>
      </c>
      <c r="BH42" s="41"/>
      <c r="BI42" s="41"/>
    </row>
    <row r="43" spans="2:61" s="39" customFormat="1" ht="22.5">
      <c r="B43" s="22">
        <f t="shared" si="3"/>
        <v>28</v>
      </c>
      <c r="C43" s="22" t="s">
        <v>39</v>
      </c>
      <c r="D43" s="23">
        <v>30353373</v>
      </c>
      <c r="E43" s="48" t="s">
        <v>355</v>
      </c>
      <c r="F43" s="48" t="s">
        <v>317</v>
      </c>
      <c r="G43" s="26" t="s">
        <v>318</v>
      </c>
      <c r="H43" s="73" t="s">
        <v>342</v>
      </c>
      <c r="I43" s="49" t="s">
        <v>44</v>
      </c>
      <c r="J43" s="34">
        <v>2164711</v>
      </c>
      <c r="K43" s="34">
        <v>1757388</v>
      </c>
      <c r="L43" s="34">
        <v>1643</v>
      </c>
      <c r="M43" s="34">
        <v>0</v>
      </c>
      <c r="N43" s="34">
        <v>0</v>
      </c>
      <c r="O43" s="34">
        <v>0</v>
      </c>
      <c r="P43" s="34">
        <v>0</v>
      </c>
      <c r="Q43" s="34">
        <v>141559.80900000001</v>
      </c>
      <c r="R43" s="34">
        <v>56482.917000000001</v>
      </c>
      <c r="S43" s="34">
        <v>0</v>
      </c>
      <c r="T43" s="34">
        <v>0</v>
      </c>
      <c r="U43" s="34">
        <v>0</v>
      </c>
      <c r="V43" s="34"/>
      <c r="W43" s="34"/>
      <c r="X43" s="34"/>
      <c r="Y43" s="31">
        <f t="shared" si="1"/>
        <v>198042.72600000002</v>
      </c>
      <c r="Z43" s="34">
        <v>330000</v>
      </c>
      <c r="AA43" s="32">
        <v>5</v>
      </c>
      <c r="AB43" s="33">
        <v>44216</v>
      </c>
      <c r="AC43" s="36">
        <v>44225</v>
      </c>
      <c r="AD43" s="34">
        <v>26483</v>
      </c>
      <c r="AE43" s="35">
        <v>31</v>
      </c>
      <c r="AF43" s="33">
        <v>44378</v>
      </c>
      <c r="AG43" s="36">
        <v>44400</v>
      </c>
      <c r="AH43" s="34"/>
      <c r="AI43" s="32"/>
      <c r="AJ43" s="27"/>
      <c r="AK43" s="36"/>
      <c r="AL43" s="34"/>
      <c r="AM43" s="32"/>
      <c r="AN43" s="27"/>
      <c r="AO43" s="36"/>
      <c r="AP43" s="34"/>
      <c r="AQ43" s="32"/>
      <c r="AR43" s="27"/>
      <c r="AS43" s="36"/>
      <c r="AT43" s="34"/>
      <c r="AU43" s="32"/>
      <c r="AV43" s="27"/>
      <c r="AW43" s="36"/>
      <c r="AX43" s="34"/>
      <c r="AY43" s="32"/>
      <c r="AZ43" s="27"/>
      <c r="BA43" s="36"/>
      <c r="BB43" s="34"/>
      <c r="BC43" s="32"/>
      <c r="BD43" s="27"/>
      <c r="BE43" s="36"/>
      <c r="BF43" s="37">
        <f t="shared" si="2"/>
        <v>356483</v>
      </c>
      <c r="BG43" s="38">
        <f t="shared" si="0"/>
        <v>158440.27399999998</v>
      </c>
      <c r="BH43" s="41"/>
      <c r="BI43" s="41"/>
    </row>
    <row r="44" spans="2:61" s="39" customFormat="1" ht="22.5">
      <c r="B44" s="22">
        <f t="shared" si="3"/>
        <v>29</v>
      </c>
      <c r="C44" s="22" t="s">
        <v>39</v>
      </c>
      <c r="D44" s="23">
        <v>30353376</v>
      </c>
      <c r="E44" s="48" t="s">
        <v>356</v>
      </c>
      <c r="F44" s="48" t="s">
        <v>317</v>
      </c>
      <c r="G44" s="26" t="s">
        <v>318</v>
      </c>
      <c r="H44" s="73" t="s">
        <v>342</v>
      </c>
      <c r="I44" s="49" t="s">
        <v>44</v>
      </c>
      <c r="J44" s="34">
        <v>3672975</v>
      </c>
      <c r="K44" s="34">
        <v>3393510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/>
      <c r="W44" s="34"/>
      <c r="X44" s="34"/>
      <c r="Y44" s="31">
        <f t="shared" si="1"/>
        <v>0</v>
      </c>
      <c r="Z44" s="34">
        <v>270000</v>
      </c>
      <c r="AA44" s="32">
        <v>5</v>
      </c>
      <c r="AB44" s="33">
        <v>44216</v>
      </c>
      <c r="AC44" s="36">
        <v>44225</v>
      </c>
      <c r="AD44" s="34">
        <v>-270000</v>
      </c>
      <c r="AE44" s="35">
        <v>38</v>
      </c>
      <c r="AF44" s="33">
        <v>44434</v>
      </c>
      <c r="AG44" s="36">
        <v>44448</v>
      </c>
      <c r="AH44" s="34"/>
      <c r="AI44" s="32"/>
      <c r="AJ44" s="27"/>
      <c r="AK44" s="36"/>
      <c r="AL44" s="34"/>
      <c r="AM44" s="32"/>
      <c r="AN44" s="27"/>
      <c r="AO44" s="36"/>
      <c r="AP44" s="34"/>
      <c r="AQ44" s="32"/>
      <c r="AR44" s="27"/>
      <c r="AS44" s="36"/>
      <c r="AT44" s="34"/>
      <c r="AU44" s="32"/>
      <c r="AV44" s="27"/>
      <c r="AW44" s="36"/>
      <c r="AX44" s="34"/>
      <c r="AY44" s="32"/>
      <c r="AZ44" s="27"/>
      <c r="BA44" s="36"/>
      <c r="BB44" s="34"/>
      <c r="BC44" s="32"/>
      <c r="BD44" s="27"/>
      <c r="BE44" s="36"/>
      <c r="BF44" s="37">
        <f t="shared" si="2"/>
        <v>0</v>
      </c>
      <c r="BG44" s="38">
        <f t="shared" si="0"/>
        <v>0</v>
      </c>
      <c r="BH44" s="41"/>
      <c r="BI44" s="41"/>
    </row>
    <row r="45" spans="2:61" s="39" customFormat="1" ht="22.5">
      <c r="B45" s="22">
        <f t="shared" si="3"/>
        <v>30</v>
      </c>
      <c r="C45" s="22" t="s">
        <v>39</v>
      </c>
      <c r="D45" s="23">
        <v>30353377</v>
      </c>
      <c r="E45" s="48" t="s">
        <v>357</v>
      </c>
      <c r="F45" s="48" t="s">
        <v>317</v>
      </c>
      <c r="G45" s="26" t="s">
        <v>318</v>
      </c>
      <c r="H45" s="73" t="s">
        <v>358</v>
      </c>
      <c r="I45" s="49" t="s">
        <v>44</v>
      </c>
      <c r="J45" s="34">
        <v>3194105</v>
      </c>
      <c r="K45" s="34">
        <v>2507393</v>
      </c>
      <c r="L45" s="34">
        <v>0</v>
      </c>
      <c r="M45" s="34">
        <v>0</v>
      </c>
      <c r="N45" s="34">
        <v>147836</v>
      </c>
      <c r="O45" s="34">
        <v>0</v>
      </c>
      <c r="P45" s="34">
        <v>155627.98800000001</v>
      </c>
      <c r="Q45" s="34">
        <v>70539.626999999993</v>
      </c>
      <c r="R45" s="34">
        <v>0</v>
      </c>
      <c r="S45" s="34">
        <v>0</v>
      </c>
      <c r="T45" s="34">
        <v>0</v>
      </c>
      <c r="U45" s="34">
        <v>0</v>
      </c>
      <c r="V45" s="34"/>
      <c r="W45" s="34"/>
      <c r="X45" s="34"/>
      <c r="Y45" s="31">
        <f t="shared" si="1"/>
        <v>374003.61499999999</v>
      </c>
      <c r="Z45" s="34">
        <v>400000</v>
      </c>
      <c r="AA45" s="32">
        <v>5</v>
      </c>
      <c r="AB45" s="33">
        <v>44216</v>
      </c>
      <c r="AC45" s="36">
        <v>44225</v>
      </c>
      <c r="AD45" s="34">
        <v>0</v>
      </c>
      <c r="AE45" s="35"/>
      <c r="AF45" s="27"/>
      <c r="AG45" s="36"/>
      <c r="AH45" s="34"/>
      <c r="AI45" s="32"/>
      <c r="AJ45" s="27"/>
      <c r="AK45" s="36"/>
      <c r="AL45" s="34"/>
      <c r="AM45" s="32"/>
      <c r="AN45" s="27"/>
      <c r="AO45" s="36"/>
      <c r="AP45" s="34"/>
      <c r="AQ45" s="32"/>
      <c r="AR45" s="27"/>
      <c r="AS45" s="36"/>
      <c r="AT45" s="34"/>
      <c r="AU45" s="32"/>
      <c r="AV45" s="27"/>
      <c r="AW45" s="36"/>
      <c r="AX45" s="34"/>
      <c r="AY45" s="32"/>
      <c r="AZ45" s="27"/>
      <c r="BA45" s="36"/>
      <c r="BB45" s="34"/>
      <c r="BC45" s="32"/>
      <c r="BD45" s="27"/>
      <c r="BE45" s="36"/>
      <c r="BF45" s="37">
        <f t="shared" si="2"/>
        <v>400000</v>
      </c>
      <c r="BG45" s="38">
        <f t="shared" si="0"/>
        <v>25996.385000000009</v>
      </c>
      <c r="BH45" s="41"/>
      <c r="BI45" s="41"/>
    </row>
    <row r="46" spans="2:61" s="39" customFormat="1" ht="22.5">
      <c r="B46" s="22">
        <f t="shared" si="3"/>
        <v>31</v>
      </c>
      <c r="C46" s="22" t="s">
        <v>39</v>
      </c>
      <c r="D46" s="23">
        <v>30353379</v>
      </c>
      <c r="E46" s="48" t="s">
        <v>359</v>
      </c>
      <c r="F46" s="48" t="s">
        <v>317</v>
      </c>
      <c r="G46" s="26" t="s">
        <v>318</v>
      </c>
      <c r="H46" s="73" t="s">
        <v>360</v>
      </c>
      <c r="I46" s="49" t="s">
        <v>44</v>
      </c>
      <c r="J46" s="34">
        <v>9497110</v>
      </c>
      <c r="K46" s="34">
        <v>8471718</v>
      </c>
      <c r="L46" s="34">
        <v>0</v>
      </c>
      <c r="M46" s="34">
        <v>0</v>
      </c>
      <c r="N46" s="34">
        <v>33016</v>
      </c>
      <c r="O46" s="34">
        <v>269564</v>
      </c>
      <c r="P46" s="34">
        <v>240305.139</v>
      </c>
      <c r="Q46" s="34">
        <v>292378.23499999999</v>
      </c>
      <c r="R46" s="34">
        <v>180644.98800000001</v>
      </c>
      <c r="S46" s="34">
        <v>265724.91100000002</v>
      </c>
      <c r="T46" s="34">
        <v>17988.045999999998</v>
      </c>
      <c r="U46" s="34">
        <v>0</v>
      </c>
      <c r="V46" s="34"/>
      <c r="W46" s="34"/>
      <c r="X46" s="34"/>
      <c r="Y46" s="31">
        <f t="shared" si="1"/>
        <v>1299621.3190000001</v>
      </c>
      <c r="Z46" s="34">
        <v>910000</v>
      </c>
      <c r="AA46" s="32">
        <v>5</v>
      </c>
      <c r="AB46" s="33">
        <v>44216</v>
      </c>
      <c r="AC46" s="36">
        <v>44225</v>
      </c>
      <c r="AD46" s="34">
        <v>115038</v>
      </c>
      <c r="AE46" s="35">
        <v>19</v>
      </c>
      <c r="AF46" s="33">
        <v>44305</v>
      </c>
      <c r="AG46" s="36">
        <v>44330</v>
      </c>
      <c r="AH46" s="34">
        <v>500000</v>
      </c>
      <c r="AI46" s="32">
        <v>38</v>
      </c>
      <c r="AJ46" s="33">
        <v>44434</v>
      </c>
      <c r="AK46" s="36">
        <v>44448</v>
      </c>
      <c r="AL46" s="34"/>
      <c r="AM46" s="32"/>
      <c r="AN46" s="27"/>
      <c r="AO46" s="36"/>
      <c r="AP46" s="34"/>
      <c r="AQ46" s="32"/>
      <c r="AR46" s="27"/>
      <c r="AS46" s="36"/>
      <c r="AT46" s="34"/>
      <c r="AU46" s="32"/>
      <c r="AV46" s="27"/>
      <c r="AW46" s="36"/>
      <c r="AX46" s="34"/>
      <c r="AY46" s="32"/>
      <c r="AZ46" s="27"/>
      <c r="BA46" s="36"/>
      <c r="BB46" s="34"/>
      <c r="BC46" s="32"/>
      <c r="BD46" s="27"/>
      <c r="BE46" s="36"/>
      <c r="BF46" s="37">
        <f t="shared" si="2"/>
        <v>1525038</v>
      </c>
      <c r="BG46" s="38">
        <f t="shared" si="0"/>
        <v>225416.68099999987</v>
      </c>
      <c r="BH46" s="41"/>
      <c r="BI46" s="41"/>
    </row>
    <row r="47" spans="2:61" s="39" customFormat="1" ht="22.5">
      <c r="B47" s="22">
        <f t="shared" si="3"/>
        <v>32</v>
      </c>
      <c r="C47" s="22" t="s">
        <v>39</v>
      </c>
      <c r="D47" s="23">
        <v>30353380</v>
      </c>
      <c r="E47" s="48" t="s">
        <v>361</v>
      </c>
      <c r="F47" s="48" t="s">
        <v>317</v>
      </c>
      <c r="G47" s="26" t="s">
        <v>318</v>
      </c>
      <c r="H47" s="73" t="s">
        <v>362</v>
      </c>
      <c r="I47" s="49" t="s">
        <v>44</v>
      </c>
      <c r="J47" s="34">
        <v>11383671</v>
      </c>
      <c r="K47" s="34">
        <v>6119512</v>
      </c>
      <c r="L47" s="34">
        <v>0</v>
      </c>
      <c r="M47" s="34">
        <v>0</v>
      </c>
      <c r="N47" s="34">
        <v>101474</v>
      </c>
      <c r="O47" s="34">
        <v>182423</v>
      </c>
      <c r="P47" s="34">
        <v>106266.307</v>
      </c>
      <c r="Q47" s="34">
        <v>155311.505</v>
      </c>
      <c r="R47" s="34">
        <v>572980.93099999998</v>
      </c>
      <c r="S47" s="34">
        <v>634000.875</v>
      </c>
      <c r="T47" s="34">
        <v>419610.44900000002</v>
      </c>
      <c r="U47" s="34">
        <v>0</v>
      </c>
      <c r="V47" s="34"/>
      <c r="W47" s="34"/>
      <c r="X47" s="34"/>
      <c r="Y47" s="31">
        <f t="shared" si="1"/>
        <v>2172067.0669999998</v>
      </c>
      <c r="Z47" s="34">
        <v>1100000</v>
      </c>
      <c r="AA47" s="32">
        <v>5</v>
      </c>
      <c r="AB47" s="33">
        <v>44216</v>
      </c>
      <c r="AC47" s="36">
        <v>44225</v>
      </c>
      <c r="AD47" s="34">
        <v>1000000</v>
      </c>
      <c r="AE47" s="35">
        <v>38</v>
      </c>
      <c r="AF47" s="33">
        <v>44434</v>
      </c>
      <c r="AG47" s="36">
        <v>44448</v>
      </c>
      <c r="AH47" s="34"/>
      <c r="AI47" s="32"/>
      <c r="AJ47" s="27"/>
      <c r="AK47" s="36"/>
      <c r="AL47" s="34"/>
      <c r="AM47" s="32"/>
      <c r="AN47" s="27"/>
      <c r="AO47" s="36"/>
      <c r="AP47" s="34"/>
      <c r="AQ47" s="32"/>
      <c r="AR47" s="27"/>
      <c r="AS47" s="36"/>
      <c r="AT47" s="34"/>
      <c r="AU47" s="32"/>
      <c r="AV47" s="27"/>
      <c r="AW47" s="36"/>
      <c r="AX47" s="34"/>
      <c r="AY47" s="32"/>
      <c r="AZ47" s="27"/>
      <c r="BA47" s="36"/>
      <c r="BB47" s="34"/>
      <c r="BC47" s="32"/>
      <c r="BD47" s="27"/>
      <c r="BE47" s="36"/>
      <c r="BF47" s="37">
        <f t="shared" si="2"/>
        <v>2100000</v>
      </c>
      <c r="BG47" s="38">
        <f t="shared" si="0"/>
        <v>-72067.066999999806</v>
      </c>
      <c r="BH47" s="41"/>
      <c r="BI47" s="41"/>
    </row>
    <row r="48" spans="2:61" s="39" customFormat="1" ht="22.5">
      <c r="B48" s="22">
        <f t="shared" si="3"/>
        <v>33</v>
      </c>
      <c r="C48" s="22" t="s">
        <v>39</v>
      </c>
      <c r="D48" s="23">
        <v>30356572</v>
      </c>
      <c r="E48" s="48" t="s">
        <v>363</v>
      </c>
      <c r="F48" s="48" t="s">
        <v>317</v>
      </c>
      <c r="G48" s="26" t="s">
        <v>318</v>
      </c>
      <c r="H48" s="73" t="s">
        <v>150</v>
      </c>
      <c r="I48" s="49" t="s">
        <v>52</v>
      </c>
      <c r="J48" s="34">
        <v>9876271</v>
      </c>
      <c r="K48" s="34">
        <v>18658</v>
      </c>
      <c r="L48" s="34">
        <v>8157110</v>
      </c>
      <c r="M48" s="34">
        <v>0</v>
      </c>
      <c r="N48" s="34">
        <v>0</v>
      </c>
      <c r="O48" s="34">
        <v>0</v>
      </c>
      <c r="P48" s="34">
        <v>470788.96600000001</v>
      </c>
      <c r="Q48" s="34">
        <v>60218.451999999997</v>
      </c>
      <c r="R48" s="34">
        <v>116452.10799999999</v>
      </c>
      <c r="S48" s="34">
        <v>133395.959</v>
      </c>
      <c r="T48" s="34">
        <v>4253.0820000000003</v>
      </c>
      <c r="U48" s="34">
        <v>257653.04300000001</v>
      </c>
      <c r="V48" s="34"/>
      <c r="W48" s="34"/>
      <c r="X48" s="34"/>
      <c r="Y48" s="31">
        <f t="shared" si="1"/>
        <v>1042761.6100000001</v>
      </c>
      <c r="Z48" s="34">
        <v>1010000</v>
      </c>
      <c r="AA48" s="32">
        <v>5</v>
      </c>
      <c r="AB48" s="33">
        <v>44216</v>
      </c>
      <c r="AC48" s="36">
        <v>44225</v>
      </c>
      <c r="AD48" s="34">
        <v>10000</v>
      </c>
      <c r="AE48" s="35">
        <v>38</v>
      </c>
      <c r="AF48" s="33">
        <v>44434</v>
      </c>
      <c r="AG48" s="36">
        <v>44448</v>
      </c>
      <c r="AH48" s="34"/>
      <c r="AI48" s="32"/>
      <c r="AJ48" s="27"/>
      <c r="AK48" s="36"/>
      <c r="AL48" s="34"/>
      <c r="AM48" s="32"/>
      <c r="AN48" s="27"/>
      <c r="AO48" s="36"/>
      <c r="AP48" s="34"/>
      <c r="AQ48" s="32"/>
      <c r="AR48" s="27"/>
      <c r="AS48" s="36"/>
      <c r="AT48" s="34"/>
      <c r="AU48" s="32"/>
      <c r="AV48" s="27"/>
      <c r="AW48" s="36"/>
      <c r="AX48" s="34"/>
      <c r="AY48" s="32"/>
      <c r="AZ48" s="27"/>
      <c r="BA48" s="36"/>
      <c r="BB48" s="34"/>
      <c r="BC48" s="32"/>
      <c r="BD48" s="27"/>
      <c r="BE48" s="36"/>
      <c r="BF48" s="37">
        <f t="shared" si="2"/>
        <v>1020000</v>
      </c>
      <c r="BG48" s="38">
        <f t="shared" si="0"/>
        <v>-22761.610000000102</v>
      </c>
      <c r="BH48" s="41"/>
      <c r="BI48" s="41"/>
    </row>
    <row r="49" spans="2:61" s="39" customFormat="1">
      <c r="B49" s="22">
        <f t="shared" si="3"/>
        <v>34</v>
      </c>
      <c r="C49" s="22" t="s">
        <v>39</v>
      </c>
      <c r="D49" s="23">
        <v>30400053</v>
      </c>
      <c r="E49" s="48" t="s">
        <v>364</v>
      </c>
      <c r="F49" s="48" t="s">
        <v>317</v>
      </c>
      <c r="G49" s="26" t="s">
        <v>318</v>
      </c>
      <c r="H49" s="73" t="s">
        <v>321</v>
      </c>
      <c r="I49" s="49" t="s">
        <v>52</v>
      </c>
      <c r="J49" s="34">
        <v>1794968</v>
      </c>
      <c r="K49" s="34">
        <v>0</v>
      </c>
      <c r="L49" s="34">
        <v>327583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58231.796000000002</v>
      </c>
      <c r="V49" s="34"/>
      <c r="W49" s="34"/>
      <c r="X49" s="34"/>
      <c r="Y49" s="31">
        <f t="shared" si="1"/>
        <v>58231.796000000002</v>
      </c>
      <c r="Z49" s="34">
        <v>1000000</v>
      </c>
      <c r="AA49" s="32">
        <v>5</v>
      </c>
      <c r="AB49" s="33">
        <v>44216</v>
      </c>
      <c r="AC49" s="36">
        <v>44225</v>
      </c>
      <c r="AD49" s="34">
        <v>0</v>
      </c>
      <c r="AE49" s="35"/>
      <c r="AF49" s="27"/>
      <c r="AG49" s="36"/>
      <c r="AH49" s="34"/>
      <c r="AI49" s="32"/>
      <c r="AJ49" s="27"/>
      <c r="AK49" s="36"/>
      <c r="AL49" s="34"/>
      <c r="AM49" s="32"/>
      <c r="AN49" s="27"/>
      <c r="AO49" s="36"/>
      <c r="AP49" s="34"/>
      <c r="AQ49" s="32"/>
      <c r="AR49" s="27"/>
      <c r="AS49" s="36"/>
      <c r="AT49" s="34"/>
      <c r="AU49" s="32"/>
      <c r="AV49" s="27"/>
      <c r="AW49" s="36"/>
      <c r="AX49" s="34"/>
      <c r="AY49" s="32"/>
      <c r="AZ49" s="27"/>
      <c r="BA49" s="36"/>
      <c r="BB49" s="34"/>
      <c r="BC49" s="32"/>
      <c r="BD49" s="27"/>
      <c r="BE49" s="36"/>
      <c r="BF49" s="37">
        <f t="shared" si="2"/>
        <v>1000000</v>
      </c>
      <c r="BG49" s="38">
        <f t="shared" si="0"/>
        <v>941768.20400000003</v>
      </c>
      <c r="BH49" s="41"/>
      <c r="BI49" s="41"/>
    </row>
    <row r="50" spans="2:61" s="39" customFormat="1" ht="22.5">
      <c r="B50" s="22">
        <f t="shared" si="3"/>
        <v>35</v>
      </c>
      <c r="C50" s="22" t="s">
        <v>39</v>
      </c>
      <c r="D50" s="23">
        <v>30401272</v>
      </c>
      <c r="E50" s="48" t="s">
        <v>365</v>
      </c>
      <c r="F50" s="48" t="s">
        <v>317</v>
      </c>
      <c r="G50" s="26" t="s">
        <v>318</v>
      </c>
      <c r="H50" s="73" t="s">
        <v>319</v>
      </c>
      <c r="I50" s="49" t="s">
        <v>44</v>
      </c>
      <c r="J50" s="34">
        <v>63184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58466.334000000003</v>
      </c>
      <c r="S50" s="34">
        <v>0</v>
      </c>
      <c r="T50" s="34">
        <v>0</v>
      </c>
      <c r="U50" s="34">
        <v>0</v>
      </c>
      <c r="V50" s="34"/>
      <c r="W50" s="34"/>
      <c r="X50" s="34"/>
      <c r="Y50" s="31">
        <f t="shared" si="1"/>
        <v>58466.334000000003</v>
      </c>
      <c r="Z50" s="34">
        <v>63184</v>
      </c>
      <c r="AA50" s="32">
        <v>5</v>
      </c>
      <c r="AB50" s="33">
        <v>44216</v>
      </c>
      <c r="AC50" s="36">
        <v>44225</v>
      </c>
      <c r="AD50" s="34">
        <v>0</v>
      </c>
      <c r="AE50" s="35"/>
      <c r="AF50" s="27"/>
      <c r="AG50" s="36"/>
      <c r="AH50" s="34"/>
      <c r="AI50" s="32"/>
      <c r="AJ50" s="27"/>
      <c r="AK50" s="36"/>
      <c r="AL50" s="34"/>
      <c r="AM50" s="32"/>
      <c r="AN50" s="27"/>
      <c r="AO50" s="36"/>
      <c r="AP50" s="34"/>
      <c r="AQ50" s="32"/>
      <c r="AR50" s="27"/>
      <c r="AS50" s="36"/>
      <c r="AT50" s="34"/>
      <c r="AU50" s="32"/>
      <c r="AV50" s="27"/>
      <c r="AW50" s="36"/>
      <c r="AX50" s="34"/>
      <c r="AY50" s="32"/>
      <c r="AZ50" s="27"/>
      <c r="BA50" s="36"/>
      <c r="BB50" s="34"/>
      <c r="BC50" s="32"/>
      <c r="BD50" s="27"/>
      <c r="BE50" s="36"/>
      <c r="BF50" s="37">
        <f t="shared" si="2"/>
        <v>63184</v>
      </c>
      <c r="BG50" s="38">
        <f t="shared" si="0"/>
        <v>4717.6659999999974</v>
      </c>
      <c r="BH50" s="41"/>
      <c r="BI50" s="41"/>
    </row>
    <row r="51" spans="2:61" s="39" customFormat="1" ht="22.5">
      <c r="B51" s="22">
        <f t="shared" si="3"/>
        <v>36</v>
      </c>
      <c r="C51" s="22" t="s">
        <v>39</v>
      </c>
      <c r="D51" s="23">
        <v>30439572</v>
      </c>
      <c r="E51" s="48" t="s">
        <v>366</v>
      </c>
      <c r="F51" s="48" t="s">
        <v>317</v>
      </c>
      <c r="G51" s="26" t="s">
        <v>318</v>
      </c>
      <c r="H51" s="73" t="s">
        <v>319</v>
      </c>
      <c r="I51" s="49" t="s">
        <v>44</v>
      </c>
      <c r="J51" s="34">
        <v>2190082</v>
      </c>
      <c r="K51" s="34">
        <v>1847847</v>
      </c>
      <c r="L51" s="34">
        <v>0</v>
      </c>
      <c r="M51" s="34">
        <v>0</v>
      </c>
      <c r="N51" s="34">
        <v>78651</v>
      </c>
      <c r="O51" s="34">
        <v>175616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/>
      <c r="W51" s="34"/>
      <c r="X51" s="34"/>
      <c r="Y51" s="31">
        <f t="shared" si="1"/>
        <v>254267</v>
      </c>
      <c r="Z51" s="34">
        <v>310000</v>
      </c>
      <c r="AA51" s="32">
        <v>5</v>
      </c>
      <c r="AB51" s="33">
        <v>44216</v>
      </c>
      <c r="AC51" s="36">
        <v>44225</v>
      </c>
      <c r="AD51" s="34">
        <v>0</v>
      </c>
      <c r="AE51" s="35"/>
      <c r="AF51" s="27"/>
      <c r="AG51" s="36"/>
      <c r="AH51" s="34"/>
      <c r="AI51" s="32"/>
      <c r="AJ51" s="27"/>
      <c r="AK51" s="36"/>
      <c r="AL51" s="34"/>
      <c r="AM51" s="32"/>
      <c r="AN51" s="27"/>
      <c r="AO51" s="36"/>
      <c r="AP51" s="34"/>
      <c r="AQ51" s="32"/>
      <c r="AR51" s="27"/>
      <c r="AS51" s="36"/>
      <c r="AT51" s="34"/>
      <c r="AU51" s="32"/>
      <c r="AV51" s="27"/>
      <c r="AW51" s="36"/>
      <c r="AX51" s="34"/>
      <c r="AY51" s="32"/>
      <c r="AZ51" s="27"/>
      <c r="BA51" s="36"/>
      <c r="BB51" s="34"/>
      <c r="BC51" s="32"/>
      <c r="BD51" s="27"/>
      <c r="BE51" s="36"/>
      <c r="BF51" s="37">
        <f t="shared" si="2"/>
        <v>310000</v>
      </c>
      <c r="BG51" s="38">
        <f t="shared" si="0"/>
        <v>55733</v>
      </c>
      <c r="BH51" s="41"/>
      <c r="BI51" s="41"/>
    </row>
    <row r="52" spans="2:61" s="39" customFormat="1">
      <c r="B52" s="22">
        <f t="shared" si="3"/>
        <v>37</v>
      </c>
      <c r="C52" s="22" t="s">
        <v>39</v>
      </c>
      <c r="D52" s="23">
        <v>30440745</v>
      </c>
      <c r="E52" s="48" t="s">
        <v>367</v>
      </c>
      <c r="F52" s="48" t="s">
        <v>317</v>
      </c>
      <c r="G52" s="26" t="s">
        <v>318</v>
      </c>
      <c r="H52" s="73" t="s">
        <v>324</v>
      </c>
      <c r="I52" s="49" t="s">
        <v>44</v>
      </c>
      <c r="J52" s="34">
        <v>2678433</v>
      </c>
      <c r="K52" s="34">
        <v>0</v>
      </c>
      <c r="L52" s="34">
        <v>2132805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48316.714999999997</v>
      </c>
      <c r="S52" s="34">
        <v>0</v>
      </c>
      <c r="T52" s="34">
        <v>0</v>
      </c>
      <c r="U52" s="34">
        <v>153183.82</v>
      </c>
      <c r="V52" s="34"/>
      <c r="W52" s="34"/>
      <c r="X52" s="34"/>
      <c r="Y52" s="31">
        <f t="shared" si="1"/>
        <v>201500.535</v>
      </c>
      <c r="Z52" s="34">
        <v>507000</v>
      </c>
      <c r="AA52" s="32">
        <v>5</v>
      </c>
      <c r="AB52" s="33">
        <v>44216</v>
      </c>
      <c r="AC52" s="36">
        <v>44225</v>
      </c>
      <c r="AD52" s="34">
        <v>0</v>
      </c>
      <c r="AE52" s="35"/>
      <c r="AF52" s="27"/>
      <c r="AG52" s="36"/>
      <c r="AH52" s="34"/>
      <c r="AI52" s="32"/>
      <c r="AJ52" s="27"/>
      <c r="AK52" s="36"/>
      <c r="AL52" s="34"/>
      <c r="AM52" s="32"/>
      <c r="AN52" s="27"/>
      <c r="AO52" s="36"/>
      <c r="AP52" s="34"/>
      <c r="AQ52" s="32"/>
      <c r="AR52" s="27"/>
      <c r="AS52" s="36"/>
      <c r="AT52" s="34"/>
      <c r="AU52" s="32"/>
      <c r="AV52" s="27"/>
      <c r="AW52" s="36"/>
      <c r="AX52" s="34"/>
      <c r="AY52" s="32"/>
      <c r="AZ52" s="27"/>
      <c r="BA52" s="36"/>
      <c r="BB52" s="34"/>
      <c r="BC52" s="32"/>
      <c r="BD52" s="27"/>
      <c r="BE52" s="36"/>
      <c r="BF52" s="37">
        <f t="shared" si="2"/>
        <v>507000</v>
      </c>
      <c r="BG52" s="38">
        <f t="shared" si="0"/>
        <v>305499.46499999997</v>
      </c>
      <c r="BH52" s="41"/>
      <c r="BI52" s="41"/>
    </row>
    <row r="53" spans="2:61" s="39" customFormat="1" ht="22.5">
      <c r="B53" s="22">
        <f t="shared" si="3"/>
        <v>38</v>
      </c>
      <c r="C53" s="22" t="s">
        <v>39</v>
      </c>
      <c r="D53" s="23">
        <v>30462772</v>
      </c>
      <c r="E53" s="48" t="s">
        <v>368</v>
      </c>
      <c r="F53" s="48" t="s">
        <v>317</v>
      </c>
      <c r="G53" s="26" t="s">
        <v>318</v>
      </c>
      <c r="H53" s="73" t="s">
        <v>346</v>
      </c>
      <c r="I53" s="49" t="s">
        <v>52</v>
      </c>
      <c r="J53" s="34">
        <v>249432</v>
      </c>
      <c r="K53" s="34">
        <v>0</v>
      </c>
      <c r="L53" s="34">
        <v>65383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/>
      <c r="W53" s="34"/>
      <c r="X53" s="34"/>
      <c r="Y53" s="31">
        <f t="shared" si="1"/>
        <v>0</v>
      </c>
      <c r="Z53" s="34">
        <v>180000</v>
      </c>
      <c r="AA53" s="32">
        <v>5</v>
      </c>
      <c r="AB53" s="33">
        <v>44216</v>
      </c>
      <c r="AC53" s="36">
        <v>44225</v>
      </c>
      <c r="AD53" s="34">
        <v>0</v>
      </c>
      <c r="AE53" s="35"/>
      <c r="AF53" s="27"/>
      <c r="AG53" s="36"/>
      <c r="AH53" s="34"/>
      <c r="AI53" s="32"/>
      <c r="AJ53" s="27"/>
      <c r="AK53" s="36"/>
      <c r="AL53" s="34"/>
      <c r="AM53" s="32"/>
      <c r="AN53" s="27"/>
      <c r="AO53" s="36"/>
      <c r="AP53" s="34"/>
      <c r="AQ53" s="32"/>
      <c r="AR53" s="27"/>
      <c r="AS53" s="36"/>
      <c r="AT53" s="34"/>
      <c r="AU53" s="32"/>
      <c r="AV53" s="27"/>
      <c r="AW53" s="36"/>
      <c r="AX53" s="34"/>
      <c r="AY53" s="32"/>
      <c r="AZ53" s="27"/>
      <c r="BA53" s="36"/>
      <c r="BB53" s="34"/>
      <c r="BC53" s="32"/>
      <c r="BD53" s="27"/>
      <c r="BE53" s="36"/>
      <c r="BF53" s="37">
        <f t="shared" si="2"/>
        <v>180000</v>
      </c>
      <c r="BG53" s="38">
        <f t="shared" si="0"/>
        <v>180000</v>
      </c>
      <c r="BH53" s="41"/>
      <c r="BI53" s="41"/>
    </row>
    <row r="54" spans="2:61" s="39" customFormat="1" ht="22.5">
      <c r="B54" s="22">
        <f t="shared" si="3"/>
        <v>39</v>
      </c>
      <c r="C54" s="22" t="s">
        <v>39</v>
      </c>
      <c r="D54" s="23">
        <v>30462773</v>
      </c>
      <c r="E54" s="48" t="s">
        <v>369</v>
      </c>
      <c r="F54" s="48" t="s">
        <v>317</v>
      </c>
      <c r="G54" s="26" t="s">
        <v>318</v>
      </c>
      <c r="H54" s="73" t="s">
        <v>346</v>
      </c>
      <c r="I54" s="49" t="s">
        <v>52</v>
      </c>
      <c r="J54" s="34">
        <v>257152</v>
      </c>
      <c r="K54" s="34">
        <v>0</v>
      </c>
      <c r="L54" s="34">
        <v>65445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/>
      <c r="W54" s="34"/>
      <c r="X54" s="34"/>
      <c r="Y54" s="31">
        <f t="shared" si="1"/>
        <v>0</v>
      </c>
      <c r="Z54" s="34">
        <v>190000</v>
      </c>
      <c r="AA54" s="32">
        <v>5</v>
      </c>
      <c r="AB54" s="33">
        <v>44216</v>
      </c>
      <c r="AC54" s="36">
        <v>44225</v>
      </c>
      <c r="AD54" s="34">
        <v>0</v>
      </c>
      <c r="AE54" s="35"/>
      <c r="AF54" s="27"/>
      <c r="AG54" s="36"/>
      <c r="AH54" s="34"/>
      <c r="AI54" s="32"/>
      <c r="AJ54" s="27"/>
      <c r="AK54" s="36"/>
      <c r="AL54" s="34"/>
      <c r="AM54" s="32"/>
      <c r="AN54" s="27"/>
      <c r="AO54" s="36"/>
      <c r="AP54" s="34"/>
      <c r="AQ54" s="32"/>
      <c r="AR54" s="27"/>
      <c r="AS54" s="36"/>
      <c r="AT54" s="34"/>
      <c r="AU54" s="32"/>
      <c r="AV54" s="27"/>
      <c r="AW54" s="36"/>
      <c r="AX54" s="34"/>
      <c r="AY54" s="32"/>
      <c r="AZ54" s="27"/>
      <c r="BA54" s="36"/>
      <c r="BB54" s="34"/>
      <c r="BC54" s="32"/>
      <c r="BD54" s="27"/>
      <c r="BE54" s="36"/>
      <c r="BF54" s="37">
        <f t="shared" si="2"/>
        <v>190000</v>
      </c>
      <c r="BG54" s="38">
        <f t="shared" si="0"/>
        <v>190000</v>
      </c>
      <c r="BH54" s="41"/>
      <c r="BI54" s="41"/>
    </row>
    <row r="55" spans="2:61" s="39" customFormat="1">
      <c r="B55" s="22">
        <f t="shared" si="3"/>
        <v>40</v>
      </c>
      <c r="C55" s="22" t="s">
        <v>39</v>
      </c>
      <c r="D55" s="23">
        <v>30462874</v>
      </c>
      <c r="E55" s="48" t="s">
        <v>370</v>
      </c>
      <c r="F55" s="48" t="s">
        <v>317</v>
      </c>
      <c r="G55" s="26" t="s">
        <v>318</v>
      </c>
      <c r="H55" s="73" t="s">
        <v>329</v>
      </c>
      <c r="I55" s="49" t="s">
        <v>44</v>
      </c>
      <c r="J55" s="34">
        <v>446906</v>
      </c>
      <c r="K55" s="34">
        <v>108106</v>
      </c>
      <c r="L55" s="34">
        <v>0</v>
      </c>
      <c r="M55" s="34">
        <v>0</v>
      </c>
      <c r="N55" s="34">
        <v>105437</v>
      </c>
      <c r="O55" s="34">
        <v>107963</v>
      </c>
      <c r="P55" s="34">
        <v>40690.002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34"/>
      <c r="W55" s="34"/>
      <c r="X55" s="34"/>
      <c r="Y55" s="31">
        <f t="shared" si="1"/>
        <v>254090.00200000001</v>
      </c>
      <c r="Z55" s="34">
        <v>257200</v>
      </c>
      <c r="AA55" s="32">
        <v>5</v>
      </c>
      <c r="AB55" s="33">
        <v>44216</v>
      </c>
      <c r="AC55" s="36">
        <v>44225</v>
      </c>
      <c r="AD55" s="34">
        <v>0</v>
      </c>
      <c r="AE55" s="35"/>
      <c r="AF55" s="27"/>
      <c r="AG55" s="36"/>
      <c r="AH55" s="34"/>
      <c r="AI55" s="32"/>
      <c r="AJ55" s="27"/>
      <c r="AK55" s="36"/>
      <c r="AL55" s="34"/>
      <c r="AM55" s="32"/>
      <c r="AN55" s="27"/>
      <c r="AO55" s="36"/>
      <c r="AP55" s="34"/>
      <c r="AQ55" s="32"/>
      <c r="AR55" s="27"/>
      <c r="AS55" s="36"/>
      <c r="AT55" s="34"/>
      <c r="AU55" s="32"/>
      <c r="AV55" s="27"/>
      <c r="AW55" s="36"/>
      <c r="AX55" s="34"/>
      <c r="AY55" s="32"/>
      <c r="AZ55" s="27"/>
      <c r="BA55" s="36"/>
      <c r="BB55" s="34"/>
      <c r="BC55" s="32"/>
      <c r="BD55" s="27"/>
      <c r="BE55" s="36"/>
      <c r="BF55" s="37">
        <f t="shared" si="2"/>
        <v>257200</v>
      </c>
      <c r="BG55" s="38">
        <f t="shared" si="0"/>
        <v>3109.9979999999923</v>
      </c>
      <c r="BH55" s="41"/>
      <c r="BI55" s="41"/>
    </row>
    <row r="56" spans="2:61" s="39" customFormat="1" ht="22.5">
      <c r="B56" s="22">
        <f t="shared" si="3"/>
        <v>41</v>
      </c>
      <c r="C56" s="22" t="s">
        <v>39</v>
      </c>
      <c r="D56" s="23">
        <v>30463876</v>
      </c>
      <c r="E56" s="48" t="s">
        <v>371</v>
      </c>
      <c r="F56" s="48" t="s">
        <v>317</v>
      </c>
      <c r="G56" s="26" t="s">
        <v>318</v>
      </c>
      <c r="H56" s="73" t="s">
        <v>321</v>
      </c>
      <c r="I56" s="49" t="s">
        <v>44</v>
      </c>
      <c r="J56" s="34">
        <v>174915</v>
      </c>
      <c r="K56" s="34">
        <v>156626</v>
      </c>
      <c r="L56" s="34">
        <v>0</v>
      </c>
      <c r="M56" s="34">
        <v>0</v>
      </c>
      <c r="N56" s="34">
        <v>32</v>
      </c>
      <c r="O56" s="34">
        <v>1179</v>
      </c>
      <c r="P56" s="34">
        <v>5414.1729999999998</v>
      </c>
      <c r="Q56" s="34">
        <v>3500</v>
      </c>
      <c r="R56" s="34">
        <v>0</v>
      </c>
      <c r="S56" s="34">
        <v>0</v>
      </c>
      <c r="T56" s="34">
        <v>0</v>
      </c>
      <c r="U56" s="34">
        <v>0</v>
      </c>
      <c r="V56" s="34"/>
      <c r="W56" s="34"/>
      <c r="X56" s="34"/>
      <c r="Y56" s="31">
        <f t="shared" si="1"/>
        <v>10125.172999999999</v>
      </c>
      <c r="Z56" s="34">
        <v>18000</v>
      </c>
      <c r="AA56" s="32">
        <v>5</v>
      </c>
      <c r="AB56" s="33">
        <v>44216</v>
      </c>
      <c r="AC56" s="36">
        <v>44225</v>
      </c>
      <c r="AD56" s="34">
        <v>3500</v>
      </c>
      <c r="AE56" s="35">
        <v>19</v>
      </c>
      <c r="AF56" s="33">
        <v>44305</v>
      </c>
      <c r="AG56" s="36">
        <v>44330</v>
      </c>
      <c r="AH56" s="34"/>
      <c r="AI56" s="32"/>
      <c r="AJ56" s="27"/>
      <c r="AK56" s="36"/>
      <c r="AL56" s="34"/>
      <c r="AM56" s="32"/>
      <c r="AN56" s="27"/>
      <c r="AO56" s="36"/>
      <c r="AP56" s="34"/>
      <c r="AQ56" s="32"/>
      <c r="AR56" s="27"/>
      <c r="AS56" s="36"/>
      <c r="AT56" s="34"/>
      <c r="AU56" s="32"/>
      <c r="AV56" s="27"/>
      <c r="AW56" s="36"/>
      <c r="AX56" s="34"/>
      <c r="AY56" s="32"/>
      <c r="AZ56" s="27"/>
      <c r="BA56" s="36"/>
      <c r="BB56" s="34"/>
      <c r="BC56" s="32"/>
      <c r="BD56" s="27"/>
      <c r="BE56" s="36"/>
      <c r="BF56" s="37">
        <f t="shared" si="2"/>
        <v>21500</v>
      </c>
      <c r="BG56" s="38">
        <f t="shared" si="0"/>
        <v>11374.827000000001</v>
      </c>
      <c r="BH56" s="41"/>
      <c r="BI56" s="41"/>
    </row>
    <row r="57" spans="2:61" s="39" customFormat="1" ht="22.5">
      <c r="B57" s="22">
        <f t="shared" si="3"/>
        <v>42</v>
      </c>
      <c r="C57" s="22" t="s">
        <v>39</v>
      </c>
      <c r="D57" s="23">
        <v>30484007</v>
      </c>
      <c r="E57" s="48" t="s">
        <v>372</v>
      </c>
      <c r="F57" s="48" t="s">
        <v>317</v>
      </c>
      <c r="G57" s="26" t="s">
        <v>318</v>
      </c>
      <c r="H57" s="73" t="s">
        <v>319</v>
      </c>
      <c r="I57" s="49" t="s">
        <v>52</v>
      </c>
      <c r="J57" s="34" t="s">
        <v>373</v>
      </c>
      <c r="K57" s="34">
        <v>0</v>
      </c>
      <c r="L57" s="34">
        <v>324424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/>
      <c r="W57" s="34"/>
      <c r="X57" s="34"/>
      <c r="Y57" s="31">
        <f t="shared" si="1"/>
        <v>0</v>
      </c>
      <c r="Z57" s="34">
        <v>10829</v>
      </c>
      <c r="AA57" s="32">
        <v>16</v>
      </c>
      <c r="AB57" s="33">
        <v>44253</v>
      </c>
      <c r="AC57" s="36">
        <v>44274</v>
      </c>
      <c r="AD57" s="34">
        <v>0</v>
      </c>
      <c r="AE57" s="35"/>
      <c r="AF57" s="27"/>
      <c r="AG57" s="36"/>
      <c r="AH57" s="34"/>
      <c r="AI57" s="32"/>
      <c r="AJ57" s="27"/>
      <c r="AK57" s="36"/>
      <c r="AL57" s="34"/>
      <c r="AM57" s="32"/>
      <c r="AN57" s="27"/>
      <c r="AO57" s="36"/>
      <c r="AP57" s="34"/>
      <c r="AQ57" s="32"/>
      <c r="AR57" s="27"/>
      <c r="AS57" s="36"/>
      <c r="AT57" s="34"/>
      <c r="AU57" s="32"/>
      <c r="AV57" s="27"/>
      <c r="AW57" s="36"/>
      <c r="AX57" s="34"/>
      <c r="AY57" s="32"/>
      <c r="AZ57" s="27"/>
      <c r="BA57" s="36"/>
      <c r="BB57" s="34"/>
      <c r="BC57" s="32"/>
      <c r="BD57" s="27"/>
      <c r="BE57" s="36"/>
      <c r="BF57" s="37">
        <f t="shared" si="2"/>
        <v>10829</v>
      </c>
      <c r="BG57" s="38">
        <f t="shared" si="0"/>
        <v>10829</v>
      </c>
      <c r="BH57" s="41"/>
      <c r="BI57" s="41"/>
    </row>
    <row r="58" spans="2:61" s="39" customFormat="1">
      <c r="B58" s="22">
        <f t="shared" si="3"/>
        <v>43</v>
      </c>
      <c r="C58" s="22" t="s">
        <v>39</v>
      </c>
      <c r="D58" s="23">
        <v>30484287</v>
      </c>
      <c r="E58" s="48" t="s">
        <v>374</v>
      </c>
      <c r="F58" s="48" t="s">
        <v>317</v>
      </c>
      <c r="G58" s="26" t="s">
        <v>318</v>
      </c>
      <c r="H58" s="73" t="s">
        <v>329</v>
      </c>
      <c r="I58" s="49" t="s">
        <v>44</v>
      </c>
      <c r="J58" s="34">
        <v>2090327</v>
      </c>
      <c r="K58" s="34">
        <v>1811988</v>
      </c>
      <c r="L58" s="34">
        <v>0</v>
      </c>
      <c r="M58" s="34">
        <v>0</v>
      </c>
      <c r="N58" s="34">
        <v>6293</v>
      </c>
      <c r="O58" s="34">
        <v>35329</v>
      </c>
      <c r="P58" s="34">
        <v>9812.59</v>
      </c>
      <c r="Q58" s="34">
        <v>505.75</v>
      </c>
      <c r="R58" s="34">
        <v>84.152000000000001</v>
      </c>
      <c r="S58" s="34">
        <v>20944.59</v>
      </c>
      <c r="T58" s="34">
        <v>302.23599999999999</v>
      </c>
      <c r="U58" s="34">
        <v>1526.1389999999999</v>
      </c>
      <c r="V58" s="34"/>
      <c r="W58" s="34"/>
      <c r="X58" s="34"/>
      <c r="Y58" s="31">
        <f t="shared" si="1"/>
        <v>74797.456999999995</v>
      </c>
      <c r="Z58" s="34">
        <v>127740</v>
      </c>
      <c r="AA58" s="32">
        <v>5</v>
      </c>
      <c r="AB58" s="33">
        <v>44216</v>
      </c>
      <c r="AC58" s="36">
        <v>44225</v>
      </c>
      <c r="AD58" s="34">
        <v>0</v>
      </c>
      <c r="AE58" s="35"/>
      <c r="AF58" s="27"/>
      <c r="AG58" s="36"/>
      <c r="AH58" s="34"/>
      <c r="AI58" s="32"/>
      <c r="AJ58" s="27"/>
      <c r="AK58" s="36"/>
      <c r="AL58" s="34"/>
      <c r="AM58" s="32"/>
      <c r="AN58" s="27"/>
      <c r="AO58" s="36"/>
      <c r="AP58" s="34"/>
      <c r="AQ58" s="32"/>
      <c r="AR58" s="27"/>
      <c r="AS58" s="36"/>
      <c r="AT58" s="34"/>
      <c r="AU58" s="32"/>
      <c r="AV58" s="27"/>
      <c r="AW58" s="36"/>
      <c r="AX58" s="34"/>
      <c r="AY58" s="32"/>
      <c r="AZ58" s="27"/>
      <c r="BA58" s="36"/>
      <c r="BB58" s="34"/>
      <c r="BC58" s="32"/>
      <c r="BD58" s="27"/>
      <c r="BE58" s="36"/>
      <c r="BF58" s="37">
        <f t="shared" si="2"/>
        <v>127740</v>
      </c>
      <c r="BG58" s="38">
        <f t="shared" si="0"/>
        <v>52942.543000000005</v>
      </c>
      <c r="BH58" s="41"/>
      <c r="BI58" s="41"/>
    </row>
    <row r="59" spans="2:61" s="39" customFormat="1" ht="22.5">
      <c r="B59" s="22">
        <f t="shared" si="3"/>
        <v>44</v>
      </c>
      <c r="C59" s="22" t="s">
        <v>39</v>
      </c>
      <c r="D59" s="23">
        <v>40000564</v>
      </c>
      <c r="E59" s="48" t="s">
        <v>375</v>
      </c>
      <c r="F59" s="48" t="s">
        <v>317</v>
      </c>
      <c r="G59" s="26" t="s">
        <v>318</v>
      </c>
      <c r="H59" s="73" t="s">
        <v>324</v>
      </c>
      <c r="I59" s="49" t="s">
        <v>44</v>
      </c>
      <c r="J59" s="34">
        <v>1905262</v>
      </c>
      <c r="K59" s="34">
        <v>527138</v>
      </c>
      <c r="L59" s="34">
        <v>0</v>
      </c>
      <c r="M59" s="34">
        <v>0</v>
      </c>
      <c r="N59" s="34">
        <v>0</v>
      </c>
      <c r="O59" s="34">
        <v>117337</v>
      </c>
      <c r="P59" s="34">
        <v>0</v>
      </c>
      <c r="Q59" s="34">
        <v>4600</v>
      </c>
      <c r="R59" s="34">
        <v>164387.82999999999</v>
      </c>
      <c r="S59" s="34">
        <v>0</v>
      </c>
      <c r="T59" s="34">
        <v>0</v>
      </c>
      <c r="U59" s="34">
        <v>0</v>
      </c>
      <c r="V59" s="34"/>
      <c r="W59" s="34"/>
      <c r="X59" s="34"/>
      <c r="Y59" s="31">
        <f t="shared" si="1"/>
        <v>286324.82999999996</v>
      </c>
      <c r="Z59" s="34">
        <v>147000</v>
      </c>
      <c r="AA59" s="32">
        <v>5</v>
      </c>
      <c r="AB59" s="33">
        <v>44216</v>
      </c>
      <c r="AC59" s="36">
        <v>44225</v>
      </c>
      <c r="AD59" s="34">
        <v>13800</v>
      </c>
      <c r="AE59" s="35">
        <v>19</v>
      </c>
      <c r="AF59" s="33">
        <v>44305</v>
      </c>
      <c r="AG59" s="36">
        <v>44330</v>
      </c>
      <c r="AH59" s="34">
        <v>243910</v>
      </c>
      <c r="AI59" s="32">
        <v>28</v>
      </c>
      <c r="AJ59" s="33">
        <v>44357</v>
      </c>
      <c r="AK59" s="36">
        <v>44376</v>
      </c>
      <c r="AL59" s="34">
        <v>851</v>
      </c>
      <c r="AM59" s="32">
        <v>38</v>
      </c>
      <c r="AN59" s="33">
        <v>44434</v>
      </c>
      <c r="AO59" s="36">
        <v>44448</v>
      </c>
      <c r="AP59" s="34"/>
      <c r="AQ59" s="32"/>
      <c r="AR59" s="27"/>
      <c r="AS59" s="36"/>
      <c r="AT59" s="34"/>
      <c r="AU59" s="32"/>
      <c r="AV59" s="27"/>
      <c r="AW59" s="36"/>
      <c r="AX59" s="34"/>
      <c r="AY59" s="32"/>
      <c r="AZ59" s="27"/>
      <c r="BA59" s="36"/>
      <c r="BB59" s="34"/>
      <c r="BC59" s="32"/>
      <c r="BD59" s="27"/>
      <c r="BE59" s="36"/>
      <c r="BF59" s="37">
        <f t="shared" si="2"/>
        <v>405561</v>
      </c>
      <c r="BG59" s="38">
        <f t="shared" si="0"/>
        <v>119236.17000000004</v>
      </c>
      <c r="BH59" s="41"/>
      <c r="BI59" s="41"/>
    </row>
    <row r="60" spans="2:61" s="39" customFormat="1">
      <c r="B60" s="22">
        <f t="shared" si="3"/>
        <v>45</v>
      </c>
      <c r="C60" s="22" t="s">
        <v>39</v>
      </c>
      <c r="D60" s="23">
        <v>40000774</v>
      </c>
      <c r="E60" s="48" t="s">
        <v>376</v>
      </c>
      <c r="F60" s="48" t="s">
        <v>317</v>
      </c>
      <c r="G60" s="26" t="s">
        <v>318</v>
      </c>
      <c r="H60" s="73" t="s">
        <v>324</v>
      </c>
      <c r="I60" s="49" t="s">
        <v>44</v>
      </c>
      <c r="J60" s="34">
        <v>814911</v>
      </c>
      <c r="K60" s="34">
        <v>640433</v>
      </c>
      <c r="L60" s="34">
        <v>0</v>
      </c>
      <c r="M60" s="34">
        <v>0</v>
      </c>
      <c r="N60" s="34">
        <v>24162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16655.861000000001</v>
      </c>
      <c r="V60" s="34"/>
      <c r="W60" s="34"/>
      <c r="X60" s="34"/>
      <c r="Y60" s="31">
        <f t="shared" si="1"/>
        <v>40817.861000000004</v>
      </c>
      <c r="Z60" s="34">
        <v>144162</v>
      </c>
      <c r="AA60" s="32">
        <v>5</v>
      </c>
      <c r="AB60" s="33">
        <v>44216</v>
      </c>
      <c r="AC60" s="36">
        <v>44225</v>
      </c>
      <c r="AD60" s="34">
        <v>0</v>
      </c>
      <c r="AE60" s="35"/>
      <c r="AF60" s="27"/>
      <c r="AG60" s="36"/>
      <c r="AH60" s="34"/>
      <c r="AI60" s="32"/>
      <c r="AJ60" s="27"/>
      <c r="AK60" s="36"/>
      <c r="AL60" s="34"/>
      <c r="AM60" s="32"/>
      <c r="AN60" s="27"/>
      <c r="AO60" s="36"/>
      <c r="AP60" s="34"/>
      <c r="AQ60" s="32"/>
      <c r="AR60" s="27"/>
      <c r="AS60" s="36"/>
      <c r="AT60" s="34"/>
      <c r="AU60" s="32"/>
      <c r="AV60" s="27"/>
      <c r="AW60" s="36"/>
      <c r="AX60" s="34"/>
      <c r="AY60" s="32"/>
      <c r="AZ60" s="27"/>
      <c r="BA60" s="36"/>
      <c r="BB60" s="34"/>
      <c r="BC60" s="32"/>
      <c r="BD60" s="27"/>
      <c r="BE60" s="36"/>
      <c r="BF60" s="37">
        <f t="shared" si="2"/>
        <v>144162</v>
      </c>
      <c r="BG60" s="38">
        <f t="shared" si="0"/>
        <v>103344.139</v>
      </c>
      <c r="BH60" s="41"/>
      <c r="BI60" s="41"/>
    </row>
    <row r="61" spans="2:61" s="39" customFormat="1" ht="22.5">
      <c r="B61" s="22">
        <f t="shared" si="3"/>
        <v>46</v>
      </c>
      <c r="C61" s="22" t="s">
        <v>39</v>
      </c>
      <c r="D61" s="23">
        <v>40000902</v>
      </c>
      <c r="E61" s="48" t="s">
        <v>377</v>
      </c>
      <c r="F61" s="48" t="s">
        <v>317</v>
      </c>
      <c r="G61" s="26" t="s">
        <v>318</v>
      </c>
      <c r="H61" s="73" t="s">
        <v>327</v>
      </c>
      <c r="I61" s="49" t="s">
        <v>44</v>
      </c>
      <c r="J61" s="34">
        <v>695832</v>
      </c>
      <c r="K61" s="34">
        <v>353885</v>
      </c>
      <c r="L61" s="34">
        <v>0</v>
      </c>
      <c r="M61" s="34">
        <v>0</v>
      </c>
      <c r="N61" s="34">
        <v>23637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/>
      <c r="W61" s="34"/>
      <c r="X61" s="34"/>
      <c r="Y61" s="31">
        <f t="shared" si="1"/>
        <v>23637</v>
      </c>
      <c r="Z61" s="34">
        <v>22236</v>
      </c>
      <c r="AA61" s="32">
        <v>5</v>
      </c>
      <c r="AB61" s="33">
        <v>44216</v>
      </c>
      <c r="AC61" s="36">
        <v>44225</v>
      </c>
      <c r="AD61" s="34">
        <v>1400</v>
      </c>
      <c r="AE61" s="35">
        <v>16</v>
      </c>
      <c r="AF61" s="33">
        <v>44253</v>
      </c>
      <c r="AG61" s="36">
        <v>44274</v>
      </c>
      <c r="AH61" s="34">
        <v>1</v>
      </c>
      <c r="AI61" s="32">
        <v>28</v>
      </c>
      <c r="AJ61" s="33">
        <v>44357</v>
      </c>
      <c r="AK61" s="36">
        <v>44376</v>
      </c>
      <c r="AL61" s="34"/>
      <c r="AM61" s="32"/>
      <c r="AN61" s="27"/>
      <c r="AO61" s="36"/>
      <c r="AP61" s="34"/>
      <c r="AQ61" s="32"/>
      <c r="AR61" s="27"/>
      <c r="AS61" s="36"/>
      <c r="AT61" s="34"/>
      <c r="AU61" s="32"/>
      <c r="AV61" s="27"/>
      <c r="AW61" s="36"/>
      <c r="AX61" s="34"/>
      <c r="AY61" s="32"/>
      <c r="AZ61" s="27"/>
      <c r="BA61" s="36"/>
      <c r="BB61" s="34"/>
      <c r="BC61" s="32"/>
      <c r="BD61" s="27"/>
      <c r="BE61" s="36"/>
      <c r="BF61" s="37">
        <f t="shared" si="2"/>
        <v>23637</v>
      </c>
      <c r="BG61" s="38">
        <f t="shared" si="0"/>
        <v>0</v>
      </c>
      <c r="BH61" s="41"/>
      <c r="BI61" s="41"/>
    </row>
    <row r="62" spans="2:61" s="39" customFormat="1" ht="22.5">
      <c r="B62" s="22">
        <f t="shared" si="3"/>
        <v>47</v>
      </c>
      <c r="C62" s="22" t="s">
        <v>39</v>
      </c>
      <c r="D62" s="23">
        <v>40000983</v>
      </c>
      <c r="E62" s="48" t="s">
        <v>378</v>
      </c>
      <c r="F62" s="48" t="s">
        <v>317</v>
      </c>
      <c r="G62" s="26" t="s">
        <v>318</v>
      </c>
      <c r="H62" s="73" t="s">
        <v>327</v>
      </c>
      <c r="I62" s="49" t="s">
        <v>52</v>
      </c>
      <c r="J62" s="34">
        <v>1340215</v>
      </c>
      <c r="K62" s="34">
        <v>0</v>
      </c>
      <c r="L62" s="34">
        <v>54133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/>
      <c r="W62" s="34"/>
      <c r="X62" s="34"/>
      <c r="Y62" s="31">
        <f t="shared" si="1"/>
        <v>0</v>
      </c>
      <c r="Z62" s="34">
        <v>1008000</v>
      </c>
      <c r="AA62" s="32">
        <v>5</v>
      </c>
      <c r="AB62" s="33">
        <v>44216</v>
      </c>
      <c r="AC62" s="36">
        <v>44225</v>
      </c>
      <c r="AD62" s="34">
        <v>-400000</v>
      </c>
      <c r="AE62" s="35">
        <v>38</v>
      </c>
      <c r="AF62" s="33">
        <v>44434</v>
      </c>
      <c r="AG62" s="36">
        <v>44448</v>
      </c>
      <c r="AH62" s="34"/>
      <c r="AI62" s="32"/>
      <c r="AJ62" s="27"/>
      <c r="AK62" s="36"/>
      <c r="AL62" s="34"/>
      <c r="AM62" s="32"/>
      <c r="AN62" s="27"/>
      <c r="AO62" s="36"/>
      <c r="AP62" s="34"/>
      <c r="AQ62" s="32"/>
      <c r="AR62" s="27"/>
      <c r="AS62" s="36"/>
      <c r="AT62" s="34"/>
      <c r="AU62" s="32"/>
      <c r="AV62" s="27"/>
      <c r="AW62" s="36"/>
      <c r="AX62" s="34"/>
      <c r="AY62" s="32"/>
      <c r="AZ62" s="27"/>
      <c r="BA62" s="36"/>
      <c r="BB62" s="34"/>
      <c r="BC62" s="32"/>
      <c r="BD62" s="27"/>
      <c r="BE62" s="36"/>
      <c r="BF62" s="37">
        <f t="shared" si="2"/>
        <v>608000</v>
      </c>
      <c r="BG62" s="38">
        <f t="shared" si="0"/>
        <v>608000</v>
      </c>
      <c r="BH62" s="41"/>
      <c r="BI62" s="41"/>
    </row>
    <row r="63" spans="2:61" s="39" customFormat="1" ht="22.5">
      <c r="B63" s="22">
        <f t="shared" si="3"/>
        <v>48</v>
      </c>
      <c r="C63" s="22" t="s">
        <v>39</v>
      </c>
      <c r="D63" s="23">
        <v>40001138</v>
      </c>
      <c r="E63" s="48" t="s">
        <v>379</v>
      </c>
      <c r="F63" s="48" t="s">
        <v>317</v>
      </c>
      <c r="G63" s="26" t="s">
        <v>318</v>
      </c>
      <c r="H63" s="73" t="s">
        <v>336</v>
      </c>
      <c r="I63" s="49" t="s">
        <v>52</v>
      </c>
      <c r="J63" s="34">
        <v>298191</v>
      </c>
      <c r="K63" s="34">
        <v>0</v>
      </c>
      <c r="L63" s="34">
        <v>265671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/>
      <c r="W63" s="34"/>
      <c r="X63" s="34"/>
      <c r="Y63" s="31">
        <f t="shared" si="1"/>
        <v>0</v>
      </c>
      <c r="Z63" s="34">
        <v>33000</v>
      </c>
      <c r="AA63" s="32">
        <v>5</v>
      </c>
      <c r="AB63" s="33">
        <v>44216</v>
      </c>
      <c r="AC63" s="36">
        <v>44225</v>
      </c>
      <c r="AD63" s="34">
        <v>0</v>
      </c>
      <c r="AE63" s="35"/>
      <c r="AF63" s="27"/>
      <c r="AG63" s="36"/>
      <c r="AH63" s="34"/>
      <c r="AI63" s="32"/>
      <c r="AJ63" s="27"/>
      <c r="AK63" s="36"/>
      <c r="AL63" s="34"/>
      <c r="AM63" s="32"/>
      <c r="AN63" s="27"/>
      <c r="AO63" s="36"/>
      <c r="AP63" s="34"/>
      <c r="AQ63" s="32"/>
      <c r="AR63" s="27"/>
      <c r="AS63" s="36"/>
      <c r="AT63" s="34"/>
      <c r="AU63" s="32"/>
      <c r="AV63" s="27"/>
      <c r="AW63" s="36"/>
      <c r="AX63" s="34"/>
      <c r="AY63" s="32"/>
      <c r="AZ63" s="27"/>
      <c r="BA63" s="36"/>
      <c r="BB63" s="34"/>
      <c r="BC63" s="32"/>
      <c r="BD63" s="27"/>
      <c r="BE63" s="36"/>
      <c r="BF63" s="37">
        <f t="shared" si="2"/>
        <v>33000</v>
      </c>
      <c r="BG63" s="38">
        <f t="shared" si="0"/>
        <v>33000</v>
      </c>
      <c r="BH63" s="41"/>
      <c r="BI63" s="41"/>
    </row>
    <row r="64" spans="2:61" s="39" customFormat="1" ht="22.5">
      <c r="B64" s="22">
        <f t="shared" si="3"/>
        <v>49</v>
      </c>
      <c r="C64" s="22" t="s">
        <v>39</v>
      </c>
      <c r="D64" s="23">
        <v>40001149</v>
      </c>
      <c r="E64" s="48" t="s">
        <v>380</v>
      </c>
      <c r="F64" s="48" t="s">
        <v>317</v>
      </c>
      <c r="G64" s="26" t="s">
        <v>318</v>
      </c>
      <c r="H64" s="73" t="s">
        <v>329</v>
      </c>
      <c r="I64" s="49" t="s">
        <v>44</v>
      </c>
      <c r="J64" s="34">
        <v>387875</v>
      </c>
      <c r="K64" s="34">
        <v>167527</v>
      </c>
      <c r="L64" s="34">
        <v>0</v>
      </c>
      <c r="M64" s="34">
        <v>0</v>
      </c>
      <c r="N64" s="34">
        <v>104999</v>
      </c>
      <c r="O64" s="34">
        <v>0</v>
      </c>
      <c r="P64" s="34">
        <v>0</v>
      </c>
      <c r="Q64" s="34">
        <v>0</v>
      </c>
      <c r="R64" s="34">
        <v>56094.839</v>
      </c>
      <c r="S64" s="34">
        <v>0</v>
      </c>
      <c r="T64" s="34">
        <v>0</v>
      </c>
      <c r="U64" s="34">
        <v>0</v>
      </c>
      <c r="V64" s="34"/>
      <c r="W64" s="34"/>
      <c r="X64" s="34"/>
      <c r="Y64" s="31">
        <f t="shared" si="1"/>
        <v>161093.83900000001</v>
      </c>
      <c r="Z64" s="34">
        <v>220348</v>
      </c>
      <c r="AA64" s="32">
        <v>5</v>
      </c>
      <c r="AB64" s="33">
        <v>44216</v>
      </c>
      <c r="AC64" s="36">
        <v>44225</v>
      </c>
      <c r="AD64" s="34">
        <v>0</v>
      </c>
      <c r="AE64" s="35"/>
      <c r="AF64" s="27"/>
      <c r="AG64" s="36"/>
      <c r="AH64" s="34"/>
      <c r="AI64" s="32"/>
      <c r="AJ64" s="27"/>
      <c r="AK64" s="36"/>
      <c r="AL64" s="34"/>
      <c r="AM64" s="32"/>
      <c r="AN64" s="27"/>
      <c r="AO64" s="36"/>
      <c r="AP64" s="34"/>
      <c r="AQ64" s="32"/>
      <c r="AR64" s="27"/>
      <c r="AS64" s="36"/>
      <c r="AT64" s="34"/>
      <c r="AU64" s="32"/>
      <c r="AV64" s="27"/>
      <c r="AW64" s="36"/>
      <c r="AX64" s="34"/>
      <c r="AY64" s="32"/>
      <c r="AZ64" s="27"/>
      <c r="BA64" s="36"/>
      <c r="BB64" s="34"/>
      <c r="BC64" s="32"/>
      <c r="BD64" s="27"/>
      <c r="BE64" s="36"/>
      <c r="BF64" s="37">
        <f t="shared" si="2"/>
        <v>220348</v>
      </c>
      <c r="BG64" s="38">
        <f t="shared" si="0"/>
        <v>59254.160999999993</v>
      </c>
      <c r="BH64" s="41"/>
      <c r="BI64" s="41"/>
    </row>
    <row r="65" spans="2:61" s="39" customFormat="1">
      <c r="B65" s="22">
        <f t="shared" si="3"/>
        <v>50</v>
      </c>
      <c r="C65" s="22" t="s">
        <v>39</v>
      </c>
      <c r="D65" s="23">
        <v>40002451</v>
      </c>
      <c r="E65" s="48" t="s">
        <v>381</v>
      </c>
      <c r="F65" s="48" t="s">
        <v>317</v>
      </c>
      <c r="G65" s="26" t="s">
        <v>318</v>
      </c>
      <c r="H65" s="73" t="s">
        <v>324</v>
      </c>
      <c r="I65" s="49" t="s">
        <v>44</v>
      </c>
      <c r="J65" s="34">
        <v>268565</v>
      </c>
      <c r="K65" s="34">
        <v>104858</v>
      </c>
      <c r="L65" s="34">
        <v>0</v>
      </c>
      <c r="M65" s="34">
        <v>0</v>
      </c>
      <c r="N65" s="34">
        <v>38048</v>
      </c>
      <c r="O65" s="34">
        <v>77188</v>
      </c>
      <c r="P65" s="34">
        <v>31956.981</v>
      </c>
      <c r="Q65" s="34">
        <v>0</v>
      </c>
      <c r="R65" s="34">
        <v>0</v>
      </c>
      <c r="S65" s="34">
        <v>0</v>
      </c>
      <c r="T65" s="34">
        <v>33806.862000000001</v>
      </c>
      <c r="U65" s="34">
        <v>0</v>
      </c>
      <c r="V65" s="34"/>
      <c r="W65" s="34"/>
      <c r="X65" s="34"/>
      <c r="Y65" s="31">
        <f t="shared" si="1"/>
        <v>180999.84299999999</v>
      </c>
      <c r="Z65" s="34">
        <v>163707</v>
      </c>
      <c r="AA65" s="32">
        <v>5</v>
      </c>
      <c r="AB65" s="33">
        <v>44216</v>
      </c>
      <c r="AC65" s="36">
        <v>44225</v>
      </c>
      <c r="AD65" s="34">
        <v>17294</v>
      </c>
      <c r="AE65" s="35">
        <v>38</v>
      </c>
      <c r="AF65" s="33">
        <v>44434</v>
      </c>
      <c r="AG65" s="36">
        <v>44448</v>
      </c>
      <c r="AH65" s="34"/>
      <c r="AI65" s="32"/>
      <c r="AJ65" s="27"/>
      <c r="AK65" s="36"/>
      <c r="AL65" s="34"/>
      <c r="AM65" s="32"/>
      <c r="AN65" s="27"/>
      <c r="AO65" s="36"/>
      <c r="AP65" s="34"/>
      <c r="AQ65" s="32"/>
      <c r="AR65" s="27"/>
      <c r="AS65" s="36"/>
      <c r="AT65" s="34"/>
      <c r="AU65" s="32"/>
      <c r="AV65" s="27"/>
      <c r="AW65" s="36"/>
      <c r="AX65" s="34"/>
      <c r="AY65" s="32"/>
      <c r="AZ65" s="27"/>
      <c r="BA65" s="36"/>
      <c r="BB65" s="34"/>
      <c r="BC65" s="32"/>
      <c r="BD65" s="27"/>
      <c r="BE65" s="36"/>
      <c r="BF65" s="37">
        <f t="shared" si="2"/>
        <v>181001</v>
      </c>
      <c r="BG65" s="38">
        <f t="shared" si="0"/>
        <v>1.1570000000065193</v>
      </c>
      <c r="BH65" s="41"/>
      <c r="BI65" s="41"/>
    </row>
    <row r="66" spans="2:61" s="39" customFormat="1" ht="22.5">
      <c r="B66" s="22">
        <f t="shared" si="3"/>
        <v>51</v>
      </c>
      <c r="C66" s="22" t="s">
        <v>39</v>
      </c>
      <c r="D66" s="23">
        <v>40003653</v>
      </c>
      <c r="E66" s="48" t="s">
        <v>382</v>
      </c>
      <c r="F66" s="48" t="s">
        <v>317</v>
      </c>
      <c r="G66" s="26" t="s">
        <v>318</v>
      </c>
      <c r="H66" s="73" t="s">
        <v>331</v>
      </c>
      <c r="I66" s="49" t="s">
        <v>52</v>
      </c>
      <c r="J66" s="34" t="s">
        <v>383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34"/>
      <c r="W66" s="34"/>
      <c r="X66" s="34"/>
      <c r="Y66" s="31">
        <f t="shared" si="1"/>
        <v>0</v>
      </c>
      <c r="Z66" s="34">
        <v>207372</v>
      </c>
      <c r="AA66" s="32">
        <v>28</v>
      </c>
      <c r="AB66" s="33">
        <v>44357</v>
      </c>
      <c r="AC66" s="36">
        <v>44376</v>
      </c>
      <c r="AD66" s="215"/>
      <c r="AE66" s="35"/>
      <c r="AF66" s="27"/>
      <c r="AG66" s="36"/>
      <c r="AH66" s="34"/>
      <c r="AI66" s="32"/>
      <c r="AJ66" s="27"/>
      <c r="AK66" s="36"/>
      <c r="AL66" s="34"/>
      <c r="AM66" s="32"/>
      <c r="AN66" s="27"/>
      <c r="AO66" s="36"/>
      <c r="AP66" s="34"/>
      <c r="AQ66" s="32"/>
      <c r="AR66" s="27"/>
      <c r="AS66" s="36"/>
      <c r="AT66" s="34"/>
      <c r="AU66" s="32"/>
      <c r="AV66" s="27"/>
      <c r="AW66" s="36"/>
      <c r="AX66" s="34"/>
      <c r="AY66" s="32"/>
      <c r="AZ66" s="27"/>
      <c r="BA66" s="36"/>
      <c r="BB66" s="34"/>
      <c r="BC66" s="32"/>
      <c r="BD66" s="27"/>
      <c r="BE66" s="36"/>
      <c r="BF66" s="37">
        <f t="shared" si="2"/>
        <v>207372</v>
      </c>
      <c r="BG66" s="38">
        <f t="shared" si="0"/>
        <v>207372</v>
      </c>
      <c r="BH66" s="41"/>
      <c r="BI66" s="41"/>
    </row>
    <row r="67" spans="2:61" s="39" customFormat="1" ht="22.5">
      <c r="B67" s="22">
        <f t="shared" si="3"/>
        <v>52</v>
      </c>
      <c r="C67" s="22" t="s">
        <v>39</v>
      </c>
      <c r="D67" s="23">
        <v>40003934</v>
      </c>
      <c r="E67" s="48" t="s">
        <v>384</v>
      </c>
      <c r="F67" s="48" t="s">
        <v>317</v>
      </c>
      <c r="G67" s="26" t="s">
        <v>318</v>
      </c>
      <c r="H67" s="73" t="s">
        <v>346</v>
      </c>
      <c r="I67" s="49" t="s">
        <v>52</v>
      </c>
      <c r="J67" s="34">
        <v>1098504</v>
      </c>
      <c r="K67" s="34">
        <v>0</v>
      </c>
      <c r="L67" s="34">
        <v>292492</v>
      </c>
      <c r="M67" s="34">
        <v>0</v>
      </c>
      <c r="N67" s="34">
        <v>4400</v>
      </c>
      <c r="O67" s="34">
        <v>2200</v>
      </c>
      <c r="P67" s="34">
        <v>2200</v>
      </c>
      <c r="Q67" s="34">
        <v>51463.135000000002</v>
      </c>
      <c r="R67" s="34">
        <v>2200</v>
      </c>
      <c r="S67" s="34">
        <v>2200</v>
      </c>
      <c r="T67" s="34">
        <v>144987.70699999999</v>
      </c>
      <c r="U67" s="34">
        <v>2200</v>
      </c>
      <c r="V67" s="34"/>
      <c r="W67" s="34"/>
      <c r="X67" s="34"/>
      <c r="Y67" s="31">
        <f t="shared" si="1"/>
        <v>211850.842</v>
      </c>
      <c r="Z67" s="34">
        <v>710000</v>
      </c>
      <c r="AA67" s="32">
        <v>5</v>
      </c>
      <c r="AB67" s="33">
        <v>44216</v>
      </c>
      <c r="AC67" s="36">
        <v>44225</v>
      </c>
      <c r="AD67" s="34">
        <v>20800</v>
      </c>
      <c r="AE67" s="35">
        <v>19</v>
      </c>
      <c r="AF67" s="33">
        <v>44305</v>
      </c>
      <c r="AG67" s="36">
        <v>44330</v>
      </c>
      <c r="AH67" s="34"/>
      <c r="AI67" s="32"/>
      <c r="AJ67" s="27"/>
      <c r="AK67" s="36"/>
      <c r="AL67" s="34"/>
      <c r="AM67" s="32"/>
      <c r="AN67" s="27"/>
      <c r="AO67" s="36"/>
      <c r="AP67" s="34"/>
      <c r="AQ67" s="32"/>
      <c r="AR67" s="27"/>
      <c r="AS67" s="36"/>
      <c r="AT67" s="34"/>
      <c r="AU67" s="32"/>
      <c r="AV67" s="27"/>
      <c r="AW67" s="36"/>
      <c r="AX67" s="34"/>
      <c r="AY67" s="32"/>
      <c r="AZ67" s="27"/>
      <c r="BA67" s="36"/>
      <c r="BB67" s="34"/>
      <c r="BC67" s="32"/>
      <c r="BD67" s="27"/>
      <c r="BE67" s="36"/>
      <c r="BF67" s="37">
        <f t="shared" si="2"/>
        <v>730800</v>
      </c>
      <c r="BG67" s="38">
        <f t="shared" si="0"/>
        <v>518949.158</v>
      </c>
      <c r="BH67" s="41"/>
      <c r="BI67" s="41"/>
    </row>
    <row r="68" spans="2:61" s="39" customFormat="1" ht="22.5">
      <c r="B68" s="22">
        <f t="shared" si="3"/>
        <v>53</v>
      </c>
      <c r="C68" s="22" t="s">
        <v>39</v>
      </c>
      <c r="D68" s="23">
        <v>40004064</v>
      </c>
      <c r="E68" s="48" t="s">
        <v>385</v>
      </c>
      <c r="F68" s="48" t="s">
        <v>317</v>
      </c>
      <c r="G68" s="26" t="s">
        <v>318</v>
      </c>
      <c r="H68" s="73" t="s">
        <v>329</v>
      </c>
      <c r="I68" s="49" t="s">
        <v>52</v>
      </c>
      <c r="J68" s="34">
        <v>466599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79138.618000000002</v>
      </c>
      <c r="S68" s="34">
        <v>0</v>
      </c>
      <c r="T68" s="34">
        <v>28856.767</v>
      </c>
      <c r="U68" s="34">
        <v>36144.322</v>
      </c>
      <c r="V68" s="34"/>
      <c r="W68" s="34"/>
      <c r="X68" s="34"/>
      <c r="Y68" s="31">
        <f t="shared" si="1"/>
        <v>144139.70699999999</v>
      </c>
      <c r="Z68" s="34">
        <v>428000</v>
      </c>
      <c r="AA68" s="32">
        <v>5</v>
      </c>
      <c r="AB68" s="33">
        <v>44216</v>
      </c>
      <c r="AC68" s="36">
        <v>44225</v>
      </c>
      <c r="AD68" s="34">
        <v>0</v>
      </c>
      <c r="AE68" s="35"/>
      <c r="AF68" s="27"/>
      <c r="AG68" s="36"/>
      <c r="AH68" s="34"/>
      <c r="AI68" s="32"/>
      <c r="AJ68" s="27"/>
      <c r="AK68" s="36"/>
      <c r="AL68" s="34"/>
      <c r="AM68" s="32"/>
      <c r="AN68" s="27"/>
      <c r="AO68" s="36"/>
      <c r="AP68" s="34"/>
      <c r="AQ68" s="32"/>
      <c r="AR68" s="27"/>
      <c r="AS68" s="36"/>
      <c r="AT68" s="34"/>
      <c r="AU68" s="32"/>
      <c r="AV68" s="27"/>
      <c r="AW68" s="36"/>
      <c r="AX68" s="34"/>
      <c r="AY68" s="32"/>
      <c r="AZ68" s="27"/>
      <c r="BA68" s="36"/>
      <c r="BB68" s="34"/>
      <c r="BC68" s="32"/>
      <c r="BD68" s="27"/>
      <c r="BE68" s="36"/>
      <c r="BF68" s="37">
        <f t="shared" si="2"/>
        <v>428000</v>
      </c>
      <c r="BG68" s="38">
        <f t="shared" si="0"/>
        <v>283860.29300000001</v>
      </c>
      <c r="BH68" s="41"/>
      <c r="BI68" s="41"/>
    </row>
    <row r="69" spans="2:61" s="39" customFormat="1" ht="33.75">
      <c r="B69" s="22">
        <f t="shared" si="3"/>
        <v>54</v>
      </c>
      <c r="C69" s="22" t="s">
        <v>39</v>
      </c>
      <c r="D69" s="23">
        <v>40004600</v>
      </c>
      <c r="E69" s="48" t="s">
        <v>386</v>
      </c>
      <c r="F69" s="48" t="s">
        <v>317</v>
      </c>
      <c r="G69" s="26" t="s">
        <v>318</v>
      </c>
      <c r="H69" s="73" t="s">
        <v>329</v>
      </c>
      <c r="I69" s="49" t="s">
        <v>52</v>
      </c>
      <c r="J69" s="34">
        <v>62710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43720.732000000004</v>
      </c>
      <c r="T69" s="34">
        <v>0</v>
      </c>
      <c r="U69" s="34">
        <v>0</v>
      </c>
      <c r="V69" s="34"/>
      <c r="W69" s="34"/>
      <c r="X69" s="34"/>
      <c r="Y69" s="31">
        <f t="shared" si="1"/>
        <v>43720.732000000004</v>
      </c>
      <c r="Z69" s="34">
        <v>61325</v>
      </c>
      <c r="AA69" s="32">
        <v>5</v>
      </c>
      <c r="AB69" s="33">
        <v>44216</v>
      </c>
      <c r="AC69" s="36">
        <v>44225</v>
      </c>
      <c r="AD69" s="34">
        <v>0</v>
      </c>
      <c r="AE69" s="35"/>
      <c r="AF69" s="27"/>
      <c r="AG69" s="36"/>
      <c r="AH69" s="34"/>
      <c r="AI69" s="32"/>
      <c r="AJ69" s="27"/>
      <c r="AK69" s="36"/>
      <c r="AL69" s="34"/>
      <c r="AM69" s="32"/>
      <c r="AN69" s="27"/>
      <c r="AO69" s="36"/>
      <c r="AP69" s="34"/>
      <c r="AQ69" s="32"/>
      <c r="AR69" s="27"/>
      <c r="AS69" s="36"/>
      <c r="AT69" s="34"/>
      <c r="AU69" s="32"/>
      <c r="AV69" s="27"/>
      <c r="AW69" s="36"/>
      <c r="AX69" s="34"/>
      <c r="AY69" s="32"/>
      <c r="AZ69" s="27"/>
      <c r="BA69" s="36"/>
      <c r="BB69" s="34"/>
      <c r="BC69" s="32"/>
      <c r="BD69" s="27"/>
      <c r="BE69" s="36"/>
      <c r="BF69" s="37">
        <f t="shared" si="2"/>
        <v>61325</v>
      </c>
      <c r="BG69" s="38">
        <f t="shared" si="0"/>
        <v>17604.267999999996</v>
      </c>
      <c r="BH69" s="41"/>
      <c r="BI69" s="41"/>
    </row>
    <row r="70" spans="2:61" s="39" customFormat="1" ht="22.5">
      <c r="B70" s="22">
        <f t="shared" si="3"/>
        <v>55</v>
      </c>
      <c r="C70" s="22" t="s">
        <v>39</v>
      </c>
      <c r="D70" s="23">
        <v>40004674</v>
      </c>
      <c r="E70" s="48" t="s">
        <v>387</v>
      </c>
      <c r="F70" s="48" t="s">
        <v>317</v>
      </c>
      <c r="G70" s="26" t="s">
        <v>318</v>
      </c>
      <c r="H70" s="73" t="s">
        <v>321</v>
      </c>
      <c r="I70" s="49" t="s">
        <v>52</v>
      </c>
      <c r="J70" s="34" t="s">
        <v>388</v>
      </c>
      <c r="K70" s="34">
        <v>0</v>
      </c>
      <c r="L70" s="34">
        <v>2228645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/>
      <c r="W70" s="34"/>
      <c r="X70" s="34"/>
      <c r="Y70" s="31">
        <f t="shared" si="1"/>
        <v>0</v>
      </c>
      <c r="Z70" s="34">
        <v>209562</v>
      </c>
      <c r="AA70" s="32">
        <v>28</v>
      </c>
      <c r="AB70" s="27">
        <v>44357</v>
      </c>
      <c r="AC70" s="36">
        <v>44376</v>
      </c>
      <c r="AD70" s="215"/>
      <c r="AE70" s="35"/>
      <c r="AF70" s="27"/>
      <c r="AG70" s="36"/>
      <c r="AH70" s="34"/>
      <c r="AI70" s="32"/>
      <c r="AJ70" s="27"/>
      <c r="AK70" s="36"/>
      <c r="AL70" s="34"/>
      <c r="AM70" s="32"/>
      <c r="AN70" s="27"/>
      <c r="AO70" s="36"/>
      <c r="AP70" s="34"/>
      <c r="AQ70" s="32"/>
      <c r="AR70" s="27"/>
      <c r="AS70" s="36"/>
      <c r="AT70" s="34"/>
      <c r="AU70" s="32"/>
      <c r="AV70" s="27"/>
      <c r="AW70" s="36"/>
      <c r="AX70" s="34"/>
      <c r="AY70" s="32"/>
      <c r="AZ70" s="27"/>
      <c r="BA70" s="36"/>
      <c r="BB70" s="34"/>
      <c r="BC70" s="32"/>
      <c r="BD70" s="27"/>
      <c r="BE70" s="36"/>
      <c r="BF70" s="37">
        <f t="shared" si="2"/>
        <v>209562</v>
      </c>
      <c r="BG70" s="38">
        <f t="shared" si="0"/>
        <v>209562</v>
      </c>
      <c r="BH70" s="41"/>
      <c r="BI70" s="41"/>
    </row>
    <row r="71" spans="2:61" s="39" customFormat="1">
      <c r="B71" s="22">
        <f t="shared" si="3"/>
        <v>56</v>
      </c>
      <c r="C71" s="22" t="s">
        <v>39</v>
      </c>
      <c r="D71" s="23">
        <v>40004719</v>
      </c>
      <c r="E71" s="48" t="s">
        <v>389</v>
      </c>
      <c r="F71" s="48" t="s">
        <v>317</v>
      </c>
      <c r="G71" s="26" t="s">
        <v>318</v>
      </c>
      <c r="H71" s="73" t="s">
        <v>324</v>
      </c>
      <c r="I71" s="49" t="s">
        <v>44</v>
      </c>
      <c r="J71" s="34">
        <v>6363325</v>
      </c>
      <c r="K71" s="34">
        <v>1062086</v>
      </c>
      <c r="L71" s="34">
        <v>0</v>
      </c>
      <c r="M71" s="34">
        <v>0</v>
      </c>
      <c r="N71" s="34">
        <v>121721</v>
      </c>
      <c r="O71" s="34">
        <v>279111</v>
      </c>
      <c r="P71" s="34">
        <v>463195.57400000002</v>
      </c>
      <c r="Q71" s="34">
        <v>412868.59</v>
      </c>
      <c r="R71" s="34">
        <v>354301.98700000002</v>
      </c>
      <c r="S71" s="34">
        <v>330388.658</v>
      </c>
      <c r="T71" s="34">
        <v>204557.32800000001</v>
      </c>
      <c r="U71" s="34">
        <v>299361.98300000001</v>
      </c>
      <c r="V71" s="34"/>
      <c r="W71" s="34"/>
      <c r="X71" s="34"/>
      <c r="Y71" s="31">
        <f t="shared" si="1"/>
        <v>2465506.12</v>
      </c>
      <c r="Z71" s="34">
        <v>3020000</v>
      </c>
      <c r="AA71" s="32">
        <v>5</v>
      </c>
      <c r="AB71" s="33">
        <v>44216</v>
      </c>
      <c r="AC71" s="36">
        <v>44225</v>
      </c>
      <c r="AD71" s="34">
        <v>16500</v>
      </c>
      <c r="AE71" s="35">
        <v>19</v>
      </c>
      <c r="AF71" s="33">
        <v>44305</v>
      </c>
      <c r="AG71" s="36">
        <v>44330</v>
      </c>
      <c r="AH71" s="34"/>
      <c r="AI71" s="32"/>
      <c r="AJ71" s="27"/>
      <c r="AK71" s="36"/>
      <c r="AL71" s="34"/>
      <c r="AM71" s="32"/>
      <c r="AN71" s="27"/>
      <c r="AO71" s="36"/>
      <c r="AP71" s="34"/>
      <c r="AQ71" s="32"/>
      <c r="AR71" s="27"/>
      <c r="AS71" s="36"/>
      <c r="AT71" s="34"/>
      <c r="AU71" s="32"/>
      <c r="AV71" s="27"/>
      <c r="AW71" s="36"/>
      <c r="AX71" s="34"/>
      <c r="AY71" s="32"/>
      <c r="AZ71" s="27"/>
      <c r="BA71" s="36"/>
      <c r="BB71" s="34"/>
      <c r="BC71" s="32"/>
      <c r="BD71" s="27"/>
      <c r="BE71" s="36"/>
      <c r="BF71" s="37">
        <f t="shared" si="2"/>
        <v>3036500</v>
      </c>
      <c r="BG71" s="38">
        <f t="shared" si="0"/>
        <v>570993.87999999989</v>
      </c>
      <c r="BH71" s="41"/>
      <c r="BI71" s="41"/>
    </row>
    <row r="72" spans="2:61" s="39" customFormat="1" ht="22.5">
      <c r="B72" s="22">
        <f t="shared" si="3"/>
        <v>57</v>
      </c>
      <c r="C72" s="22" t="s">
        <v>39</v>
      </c>
      <c r="D72" s="23">
        <v>40004814</v>
      </c>
      <c r="E72" s="48" t="s">
        <v>390</v>
      </c>
      <c r="F72" s="48" t="s">
        <v>317</v>
      </c>
      <c r="G72" s="26" t="s">
        <v>318</v>
      </c>
      <c r="H72" s="73" t="s">
        <v>327</v>
      </c>
      <c r="I72" s="49" t="s">
        <v>52</v>
      </c>
      <c r="J72" s="34">
        <v>261905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/>
      <c r="W72" s="34"/>
      <c r="X72" s="34"/>
      <c r="Y72" s="31">
        <f t="shared" si="1"/>
        <v>0</v>
      </c>
      <c r="Z72" s="34">
        <v>256000</v>
      </c>
      <c r="AA72" s="32">
        <v>5</v>
      </c>
      <c r="AB72" s="33">
        <v>44216</v>
      </c>
      <c r="AC72" s="36">
        <v>44225</v>
      </c>
      <c r="AD72" s="34">
        <v>513</v>
      </c>
      <c r="AE72" s="35">
        <v>31</v>
      </c>
      <c r="AF72" s="33">
        <v>44378</v>
      </c>
      <c r="AG72" s="36">
        <v>44400</v>
      </c>
      <c r="AH72" s="34"/>
      <c r="AI72" s="32"/>
      <c r="AJ72" s="27"/>
      <c r="AK72" s="36"/>
      <c r="AL72" s="34"/>
      <c r="AM72" s="32"/>
      <c r="AN72" s="27"/>
      <c r="AO72" s="36"/>
      <c r="AP72" s="34"/>
      <c r="AQ72" s="32"/>
      <c r="AR72" s="27"/>
      <c r="AS72" s="36"/>
      <c r="AT72" s="34"/>
      <c r="AU72" s="32"/>
      <c r="AV72" s="27"/>
      <c r="AW72" s="36"/>
      <c r="AX72" s="34"/>
      <c r="AY72" s="32"/>
      <c r="AZ72" s="27"/>
      <c r="BA72" s="36"/>
      <c r="BB72" s="34"/>
      <c r="BC72" s="32"/>
      <c r="BD72" s="27"/>
      <c r="BE72" s="36"/>
      <c r="BF72" s="37">
        <f t="shared" si="2"/>
        <v>256513</v>
      </c>
      <c r="BG72" s="38">
        <f t="shared" si="0"/>
        <v>256513</v>
      </c>
      <c r="BH72" s="41"/>
      <c r="BI72" s="41"/>
    </row>
    <row r="73" spans="2:61" s="39" customFormat="1" ht="22.5">
      <c r="B73" s="22">
        <f t="shared" si="3"/>
        <v>58</v>
      </c>
      <c r="C73" s="22" t="s">
        <v>39</v>
      </c>
      <c r="D73" s="23">
        <v>40004829</v>
      </c>
      <c r="E73" s="48" t="s">
        <v>391</v>
      </c>
      <c r="F73" s="48" t="s">
        <v>317</v>
      </c>
      <c r="G73" s="26" t="s">
        <v>318</v>
      </c>
      <c r="H73" s="73" t="s">
        <v>327</v>
      </c>
      <c r="I73" s="49" t="s">
        <v>52</v>
      </c>
      <c r="J73" s="34">
        <v>338515</v>
      </c>
      <c r="K73" s="34">
        <v>0</v>
      </c>
      <c r="L73" s="34">
        <v>168136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/>
      <c r="W73" s="34"/>
      <c r="X73" s="34"/>
      <c r="Y73" s="31">
        <f t="shared" si="1"/>
        <v>0</v>
      </c>
      <c r="Z73" s="34">
        <v>160900</v>
      </c>
      <c r="AA73" s="32">
        <v>5</v>
      </c>
      <c r="AB73" s="33">
        <v>44216</v>
      </c>
      <c r="AC73" s="36">
        <v>44225</v>
      </c>
      <c r="AD73" s="34">
        <v>-160900</v>
      </c>
      <c r="AE73" s="35">
        <v>19</v>
      </c>
      <c r="AF73" s="33">
        <v>44305</v>
      </c>
      <c r="AG73" s="36">
        <v>44330</v>
      </c>
      <c r="AH73" s="34">
        <v>169860</v>
      </c>
      <c r="AI73" s="32">
        <v>25</v>
      </c>
      <c r="AJ73" s="33">
        <v>44347</v>
      </c>
      <c r="AK73" s="36">
        <v>44363</v>
      </c>
      <c r="AL73" s="34">
        <v>500</v>
      </c>
      <c r="AM73" s="32">
        <v>40</v>
      </c>
      <c r="AN73" s="33">
        <v>44439</v>
      </c>
      <c r="AO73" s="36">
        <v>44440</v>
      </c>
      <c r="AP73" s="34"/>
      <c r="AQ73" s="32"/>
      <c r="AR73" s="27"/>
      <c r="AS73" s="36"/>
      <c r="AT73" s="34"/>
      <c r="AU73" s="32"/>
      <c r="AV73" s="27"/>
      <c r="AW73" s="36"/>
      <c r="AX73" s="34"/>
      <c r="AY73" s="32"/>
      <c r="AZ73" s="27"/>
      <c r="BA73" s="36"/>
      <c r="BB73" s="34"/>
      <c r="BC73" s="32"/>
      <c r="BD73" s="27"/>
      <c r="BE73" s="36"/>
      <c r="BF73" s="37">
        <f t="shared" si="2"/>
        <v>170360</v>
      </c>
      <c r="BG73" s="38">
        <f t="shared" si="0"/>
        <v>170360</v>
      </c>
      <c r="BH73" s="41"/>
      <c r="BI73" s="41"/>
    </row>
    <row r="74" spans="2:61" s="39" customFormat="1" ht="22.5">
      <c r="B74" s="22">
        <f t="shared" si="3"/>
        <v>59</v>
      </c>
      <c r="C74" s="22" t="s">
        <v>39</v>
      </c>
      <c r="D74" s="23">
        <v>40004843</v>
      </c>
      <c r="E74" s="48" t="s">
        <v>392</v>
      </c>
      <c r="F74" s="48" t="s">
        <v>317</v>
      </c>
      <c r="G74" s="26" t="s">
        <v>318</v>
      </c>
      <c r="H74" s="73" t="s">
        <v>319</v>
      </c>
      <c r="I74" s="49" t="s">
        <v>52</v>
      </c>
      <c r="J74" s="34" t="s">
        <v>393</v>
      </c>
      <c r="K74" s="34">
        <v>0</v>
      </c>
      <c r="L74" s="34">
        <v>361168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/>
      <c r="W74" s="34"/>
      <c r="X74" s="34"/>
      <c r="Y74" s="31">
        <f t="shared" si="1"/>
        <v>0</v>
      </c>
      <c r="Z74" s="34">
        <v>206440</v>
      </c>
      <c r="AA74" s="32">
        <v>28</v>
      </c>
      <c r="AB74" s="27">
        <v>44357</v>
      </c>
      <c r="AC74" s="36">
        <v>44376</v>
      </c>
      <c r="AD74" s="215"/>
      <c r="AE74" s="35"/>
      <c r="AF74" s="27"/>
      <c r="AG74" s="36"/>
      <c r="AH74" s="34"/>
      <c r="AI74" s="32"/>
      <c r="AJ74" s="27"/>
      <c r="AK74" s="36"/>
      <c r="AL74" s="34"/>
      <c r="AM74" s="32"/>
      <c r="AN74" s="27"/>
      <c r="AO74" s="36"/>
      <c r="AP74" s="34"/>
      <c r="AQ74" s="32"/>
      <c r="AR74" s="27"/>
      <c r="AS74" s="36"/>
      <c r="AT74" s="34"/>
      <c r="AU74" s="32"/>
      <c r="AV74" s="27"/>
      <c r="AW74" s="36"/>
      <c r="AX74" s="34"/>
      <c r="AY74" s="32"/>
      <c r="AZ74" s="27"/>
      <c r="BA74" s="36"/>
      <c r="BB74" s="34"/>
      <c r="BC74" s="32"/>
      <c r="BD74" s="27"/>
      <c r="BE74" s="36"/>
      <c r="BF74" s="37">
        <f t="shared" si="2"/>
        <v>206440</v>
      </c>
      <c r="BG74" s="38">
        <f t="shared" si="0"/>
        <v>206440</v>
      </c>
      <c r="BH74" s="41"/>
      <c r="BI74" s="41"/>
    </row>
    <row r="75" spans="2:61" s="39" customFormat="1" ht="22.5">
      <c r="B75" s="22">
        <f t="shared" si="3"/>
        <v>60</v>
      </c>
      <c r="C75" s="22" t="s">
        <v>39</v>
      </c>
      <c r="D75" s="23">
        <v>40004851</v>
      </c>
      <c r="E75" s="48" t="s">
        <v>394</v>
      </c>
      <c r="F75" s="48" t="s">
        <v>317</v>
      </c>
      <c r="G75" s="26" t="s">
        <v>318</v>
      </c>
      <c r="H75" s="73" t="s">
        <v>321</v>
      </c>
      <c r="I75" s="49" t="s">
        <v>52</v>
      </c>
      <c r="J75" s="34">
        <v>145604</v>
      </c>
      <c r="K75" s="34">
        <v>0</v>
      </c>
      <c r="L75" s="34">
        <v>0</v>
      </c>
      <c r="M75" s="34">
        <v>0</v>
      </c>
      <c r="N75" s="34">
        <v>0</v>
      </c>
      <c r="O75" s="34">
        <v>55540</v>
      </c>
      <c r="P75" s="34">
        <v>0</v>
      </c>
      <c r="Q75" s="34">
        <v>34817.913</v>
      </c>
      <c r="R75" s="34">
        <v>3000</v>
      </c>
      <c r="S75" s="34">
        <v>0</v>
      </c>
      <c r="T75" s="34">
        <v>0</v>
      </c>
      <c r="U75" s="34">
        <v>31061.974999999999</v>
      </c>
      <c r="V75" s="34"/>
      <c r="W75" s="34"/>
      <c r="X75" s="34"/>
      <c r="Y75" s="31">
        <f t="shared" si="1"/>
        <v>124419.88800000001</v>
      </c>
      <c r="Z75" s="34">
        <v>140000</v>
      </c>
      <c r="AA75" s="32">
        <v>5</v>
      </c>
      <c r="AB75" s="33">
        <v>44216</v>
      </c>
      <c r="AC75" s="36">
        <v>44225</v>
      </c>
      <c r="AD75" s="34">
        <v>0</v>
      </c>
      <c r="AE75" s="35"/>
      <c r="AF75" s="27"/>
      <c r="AG75" s="36"/>
      <c r="AH75" s="34"/>
      <c r="AI75" s="32"/>
      <c r="AJ75" s="27"/>
      <c r="AK75" s="36"/>
      <c r="AL75" s="34"/>
      <c r="AM75" s="32"/>
      <c r="AN75" s="27"/>
      <c r="AO75" s="36"/>
      <c r="AP75" s="34"/>
      <c r="AQ75" s="32"/>
      <c r="AR75" s="27"/>
      <c r="AS75" s="36"/>
      <c r="AT75" s="34"/>
      <c r="AU75" s="32"/>
      <c r="AV75" s="27"/>
      <c r="AW75" s="36"/>
      <c r="AX75" s="34"/>
      <c r="AY75" s="32"/>
      <c r="AZ75" s="27"/>
      <c r="BA75" s="36"/>
      <c r="BB75" s="34"/>
      <c r="BC75" s="32"/>
      <c r="BD75" s="27"/>
      <c r="BE75" s="36"/>
      <c r="BF75" s="37">
        <f t="shared" si="2"/>
        <v>140000</v>
      </c>
      <c r="BG75" s="38">
        <f t="shared" si="0"/>
        <v>15580.111999999994</v>
      </c>
      <c r="BH75" s="41"/>
      <c r="BI75" s="41"/>
    </row>
    <row r="76" spans="2:61" s="39" customFormat="1" ht="22.5">
      <c r="B76" s="22">
        <f t="shared" si="3"/>
        <v>61</v>
      </c>
      <c r="C76" s="22" t="s">
        <v>39</v>
      </c>
      <c r="D76" s="23">
        <v>40004874</v>
      </c>
      <c r="E76" s="48" t="s">
        <v>395</v>
      </c>
      <c r="F76" s="48" t="s">
        <v>317</v>
      </c>
      <c r="G76" s="26" t="s">
        <v>318</v>
      </c>
      <c r="H76" s="73" t="s">
        <v>319</v>
      </c>
      <c r="I76" s="49" t="s">
        <v>52</v>
      </c>
      <c r="J76" s="34">
        <v>253312</v>
      </c>
      <c r="K76" s="34">
        <v>0</v>
      </c>
      <c r="L76" s="34">
        <v>58179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52987.368000000002</v>
      </c>
      <c r="S76" s="34">
        <v>0</v>
      </c>
      <c r="T76" s="34">
        <v>64088.57</v>
      </c>
      <c r="U76" s="34">
        <v>0</v>
      </c>
      <c r="V76" s="34"/>
      <c r="W76" s="34"/>
      <c r="X76" s="34"/>
      <c r="Y76" s="31">
        <f t="shared" si="1"/>
        <v>117075.93799999999</v>
      </c>
      <c r="Z76" s="34">
        <v>190000</v>
      </c>
      <c r="AA76" s="32">
        <v>5</v>
      </c>
      <c r="AB76" s="33">
        <v>44216</v>
      </c>
      <c r="AC76" s="36">
        <v>44225</v>
      </c>
      <c r="AD76" s="34">
        <v>527</v>
      </c>
      <c r="AE76" s="35">
        <v>38</v>
      </c>
      <c r="AF76" s="33">
        <v>44434</v>
      </c>
      <c r="AG76" s="36">
        <v>44448</v>
      </c>
      <c r="AH76" s="34"/>
      <c r="AI76" s="32"/>
      <c r="AJ76" s="27"/>
      <c r="AK76" s="36"/>
      <c r="AL76" s="34"/>
      <c r="AM76" s="32"/>
      <c r="AN76" s="27"/>
      <c r="AO76" s="36"/>
      <c r="AP76" s="34"/>
      <c r="AQ76" s="32"/>
      <c r="AR76" s="27"/>
      <c r="AS76" s="36"/>
      <c r="AT76" s="34"/>
      <c r="AU76" s="32"/>
      <c r="AV76" s="27"/>
      <c r="AW76" s="36"/>
      <c r="AX76" s="34"/>
      <c r="AY76" s="32"/>
      <c r="AZ76" s="27"/>
      <c r="BA76" s="36"/>
      <c r="BB76" s="34"/>
      <c r="BC76" s="32"/>
      <c r="BD76" s="27"/>
      <c r="BE76" s="36"/>
      <c r="BF76" s="37">
        <f t="shared" si="2"/>
        <v>190527</v>
      </c>
      <c r="BG76" s="38">
        <f t="shared" si="0"/>
        <v>73451.062000000005</v>
      </c>
      <c r="BH76" s="41"/>
      <c r="BI76" s="41"/>
    </row>
    <row r="77" spans="2:61" s="39" customFormat="1" ht="22.5">
      <c r="B77" s="22">
        <f t="shared" si="3"/>
        <v>62</v>
      </c>
      <c r="C77" s="22" t="s">
        <v>39</v>
      </c>
      <c r="D77" s="23">
        <v>40004875</v>
      </c>
      <c r="E77" s="48" t="s">
        <v>396</v>
      </c>
      <c r="F77" s="48" t="s">
        <v>317</v>
      </c>
      <c r="G77" s="26" t="s">
        <v>318</v>
      </c>
      <c r="H77" s="73" t="s">
        <v>327</v>
      </c>
      <c r="I77" s="49" t="s">
        <v>44</v>
      </c>
      <c r="J77" s="34">
        <v>126776</v>
      </c>
      <c r="K77" s="34">
        <v>73347</v>
      </c>
      <c r="L77" s="34">
        <v>0</v>
      </c>
      <c r="M77" s="34">
        <v>0</v>
      </c>
      <c r="N77" s="34">
        <v>6393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/>
      <c r="W77" s="34"/>
      <c r="X77" s="34"/>
      <c r="Y77" s="31">
        <f t="shared" si="1"/>
        <v>6393</v>
      </c>
      <c r="Z77" s="34">
        <v>6000</v>
      </c>
      <c r="AA77" s="32">
        <v>5</v>
      </c>
      <c r="AB77" s="33">
        <v>44216</v>
      </c>
      <c r="AC77" s="36">
        <v>44225</v>
      </c>
      <c r="AD77" s="34">
        <v>1150</v>
      </c>
      <c r="AE77" s="35">
        <v>16</v>
      </c>
      <c r="AF77" s="33">
        <v>44253</v>
      </c>
      <c r="AG77" s="36">
        <v>44274</v>
      </c>
      <c r="AH77" s="34"/>
      <c r="AI77" s="32"/>
      <c r="AJ77" s="27"/>
      <c r="AK77" s="36"/>
      <c r="AL77" s="34"/>
      <c r="AM77" s="32"/>
      <c r="AN77" s="27"/>
      <c r="AO77" s="36"/>
      <c r="AP77" s="34"/>
      <c r="AQ77" s="32"/>
      <c r="AR77" s="27"/>
      <c r="AS77" s="36"/>
      <c r="AT77" s="34"/>
      <c r="AU77" s="32"/>
      <c r="AV77" s="27"/>
      <c r="AW77" s="36"/>
      <c r="AX77" s="34"/>
      <c r="AY77" s="32"/>
      <c r="AZ77" s="27"/>
      <c r="BA77" s="36"/>
      <c r="BB77" s="34"/>
      <c r="BC77" s="32"/>
      <c r="BD77" s="27"/>
      <c r="BE77" s="36"/>
      <c r="BF77" s="37">
        <f t="shared" si="2"/>
        <v>7150</v>
      </c>
      <c r="BG77" s="38">
        <f t="shared" si="0"/>
        <v>757</v>
      </c>
      <c r="BH77" s="41"/>
      <c r="BI77" s="41"/>
    </row>
    <row r="78" spans="2:61" s="39" customFormat="1" ht="22.5">
      <c r="B78" s="22">
        <f t="shared" si="3"/>
        <v>63</v>
      </c>
      <c r="C78" s="22" t="s">
        <v>39</v>
      </c>
      <c r="D78" s="23">
        <v>40004876</v>
      </c>
      <c r="E78" s="48" t="s">
        <v>397</v>
      </c>
      <c r="F78" s="48" t="s">
        <v>317</v>
      </c>
      <c r="G78" s="26" t="s">
        <v>318</v>
      </c>
      <c r="H78" s="73" t="s">
        <v>327</v>
      </c>
      <c r="I78" s="49" t="s">
        <v>52</v>
      </c>
      <c r="J78" s="34">
        <v>286623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/>
      <c r="W78" s="34"/>
      <c r="X78" s="34"/>
      <c r="Y78" s="31">
        <f t="shared" si="1"/>
        <v>0</v>
      </c>
      <c r="Z78" s="34">
        <v>255000</v>
      </c>
      <c r="AA78" s="32">
        <v>5</v>
      </c>
      <c r="AB78" s="33">
        <v>44216</v>
      </c>
      <c r="AC78" s="36">
        <v>44225</v>
      </c>
      <c r="AD78" s="34">
        <v>499</v>
      </c>
      <c r="AE78" s="35">
        <v>31</v>
      </c>
      <c r="AF78" s="33">
        <v>44378</v>
      </c>
      <c r="AG78" s="36">
        <v>44400</v>
      </c>
      <c r="AH78" s="34"/>
      <c r="AI78" s="32"/>
      <c r="AJ78" s="27"/>
      <c r="AK78" s="36"/>
      <c r="AL78" s="34"/>
      <c r="AM78" s="32"/>
      <c r="AN78" s="27"/>
      <c r="AO78" s="36"/>
      <c r="AP78" s="34"/>
      <c r="AQ78" s="32"/>
      <c r="AR78" s="27"/>
      <c r="AS78" s="36"/>
      <c r="AT78" s="34"/>
      <c r="AU78" s="32"/>
      <c r="AV78" s="27"/>
      <c r="AW78" s="36"/>
      <c r="AX78" s="34"/>
      <c r="AY78" s="32"/>
      <c r="AZ78" s="27"/>
      <c r="BA78" s="36"/>
      <c r="BB78" s="34"/>
      <c r="BC78" s="32"/>
      <c r="BD78" s="27"/>
      <c r="BE78" s="36"/>
      <c r="BF78" s="37">
        <f t="shared" si="2"/>
        <v>255499</v>
      </c>
      <c r="BG78" s="38">
        <f t="shared" si="0"/>
        <v>255499</v>
      </c>
      <c r="BH78" s="41"/>
      <c r="BI78" s="41"/>
    </row>
    <row r="79" spans="2:61" s="39" customFormat="1" ht="22.5">
      <c r="B79" s="22">
        <f t="shared" si="3"/>
        <v>64</v>
      </c>
      <c r="C79" s="22" t="s">
        <v>39</v>
      </c>
      <c r="D79" s="23">
        <v>40004894</v>
      </c>
      <c r="E79" s="48" t="s">
        <v>398</v>
      </c>
      <c r="F79" s="48" t="s">
        <v>317</v>
      </c>
      <c r="G79" s="26" t="s">
        <v>318</v>
      </c>
      <c r="H79" s="73" t="s">
        <v>321</v>
      </c>
      <c r="I79" s="49" t="s">
        <v>52</v>
      </c>
      <c r="J79" s="34">
        <v>403975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/>
      <c r="W79" s="34"/>
      <c r="X79" s="34"/>
      <c r="Y79" s="31">
        <f t="shared" si="1"/>
        <v>0</v>
      </c>
      <c r="Z79" s="34">
        <v>397000</v>
      </c>
      <c r="AA79" s="32">
        <v>5</v>
      </c>
      <c r="AB79" s="33">
        <v>44216</v>
      </c>
      <c r="AC79" s="36">
        <v>44225</v>
      </c>
      <c r="AD79" s="34">
        <v>-397000</v>
      </c>
      <c r="AE79" s="35">
        <v>38</v>
      </c>
      <c r="AF79" s="33">
        <v>44434</v>
      </c>
      <c r="AG79" s="36">
        <v>44448</v>
      </c>
      <c r="AH79" s="34"/>
      <c r="AI79" s="32"/>
      <c r="AJ79" s="27"/>
      <c r="AK79" s="36"/>
      <c r="AL79" s="34"/>
      <c r="AM79" s="32"/>
      <c r="AN79" s="27"/>
      <c r="AO79" s="36"/>
      <c r="AP79" s="34"/>
      <c r="AQ79" s="32"/>
      <c r="AR79" s="27"/>
      <c r="AS79" s="36"/>
      <c r="AT79" s="34"/>
      <c r="AU79" s="32"/>
      <c r="AV79" s="27"/>
      <c r="AW79" s="36"/>
      <c r="AX79" s="34"/>
      <c r="AY79" s="32"/>
      <c r="AZ79" s="27"/>
      <c r="BA79" s="36"/>
      <c r="BB79" s="34"/>
      <c r="BC79" s="32"/>
      <c r="BD79" s="27"/>
      <c r="BE79" s="36"/>
      <c r="BF79" s="37">
        <f t="shared" si="2"/>
        <v>0</v>
      </c>
      <c r="BG79" s="38">
        <f t="shared" si="0"/>
        <v>0</v>
      </c>
      <c r="BH79" s="41"/>
      <c r="BI79" s="41"/>
    </row>
    <row r="80" spans="2:61" s="39" customFormat="1" ht="22.5">
      <c r="B80" s="22">
        <f t="shared" si="3"/>
        <v>65</v>
      </c>
      <c r="C80" s="22" t="s">
        <v>39</v>
      </c>
      <c r="D80" s="23">
        <v>40004902</v>
      </c>
      <c r="E80" s="48" t="s">
        <v>399</v>
      </c>
      <c r="F80" s="48" t="s">
        <v>317</v>
      </c>
      <c r="G80" s="26" t="s">
        <v>318</v>
      </c>
      <c r="H80" s="73" t="s">
        <v>327</v>
      </c>
      <c r="I80" s="49" t="s">
        <v>52</v>
      </c>
      <c r="J80" s="34">
        <v>1392160</v>
      </c>
      <c r="K80" s="34">
        <v>0</v>
      </c>
      <c r="L80" s="34">
        <v>208134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/>
      <c r="W80" s="34"/>
      <c r="X80" s="34"/>
      <c r="Y80" s="31">
        <f t="shared" si="1"/>
        <v>0</v>
      </c>
      <c r="Z80" s="34">
        <v>1010000</v>
      </c>
      <c r="AA80" s="32">
        <v>5</v>
      </c>
      <c r="AB80" s="33">
        <v>44216</v>
      </c>
      <c r="AC80" s="36">
        <v>44225</v>
      </c>
      <c r="AD80" s="34">
        <v>0</v>
      </c>
      <c r="AE80" s="35"/>
      <c r="AF80" s="27"/>
      <c r="AG80" s="36"/>
      <c r="AH80" s="34"/>
      <c r="AI80" s="32"/>
      <c r="AJ80" s="27"/>
      <c r="AK80" s="36"/>
      <c r="AL80" s="34"/>
      <c r="AM80" s="32"/>
      <c r="AN80" s="27"/>
      <c r="AO80" s="36"/>
      <c r="AP80" s="34"/>
      <c r="AQ80" s="32"/>
      <c r="AR80" s="27"/>
      <c r="AS80" s="36"/>
      <c r="AT80" s="34"/>
      <c r="AU80" s="32"/>
      <c r="AV80" s="27"/>
      <c r="AW80" s="36"/>
      <c r="AX80" s="34"/>
      <c r="AY80" s="32"/>
      <c r="AZ80" s="27"/>
      <c r="BA80" s="36"/>
      <c r="BB80" s="34"/>
      <c r="BC80" s="32"/>
      <c r="BD80" s="27"/>
      <c r="BE80" s="36"/>
      <c r="BF80" s="37">
        <f t="shared" si="2"/>
        <v>1010000</v>
      </c>
      <c r="BG80" s="38">
        <f t="shared" ref="BG80:BG109" si="4">+BF80-Y80</f>
        <v>1010000</v>
      </c>
      <c r="BH80" s="41"/>
      <c r="BI80" s="41"/>
    </row>
    <row r="81" spans="2:61" s="39" customFormat="1" ht="22.5">
      <c r="B81" s="22">
        <f t="shared" si="3"/>
        <v>66</v>
      </c>
      <c r="C81" s="22" t="s">
        <v>39</v>
      </c>
      <c r="D81" s="23">
        <v>40004904</v>
      </c>
      <c r="E81" s="48" t="s">
        <v>400</v>
      </c>
      <c r="F81" s="48" t="s">
        <v>317</v>
      </c>
      <c r="G81" s="26" t="s">
        <v>318</v>
      </c>
      <c r="H81" s="73" t="s">
        <v>327</v>
      </c>
      <c r="I81" s="49" t="s">
        <v>44</v>
      </c>
      <c r="J81" s="34">
        <v>174623</v>
      </c>
      <c r="K81" s="34">
        <v>0</v>
      </c>
      <c r="L81" s="34">
        <v>0</v>
      </c>
      <c r="M81" s="34">
        <v>0</v>
      </c>
      <c r="N81" s="34">
        <v>88820</v>
      </c>
      <c r="O81" s="34">
        <v>75055</v>
      </c>
      <c r="P81" s="34">
        <v>958.39200000000005</v>
      </c>
      <c r="Q81" s="34">
        <v>1451.8</v>
      </c>
      <c r="R81" s="34">
        <v>0</v>
      </c>
      <c r="S81" s="34">
        <v>0</v>
      </c>
      <c r="T81" s="34">
        <v>0</v>
      </c>
      <c r="U81" s="34">
        <v>0</v>
      </c>
      <c r="V81" s="34"/>
      <c r="W81" s="34"/>
      <c r="X81" s="34"/>
      <c r="Y81" s="31">
        <f t="shared" ref="Y81:Y110" si="5">SUM(M81:X81)</f>
        <v>166285.19199999998</v>
      </c>
      <c r="Z81" s="34">
        <v>154000</v>
      </c>
      <c r="AA81" s="32">
        <v>5</v>
      </c>
      <c r="AB81" s="33">
        <v>44216</v>
      </c>
      <c r="AC81" s="36">
        <v>44225</v>
      </c>
      <c r="AD81" s="34">
        <v>16932</v>
      </c>
      <c r="AE81" s="35">
        <v>28</v>
      </c>
      <c r="AF81" s="33">
        <v>44357</v>
      </c>
      <c r="AG81" s="36">
        <v>44376</v>
      </c>
      <c r="AH81" s="34"/>
      <c r="AI81" s="32"/>
      <c r="AJ81" s="27"/>
      <c r="AK81" s="36"/>
      <c r="AL81" s="34"/>
      <c r="AM81" s="32"/>
      <c r="AN81" s="27"/>
      <c r="AO81" s="36"/>
      <c r="AP81" s="34"/>
      <c r="AQ81" s="32"/>
      <c r="AR81" s="27"/>
      <c r="AS81" s="36"/>
      <c r="AT81" s="34"/>
      <c r="AU81" s="32"/>
      <c r="AV81" s="27"/>
      <c r="AW81" s="36"/>
      <c r="AX81" s="34"/>
      <c r="AY81" s="32"/>
      <c r="AZ81" s="27"/>
      <c r="BA81" s="36"/>
      <c r="BB81" s="34"/>
      <c r="BC81" s="32"/>
      <c r="BD81" s="27"/>
      <c r="BE81" s="36"/>
      <c r="BF81" s="37">
        <f t="shared" ref="BF81:BF110" si="6">+Z81+AD81+AH81+AL81+AP81+AT81+AX81+BB81</f>
        <v>170932</v>
      </c>
      <c r="BG81" s="38">
        <f t="shared" si="4"/>
        <v>4646.8080000000191</v>
      </c>
      <c r="BH81" s="41"/>
      <c r="BI81" s="41"/>
    </row>
    <row r="82" spans="2:61" s="39" customFormat="1" ht="22.5">
      <c r="B82" s="22">
        <f t="shared" ref="B82:B104" si="7">+B81+1</f>
        <v>67</v>
      </c>
      <c r="C82" s="22" t="s">
        <v>39</v>
      </c>
      <c r="D82" s="23">
        <v>40009168</v>
      </c>
      <c r="E82" s="48" t="s">
        <v>401</v>
      </c>
      <c r="F82" s="48" t="s">
        <v>317</v>
      </c>
      <c r="G82" s="26" t="s">
        <v>318</v>
      </c>
      <c r="H82" s="73" t="s">
        <v>336</v>
      </c>
      <c r="I82" s="49" t="s">
        <v>52</v>
      </c>
      <c r="J82" s="34">
        <v>588580</v>
      </c>
      <c r="K82" s="34">
        <v>0</v>
      </c>
      <c r="L82" s="34">
        <v>6104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/>
      <c r="W82" s="34"/>
      <c r="X82" s="34"/>
      <c r="Y82" s="31">
        <f t="shared" si="5"/>
        <v>0</v>
      </c>
      <c r="Z82" s="34">
        <v>50000</v>
      </c>
      <c r="AA82" s="32">
        <v>5</v>
      </c>
      <c r="AB82" s="33">
        <v>44216</v>
      </c>
      <c r="AC82" s="36">
        <v>44225</v>
      </c>
      <c r="AD82" s="34">
        <v>0</v>
      </c>
      <c r="AE82" s="35"/>
      <c r="AF82" s="27"/>
      <c r="AG82" s="36"/>
      <c r="AH82" s="34"/>
      <c r="AI82" s="32"/>
      <c r="AJ82" s="27"/>
      <c r="AK82" s="36"/>
      <c r="AL82" s="34"/>
      <c r="AM82" s="32"/>
      <c r="AN82" s="27"/>
      <c r="AO82" s="36"/>
      <c r="AP82" s="34"/>
      <c r="AQ82" s="32"/>
      <c r="AR82" s="27"/>
      <c r="AS82" s="36"/>
      <c r="AT82" s="34"/>
      <c r="AU82" s="32"/>
      <c r="AV82" s="27"/>
      <c r="AW82" s="36"/>
      <c r="AX82" s="34"/>
      <c r="AY82" s="32"/>
      <c r="AZ82" s="27"/>
      <c r="BA82" s="36"/>
      <c r="BB82" s="34"/>
      <c r="BC82" s="32"/>
      <c r="BD82" s="27"/>
      <c r="BE82" s="36"/>
      <c r="BF82" s="37">
        <f t="shared" si="6"/>
        <v>50000</v>
      </c>
      <c r="BG82" s="38">
        <f t="shared" si="4"/>
        <v>50000</v>
      </c>
      <c r="BH82" s="41"/>
      <c r="BI82" s="41"/>
    </row>
    <row r="83" spans="2:61" s="39" customFormat="1" ht="22.5">
      <c r="B83" s="22">
        <f t="shared" si="7"/>
        <v>68</v>
      </c>
      <c r="C83" s="22" t="s">
        <v>39</v>
      </c>
      <c r="D83" s="23">
        <v>40009169</v>
      </c>
      <c r="E83" s="48" t="s">
        <v>402</v>
      </c>
      <c r="F83" s="48" t="s">
        <v>317</v>
      </c>
      <c r="G83" s="26" t="s">
        <v>318</v>
      </c>
      <c r="H83" s="73" t="s">
        <v>336</v>
      </c>
      <c r="I83" s="49" t="s">
        <v>52</v>
      </c>
      <c r="J83" s="34">
        <v>732383</v>
      </c>
      <c r="K83" s="34"/>
      <c r="L83" s="34">
        <v>978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/>
      <c r="W83" s="34"/>
      <c r="X83" s="34"/>
      <c r="Y83" s="31">
        <f t="shared" si="5"/>
        <v>0</v>
      </c>
      <c r="Z83" s="34">
        <v>50000</v>
      </c>
      <c r="AA83" s="32">
        <v>5</v>
      </c>
      <c r="AB83" s="33">
        <v>44216</v>
      </c>
      <c r="AC83" s="36">
        <v>44225</v>
      </c>
      <c r="AD83" s="34">
        <v>0</v>
      </c>
      <c r="AE83" s="35"/>
      <c r="AF83" s="27"/>
      <c r="AG83" s="36"/>
      <c r="AH83" s="34"/>
      <c r="AI83" s="32"/>
      <c r="AJ83" s="27"/>
      <c r="AK83" s="36"/>
      <c r="AL83" s="34"/>
      <c r="AM83" s="32"/>
      <c r="AN83" s="27"/>
      <c r="AO83" s="36"/>
      <c r="AP83" s="34"/>
      <c r="AQ83" s="32"/>
      <c r="AR83" s="27"/>
      <c r="AS83" s="36"/>
      <c r="AT83" s="34"/>
      <c r="AU83" s="32"/>
      <c r="AV83" s="27"/>
      <c r="AW83" s="36"/>
      <c r="AX83" s="34"/>
      <c r="AY83" s="32"/>
      <c r="AZ83" s="27"/>
      <c r="BA83" s="36"/>
      <c r="BB83" s="34"/>
      <c r="BC83" s="32"/>
      <c r="BD83" s="27"/>
      <c r="BE83" s="36"/>
      <c r="BF83" s="37">
        <f t="shared" si="6"/>
        <v>50000</v>
      </c>
      <c r="BG83" s="38">
        <f t="shared" si="4"/>
        <v>50000</v>
      </c>
      <c r="BH83" s="41"/>
      <c r="BI83" s="41"/>
    </row>
    <row r="84" spans="2:61" s="39" customFormat="1" ht="22.5">
      <c r="B84" s="22">
        <f t="shared" si="7"/>
        <v>69</v>
      </c>
      <c r="C84" s="22" t="s">
        <v>39</v>
      </c>
      <c r="D84" s="23">
        <v>40009170</v>
      </c>
      <c r="E84" s="48" t="s">
        <v>403</v>
      </c>
      <c r="F84" s="48" t="s">
        <v>317</v>
      </c>
      <c r="G84" s="26" t="s">
        <v>318</v>
      </c>
      <c r="H84" s="73" t="s">
        <v>321</v>
      </c>
      <c r="I84" s="49" t="s">
        <v>52</v>
      </c>
      <c r="J84" s="34">
        <v>797653</v>
      </c>
      <c r="K84" s="34">
        <v>0</v>
      </c>
      <c r="L84" s="34">
        <v>242420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34"/>
      <c r="W84" s="34"/>
      <c r="X84" s="34"/>
      <c r="Y84" s="31">
        <f t="shared" si="5"/>
        <v>0</v>
      </c>
      <c r="Z84" s="34">
        <v>550000</v>
      </c>
      <c r="AA84" s="32">
        <v>5</v>
      </c>
      <c r="AB84" s="33">
        <v>44216</v>
      </c>
      <c r="AC84" s="36">
        <v>44225</v>
      </c>
      <c r="AD84" s="34">
        <v>0</v>
      </c>
      <c r="AE84" s="35"/>
      <c r="AF84" s="27"/>
      <c r="AG84" s="36"/>
      <c r="AH84" s="34"/>
      <c r="AI84" s="32"/>
      <c r="AJ84" s="27"/>
      <c r="AK84" s="36"/>
      <c r="AL84" s="34"/>
      <c r="AM84" s="32"/>
      <c r="AN84" s="27"/>
      <c r="AO84" s="36"/>
      <c r="AP84" s="34"/>
      <c r="AQ84" s="32"/>
      <c r="AR84" s="27"/>
      <c r="AS84" s="36"/>
      <c r="AT84" s="34"/>
      <c r="AU84" s="32"/>
      <c r="AV84" s="27"/>
      <c r="AW84" s="36"/>
      <c r="AX84" s="34"/>
      <c r="AY84" s="32"/>
      <c r="AZ84" s="27"/>
      <c r="BA84" s="36"/>
      <c r="BB84" s="34"/>
      <c r="BC84" s="32"/>
      <c r="BD84" s="27"/>
      <c r="BE84" s="36"/>
      <c r="BF84" s="37">
        <f t="shared" si="6"/>
        <v>550000</v>
      </c>
      <c r="BG84" s="38">
        <f t="shared" si="4"/>
        <v>550000</v>
      </c>
      <c r="BH84" s="41"/>
      <c r="BI84" s="41"/>
    </row>
    <row r="85" spans="2:61" s="39" customFormat="1" ht="22.5">
      <c r="B85" s="22">
        <f t="shared" si="7"/>
        <v>70</v>
      </c>
      <c r="C85" s="22" t="s">
        <v>39</v>
      </c>
      <c r="D85" s="23">
        <v>40010443</v>
      </c>
      <c r="E85" s="48" t="s">
        <v>404</v>
      </c>
      <c r="F85" s="48" t="s">
        <v>317</v>
      </c>
      <c r="G85" s="26" t="s">
        <v>318</v>
      </c>
      <c r="H85" s="73" t="s">
        <v>324</v>
      </c>
      <c r="I85" s="49" t="s">
        <v>52</v>
      </c>
      <c r="J85" s="34">
        <v>2479686</v>
      </c>
      <c r="K85" s="34">
        <v>0</v>
      </c>
      <c r="L85" s="34">
        <v>720994</v>
      </c>
      <c r="M85" s="34">
        <v>0</v>
      </c>
      <c r="N85" s="34">
        <v>0</v>
      </c>
      <c r="O85" s="34">
        <v>0</v>
      </c>
      <c r="P85" s="34">
        <v>35566.767999999996</v>
      </c>
      <c r="Q85" s="34">
        <v>141213.467</v>
      </c>
      <c r="R85" s="34">
        <v>74819.134999999995</v>
      </c>
      <c r="S85" s="34">
        <v>185155.008</v>
      </c>
      <c r="T85" s="34">
        <v>110094.413</v>
      </c>
      <c r="U85" s="34">
        <v>0</v>
      </c>
      <c r="V85" s="34"/>
      <c r="W85" s="34"/>
      <c r="X85" s="34"/>
      <c r="Y85" s="31">
        <f t="shared" si="5"/>
        <v>546848.79099999997</v>
      </c>
      <c r="Z85" s="34">
        <v>1510000</v>
      </c>
      <c r="AA85" s="32">
        <v>5</v>
      </c>
      <c r="AB85" s="33">
        <v>44216</v>
      </c>
      <c r="AC85" s="36">
        <v>44225</v>
      </c>
      <c r="AD85" s="34">
        <v>0</v>
      </c>
      <c r="AE85" s="35"/>
      <c r="AF85" s="27"/>
      <c r="AG85" s="36"/>
      <c r="AH85" s="34"/>
      <c r="AI85" s="32"/>
      <c r="AJ85" s="27"/>
      <c r="AK85" s="36"/>
      <c r="AL85" s="34"/>
      <c r="AM85" s="32"/>
      <c r="AN85" s="27"/>
      <c r="AO85" s="36"/>
      <c r="AP85" s="34"/>
      <c r="AQ85" s="32"/>
      <c r="AR85" s="27"/>
      <c r="AS85" s="36"/>
      <c r="AT85" s="34"/>
      <c r="AU85" s="32"/>
      <c r="AV85" s="27"/>
      <c r="AW85" s="36"/>
      <c r="AX85" s="34"/>
      <c r="AY85" s="32"/>
      <c r="AZ85" s="27"/>
      <c r="BA85" s="36"/>
      <c r="BB85" s="34"/>
      <c r="BC85" s="32"/>
      <c r="BD85" s="27"/>
      <c r="BE85" s="36"/>
      <c r="BF85" s="37">
        <f t="shared" si="6"/>
        <v>1510000</v>
      </c>
      <c r="BG85" s="38">
        <f t="shared" si="4"/>
        <v>963151.20900000003</v>
      </c>
      <c r="BH85" s="41"/>
      <c r="BI85" s="41"/>
    </row>
    <row r="86" spans="2:61" s="39" customFormat="1" ht="22.5">
      <c r="B86" s="22">
        <f t="shared" si="7"/>
        <v>71</v>
      </c>
      <c r="C86" s="22" t="s">
        <v>39</v>
      </c>
      <c r="D86" s="23">
        <v>40012731</v>
      </c>
      <c r="E86" s="48" t="s">
        <v>405</v>
      </c>
      <c r="F86" s="48" t="s">
        <v>317</v>
      </c>
      <c r="G86" s="26" t="s">
        <v>318</v>
      </c>
      <c r="H86" s="73" t="s">
        <v>340</v>
      </c>
      <c r="I86" s="49" t="s">
        <v>52</v>
      </c>
      <c r="J86" s="34">
        <v>1308969</v>
      </c>
      <c r="K86" s="34">
        <v>0</v>
      </c>
      <c r="L86" s="34">
        <v>49023</v>
      </c>
      <c r="M86" s="34">
        <v>0</v>
      </c>
      <c r="N86" s="34">
        <v>119018</v>
      </c>
      <c r="O86" s="34">
        <v>268913</v>
      </c>
      <c r="P86" s="34">
        <v>244595.19899999999</v>
      </c>
      <c r="Q86" s="34">
        <v>103355.495</v>
      </c>
      <c r="R86" s="34">
        <v>86801.307000000001</v>
      </c>
      <c r="S86" s="34">
        <v>85959.698999999993</v>
      </c>
      <c r="T86" s="34">
        <v>136837.04500000001</v>
      </c>
      <c r="U86" s="34">
        <v>0</v>
      </c>
      <c r="V86" s="34"/>
      <c r="W86" s="34"/>
      <c r="X86" s="34"/>
      <c r="Y86" s="31">
        <f t="shared" si="5"/>
        <v>1045479.7450000001</v>
      </c>
      <c r="Z86" s="34">
        <v>800000</v>
      </c>
      <c r="AA86" s="32">
        <v>5</v>
      </c>
      <c r="AB86" s="33">
        <v>44216</v>
      </c>
      <c r="AC86" s="36">
        <v>44225</v>
      </c>
      <c r="AD86" s="34">
        <v>200000</v>
      </c>
      <c r="AE86" s="35">
        <v>28</v>
      </c>
      <c r="AF86" s="33">
        <v>44357</v>
      </c>
      <c r="AG86" s="36">
        <v>44376</v>
      </c>
      <c r="AH86" s="34">
        <v>174128</v>
      </c>
      <c r="AI86" s="32">
        <v>38</v>
      </c>
      <c r="AJ86" s="33">
        <v>44434</v>
      </c>
      <c r="AK86" s="36">
        <v>44448</v>
      </c>
      <c r="AL86" s="34"/>
      <c r="AM86" s="32"/>
      <c r="AN86" s="27"/>
      <c r="AO86" s="36"/>
      <c r="AP86" s="34"/>
      <c r="AQ86" s="32"/>
      <c r="AR86" s="27"/>
      <c r="AS86" s="36"/>
      <c r="AT86" s="34"/>
      <c r="AU86" s="32"/>
      <c r="AV86" s="27"/>
      <c r="AW86" s="36"/>
      <c r="AX86" s="34"/>
      <c r="AY86" s="32"/>
      <c r="AZ86" s="27"/>
      <c r="BA86" s="36"/>
      <c r="BB86" s="34"/>
      <c r="BC86" s="32"/>
      <c r="BD86" s="27"/>
      <c r="BE86" s="36"/>
      <c r="BF86" s="37">
        <f t="shared" si="6"/>
        <v>1174128</v>
      </c>
      <c r="BG86" s="38">
        <f t="shared" si="4"/>
        <v>128648.25499999989</v>
      </c>
      <c r="BH86" s="41"/>
      <c r="BI86" s="41"/>
    </row>
    <row r="87" spans="2:61" s="39" customFormat="1">
      <c r="B87" s="22">
        <f t="shared" si="7"/>
        <v>72</v>
      </c>
      <c r="C87" s="22" t="s">
        <v>39</v>
      </c>
      <c r="D87" s="23">
        <v>40012738</v>
      </c>
      <c r="E87" s="48" t="s">
        <v>406</v>
      </c>
      <c r="F87" s="48" t="s">
        <v>317</v>
      </c>
      <c r="G87" s="26" t="s">
        <v>318</v>
      </c>
      <c r="H87" s="73" t="s">
        <v>340</v>
      </c>
      <c r="I87" s="49" t="s">
        <v>52</v>
      </c>
      <c r="J87" s="34">
        <v>628664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/>
      <c r="W87" s="34"/>
      <c r="X87" s="34"/>
      <c r="Y87" s="31">
        <f t="shared" si="5"/>
        <v>0</v>
      </c>
      <c r="Z87" s="34">
        <v>600000</v>
      </c>
      <c r="AA87" s="32">
        <v>5</v>
      </c>
      <c r="AB87" s="33">
        <v>44216</v>
      </c>
      <c r="AC87" s="36">
        <v>44225</v>
      </c>
      <c r="AD87" s="34">
        <v>0</v>
      </c>
      <c r="AE87" s="35"/>
      <c r="AF87" s="27"/>
      <c r="AG87" s="36"/>
      <c r="AH87" s="34"/>
      <c r="AI87" s="32"/>
      <c r="AJ87" s="27"/>
      <c r="AK87" s="36"/>
      <c r="AL87" s="34"/>
      <c r="AM87" s="32"/>
      <c r="AN87" s="27"/>
      <c r="AO87" s="36"/>
      <c r="AP87" s="34"/>
      <c r="AQ87" s="32"/>
      <c r="AR87" s="27"/>
      <c r="AS87" s="36"/>
      <c r="AT87" s="34"/>
      <c r="AU87" s="32"/>
      <c r="AV87" s="27"/>
      <c r="AW87" s="36"/>
      <c r="AX87" s="34"/>
      <c r="AY87" s="32"/>
      <c r="AZ87" s="27"/>
      <c r="BA87" s="36"/>
      <c r="BB87" s="34"/>
      <c r="BC87" s="32"/>
      <c r="BD87" s="27"/>
      <c r="BE87" s="36"/>
      <c r="BF87" s="37">
        <f t="shared" si="6"/>
        <v>600000</v>
      </c>
      <c r="BG87" s="38">
        <f t="shared" si="4"/>
        <v>600000</v>
      </c>
      <c r="BH87" s="41"/>
      <c r="BI87" s="41"/>
    </row>
    <row r="88" spans="2:61" s="39" customFormat="1">
      <c r="B88" s="22">
        <f t="shared" si="7"/>
        <v>73</v>
      </c>
      <c r="C88" s="22" t="s">
        <v>39</v>
      </c>
      <c r="D88" s="23">
        <v>40013572</v>
      </c>
      <c r="E88" s="48" t="s">
        <v>407</v>
      </c>
      <c r="F88" s="48" t="s">
        <v>317</v>
      </c>
      <c r="G88" s="26" t="s">
        <v>318</v>
      </c>
      <c r="H88" s="73" t="s">
        <v>329</v>
      </c>
      <c r="I88" s="49" t="s">
        <v>52</v>
      </c>
      <c r="J88" s="34">
        <v>482287</v>
      </c>
      <c r="K88" s="34">
        <v>0</v>
      </c>
      <c r="L88" s="34">
        <v>24114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/>
      <c r="W88" s="34"/>
      <c r="X88" s="34"/>
      <c r="Y88" s="31">
        <f t="shared" si="5"/>
        <v>0</v>
      </c>
      <c r="Z88" s="34">
        <v>400000</v>
      </c>
      <c r="AA88" s="32">
        <v>5</v>
      </c>
      <c r="AB88" s="33">
        <v>44216</v>
      </c>
      <c r="AC88" s="36">
        <v>44225</v>
      </c>
      <c r="AD88" s="34">
        <v>0</v>
      </c>
      <c r="AE88" s="35"/>
      <c r="AF88" s="27"/>
      <c r="AG88" s="36"/>
      <c r="AH88" s="34"/>
      <c r="AI88" s="32"/>
      <c r="AJ88" s="27"/>
      <c r="AK88" s="36"/>
      <c r="AL88" s="34"/>
      <c r="AM88" s="32"/>
      <c r="AN88" s="27"/>
      <c r="AO88" s="36"/>
      <c r="AP88" s="34"/>
      <c r="AQ88" s="32"/>
      <c r="AR88" s="27"/>
      <c r="AS88" s="36"/>
      <c r="AT88" s="34"/>
      <c r="AU88" s="32"/>
      <c r="AV88" s="27"/>
      <c r="AW88" s="36"/>
      <c r="AX88" s="34"/>
      <c r="AY88" s="32"/>
      <c r="AZ88" s="27"/>
      <c r="BA88" s="36"/>
      <c r="BB88" s="34"/>
      <c r="BC88" s="32"/>
      <c r="BD88" s="27"/>
      <c r="BE88" s="36"/>
      <c r="BF88" s="37">
        <f t="shared" si="6"/>
        <v>400000</v>
      </c>
      <c r="BG88" s="38">
        <f t="shared" si="4"/>
        <v>400000</v>
      </c>
      <c r="BH88" s="41"/>
      <c r="BI88" s="41"/>
    </row>
    <row r="89" spans="2:61" s="39" customFormat="1">
      <c r="B89" s="22">
        <f t="shared" si="7"/>
        <v>74</v>
      </c>
      <c r="C89" s="22" t="s">
        <v>39</v>
      </c>
      <c r="D89" s="23">
        <v>40015849</v>
      </c>
      <c r="E89" s="48" t="s">
        <v>408</v>
      </c>
      <c r="F89" s="48" t="s">
        <v>317</v>
      </c>
      <c r="G89" s="26" t="s">
        <v>318</v>
      </c>
      <c r="H89" s="73" t="s">
        <v>324</v>
      </c>
      <c r="I89" s="49" t="s">
        <v>52</v>
      </c>
      <c r="J89" s="34">
        <v>4231153</v>
      </c>
      <c r="K89" s="34">
        <v>0</v>
      </c>
      <c r="L89" s="34">
        <v>1634644</v>
      </c>
      <c r="M89" s="34">
        <v>0</v>
      </c>
      <c r="N89" s="34">
        <v>0</v>
      </c>
      <c r="O89" s="34">
        <v>192147</v>
      </c>
      <c r="P89" s="34">
        <v>196528.995</v>
      </c>
      <c r="Q89" s="34">
        <v>117760.97199999999</v>
      </c>
      <c r="R89" s="34">
        <v>0</v>
      </c>
      <c r="S89" s="34">
        <v>47771.057999999997</v>
      </c>
      <c r="T89" s="34">
        <v>145504.57699999999</v>
      </c>
      <c r="U89" s="34">
        <v>16969.280999999999</v>
      </c>
      <c r="V89" s="34"/>
      <c r="W89" s="34"/>
      <c r="X89" s="34"/>
      <c r="Y89" s="31">
        <f t="shared" si="5"/>
        <v>716681.88299999991</v>
      </c>
      <c r="Z89" s="34">
        <v>2515000</v>
      </c>
      <c r="AA89" s="32">
        <v>5</v>
      </c>
      <c r="AB89" s="33">
        <v>44216</v>
      </c>
      <c r="AC89" s="36">
        <v>44225</v>
      </c>
      <c r="AD89" s="34">
        <v>0</v>
      </c>
      <c r="AE89" s="35"/>
      <c r="AF89" s="27"/>
      <c r="AG89" s="36"/>
      <c r="AH89" s="34"/>
      <c r="AI89" s="32"/>
      <c r="AJ89" s="27"/>
      <c r="AK89" s="36"/>
      <c r="AL89" s="34"/>
      <c r="AM89" s="32"/>
      <c r="AN89" s="27"/>
      <c r="AO89" s="36"/>
      <c r="AP89" s="34"/>
      <c r="AQ89" s="32"/>
      <c r="AR89" s="27"/>
      <c r="AS89" s="36"/>
      <c r="AT89" s="34"/>
      <c r="AU89" s="32"/>
      <c r="AV89" s="27"/>
      <c r="AW89" s="36"/>
      <c r="AX89" s="34"/>
      <c r="AY89" s="32"/>
      <c r="AZ89" s="27"/>
      <c r="BA89" s="36"/>
      <c r="BB89" s="34"/>
      <c r="BC89" s="32"/>
      <c r="BD89" s="27"/>
      <c r="BE89" s="36"/>
      <c r="BF89" s="37">
        <f t="shared" si="6"/>
        <v>2515000</v>
      </c>
      <c r="BG89" s="38">
        <f t="shared" si="4"/>
        <v>1798318.1170000001</v>
      </c>
      <c r="BH89" s="41"/>
      <c r="BI89" s="41"/>
    </row>
    <row r="90" spans="2:61" s="39" customFormat="1" ht="22.5">
      <c r="B90" s="22">
        <f t="shared" si="7"/>
        <v>75</v>
      </c>
      <c r="C90" s="22" t="s">
        <v>39</v>
      </c>
      <c r="D90" s="23">
        <v>40016502</v>
      </c>
      <c r="E90" s="48" t="s">
        <v>409</v>
      </c>
      <c r="F90" s="48" t="s">
        <v>317</v>
      </c>
      <c r="G90" s="26" t="s">
        <v>318</v>
      </c>
      <c r="H90" s="73" t="s">
        <v>342</v>
      </c>
      <c r="I90" s="49" t="s">
        <v>52</v>
      </c>
      <c r="J90" s="34">
        <v>3595518</v>
      </c>
      <c r="K90" s="34">
        <v>0</v>
      </c>
      <c r="L90" s="34">
        <v>2082628</v>
      </c>
      <c r="M90" s="34">
        <v>0</v>
      </c>
      <c r="N90" s="34">
        <v>4430</v>
      </c>
      <c r="O90" s="34">
        <v>4430</v>
      </c>
      <c r="P90" s="34">
        <v>280012.766</v>
      </c>
      <c r="Q90" s="34">
        <v>387550.47200000001</v>
      </c>
      <c r="R90" s="34">
        <v>245140.78700000001</v>
      </c>
      <c r="S90" s="34">
        <v>227441.80799999999</v>
      </c>
      <c r="T90" s="34">
        <v>87216.673999999999</v>
      </c>
      <c r="U90" s="34">
        <v>4430</v>
      </c>
      <c r="V90" s="34"/>
      <c r="W90" s="34"/>
      <c r="X90" s="34"/>
      <c r="Y90" s="31">
        <f t="shared" si="5"/>
        <v>1240652.5070000002</v>
      </c>
      <c r="Z90" s="34">
        <v>1500000</v>
      </c>
      <c r="AA90" s="32">
        <v>5</v>
      </c>
      <c r="AB90" s="33">
        <v>44216</v>
      </c>
      <c r="AC90" s="36">
        <v>44225</v>
      </c>
      <c r="AD90" s="34">
        <v>31010</v>
      </c>
      <c r="AE90" s="35">
        <v>16</v>
      </c>
      <c r="AF90" s="33">
        <v>44253</v>
      </c>
      <c r="AG90" s="36">
        <v>44274</v>
      </c>
      <c r="AH90" s="34">
        <v>500000</v>
      </c>
      <c r="AI90" s="32">
        <v>38</v>
      </c>
      <c r="AJ90" s="33">
        <v>44434</v>
      </c>
      <c r="AK90" s="36">
        <v>44448</v>
      </c>
      <c r="AL90" s="34"/>
      <c r="AM90" s="32"/>
      <c r="AN90" s="27"/>
      <c r="AO90" s="36"/>
      <c r="AP90" s="34"/>
      <c r="AQ90" s="32"/>
      <c r="AR90" s="27"/>
      <c r="AS90" s="36"/>
      <c r="AT90" s="34"/>
      <c r="AU90" s="32"/>
      <c r="AV90" s="27"/>
      <c r="AW90" s="36"/>
      <c r="AX90" s="34"/>
      <c r="AY90" s="32"/>
      <c r="AZ90" s="27"/>
      <c r="BA90" s="36"/>
      <c r="BB90" s="34"/>
      <c r="BC90" s="32"/>
      <c r="BD90" s="27"/>
      <c r="BE90" s="36"/>
      <c r="BF90" s="37">
        <f t="shared" si="6"/>
        <v>2031010</v>
      </c>
      <c r="BG90" s="38">
        <f t="shared" si="4"/>
        <v>790357.49299999978</v>
      </c>
      <c r="BH90" s="41"/>
      <c r="BI90" s="41"/>
    </row>
    <row r="91" spans="2:61" s="39" customFormat="1" ht="22.5">
      <c r="B91" s="22">
        <f t="shared" si="7"/>
        <v>76</v>
      </c>
      <c r="C91" s="22" t="s">
        <v>39</v>
      </c>
      <c r="D91" s="23">
        <v>40016698</v>
      </c>
      <c r="E91" s="48" t="s">
        <v>410</v>
      </c>
      <c r="F91" s="48" t="s">
        <v>47</v>
      </c>
      <c r="G91" s="26" t="s">
        <v>318</v>
      </c>
      <c r="H91" s="73" t="s">
        <v>150</v>
      </c>
      <c r="I91" s="49" t="s">
        <v>52</v>
      </c>
      <c r="J91" s="34">
        <v>250000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/>
      <c r="W91" s="34"/>
      <c r="X91" s="34"/>
      <c r="Y91" s="31">
        <f t="shared" si="5"/>
        <v>0</v>
      </c>
      <c r="Z91" s="34">
        <v>70631</v>
      </c>
      <c r="AA91" s="32">
        <v>16</v>
      </c>
      <c r="AB91" s="33">
        <v>44253</v>
      </c>
      <c r="AC91" s="36">
        <v>44274</v>
      </c>
      <c r="AD91" s="34">
        <v>0</v>
      </c>
      <c r="AE91" s="35"/>
      <c r="AF91" s="27"/>
      <c r="AG91" s="36"/>
      <c r="AH91" s="34"/>
      <c r="AI91" s="32"/>
      <c r="AJ91" s="27"/>
      <c r="AK91" s="36"/>
      <c r="AL91" s="34"/>
      <c r="AM91" s="32"/>
      <c r="AN91" s="27"/>
      <c r="AO91" s="36"/>
      <c r="AP91" s="34"/>
      <c r="AQ91" s="32"/>
      <c r="AR91" s="27"/>
      <c r="AS91" s="36"/>
      <c r="AT91" s="34"/>
      <c r="AU91" s="32"/>
      <c r="AV91" s="27"/>
      <c r="AW91" s="36"/>
      <c r="AX91" s="34"/>
      <c r="AY91" s="32"/>
      <c r="AZ91" s="27"/>
      <c r="BA91" s="36"/>
      <c r="BB91" s="34"/>
      <c r="BC91" s="32"/>
      <c r="BD91" s="27"/>
      <c r="BE91" s="36"/>
      <c r="BF91" s="37">
        <f t="shared" si="6"/>
        <v>70631</v>
      </c>
      <c r="BG91" s="38">
        <f t="shared" si="4"/>
        <v>70631</v>
      </c>
      <c r="BH91" s="41"/>
      <c r="BI91" s="41"/>
    </row>
    <row r="92" spans="2:61" s="39" customFormat="1">
      <c r="B92" s="22">
        <f t="shared" si="7"/>
        <v>77</v>
      </c>
      <c r="C92" s="22" t="s">
        <v>39</v>
      </c>
      <c r="D92" s="23">
        <v>40022437</v>
      </c>
      <c r="E92" s="48" t="s">
        <v>411</v>
      </c>
      <c r="F92" s="48" t="s">
        <v>317</v>
      </c>
      <c r="G92" s="26" t="s">
        <v>318</v>
      </c>
      <c r="H92" s="73" t="s">
        <v>324</v>
      </c>
      <c r="I92" s="49" t="s">
        <v>52</v>
      </c>
      <c r="J92" s="34">
        <v>6274105</v>
      </c>
      <c r="K92" s="34">
        <v>0</v>
      </c>
      <c r="L92" s="34">
        <v>0</v>
      </c>
      <c r="M92" s="34">
        <v>0</v>
      </c>
      <c r="N92" s="34">
        <v>376582</v>
      </c>
      <c r="O92" s="34">
        <v>676838</v>
      </c>
      <c r="P92" s="34">
        <v>733507.68900000001</v>
      </c>
      <c r="Q92" s="34">
        <v>745628.42200000002</v>
      </c>
      <c r="R92" s="34">
        <v>1682909.814</v>
      </c>
      <c r="S92" s="34">
        <v>2300</v>
      </c>
      <c r="T92" s="34">
        <v>576727.72100000002</v>
      </c>
      <c r="U92" s="34">
        <v>238841.37899999999</v>
      </c>
      <c r="V92" s="34"/>
      <c r="W92" s="34"/>
      <c r="X92" s="34"/>
      <c r="Y92" s="31">
        <f t="shared" si="5"/>
        <v>5033335.0249999994</v>
      </c>
      <c r="Z92" s="34">
        <v>3010000</v>
      </c>
      <c r="AA92" s="32">
        <v>5</v>
      </c>
      <c r="AB92" s="33">
        <v>44216</v>
      </c>
      <c r="AC92" s="36">
        <v>44225</v>
      </c>
      <c r="AD92" s="34">
        <v>10700</v>
      </c>
      <c r="AE92" s="35">
        <v>19</v>
      </c>
      <c r="AF92" s="33">
        <v>44305</v>
      </c>
      <c r="AG92" s="36">
        <v>44330</v>
      </c>
      <c r="AH92" s="34">
        <v>1000000</v>
      </c>
      <c r="AI92" s="32">
        <v>28</v>
      </c>
      <c r="AJ92" s="33">
        <v>44357</v>
      </c>
      <c r="AK92" s="36">
        <v>44376</v>
      </c>
      <c r="AL92" s="34">
        <v>1000000</v>
      </c>
      <c r="AM92" s="32">
        <v>38</v>
      </c>
      <c r="AN92" s="33">
        <v>44434</v>
      </c>
      <c r="AO92" s="36">
        <v>44448</v>
      </c>
      <c r="AP92" s="34"/>
      <c r="AQ92" s="32"/>
      <c r="AR92" s="27"/>
      <c r="AS92" s="36"/>
      <c r="AT92" s="34"/>
      <c r="AU92" s="32"/>
      <c r="AV92" s="27"/>
      <c r="AW92" s="36"/>
      <c r="AX92" s="34"/>
      <c r="AY92" s="32"/>
      <c r="AZ92" s="27"/>
      <c r="BA92" s="36"/>
      <c r="BB92" s="34"/>
      <c r="BC92" s="32"/>
      <c r="BD92" s="27"/>
      <c r="BE92" s="36"/>
      <c r="BF92" s="37">
        <f t="shared" si="6"/>
        <v>5020700</v>
      </c>
      <c r="BG92" s="38">
        <f t="shared" si="4"/>
        <v>-12635.024999999441</v>
      </c>
      <c r="BH92" s="41"/>
      <c r="BI92" s="41"/>
    </row>
    <row r="93" spans="2:61" s="39" customFormat="1" ht="22.5">
      <c r="B93" s="22">
        <f t="shared" si="7"/>
        <v>78</v>
      </c>
      <c r="C93" s="22" t="s">
        <v>39</v>
      </c>
      <c r="D93" s="23">
        <v>40022951</v>
      </c>
      <c r="E93" s="48" t="s">
        <v>412</v>
      </c>
      <c r="F93" s="48" t="s">
        <v>317</v>
      </c>
      <c r="G93" s="26" t="s">
        <v>318</v>
      </c>
      <c r="H93" s="73" t="s">
        <v>150</v>
      </c>
      <c r="I93" s="49" t="s">
        <v>52</v>
      </c>
      <c r="J93" s="34">
        <v>377817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/>
      <c r="W93" s="34"/>
      <c r="X93" s="34"/>
      <c r="Y93" s="31">
        <f t="shared" si="5"/>
        <v>0</v>
      </c>
      <c r="Z93" s="34">
        <v>56070</v>
      </c>
      <c r="AA93" s="32">
        <v>19</v>
      </c>
      <c r="AB93" s="33">
        <v>44305</v>
      </c>
      <c r="AC93" s="36">
        <v>44330</v>
      </c>
      <c r="AD93" s="34">
        <v>0</v>
      </c>
      <c r="AE93" s="35"/>
      <c r="AF93" s="27"/>
      <c r="AG93" s="36"/>
      <c r="AH93" s="34">
        <v>0</v>
      </c>
      <c r="AI93" s="32"/>
      <c r="AJ93" s="27"/>
      <c r="AK93" s="36"/>
      <c r="AL93" s="34"/>
      <c r="AM93" s="32"/>
      <c r="AN93" s="27"/>
      <c r="AO93" s="36"/>
      <c r="AP93" s="34"/>
      <c r="AQ93" s="32"/>
      <c r="AR93" s="27"/>
      <c r="AS93" s="36"/>
      <c r="AT93" s="34"/>
      <c r="AU93" s="32"/>
      <c r="AV93" s="27"/>
      <c r="AW93" s="36"/>
      <c r="AX93" s="34"/>
      <c r="AY93" s="32"/>
      <c r="AZ93" s="27"/>
      <c r="BA93" s="36"/>
      <c r="BB93" s="34"/>
      <c r="BC93" s="32"/>
      <c r="BD93" s="27"/>
      <c r="BE93" s="36"/>
      <c r="BF93" s="37">
        <f t="shared" si="6"/>
        <v>56070</v>
      </c>
      <c r="BG93" s="38">
        <f t="shared" si="4"/>
        <v>56070</v>
      </c>
      <c r="BH93" s="41"/>
      <c r="BI93" s="41"/>
    </row>
    <row r="94" spans="2:61" s="39" customFormat="1" ht="22.5">
      <c r="B94" s="22">
        <f t="shared" si="7"/>
        <v>79</v>
      </c>
      <c r="C94" s="22" t="s">
        <v>39</v>
      </c>
      <c r="D94" s="23">
        <v>40005634</v>
      </c>
      <c r="E94" s="48" t="s">
        <v>413</v>
      </c>
      <c r="F94" s="48" t="s">
        <v>317</v>
      </c>
      <c r="G94" s="26" t="s">
        <v>318</v>
      </c>
      <c r="H94" s="73" t="s">
        <v>327</v>
      </c>
      <c r="I94" s="49" t="s">
        <v>52</v>
      </c>
      <c r="J94" s="216">
        <v>442480</v>
      </c>
      <c r="K94" s="34">
        <v>0</v>
      </c>
      <c r="L94" s="34">
        <v>368917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0</v>
      </c>
      <c r="V94" s="34"/>
      <c r="W94" s="34"/>
      <c r="X94" s="34"/>
      <c r="Y94" s="31">
        <f t="shared" si="5"/>
        <v>0</v>
      </c>
      <c r="Z94" s="34">
        <v>72349</v>
      </c>
      <c r="AA94" s="32">
        <v>31</v>
      </c>
      <c r="AB94" s="33">
        <v>44378</v>
      </c>
      <c r="AC94" s="36">
        <v>44400</v>
      </c>
      <c r="AD94" s="215"/>
      <c r="AE94" s="35"/>
      <c r="AF94" s="27"/>
      <c r="AG94" s="36"/>
      <c r="AH94" s="34"/>
      <c r="AI94" s="32"/>
      <c r="AJ94" s="27"/>
      <c r="AK94" s="36"/>
      <c r="AL94" s="34"/>
      <c r="AM94" s="32"/>
      <c r="AN94" s="27"/>
      <c r="AO94" s="36"/>
      <c r="AP94" s="34"/>
      <c r="AQ94" s="32"/>
      <c r="AR94" s="27"/>
      <c r="AS94" s="36"/>
      <c r="AT94" s="34"/>
      <c r="AU94" s="32"/>
      <c r="AV94" s="27"/>
      <c r="AW94" s="36"/>
      <c r="AX94" s="34"/>
      <c r="AY94" s="32"/>
      <c r="AZ94" s="27"/>
      <c r="BA94" s="36"/>
      <c r="BB94" s="34"/>
      <c r="BC94" s="32"/>
      <c r="BD94" s="27"/>
      <c r="BE94" s="36"/>
      <c r="BF94" s="37">
        <f t="shared" si="6"/>
        <v>72349</v>
      </c>
      <c r="BG94" s="38">
        <f t="shared" si="4"/>
        <v>72349</v>
      </c>
      <c r="BI94" s="41"/>
    </row>
    <row r="95" spans="2:61" s="39" customFormat="1" ht="22.5">
      <c r="B95" s="22">
        <f t="shared" si="7"/>
        <v>80</v>
      </c>
      <c r="C95" s="22" t="s">
        <v>39</v>
      </c>
      <c r="D95" s="23">
        <v>40021973</v>
      </c>
      <c r="E95" s="48" t="s">
        <v>414</v>
      </c>
      <c r="F95" s="48" t="s">
        <v>317</v>
      </c>
      <c r="G95" s="26" t="s">
        <v>318</v>
      </c>
      <c r="H95" s="73" t="s">
        <v>327</v>
      </c>
      <c r="I95" s="49" t="s">
        <v>52</v>
      </c>
      <c r="J95" s="216">
        <v>840531</v>
      </c>
      <c r="K95" s="34">
        <v>0</v>
      </c>
      <c r="L95" s="34">
        <v>416632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/>
      <c r="W95" s="34"/>
      <c r="X95" s="34"/>
      <c r="Y95" s="31">
        <f t="shared" si="5"/>
        <v>0</v>
      </c>
      <c r="Z95" s="34">
        <v>157511</v>
      </c>
      <c r="AA95" s="32">
        <v>31</v>
      </c>
      <c r="AB95" s="33">
        <v>44378</v>
      </c>
      <c r="AC95" s="36">
        <v>44400</v>
      </c>
      <c r="AD95" s="215"/>
      <c r="AE95" s="35"/>
      <c r="AF95" s="27"/>
      <c r="AG95" s="36"/>
      <c r="AH95" s="34"/>
      <c r="AI95" s="32"/>
      <c r="AJ95" s="27"/>
      <c r="AK95" s="36"/>
      <c r="AL95" s="34"/>
      <c r="AM95" s="32"/>
      <c r="AN95" s="27"/>
      <c r="AO95" s="36"/>
      <c r="AP95" s="34"/>
      <c r="AQ95" s="32"/>
      <c r="AR95" s="27"/>
      <c r="AS95" s="36"/>
      <c r="AT95" s="34"/>
      <c r="AU95" s="32"/>
      <c r="AV95" s="27"/>
      <c r="AW95" s="36"/>
      <c r="AX95" s="34"/>
      <c r="AY95" s="32"/>
      <c r="AZ95" s="27"/>
      <c r="BA95" s="36"/>
      <c r="BB95" s="34"/>
      <c r="BC95" s="32"/>
      <c r="BD95" s="27"/>
      <c r="BE95" s="36"/>
      <c r="BF95" s="37">
        <f t="shared" si="6"/>
        <v>157511</v>
      </c>
      <c r="BG95" s="38">
        <f t="shared" si="4"/>
        <v>157511</v>
      </c>
    </row>
    <row r="96" spans="2:61" s="39" customFormat="1">
      <c r="B96" s="22">
        <f t="shared" si="7"/>
        <v>81</v>
      </c>
      <c r="C96" s="22" t="s">
        <v>39</v>
      </c>
      <c r="D96" s="23">
        <v>30135440</v>
      </c>
      <c r="E96" s="48" t="s">
        <v>415</v>
      </c>
      <c r="F96" s="48" t="s">
        <v>317</v>
      </c>
      <c r="G96" s="26" t="s">
        <v>318</v>
      </c>
      <c r="H96" s="73" t="s">
        <v>321</v>
      </c>
      <c r="I96" s="49" t="s">
        <v>52</v>
      </c>
      <c r="J96" s="216">
        <v>1599802</v>
      </c>
      <c r="K96" s="34">
        <v>0</v>
      </c>
      <c r="L96" s="34">
        <v>1355671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/>
      <c r="W96" s="34"/>
      <c r="X96" s="34"/>
      <c r="Y96" s="31">
        <f t="shared" si="5"/>
        <v>0</v>
      </c>
      <c r="Z96" s="34">
        <v>238022</v>
      </c>
      <c r="AA96" s="32">
        <v>31</v>
      </c>
      <c r="AB96" s="33">
        <v>44378</v>
      </c>
      <c r="AC96" s="36">
        <v>44400</v>
      </c>
      <c r="AD96" s="215"/>
      <c r="AE96" s="35"/>
      <c r="AF96" s="27"/>
      <c r="AG96" s="36"/>
      <c r="AH96" s="34"/>
      <c r="AI96" s="32"/>
      <c r="AJ96" s="27"/>
      <c r="AK96" s="36"/>
      <c r="AL96" s="34"/>
      <c r="AM96" s="32"/>
      <c r="AN96" s="27"/>
      <c r="AO96" s="36"/>
      <c r="AP96" s="34"/>
      <c r="AQ96" s="32"/>
      <c r="AR96" s="27"/>
      <c r="AS96" s="36"/>
      <c r="AT96" s="34"/>
      <c r="AU96" s="32"/>
      <c r="AV96" s="27"/>
      <c r="AW96" s="36"/>
      <c r="AX96" s="34"/>
      <c r="AY96" s="32"/>
      <c r="AZ96" s="27"/>
      <c r="BA96" s="36"/>
      <c r="BB96" s="34"/>
      <c r="BC96" s="32"/>
      <c r="BD96" s="27"/>
      <c r="BE96" s="36"/>
      <c r="BF96" s="37">
        <f t="shared" si="6"/>
        <v>238022</v>
      </c>
      <c r="BG96" s="38">
        <f t="shared" si="4"/>
        <v>238022</v>
      </c>
    </row>
    <row r="97" spans="2:121" s="39" customFormat="1">
      <c r="B97" s="22">
        <f t="shared" si="7"/>
        <v>82</v>
      </c>
      <c r="C97" s="22" t="s">
        <v>39</v>
      </c>
      <c r="D97" s="23">
        <v>40021578</v>
      </c>
      <c r="E97" s="48" t="s">
        <v>416</v>
      </c>
      <c r="F97" s="48" t="s">
        <v>317</v>
      </c>
      <c r="G97" s="26" t="s">
        <v>318</v>
      </c>
      <c r="H97" s="73" t="s">
        <v>329</v>
      </c>
      <c r="I97" s="49" t="s">
        <v>52</v>
      </c>
      <c r="J97" s="216">
        <v>176005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34"/>
      <c r="W97" s="34"/>
      <c r="X97" s="34"/>
      <c r="Y97" s="31">
        <f t="shared" si="5"/>
        <v>0</v>
      </c>
      <c r="Z97" s="34">
        <v>52460</v>
      </c>
      <c r="AA97" s="32">
        <v>38</v>
      </c>
      <c r="AB97" s="33">
        <v>44434</v>
      </c>
      <c r="AC97" s="36">
        <v>44448</v>
      </c>
      <c r="AD97" s="215"/>
      <c r="AE97" s="35"/>
      <c r="AF97" s="27"/>
      <c r="AG97" s="36"/>
      <c r="AH97" s="34"/>
      <c r="AI97" s="32"/>
      <c r="AJ97" s="27"/>
      <c r="AK97" s="36"/>
      <c r="AL97" s="34"/>
      <c r="AM97" s="32"/>
      <c r="AN97" s="27"/>
      <c r="AO97" s="36"/>
      <c r="AP97" s="34"/>
      <c r="AQ97" s="32"/>
      <c r="AR97" s="27"/>
      <c r="AS97" s="36"/>
      <c r="AT97" s="34"/>
      <c r="AU97" s="32"/>
      <c r="AV97" s="27"/>
      <c r="AW97" s="36"/>
      <c r="AX97" s="34"/>
      <c r="AY97" s="32"/>
      <c r="AZ97" s="27"/>
      <c r="BA97" s="36"/>
      <c r="BB97" s="34"/>
      <c r="BC97" s="32"/>
      <c r="BD97" s="27"/>
      <c r="BE97" s="36"/>
      <c r="BF97" s="37">
        <f t="shared" si="6"/>
        <v>52460</v>
      </c>
      <c r="BG97" s="38">
        <f t="shared" si="4"/>
        <v>52460</v>
      </c>
    </row>
    <row r="98" spans="2:121" s="39" customFormat="1" ht="22.5">
      <c r="B98" s="22">
        <f t="shared" si="7"/>
        <v>83</v>
      </c>
      <c r="C98" s="22" t="s">
        <v>39</v>
      </c>
      <c r="D98" s="23">
        <v>30132180</v>
      </c>
      <c r="E98" s="48" t="s">
        <v>417</v>
      </c>
      <c r="F98" s="48" t="s">
        <v>317</v>
      </c>
      <c r="G98" s="26" t="s">
        <v>318</v>
      </c>
      <c r="H98" s="73" t="s">
        <v>329</v>
      </c>
      <c r="I98" s="49" t="s">
        <v>52</v>
      </c>
      <c r="J98" s="216">
        <v>2898740</v>
      </c>
      <c r="K98" s="34">
        <v>0</v>
      </c>
      <c r="L98" s="34">
        <v>725389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/>
      <c r="W98" s="34"/>
      <c r="X98" s="34"/>
      <c r="Y98" s="31">
        <f t="shared" si="5"/>
        <v>0</v>
      </c>
      <c r="Z98" s="34">
        <v>52460</v>
      </c>
      <c r="AA98" s="32">
        <v>38</v>
      </c>
      <c r="AB98" s="33">
        <v>44434</v>
      </c>
      <c r="AC98" s="36">
        <v>44448</v>
      </c>
      <c r="AD98" s="215"/>
      <c r="AE98" s="35"/>
      <c r="AF98" s="27"/>
      <c r="AG98" s="36"/>
      <c r="AH98" s="34"/>
      <c r="AI98" s="32"/>
      <c r="AJ98" s="27"/>
      <c r="AK98" s="36"/>
      <c r="AL98" s="34"/>
      <c r="AM98" s="32"/>
      <c r="AN98" s="27"/>
      <c r="AO98" s="36"/>
      <c r="AP98" s="34"/>
      <c r="AQ98" s="32"/>
      <c r="AR98" s="27"/>
      <c r="AS98" s="36"/>
      <c r="AT98" s="34"/>
      <c r="AU98" s="32"/>
      <c r="AV98" s="27"/>
      <c r="AW98" s="36"/>
      <c r="AX98" s="34"/>
      <c r="AY98" s="32"/>
      <c r="AZ98" s="27"/>
      <c r="BA98" s="36"/>
      <c r="BB98" s="34"/>
      <c r="BC98" s="32"/>
      <c r="BD98" s="27"/>
      <c r="BE98" s="36"/>
      <c r="BF98" s="37">
        <f t="shared" si="6"/>
        <v>52460</v>
      </c>
      <c r="BG98" s="38">
        <f t="shared" si="4"/>
        <v>52460</v>
      </c>
    </row>
    <row r="99" spans="2:121" s="39" customFormat="1">
      <c r="B99" s="22">
        <f t="shared" si="7"/>
        <v>84</v>
      </c>
      <c r="C99" s="22" t="s">
        <v>39</v>
      </c>
      <c r="D99" s="23">
        <v>40004774</v>
      </c>
      <c r="E99" s="48" t="s">
        <v>418</v>
      </c>
      <c r="F99" s="48" t="s">
        <v>317</v>
      </c>
      <c r="G99" s="26" t="s">
        <v>318</v>
      </c>
      <c r="H99" s="73" t="s">
        <v>324</v>
      </c>
      <c r="I99" s="49" t="s">
        <v>52</v>
      </c>
      <c r="J99" s="216">
        <v>1098761</v>
      </c>
      <c r="K99" s="34">
        <v>0</v>
      </c>
      <c r="L99" s="34">
        <v>1035819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/>
      <c r="W99" s="34"/>
      <c r="X99" s="34"/>
      <c r="Y99" s="31">
        <f t="shared" si="5"/>
        <v>0</v>
      </c>
      <c r="Z99" s="34">
        <v>57244</v>
      </c>
      <c r="AA99" s="32">
        <v>38</v>
      </c>
      <c r="AB99" s="33">
        <v>44434</v>
      </c>
      <c r="AC99" s="36">
        <v>44448</v>
      </c>
      <c r="AD99" s="215"/>
      <c r="AE99" s="35"/>
      <c r="AF99" s="27"/>
      <c r="AG99" s="36"/>
      <c r="AH99" s="34"/>
      <c r="AI99" s="32"/>
      <c r="AJ99" s="27"/>
      <c r="AK99" s="36"/>
      <c r="AL99" s="34"/>
      <c r="AM99" s="32"/>
      <c r="AN99" s="27"/>
      <c r="AO99" s="36"/>
      <c r="AP99" s="34"/>
      <c r="AQ99" s="32"/>
      <c r="AR99" s="27"/>
      <c r="AS99" s="36"/>
      <c r="AT99" s="34"/>
      <c r="AU99" s="32"/>
      <c r="AV99" s="27"/>
      <c r="AW99" s="36"/>
      <c r="AX99" s="34"/>
      <c r="AY99" s="32"/>
      <c r="AZ99" s="27"/>
      <c r="BA99" s="36"/>
      <c r="BB99" s="34"/>
      <c r="BC99" s="32"/>
      <c r="BD99" s="27"/>
      <c r="BE99" s="36"/>
      <c r="BF99" s="37">
        <f t="shared" si="6"/>
        <v>57244</v>
      </c>
      <c r="BG99" s="38">
        <f t="shared" si="4"/>
        <v>57244</v>
      </c>
    </row>
    <row r="100" spans="2:121" s="39" customFormat="1" ht="22.5">
      <c r="B100" s="22">
        <f t="shared" si="7"/>
        <v>85</v>
      </c>
      <c r="C100" s="22" t="s">
        <v>39</v>
      </c>
      <c r="D100" s="23">
        <v>40017825</v>
      </c>
      <c r="E100" s="48" t="s">
        <v>419</v>
      </c>
      <c r="F100" s="48" t="s">
        <v>317</v>
      </c>
      <c r="G100" s="26" t="s">
        <v>318</v>
      </c>
      <c r="H100" s="73" t="s">
        <v>324</v>
      </c>
      <c r="I100" s="49" t="s">
        <v>52</v>
      </c>
      <c r="J100" s="216">
        <v>4800844</v>
      </c>
      <c r="K100" s="34">
        <v>0</v>
      </c>
      <c r="L100" s="34">
        <v>593257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34"/>
      <c r="W100" s="34"/>
      <c r="X100" s="34"/>
      <c r="Y100" s="31">
        <f t="shared" si="5"/>
        <v>0</v>
      </c>
      <c r="Z100" s="34">
        <v>87787</v>
      </c>
      <c r="AA100" s="32">
        <v>38</v>
      </c>
      <c r="AB100" s="33">
        <v>44434</v>
      </c>
      <c r="AC100" s="36">
        <v>44448</v>
      </c>
      <c r="AD100" s="215"/>
      <c r="AE100" s="35"/>
      <c r="AF100" s="27"/>
      <c r="AG100" s="36"/>
      <c r="AH100" s="34"/>
      <c r="AI100" s="32"/>
      <c r="AJ100" s="27"/>
      <c r="AK100" s="36"/>
      <c r="AL100" s="34"/>
      <c r="AM100" s="32"/>
      <c r="AN100" s="27"/>
      <c r="AO100" s="36"/>
      <c r="AP100" s="34"/>
      <c r="AQ100" s="32"/>
      <c r="AR100" s="27"/>
      <c r="AS100" s="36"/>
      <c r="AT100" s="34"/>
      <c r="AU100" s="32"/>
      <c r="AV100" s="27"/>
      <c r="AW100" s="36"/>
      <c r="AX100" s="34"/>
      <c r="AY100" s="32"/>
      <c r="AZ100" s="27"/>
      <c r="BA100" s="36"/>
      <c r="BB100" s="34"/>
      <c r="BC100" s="32"/>
      <c r="BD100" s="27"/>
      <c r="BE100" s="36"/>
      <c r="BF100" s="37">
        <f t="shared" si="6"/>
        <v>87787</v>
      </c>
      <c r="BG100" s="38">
        <f t="shared" si="4"/>
        <v>87787</v>
      </c>
    </row>
    <row r="101" spans="2:121" s="39" customFormat="1" ht="22.5">
      <c r="B101" s="22">
        <f t="shared" si="7"/>
        <v>86</v>
      </c>
      <c r="C101" s="22" t="s">
        <v>39</v>
      </c>
      <c r="D101" s="23">
        <v>40021575</v>
      </c>
      <c r="E101" s="48" t="s">
        <v>420</v>
      </c>
      <c r="F101" s="48" t="s">
        <v>317</v>
      </c>
      <c r="G101" s="26" t="s">
        <v>318</v>
      </c>
      <c r="H101" s="73" t="s">
        <v>324</v>
      </c>
      <c r="I101" s="49" t="s">
        <v>52</v>
      </c>
      <c r="J101" s="216">
        <v>2049706</v>
      </c>
      <c r="K101" s="34">
        <v>0</v>
      </c>
      <c r="L101" s="34">
        <v>721706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34"/>
      <c r="W101" s="34"/>
      <c r="X101" s="34"/>
      <c r="Y101" s="31">
        <f t="shared" si="5"/>
        <v>0</v>
      </c>
      <c r="Z101" s="34">
        <v>62000</v>
      </c>
      <c r="AA101" s="32">
        <v>38</v>
      </c>
      <c r="AB101" s="33">
        <v>44434</v>
      </c>
      <c r="AC101" s="36">
        <v>44448</v>
      </c>
      <c r="AD101" s="215"/>
      <c r="AE101" s="35"/>
      <c r="AF101" s="27"/>
      <c r="AG101" s="36"/>
      <c r="AH101" s="34"/>
      <c r="AI101" s="32"/>
      <c r="AJ101" s="27"/>
      <c r="AK101" s="36"/>
      <c r="AL101" s="34"/>
      <c r="AM101" s="32"/>
      <c r="AN101" s="27"/>
      <c r="AO101" s="36"/>
      <c r="AP101" s="34"/>
      <c r="AQ101" s="32"/>
      <c r="AR101" s="27"/>
      <c r="AS101" s="36"/>
      <c r="AT101" s="34"/>
      <c r="AU101" s="32"/>
      <c r="AV101" s="27"/>
      <c r="AW101" s="36"/>
      <c r="AX101" s="34"/>
      <c r="AY101" s="32"/>
      <c r="AZ101" s="27"/>
      <c r="BA101" s="36"/>
      <c r="BB101" s="34"/>
      <c r="BC101" s="32"/>
      <c r="BD101" s="27"/>
      <c r="BE101" s="36"/>
      <c r="BF101" s="37">
        <f t="shared" si="6"/>
        <v>62000</v>
      </c>
      <c r="BG101" s="38">
        <f t="shared" si="4"/>
        <v>62000</v>
      </c>
    </row>
    <row r="102" spans="2:121" s="39" customFormat="1" ht="22.5">
      <c r="B102" s="22">
        <f t="shared" si="7"/>
        <v>87</v>
      </c>
      <c r="C102" s="22" t="s">
        <v>39</v>
      </c>
      <c r="D102" s="23">
        <v>40021421</v>
      </c>
      <c r="E102" s="48" t="s">
        <v>421</v>
      </c>
      <c r="F102" s="48" t="s">
        <v>47</v>
      </c>
      <c r="G102" s="26" t="s">
        <v>318</v>
      </c>
      <c r="H102" s="73" t="s">
        <v>324</v>
      </c>
      <c r="I102" s="49" t="s">
        <v>52</v>
      </c>
      <c r="J102" s="216">
        <v>472297</v>
      </c>
      <c r="K102" s="34">
        <v>0</v>
      </c>
      <c r="L102" s="34">
        <v>109310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/>
      <c r="W102" s="34"/>
      <c r="X102" s="34"/>
      <c r="Y102" s="31">
        <f t="shared" si="5"/>
        <v>0</v>
      </c>
      <c r="Z102" s="34">
        <v>55112</v>
      </c>
      <c r="AA102" s="32">
        <v>38</v>
      </c>
      <c r="AB102" s="33">
        <v>44434</v>
      </c>
      <c r="AC102" s="36">
        <v>44448</v>
      </c>
      <c r="AD102" s="215"/>
      <c r="AE102" s="35"/>
      <c r="AF102" s="27"/>
      <c r="AG102" s="36"/>
      <c r="AH102" s="34"/>
      <c r="AI102" s="32"/>
      <c r="AJ102" s="27"/>
      <c r="AK102" s="36"/>
      <c r="AL102" s="34"/>
      <c r="AM102" s="32"/>
      <c r="AN102" s="27"/>
      <c r="AO102" s="36"/>
      <c r="AP102" s="34"/>
      <c r="AQ102" s="32"/>
      <c r="AR102" s="27"/>
      <c r="AS102" s="36"/>
      <c r="AT102" s="34"/>
      <c r="AU102" s="32"/>
      <c r="AV102" s="27"/>
      <c r="AW102" s="36"/>
      <c r="AX102" s="34"/>
      <c r="AY102" s="32"/>
      <c r="AZ102" s="27"/>
      <c r="BA102" s="36"/>
      <c r="BB102" s="34"/>
      <c r="BC102" s="32"/>
      <c r="BD102" s="27"/>
      <c r="BE102" s="36"/>
      <c r="BF102" s="37">
        <f t="shared" si="6"/>
        <v>55112</v>
      </c>
      <c r="BG102" s="38">
        <f t="shared" si="4"/>
        <v>55112</v>
      </c>
    </row>
    <row r="103" spans="2:121" s="39" customFormat="1" ht="22.5">
      <c r="B103" s="22">
        <f t="shared" si="7"/>
        <v>88</v>
      </c>
      <c r="C103" s="22" t="s">
        <v>39</v>
      </c>
      <c r="D103" s="23">
        <v>40010434</v>
      </c>
      <c r="E103" s="48" t="s">
        <v>422</v>
      </c>
      <c r="F103" s="48" t="s">
        <v>47</v>
      </c>
      <c r="G103" s="26" t="s">
        <v>318</v>
      </c>
      <c r="H103" s="73" t="s">
        <v>324</v>
      </c>
      <c r="I103" s="49" t="s">
        <v>52</v>
      </c>
      <c r="J103" s="216">
        <v>31968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/>
      <c r="W103" s="34"/>
      <c r="X103" s="34"/>
      <c r="Y103" s="31">
        <f t="shared" si="5"/>
        <v>0</v>
      </c>
      <c r="Z103" s="34">
        <v>60947</v>
      </c>
      <c r="AA103" s="32">
        <v>38</v>
      </c>
      <c r="AB103" s="33">
        <v>44434</v>
      </c>
      <c r="AC103" s="36">
        <v>44448</v>
      </c>
      <c r="AD103" s="215"/>
      <c r="AE103" s="35"/>
      <c r="AF103" s="27"/>
      <c r="AG103" s="36"/>
      <c r="AH103" s="34"/>
      <c r="AI103" s="32"/>
      <c r="AJ103" s="27"/>
      <c r="AK103" s="36"/>
      <c r="AL103" s="34"/>
      <c r="AM103" s="32"/>
      <c r="AN103" s="27"/>
      <c r="AO103" s="36"/>
      <c r="AP103" s="34"/>
      <c r="AQ103" s="32"/>
      <c r="AR103" s="27"/>
      <c r="AS103" s="36"/>
      <c r="AT103" s="34"/>
      <c r="AU103" s="32"/>
      <c r="AV103" s="27"/>
      <c r="AW103" s="36"/>
      <c r="AX103" s="34"/>
      <c r="AY103" s="32"/>
      <c r="AZ103" s="27"/>
      <c r="BA103" s="36"/>
      <c r="BB103" s="34"/>
      <c r="BC103" s="32"/>
      <c r="BD103" s="27"/>
      <c r="BE103" s="36"/>
      <c r="BF103" s="37">
        <f t="shared" si="6"/>
        <v>60947</v>
      </c>
      <c r="BG103" s="38">
        <f t="shared" si="4"/>
        <v>60947</v>
      </c>
    </row>
    <row r="104" spans="2:121" s="39" customFormat="1" ht="22.5">
      <c r="B104" s="22">
        <f t="shared" si="7"/>
        <v>89</v>
      </c>
      <c r="C104" s="22" t="s">
        <v>39</v>
      </c>
      <c r="D104" s="23">
        <v>40004894</v>
      </c>
      <c r="E104" s="48" t="s">
        <v>423</v>
      </c>
      <c r="F104" s="48" t="s">
        <v>317</v>
      </c>
      <c r="G104" s="26" t="s">
        <v>318</v>
      </c>
      <c r="H104" s="73" t="s">
        <v>321</v>
      </c>
      <c r="I104" s="49" t="s">
        <v>52</v>
      </c>
      <c r="J104" s="216">
        <v>403975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700</v>
      </c>
      <c r="T104" s="34">
        <v>1400</v>
      </c>
      <c r="U104" s="34">
        <v>73012.343999999997</v>
      </c>
      <c r="V104" s="34"/>
      <c r="W104" s="34"/>
      <c r="X104" s="34"/>
      <c r="Y104" s="31">
        <f t="shared" si="5"/>
        <v>75112.343999999997</v>
      </c>
      <c r="Z104" s="34">
        <v>171291</v>
      </c>
      <c r="AA104" s="32">
        <v>40</v>
      </c>
      <c r="AB104" s="33">
        <v>44439</v>
      </c>
      <c r="AC104" s="36">
        <v>44440</v>
      </c>
      <c r="AD104" s="215"/>
      <c r="AE104" s="35"/>
      <c r="AF104" s="27"/>
      <c r="AG104" s="36"/>
      <c r="AH104" s="34"/>
      <c r="AI104" s="32"/>
      <c r="AJ104" s="27"/>
      <c r="AK104" s="36"/>
      <c r="AL104" s="34"/>
      <c r="AM104" s="32"/>
      <c r="AN104" s="27"/>
      <c r="AO104" s="36"/>
      <c r="AP104" s="34"/>
      <c r="AQ104" s="32"/>
      <c r="AR104" s="27"/>
      <c r="AS104" s="36"/>
      <c r="AT104" s="34"/>
      <c r="AU104" s="32"/>
      <c r="AV104" s="27"/>
      <c r="AW104" s="36"/>
      <c r="AX104" s="34"/>
      <c r="AY104" s="32"/>
      <c r="AZ104" s="27"/>
      <c r="BA104" s="36"/>
      <c r="BB104" s="34"/>
      <c r="BC104" s="32"/>
      <c r="BD104" s="27"/>
      <c r="BE104" s="36"/>
      <c r="BF104" s="37">
        <f t="shared" si="6"/>
        <v>171291</v>
      </c>
      <c r="BG104" s="38">
        <f t="shared" si="4"/>
        <v>96178.656000000003</v>
      </c>
    </row>
    <row r="105" spans="2:121" s="39" customFormat="1">
      <c r="B105" s="22"/>
      <c r="C105" s="22"/>
      <c r="D105" s="23"/>
      <c r="E105" s="48"/>
      <c r="F105" s="48"/>
      <c r="G105" s="26"/>
      <c r="H105" s="73"/>
      <c r="I105" s="49"/>
      <c r="J105" s="216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1">
        <f t="shared" si="5"/>
        <v>0</v>
      </c>
      <c r="Z105" s="34"/>
      <c r="AA105" s="32"/>
      <c r="AB105" s="27"/>
      <c r="AC105" s="36"/>
      <c r="AD105" s="215"/>
      <c r="AE105" s="35"/>
      <c r="AF105" s="27"/>
      <c r="AG105" s="36"/>
      <c r="AH105" s="34"/>
      <c r="AI105" s="32"/>
      <c r="AJ105" s="27"/>
      <c r="AK105" s="36"/>
      <c r="AL105" s="34"/>
      <c r="AM105" s="32"/>
      <c r="AN105" s="27"/>
      <c r="AO105" s="36"/>
      <c r="AP105" s="34"/>
      <c r="AQ105" s="32"/>
      <c r="AR105" s="27"/>
      <c r="AS105" s="36"/>
      <c r="AT105" s="34"/>
      <c r="AU105" s="32"/>
      <c r="AV105" s="27"/>
      <c r="AW105" s="36"/>
      <c r="AX105" s="34"/>
      <c r="AY105" s="32"/>
      <c r="AZ105" s="27"/>
      <c r="BA105" s="36"/>
      <c r="BB105" s="34"/>
      <c r="BC105" s="32"/>
      <c r="BD105" s="27"/>
      <c r="BE105" s="36"/>
      <c r="BF105" s="37">
        <f t="shared" si="6"/>
        <v>0</v>
      </c>
      <c r="BG105" s="38">
        <f t="shared" si="4"/>
        <v>0</v>
      </c>
    </row>
    <row r="106" spans="2:121" s="39" customFormat="1">
      <c r="B106" s="22"/>
      <c r="C106" s="22"/>
      <c r="D106" s="23"/>
      <c r="E106" s="48"/>
      <c r="F106" s="48"/>
      <c r="G106" s="26"/>
      <c r="H106" s="73"/>
      <c r="I106" s="49"/>
      <c r="J106" s="216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1">
        <f t="shared" si="5"/>
        <v>0</v>
      </c>
      <c r="Z106" s="34"/>
      <c r="AA106" s="32"/>
      <c r="AB106" s="27"/>
      <c r="AC106" s="36"/>
      <c r="AD106" s="215"/>
      <c r="AE106" s="35"/>
      <c r="AF106" s="27"/>
      <c r="AG106" s="36"/>
      <c r="AH106" s="34"/>
      <c r="AI106" s="32"/>
      <c r="AJ106" s="27"/>
      <c r="AK106" s="36"/>
      <c r="AL106" s="34"/>
      <c r="AM106" s="32"/>
      <c r="AN106" s="27"/>
      <c r="AO106" s="36"/>
      <c r="AP106" s="34"/>
      <c r="AQ106" s="32"/>
      <c r="AR106" s="27"/>
      <c r="AS106" s="36"/>
      <c r="AT106" s="34"/>
      <c r="AU106" s="32"/>
      <c r="AV106" s="27"/>
      <c r="AW106" s="36"/>
      <c r="AX106" s="34"/>
      <c r="AY106" s="32"/>
      <c r="AZ106" s="27"/>
      <c r="BA106" s="36"/>
      <c r="BB106" s="34"/>
      <c r="BC106" s="32"/>
      <c r="BD106" s="27"/>
      <c r="BE106" s="36"/>
      <c r="BF106" s="37">
        <f t="shared" si="6"/>
        <v>0</v>
      </c>
      <c r="BG106" s="38">
        <f t="shared" si="4"/>
        <v>0</v>
      </c>
    </row>
    <row r="107" spans="2:121" s="39" customFormat="1">
      <c r="B107" s="22"/>
      <c r="C107" s="22"/>
      <c r="D107" s="23"/>
      <c r="E107" s="48"/>
      <c r="F107" s="48"/>
      <c r="G107" s="26"/>
      <c r="H107" s="73"/>
      <c r="I107" s="49"/>
      <c r="J107" s="216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1">
        <f t="shared" si="5"/>
        <v>0</v>
      </c>
      <c r="Z107" s="34"/>
      <c r="AA107" s="32"/>
      <c r="AB107" s="27"/>
      <c r="AC107" s="36"/>
      <c r="AD107" s="215"/>
      <c r="AE107" s="35"/>
      <c r="AF107" s="27"/>
      <c r="AG107" s="36"/>
      <c r="AH107" s="34"/>
      <c r="AI107" s="32"/>
      <c r="AJ107" s="27"/>
      <c r="AK107" s="36"/>
      <c r="AL107" s="34"/>
      <c r="AM107" s="32"/>
      <c r="AN107" s="27"/>
      <c r="AO107" s="36"/>
      <c r="AP107" s="34"/>
      <c r="AQ107" s="32"/>
      <c r="AR107" s="27"/>
      <c r="AS107" s="36"/>
      <c r="AT107" s="34"/>
      <c r="AU107" s="32"/>
      <c r="AV107" s="27"/>
      <c r="AW107" s="36"/>
      <c r="AX107" s="34"/>
      <c r="AY107" s="32"/>
      <c r="AZ107" s="27"/>
      <c r="BA107" s="36"/>
      <c r="BB107" s="34"/>
      <c r="BC107" s="32"/>
      <c r="BD107" s="27"/>
      <c r="BE107" s="36"/>
      <c r="BF107" s="37">
        <f t="shared" si="6"/>
        <v>0</v>
      </c>
      <c r="BG107" s="38">
        <f t="shared" si="4"/>
        <v>0</v>
      </c>
    </row>
    <row r="108" spans="2:121" s="39" customFormat="1">
      <c r="B108" s="22"/>
      <c r="C108" s="22"/>
      <c r="D108" s="23"/>
      <c r="E108" s="48"/>
      <c r="F108" s="48"/>
      <c r="G108" s="26"/>
      <c r="H108" s="73"/>
      <c r="I108" s="49"/>
      <c r="J108" s="216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1">
        <f t="shared" si="5"/>
        <v>0</v>
      </c>
      <c r="Z108" s="34"/>
      <c r="AA108" s="32"/>
      <c r="AB108" s="27"/>
      <c r="AC108" s="36"/>
      <c r="AD108" s="215"/>
      <c r="AE108" s="35"/>
      <c r="AF108" s="27"/>
      <c r="AG108" s="36"/>
      <c r="AH108" s="34"/>
      <c r="AI108" s="32"/>
      <c r="AJ108" s="27"/>
      <c r="AK108" s="36"/>
      <c r="AL108" s="34"/>
      <c r="AM108" s="32"/>
      <c r="AN108" s="27"/>
      <c r="AO108" s="36"/>
      <c r="AP108" s="34"/>
      <c r="AQ108" s="32"/>
      <c r="AR108" s="27"/>
      <c r="AS108" s="36"/>
      <c r="AT108" s="34"/>
      <c r="AU108" s="32"/>
      <c r="AV108" s="27"/>
      <c r="AW108" s="36"/>
      <c r="AX108" s="34"/>
      <c r="AY108" s="32"/>
      <c r="AZ108" s="27"/>
      <c r="BA108" s="36"/>
      <c r="BB108" s="34"/>
      <c r="BC108" s="32"/>
      <c r="BD108" s="27"/>
      <c r="BE108" s="36"/>
      <c r="BF108" s="37">
        <f t="shared" si="6"/>
        <v>0</v>
      </c>
      <c r="BG108" s="38">
        <f t="shared" si="4"/>
        <v>0</v>
      </c>
    </row>
    <row r="109" spans="2:121" s="39" customFormat="1">
      <c r="B109" s="22"/>
      <c r="C109" s="22"/>
      <c r="D109" s="23"/>
      <c r="E109" s="48"/>
      <c r="F109" s="48"/>
      <c r="G109" s="26"/>
      <c r="H109" s="73"/>
      <c r="I109" s="49"/>
      <c r="J109" s="216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1">
        <f t="shared" si="5"/>
        <v>0</v>
      </c>
      <c r="Z109" s="34"/>
      <c r="AA109" s="32"/>
      <c r="AB109" s="27"/>
      <c r="AC109" s="36"/>
      <c r="AD109" s="215"/>
      <c r="AE109" s="35"/>
      <c r="AF109" s="27"/>
      <c r="AG109" s="36"/>
      <c r="AH109" s="34"/>
      <c r="AI109" s="32"/>
      <c r="AJ109" s="27"/>
      <c r="AK109" s="36"/>
      <c r="AL109" s="34"/>
      <c r="AM109" s="32"/>
      <c r="AN109" s="27"/>
      <c r="AO109" s="36"/>
      <c r="AP109" s="34"/>
      <c r="AQ109" s="32"/>
      <c r="AR109" s="27"/>
      <c r="AS109" s="36"/>
      <c r="AT109" s="34"/>
      <c r="AU109" s="32"/>
      <c r="AV109" s="27"/>
      <c r="AW109" s="36"/>
      <c r="AX109" s="34"/>
      <c r="AY109" s="32"/>
      <c r="AZ109" s="27"/>
      <c r="BA109" s="36"/>
      <c r="BB109" s="34"/>
      <c r="BC109" s="32"/>
      <c r="BD109" s="27"/>
      <c r="BE109" s="36"/>
      <c r="BF109" s="37">
        <f t="shared" si="6"/>
        <v>0</v>
      </c>
      <c r="BG109" s="38">
        <f t="shared" si="4"/>
        <v>0</v>
      </c>
    </row>
    <row r="110" spans="2:121" s="39" customFormat="1">
      <c r="B110" s="22"/>
      <c r="C110" s="22"/>
      <c r="D110" s="23"/>
      <c r="E110" s="48"/>
      <c r="F110" s="48"/>
      <c r="G110" s="26"/>
      <c r="H110" s="73"/>
      <c r="I110" s="217"/>
      <c r="J110" s="216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>
        <f t="shared" si="5"/>
        <v>0</v>
      </c>
      <c r="Z110" s="34"/>
      <c r="AA110" s="32"/>
      <c r="AB110" s="27"/>
      <c r="AC110" s="36"/>
      <c r="AD110" s="215"/>
      <c r="AE110" s="35"/>
      <c r="AF110" s="27"/>
      <c r="AG110" s="36"/>
      <c r="AH110" s="34"/>
      <c r="AI110" s="32"/>
      <c r="AJ110" s="27"/>
      <c r="AK110" s="36"/>
      <c r="AL110" s="34"/>
      <c r="AM110" s="32"/>
      <c r="AN110" s="27"/>
      <c r="AO110" s="36"/>
      <c r="AP110" s="34"/>
      <c r="AQ110" s="32"/>
      <c r="AR110" s="27"/>
      <c r="AS110" s="36"/>
      <c r="AT110" s="34"/>
      <c r="AU110" s="32"/>
      <c r="AV110" s="27"/>
      <c r="AW110" s="36"/>
      <c r="AX110" s="34"/>
      <c r="AY110" s="32"/>
      <c r="AZ110" s="27"/>
      <c r="BA110" s="36"/>
      <c r="BB110" s="34"/>
      <c r="BC110" s="32"/>
      <c r="BD110" s="27"/>
      <c r="BE110" s="36"/>
      <c r="BF110" s="37">
        <f t="shared" si="6"/>
        <v>0</v>
      </c>
      <c r="BG110" s="38">
        <f>+BF110-Y110</f>
        <v>0</v>
      </c>
      <c r="BH110" s="123"/>
    </row>
    <row r="111" spans="2:121" ht="15" customHeight="1">
      <c r="B111" s="749" t="s">
        <v>134</v>
      </c>
      <c r="C111" s="750"/>
      <c r="D111" s="750"/>
      <c r="E111" s="750"/>
      <c r="F111" s="750"/>
      <c r="G111" s="750"/>
      <c r="H111" s="750"/>
      <c r="I111" s="751"/>
      <c r="J111" s="79"/>
      <c r="K111" s="59">
        <f>SUBTOTAL(9,K16:K105)</f>
        <v>82566606</v>
      </c>
      <c r="L111" s="59">
        <f t="shared" ref="L111:X111" si="8">SUBTOTAL(9,L16:L105)</f>
        <v>40728637</v>
      </c>
      <c r="M111" s="59">
        <f t="shared" si="8"/>
        <v>0</v>
      </c>
      <c r="N111" s="59">
        <f t="shared" si="8"/>
        <v>2581619</v>
      </c>
      <c r="O111" s="59">
        <f t="shared" si="8"/>
        <v>3325882</v>
      </c>
      <c r="P111" s="59">
        <f t="shared" si="8"/>
        <v>4244741.1720000003</v>
      </c>
      <c r="Q111" s="59">
        <f>SUBTOTAL(9,Q16:Q105)</f>
        <v>4009474.0530000003</v>
      </c>
      <c r="R111" s="59">
        <f t="shared" si="8"/>
        <v>5012585.9899999993</v>
      </c>
      <c r="S111" s="59">
        <f t="shared" si="8"/>
        <v>3093588.5009999997</v>
      </c>
      <c r="T111" s="59">
        <f>SUBTOTAL(9,T16:T108)</f>
        <v>3378790.4580000001</v>
      </c>
      <c r="U111" s="59">
        <f t="shared" si="8"/>
        <v>2112644.1430000002</v>
      </c>
      <c r="V111" s="59">
        <f t="shared" si="8"/>
        <v>0</v>
      </c>
      <c r="W111" s="59">
        <f t="shared" si="8"/>
        <v>0</v>
      </c>
      <c r="X111" s="59">
        <f t="shared" si="8"/>
        <v>0</v>
      </c>
      <c r="Y111" s="59">
        <f>SUBTOTAL(9,Y16:Y105)</f>
        <v>27759325.317000005</v>
      </c>
      <c r="Z111" s="59">
        <f>SUBTOTAL(9,Z16:Z105)</f>
        <v>44913961</v>
      </c>
      <c r="AA111" s="59"/>
      <c r="AB111" s="59"/>
      <c r="AC111" s="59"/>
      <c r="AD111" s="59">
        <f>SUBTOTAL(9,AD16:AD105)</f>
        <v>-179083</v>
      </c>
      <c r="AE111" s="59"/>
      <c r="AF111" s="59"/>
      <c r="AG111" s="59"/>
      <c r="AH111" s="59">
        <f>SUBTOTAL(9,AH16:AH105)</f>
        <v>2975088</v>
      </c>
      <c r="AI111" s="59"/>
      <c r="AJ111" s="59"/>
      <c r="AK111" s="59"/>
      <c r="AL111" s="59">
        <f>SUBTOTAL(9,AL16:AL105)</f>
        <v>1532179</v>
      </c>
      <c r="AM111" s="59"/>
      <c r="AN111" s="59"/>
      <c r="AO111" s="59"/>
      <c r="AP111" s="59">
        <f>SUBTOTAL(9,AP16:AP105)</f>
        <v>-691893</v>
      </c>
      <c r="AQ111" s="59"/>
      <c r="AR111" s="59"/>
      <c r="AS111" s="59"/>
      <c r="AT111" s="59">
        <f>SUBTOTAL(9,AT16:AT105)</f>
        <v>-1891318</v>
      </c>
      <c r="AU111" s="59"/>
      <c r="AV111" s="59"/>
      <c r="AW111" s="59"/>
      <c r="AX111" s="59">
        <f>SUBTOTAL(9,AX16:AX105)</f>
        <v>-514225</v>
      </c>
      <c r="AY111" s="59"/>
      <c r="AZ111" s="59"/>
      <c r="BA111" s="59"/>
      <c r="BB111" s="59">
        <f>SUBTOTAL(9,BB16:BB105)</f>
        <v>-1611671</v>
      </c>
      <c r="BC111" s="59"/>
      <c r="BD111" s="59"/>
      <c r="BE111" s="59"/>
      <c r="BF111" s="59">
        <f>SUBTOTAL(9,BF16:BF105)</f>
        <v>44533038</v>
      </c>
      <c r="BG111" s="59">
        <f>SUBTOTAL(9,BG16:BG105)</f>
        <v>16773712.682999998</v>
      </c>
      <c r="DH111" s="123"/>
      <c r="DI111" s="123"/>
      <c r="DJ111" s="123"/>
      <c r="DK111" s="123"/>
      <c r="DL111" s="123"/>
      <c r="DM111" s="123"/>
      <c r="DN111" s="123"/>
      <c r="DO111" s="123"/>
      <c r="DP111" s="123"/>
      <c r="DQ111" s="123"/>
    </row>
    <row r="112" spans="2:121" s="123" customFormat="1" ht="20.25" customHeight="1">
      <c r="B112" s="752"/>
      <c r="C112" s="752"/>
      <c r="D112" s="752"/>
      <c r="E112" s="752"/>
      <c r="F112" s="140"/>
      <c r="G112" s="125"/>
      <c r="H112" s="125"/>
      <c r="AA112" s="74"/>
      <c r="AD112" s="208"/>
      <c r="AE112" s="124"/>
      <c r="AI112" s="74"/>
      <c r="AM112" s="74"/>
      <c r="AQ112" s="74"/>
      <c r="AU112" s="74"/>
      <c r="AY112" s="74"/>
      <c r="BC112" s="74"/>
    </row>
    <row r="113" spans="2:58" s="123" customFormat="1">
      <c r="B113" s="748"/>
      <c r="C113" s="748"/>
      <c r="D113" s="748"/>
      <c r="E113" s="748"/>
      <c r="F113" s="748"/>
      <c r="G113" s="748"/>
      <c r="H113" s="748"/>
      <c r="I113" s="748"/>
      <c r="J113" s="748"/>
      <c r="K113" s="748"/>
      <c r="L113" s="748"/>
      <c r="M113" s="748"/>
      <c r="N113" s="748"/>
      <c r="O113" s="748"/>
      <c r="P113" s="748"/>
      <c r="Q113" s="748"/>
      <c r="R113" s="748"/>
      <c r="S113" s="748"/>
      <c r="T113" s="748"/>
      <c r="U113" s="748"/>
      <c r="V113" s="748"/>
      <c r="W113" s="748"/>
      <c r="X113" s="748"/>
      <c r="Y113" s="748"/>
      <c r="Z113" s="748"/>
      <c r="AA113" s="748"/>
      <c r="AB113" s="748"/>
      <c r="AC113" s="748"/>
      <c r="AD113" s="208"/>
      <c r="AE113" s="209"/>
      <c r="AF113" s="210"/>
      <c r="AG113" s="210"/>
      <c r="AH113" s="210"/>
      <c r="AI113" s="211"/>
      <c r="AJ113" s="210"/>
      <c r="AK113" s="210"/>
      <c r="AL113" s="210"/>
      <c r="AM113" s="211"/>
      <c r="AN113" s="210"/>
      <c r="AO113" s="210"/>
      <c r="AP113" s="210"/>
      <c r="AQ113" s="211"/>
      <c r="AR113" s="210"/>
      <c r="AS113" s="210"/>
      <c r="AT113" s="210"/>
      <c r="AU113" s="211"/>
      <c r="AV113" s="210"/>
      <c r="AW113" s="210"/>
      <c r="AX113" s="210"/>
      <c r="AY113" s="211"/>
      <c r="AZ113" s="210"/>
      <c r="BA113" s="210"/>
      <c r="BB113" s="210"/>
      <c r="BC113" s="211"/>
      <c r="BD113" s="210"/>
      <c r="BE113" s="210"/>
      <c r="BF113" s="124">
        <f>+'[3]INVERSIÓN 31.'!$O$55+'[3]INVERSIÓN 31.'!$P$55+[2]Resoluciones!$O$9113+[2]Resoluciones!$P$9113</f>
        <v>1280455</v>
      </c>
    </row>
    <row r="114" spans="2:58" s="123" customFormat="1">
      <c r="B114" s="125"/>
      <c r="D114" s="125"/>
      <c r="Y114" s="212"/>
      <c r="AA114" s="74"/>
      <c r="AD114" s="208"/>
      <c r="AE114" s="124"/>
      <c r="AI114" s="74"/>
      <c r="AM114" s="74"/>
      <c r="AQ114" s="74"/>
      <c r="AU114" s="74"/>
      <c r="AY114" s="74"/>
      <c r="BC114" s="74"/>
      <c r="BF114" s="124">
        <f>+BF111-BF113</f>
        <v>43252583</v>
      </c>
    </row>
    <row r="115" spans="2:58" s="123" customFormat="1">
      <c r="B115" s="125"/>
      <c r="D115" s="125"/>
      <c r="Y115" s="213"/>
      <c r="AA115" s="74"/>
      <c r="AD115" s="208"/>
      <c r="AE115" s="124"/>
      <c r="AI115" s="74"/>
      <c r="AM115" s="74"/>
      <c r="AQ115" s="74"/>
      <c r="AU115" s="74"/>
      <c r="AY115" s="74"/>
      <c r="BC115" s="74"/>
    </row>
    <row r="116" spans="2:58" s="123" customFormat="1">
      <c r="B116" s="125"/>
      <c r="D116" s="125"/>
      <c r="AA116" s="74"/>
      <c r="AD116" s="208"/>
      <c r="AE116" s="124"/>
      <c r="AI116" s="74"/>
      <c r="AM116" s="74"/>
      <c r="AQ116" s="74"/>
      <c r="AU116" s="74"/>
      <c r="AY116" s="74"/>
      <c r="BC116" s="74"/>
    </row>
    <row r="117" spans="2:58" s="123" customFormat="1">
      <c r="B117" s="125"/>
      <c r="D117" s="125"/>
      <c r="AA117" s="74"/>
      <c r="AD117" s="208"/>
      <c r="AE117" s="124"/>
      <c r="AI117" s="74"/>
      <c r="AM117" s="74"/>
      <c r="AQ117" s="74"/>
      <c r="AU117" s="74"/>
      <c r="AY117" s="74"/>
      <c r="BC117" s="74"/>
    </row>
    <row r="118" spans="2:58" s="123" customFormat="1">
      <c r="B118" s="125"/>
      <c r="D118" s="125"/>
      <c r="AA118" s="74"/>
      <c r="AD118" s="208"/>
      <c r="AE118" s="124"/>
      <c r="AI118" s="74"/>
      <c r="AM118" s="74"/>
      <c r="AQ118" s="74"/>
      <c r="AU118" s="74"/>
      <c r="AY118" s="74"/>
      <c r="BC118" s="74"/>
    </row>
    <row r="119" spans="2:58" s="123" customFormat="1">
      <c r="B119" s="125"/>
      <c r="D119" s="125"/>
      <c r="AA119" s="74"/>
      <c r="AD119" s="208"/>
      <c r="AE119" s="124"/>
      <c r="AI119" s="74"/>
      <c r="AM119" s="74"/>
      <c r="AQ119" s="74"/>
      <c r="AU119" s="74"/>
      <c r="AY119" s="74"/>
      <c r="BC119" s="74"/>
    </row>
    <row r="120" spans="2:58" s="123" customFormat="1">
      <c r="B120" s="125"/>
      <c r="D120" s="125"/>
      <c r="AA120" s="212"/>
      <c r="AB120" s="212"/>
      <c r="AC120" s="213"/>
      <c r="AD120" s="208"/>
      <c r="AE120" s="124"/>
      <c r="AI120" s="74"/>
      <c r="AM120" s="74"/>
      <c r="AQ120" s="74"/>
      <c r="AU120" s="74"/>
      <c r="AY120" s="74"/>
      <c r="BC120" s="74"/>
    </row>
    <row r="121" spans="2:58" s="123" customFormat="1">
      <c r="B121" s="125"/>
      <c r="D121" s="125"/>
      <c r="AA121" s="74"/>
      <c r="AC121" s="213"/>
      <c r="AD121" s="208"/>
      <c r="AE121" s="124"/>
      <c r="AI121" s="74"/>
      <c r="AM121" s="74"/>
      <c r="AQ121" s="74"/>
      <c r="AU121" s="74"/>
      <c r="AY121" s="74"/>
      <c r="BC121" s="74"/>
    </row>
    <row r="122" spans="2:58" s="123" customFormat="1">
      <c r="B122" s="125"/>
      <c r="D122" s="125"/>
      <c r="AA122" s="74"/>
      <c r="AC122" s="213"/>
      <c r="AD122" s="208"/>
      <c r="AE122" s="124"/>
      <c r="AI122" s="74"/>
      <c r="AM122" s="74"/>
      <c r="AQ122" s="74"/>
      <c r="AU122" s="74"/>
      <c r="AY122" s="74"/>
      <c r="BC122" s="74"/>
    </row>
    <row r="123" spans="2:58" s="123" customFormat="1">
      <c r="B123" s="125"/>
      <c r="D123" s="125"/>
      <c r="AA123" s="212"/>
      <c r="AB123" s="212"/>
      <c r="AC123" s="212"/>
      <c r="AD123" s="208"/>
      <c r="AE123" s="124"/>
      <c r="AI123" s="74"/>
      <c r="AM123" s="74"/>
      <c r="AQ123" s="74"/>
      <c r="AU123" s="74"/>
      <c r="AY123" s="74"/>
      <c r="BC123" s="74"/>
    </row>
    <row r="124" spans="2:58" s="123" customFormat="1">
      <c r="B124" s="125"/>
      <c r="D124" s="125"/>
      <c r="AA124" s="212"/>
      <c r="AB124" s="212"/>
      <c r="AC124" s="212"/>
      <c r="AD124" s="208"/>
      <c r="AE124" s="124"/>
      <c r="AI124" s="74"/>
      <c r="AM124" s="74"/>
      <c r="AQ124" s="74"/>
      <c r="AU124" s="74"/>
      <c r="AY124" s="74"/>
      <c r="BC124" s="74"/>
    </row>
    <row r="125" spans="2:58" s="123" customFormat="1">
      <c r="B125" s="125"/>
      <c r="D125" s="125"/>
      <c r="AA125" s="212"/>
      <c r="AB125" s="212"/>
      <c r="AC125" s="212"/>
      <c r="AD125" s="208"/>
      <c r="AE125" s="124"/>
      <c r="AI125" s="74"/>
      <c r="AM125" s="74"/>
      <c r="AQ125" s="74"/>
      <c r="AU125" s="74"/>
      <c r="AY125" s="74"/>
      <c r="BC125" s="74"/>
    </row>
    <row r="126" spans="2:58" s="123" customFormat="1">
      <c r="B126" s="125"/>
      <c r="D126" s="125"/>
      <c r="AA126" s="212"/>
      <c r="AB126" s="212"/>
      <c r="AC126" s="212"/>
      <c r="AD126" s="208"/>
      <c r="AE126" s="124"/>
      <c r="AI126" s="74"/>
      <c r="AM126" s="74"/>
      <c r="AQ126" s="74"/>
      <c r="AU126" s="74"/>
      <c r="AY126" s="74"/>
      <c r="BC126" s="74"/>
    </row>
    <row r="127" spans="2:58" s="123" customFormat="1">
      <c r="B127" s="125"/>
      <c r="D127" s="125"/>
      <c r="AA127" s="212"/>
      <c r="AB127" s="212"/>
      <c r="AC127" s="212"/>
      <c r="AD127" s="208"/>
      <c r="AE127" s="124"/>
      <c r="AI127" s="74"/>
      <c r="AM127" s="74"/>
      <c r="AQ127" s="74"/>
      <c r="AU127" s="74"/>
      <c r="AY127" s="74"/>
      <c r="BC127" s="74"/>
    </row>
    <row r="128" spans="2:58" s="123" customFormat="1">
      <c r="B128" s="125"/>
      <c r="D128" s="125"/>
      <c r="AA128" s="212"/>
      <c r="AB128" s="212"/>
      <c r="AC128" s="212"/>
      <c r="AD128" s="208"/>
      <c r="AE128" s="124"/>
      <c r="AI128" s="74"/>
      <c r="AM128" s="74"/>
      <c r="AQ128" s="74"/>
      <c r="AU128" s="74"/>
      <c r="AY128" s="74"/>
      <c r="BC128" s="74"/>
    </row>
    <row r="129" spans="2:55" s="123" customFormat="1">
      <c r="B129" s="125"/>
      <c r="D129" s="125"/>
      <c r="AA129" s="212"/>
      <c r="AB129" s="212"/>
      <c r="AC129" s="212"/>
      <c r="AD129" s="208"/>
      <c r="AE129" s="124"/>
      <c r="AI129" s="74"/>
      <c r="AM129" s="74"/>
      <c r="AQ129" s="74"/>
      <c r="AU129" s="74"/>
      <c r="AY129" s="74"/>
      <c r="BC129" s="74"/>
    </row>
    <row r="130" spans="2:55" s="123" customFormat="1">
      <c r="B130" s="125"/>
      <c r="D130" s="125"/>
      <c r="AA130" s="212"/>
      <c r="AD130" s="208"/>
      <c r="AE130" s="124"/>
      <c r="AI130" s="74"/>
      <c r="AM130" s="74"/>
      <c r="AQ130" s="74"/>
      <c r="AU130" s="74"/>
      <c r="AY130" s="74"/>
      <c r="BC130" s="74"/>
    </row>
    <row r="131" spans="2:55" s="123" customFormat="1">
      <c r="B131" s="125"/>
      <c r="D131" s="125"/>
      <c r="AA131" s="74"/>
      <c r="AD131" s="208"/>
      <c r="AE131" s="124"/>
      <c r="AI131" s="74"/>
      <c r="AM131" s="74"/>
      <c r="AQ131" s="74"/>
      <c r="AU131" s="74"/>
      <c r="AY131" s="74"/>
      <c r="BC131" s="74"/>
    </row>
    <row r="132" spans="2:55" s="123" customFormat="1">
      <c r="B132" s="125"/>
      <c r="D132" s="125"/>
      <c r="AA132" s="74"/>
      <c r="AD132" s="208"/>
      <c r="AE132" s="124"/>
      <c r="AI132" s="74"/>
      <c r="AM132" s="74"/>
      <c r="AQ132" s="74"/>
      <c r="AU132" s="74"/>
      <c r="AY132" s="74"/>
      <c r="BC132" s="74"/>
    </row>
    <row r="133" spans="2:55" s="123" customFormat="1">
      <c r="B133" s="125"/>
      <c r="D133" s="125"/>
      <c r="AA133" s="74"/>
      <c r="AD133" s="208"/>
      <c r="AE133" s="124"/>
      <c r="AI133" s="74"/>
      <c r="AM133" s="74"/>
      <c r="AQ133" s="74"/>
      <c r="AU133" s="74"/>
      <c r="AY133" s="74"/>
      <c r="BC133" s="74"/>
    </row>
    <row r="134" spans="2:55" s="123" customFormat="1">
      <c r="B134" s="125"/>
      <c r="D134" s="125"/>
      <c r="AA134" s="74"/>
      <c r="AD134" s="208"/>
      <c r="AE134" s="124"/>
      <c r="AI134" s="74"/>
      <c r="AM134" s="74"/>
      <c r="AQ134" s="74"/>
      <c r="AU134" s="74"/>
      <c r="AY134" s="74"/>
      <c r="BC134" s="74"/>
    </row>
    <row r="135" spans="2:55" s="123" customFormat="1">
      <c r="B135" s="125"/>
      <c r="D135" s="125"/>
      <c r="AA135" s="74"/>
      <c r="AD135" s="208"/>
      <c r="AE135" s="124"/>
      <c r="AI135" s="74"/>
      <c r="AM135" s="74"/>
      <c r="AQ135" s="74"/>
      <c r="AU135" s="74"/>
      <c r="AY135" s="74"/>
      <c r="BC135" s="74"/>
    </row>
    <row r="136" spans="2:55" s="123" customFormat="1">
      <c r="B136" s="125"/>
      <c r="D136" s="125"/>
      <c r="AA136" s="74"/>
      <c r="AD136" s="208"/>
      <c r="AE136" s="124"/>
      <c r="AI136" s="74"/>
      <c r="AM136" s="74"/>
      <c r="AQ136" s="74"/>
      <c r="AU136" s="74"/>
      <c r="AY136" s="74"/>
      <c r="BC136" s="74"/>
    </row>
    <row r="137" spans="2:55" s="123" customFormat="1">
      <c r="B137" s="125"/>
      <c r="D137" s="125"/>
      <c r="AA137" s="74"/>
      <c r="AD137" s="208"/>
      <c r="AE137" s="124"/>
      <c r="AI137" s="74"/>
      <c r="AM137" s="74"/>
      <c r="AQ137" s="74"/>
      <c r="AU137" s="74"/>
      <c r="AY137" s="74"/>
      <c r="BC137" s="74"/>
    </row>
    <row r="138" spans="2:55" s="123" customFormat="1">
      <c r="B138" s="125"/>
      <c r="D138" s="125"/>
      <c r="AA138" s="74"/>
      <c r="AD138" s="208"/>
      <c r="AE138" s="124"/>
      <c r="AI138" s="74"/>
      <c r="AM138" s="74"/>
      <c r="AQ138" s="74"/>
      <c r="AU138" s="74"/>
      <c r="AY138" s="74"/>
      <c r="BC138" s="74"/>
    </row>
    <row r="139" spans="2:55" s="123" customFormat="1">
      <c r="B139" s="125"/>
      <c r="D139" s="125"/>
      <c r="AA139" s="74"/>
      <c r="AD139" s="208"/>
      <c r="AE139" s="124"/>
      <c r="AI139" s="74"/>
      <c r="AM139" s="74"/>
      <c r="AQ139" s="74"/>
      <c r="AU139" s="74"/>
      <c r="AY139" s="74"/>
      <c r="BC139" s="74"/>
    </row>
    <row r="140" spans="2:55" s="123" customFormat="1">
      <c r="B140" s="125"/>
      <c r="D140" s="125"/>
      <c r="AA140" s="74"/>
      <c r="AD140" s="208"/>
      <c r="AE140" s="124"/>
      <c r="AI140" s="74"/>
      <c r="AM140" s="74"/>
      <c r="AQ140" s="74"/>
      <c r="AU140" s="74"/>
      <c r="AY140" s="74"/>
      <c r="BC140" s="74"/>
    </row>
    <row r="141" spans="2:55" s="123" customFormat="1">
      <c r="B141" s="125"/>
      <c r="D141" s="125"/>
      <c r="AA141" s="74"/>
      <c r="AD141" s="208"/>
      <c r="AE141" s="124"/>
      <c r="AI141" s="74"/>
      <c r="AM141" s="74"/>
      <c r="AQ141" s="74"/>
      <c r="AU141" s="74"/>
      <c r="AY141" s="74"/>
      <c r="BC141" s="74"/>
    </row>
    <row r="142" spans="2:55" s="123" customFormat="1">
      <c r="B142" s="125"/>
      <c r="D142" s="125"/>
      <c r="AA142" s="74"/>
      <c r="AD142" s="208"/>
      <c r="AE142" s="124"/>
      <c r="AI142" s="74"/>
      <c r="AM142" s="74"/>
      <c r="AQ142" s="74"/>
      <c r="AU142" s="74"/>
      <c r="AY142" s="74"/>
      <c r="BC142" s="74"/>
    </row>
    <row r="143" spans="2:55" s="123" customFormat="1">
      <c r="B143" s="125"/>
      <c r="D143" s="125"/>
      <c r="AA143" s="74"/>
      <c r="AD143" s="208"/>
      <c r="AE143" s="124"/>
      <c r="AI143" s="74"/>
      <c r="AM143" s="74"/>
      <c r="AQ143" s="74"/>
      <c r="AU143" s="74"/>
      <c r="AY143" s="74"/>
      <c r="BC143" s="74"/>
    </row>
    <row r="144" spans="2:55" s="123" customFormat="1">
      <c r="B144" s="125"/>
      <c r="D144" s="125"/>
      <c r="AA144" s="74"/>
      <c r="AD144" s="208"/>
      <c r="AE144" s="124"/>
      <c r="AI144" s="74"/>
      <c r="AM144" s="74"/>
      <c r="AQ144" s="74"/>
      <c r="AU144" s="74"/>
      <c r="AY144" s="74"/>
      <c r="BC144" s="74"/>
    </row>
    <row r="145" spans="2:55" s="123" customFormat="1">
      <c r="B145" s="125"/>
      <c r="D145" s="125"/>
      <c r="AA145" s="74"/>
      <c r="AD145" s="208"/>
      <c r="AE145" s="124"/>
      <c r="AI145" s="74"/>
      <c r="AM145" s="74"/>
      <c r="AQ145" s="74"/>
      <c r="AU145" s="74"/>
      <c r="AY145" s="74"/>
      <c r="BC145" s="74"/>
    </row>
    <row r="146" spans="2:55" s="123" customFormat="1">
      <c r="B146" s="125"/>
      <c r="D146" s="125"/>
      <c r="AA146" s="74"/>
      <c r="AD146" s="208"/>
      <c r="AE146" s="124"/>
      <c r="AI146" s="74"/>
      <c r="AM146" s="74"/>
      <c r="AQ146" s="74"/>
      <c r="AU146" s="74"/>
      <c r="AY146" s="74"/>
      <c r="BC146" s="74"/>
    </row>
    <row r="147" spans="2:55" s="123" customFormat="1">
      <c r="B147" s="125"/>
      <c r="D147" s="125"/>
      <c r="AA147" s="74"/>
      <c r="AD147" s="208"/>
      <c r="AE147" s="124"/>
      <c r="AI147" s="74"/>
      <c r="AM147" s="74"/>
      <c r="AQ147" s="74"/>
      <c r="AU147" s="74"/>
      <c r="AY147" s="74"/>
      <c r="BC147" s="74"/>
    </row>
    <row r="148" spans="2:55" s="123" customFormat="1">
      <c r="B148" s="125"/>
      <c r="D148" s="125"/>
      <c r="AA148" s="74"/>
      <c r="AD148" s="208"/>
      <c r="AE148" s="124"/>
      <c r="AI148" s="74"/>
      <c r="AM148" s="74"/>
      <c r="AQ148" s="74"/>
      <c r="AU148" s="74"/>
      <c r="AY148" s="74"/>
      <c r="BC148" s="74"/>
    </row>
    <row r="149" spans="2:55" s="123" customFormat="1">
      <c r="B149" s="125"/>
      <c r="D149" s="125"/>
      <c r="AA149" s="74"/>
      <c r="AD149" s="208"/>
      <c r="AE149" s="124"/>
      <c r="AI149" s="74"/>
      <c r="AM149" s="74"/>
      <c r="AQ149" s="74"/>
      <c r="AU149" s="74"/>
      <c r="AY149" s="74"/>
      <c r="BC149" s="74"/>
    </row>
    <row r="150" spans="2:55" s="123" customFormat="1">
      <c r="B150" s="125"/>
      <c r="D150" s="125"/>
      <c r="AA150" s="74"/>
      <c r="AD150" s="208"/>
      <c r="AE150" s="124"/>
      <c r="AI150" s="74"/>
      <c r="AM150" s="74"/>
      <c r="AQ150" s="74"/>
      <c r="AU150" s="74"/>
      <c r="AY150" s="74"/>
      <c r="BC150" s="74"/>
    </row>
    <row r="151" spans="2:55" s="123" customFormat="1">
      <c r="B151" s="125"/>
      <c r="D151" s="125"/>
      <c r="AA151" s="74"/>
      <c r="AD151" s="208"/>
      <c r="AE151" s="124"/>
      <c r="AI151" s="74"/>
      <c r="AM151" s="74"/>
      <c r="AQ151" s="74"/>
      <c r="AU151" s="74"/>
      <c r="AY151" s="74"/>
      <c r="BC151" s="74"/>
    </row>
    <row r="152" spans="2:55" s="123" customFormat="1">
      <c r="B152" s="125"/>
      <c r="D152" s="125"/>
      <c r="AA152" s="74"/>
      <c r="AD152" s="208"/>
      <c r="AE152" s="124"/>
      <c r="AI152" s="74"/>
      <c r="AM152" s="74"/>
      <c r="AQ152" s="74"/>
      <c r="AU152" s="74"/>
      <c r="AY152" s="74"/>
      <c r="BC152" s="74"/>
    </row>
    <row r="153" spans="2:55" s="123" customFormat="1">
      <c r="B153" s="125"/>
      <c r="D153" s="125"/>
      <c r="AA153" s="74"/>
      <c r="AD153" s="208"/>
      <c r="AE153" s="124"/>
      <c r="AI153" s="74"/>
      <c r="AM153" s="74"/>
      <c r="AQ153" s="74"/>
      <c r="AU153" s="74"/>
      <c r="AY153" s="74"/>
      <c r="BC153" s="74"/>
    </row>
    <row r="154" spans="2:55" s="123" customFormat="1">
      <c r="B154" s="125"/>
      <c r="D154" s="125"/>
      <c r="AA154" s="74"/>
      <c r="AD154" s="208"/>
      <c r="AE154" s="124"/>
      <c r="AI154" s="74"/>
      <c r="AM154" s="74"/>
      <c r="AQ154" s="74"/>
      <c r="AU154" s="74"/>
      <c r="AY154" s="74"/>
      <c r="BC154" s="74"/>
    </row>
    <row r="155" spans="2:55" s="123" customFormat="1">
      <c r="B155" s="125"/>
      <c r="D155" s="125"/>
      <c r="AA155" s="74"/>
      <c r="AD155" s="208"/>
      <c r="AE155" s="124"/>
      <c r="AI155" s="74"/>
      <c r="AM155" s="74"/>
      <c r="AQ155" s="74"/>
      <c r="AU155" s="74"/>
      <c r="AY155" s="74"/>
      <c r="BC155" s="74"/>
    </row>
    <row r="156" spans="2:55" s="123" customFormat="1">
      <c r="B156" s="125"/>
      <c r="D156" s="125"/>
      <c r="AA156" s="74"/>
      <c r="AD156" s="208"/>
      <c r="AE156" s="124"/>
      <c r="AI156" s="74"/>
      <c r="AM156" s="74"/>
      <c r="AQ156" s="74"/>
      <c r="AU156" s="74"/>
      <c r="AY156" s="74"/>
      <c r="BC156" s="74"/>
    </row>
    <row r="157" spans="2:55" s="123" customFormat="1">
      <c r="B157" s="125"/>
      <c r="D157" s="125"/>
      <c r="AA157" s="74"/>
      <c r="AD157" s="208"/>
      <c r="AE157" s="124"/>
      <c r="AI157" s="74"/>
      <c r="AM157" s="74"/>
      <c r="AQ157" s="74"/>
      <c r="AU157" s="74"/>
      <c r="AY157" s="74"/>
      <c r="BC157" s="74"/>
    </row>
    <row r="158" spans="2:55" s="123" customFormat="1">
      <c r="B158" s="125"/>
      <c r="D158" s="125"/>
      <c r="AA158" s="74"/>
      <c r="AD158" s="208"/>
      <c r="AE158" s="124"/>
      <c r="AI158" s="74"/>
      <c r="AM158" s="74"/>
      <c r="AQ158" s="74"/>
      <c r="AU158" s="74"/>
      <c r="AY158" s="74"/>
      <c r="BC158" s="74"/>
    </row>
    <row r="159" spans="2:55" s="123" customFormat="1">
      <c r="B159" s="125"/>
      <c r="D159" s="125"/>
      <c r="AA159" s="74"/>
      <c r="AD159" s="208"/>
      <c r="AE159" s="124"/>
      <c r="AI159" s="74"/>
      <c r="AM159" s="74"/>
      <c r="AQ159" s="74"/>
      <c r="AU159" s="74"/>
      <c r="AY159" s="74"/>
      <c r="BC159" s="74"/>
    </row>
    <row r="160" spans="2:55" s="123" customFormat="1">
      <c r="B160" s="125"/>
      <c r="D160" s="125"/>
      <c r="AA160" s="74"/>
      <c r="AD160" s="208"/>
      <c r="AE160" s="124"/>
      <c r="AI160" s="74"/>
      <c r="AM160" s="74"/>
      <c r="AQ160" s="74"/>
      <c r="AU160" s="74"/>
      <c r="AY160" s="74"/>
      <c r="BC160" s="74"/>
    </row>
    <row r="161" spans="2:55" s="123" customFormat="1">
      <c r="B161" s="125"/>
      <c r="D161" s="125"/>
      <c r="AA161" s="74"/>
      <c r="AD161" s="208"/>
      <c r="AE161" s="124"/>
      <c r="AI161" s="74"/>
      <c r="AM161" s="74"/>
      <c r="AQ161" s="74"/>
      <c r="AU161" s="74"/>
      <c r="AY161" s="74"/>
      <c r="BC161" s="74"/>
    </row>
    <row r="162" spans="2:55" s="123" customFormat="1">
      <c r="B162" s="125"/>
      <c r="D162" s="125"/>
      <c r="AA162" s="74"/>
      <c r="AD162" s="208"/>
      <c r="AE162" s="124"/>
      <c r="AI162" s="74"/>
      <c r="AM162" s="74"/>
      <c r="AQ162" s="74"/>
      <c r="AU162" s="74"/>
      <c r="AY162" s="74"/>
      <c r="BC162" s="74"/>
    </row>
    <row r="163" spans="2:55" s="123" customFormat="1">
      <c r="B163" s="125"/>
      <c r="D163" s="125"/>
      <c r="AA163" s="74"/>
      <c r="AD163" s="208"/>
      <c r="AE163" s="124"/>
      <c r="AI163" s="74"/>
      <c r="AM163" s="74"/>
      <c r="AQ163" s="74"/>
      <c r="AU163" s="74"/>
      <c r="AY163" s="74"/>
      <c r="BC163" s="74"/>
    </row>
    <row r="164" spans="2:55" s="123" customFormat="1">
      <c r="B164" s="125"/>
      <c r="D164" s="125"/>
      <c r="AA164" s="74"/>
      <c r="AD164" s="208"/>
      <c r="AE164" s="124"/>
      <c r="AI164" s="74"/>
      <c r="AM164" s="74"/>
      <c r="AQ164" s="74"/>
      <c r="AU164" s="74"/>
      <c r="AY164" s="74"/>
      <c r="BC164" s="74"/>
    </row>
    <row r="165" spans="2:55" s="123" customFormat="1">
      <c r="B165" s="125"/>
      <c r="D165" s="125"/>
      <c r="AA165" s="74"/>
      <c r="AD165" s="208"/>
      <c r="AE165" s="124"/>
      <c r="AI165" s="74"/>
      <c r="AM165" s="74"/>
      <c r="AQ165" s="74"/>
      <c r="AU165" s="74"/>
      <c r="AY165" s="74"/>
      <c r="BC165" s="74"/>
    </row>
    <row r="166" spans="2:55" s="123" customFormat="1">
      <c r="B166" s="125"/>
      <c r="D166" s="125"/>
      <c r="AA166" s="74"/>
      <c r="AD166" s="208"/>
      <c r="AE166" s="124"/>
      <c r="AI166" s="74"/>
      <c r="AM166" s="74"/>
      <c r="AQ166" s="74"/>
      <c r="AU166" s="74"/>
      <c r="AY166" s="74"/>
      <c r="BC166" s="74"/>
    </row>
    <row r="167" spans="2:55" s="123" customFormat="1">
      <c r="B167" s="125"/>
      <c r="D167" s="125"/>
      <c r="AA167" s="74"/>
      <c r="AD167" s="208"/>
      <c r="AE167" s="124"/>
      <c r="AI167" s="74"/>
      <c r="AM167" s="74"/>
      <c r="AQ167" s="74"/>
      <c r="AU167" s="74"/>
      <c r="AY167" s="74"/>
      <c r="BC167" s="74"/>
    </row>
    <row r="168" spans="2:55" s="123" customFormat="1">
      <c r="B168" s="125"/>
      <c r="D168" s="125"/>
      <c r="AA168" s="74"/>
      <c r="AD168" s="208"/>
      <c r="AE168" s="124"/>
      <c r="AI168" s="74"/>
      <c r="AM168" s="74"/>
      <c r="AQ168" s="74"/>
      <c r="AU168" s="74"/>
      <c r="AY168" s="74"/>
      <c r="BC168" s="74"/>
    </row>
    <row r="169" spans="2:55" s="123" customFormat="1">
      <c r="B169" s="125"/>
      <c r="D169" s="125"/>
      <c r="AA169" s="74"/>
      <c r="AD169" s="208"/>
      <c r="AE169" s="124"/>
      <c r="AI169" s="74"/>
      <c r="AM169" s="74"/>
      <c r="AQ169" s="74"/>
      <c r="AU169" s="74"/>
      <c r="AY169" s="74"/>
      <c r="BC169" s="74"/>
    </row>
    <row r="170" spans="2:55" s="123" customFormat="1">
      <c r="B170" s="125"/>
      <c r="D170" s="125"/>
      <c r="AA170" s="74"/>
      <c r="AD170" s="208"/>
      <c r="AE170" s="124"/>
      <c r="AI170" s="74"/>
      <c r="AM170" s="74"/>
      <c r="AQ170" s="74"/>
      <c r="AU170" s="74"/>
      <c r="AY170" s="74"/>
      <c r="BC170" s="74"/>
    </row>
    <row r="171" spans="2:55" s="123" customFormat="1">
      <c r="B171" s="125"/>
      <c r="D171" s="125"/>
      <c r="AA171" s="74"/>
      <c r="AD171" s="208"/>
      <c r="AE171" s="124"/>
      <c r="AI171" s="74"/>
      <c r="AM171" s="74"/>
      <c r="AQ171" s="74"/>
      <c r="AU171" s="74"/>
      <c r="AY171" s="74"/>
      <c r="BC171" s="74"/>
    </row>
    <row r="172" spans="2:55" s="123" customFormat="1">
      <c r="B172" s="125"/>
      <c r="D172" s="125"/>
      <c r="AA172" s="74"/>
      <c r="AD172" s="208"/>
      <c r="AE172" s="124"/>
      <c r="AI172" s="74"/>
      <c r="AM172" s="74"/>
      <c r="AQ172" s="74"/>
      <c r="AU172" s="74"/>
      <c r="AY172" s="74"/>
      <c r="BC172" s="74"/>
    </row>
    <row r="173" spans="2:55" s="123" customFormat="1">
      <c r="B173" s="125"/>
      <c r="D173" s="125"/>
      <c r="AA173" s="74"/>
      <c r="AD173" s="208"/>
      <c r="AE173" s="124"/>
      <c r="AI173" s="74"/>
      <c r="AM173" s="74"/>
      <c r="AQ173" s="74"/>
      <c r="AU173" s="74"/>
      <c r="AY173" s="74"/>
      <c r="BC173" s="74"/>
    </row>
    <row r="174" spans="2:55" s="123" customFormat="1">
      <c r="B174" s="125"/>
      <c r="D174" s="125"/>
      <c r="AA174" s="74"/>
      <c r="AD174" s="208"/>
      <c r="AE174" s="124"/>
      <c r="AI174" s="74"/>
      <c r="AM174" s="74"/>
      <c r="AQ174" s="74"/>
      <c r="AU174" s="74"/>
      <c r="AY174" s="74"/>
      <c r="BC174" s="74"/>
    </row>
    <row r="175" spans="2:55" s="123" customFormat="1">
      <c r="B175" s="125"/>
      <c r="D175" s="125"/>
      <c r="AA175" s="74"/>
      <c r="AD175" s="208"/>
      <c r="AE175" s="124"/>
      <c r="AI175" s="74"/>
      <c r="AM175" s="74"/>
      <c r="AQ175" s="74"/>
      <c r="AU175" s="74"/>
      <c r="AY175" s="74"/>
      <c r="BC175" s="74"/>
    </row>
    <row r="176" spans="2:55" s="123" customFormat="1">
      <c r="B176" s="125"/>
      <c r="D176" s="125"/>
      <c r="AA176" s="74"/>
      <c r="AD176" s="208"/>
      <c r="AE176" s="124"/>
      <c r="AI176" s="74"/>
      <c r="AM176" s="74"/>
      <c r="AQ176" s="74"/>
      <c r="AU176" s="74"/>
      <c r="AY176" s="74"/>
      <c r="BC176" s="74"/>
    </row>
    <row r="177" spans="2:55" s="123" customFormat="1">
      <c r="B177" s="125"/>
      <c r="D177" s="125"/>
      <c r="AA177" s="74"/>
      <c r="AD177" s="208"/>
      <c r="AE177" s="124"/>
      <c r="AI177" s="74"/>
      <c r="AM177" s="74"/>
      <c r="AQ177" s="74"/>
      <c r="AU177" s="74"/>
      <c r="AY177" s="74"/>
      <c r="BC177" s="74"/>
    </row>
    <row r="178" spans="2:55" s="123" customFormat="1">
      <c r="B178" s="125"/>
      <c r="D178" s="125"/>
      <c r="AA178" s="74"/>
      <c r="AD178" s="208"/>
      <c r="AE178" s="124"/>
      <c r="AI178" s="74"/>
      <c r="AM178" s="74"/>
      <c r="AQ178" s="74"/>
      <c r="AU178" s="74"/>
      <c r="AY178" s="74"/>
      <c r="BC178" s="74"/>
    </row>
    <row r="179" spans="2:55" s="123" customFormat="1">
      <c r="B179" s="125"/>
      <c r="D179" s="125"/>
      <c r="AA179" s="74"/>
      <c r="AD179" s="208"/>
      <c r="AE179" s="124"/>
      <c r="AI179" s="74"/>
      <c r="AM179" s="74"/>
      <c r="AQ179" s="74"/>
      <c r="AU179" s="74"/>
      <c r="AY179" s="74"/>
      <c r="BC179" s="74"/>
    </row>
    <row r="180" spans="2:55" s="123" customFormat="1">
      <c r="B180" s="125"/>
      <c r="D180" s="125"/>
      <c r="AA180" s="74"/>
      <c r="AD180" s="208"/>
      <c r="AE180" s="124"/>
      <c r="AI180" s="74"/>
      <c r="AM180" s="74"/>
      <c r="AQ180" s="74"/>
      <c r="AU180" s="74"/>
      <c r="AY180" s="74"/>
      <c r="BC180" s="74"/>
    </row>
    <row r="181" spans="2:55" s="123" customFormat="1">
      <c r="B181" s="125"/>
      <c r="D181" s="125"/>
      <c r="AA181" s="74"/>
      <c r="AD181" s="208"/>
      <c r="AE181" s="124"/>
      <c r="AI181" s="74"/>
      <c r="AM181" s="74"/>
      <c r="AQ181" s="74"/>
      <c r="AU181" s="74"/>
      <c r="AY181" s="74"/>
      <c r="BC181" s="74"/>
    </row>
    <row r="182" spans="2:55" s="123" customFormat="1">
      <c r="B182" s="125"/>
      <c r="D182" s="125"/>
      <c r="AA182" s="74"/>
      <c r="AD182" s="208"/>
      <c r="AE182" s="124"/>
      <c r="AI182" s="74"/>
      <c r="AM182" s="74"/>
      <c r="AQ182" s="74"/>
      <c r="AU182" s="74"/>
      <c r="AY182" s="74"/>
      <c r="BC182" s="74"/>
    </row>
    <row r="183" spans="2:55" s="123" customFormat="1">
      <c r="B183" s="125"/>
      <c r="D183" s="125"/>
      <c r="AA183" s="74"/>
      <c r="AD183" s="208"/>
      <c r="AE183" s="124"/>
      <c r="AI183" s="74"/>
      <c r="AM183" s="74"/>
      <c r="AQ183" s="74"/>
      <c r="AU183" s="74"/>
      <c r="AY183" s="74"/>
      <c r="BC183" s="74"/>
    </row>
    <row r="184" spans="2:55" s="123" customFormat="1">
      <c r="B184" s="125"/>
      <c r="D184" s="125"/>
      <c r="AA184" s="74"/>
      <c r="AD184" s="208"/>
      <c r="AE184" s="124"/>
      <c r="AI184" s="74"/>
      <c r="AM184" s="74"/>
      <c r="AQ184" s="74"/>
      <c r="AU184" s="74"/>
      <c r="AY184" s="74"/>
      <c r="BC184" s="74"/>
    </row>
    <row r="185" spans="2:55" s="123" customFormat="1">
      <c r="B185" s="125"/>
      <c r="D185" s="125"/>
      <c r="AA185" s="74"/>
      <c r="AD185" s="208"/>
      <c r="AE185" s="124"/>
      <c r="AI185" s="74"/>
      <c r="AM185" s="74"/>
      <c r="AQ185" s="74"/>
      <c r="AU185" s="74"/>
      <c r="AY185" s="74"/>
      <c r="BC185" s="74"/>
    </row>
    <row r="186" spans="2:55" s="123" customFormat="1">
      <c r="B186" s="125"/>
      <c r="D186" s="125"/>
      <c r="AA186" s="74"/>
      <c r="AD186" s="208"/>
      <c r="AE186" s="124"/>
      <c r="AI186" s="74"/>
      <c r="AM186" s="74"/>
      <c r="AQ186" s="74"/>
      <c r="AU186" s="74"/>
      <c r="AY186" s="74"/>
      <c r="BC186" s="74"/>
    </row>
    <row r="187" spans="2:55" s="123" customFormat="1">
      <c r="B187" s="125"/>
      <c r="D187" s="125"/>
      <c r="AA187" s="74"/>
      <c r="AD187" s="208"/>
      <c r="AE187" s="124"/>
      <c r="AI187" s="74"/>
      <c r="AM187" s="74"/>
      <c r="AQ187" s="74"/>
      <c r="AU187" s="74"/>
      <c r="AY187" s="74"/>
      <c r="BC187" s="74"/>
    </row>
    <row r="188" spans="2:55" s="123" customFormat="1">
      <c r="B188" s="125"/>
      <c r="D188" s="125"/>
      <c r="AA188" s="74"/>
      <c r="AD188" s="208"/>
      <c r="AE188" s="124"/>
      <c r="AI188" s="74"/>
      <c r="AM188" s="74"/>
      <c r="AQ188" s="74"/>
      <c r="AU188" s="74"/>
      <c r="AY188" s="74"/>
      <c r="BC188" s="74"/>
    </row>
    <row r="189" spans="2:55" s="123" customFormat="1">
      <c r="B189" s="125"/>
      <c r="D189" s="125"/>
      <c r="AA189" s="74"/>
      <c r="AD189" s="208"/>
      <c r="AE189" s="124"/>
      <c r="AI189" s="74"/>
      <c r="AM189" s="74"/>
      <c r="AQ189" s="74"/>
      <c r="AU189" s="74"/>
      <c r="AY189" s="74"/>
      <c r="BC189" s="74"/>
    </row>
    <row r="190" spans="2:55" s="123" customFormat="1">
      <c r="B190" s="125"/>
      <c r="D190" s="125"/>
      <c r="AA190" s="74"/>
      <c r="AD190" s="208"/>
      <c r="AE190" s="124"/>
      <c r="AI190" s="74"/>
      <c r="AM190" s="74"/>
      <c r="AQ190" s="74"/>
      <c r="AU190" s="74"/>
      <c r="AY190" s="74"/>
      <c r="BC190" s="74"/>
    </row>
    <row r="191" spans="2:55" s="123" customFormat="1">
      <c r="B191" s="125"/>
      <c r="D191" s="125"/>
      <c r="AA191" s="74"/>
      <c r="AD191" s="208"/>
      <c r="AE191" s="124"/>
      <c r="AI191" s="74"/>
      <c r="AM191" s="74"/>
      <c r="AQ191" s="74"/>
      <c r="AU191" s="74"/>
      <c r="AY191" s="74"/>
      <c r="BC191" s="74"/>
    </row>
    <row r="192" spans="2:55" s="123" customFormat="1">
      <c r="B192" s="125"/>
      <c r="D192" s="125"/>
      <c r="AA192" s="74"/>
      <c r="AD192" s="208"/>
      <c r="AE192" s="124"/>
      <c r="AI192" s="74"/>
      <c r="AM192" s="74"/>
      <c r="AQ192" s="74"/>
      <c r="AU192" s="74"/>
      <c r="AY192" s="74"/>
      <c r="BC192" s="74"/>
    </row>
    <row r="193" spans="2:55" s="123" customFormat="1">
      <c r="B193" s="125"/>
      <c r="D193" s="125"/>
      <c r="AA193" s="74"/>
      <c r="AD193" s="208"/>
      <c r="AE193" s="124"/>
      <c r="AI193" s="74"/>
      <c r="AM193" s="74"/>
      <c r="AQ193" s="74"/>
      <c r="AU193" s="74"/>
      <c r="AY193" s="74"/>
      <c r="BC193" s="74"/>
    </row>
    <row r="194" spans="2:55" s="123" customFormat="1">
      <c r="B194" s="125"/>
      <c r="D194" s="125"/>
      <c r="AA194" s="74"/>
      <c r="AD194" s="208"/>
      <c r="AE194" s="124"/>
      <c r="AI194" s="74"/>
      <c r="AM194" s="74"/>
      <c r="AQ194" s="74"/>
      <c r="AU194" s="74"/>
      <c r="AY194" s="74"/>
      <c r="BC194" s="74"/>
    </row>
    <row r="195" spans="2:55" s="123" customFormat="1">
      <c r="B195" s="125"/>
      <c r="D195" s="125"/>
      <c r="AA195" s="74"/>
      <c r="AD195" s="208"/>
      <c r="AE195" s="124"/>
      <c r="AI195" s="74"/>
      <c r="AM195" s="74"/>
      <c r="AQ195" s="74"/>
      <c r="AU195" s="74"/>
      <c r="AY195" s="74"/>
      <c r="BC195" s="74"/>
    </row>
    <row r="196" spans="2:55" s="123" customFormat="1">
      <c r="B196" s="125"/>
      <c r="D196" s="125"/>
      <c r="AA196" s="74"/>
      <c r="AD196" s="208"/>
      <c r="AE196" s="124"/>
      <c r="AI196" s="74"/>
      <c r="AM196" s="74"/>
      <c r="AQ196" s="74"/>
      <c r="AU196" s="74"/>
      <c r="AY196" s="74"/>
      <c r="BC196" s="74"/>
    </row>
    <row r="197" spans="2:55" s="123" customFormat="1">
      <c r="B197" s="125"/>
      <c r="D197" s="125"/>
      <c r="AA197" s="74"/>
      <c r="AD197" s="208"/>
      <c r="AE197" s="124"/>
      <c r="AI197" s="74"/>
      <c r="AM197" s="74"/>
      <c r="AQ197" s="74"/>
      <c r="AU197" s="74"/>
      <c r="AY197" s="74"/>
      <c r="BC197" s="74"/>
    </row>
    <row r="198" spans="2:55" s="123" customFormat="1">
      <c r="B198" s="125"/>
      <c r="D198" s="125"/>
      <c r="AA198" s="74"/>
      <c r="AD198" s="208"/>
      <c r="AE198" s="124"/>
      <c r="AI198" s="74"/>
      <c r="AM198" s="74"/>
      <c r="AQ198" s="74"/>
      <c r="AU198" s="74"/>
      <c r="AY198" s="74"/>
      <c r="BC198" s="74"/>
    </row>
    <row r="199" spans="2:55" s="123" customFormat="1">
      <c r="B199" s="125"/>
      <c r="D199" s="125"/>
      <c r="AA199" s="74"/>
      <c r="AD199" s="208"/>
      <c r="AE199" s="124"/>
      <c r="AI199" s="74"/>
      <c r="AM199" s="74"/>
      <c r="AQ199" s="74"/>
      <c r="AU199" s="74"/>
      <c r="AY199" s="74"/>
      <c r="BC199" s="74"/>
    </row>
    <row r="200" spans="2:55" s="123" customFormat="1">
      <c r="B200" s="125"/>
      <c r="D200" s="125"/>
      <c r="AA200" s="74"/>
      <c r="AD200" s="208"/>
      <c r="AE200" s="124"/>
      <c r="AI200" s="74"/>
      <c r="AM200" s="74"/>
      <c r="AQ200" s="74"/>
      <c r="AU200" s="74"/>
      <c r="AY200" s="74"/>
      <c r="BC200" s="74"/>
    </row>
    <row r="201" spans="2:55" s="123" customFormat="1">
      <c r="B201" s="125"/>
      <c r="D201" s="125"/>
      <c r="AA201" s="74"/>
      <c r="AD201" s="208"/>
      <c r="AE201" s="124"/>
      <c r="AI201" s="74"/>
      <c r="AM201" s="74"/>
      <c r="AQ201" s="74"/>
      <c r="AU201" s="74"/>
      <c r="AY201" s="74"/>
      <c r="BC201" s="74"/>
    </row>
    <row r="202" spans="2:55" s="123" customFormat="1">
      <c r="B202" s="125"/>
      <c r="D202" s="125"/>
      <c r="AA202" s="74"/>
      <c r="AD202" s="208"/>
      <c r="AE202" s="124"/>
      <c r="AI202" s="74"/>
      <c r="AM202" s="74"/>
      <c r="AQ202" s="74"/>
      <c r="AU202" s="74"/>
      <c r="AY202" s="74"/>
      <c r="BC202" s="74"/>
    </row>
    <row r="203" spans="2:55" s="123" customFormat="1">
      <c r="B203" s="125"/>
      <c r="D203" s="125"/>
      <c r="AA203" s="74"/>
      <c r="AD203" s="208"/>
      <c r="AE203" s="124"/>
      <c r="AI203" s="74"/>
      <c r="AM203" s="74"/>
      <c r="AQ203" s="74"/>
      <c r="AU203" s="74"/>
      <c r="AY203" s="74"/>
      <c r="BC203" s="74"/>
    </row>
    <row r="204" spans="2:55" s="123" customFormat="1">
      <c r="B204" s="125"/>
      <c r="D204" s="125"/>
      <c r="AA204" s="74"/>
      <c r="AD204" s="208"/>
      <c r="AE204" s="124"/>
      <c r="AI204" s="74"/>
      <c r="AM204" s="74"/>
      <c r="AQ204" s="74"/>
      <c r="AU204" s="74"/>
      <c r="AY204" s="74"/>
      <c r="BC204" s="74"/>
    </row>
    <row r="205" spans="2:55" s="123" customFormat="1">
      <c r="B205" s="125"/>
      <c r="D205" s="125"/>
      <c r="AA205" s="74"/>
      <c r="AD205" s="208"/>
      <c r="AE205" s="124"/>
      <c r="AI205" s="74"/>
      <c r="AM205" s="74"/>
      <c r="AQ205" s="74"/>
      <c r="AU205" s="74"/>
      <c r="AY205" s="74"/>
      <c r="BC205" s="74"/>
    </row>
    <row r="206" spans="2:55" s="123" customFormat="1">
      <c r="B206" s="125"/>
      <c r="D206" s="125"/>
      <c r="AA206" s="74"/>
      <c r="AD206" s="208"/>
      <c r="AE206" s="124"/>
      <c r="AI206" s="74"/>
      <c r="AM206" s="74"/>
      <c r="AQ206" s="74"/>
      <c r="AU206" s="74"/>
      <c r="AY206" s="74"/>
      <c r="BC206" s="74"/>
    </row>
    <row r="207" spans="2:55" s="123" customFormat="1">
      <c r="B207" s="125"/>
      <c r="D207" s="125"/>
      <c r="AA207" s="74"/>
      <c r="AD207" s="208"/>
      <c r="AE207" s="124"/>
      <c r="AI207" s="74"/>
      <c r="AM207" s="74"/>
      <c r="AQ207" s="74"/>
      <c r="AU207" s="74"/>
      <c r="AY207" s="74"/>
      <c r="BC207" s="74"/>
    </row>
    <row r="208" spans="2:55" s="123" customFormat="1">
      <c r="B208" s="125"/>
      <c r="D208" s="125"/>
      <c r="AA208" s="74"/>
      <c r="AD208" s="208"/>
      <c r="AE208" s="124"/>
      <c r="AI208" s="74"/>
      <c r="AM208" s="74"/>
      <c r="AQ208" s="74"/>
      <c r="AU208" s="74"/>
      <c r="AY208" s="74"/>
      <c r="BC208" s="74"/>
    </row>
    <row r="209" spans="2:55" s="123" customFormat="1">
      <c r="B209" s="125"/>
      <c r="D209" s="125"/>
      <c r="AA209" s="74"/>
      <c r="AD209" s="208"/>
      <c r="AE209" s="124"/>
      <c r="AI209" s="74"/>
      <c r="AM209" s="74"/>
      <c r="AQ209" s="74"/>
      <c r="AU209" s="74"/>
      <c r="AY209" s="74"/>
      <c r="BC209" s="74"/>
    </row>
    <row r="210" spans="2:55" s="123" customFormat="1">
      <c r="B210" s="125"/>
      <c r="D210" s="125"/>
      <c r="AA210" s="74"/>
      <c r="AD210" s="208"/>
      <c r="AE210" s="124"/>
      <c r="AI210" s="74"/>
      <c r="AM210" s="74"/>
      <c r="AQ210" s="74"/>
      <c r="AU210" s="74"/>
      <c r="AY210" s="74"/>
      <c r="BC210" s="74"/>
    </row>
    <row r="211" spans="2:55" s="123" customFormat="1">
      <c r="B211" s="125"/>
      <c r="D211" s="125"/>
      <c r="AA211" s="74"/>
      <c r="AD211" s="208"/>
      <c r="AE211" s="124"/>
      <c r="AI211" s="74"/>
      <c r="AM211" s="74"/>
      <c r="AQ211" s="74"/>
      <c r="AU211" s="74"/>
      <c r="AY211" s="74"/>
      <c r="BC211" s="74"/>
    </row>
    <row r="212" spans="2:55" s="123" customFormat="1">
      <c r="B212" s="125"/>
      <c r="D212" s="125"/>
      <c r="AA212" s="74"/>
      <c r="AD212" s="208"/>
      <c r="AE212" s="124"/>
      <c r="AI212" s="74"/>
      <c r="AM212" s="74"/>
      <c r="AQ212" s="74"/>
      <c r="AU212" s="74"/>
      <c r="AY212" s="74"/>
      <c r="BC212" s="74"/>
    </row>
    <row r="213" spans="2:55" s="123" customFormat="1">
      <c r="B213" s="125"/>
      <c r="D213" s="125"/>
      <c r="AA213" s="74"/>
      <c r="AD213" s="208"/>
      <c r="AE213" s="124"/>
      <c r="AI213" s="74"/>
      <c r="AM213" s="74"/>
      <c r="AQ213" s="74"/>
      <c r="AU213" s="74"/>
      <c r="AY213" s="74"/>
      <c r="BC213" s="74"/>
    </row>
    <row r="214" spans="2:55" s="123" customFormat="1">
      <c r="B214" s="125"/>
      <c r="D214" s="125"/>
      <c r="AA214" s="74"/>
      <c r="AD214" s="208"/>
      <c r="AE214" s="124"/>
      <c r="AI214" s="74"/>
      <c r="AM214" s="74"/>
      <c r="AQ214" s="74"/>
      <c r="AU214" s="74"/>
      <c r="AY214" s="74"/>
      <c r="BC214" s="74"/>
    </row>
    <row r="215" spans="2:55" s="123" customFormat="1">
      <c r="B215" s="125"/>
      <c r="D215" s="125"/>
      <c r="AA215" s="74"/>
      <c r="AD215" s="208"/>
      <c r="AE215" s="124"/>
      <c r="AI215" s="74"/>
      <c r="AM215" s="74"/>
      <c r="AQ215" s="74"/>
      <c r="AU215" s="74"/>
      <c r="AY215" s="74"/>
      <c r="BC215" s="74"/>
    </row>
    <row r="216" spans="2:55" s="123" customFormat="1">
      <c r="B216" s="125"/>
      <c r="D216" s="125"/>
      <c r="AA216" s="74"/>
      <c r="AD216" s="208"/>
      <c r="AE216" s="124"/>
      <c r="AI216" s="74"/>
      <c r="AM216" s="74"/>
      <c r="AQ216" s="74"/>
      <c r="AU216" s="74"/>
      <c r="AY216" s="74"/>
      <c r="BC216" s="74"/>
    </row>
    <row r="217" spans="2:55" s="123" customFormat="1">
      <c r="B217" s="125"/>
      <c r="D217" s="125"/>
      <c r="AA217" s="74"/>
      <c r="AD217" s="208"/>
      <c r="AE217" s="124"/>
      <c r="AI217" s="74"/>
      <c r="AM217" s="74"/>
      <c r="AQ217" s="74"/>
      <c r="AU217" s="74"/>
      <c r="AY217" s="74"/>
      <c r="BC217" s="74"/>
    </row>
    <row r="218" spans="2:55" s="123" customFormat="1">
      <c r="B218" s="125"/>
      <c r="D218" s="125"/>
      <c r="AA218" s="74"/>
      <c r="AD218" s="208"/>
      <c r="AE218" s="124"/>
      <c r="AI218" s="74"/>
      <c r="AM218" s="74"/>
      <c r="AQ218" s="74"/>
      <c r="AU218" s="74"/>
      <c r="AY218" s="74"/>
      <c r="BC218" s="74"/>
    </row>
    <row r="219" spans="2:55" s="123" customFormat="1">
      <c r="B219" s="125"/>
      <c r="D219" s="125"/>
      <c r="AA219" s="74"/>
      <c r="AD219" s="208"/>
      <c r="AE219" s="124"/>
      <c r="AI219" s="74"/>
      <c r="AM219" s="74"/>
      <c r="AQ219" s="74"/>
      <c r="AU219" s="74"/>
      <c r="AY219" s="74"/>
      <c r="BC219" s="74"/>
    </row>
    <row r="220" spans="2:55" s="123" customFormat="1">
      <c r="B220" s="125"/>
      <c r="D220" s="125"/>
      <c r="AA220" s="74"/>
      <c r="AD220" s="208"/>
      <c r="AE220" s="124"/>
      <c r="AI220" s="74"/>
      <c r="AM220" s="74"/>
      <c r="AQ220" s="74"/>
      <c r="AU220" s="74"/>
      <c r="AY220" s="74"/>
      <c r="BC220" s="74"/>
    </row>
    <row r="221" spans="2:55" s="123" customFormat="1">
      <c r="B221" s="125"/>
      <c r="D221" s="125"/>
      <c r="AA221" s="74"/>
      <c r="AD221" s="208"/>
      <c r="AE221" s="124"/>
      <c r="AI221" s="74"/>
      <c r="AM221" s="74"/>
      <c r="AQ221" s="74"/>
      <c r="AU221" s="74"/>
      <c r="AY221" s="74"/>
      <c r="BC221" s="74"/>
    </row>
    <row r="222" spans="2:55" s="123" customFormat="1">
      <c r="B222" s="125"/>
      <c r="D222" s="125"/>
      <c r="AA222" s="74"/>
      <c r="AD222" s="208"/>
      <c r="AE222" s="124"/>
      <c r="AI222" s="74"/>
      <c r="AM222" s="74"/>
      <c r="AQ222" s="74"/>
      <c r="AU222" s="74"/>
      <c r="AY222" s="74"/>
      <c r="BC222" s="74"/>
    </row>
    <row r="223" spans="2:55" s="123" customFormat="1">
      <c r="B223" s="125"/>
      <c r="D223" s="125"/>
      <c r="AA223" s="74"/>
      <c r="AD223" s="208"/>
      <c r="AE223" s="124"/>
      <c r="AI223" s="74"/>
      <c r="AM223" s="74"/>
      <c r="AQ223" s="74"/>
      <c r="AU223" s="74"/>
      <c r="AY223" s="74"/>
      <c r="BC223" s="74"/>
    </row>
    <row r="224" spans="2:55" s="123" customFormat="1">
      <c r="B224" s="125"/>
      <c r="D224" s="125"/>
      <c r="AA224" s="74"/>
      <c r="AD224" s="208"/>
      <c r="AE224" s="124"/>
      <c r="AI224" s="74"/>
      <c r="AM224" s="74"/>
      <c r="AQ224" s="74"/>
      <c r="AU224" s="74"/>
      <c r="AY224" s="74"/>
      <c r="BC224" s="74"/>
    </row>
    <row r="225" spans="2:55" s="123" customFormat="1">
      <c r="B225" s="125"/>
      <c r="D225" s="125"/>
      <c r="AA225" s="74"/>
      <c r="AD225" s="208"/>
      <c r="AE225" s="124"/>
      <c r="AI225" s="74"/>
      <c r="AM225" s="74"/>
      <c r="AQ225" s="74"/>
      <c r="AU225" s="74"/>
      <c r="AY225" s="74"/>
      <c r="BC225" s="74"/>
    </row>
    <row r="226" spans="2:55" s="123" customFormat="1">
      <c r="B226" s="125"/>
      <c r="D226" s="125"/>
      <c r="AA226" s="74"/>
      <c r="AD226" s="208"/>
      <c r="AE226" s="124"/>
      <c r="AI226" s="74"/>
      <c r="AM226" s="74"/>
      <c r="AQ226" s="74"/>
      <c r="AU226" s="74"/>
      <c r="AY226" s="74"/>
      <c r="BC226" s="74"/>
    </row>
    <row r="227" spans="2:55" s="123" customFormat="1">
      <c r="B227" s="125"/>
      <c r="D227" s="125"/>
      <c r="AA227" s="74"/>
      <c r="AD227" s="208"/>
      <c r="AE227" s="124"/>
      <c r="AI227" s="74"/>
      <c r="AM227" s="74"/>
      <c r="AQ227" s="74"/>
      <c r="AU227" s="74"/>
      <c r="AY227" s="74"/>
      <c r="BC227" s="74"/>
    </row>
    <row r="228" spans="2:55" s="123" customFormat="1">
      <c r="B228" s="125"/>
      <c r="D228" s="125"/>
      <c r="AA228" s="74"/>
      <c r="AD228" s="208"/>
      <c r="AE228" s="124"/>
      <c r="AI228" s="74"/>
      <c r="AM228" s="74"/>
      <c r="AQ228" s="74"/>
      <c r="AU228" s="74"/>
      <c r="AY228" s="74"/>
      <c r="BC228" s="74"/>
    </row>
    <row r="229" spans="2:55" s="123" customFormat="1">
      <c r="B229" s="125"/>
      <c r="D229" s="125"/>
      <c r="AA229" s="74"/>
      <c r="AD229" s="208"/>
      <c r="AE229" s="124"/>
      <c r="AI229" s="74"/>
      <c r="AM229" s="74"/>
      <c r="AQ229" s="74"/>
      <c r="AU229" s="74"/>
      <c r="AY229" s="74"/>
      <c r="BC229" s="74"/>
    </row>
    <row r="230" spans="2:55" s="123" customFormat="1">
      <c r="B230" s="125"/>
      <c r="D230" s="125"/>
      <c r="AA230" s="74"/>
      <c r="AD230" s="208"/>
      <c r="AE230" s="124"/>
      <c r="AI230" s="74"/>
      <c r="AM230" s="74"/>
      <c r="AQ230" s="74"/>
      <c r="AU230" s="74"/>
      <c r="AY230" s="74"/>
      <c r="BC230" s="74"/>
    </row>
    <row r="231" spans="2:55" s="123" customFormat="1">
      <c r="B231" s="125"/>
      <c r="D231" s="125"/>
      <c r="AA231" s="74"/>
      <c r="AD231" s="208"/>
      <c r="AE231" s="124"/>
      <c r="AI231" s="74"/>
      <c r="AM231" s="74"/>
      <c r="AQ231" s="74"/>
      <c r="AU231" s="74"/>
      <c r="AY231" s="74"/>
      <c r="BC231" s="74"/>
    </row>
    <row r="232" spans="2:55" s="123" customFormat="1">
      <c r="B232" s="125"/>
      <c r="D232" s="125"/>
      <c r="AA232" s="74"/>
      <c r="AD232" s="208"/>
      <c r="AE232" s="124"/>
      <c r="AI232" s="74"/>
      <c r="AM232" s="74"/>
      <c r="AQ232" s="74"/>
      <c r="AU232" s="74"/>
      <c r="AY232" s="74"/>
      <c r="BC232" s="74"/>
    </row>
    <row r="233" spans="2:55" s="123" customFormat="1">
      <c r="B233" s="125"/>
      <c r="D233" s="125"/>
      <c r="AA233" s="74"/>
      <c r="AD233" s="208"/>
      <c r="AE233" s="124"/>
      <c r="AI233" s="74"/>
      <c r="AM233" s="74"/>
      <c r="AQ233" s="74"/>
      <c r="AU233" s="74"/>
      <c r="AY233" s="74"/>
      <c r="BC233" s="74"/>
    </row>
    <row r="234" spans="2:55" s="123" customFormat="1">
      <c r="B234" s="125"/>
      <c r="D234" s="125"/>
      <c r="AA234" s="74"/>
      <c r="AD234" s="208"/>
      <c r="AE234" s="124"/>
      <c r="AI234" s="74"/>
      <c r="AM234" s="74"/>
      <c r="AQ234" s="74"/>
      <c r="AU234" s="74"/>
      <c r="AY234" s="74"/>
      <c r="BC234" s="74"/>
    </row>
    <row r="235" spans="2:55" s="123" customFormat="1">
      <c r="B235" s="125"/>
      <c r="D235" s="125"/>
      <c r="AA235" s="74"/>
      <c r="AD235" s="208"/>
      <c r="AE235" s="124"/>
      <c r="AI235" s="74"/>
      <c r="AM235" s="74"/>
      <c r="AQ235" s="74"/>
      <c r="AU235" s="74"/>
      <c r="AY235" s="74"/>
      <c r="BC235" s="74"/>
    </row>
    <row r="236" spans="2:55" s="123" customFormat="1">
      <c r="B236" s="125"/>
      <c r="D236" s="125"/>
      <c r="AA236" s="74"/>
      <c r="AD236" s="208"/>
      <c r="AE236" s="124"/>
      <c r="AI236" s="74"/>
      <c r="AM236" s="74"/>
      <c r="AQ236" s="74"/>
      <c r="AU236" s="74"/>
      <c r="AY236" s="74"/>
      <c r="BC236" s="74"/>
    </row>
    <row r="237" spans="2:55" s="123" customFormat="1">
      <c r="B237" s="125"/>
      <c r="D237" s="125"/>
      <c r="AA237" s="74"/>
      <c r="AD237" s="208"/>
      <c r="AE237" s="124"/>
      <c r="AI237" s="74"/>
      <c r="AM237" s="74"/>
      <c r="AQ237" s="74"/>
      <c r="AU237" s="74"/>
      <c r="AY237" s="74"/>
      <c r="BC237" s="74"/>
    </row>
    <row r="238" spans="2:55" s="123" customFormat="1">
      <c r="B238" s="125"/>
      <c r="D238" s="125"/>
      <c r="AA238" s="74"/>
      <c r="AD238" s="208"/>
      <c r="AE238" s="124"/>
      <c r="AI238" s="74"/>
      <c r="AM238" s="74"/>
      <c r="AQ238" s="74"/>
      <c r="AU238" s="74"/>
      <c r="AY238" s="74"/>
      <c r="BC238" s="74"/>
    </row>
    <row r="239" spans="2:55" s="123" customFormat="1">
      <c r="B239" s="125"/>
      <c r="D239" s="125"/>
      <c r="AA239" s="74"/>
      <c r="AD239" s="208"/>
      <c r="AE239" s="124"/>
      <c r="AI239" s="74"/>
      <c r="AM239" s="74"/>
      <c r="AQ239" s="74"/>
      <c r="AU239" s="74"/>
      <c r="AY239" s="74"/>
      <c r="BC239" s="74"/>
    </row>
    <row r="240" spans="2:55" s="123" customFormat="1">
      <c r="B240" s="125"/>
      <c r="D240" s="125"/>
      <c r="AA240" s="74"/>
      <c r="AD240" s="208"/>
      <c r="AE240" s="124"/>
      <c r="AI240" s="74"/>
      <c r="AM240" s="74"/>
      <c r="AQ240" s="74"/>
      <c r="AU240" s="74"/>
      <c r="AY240" s="74"/>
      <c r="BC240" s="74"/>
    </row>
    <row r="241" spans="2:55" s="123" customFormat="1">
      <c r="B241" s="125"/>
      <c r="D241" s="125"/>
      <c r="AA241" s="74"/>
      <c r="AD241" s="208"/>
      <c r="AE241" s="124"/>
      <c r="AI241" s="74"/>
      <c r="AM241" s="74"/>
      <c r="AQ241" s="74"/>
      <c r="AU241" s="74"/>
      <c r="AY241" s="74"/>
      <c r="BC241" s="74"/>
    </row>
    <row r="242" spans="2:55" s="123" customFormat="1">
      <c r="B242" s="125"/>
      <c r="D242" s="125"/>
      <c r="AA242" s="74"/>
      <c r="AD242" s="208"/>
      <c r="AE242" s="124"/>
      <c r="AI242" s="74"/>
      <c r="AM242" s="74"/>
      <c r="AQ242" s="74"/>
      <c r="AU242" s="74"/>
      <c r="AY242" s="74"/>
      <c r="BC242" s="74"/>
    </row>
    <row r="243" spans="2:55" s="123" customFormat="1">
      <c r="B243" s="125"/>
      <c r="D243" s="125"/>
      <c r="AA243" s="74"/>
      <c r="AD243" s="208"/>
      <c r="AE243" s="124"/>
      <c r="AI243" s="74"/>
      <c r="AM243" s="74"/>
      <c r="AQ243" s="74"/>
      <c r="AU243" s="74"/>
      <c r="AY243" s="74"/>
      <c r="BC243" s="74"/>
    </row>
    <row r="244" spans="2:55" s="123" customFormat="1">
      <c r="B244" s="125"/>
      <c r="D244" s="125"/>
      <c r="AA244" s="74"/>
      <c r="AD244" s="208"/>
      <c r="AE244" s="124"/>
      <c r="AI244" s="74"/>
      <c r="AM244" s="74"/>
      <c r="AQ244" s="74"/>
      <c r="AU244" s="74"/>
      <c r="AY244" s="74"/>
      <c r="BC244" s="74"/>
    </row>
    <row r="245" spans="2:55" s="123" customFormat="1">
      <c r="B245" s="125"/>
      <c r="D245" s="125"/>
      <c r="AA245" s="74"/>
      <c r="AD245" s="208"/>
      <c r="AE245" s="124"/>
      <c r="AI245" s="74"/>
      <c r="AM245" s="74"/>
      <c r="AQ245" s="74"/>
      <c r="AU245" s="74"/>
      <c r="AY245" s="74"/>
      <c r="BC245" s="74"/>
    </row>
    <row r="246" spans="2:55" s="123" customFormat="1">
      <c r="B246" s="125"/>
      <c r="D246" s="125"/>
      <c r="AA246" s="74"/>
      <c r="AD246" s="208"/>
      <c r="AE246" s="124"/>
      <c r="AI246" s="74"/>
      <c r="AM246" s="74"/>
      <c r="AQ246" s="74"/>
      <c r="AU246" s="74"/>
      <c r="AY246" s="74"/>
      <c r="BC246" s="74"/>
    </row>
    <row r="247" spans="2:55" s="123" customFormat="1">
      <c r="B247" s="125"/>
      <c r="D247" s="125"/>
      <c r="AA247" s="74"/>
      <c r="AD247" s="208"/>
      <c r="AE247" s="124"/>
      <c r="AI247" s="74"/>
      <c r="AM247" s="74"/>
      <c r="AQ247" s="74"/>
      <c r="AU247" s="74"/>
      <c r="AY247" s="74"/>
      <c r="BC247" s="74"/>
    </row>
    <row r="248" spans="2:55" s="123" customFormat="1">
      <c r="B248" s="125"/>
      <c r="D248" s="125"/>
      <c r="AA248" s="74"/>
      <c r="AD248" s="208"/>
      <c r="AE248" s="124"/>
      <c r="AI248" s="74"/>
      <c r="AM248" s="74"/>
      <c r="AQ248" s="74"/>
      <c r="AU248" s="74"/>
      <c r="AY248" s="74"/>
      <c r="BC248" s="74"/>
    </row>
    <row r="249" spans="2:55" s="123" customFormat="1">
      <c r="B249" s="125"/>
      <c r="D249" s="125"/>
      <c r="AA249" s="74"/>
      <c r="AD249" s="208"/>
      <c r="AE249" s="124"/>
      <c r="AI249" s="74"/>
      <c r="AM249" s="74"/>
      <c r="AQ249" s="74"/>
      <c r="AU249" s="74"/>
      <c r="AY249" s="74"/>
      <c r="BC249" s="74"/>
    </row>
    <row r="250" spans="2:55" s="123" customFormat="1">
      <c r="B250" s="125"/>
      <c r="D250" s="125"/>
      <c r="AA250" s="74"/>
      <c r="AD250" s="208"/>
      <c r="AE250" s="124"/>
      <c r="AI250" s="74"/>
      <c r="AM250" s="74"/>
      <c r="AQ250" s="74"/>
      <c r="AU250" s="74"/>
      <c r="AY250" s="74"/>
      <c r="BC250" s="74"/>
    </row>
    <row r="251" spans="2:55" s="123" customFormat="1">
      <c r="B251" s="125"/>
      <c r="D251" s="125"/>
      <c r="AA251" s="74"/>
      <c r="AD251" s="208"/>
      <c r="AE251" s="124"/>
      <c r="AI251" s="74"/>
      <c r="AM251" s="74"/>
      <c r="AQ251" s="74"/>
      <c r="AU251" s="74"/>
      <c r="AY251" s="74"/>
      <c r="BC251" s="74"/>
    </row>
    <row r="252" spans="2:55" s="123" customFormat="1">
      <c r="B252" s="125"/>
      <c r="D252" s="125"/>
      <c r="AA252" s="74"/>
      <c r="AD252" s="208"/>
      <c r="AE252" s="124"/>
      <c r="AI252" s="74"/>
      <c r="AM252" s="74"/>
      <c r="AQ252" s="74"/>
      <c r="AU252" s="74"/>
      <c r="AY252" s="74"/>
      <c r="BC252" s="74"/>
    </row>
    <row r="253" spans="2:55" s="123" customFormat="1">
      <c r="B253" s="125"/>
      <c r="D253" s="125"/>
      <c r="AA253" s="74"/>
      <c r="AD253" s="208"/>
      <c r="AE253" s="124"/>
      <c r="AI253" s="74"/>
      <c r="AM253" s="74"/>
      <c r="AQ253" s="74"/>
      <c r="AU253" s="74"/>
      <c r="AY253" s="74"/>
      <c r="BC253" s="74"/>
    </row>
    <row r="254" spans="2:55" s="123" customFormat="1">
      <c r="B254" s="125"/>
      <c r="D254" s="125"/>
      <c r="AA254" s="74"/>
      <c r="AD254" s="208"/>
      <c r="AE254" s="124"/>
      <c r="AI254" s="74"/>
      <c r="AM254" s="74"/>
      <c r="AQ254" s="74"/>
      <c r="AU254" s="74"/>
      <c r="AY254" s="74"/>
      <c r="BC254" s="74"/>
    </row>
    <row r="255" spans="2:55" s="123" customFormat="1">
      <c r="B255" s="125"/>
      <c r="D255" s="125"/>
      <c r="AA255" s="74"/>
      <c r="AD255" s="208"/>
      <c r="AE255" s="124"/>
      <c r="AI255" s="74"/>
      <c r="AM255" s="74"/>
      <c r="AQ255" s="74"/>
      <c r="AU255" s="74"/>
      <c r="AY255" s="74"/>
      <c r="BC255" s="74"/>
    </row>
    <row r="256" spans="2:55" s="123" customFormat="1">
      <c r="B256" s="125"/>
      <c r="D256" s="125"/>
      <c r="AA256" s="74"/>
      <c r="AD256" s="208"/>
      <c r="AE256" s="124"/>
      <c r="AI256" s="74"/>
      <c r="AM256" s="74"/>
      <c r="AQ256" s="74"/>
      <c r="AU256" s="74"/>
      <c r="AY256" s="74"/>
      <c r="BC256" s="74"/>
    </row>
    <row r="257" spans="2:55" s="123" customFormat="1">
      <c r="B257" s="125"/>
      <c r="D257" s="125"/>
      <c r="AA257" s="74"/>
      <c r="AD257" s="208"/>
      <c r="AE257" s="124"/>
      <c r="AI257" s="74"/>
      <c r="AM257" s="74"/>
      <c r="AQ257" s="74"/>
      <c r="AU257" s="74"/>
      <c r="AY257" s="74"/>
      <c r="BC257" s="74"/>
    </row>
    <row r="258" spans="2:55" s="123" customFormat="1">
      <c r="B258" s="125"/>
      <c r="D258" s="125"/>
      <c r="AA258" s="74"/>
      <c r="AD258" s="208"/>
      <c r="AE258" s="124"/>
      <c r="AI258" s="74"/>
      <c r="AM258" s="74"/>
      <c r="AQ258" s="74"/>
      <c r="AU258" s="74"/>
      <c r="AY258" s="74"/>
      <c r="BC258" s="74"/>
    </row>
    <row r="259" spans="2:55" s="123" customFormat="1">
      <c r="B259" s="125"/>
      <c r="D259" s="125"/>
      <c r="AA259" s="74"/>
      <c r="AD259" s="208"/>
      <c r="AE259" s="124"/>
      <c r="AI259" s="74"/>
      <c r="AM259" s="74"/>
      <c r="AQ259" s="74"/>
      <c r="AU259" s="74"/>
      <c r="AY259" s="74"/>
      <c r="BC259" s="74"/>
    </row>
    <row r="260" spans="2:55" s="123" customFormat="1">
      <c r="B260" s="125"/>
      <c r="D260" s="125"/>
      <c r="AA260" s="74"/>
      <c r="AD260" s="208"/>
      <c r="AE260" s="124"/>
      <c r="AI260" s="74"/>
      <c r="AM260" s="74"/>
      <c r="AQ260" s="74"/>
      <c r="AU260" s="74"/>
      <c r="AY260" s="74"/>
      <c r="BC260" s="74"/>
    </row>
    <row r="261" spans="2:55" s="123" customFormat="1">
      <c r="B261" s="125"/>
      <c r="D261" s="125"/>
      <c r="AA261" s="74"/>
      <c r="AD261" s="208"/>
      <c r="AE261" s="124"/>
      <c r="AI261" s="74"/>
      <c r="AM261" s="74"/>
      <c r="AQ261" s="74"/>
      <c r="AU261" s="74"/>
      <c r="AY261" s="74"/>
      <c r="BC261" s="74"/>
    </row>
    <row r="262" spans="2:55" s="123" customFormat="1">
      <c r="B262" s="125"/>
      <c r="D262" s="125"/>
      <c r="AA262" s="74"/>
      <c r="AD262" s="208"/>
      <c r="AE262" s="124"/>
      <c r="AI262" s="74"/>
      <c r="AM262" s="74"/>
      <c r="AQ262" s="74"/>
      <c r="AU262" s="74"/>
      <c r="AY262" s="74"/>
      <c r="BC262" s="74"/>
    </row>
    <row r="263" spans="2:55" s="123" customFormat="1">
      <c r="B263" s="125"/>
      <c r="D263" s="125"/>
      <c r="AA263" s="74"/>
      <c r="AD263" s="208"/>
      <c r="AE263" s="124"/>
      <c r="AI263" s="74"/>
      <c r="AM263" s="74"/>
      <c r="AQ263" s="74"/>
      <c r="AU263" s="74"/>
      <c r="AY263" s="74"/>
      <c r="BC263" s="74"/>
    </row>
    <row r="264" spans="2:55" s="123" customFormat="1">
      <c r="B264" s="125"/>
      <c r="D264" s="125"/>
      <c r="AA264" s="74"/>
      <c r="AD264" s="208"/>
      <c r="AE264" s="124"/>
      <c r="AI264" s="74"/>
      <c r="AM264" s="74"/>
      <c r="AQ264" s="74"/>
      <c r="AU264" s="74"/>
      <c r="AY264" s="74"/>
      <c r="BC264" s="74"/>
    </row>
    <row r="265" spans="2:55" s="123" customFormat="1">
      <c r="B265" s="125"/>
      <c r="D265" s="125"/>
      <c r="AA265" s="74"/>
      <c r="AD265" s="208"/>
      <c r="AE265" s="124"/>
      <c r="AI265" s="74"/>
      <c r="AM265" s="74"/>
      <c r="AQ265" s="74"/>
      <c r="AU265" s="74"/>
      <c r="AY265" s="74"/>
      <c r="BC265" s="74"/>
    </row>
    <row r="266" spans="2:55" s="123" customFormat="1">
      <c r="B266" s="125"/>
      <c r="D266" s="125"/>
      <c r="AA266" s="74"/>
      <c r="AD266" s="208"/>
      <c r="AE266" s="124"/>
      <c r="AI266" s="74"/>
      <c r="AM266" s="74"/>
      <c r="AQ266" s="74"/>
      <c r="AU266" s="74"/>
      <c r="AY266" s="74"/>
      <c r="BC266" s="74"/>
    </row>
    <row r="267" spans="2:55" s="123" customFormat="1">
      <c r="B267" s="125"/>
      <c r="D267" s="125"/>
      <c r="AA267" s="74"/>
      <c r="AD267" s="208"/>
      <c r="AE267" s="124"/>
      <c r="AI267" s="74"/>
      <c r="AM267" s="74"/>
      <c r="AQ267" s="74"/>
      <c r="AU267" s="74"/>
      <c r="AY267" s="74"/>
      <c r="BC267" s="74"/>
    </row>
    <row r="268" spans="2:55" s="123" customFormat="1">
      <c r="B268" s="125"/>
      <c r="D268" s="125"/>
      <c r="AA268" s="74"/>
      <c r="AD268" s="208"/>
      <c r="AE268" s="124"/>
      <c r="AI268" s="74"/>
      <c r="AM268" s="74"/>
      <c r="AQ268" s="74"/>
      <c r="AU268" s="74"/>
      <c r="AY268" s="74"/>
      <c r="BC268" s="74"/>
    </row>
    <row r="269" spans="2:55" s="123" customFormat="1">
      <c r="B269" s="125"/>
      <c r="D269" s="125"/>
      <c r="AA269" s="74"/>
      <c r="AD269" s="208"/>
      <c r="AE269" s="124"/>
      <c r="AI269" s="74"/>
      <c r="AM269" s="74"/>
      <c r="AQ269" s="74"/>
      <c r="AU269" s="74"/>
      <c r="AY269" s="74"/>
      <c r="BC269" s="74"/>
    </row>
    <row r="270" spans="2:55" s="123" customFormat="1">
      <c r="B270" s="125"/>
      <c r="D270" s="125"/>
      <c r="AA270" s="74"/>
      <c r="AD270" s="208"/>
      <c r="AE270" s="124"/>
      <c r="AI270" s="74"/>
      <c r="AM270" s="74"/>
      <c r="AQ270" s="74"/>
      <c r="AU270" s="74"/>
      <c r="AY270" s="74"/>
      <c r="BC270" s="74"/>
    </row>
    <row r="271" spans="2:55" s="123" customFormat="1">
      <c r="B271" s="125"/>
      <c r="D271" s="125"/>
      <c r="AA271" s="74"/>
      <c r="AD271" s="208"/>
      <c r="AE271" s="124"/>
      <c r="AI271" s="74"/>
      <c r="AM271" s="74"/>
      <c r="AQ271" s="74"/>
      <c r="AU271" s="74"/>
      <c r="AY271" s="74"/>
      <c r="BC271" s="74"/>
    </row>
    <row r="272" spans="2:55" s="123" customFormat="1">
      <c r="B272" s="125"/>
      <c r="D272" s="125"/>
      <c r="AA272" s="74"/>
      <c r="AD272" s="208"/>
      <c r="AE272" s="124"/>
      <c r="AI272" s="74"/>
      <c r="AM272" s="74"/>
      <c r="AQ272" s="74"/>
      <c r="AU272" s="74"/>
      <c r="AY272" s="74"/>
      <c r="BC272" s="74"/>
    </row>
    <row r="273" spans="2:55" s="123" customFormat="1">
      <c r="B273" s="125"/>
      <c r="D273" s="125"/>
      <c r="AA273" s="74"/>
      <c r="AD273" s="208"/>
      <c r="AE273" s="124"/>
      <c r="AI273" s="74"/>
      <c r="AM273" s="74"/>
      <c r="AQ273" s="74"/>
      <c r="AU273" s="74"/>
      <c r="AY273" s="74"/>
      <c r="BC273" s="74"/>
    </row>
    <row r="274" spans="2:55" s="123" customFormat="1">
      <c r="B274" s="125"/>
      <c r="D274" s="125"/>
      <c r="AA274" s="74"/>
      <c r="AD274" s="208"/>
      <c r="AE274" s="124"/>
      <c r="AI274" s="74"/>
      <c r="AM274" s="74"/>
      <c r="AQ274" s="74"/>
      <c r="AU274" s="74"/>
      <c r="AY274" s="74"/>
      <c r="BC274" s="74"/>
    </row>
    <row r="275" spans="2:55" s="123" customFormat="1">
      <c r="B275" s="125"/>
      <c r="D275" s="125"/>
      <c r="AA275" s="74"/>
      <c r="AD275" s="208"/>
      <c r="AE275" s="124"/>
      <c r="AI275" s="74"/>
      <c r="AM275" s="74"/>
      <c r="AQ275" s="74"/>
      <c r="AU275" s="74"/>
      <c r="AY275" s="74"/>
      <c r="BC275" s="74"/>
    </row>
    <row r="276" spans="2:55" s="123" customFormat="1">
      <c r="B276" s="125"/>
      <c r="D276" s="125"/>
      <c r="AA276" s="74"/>
      <c r="AD276" s="208"/>
      <c r="AE276" s="124"/>
      <c r="AI276" s="74"/>
      <c r="AM276" s="74"/>
      <c r="AQ276" s="74"/>
      <c r="AU276" s="74"/>
      <c r="AY276" s="74"/>
      <c r="BC276" s="74"/>
    </row>
    <row r="277" spans="2:55" s="123" customFormat="1">
      <c r="B277" s="125"/>
      <c r="D277" s="125"/>
      <c r="AA277" s="74"/>
      <c r="AD277" s="208"/>
      <c r="AE277" s="124"/>
      <c r="AI277" s="74"/>
      <c r="AM277" s="74"/>
      <c r="AQ277" s="74"/>
      <c r="AU277" s="74"/>
      <c r="AY277" s="74"/>
      <c r="BC277" s="74"/>
    </row>
    <row r="278" spans="2:55" s="123" customFormat="1">
      <c r="B278" s="125"/>
      <c r="D278" s="125"/>
      <c r="AA278" s="74"/>
      <c r="AD278" s="208"/>
      <c r="AE278" s="124"/>
      <c r="AI278" s="74"/>
      <c r="AM278" s="74"/>
      <c r="AQ278" s="74"/>
      <c r="AU278" s="74"/>
      <c r="AY278" s="74"/>
      <c r="BC278" s="74"/>
    </row>
    <row r="279" spans="2:55" s="123" customFormat="1">
      <c r="B279" s="125"/>
      <c r="D279" s="125"/>
      <c r="AA279" s="74"/>
      <c r="AD279" s="208"/>
      <c r="AE279" s="124"/>
      <c r="AI279" s="74"/>
      <c r="AM279" s="74"/>
      <c r="AQ279" s="74"/>
      <c r="AU279" s="74"/>
      <c r="AY279" s="74"/>
      <c r="BC279" s="74"/>
    </row>
    <row r="280" spans="2:55" s="123" customFormat="1">
      <c r="B280" s="125"/>
      <c r="D280" s="125"/>
      <c r="AA280" s="74"/>
      <c r="AD280" s="208"/>
      <c r="AE280" s="124"/>
      <c r="AI280" s="74"/>
      <c r="AM280" s="74"/>
      <c r="AQ280" s="74"/>
      <c r="AU280" s="74"/>
      <c r="AY280" s="74"/>
      <c r="BC280" s="74"/>
    </row>
    <row r="281" spans="2:55" s="123" customFormat="1">
      <c r="B281" s="125"/>
      <c r="D281" s="125"/>
      <c r="AA281" s="74"/>
      <c r="AD281" s="208"/>
      <c r="AE281" s="124"/>
      <c r="AI281" s="74"/>
      <c r="AM281" s="74"/>
      <c r="AQ281" s="74"/>
      <c r="AU281" s="74"/>
      <c r="AY281" s="74"/>
      <c r="BC281" s="74"/>
    </row>
    <row r="282" spans="2:55" s="123" customFormat="1">
      <c r="B282" s="125"/>
      <c r="D282" s="125"/>
      <c r="AA282" s="74"/>
      <c r="AD282" s="208"/>
      <c r="AE282" s="124"/>
      <c r="AI282" s="74"/>
      <c r="AM282" s="74"/>
      <c r="AQ282" s="74"/>
      <c r="AU282" s="74"/>
      <c r="AY282" s="74"/>
      <c r="BC282" s="74"/>
    </row>
    <row r="283" spans="2:55" s="123" customFormat="1">
      <c r="B283" s="125"/>
      <c r="D283" s="125"/>
      <c r="AA283" s="74"/>
      <c r="AD283" s="208"/>
      <c r="AE283" s="124"/>
      <c r="AI283" s="74"/>
      <c r="AM283" s="74"/>
      <c r="AQ283" s="74"/>
      <c r="AU283" s="74"/>
      <c r="AY283" s="74"/>
      <c r="BC283" s="74"/>
    </row>
    <row r="284" spans="2:55" s="123" customFormat="1">
      <c r="B284" s="125"/>
      <c r="D284" s="125"/>
      <c r="AA284" s="74"/>
      <c r="AD284" s="208"/>
      <c r="AE284" s="124"/>
      <c r="AI284" s="74"/>
      <c r="AM284" s="74"/>
      <c r="AQ284" s="74"/>
      <c r="AU284" s="74"/>
      <c r="AY284" s="74"/>
      <c r="BC284" s="74"/>
    </row>
    <row r="285" spans="2:55" s="123" customFormat="1">
      <c r="B285" s="125"/>
      <c r="D285" s="125"/>
      <c r="AA285" s="74"/>
      <c r="AD285" s="208"/>
      <c r="AE285" s="124"/>
      <c r="AI285" s="74"/>
      <c r="AM285" s="74"/>
      <c r="AQ285" s="74"/>
      <c r="AU285" s="74"/>
      <c r="AY285" s="74"/>
      <c r="BC285" s="74"/>
    </row>
    <row r="286" spans="2:55" s="123" customFormat="1">
      <c r="B286" s="125"/>
      <c r="D286" s="125"/>
      <c r="AA286" s="74"/>
      <c r="AD286" s="208"/>
      <c r="AE286" s="124"/>
      <c r="AI286" s="74"/>
      <c r="AM286" s="74"/>
      <c r="AQ286" s="74"/>
      <c r="AU286" s="74"/>
      <c r="AY286" s="74"/>
      <c r="BC286" s="74"/>
    </row>
    <row r="287" spans="2:55" s="123" customFormat="1">
      <c r="B287" s="125"/>
      <c r="D287" s="125"/>
      <c r="AA287" s="74"/>
      <c r="AD287" s="208"/>
      <c r="AE287" s="124"/>
      <c r="AI287" s="74"/>
      <c r="AM287" s="74"/>
      <c r="AQ287" s="74"/>
      <c r="AU287" s="74"/>
      <c r="AY287" s="74"/>
      <c r="BC287" s="74"/>
    </row>
    <row r="288" spans="2:55" s="123" customFormat="1">
      <c r="B288" s="125"/>
      <c r="D288" s="125"/>
      <c r="AA288" s="74"/>
      <c r="AD288" s="208"/>
      <c r="AE288" s="124"/>
      <c r="AI288" s="74"/>
      <c r="AM288" s="74"/>
      <c r="AQ288" s="74"/>
      <c r="AU288" s="74"/>
      <c r="AY288" s="74"/>
      <c r="BC288" s="74"/>
    </row>
    <row r="289" spans="2:55" s="123" customFormat="1">
      <c r="B289" s="125"/>
      <c r="D289" s="125"/>
      <c r="AA289" s="74"/>
      <c r="AD289" s="208"/>
      <c r="AE289" s="124"/>
      <c r="AI289" s="74"/>
      <c r="AM289" s="74"/>
      <c r="AQ289" s="74"/>
      <c r="AU289" s="74"/>
      <c r="AY289" s="74"/>
      <c r="BC289" s="74"/>
    </row>
    <row r="290" spans="2:55" s="123" customFormat="1">
      <c r="B290" s="125"/>
      <c r="D290" s="125"/>
      <c r="AA290" s="74"/>
      <c r="AD290" s="208"/>
      <c r="AE290" s="124"/>
      <c r="AI290" s="74"/>
      <c r="AM290" s="74"/>
      <c r="AQ290" s="74"/>
      <c r="AU290" s="74"/>
      <c r="AY290" s="74"/>
      <c r="BC290" s="74"/>
    </row>
    <row r="291" spans="2:55" s="123" customFormat="1">
      <c r="B291" s="125"/>
      <c r="D291" s="125"/>
      <c r="AA291" s="74"/>
      <c r="AD291" s="208"/>
      <c r="AE291" s="124"/>
      <c r="AI291" s="74"/>
      <c r="AM291" s="74"/>
      <c r="AQ291" s="74"/>
      <c r="AU291" s="74"/>
      <c r="AY291" s="74"/>
      <c r="BC291" s="74"/>
    </row>
    <row r="292" spans="2:55" s="123" customFormat="1">
      <c r="B292" s="125"/>
      <c r="D292" s="125"/>
      <c r="AA292" s="74"/>
      <c r="AD292" s="208"/>
      <c r="AE292" s="124"/>
      <c r="AI292" s="74"/>
      <c r="AM292" s="74"/>
      <c r="AQ292" s="74"/>
      <c r="AU292" s="74"/>
      <c r="AY292" s="74"/>
      <c r="BC292" s="74"/>
    </row>
    <row r="293" spans="2:55" s="123" customFormat="1">
      <c r="B293" s="125"/>
      <c r="D293" s="125"/>
      <c r="AA293" s="74"/>
      <c r="AD293" s="208"/>
      <c r="AE293" s="124"/>
      <c r="AI293" s="74"/>
      <c r="AM293" s="74"/>
      <c r="AQ293" s="74"/>
      <c r="AU293" s="74"/>
      <c r="AY293" s="74"/>
      <c r="BC293" s="74"/>
    </row>
    <row r="294" spans="2:55" s="123" customFormat="1">
      <c r="B294" s="125"/>
      <c r="D294" s="125"/>
      <c r="AA294" s="74"/>
      <c r="AD294" s="208"/>
      <c r="AE294" s="124"/>
      <c r="AI294" s="74"/>
      <c r="AM294" s="74"/>
      <c r="AQ294" s="74"/>
      <c r="AU294" s="74"/>
      <c r="AY294" s="74"/>
      <c r="BC294" s="74"/>
    </row>
    <row r="295" spans="2:55" s="123" customFormat="1">
      <c r="B295" s="125"/>
      <c r="D295" s="125"/>
      <c r="AA295" s="74"/>
      <c r="AD295" s="208"/>
      <c r="AE295" s="124"/>
      <c r="AI295" s="74"/>
      <c r="AM295" s="74"/>
      <c r="AQ295" s="74"/>
      <c r="AU295" s="74"/>
      <c r="AY295" s="74"/>
      <c r="BC295" s="74"/>
    </row>
    <row r="296" spans="2:55" s="123" customFormat="1">
      <c r="B296" s="125"/>
      <c r="D296" s="125"/>
      <c r="AA296" s="74"/>
      <c r="AD296" s="208"/>
      <c r="AE296" s="124"/>
      <c r="AI296" s="74"/>
      <c r="AM296" s="74"/>
      <c r="AQ296" s="74"/>
      <c r="AU296" s="74"/>
      <c r="AY296" s="74"/>
      <c r="BC296" s="74"/>
    </row>
    <row r="297" spans="2:55" s="123" customFormat="1">
      <c r="B297" s="125"/>
      <c r="D297" s="125"/>
      <c r="AA297" s="74"/>
      <c r="AD297" s="208"/>
      <c r="AE297" s="124"/>
      <c r="AI297" s="74"/>
      <c r="AM297" s="74"/>
      <c r="AQ297" s="74"/>
      <c r="AU297" s="74"/>
      <c r="AY297" s="74"/>
      <c r="BC297" s="74"/>
    </row>
    <row r="298" spans="2:55" s="123" customFormat="1">
      <c r="B298" s="125"/>
      <c r="D298" s="125"/>
      <c r="AA298" s="74"/>
      <c r="AD298" s="208"/>
      <c r="AE298" s="124"/>
      <c r="AI298" s="74"/>
      <c r="AM298" s="74"/>
      <c r="AQ298" s="74"/>
      <c r="AU298" s="74"/>
      <c r="AY298" s="74"/>
      <c r="BC298" s="74"/>
    </row>
    <row r="299" spans="2:55" s="123" customFormat="1">
      <c r="B299" s="125"/>
      <c r="D299" s="125"/>
      <c r="AA299" s="74"/>
      <c r="AD299" s="208"/>
      <c r="AE299" s="124"/>
      <c r="AI299" s="74"/>
      <c r="AM299" s="74"/>
      <c r="AQ299" s="74"/>
      <c r="AU299" s="74"/>
      <c r="AY299" s="74"/>
      <c r="BC299" s="74"/>
    </row>
    <row r="300" spans="2:55" s="123" customFormat="1">
      <c r="B300" s="125"/>
      <c r="D300" s="125"/>
      <c r="AA300" s="74"/>
      <c r="AD300" s="208"/>
      <c r="AE300" s="124"/>
      <c r="AI300" s="74"/>
      <c r="AM300" s="74"/>
      <c r="AQ300" s="74"/>
      <c r="AU300" s="74"/>
      <c r="AY300" s="74"/>
      <c r="BC300" s="74"/>
    </row>
    <row r="301" spans="2:55" s="123" customFormat="1">
      <c r="B301" s="125"/>
      <c r="D301" s="125"/>
      <c r="AA301" s="74"/>
      <c r="AD301" s="208"/>
      <c r="AE301" s="124"/>
      <c r="AI301" s="74"/>
      <c r="AM301" s="74"/>
      <c r="AQ301" s="74"/>
      <c r="AU301" s="74"/>
      <c r="AY301" s="74"/>
      <c r="BC301" s="74"/>
    </row>
    <row r="302" spans="2:55" s="123" customFormat="1">
      <c r="B302" s="125"/>
      <c r="D302" s="125"/>
      <c r="AA302" s="74"/>
      <c r="AD302" s="208"/>
      <c r="AE302" s="124"/>
      <c r="AI302" s="74"/>
      <c r="AM302" s="74"/>
      <c r="AQ302" s="74"/>
      <c r="AU302" s="74"/>
      <c r="AY302" s="74"/>
      <c r="BC302" s="74"/>
    </row>
    <row r="303" spans="2:55" s="123" customFormat="1">
      <c r="B303" s="125"/>
      <c r="D303" s="125"/>
      <c r="AA303" s="74"/>
      <c r="AD303" s="208"/>
      <c r="AE303" s="124"/>
      <c r="AI303" s="74"/>
      <c r="AM303" s="74"/>
      <c r="AQ303" s="74"/>
      <c r="AU303" s="74"/>
      <c r="AY303" s="74"/>
      <c r="BC303" s="74"/>
    </row>
    <row r="304" spans="2:55" s="123" customFormat="1">
      <c r="B304" s="125"/>
      <c r="D304" s="125"/>
      <c r="AA304" s="74"/>
      <c r="AD304" s="208"/>
      <c r="AE304" s="124"/>
      <c r="AI304" s="74"/>
      <c r="AM304" s="74"/>
      <c r="AQ304" s="74"/>
      <c r="AU304" s="74"/>
      <c r="AY304" s="74"/>
      <c r="BC304" s="74"/>
    </row>
    <row r="305" spans="2:55" s="123" customFormat="1">
      <c r="B305" s="125"/>
      <c r="D305" s="125"/>
      <c r="AA305" s="74"/>
      <c r="AD305" s="208"/>
      <c r="AE305" s="124"/>
      <c r="AI305" s="74"/>
      <c r="AM305" s="74"/>
      <c r="AQ305" s="74"/>
      <c r="AU305" s="74"/>
      <c r="AY305" s="74"/>
      <c r="BC305" s="74"/>
    </row>
    <row r="306" spans="2:55" s="123" customFormat="1">
      <c r="B306" s="125"/>
      <c r="D306" s="125"/>
      <c r="AA306" s="74"/>
      <c r="AD306" s="208"/>
      <c r="AE306" s="124"/>
      <c r="AI306" s="74"/>
      <c r="AM306" s="74"/>
      <c r="AQ306" s="74"/>
      <c r="AU306" s="74"/>
      <c r="AY306" s="74"/>
      <c r="BC306" s="74"/>
    </row>
    <row r="307" spans="2:55" s="123" customFormat="1">
      <c r="B307" s="125"/>
      <c r="D307" s="125"/>
      <c r="AA307" s="74"/>
      <c r="AD307" s="208"/>
      <c r="AE307" s="124"/>
      <c r="AI307" s="74"/>
      <c r="AM307" s="74"/>
      <c r="AQ307" s="74"/>
      <c r="AU307" s="74"/>
      <c r="AY307" s="74"/>
      <c r="BC307" s="74"/>
    </row>
    <row r="308" spans="2:55" s="123" customFormat="1">
      <c r="B308" s="125"/>
      <c r="D308" s="125"/>
      <c r="AA308" s="74"/>
      <c r="AD308" s="208"/>
      <c r="AE308" s="124"/>
      <c r="AI308" s="74"/>
      <c r="AM308" s="74"/>
      <c r="AQ308" s="74"/>
      <c r="AU308" s="74"/>
      <c r="AY308" s="74"/>
      <c r="BC308" s="74"/>
    </row>
    <row r="309" spans="2:55" s="123" customFormat="1">
      <c r="B309" s="125"/>
      <c r="D309" s="125"/>
      <c r="AA309" s="74"/>
      <c r="AD309" s="208"/>
      <c r="AE309" s="124"/>
      <c r="AI309" s="74"/>
      <c r="AM309" s="74"/>
      <c r="AQ309" s="74"/>
      <c r="AU309" s="74"/>
      <c r="AY309" s="74"/>
      <c r="BC309" s="74"/>
    </row>
    <row r="310" spans="2:55" s="123" customFormat="1">
      <c r="B310" s="125"/>
      <c r="D310" s="125"/>
      <c r="AA310" s="74"/>
      <c r="AD310" s="208"/>
      <c r="AE310" s="124"/>
      <c r="AI310" s="74"/>
      <c r="AM310" s="74"/>
      <c r="AQ310" s="74"/>
      <c r="AU310" s="74"/>
      <c r="AY310" s="74"/>
      <c r="BC310" s="74"/>
    </row>
    <row r="311" spans="2:55" s="123" customFormat="1">
      <c r="B311" s="125"/>
      <c r="D311" s="125"/>
      <c r="AA311" s="74"/>
      <c r="AD311" s="208"/>
      <c r="AE311" s="124"/>
      <c r="AI311" s="74"/>
      <c r="AM311" s="74"/>
      <c r="AQ311" s="74"/>
      <c r="AU311" s="74"/>
      <c r="AY311" s="74"/>
      <c r="BC311" s="74"/>
    </row>
    <row r="312" spans="2:55" s="123" customFormat="1">
      <c r="B312" s="125"/>
      <c r="D312" s="125"/>
      <c r="AA312" s="74"/>
      <c r="AD312" s="208"/>
      <c r="AE312" s="124"/>
      <c r="AI312" s="74"/>
      <c r="AM312" s="74"/>
      <c r="AQ312" s="74"/>
      <c r="AU312" s="74"/>
      <c r="AY312" s="74"/>
      <c r="BC312" s="74"/>
    </row>
    <row r="313" spans="2:55" s="123" customFormat="1">
      <c r="B313" s="125"/>
      <c r="D313" s="125"/>
      <c r="AA313" s="74"/>
      <c r="AD313" s="208"/>
      <c r="AE313" s="124"/>
      <c r="AI313" s="74"/>
      <c r="AM313" s="74"/>
      <c r="AQ313" s="74"/>
      <c r="AU313" s="74"/>
      <c r="AY313" s="74"/>
      <c r="BC313" s="74"/>
    </row>
    <row r="314" spans="2:55" s="123" customFormat="1">
      <c r="B314" s="125"/>
      <c r="D314" s="125"/>
      <c r="AA314" s="74"/>
      <c r="AD314" s="208"/>
      <c r="AE314" s="124"/>
      <c r="AI314" s="74"/>
      <c r="AM314" s="74"/>
      <c r="AQ314" s="74"/>
      <c r="AU314" s="74"/>
      <c r="AY314" s="74"/>
      <c r="BC314" s="74"/>
    </row>
    <row r="315" spans="2:55" s="123" customFormat="1">
      <c r="B315" s="125"/>
      <c r="D315" s="125"/>
      <c r="AA315" s="74"/>
      <c r="AD315" s="208"/>
      <c r="AE315" s="124"/>
      <c r="AI315" s="74"/>
      <c r="AM315" s="74"/>
      <c r="AQ315" s="74"/>
      <c r="AU315" s="74"/>
      <c r="AY315" s="74"/>
      <c r="BC315" s="74"/>
    </row>
    <row r="316" spans="2:55" s="123" customFormat="1">
      <c r="B316" s="125"/>
      <c r="D316" s="125"/>
      <c r="AA316" s="74"/>
      <c r="AD316" s="208"/>
      <c r="AE316" s="124"/>
      <c r="AI316" s="74"/>
      <c r="AM316" s="74"/>
      <c r="AQ316" s="74"/>
      <c r="AU316" s="74"/>
      <c r="AY316" s="74"/>
      <c r="BC316" s="74"/>
    </row>
    <row r="317" spans="2:55" s="123" customFormat="1">
      <c r="B317" s="125"/>
      <c r="D317" s="125"/>
      <c r="AA317" s="74"/>
      <c r="AD317" s="208"/>
      <c r="AE317" s="124"/>
      <c r="AI317" s="74"/>
      <c r="AM317" s="74"/>
      <c r="AQ317" s="74"/>
      <c r="AU317" s="74"/>
      <c r="AY317" s="74"/>
      <c r="BC317" s="74"/>
    </row>
    <row r="318" spans="2:55" s="123" customFormat="1">
      <c r="B318" s="125"/>
      <c r="D318" s="125"/>
      <c r="AA318" s="74"/>
      <c r="AD318" s="208"/>
      <c r="AE318" s="124"/>
      <c r="AI318" s="74"/>
      <c r="AM318" s="74"/>
      <c r="AQ318" s="74"/>
      <c r="AU318" s="74"/>
      <c r="AY318" s="74"/>
      <c r="BC318" s="74"/>
    </row>
    <row r="319" spans="2:55" s="123" customFormat="1">
      <c r="B319" s="125"/>
      <c r="D319" s="125"/>
      <c r="AA319" s="74"/>
      <c r="AD319" s="208"/>
      <c r="AE319" s="124"/>
      <c r="AI319" s="74"/>
      <c r="AM319" s="74"/>
      <c r="AQ319" s="74"/>
      <c r="AU319" s="74"/>
      <c r="AY319" s="74"/>
      <c r="BC319" s="74"/>
    </row>
    <row r="320" spans="2:55" s="123" customFormat="1">
      <c r="B320" s="125"/>
      <c r="D320" s="125"/>
      <c r="AA320" s="74"/>
      <c r="AD320" s="208"/>
      <c r="AE320" s="124"/>
      <c r="AI320" s="74"/>
      <c r="AM320" s="74"/>
      <c r="AQ320" s="74"/>
      <c r="AU320" s="74"/>
      <c r="AY320" s="74"/>
      <c r="BC320" s="74"/>
    </row>
    <row r="321" spans="2:55" s="123" customFormat="1">
      <c r="B321" s="125"/>
      <c r="D321" s="125"/>
      <c r="AA321" s="74"/>
      <c r="AD321" s="208"/>
      <c r="AE321" s="124"/>
      <c r="AI321" s="74"/>
      <c r="AM321" s="74"/>
      <c r="AQ321" s="74"/>
      <c r="AU321" s="74"/>
      <c r="AY321" s="74"/>
      <c r="BC321" s="74"/>
    </row>
    <row r="322" spans="2:55" s="123" customFormat="1">
      <c r="B322" s="125"/>
      <c r="D322" s="125"/>
      <c r="AA322" s="74"/>
      <c r="AD322" s="208"/>
      <c r="AE322" s="124"/>
      <c r="AI322" s="74"/>
      <c r="AM322" s="74"/>
      <c r="AQ322" s="74"/>
      <c r="AU322" s="74"/>
      <c r="AY322" s="74"/>
      <c r="BC322" s="74"/>
    </row>
    <row r="323" spans="2:55" s="123" customFormat="1">
      <c r="B323" s="125"/>
      <c r="D323" s="125"/>
      <c r="AA323" s="74"/>
      <c r="AD323" s="208"/>
      <c r="AE323" s="124"/>
      <c r="AI323" s="74"/>
      <c r="AM323" s="74"/>
      <c r="AQ323" s="74"/>
      <c r="AU323" s="74"/>
      <c r="AY323" s="74"/>
      <c r="BC323" s="74"/>
    </row>
    <row r="324" spans="2:55" s="123" customFormat="1">
      <c r="B324" s="125"/>
      <c r="D324" s="125"/>
      <c r="AA324" s="74"/>
      <c r="AD324" s="208"/>
      <c r="AE324" s="124"/>
      <c r="AI324" s="74"/>
      <c r="AM324" s="74"/>
      <c r="AQ324" s="74"/>
      <c r="AU324" s="74"/>
      <c r="AY324" s="74"/>
      <c r="BC324" s="74"/>
    </row>
    <row r="325" spans="2:55" s="123" customFormat="1">
      <c r="B325" s="125"/>
      <c r="D325" s="125"/>
      <c r="AA325" s="74"/>
      <c r="AD325" s="208"/>
      <c r="AE325" s="124"/>
      <c r="AI325" s="74"/>
      <c r="AM325" s="74"/>
      <c r="AQ325" s="74"/>
      <c r="AU325" s="74"/>
      <c r="AY325" s="74"/>
      <c r="BC325" s="74"/>
    </row>
    <row r="326" spans="2:55" s="123" customFormat="1">
      <c r="B326" s="125"/>
      <c r="D326" s="125"/>
      <c r="AA326" s="74"/>
      <c r="AD326" s="208"/>
      <c r="AE326" s="124"/>
      <c r="AI326" s="74"/>
      <c r="AM326" s="74"/>
      <c r="AQ326" s="74"/>
      <c r="AU326" s="74"/>
      <c r="AY326" s="74"/>
      <c r="BC326" s="74"/>
    </row>
    <row r="327" spans="2:55" s="123" customFormat="1">
      <c r="B327" s="125"/>
      <c r="D327" s="125"/>
      <c r="AA327" s="74"/>
      <c r="AD327" s="208"/>
      <c r="AE327" s="124"/>
      <c r="AI327" s="74"/>
      <c r="AM327" s="74"/>
      <c r="AQ327" s="74"/>
      <c r="AU327" s="74"/>
      <c r="AY327" s="74"/>
      <c r="BC327" s="74"/>
    </row>
    <row r="328" spans="2:55" s="123" customFormat="1">
      <c r="B328" s="125"/>
      <c r="D328" s="125"/>
      <c r="AA328" s="74"/>
      <c r="AD328" s="208"/>
      <c r="AE328" s="124"/>
      <c r="AI328" s="74"/>
      <c r="AM328" s="74"/>
      <c r="AQ328" s="74"/>
      <c r="AU328" s="74"/>
      <c r="AY328" s="74"/>
      <c r="BC328" s="74"/>
    </row>
    <row r="329" spans="2:55" s="123" customFormat="1">
      <c r="B329" s="125"/>
      <c r="D329" s="125"/>
      <c r="AA329" s="74"/>
      <c r="AD329" s="208"/>
      <c r="AE329" s="124"/>
      <c r="AI329" s="74"/>
      <c r="AM329" s="74"/>
      <c r="AQ329" s="74"/>
      <c r="AU329" s="74"/>
      <c r="AY329" s="74"/>
      <c r="BC329" s="74"/>
    </row>
    <row r="330" spans="2:55" s="123" customFormat="1">
      <c r="B330" s="125"/>
      <c r="D330" s="125"/>
      <c r="AA330" s="74"/>
      <c r="AD330" s="208"/>
      <c r="AE330" s="124"/>
      <c r="AI330" s="74"/>
      <c r="AM330" s="74"/>
      <c r="AQ330" s="74"/>
      <c r="AU330" s="74"/>
      <c r="AY330" s="74"/>
      <c r="BC330" s="74"/>
    </row>
    <row r="331" spans="2:55" s="123" customFormat="1">
      <c r="B331" s="125"/>
      <c r="D331" s="125"/>
      <c r="AA331" s="74"/>
      <c r="AD331" s="208"/>
      <c r="AE331" s="124"/>
      <c r="AI331" s="74"/>
      <c r="AM331" s="74"/>
      <c r="AQ331" s="74"/>
      <c r="AU331" s="74"/>
      <c r="AY331" s="74"/>
      <c r="BC331" s="74"/>
    </row>
    <row r="332" spans="2:55" s="123" customFormat="1">
      <c r="B332" s="125"/>
      <c r="D332" s="125"/>
      <c r="AA332" s="74"/>
      <c r="AD332" s="208"/>
      <c r="AE332" s="124"/>
      <c r="AI332" s="74"/>
      <c r="AM332" s="74"/>
      <c r="AQ332" s="74"/>
      <c r="AU332" s="74"/>
      <c r="AY332" s="74"/>
      <c r="BC332" s="74"/>
    </row>
    <row r="333" spans="2:55" s="123" customFormat="1">
      <c r="B333" s="125"/>
      <c r="D333" s="125"/>
      <c r="AA333" s="74"/>
      <c r="AD333" s="208"/>
      <c r="AE333" s="124"/>
      <c r="AI333" s="74"/>
      <c r="AM333" s="74"/>
      <c r="AQ333" s="74"/>
      <c r="AU333" s="74"/>
      <c r="AY333" s="74"/>
      <c r="BC333" s="74"/>
    </row>
    <row r="334" spans="2:55" s="123" customFormat="1">
      <c r="B334" s="125"/>
      <c r="D334" s="125"/>
      <c r="AA334" s="74"/>
      <c r="AD334" s="208"/>
      <c r="AE334" s="124"/>
      <c r="AI334" s="74"/>
      <c r="AM334" s="74"/>
      <c r="AQ334" s="74"/>
      <c r="AU334" s="74"/>
      <c r="AY334" s="74"/>
      <c r="BC334" s="74"/>
    </row>
    <row r="335" spans="2:55" s="123" customFormat="1">
      <c r="B335" s="125"/>
      <c r="D335" s="125"/>
      <c r="AA335" s="74"/>
      <c r="AD335" s="208"/>
      <c r="AE335" s="124"/>
      <c r="AI335" s="74"/>
      <c r="AM335" s="74"/>
      <c r="AQ335" s="74"/>
      <c r="AU335" s="74"/>
      <c r="AY335" s="74"/>
      <c r="BC335" s="74"/>
    </row>
    <row r="336" spans="2:55" s="123" customFormat="1">
      <c r="B336" s="125"/>
      <c r="D336" s="125"/>
      <c r="AA336" s="74"/>
      <c r="AD336" s="208"/>
      <c r="AE336" s="124"/>
      <c r="AI336" s="74"/>
      <c r="AM336" s="74"/>
      <c r="AQ336" s="74"/>
      <c r="AU336" s="74"/>
      <c r="AY336" s="74"/>
      <c r="BC336" s="74"/>
    </row>
    <row r="337" spans="2:55" s="123" customFormat="1">
      <c r="B337" s="125"/>
      <c r="D337" s="125"/>
      <c r="AA337" s="74"/>
      <c r="AD337" s="208"/>
      <c r="AE337" s="124"/>
      <c r="AI337" s="74"/>
      <c r="AM337" s="74"/>
      <c r="AQ337" s="74"/>
      <c r="AU337" s="74"/>
      <c r="AY337" s="74"/>
      <c r="BC337" s="74"/>
    </row>
    <row r="338" spans="2:55" s="123" customFormat="1">
      <c r="B338" s="125"/>
      <c r="D338" s="125"/>
      <c r="AA338" s="74"/>
      <c r="AD338" s="208"/>
      <c r="AE338" s="124"/>
      <c r="AI338" s="74"/>
      <c r="AM338" s="74"/>
      <c r="AQ338" s="74"/>
      <c r="AU338" s="74"/>
      <c r="AY338" s="74"/>
      <c r="BC338" s="74"/>
    </row>
    <row r="339" spans="2:55" s="123" customFormat="1">
      <c r="B339" s="125"/>
      <c r="D339" s="125"/>
      <c r="AA339" s="74"/>
      <c r="AD339" s="208"/>
      <c r="AE339" s="124"/>
      <c r="AI339" s="74"/>
      <c r="AM339" s="74"/>
      <c r="AQ339" s="74"/>
      <c r="AU339" s="74"/>
      <c r="AY339" s="74"/>
      <c r="BC339" s="74"/>
    </row>
    <row r="340" spans="2:55" s="123" customFormat="1">
      <c r="B340" s="125"/>
      <c r="D340" s="125"/>
      <c r="AA340" s="74"/>
      <c r="AD340" s="208"/>
      <c r="AE340" s="124"/>
      <c r="AI340" s="74"/>
      <c r="AM340" s="74"/>
      <c r="AQ340" s="74"/>
      <c r="AU340" s="74"/>
      <c r="AY340" s="74"/>
      <c r="BC340" s="74"/>
    </row>
    <row r="341" spans="2:55" s="123" customFormat="1">
      <c r="B341" s="125"/>
      <c r="D341" s="125"/>
      <c r="AA341" s="74"/>
      <c r="AD341" s="208"/>
      <c r="AE341" s="124"/>
      <c r="AI341" s="74"/>
      <c r="AM341" s="74"/>
      <c r="AQ341" s="74"/>
      <c r="AU341" s="74"/>
      <c r="AY341" s="74"/>
      <c r="BC341" s="74"/>
    </row>
    <row r="342" spans="2:55" s="123" customFormat="1">
      <c r="B342" s="125"/>
      <c r="D342" s="125"/>
      <c r="AA342" s="74"/>
      <c r="AD342" s="208"/>
      <c r="AE342" s="124"/>
      <c r="AI342" s="74"/>
      <c r="AM342" s="74"/>
      <c r="AQ342" s="74"/>
      <c r="AU342" s="74"/>
      <c r="AY342" s="74"/>
      <c r="BC342" s="74"/>
    </row>
    <row r="343" spans="2:55" s="123" customFormat="1">
      <c r="B343" s="125"/>
      <c r="D343" s="125"/>
      <c r="AA343" s="74"/>
      <c r="AD343" s="208"/>
      <c r="AE343" s="124"/>
      <c r="AI343" s="74"/>
      <c r="AM343" s="74"/>
      <c r="AQ343" s="74"/>
      <c r="AU343" s="74"/>
      <c r="AY343" s="74"/>
      <c r="BC343" s="74"/>
    </row>
    <row r="344" spans="2:55" s="123" customFormat="1">
      <c r="B344" s="125"/>
      <c r="D344" s="125"/>
      <c r="AA344" s="74"/>
      <c r="AD344" s="208"/>
      <c r="AE344" s="124"/>
      <c r="AI344" s="74"/>
      <c r="AM344" s="74"/>
      <c r="AQ344" s="74"/>
      <c r="AU344" s="74"/>
      <c r="AY344" s="74"/>
      <c r="BC344" s="74"/>
    </row>
    <row r="345" spans="2:55" s="123" customFormat="1">
      <c r="B345" s="125"/>
      <c r="D345" s="125"/>
      <c r="AA345" s="74"/>
      <c r="AD345" s="208"/>
      <c r="AE345" s="124"/>
      <c r="AI345" s="74"/>
      <c r="AM345" s="74"/>
      <c r="AQ345" s="74"/>
      <c r="AU345" s="74"/>
      <c r="AY345" s="74"/>
      <c r="BC345" s="74"/>
    </row>
    <row r="346" spans="2:55" s="123" customFormat="1">
      <c r="B346" s="125"/>
      <c r="D346" s="125"/>
      <c r="AA346" s="74"/>
      <c r="AD346" s="208"/>
      <c r="AE346" s="124"/>
      <c r="AI346" s="74"/>
      <c r="AM346" s="74"/>
      <c r="AQ346" s="74"/>
      <c r="AU346" s="74"/>
      <c r="AY346" s="74"/>
      <c r="BC346" s="74"/>
    </row>
    <row r="347" spans="2:55" s="123" customFormat="1">
      <c r="B347" s="125"/>
      <c r="D347" s="125"/>
      <c r="AA347" s="74"/>
      <c r="AD347" s="208"/>
      <c r="AE347" s="124"/>
      <c r="AI347" s="74"/>
      <c r="AM347" s="74"/>
      <c r="AQ347" s="74"/>
      <c r="AU347" s="74"/>
      <c r="AY347" s="74"/>
      <c r="BC347" s="74"/>
    </row>
    <row r="348" spans="2:55" s="123" customFormat="1">
      <c r="B348" s="125"/>
      <c r="D348" s="125"/>
      <c r="AA348" s="74"/>
      <c r="AD348" s="208"/>
      <c r="AE348" s="124"/>
      <c r="AI348" s="74"/>
      <c r="AM348" s="74"/>
      <c r="AQ348" s="74"/>
      <c r="AU348" s="74"/>
      <c r="AY348" s="74"/>
      <c r="BC348" s="74"/>
    </row>
    <row r="349" spans="2:55" s="123" customFormat="1">
      <c r="B349" s="125"/>
      <c r="D349" s="125"/>
      <c r="AA349" s="74"/>
      <c r="AD349" s="208"/>
      <c r="AE349" s="124"/>
      <c r="AI349" s="74"/>
      <c r="AM349" s="74"/>
      <c r="AQ349" s="74"/>
      <c r="AU349" s="74"/>
      <c r="AY349" s="74"/>
      <c r="BC349" s="74"/>
    </row>
    <row r="350" spans="2:55" s="123" customFormat="1">
      <c r="B350" s="125"/>
      <c r="D350" s="125"/>
      <c r="AA350" s="74"/>
      <c r="AD350" s="208"/>
      <c r="AE350" s="124"/>
      <c r="AI350" s="74"/>
      <c r="AM350" s="74"/>
      <c r="AQ350" s="74"/>
      <c r="AU350" s="74"/>
      <c r="AY350" s="74"/>
      <c r="BC350" s="74"/>
    </row>
    <row r="351" spans="2:55" s="123" customFormat="1">
      <c r="B351" s="125"/>
      <c r="D351" s="125"/>
      <c r="AA351" s="74"/>
      <c r="AD351" s="208"/>
      <c r="AE351" s="124"/>
      <c r="AI351" s="74"/>
      <c r="AM351" s="74"/>
      <c r="AQ351" s="74"/>
      <c r="AU351" s="74"/>
      <c r="AY351" s="74"/>
      <c r="BC351" s="74"/>
    </row>
    <row r="352" spans="2:55" s="123" customFormat="1">
      <c r="B352" s="125"/>
      <c r="D352" s="125"/>
      <c r="AA352" s="74"/>
      <c r="AD352" s="208"/>
      <c r="AE352" s="124"/>
      <c r="AI352" s="74"/>
      <c r="AM352" s="74"/>
      <c r="AQ352" s="74"/>
      <c r="AU352" s="74"/>
      <c r="AY352" s="74"/>
      <c r="BC352" s="74"/>
    </row>
    <row r="353" spans="2:55" s="123" customFormat="1">
      <c r="B353" s="125"/>
      <c r="D353" s="125"/>
      <c r="AA353" s="74"/>
      <c r="AD353" s="208"/>
      <c r="AE353" s="124"/>
      <c r="AI353" s="74"/>
      <c r="AM353" s="74"/>
      <c r="AQ353" s="74"/>
      <c r="AU353" s="74"/>
      <c r="AY353" s="74"/>
      <c r="BC353" s="74"/>
    </row>
    <row r="354" spans="2:55" s="123" customFormat="1">
      <c r="B354" s="125"/>
      <c r="D354" s="125"/>
      <c r="AA354" s="74"/>
      <c r="AD354" s="208"/>
      <c r="AE354" s="124"/>
      <c r="AI354" s="74"/>
      <c r="AM354" s="74"/>
      <c r="AQ354" s="74"/>
      <c r="AU354" s="74"/>
      <c r="AY354" s="74"/>
      <c r="BC354" s="74"/>
    </row>
    <row r="355" spans="2:55" s="123" customFormat="1">
      <c r="B355" s="125"/>
      <c r="D355" s="125"/>
      <c r="AA355" s="74"/>
      <c r="AD355" s="208"/>
      <c r="AE355" s="124"/>
      <c r="AI355" s="74"/>
      <c r="AM355" s="74"/>
      <c r="AQ355" s="74"/>
      <c r="AU355" s="74"/>
      <c r="AY355" s="74"/>
      <c r="BC355" s="74"/>
    </row>
    <row r="356" spans="2:55" s="123" customFormat="1">
      <c r="B356" s="125"/>
      <c r="D356" s="125"/>
      <c r="AA356" s="74"/>
      <c r="AD356" s="208"/>
      <c r="AE356" s="124"/>
      <c r="AI356" s="74"/>
      <c r="AM356" s="74"/>
      <c r="AQ356" s="74"/>
      <c r="AU356" s="74"/>
      <c r="AY356" s="74"/>
      <c r="BC356" s="74"/>
    </row>
    <row r="357" spans="2:55" s="123" customFormat="1">
      <c r="B357" s="125"/>
      <c r="D357" s="125"/>
      <c r="AA357" s="74"/>
      <c r="AD357" s="208"/>
      <c r="AE357" s="124"/>
      <c r="AI357" s="74"/>
      <c r="AM357" s="74"/>
      <c r="AQ357" s="74"/>
      <c r="AU357" s="74"/>
      <c r="AY357" s="74"/>
      <c r="BC357" s="74"/>
    </row>
    <row r="358" spans="2:55" s="123" customFormat="1">
      <c r="B358" s="125"/>
      <c r="D358" s="125"/>
      <c r="AA358" s="74"/>
      <c r="AD358" s="208"/>
      <c r="AE358" s="124"/>
      <c r="AI358" s="74"/>
      <c r="AM358" s="74"/>
      <c r="AQ358" s="74"/>
      <c r="AU358" s="74"/>
      <c r="AY358" s="74"/>
      <c r="BC358" s="74"/>
    </row>
    <row r="359" spans="2:55" s="123" customFormat="1">
      <c r="B359" s="125"/>
      <c r="D359" s="125"/>
      <c r="AA359" s="74"/>
      <c r="AD359" s="208"/>
      <c r="AE359" s="124"/>
      <c r="AI359" s="74"/>
      <c r="AM359" s="74"/>
      <c r="AQ359" s="74"/>
      <c r="AU359" s="74"/>
      <c r="AY359" s="74"/>
      <c r="BC359" s="74"/>
    </row>
    <row r="360" spans="2:55" s="123" customFormat="1">
      <c r="B360" s="125"/>
      <c r="D360" s="125"/>
      <c r="AA360" s="74"/>
      <c r="AD360" s="208"/>
      <c r="AE360" s="124"/>
      <c r="AI360" s="74"/>
      <c r="AM360" s="74"/>
      <c r="AQ360" s="74"/>
      <c r="AU360" s="74"/>
      <c r="AY360" s="74"/>
      <c r="BC360" s="74"/>
    </row>
    <row r="361" spans="2:55" s="123" customFormat="1">
      <c r="B361" s="125"/>
      <c r="D361" s="125"/>
      <c r="AA361" s="74"/>
      <c r="AD361" s="208"/>
      <c r="AE361" s="124"/>
      <c r="AI361" s="74"/>
      <c r="AM361" s="74"/>
      <c r="AQ361" s="74"/>
      <c r="AU361" s="74"/>
      <c r="AY361" s="74"/>
      <c r="BC361" s="74"/>
    </row>
    <row r="362" spans="2:55" s="123" customFormat="1">
      <c r="B362" s="125"/>
      <c r="D362" s="125"/>
      <c r="AA362" s="74"/>
      <c r="AD362" s="208"/>
      <c r="AE362" s="124"/>
      <c r="AI362" s="74"/>
      <c r="AM362" s="74"/>
      <c r="AQ362" s="74"/>
      <c r="AU362" s="74"/>
      <c r="AY362" s="74"/>
      <c r="BC362" s="74"/>
    </row>
    <row r="363" spans="2:55" s="123" customFormat="1">
      <c r="B363" s="125"/>
      <c r="D363" s="125"/>
      <c r="AA363" s="74"/>
      <c r="AD363" s="208"/>
      <c r="AE363" s="124"/>
      <c r="AI363" s="74"/>
      <c r="AM363" s="74"/>
      <c r="AQ363" s="74"/>
      <c r="AU363" s="74"/>
      <c r="AY363" s="74"/>
      <c r="BC363" s="74"/>
    </row>
    <row r="364" spans="2:55" s="123" customFormat="1">
      <c r="B364" s="125"/>
      <c r="D364" s="125"/>
      <c r="AA364" s="74"/>
      <c r="AD364" s="208"/>
      <c r="AE364" s="124"/>
      <c r="AI364" s="74"/>
      <c r="AM364" s="74"/>
      <c r="AQ364" s="74"/>
      <c r="AU364" s="74"/>
      <c r="AY364" s="74"/>
      <c r="BC364" s="74"/>
    </row>
    <row r="365" spans="2:55" s="123" customFormat="1">
      <c r="B365" s="125"/>
      <c r="D365" s="125"/>
      <c r="AA365" s="74"/>
      <c r="AD365" s="208"/>
      <c r="AE365" s="124"/>
      <c r="AI365" s="74"/>
      <c r="AM365" s="74"/>
      <c r="AQ365" s="74"/>
      <c r="AU365" s="74"/>
      <c r="AY365" s="74"/>
      <c r="BC365" s="74"/>
    </row>
    <row r="366" spans="2:55" s="123" customFormat="1">
      <c r="B366" s="125"/>
      <c r="D366" s="125"/>
      <c r="AA366" s="74"/>
      <c r="AD366" s="208"/>
      <c r="AE366" s="124"/>
      <c r="AI366" s="74"/>
      <c r="AM366" s="74"/>
      <c r="AQ366" s="74"/>
      <c r="AU366" s="74"/>
      <c r="AY366" s="74"/>
      <c r="BC366" s="74"/>
    </row>
    <row r="367" spans="2:55" s="123" customFormat="1">
      <c r="B367" s="125"/>
      <c r="D367" s="125"/>
      <c r="AA367" s="74"/>
      <c r="AD367" s="208"/>
      <c r="AE367" s="124"/>
      <c r="AI367" s="74"/>
      <c r="AM367" s="74"/>
      <c r="AQ367" s="74"/>
      <c r="AU367" s="74"/>
      <c r="AY367" s="74"/>
      <c r="BC367" s="74"/>
    </row>
    <row r="368" spans="2:55" s="123" customFormat="1">
      <c r="B368" s="125"/>
      <c r="D368" s="125"/>
      <c r="AA368" s="74"/>
      <c r="AD368" s="208"/>
      <c r="AE368" s="124"/>
      <c r="AI368" s="74"/>
      <c r="AM368" s="74"/>
      <c r="AQ368" s="74"/>
      <c r="AU368" s="74"/>
      <c r="AY368" s="74"/>
      <c r="BC368" s="74"/>
    </row>
    <row r="369" spans="2:55" s="123" customFormat="1">
      <c r="B369" s="125"/>
      <c r="D369" s="125"/>
      <c r="AA369" s="74"/>
      <c r="AD369" s="208"/>
      <c r="AE369" s="124"/>
      <c r="AI369" s="74"/>
      <c r="AM369" s="74"/>
      <c r="AQ369" s="74"/>
      <c r="AU369" s="74"/>
      <c r="AY369" s="74"/>
      <c r="BC369" s="74"/>
    </row>
    <row r="370" spans="2:55" s="123" customFormat="1">
      <c r="B370" s="125"/>
      <c r="D370" s="125"/>
      <c r="AA370" s="74"/>
      <c r="AD370" s="208"/>
      <c r="AE370" s="124"/>
      <c r="AI370" s="74"/>
      <c r="AM370" s="74"/>
      <c r="AQ370" s="74"/>
      <c r="AU370" s="74"/>
      <c r="AY370" s="74"/>
      <c r="BC370" s="74"/>
    </row>
    <row r="371" spans="2:55" s="123" customFormat="1">
      <c r="B371" s="125"/>
      <c r="D371" s="125"/>
      <c r="AA371" s="74"/>
      <c r="AD371" s="208"/>
      <c r="AE371" s="124"/>
      <c r="AI371" s="74"/>
      <c r="AM371" s="74"/>
      <c r="AQ371" s="74"/>
      <c r="AU371" s="74"/>
      <c r="AY371" s="74"/>
      <c r="BC371" s="74"/>
    </row>
    <row r="372" spans="2:55" s="123" customFormat="1">
      <c r="B372" s="125"/>
      <c r="D372" s="125"/>
      <c r="AA372" s="74"/>
      <c r="AD372" s="208"/>
      <c r="AE372" s="124"/>
      <c r="AI372" s="74"/>
      <c r="AM372" s="74"/>
      <c r="AQ372" s="74"/>
      <c r="AU372" s="74"/>
      <c r="AY372" s="74"/>
      <c r="BC372" s="74"/>
    </row>
    <row r="373" spans="2:55" s="123" customFormat="1">
      <c r="B373" s="125"/>
      <c r="D373" s="125"/>
      <c r="AA373" s="74"/>
      <c r="AD373" s="208"/>
      <c r="AE373" s="124"/>
      <c r="AI373" s="74"/>
      <c r="AM373" s="74"/>
      <c r="AQ373" s="74"/>
      <c r="AU373" s="74"/>
      <c r="AY373" s="74"/>
      <c r="BC373" s="74"/>
    </row>
    <row r="374" spans="2:55" s="123" customFormat="1">
      <c r="B374" s="125"/>
      <c r="D374" s="125"/>
      <c r="AA374" s="74"/>
      <c r="AD374" s="208"/>
      <c r="AE374" s="124"/>
      <c r="AI374" s="74"/>
      <c r="AM374" s="74"/>
      <c r="AQ374" s="74"/>
      <c r="AU374" s="74"/>
      <c r="AY374" s="74"/>
      <c r="BC374" s="74"/>
    </row>
    <row r="375" spans="2:55" s="123" customFormat="1">
      <c r="B375" s="125"/>
      <c r="D375" s="125"/>
      <c r="AA375" s="74"/>
      <c r="AD375" s="208"/>
      <c r="AE375" s="124"/>
      <c r="AI375" s="74"/>
      <c r="AM375" s="74"/>
      <c r="AQ375" s="74"/>
      <c r="AU375" s="74"/>
      <c r="AY375" s="74"/>
      <c r="BC375" s="74"/>
    </row>
    <row r="376" spans="2:55" s="123" customFormat="1">
      <c r="B376" s="125"/>
      <c r="D376" s="125"/>
      <c r="AA376" s="74"/>
      <c r="AD376" s="208"/>
      <c r="AE376" s="124"/>
      <c r="AI376" s="74"/>
      <c r="AM376" s="74"/>
      <c r="AQ376" s="74"/>
      <c r="AU376" s="74"/>
      <c r="AY376" s="74"/>
      <c r="BC376" s="74"/>
    </row>
    <row r="377" spans="2:55" s="123" customFormat="1">
      <c r="B377" s="125"/>
      <c r="D377" s="125"/>
      <c r="AA377" s="74"/>
      <c r="AD377" s="208"/>
      <c r="AE377" s="124"/>
      <c r="AI377" s="74"/>
      <c r="AM377" s="74"/>
      <c r="AQ377" s="74"/>
      <c r="AU377" s="74"/>
      <c r="AY377" s="74"/>
      <c r="BC377" s="74"/>
    </row>
    <row r="378" spans="2:55" s="123" customFormat="1">
      <c r="B378" s="125"/>
      <c r="D378" s="125"/>
      <c r="AA378" s="74"/>
      <c r="AD378" s="208"/>
      <c r="AE378" s="124"/>
      <c r="AI378" s="74"/>
      <c r="AM378" s="74"/>
      <c r="AQ378" s="74"/>
      <c r="AU378" s="74"/>
      <c r="AY378" s="74"/>
      <c r="BC378" s="74"/>
    </row>
    <row r="379" spans="2:55" s="123" customFormat="1">
      <c r="B379" s="125"/>
      <c r="D379" s="125"/>
      <c r="AA379" s="74"/>
      <c r="AD379" s="208"/>
      <c r="AE379" s="124"/>
      <c r="AI379" s="74"/>
      <c r="AM379" s="74"/>
      <c r="AQ379" s="74"/>
      <c r="AU379" s="74"/>
      <c r="AY379" s="74"/>
      <c r="BC379" s="74"/>
    </row>
    <row r="380" spans="2:55" s="123" customFormat="1">
      <c r="B380" s="125"/>
      <c r="D380" s="125"/>
      <c r="AA380" s="74"/>
      <c r="AD380" s="208"/>
      <c r="AE380" s="124"/>
      <c r="AI380" s="74"/>
      <c r="AM380" s="74"/>
      <c r="AQ380" s="74"/>
      <c r="AU380" s="74"/>
      <c r="AY380" s="74"/>
      <c r="BC380" s="74"/>
    </row>
    <row r="381" spans="2:55" s="123" customFormat="1">
      <c r="B381" s="125"/>
      <c r="D381" s="125"/>
      <c r="AA381" s="74"/>
      <c r="AD381" s="208"/>
      <c r="AE381" s="124"/>
      <c r="AI381" s="74"/>
      <c r="AM381" s="74"/>
      <c r="AQ381" s="74"/>
      <c r="AU381" s="74"/>
      <c r="AY381" s="74"/>
      <c r="BC381" s="74"/>
    </row>
    <row r="382" spans="2:55" s="123" customFormat="1">
      <c r="B382" s="125"/>
      <c r="D382" s="125"/>
      <c r="AA382" s="74"/>
      <c r="AD382" s="208"/>
      <c r="AE382" s="124"/>
      <c r="AI382" s="74"/>
      <c r="AM382" s="74"/>
      <c r="AQ382" s="74"/>
      <c r="AU382" s="74"/>
      <c r="AY382" s="74"/>
      <c r="BC382" s="74"/>
    </row>
    <row r="383" spans="2:55" s="123" customFormat="1">
      <c r="B383" s="125"/>
      <c r="D383" s="125"/>
      <c r="AA383" s="74"/>
      <c r="AD383" s="208"/>
      <c r="AE383" s="124"/>
      <c r="AI383" s="74"/>
      <c r="AM383" s="74"/>
      <c r="AQ383" s="74"/>
      <c r="AU383" s="74"/>
      <c r="AY383" s="74"/>
      <c r="BC383" s="74"/>
    </row>
    <row r="384" spans="2:55" s="123" customFormat="1">
      <c r="B384" s="125"/>
      <c r="D384" s="125"/>
      <c r="AA384" s="74"/>
      <c r="AD384" s="208"/>
      <c r="AE384" s="124"/>
      <c r="AI384" s="74"/>
      <c r="AM384" s="74"/>
      <c r="AQ384" s="74"/>
      <c r="AU384" s="74"/>
      <c r="AY384" s="74"/>
      <c r="BC384" s="74"/>
    </row>
    <row r="385" spans="2:55" s="123" customFormat="1">
      <c r="B385" s="125"/>
      <c r="D385" s="125"/>
      <c r="AA385" s="74"/>
      <c r="AD385" s="208"/>
      <c r="AE385" s="124"/>
      <c r="AI385" s="74"/>
      <c r="AM385" s="74"/>
      <c r="AQ385" s="74"/>
      <c r="AU385" s="74"/>
      <c r="AY385" s="74"/>
      <c r="BC385" s="74"/>
    </row>
    <row r="386" spans="2:55" s="123" customFormat="1">
      <c r="B386" s="125"/>
      <c r="D386" s="125"/>
      <c r="AA386" s="74"/>
      <c r="AD386" s="208"/>
      <c r="AE386" s="124"/>
      <c r="AI386" s="74"/>
      <c r="AM386" s="74"/>
      <c r="AQ386" s="74"/>
      <c r="AU386" s="74"/>
      <c r="AY386" s="74"/>
      <c r="BC386" s="74"/>
    </row>
    <row r="387" spans="2:55" s="123" customFormat="1">
      <c r="B387" s="125"/>
      <c r="D387" s="125"/>
      <c r="AA387" s="74"/>
      <c r="AD387" s="208"/>
      <c r="AE387" s="124"/>
      <c r="AI387" s="74"/>
      <c r="AM387" s="74"/>
      <c r="AQ387" s="74"/>
      <c r="AU387" s="74"/>
      <c r="AY387" s="74"/>
      <c r="BC387" s="74"/>
    </row>
    <row r="388" spans="2:55" s="123" customFormat="1">
      <c r="B388" s="125"/>
      <c r="D388" s="125"/>
      <c r="AA388" s="74"/>
      <c r="AD388" s="208"/>
      <c r="AE388" s="124"/>
      <c r="AI388" s="74"/>
      <c r="AM388" s="74"/>
      <c r="AQ388" s="74"/>
      <c r="AU388" s="74"/>
      <c r="AY388" s="74"/>
      <c r="BC388" s="74"/>
    </row>
    <row r="389" spans="2:55" s="123" customFormat="1">
      <c r="B389" s="125"/>
      <c r="D389" s="125"/>
      <c r="AA389" s="74"/>
      <c r="AD389" s="208"/>
      <c r="AE389" s="124"/>
      <c r="AI389" s="74"/>
      <c r="AM389" s="74"/>
      <c r="AQ389" s="74"/>
      <c r="AU389" s="74"/>
      <c r="AY389" s="74"/>
      <c r="BC389" s="74"/>
    </row>
    <row r="390" spans="2:55" s="123" customFormat="1">
      <c r="B390" s="125"/>
      <c r="D390" s="125"/>
      <c r="AA390" s="74"/>
      <c r="AD390" s="208"/>
      <c r="AE390" s="124"/>
      <c r="AI390" s="74"/>
      <c r="AM390" s="74"/>
      <c r="AQ390" s="74"/>
      <c r="AU390" s="74"/>
      <c r="AY390" s="74"/>
      <c r="BC390" s="74"/>
    </row>
    <row r="391" spans="2:55" s="123" customFormat="1">
      <c r="B391" s="125"/>
      <c r="D391" s="125"/>
      <c r="AA391" s="74"/>
      <c r="AD391" s="208"/>
      <c r="AE391" s="124"/>
      <c r="AI391" s="74"/>
      <c r="AM391" s="74"/>
      <c r="AQ391" s="74"/>
      <c r="AU391" s="74"/>
      <c r="AY391" s="74"/>
      <c r="BC391" s="74"/>
    </row>
    <row r="392" spans="2:55" s="123" customFormat="1">
      <c r="B392" s="125"/>
      <c r="D392" s="125"/>
      <c r="AA392" s="74"/>
      <c r="AD392" s="208"/>
      <c r="AE392" s="124"/>
      <c r="AI392" s="74"/>
      <c r="AM392" s="74"/>
      <c r="AQ392" s="74"/>
      <c r="AU392" s="74"/>
      <c r="AY392" s="74"/>
      <c r="BC392" s="74"/>
    </row>
    <row r="393" spans="2:55" s="123" customFormat="1">
      <c r="B393" s="125"/>
      <c r="D393" s="125"/>
      <c r="AA393" s="74"/>
      <c r="AD393" s="208"/>
      <c r="AE393" s="124"/>
      <c r="AI393" s="74"/>
      <c r="AM393" s="74"/>
      <c r="AQ393" s="74"/>
      <c r="AU393" s="74"/>
      <c r="AY393" s="74"/>
      <c r="BC393" s="74"/>
    </row>
    <row r="394" spans="2:55" s="123" customFormat="1">
      <c r="B394" s="125"/>
      <c r="D394" s="125"/>
      <c r="AA394" s="74"/>
      <c r="AD394" s="208"/>
      <c r="AE394" s="124"/>
      <c r="AI394" s="74"/>
      <c r="AM394" s="74"/>
      <c r="AQ394" s="74"/>
      <c r="AU394" s="74"/>
      <c r="AY394" s="74"/>
      <c r="BC394" s="74"/>
    </row>
    <row r="395" spans="2:55" s="123" customFormat="1">
      <c r="B395" s="125"/>
      <c r="D395" s="125"/>
      <c r="AA395" s="74"/>
      <c r="AD395" s="208"/>
      <c r="AE395" s="124"/>
      <c r="AI395" s="74"/>
      <c r="AM395" s="74"/>
      <c r="AQ395" s="74"/>
      <c r="AU395" s="74"/>
      <c r="AY395" s="74"/>
      <c r="BC395" s="74"/>
    </row>
    <row r="396" spans="2:55" s="123" customFormat="1">
      <c r="B396" s="125"/>
      <c r="D396" s="125"/>
      <c r="AA396" s="74"/>
      <c r="AD396" s="208"/>
      <c r="AE396" s="124"/>
      <c r="AI396" s="74"/>
      <c r="AM396" s="74"/>
      <c r="AQ396" s="74"/>
      <c r="AU396" s="74"/>
      <c r="AY396" s="74"/>
      <c r="BC396" s="74"/>
    </row>
    <row r="397" spans="2:55" s="123" customFormat="1">
      <c r="B397" s="125"/>
      <c r="D397" s="125"/>
      <c r="AA397" s="74"/>
      <c r="AD397" s="208"/>
      <c r="AE397" s="124"/>
      <c r="AI397" s="74"/>
      <c r="AM397" s="74"/>
      <c r="AQ397" s="74"/>
      <c r="AU397" s="74"/>
      <c r="AY397" s="74"/>
      <c r="BC397" s="74"/>
    </row>
    <row r="398" spans="2:55" s="123" customFormat="1">
      <c r="B398" s="125"/>
      <c r="D398" s="125"/>
      <c r="AA398" s="74"/>
      <c r="AD398" s="208"/>
      <c r="AE398" s="124"/>
      <c r="AI398" s="74"/>
      <c r="AM398" s="74"/>
      <c r="AQ398" s="74"/>
      <c r="AU398" s="74"/>
      <c r="AY398" s="74"/>
      <c r="BC398" s="74"/>
    </row>
    <row r="399" spans="2:55" s="123" customFormat="1">
      <c r="B399" s="125"/>
      <c r="D399" s="125"/>
      <c r="AA399" s="74"/>
      <c r="AD399" s="208"/>
      <c r="AE399" s="124"/>
      <c r="AI399" s="74"/>
      <c r="AM399" s="74"/>
      <c r="AQ399" s="74"/>
      <c r="AU399" s="74"/>
      <c r="AY399" s="74"/>
      <c r="BC399" s="74"/>
    </row>
    <row r="400" spans="2:55" s="123" customFormat="1">
      <c r="B400" s="125"/>
      <c r="D400" s="125"/>
      <c r="AA400" s="74"/>
      <c r="AD400" s="208"/>
      <c r="AE400" s="124"/>
      <c r="AI400" s="74"/>
      <c r="AM400" s="74"/>
      <c r="AQ400" s="74"/>
      <c r="AU400" s="74"/>
      <c r="AY400" s="74"/>
      <c r="BC400" s="74"/>
    </row>
    <row r="401" spans="2:55" s="123" customFormat="1">
      <c r="B401" s="125"/>
      <c r="D401" s="125"/>
      <c r="AA401" s="74"/>
      <c r="AD401" s="208"/>
      <c r="AE401" s="124"/>
      <c r="AI401" s="74"/>
      <c r="AM401" s="74"/>
      <c r="AQ401" s="74"/>
      <c r="AU401" s="74"/>
      <c r="AY401" s="74"/>
      <c r="BC401" s="74"/>
    </row>
    <row r="402" spans="2:55" s="123" customFormat="1">
      <c r="B402" s="125"/>
      <c r="D402" s="125"/>
      <c r="AA402" s="74"/>
      <c r="AD402" s="208"/>
      <c r="AE402" s="124"/>
      <c r="AI402" s="74"/>
      <c r="AM402" s="74"/>
      <c r="AQ402" s="74"/>
      <c r="AU402" s="74"/>
      <c r="AY402" s="74"/>
      <c r="BC402" s="74"/>
    </row>
    <row r="403" spans="2:55" s="123" customFormat="1">
      <c r="B403" s="125"/>
      <c r="D403" s="125"/>
      <c r="AA403" s="74"/>
      <c r="AD403" s="208"/>
      <c r="AE403" s="124"/>
      <c r="AI403" s="74"/>
      <c r="AM403" s="74"/>
      <c r="AQ403" s="74"/>
      <c r="AU403" s="74"/>
      <c r="AY403" s="74"/>
      <c r="BC403" s="74"/>
    </row>
    <row r="404" spans="2:55" s="123" customFormat="1">
      <c r="B404" s="125"/>
      <c r="D404" s="125"/>
      <c r="AA404" s="74"/>
      <c r="AD404" s="208"/>
      <c r="AE404" s="124"/>
      <c r="AI404" s="74"/>
      <c r="AM404" s="74"/>
      <c r="AQ404" s="74"/>
      <c r="AU404" s="74"/>
      <c r="AY404" s="74"/>
      <c r="BC404" s="74"/>
    </row>
    <row r="405" spans="2:55" s="123" customFormat="1">
      <c r="B405" s="125"/>
      <c r="D405" s="125"/>
      <c r="AA405" s="74"/>
      <c r="AD405" s="208"/>
      <c r="AE405" s="124"/>
      <c r="AI405" s="74"/>
      <c r="AM405" s="74"/>
      <c r="AQ405" s="74"/>
      <c r="AU405" s="74"/>
      <c r="AY405" s="74"/>
      <c r="BC405" s="74"/>
    </row>
    <row r="406" spans="2:55" s="123" customFormat="1">
      <c r="B406" s="125"/>
      <c r="D406" s="125"/>
      <c r="AA406" s="74"/>
      <c r="AD406" s="208"/>
      <c r="AE406" s="124"/>
      <c r="AI406" s="74"/>
      <c r="AM406" s="74"/>
      <c r="AQ406" s="74"/>
      <c r="AU406" s="74"/>
      <c r="AY406" s="74"/>
      <c r="BC406" s="74"/>
    </row>
    <row r="407" spans="2:55" s="123" customFormat="1">
      <c r="B407" s="125"/>
      <c r="D407" s="125"/>
      <c r="AA407" s="74"/>
      <c r="AD407" s="208"/>
      <c r="AE407" s="124"/>
      <c r="AI407" s="74"/>
      <c r="AM407" s="74"/>
      <c r="AQ407" s="74"/>
      <c r="AU407" s="74"/>
      <c r="AY407" s="74"/>
      <c r="BC407" s="74"/>
    </row>
    <row r="408" spans="2:55" s="123" customFormat="1">
      <c r="B408" s="125"/>
      <c r="D408" s="125"/>
      <c r="AA408" s="74"/>
      <c r="AD408" s="208"/>
      <c r="AE408" s="124"/>
      <c r="AI408" s="74"/>
      <c r="AM408" s="74"/>
      <c r="AQ408" s="74"/>
      <c r="AU408" s="74"/>
      <c r="AY408" s="74"/>
      <c r="BC408" s="74"/>
    </row>
    <row r="409" spans="2:55" s="123" customFormat="1">
      <c r="B409" s="125"/>
      <c r="D409" s="125"/>
      <c r="AA409" s="74"/>
      <c r="AD409" s="208"/>
      <c r="AE409" s="124"/>
      <c r="AI409" s="74"/>
      <c r="AM409" s="74"/>
      <c r="AQ409" s="74"/>
      <c r="AU409" s="74"/>
      <c r="AY409" s="74"/>
      <c r="BC409" s="74"/>
    </row>
    <row r="410" spans="2:55" s="123" customFormat="1">
      <c r="B410" s="125"/>
      <c r="D410" s="125"/>
      <c r="AA410" s="74"/>
      <c r="AD410" s="208"/>
      <c r="AE410" s="124"/>
      <c r="AI410" s="74"/>
      <c r="AM410" s="74"/>
      <c r="AQ410" s="74"/>
      <c r="AU410" s="74"/>
      <c r="AY410" s="74"/>
      <c r="BC410" s="74"/>
    </row>
    <row r="411" spans="2:55" s="123" customFormat="1">
      <c r="B411" s="125"/>
      <c r="D411" s="125"/>
      <c r="AA411" s="74"/>
      <c r="AD411" s="208"/>
      <c r="AE411" s="124"/>
      <c r="AI411" s="74"/>
      <c r="AM411" s="74"/>
      <c r="AQ411" s="74"/>
      <c r="AU411" s="74"/>
      <c r="AY411" s="74"/>
      <c r="BC411" s="74"/>
    </row>
    <row r="412" spans="2:55" s="123" customFormat="1">
      <c r="B412" s="125"/>
      <c r="D412" s="125"/>
      <c r="AA412" s="74"/>
      <c r="AD412" s="208"/>
      <c r="AE412" s="124"/>
      <c r="AI412" s="74"/>
      <c r="AM412" s="74"/>
      <c r="AQ412" s="74"/>
      <c r="AU412" s="74"/>
      <c r="AY412" s="74"/>
      <c r="BC412" s="74"/>
    </row>
    <row r="413" spans="2:55" s="123" customFormat="1">
      <c r="B413" s="125"/>
      <c r="D413" s="125"/>
      <c r="AA413" s="74"/>
      <c r="AD413" s="208"/>
      <c r="AE413" s="124"/>
      <c r="AI413" s="74"/>
      <c r="AM413" s="74"/>
      <c r="AQ413" s="74"/>
      <c r="AU413" s="74"/>
      <c r="AY413" s="74"/>
      <c r="BC413" s="74"/>
    </row>
    <row r="414" spans="2:55" s="123" customFormat="1">
      <c r="B414" s="125"/>
      <c r="D414" s="125"/>
      <c r="AA414" s="74"/>
      <c r="AD414" s="208"/>
      <c r="AE414" s="124"/>
      <c r="AI414" s="74"/>
      <c r="AM414" s="74"/>
      <c r="AQ414" s="74"/>
      <c r="AU414" s="74"/>
      <c r="AY414" s="74"/>
      <c r="BC414" s="74"/>
    </row>
    <row r="415" spans="2:55" s="123" customFormat="1">
      <c r="B415" s="125"/>
      <c r="D415" s="125"/>
      <c r="AA415" s="74"/>
      <c r="AD415" s="208"/>
      <c r="AE415" s="124"/>
      <c r="AI415" s="74"/>
      <c r="AM415" s="74"/>
      <c r="AQ415" s="74"/>
      <c r="AU415" s="74"/>
      <c r="AY415" s="74"/>
      <c r="BC415" s="74"/>
    </row>
    <row r="416" spans="2:55" s="123" customFormat="1">
      <c r="B416" s="125"/>
      <c r="D416" s="125"/>
      <c r="AA416" s="74"/>
      <c r="AD416" s="208"/>
      <c r="AE416" s="124"/>
      <c r="AI416" s="74"/>
      <c r="AM416" s="74"/>
      <c r="AQ416" s="74"/>
      <c r="AU416" s="74"/>
      <c r="AY416" s="74"/>
      <c r="BC416" s="74"/>
    </row>
    <row r="417" spans="2:55" s="123" customFormat="1">
      <c r="B417" s="125"/>
      <c r="D417" s="125"/>
      <c r="AA417" s="74"/>
      <c r="AD417" s="208"/>
      <c r="AE417" s="124"/>
      <c r="AI417" s="74"/>
      <c r="AM417" s="74"/>
      <c r="AQ417" s="74"/>
      <c r="AU417" s="74"/>
      <c r="AY417" s="74"/>
      <c r="BC417" s="74"/>
    </row>
    <row r="418" spans="2:55" s="123" customFormat="1">
      <c r="B418" s="125"/>
      <c r="D418" s="125"/>
      <c r="AA418" s="74"/>
      <c r="AD418" s="208"/>
      <c r="AE418" s="124"/>
      <c r="AI418" s="74"/>
      <c r="AM418" s="74"/>
      <c r="AQ418" s="74"/>
      <c r="AU418" s="74"/>
      <c r="AY418" s="74"/>
      <c r="BC418" s="74"/>
    </row>
    <row r="419" spans="2:55" s="123" customFormat="1">
      <c r="B419" s="125"/>
      <c r="D419" s="125"/>
      <c r="AA419" s="74"/>
      <c r="AD419" s="208"/>
      <c r="AE419" s="124"/>
      <c r="AI419" s="74"/>
      <c r="AM419" s="74"/>
      <c r="AQ419" s="74"/>
      <c r="AU419" s="74"/>
      <c r="AY419" s="74"/>
      <c r="BC419" s="74"/>
    </row>
    <row r="420" spans="2:55" s="123" customFormat="1">
      <c r="B420" s="125"/>
      <c r="D420" s="125"/>
      <c r="AA420" s="74"/>
      <c r="AD420" s="208"/>
      <c r="AE420" s="124"/>
      <c r="AI420" s="74"/>
      <c r="AM420" s="74"/>
      <c r="AQ420" s="74"/>
      <c r="AU420" s="74"/>
      <c r="AY420" s="74"/>
      <c r="BC420" s="74"/>
    </row>
    <row r="421" spans="2:55" s="123" customFormat="1">
      <c r="B421" s="125"/>
      <c r="D421" s="125"/>
      <c r="AA421" s="74"/>
      <c r="AD421" s="208"/>
      <c r="AE421" s="124"/>
      <c r="AI421" s="74"/>
      <c r="AM421" s="74"/>
      <c r="AQ421" s="74"/>
      <c r="AU421" s="74"/>
      <c r="AY421" s="74"/>
      <c r="BC421" s="74"/>
    </row>
    <row r="422" spans="2:55" s="123" customFormat="1">
      <c r="B422" s="125"/>
      <c r="D422" s="125"/>
      <c r="AA422" s="74"/>
      <c r="AD422" s="208"/>
      <c r="AE422" s="124"/>
      <c r="AI422" s="74"/>
      <c r="AM422" s="74"/>
      <c r="AQ422" s="74"/>
      <c r="AU422" s="74"/>
      <c r="AY422" s="74"/>
      <c r="BC422" s="74"/>
    </row>
    <row r="423" spans="2:55" s="123" customFormat="1">
      <c r="B423" s="125"/>
      <c r="D423" s="125"/>
      <c r="AA423" s="74"/>
      <c r="AD423" s="208"/>
      <c r="AE423" s="124"/>
      <c r="AI423" s="74"/>
      <c r="AM423" s="74"/>
      <c r="AQ423" s="74"/>
      <c r="AU423" s="74"/>
      <c r="AY423" s="74"/>
      <c r="BC423" s="74"/>
    </row>
    <row r="424" spans="2:55" s="123" customFormat="1">
      <c r="B424" s="125"/>
      <c r="D424" s="125"/>
      <c r="AA424" s="74"/>
      <c r="AD424" s="208"/>
      <c r="AE424" s="124"/>
      <c r="AI424" s="74"/>
      <c r="AM424" s="74"/>
      <c r="AQ424" s="74"/>
      <c r="AU424" s="74"/>
      <c r="AY424" s="74"/>
      <c r="BC424" s="74"/>
    </row>
    <row r="425" spans="2:55" s="123" customFormat="1">
      <c r="B425" s="125"/>
      <c r="D425" s="125"/>
      <c r="AA425" s="74"/>
      <c r="AD425" s="208"/>
      <c r="AE425" s="124"/>
      <c r="AI425" s="74"/>
      <c r="AM425" s="74"/>
      <c r="AQ425" s="74"/>
      <c r="AU425" s="74"/>
      <c r="AY425" s="74"/>
      <c r="BC425" s="74"/>
    </row>
    <row r="426" spans="2:55" s="123" customFormat="1">
      <c r="B426" s="125"/>
      <c r="D426" s="125"/>
      <c r="AA426" s="74"/>
      <c r="AD426" s="208"/>
      <c r="AE426" s="124"/>
      <c r="AI426" s="74"/>
      <c r="AM426" s="74"/>
      <c r="AQ426" s="74"/>
      <c r="AU426" s="74"/>
      <c r="AY426" s="74"/>
      <c r="BC426" s="74"/>
    </row>
    <row r="427" spans="2:55" s="123" customFormat="1">
      <c r="B427" s="125"/>
      <c r="D427" s="125"/>
      <c r="AA427" s="74"/>
      <c r="AD427" s="208"/>
      <c r="AE427" s="124"/>
      <c r="AI427" s="74"/>
      <c r="AM427" s="74"/>
      <c r="AQ427" s="74"/>
      <c r="AU427" s="74"/>
      <c r="AY427" s="74"/>
      <c r="BC427" s="74"/>
    </row>
    <row r="428" spans="2:55" s="123" customFormat="1">
      <c r="B428" s="125"/>
      <c r="D428" s="125"/>
      <c r="AA428" s="74"/>
      <c r="AD428" s="208"/>
      <c r="AE428" s="124"/>
      <c r="AI428" s="74"/>
      <c r="AM428" s="74"/>
      <c r="AQ428" s="74"/>
      <c r="AU428" s="74"/>
      <c r="AY428" s="74"/>
      <c r="BC428" s="74"/>
    </row>
    <row r="429" spans="2:55" s="123" customFormat="1">
      <c r="B429" s="125"/>
      <c r="D429" s="125"/>
      <c r="AA429" s="74"/>
      <c r="AD429" s="208"/>
      <c r="AE429" s="124"/>
      <c r="AI429" s="74"/>
      <c r="AM429" s="74"/>
      <c r="AQ429" s="74"/>
      <c r="AU429" s="74"/>
      <c r="AY429" s="74"/>
      <c r="BC429" s="74"/>
    </row>
    <row r="430" spans="2:55" s="123" customFormat="1">
      <c r="B430" s="125"/>
      <c r="D430" s="125"/>
      <c r="AA430" s="74"/>
      <c r="AD430" s="208"/>
      <c r="AE430" s="124"/>
      <c r="AI430" s="74"/>
      <c r="AM430" s="74"/>
      <c r="AQ430" s="74"/>
      <c r="AU430" s="74"/>
      <c r="AY430" s="74"/>
      <c r="BC430" s="74"/>
    </row>
    <row r="431" spans="2:55" s="123" customFormat="1">
      <c r="B431" s="125"/>
      <c r="D431" s="125"/>
      <c r="AA431" s="74"/>
      <c r="AD431" s="208"/>
      <c r="AE431" s="124"/>
      <c r="AI431" s="74"/>
      <c r="AM431" s="74"/>
      <c r="AQ431" s="74"/>
      <c r="AU431" s="74"/>
      <c r="AY431" s="74"/>
      <c r="BC431" s="74"/>
    </row>
    <row r="432" spans="2:55" s="123" customFormat="1">
      <c r="B432" s="125"/>
      <c r="D432" s="125"/>
      <c r="AA432" s="74"/>
      <c r="AD432" s="208"/>
      <c r="AE432" s="124"/>
      <c r="AI432" s="74"/>
      <c r="AM432" s="74"/>
      <c r="AQ432" s="74"/>
      <c r="AU432" s="74"/>
      <c r="AY432" s="74"/>
      <c r="BC432" s="74"/>
    </row>
    <row r="433" spans="2:55" s="123" customFormat="1">
      <c r="B433" s="125"/>
      <c r="D433" s="125"/>
      <c r="AA433" s="74"/>
      <c r="AD433" s="208"/>
      <c r="AE433" s="124"/>
      <c r="AI433" s="74"/>
      <c r="AM433" s="74"/>
      <c r="AQ433" s="74"/>
      <c r="AU433" s="74"/>
      <c r="AY433" s="74"/>
      <c r="BC433" s="74"/>
    </row>
    <row r="434" spans="2:55" s="123" customFormat="1">
      <c r="B434" s="125"/>
      <c r="D434" s="125"/>
      <c r="AA434" s="74"/>
      <c r="AD434" s="208"/>
      <c r="AE434" s="124"/>
      <c r="AI434" s="74"/>
      <c r="AM434" s="74"/>
      <c r="AQ434" s="74"/>
      <c r="AU434" s="74"/>
      <c r="AY434" s="74"/>
      <c r="BC434" s="74"/>
    </row>
    <row r="435" spans="2:55" s="123" customFormat="1">
      <c r="B435" s="125"/>
      <c r="D435" s="125"/>
      <c r="AA435" s="74"/>
      <c r="AD435" s="208"/>
      <c r="AE435" s="124"/>
      <c r="AI435" s="74"/>
      <c r="AM435" s="74"/>
      <c r="AQ435" s="74"/>
      <c r="AU435" s="74"/>
      <c r="AY435" s="74"/>
      <c r="BC435" s="74"/>
    </row>
    <row r="436" spans="2:55" s="123" customFormat="1">
      <c r="B436" s="125"/>
      <c r="D436" s="125"/>
      <c r="AA436" s="74"/>
      <c r="AD436" s="208"/>
      <c r="AE436" s="124"/>
      <c r="AI436" s="74"/>
      <c r="AM436" s="74"/>
      <c r="AQ436" s="74"/>
      <c r="AU436" s="74"/>
      <c r="AY436" s="74"/>
      <c r="BC436" s="74"/>
    </row>
    <row r="437" spans="2:55" s="123" customFormat="1">
      <c r="B437" s="125"/>
      <c r="D437" s="125"/>
      <c r="AA437" s="74"/>
      <c r="AD437" s="208"/>
      <c r="AE437" s="124"/>
      <c r="AI437" s="74"/>
      <c r="AM437" s="74"/>
      <c r="AQ437" s="74"/>
      <c r="AU437" s="74"/>
      <c r="AY437" s="74"/>
      <c r="BC437" s="74"/>
    </row>
    <row r="438" spans="2:55" s="123" customFormat="1">
      <c r="B438" s="125"/>
      <c r="D438" s="125"/>
      <c r="AA438" s="74"/>
      <c r="AD438" s="208"/>
      <c r="AE438" s="124"/>
      <c r="AI438" s="74"/>
      <c r="AM438" s="74"/>
      <c r="AQ438" s="74"/>
      <c r="AU438" s="74"/>
      <c r="AY438" s="74"/>
      <c r="BC438" s="74"/>
    </row>
    <row r="439" spans="2:55" s="123" customFormat="1">
      <c r="B439" s="125"/>
      <c r="D439" s="125"/>
      <c r="AA439" s="74"/>
      <c r="AD439" s="208"/>
      <c r="AE439" s="124"/>
      <c r="AI439" s="74"/>
      <c r="AM439" s="74"/>
      <c r="AQ439" s="74"/>
      <c r="AU439" s="74"/>
      <c r="AY439" s="74"/>
      <c r="BC439" s="74"/>
    </row>
    <row r="440" spans="2:55" s="123" customFormat="1">
      <c r="B440" s="125"/>
      <c r="D440" s="125"/>
      <c r="AA440" s="74"/>
      <c r="AD440" s="208"/>
      <c r="AE440" s="124"/>
      <c r="AI440" s="74"/>
      <c r="AM440" s="74"/>
      <c r="AQ440" s="74"/>
      <c r="AU440" s="74"/>
      <c r="AY440" s="74"/>
      <c r="BC440" s="74"/>
    </row>
    <row r="441" spans="2:55" s="123" customFormat="1">
      <c r="B441" s="125"/>
      <c r="D441" s="125"/>
      <c r="AA441" s="74"/>
      <c r="AD441" s="208"/>
      <c r="AE441" s="124"/>
      <c r="AI441" s="74"/>
      <c r="AM441" s="74"/>
      <c r="AQ441" s="74"/>
      <c r="AU441" s="74"/>
      <c r="AY441" s="74"/>
      <c r="BC441" s="74"/>
    </row>
    <row r="442" spans="2:55" s="123" customFormat="1">
      <c r="B442" s="125"/>
      <c r="D442" s="125"/>
      <c r="AA442" s="74"/>
      <c r="AD442" s="208"/>
      <c r="AE442" s="124"/>
      <c r="AI442" s="74"/>
      <c r="AM442" s="74"/>
      <c r="AQ442" s="74"/>
      <c r="AU442" s="74"/>
      <c r="AY442" s="74"/>
      <c r="BC442" s="74"/>
    </row>
    <row r="443" spans="2:55" s="123" customFormat="1">
      <c r="B443" s="125"/>
      <c r="D443" s="125"/>
      <c r="AA443" s="74"/>
      <c r="AD443" s="208"/>
      <c r="AE443" s="124"/>
      <c r="AI443" s="74"/>
      <c r="AM443" s="74"/>
      <c r="AQ443" s="74"/>
      <c r="AU443" s="74"/>
      <c r="AY443" s="74"/>
      <c r="BC443" s="74"/>
    </row>
    <row r="444" spans="2:55" s="123" customFormat="1">
      <c r="B444" s="125"/>
      <c r="D444" s="125"/>
      <c r="AA444" s="74"/>
      <c r="AD444" s="208"/>
      <c r="AE444" s="124"/>
      <c r="AI444" s="74"/>
      <c r="AM444" s="74"/>
      <c r="AQ444" s="74"/>
      <c r="AU444" s="74"/>
      <c r="AY444" s="74"/>
      <c r="BC444" s="74"/>
    </row>
    <row r="445" spans="2:55" s="123" customFormat="1">
      <c r="B445" s="125"/>
      <c r="D445" s="125"/>
      <c r="AA445" s="74"/>
      <c r="AD445" s="208"/>
      <c r="AE445" s="124"/>
      <c r="AI445" s="74"/>
      <c r="AM445" s="74"/>
      <c r="AQ445" s="74"/>
      <c r="AU445" s="74"/>
      <c r="AY445" s="74"/>
      <c r="BC445" s="74"/>
    </row>
    <row r="446" spans="2:55" s="123" customFormat="1">
      <c r="B446" s="125"/>
      <c r="D446" s="125"/>
      <c r="AA446" s="74"/>
      <c r="AD446" s="208"/>
      <c r="AE446" s="124"/>
      <c r="AI446" s="74"/>
      <c r="AM446" s="74"/>
      <c r="AQ446" s="74"/>
      <c r="AU446" s="74"/>
      <c r="AY446" s="74"/>
      <c r="BC446" s="74"/>
    </row>
    <row r="447" spans="2:55" s="123" customFormat="1">
      <c r="B447" s="125"/>
      <c r="D447" s="125"/>
      <c r="AA447" s="74"/>
      <c r="AD447" s="208"/>
      <c r="AE447" s="124"/>
      <c r="AI447" s="74"/>
      <c r="AM447" s="74"/>
      <c r="AQ447" s="74"/>
      <c r="AU447" s="74"/>
      <c r="AY447" s="74"/>
      <c r="BC447" s="74"/>
    </row>
    <row r="448" spans="2:55" s="123" customFormat="1">
      <c r="B448" s="125"/>
      <c r="D448" s="125"/>
      <c r="AA448" s="74"/>
      <c r="AD448" s="208"/>
      <c r="AE448" s="124"/>
      <c r="AI448" s="74"/>
      <c r="AM448" s="74"/>
      <c r="AQ448" s="74"/>
      <c r="AU448" s="74"/>
      <c r="AY448" s="74"/>
      <c r="BC448" s="74"/>
    </row>
    <row r="449" spans="2:55" s="123" customFormat="1">
      <c r="B449" s="125"/>
      <c r="D449" s="125"/>
      <c r="AA449" s="74"/>
      <c r="AD449" s="208"/>
      <c r="AE449" s="124"/>
      <c r="AI449" s="74"/>
      <c r="AM449" s="74"/>
      <c r="AQ449" s="74"/>
      <c r="AU449" s="74"/>
      <c r="AY449" s="74"/>
      <c r="BC449" s="74"/>
    </row>
    <row r="450" spans="2:55" s="123" customFormat="1">
      <c r="B450" s="125"/>
      <c r="D450" s="125"/>
      <c r="AA450" s="74"/>
      <c r="AD450" s="208"/>
      <c r="AE450" s="124"/>
      <c r="AI450" s="74"/>
      <c r="AM450" s="74"/>
      <c r="AQ450" s="74"/>
      <c r="AU450" s="74"/>
      <c r="AY450" s="74"/>
      <c r="BC450" s="74"/>
    </row>
    <row r="451" spans="2:55" s="123" customFormat="1">
      <c r="B451" s="125"/>
      <c r="D451" s="125"/>
      <c r="AA451" s="74"/>
      <c r="AD451" s="208"/>
      <c r="AE451" s="124"/>
      <c r="AI451" s="74"/>
      <c r="AM451" s="74"/>
      <c r="AQ451" s="74"/>
      <c r="AU451" s="74"/>
      <c r="AY451" s="74"/>
      <c r="BC451" s="74"/>
    </row>
    <row r="452" spans="2:55" s="123" customFormat="1">
      <c r="B452" s="125"/>
      <c r="D452" s="125"/>
      <c r="AA452" s="74"/>
      <c r="AD452" s="208"/>
      <c r="AE452" s="124"/>
      <c r="AI452" s="74"/>
      <c r="AM452" s="74"/>
      <c r="AQ452" s="74"/>
      <c r="AU452" s="74"/>
      <c r="AY452" s="74"/>
      <c r="BC452" s="74"/>
    </row>
    <row r="453" spans="2:55" s="123" customFormat="1">
      <c r="B453" s="125"/>
      <c r="D453" s="125"/>
      <c r="AA453" s="74"/>
      <c r="AD453" s="208"/>
      <c r="AE453" s="124"/>
      <c r="AI453" s="74"/>
      <c r="AM453" s="74"/>
      <c r="AQ453" s="74"/>
      <c r="AU453" s="74"/>
      <c r="AY453" s="74"/>
      <c r="BC453" s="74"/>
    </row>
    <row r="454" spans="2:55" s="123" customFormat="1">
      <c r="B454" s="125"/>
      <c r="D454" s="125"/>
      <c r="AA454" s="74"/>
      <c r="AD454" s="208"/>
      <c r="AE454" s="124"/>
      <c r="AI454" s="74"/>
      <c r="AM454" s="74"/>
      <c r="AQ454" s="74"/>
      <c r="AU454" s="74"/>
      <c r="AY454" s="74"/>
      <c r="BC454" s="74"/>
    </row>
    <row r="455" spans="2:55" s="123" customFormat="1">
      <c r="B455" s="125"/>
      <c r="D455" s="125"/>
      <c r="AA455" s="74"/>
      <c r="AD455" s="208"/>
      <c r="AE455" s="124"/>
      <c r="AI455" s="74"/>
      <c r="AM455" s="74"/>
      <c r="AQ455" s="74"/>
      <c r="AU455" s="74"/>
      <c r="AY455" s="74"/>
      <c r="BC455" s="74"/>
    </row>
    <row r="456" spans="2:55" s="123" customFormat="1">
      <c r="B456" s="125"/>
      <c r="D456" s="125"/>
      <c r="AA456" s="74"/>
      <c r="AD456" s="208"/>
      <c r="AE456" s="124"/>
      <c r="AI456" s="74"/>
      <c r="AM456" s="74"/>
      <c r="AQ456" s="74"/>
      <c r="AU456" s="74"/>
      <c r="AY456" s="74"/>
      <c r="BC456" s="74"/>
    </row>
    <row r="457" spans="2:55" s="123" customFormat="1">
      <c r="B457" s="125"/>
      <c r="D457" s="125"/>
      <c r="AA457" s="74"/>
      <c r="AD457" s="208"/>
      <c r="AE457" s="124"/>
      <c r="AI457" s="74"/>
      <c r="AM457" s="74"/>
      <c r="AQ457" s="74"/>
      <c r="AU457" s="74"/>
      <c r="AY457" s="74"/>
      <c r="BC457" s="74"/>
    </row>
    <row r="458" spans="2:55" s="123" customFormat="1">
      <c r="B458" s="125"/>
      <c r="D458" s="125"/>
      <c r="AA458" s="74"/>
      <c r="AD458" s="208"/>
      <c r="AE458" s="124"/>
      <c r="AI458" s="74"/>
      <c r="AM458" s="74"/>
      <c r="AQ458" s="74"/>
      <c r="AU458" s="74"/>
      <c r="AY458" s="74"/>
      <c r="BC458" s="74"/>
    </row>
    <row r="459" spans="2:55" s="123" customFormat="1">
      <c r="B459" s="125"/>
      <c r="D459" s="125"/>
      <c r="AA459" s="74"/>
      <c r="AD459" s="208"/>
      <c r="AE459" s="124"/>
      <c r="AI459" s="74"/>
      <c r="AM459" s="74"/>
      <c r="AQ459" s="74"/>
      <c r="AU459" s="74"/>
      <c r="AY459" s="74"/>
      <c r="BC459" s="74"/>
    </row>
    <row r="460" spans="2:55" s="123" customFormat="1">
      <c r="B460" s="125"/>
      <c r="D460" s="125"/>
      <c r="AA460" s="74"/>
      <c r="AD460" s="208"/>
      <c r="AE460" s="124"/>
      <c r="AI460" s="74"/>
      <c r="AM460" s="74"/>
      <c r="AQ460" s="74"/>
      <c r="AU460" s="74"/>
      <c r="AY460" s="74"/>
      <c r="BC460" s="74"/>
    </row>
    <row r="461" spans="2:55" s="123" customFormat="1">
      <c r="B461" s="125"/>
      <c r="D461" s="125"/>
      <c r="AA461" s="74"/>
      <c r="AD461" s="208"/>
      <c r="AE461" s="124"/>
      <c r="AI461" s="74"/>
      <c r="AM461" s="74"/>
      <c r="AQ461" s="74"/>
      <c r="AU461" s="74"/>
      <c r="AY461" s="74"/>
      <c r="BC461" s="74"/>
    </row>
    <row r="462" spans="2:55" s="123" customFormat="1">
      <c r="B462" s="125"/>
      <c r="D462" s="125"/>
      <c r="AA462" s="74"/>
      <c r="AD462" s="208"/>
      <c r="AE462" s="124"/>
      <c r="AI462" s="74"/>
      <c r="AM462" s="74"/>
      <c r="AQ462" s="74"/>
      <c r="AU462" s="74"/>
      <c r="AY462" s="74"/>
      <c r="BC462" s="74"/>
    </row>
    <row r="463" spans="2:55" s="123" customFormat="1">
      <c r="B463" s="125"/>
      <c r="D463" s="125"/>
      <c r="AA463" s="74"/>
      <c r="AD463" s="208"/>
      <c r="AE463" s="124"/>
      <c r="AI463" s="74"/>
      <c r="AM463" s="74"/>
      <c r="AQ463" s="74"/>
      <c r="AU463" s="74"/>
      <c r="AY463" s="74"/>
      <c r="BC463" s="74"/>
    </row>
    <row r="464" spans="2:55" s="123" customFormat="1">
      <c r="B464" s="125"/>
      <c r="D464" s="125"/>
      <c r="AA464" s="74"/>
      <c r="AD464" s="208"/>
      <c r="AE464" s="124"/>
      <c r="AI464" s="74"/>
      <c r="AM464" s="74"/>
      <c r="AQ464" s="74"/>
      <c r="AU464" s="74"/>
      <c r="AY464" s="74"/>
      <c r="BC464" s="74"/>
    </row>
    <row r="465" spans="2:55" s="123" customFormat="1">
      <c r="B465" s="125"/>
      <c r="D465" s="125"/>
      <c r="AA465" s="74"/>
      <c r="AD465" s="208"/>
      <c r="AE465" s="124"/>
      <c r="AI465" s="74"/>
      <c r="AM465" s="74"/>
      <c r="AQ465" s="74"/>
      <c r="AU465" s="74"/>
      <c r="AY465" s="74"/>
      <c r="BC465" s="74"/>
    </row>
    <row r="466" spans="2:55" s="123" customFormat="1">
      <c r="B466" s="125"/>
      <c r="D466" s="125"/>
      <c r="AA466" s="74"/>
      <c r="AD466" s="208"/>
      <c r="AE466" s="124"/>
      <c r="AI466" s="74"/>
      <c r="AM466" s="74"/>
      <c r="AQ466" s="74"/>
      <c r="AU466" s="74"/>
      <c r="AY466" s="74"/>
      <c r="BC466" s="74"/>
    </row>
    <row r="467" spans="2:55" s="123" customFormat="1">
      <c r="B467" s="125"/>
      <c r="D467" s="125"/>
      <c r="AA467" s="74"/>
      <c r="AD467" s="208"/>
      <c r="AE467" s="124"/>
      <c r="AI467" s="74"/>
      <c r="AM467" s="74"/>
      <c r="AQ467" s="74"/>
      <c r="AU467" s="74"/>
      <c r="AY467" s="74"/>
      <c r="BC467" s="74"/>
    </row>
    <row r="468" spans="2:55" s="123" customFormat="1">
      <c r="B468" s="125"/>
      <c r="D468" s="125"/>
      <c r="AA468" s="74"/>
      <c r="AD468" s="208"/>
      <c r="AE468" s="124"/>
      <c r="AI468" s="74"/>
      <c r="AM468" s="74"/>
      <c r="AQ468" s="74"/>
      <c r="AU468" s="74"/>
      <c r="AY468" s="74"/>
      <c r="BC468" s="74"/>
    </row>
    <row r="469" spans="2:55" s="123" customFormat="1">
      <c r="B469" s="125"/>
      <c r="D469" s="125"/>
      <c r="AA469" s="74"/>
      <c r="AD469" s="208"/>
      <c r="AE469" s="124"/>
      <c r="AI469" s="74"/>
      <c r="AM469" s="74"/>
      <c r="AQ469" s="74"/>
      <c r="AU469" s="74"/>
      <c r="AY469" s="74"/>
      <c r="BC469" s="74"/>
    </row>
    <row r="470" spans="2:55" s="123" customFormat="1">
      <c r="B470" s="125"/>
      <c r="D470" s="125"/>
      <c r="AA470" s="74"/>
      <c r="AD470" s="208"/>
      <c r="AE470" s="124"/>
      <c r="AI470" s="74"/>
      <c r="AM470" s="74"/>
      <c r="AQ470" s="74"/>
      <c r="AU470" s="74"/>
      <c r="AY470" s="74"/>
      <c r="BC470" s="74"/>
    </row>
    <row r="471" spans="2:55" s="123" customFormat="1">
      <c r="B471" s="125"/>
      <c r="D471" s="125"/>
      <c r="AA471" s="74"/>
      <c r="AD471" s="208"/>
      <c r="AE471" s="124"/>
      <c r="AI471" s="74"/>
      <c r="AM471" s="74"/>
      <c r="AQ471" s="74"/>
      <c r="AU471" s="74"/>
      <c r="AY471" s="74"/>
      <c r="BC471" s="74"/>
    </row>
    <row r="472" spans="2:55" s="123" customFormat="1">
      <c r="B472" s="125"/>
      <c r="D472" s="125"/>
      <c r="AA472" s="74"/>
      <c r="AD472" s="208"/>
      <c r="AE472" s="124"/>
      <c r="AI472" s="74"/>
      <c r="AM472" s="74"/>
      <c r="AQ472" s="74"/>
      <c r="AU472" s="74"/>
      <c r="AY472" s="74"/>
      <c r="BC472" s="74"/>
    </row>
    <row r="473" spans="2:55" s="123" customFormat="1">
      <c r="B473" s="125"/>
      <c r="D473" s="125"/>
      <c r="AA473" s="74"/>
      <c r="AD473" s="208"/>
      <c r="AE473" s="124"/>
      <c r="AI473" s="74"/>
      <c r="AM473" s="74"/>
      <c r="AQ473" s="74"/>
      <c r="AU473" s="74"/>
      <c r="AY473" s="74"/>
      <c r="BC473" s="74"/>
    </row>
    <row r="474" spans="2:55" s="123" customFormat="1">
      <c r="B474" s="125"/>
      <c r="D474" s="125"/>
      <c r="AA474" s="74"/>
      <c r="AD474" s="208"/>
      <c r="AE474" s="124"/>
      <c r="AI474" s="74"/>
      <c r="AM474" s="74"/>
      <c r="AQ474" s="74"/>
      <c r="AU474" s="74"/>
      <c r="AY474" s="74"/>
      <c r="BC474" s="74"/>
    </row>
    <row r="475" spans="2:55" s="123" customFormat="1">
      <c r="B475" s="125"/>
      <c r="D475" s="125"/>
      <c r="AA475" s="74"/>
      <c r="AD475" s="208"/>
      <c r="AE475" s="124"/>
      <c r="AI475" s="74"/>
      <c r="AM475" s="74"/>
      <c r="AQ475" s="74"/>
      <c r="AU475" s="74"/>
      <c r="AY475" s="74"/>
      <c r="BC475" s="74"/>
    </row>
    <row r="476" spans="2:55" s="123" customFormat="1">
      <c r="B476" s="125"/>
      <c r="D476" s="125"/>
      <c r="AA476" s="74"/>
      <c r="AD476" s="208"/>
      <c r="AE476" s="124"/>
      <c r="AI476" s="74"/>
      <c r="AM476" s="74"/>
      <c r="AQ476" s="74"/>
      <c r="AU476" s="74"/>
      <c r="AY476" s="74"/>
      <c r="BC476" s="74"/>
    </row>
    <row r="477" spans="2:55" s="123" customFormat="1">
      <c r="B477" s="125"/>
      <c r="D477" s="125"/>
      <c r="AA477" s="74"/>
      <c r="AD477" s="208"/>
      <c r="AE477" s="124"/>
      <c r="AI477" s="74"/>
      <c r="AM477" s="74"/>
      <c r="AQ477" s="74"/>
      <c r="AU477" s="74"/>
      <c r="AY477" s="74"/>
      <c r="BC477" s="74"/>
    </row>
    <row r="478" spans="2:55" s="123" customFormat="1">
      <c r="B478" s="125"/>
      <c r="D478" s="125"/>
      <c r="AA478" s="74"/>
      <c r="AD478" s="208"/>
      <c r="AE478" s="124"/>
      <c r="AI478" s="74"/>
      <c r="AM478" s="74"/>
      <c r="AQ478" s="74"/>
      <c r="AU478" s="74"/>
      <c r="AY478" s="74"/>
      <c r="BC478" s="74"/>
    </row>
    <row r="479" spans="2:55" s="123" customFormat="1">
      <c r="B479" s="125"/>
      <c r="D479" s="125"/>
      <c r="AA479" s="74"/>
      <c r="AD479" s="208"/>
      <c r="AE479" s="124"/>
      <c r="AI479" s="74"/>
      <c r="AM479" s="74"/>
      <c r="AQ479" s="74"/>
      <c r="AU479" s="74"/>
      <c r="AY479" s="74"/>
      <c r="BC479" s="74"/>
    </row>
    <row r="480" spans="2:55" s="123" customFormat="1">
      <c r="B480" s="125"/>
      <c r="D480" s="125"/>
      <c r="AA480" s="74"/>
      <c r="AD480" s="208"/>
      <c r="AE480" s="124"/>
      <c r="AI480" s="74"/>
      <c r="AM480" s="74"/>
      <c r="AQ480" s="74"/>
      <c r="AU480" s="74"/>
      <c r="AY480" s="74"/>
      <c r="BC480" s="74"/>
    </row>
    <row r="481" spans="2:55" s="123" customFormat="1">
      <c r="B481" s="125"/>
      <c r="D481" s="125"/>
      <c r="AA481" s="74"/>
      <c r="AD481" s="208"/>
      <c r="AE481" s="124"/>
      <c r="AI481" s="74"/>
      <c r="AM481" s="74"/>
      <c r="AQ481" s="74"/>
      <c r="AU481" s="74"/>
      <c r="AY481" s="74"/>
      <c r="BC481" s="74"/>
    </row>
    <row r="482" spans="2:55" s="123" customFormat="1">
      <c r="B482" s="125"/>
      <c r="D482" s="125"/>
      <c r="AA482" s="74"/>
      <c r="AD482" s="208"/>
      <c r="AE482" s="124"/>
      <c r="AI482" s="74"/>
      <c r="AM482" s="74"/>
      <c r="AQ482" s="74"/>
      <c r="AU482" s="74"/>
      <c r="AY482" s="74"/>
      <c r="BC482" s="74"/>
    </row>
    <row r="483" spans="2:55" s="123" customFormat="1">
      <c r="B483" s="125"/>
      <c r="D483" s="125"/>
      <c r="AA483" s="74"/>
      <c r="AD483" s="208"/>
      <c r="AE483" s="124"/>
      <c r="AI483" s="74"/>
      <c r="AM483" s="74"/>
      <c r="AQ483" s="74"/>
      <c r="AU483" s="74"/>
      <c r="AY483" s="74"/>
      <c r="BC483" s="74"/>
    </row>
    <row r="484" spans="2:55" s="123" customFormat="1">
      <c r="B484" s="125"/>
      <c r="D484" s="125"/>
      <c r="AA484" s="74"/>
      <c r="AD484" s="208"/>
      <c r="AE484" s="124"/>
      <c r="AI484" s="74"/>
      <c r="AM484" s="74"/>
      <c r="AQ484" s="74"/>
      <c r="AU484" s="74"/>
      <c r="AY484" s="74"/>
      <c r="BC484" s="74"/>
    </row>
    <row r="485" spans="2:55" s="123" customFormat="1">
      <c r="B485" s="125"/>
      <c r="D485" s="125"/>
      <c r="AA485" s="74"/>
      <c r="AD485" s="208"/>
      <c r="AE485" s="124"/>
      <c r="AI485" s="74"/>
      <c r="AM485" s="74"/>
      <c r="AQ485" s="74"/>
      <c r="AU485" s="74"/>
      <c r="AY485" s="74"/>
      <c r="BC485" s="74"/>
    </row>
    <row r="486" spans="2:55" s="123" customFormat="1">
      <c r="B486" s="125"/>
      <c r="D486" s="125"/>
      <c r="AA486" s="74"/>
      <c r="AD486" s="208"/>
      <c r="AE486" s="124"/>
      <c r="AI486" s="74"/>
      <c r="AM486" s="74"/>
      <c r="AQ486" s="74"/>
      <c r="AU486" s="74"/>
      <c r="AY486" s="74"/>
      <c r="BC486" s="74"/>
    </row>
    <row r="487" spans="2:55" s="123" customFormat="1">
      <c r="B487" s="125"/>
      <c r="D487" s="125"/>
      <c r="AA487" s="74"/>
      <c r="AD487" s="208"/>
      <c r="AE487" s="124"/>
      <c r="AI487" s="74"/>
      <c r="AM487" s="74"/>
      <c r="AQ487" s="74"/>
      <c r="AU487" s="74"/>
      <c r="AY487" s="74"/>
      <c r="BC487" s="74"/>
    </row>
    <row r="488" spans="2:55" s="123" customFormat="1">
      <c r="B488" s="125"/>
      <c r="D488" s="125"/>
      <c r="AA488" s="74"/>
      <c r="AD488" s="208"/>
      <c r="AE488" s="124"/>
      <c r="AI488" s="74"/>
      <c r="AM488" s="74"/>
      <c r="AQ488" s="74"/>
      <c r="AU488" s="74"/>
      <c r="AY488" s="74"/>
      <c r="BC488" s="74"/>
    </row>
    <row r="489" spans="2:55" s="123" customFormat="1">
      <c r="B489" s="125"/>
      <c r="D489" s="125"/>
      <c r="AA489" s="74"/>
      <c r="AD489" s="208"/>
      <c r="AE489" s="124"/>
      <c r="AI489" s="74"/>
      <c r="AM489" s="74"/>
      <c r="AQ489" s="74"/>
      <c r="AU489" s="74"/>
      <c r="AY489" s="74"/>
      <c r="BC489" s="74"/>
    </row>
    <row r="490" spans="2:55" s="123" customFormat="1">
      <c r="B490" s="125"/>
      <c r="D490" s="125"/>
      <c r="AA490" s="74"/>
      <c r="AD490" s="208"/>
      <c r="AE490" s="124"/>
      <c r="AI490" s="74"/>
      <c r="AM490" s="74"/>
      <c r="AQ490" s="74"/>
      <c r="AU490" s="74"/>
      <c r="AY490" s="74"/>
      <c r="BC490" s="74"/>
    </row>
    <row r="491" spans="2:55" s="123" customFormat="1">
      <c r="B491" s="125"/>
      <c r="D491" s="125"/>
      <c r="AA491" s="74"/>
      <c r="AD491" s="208"/>
      <c r="AE491" s="124"/>
      <c r="AI491" s="74"/>
      <c r="AM491" s="74"/>
      <c r="AQ491" s="74"/>
      <c r="AU491" s="74"/>
      <c r="AY491" s="74"/>
      <c r="BC491" s="74"/>
    </row>
    <row r="492" spans="2:55" s="123" customFormat="1">
      <c r="B492" s="125"/>
      <c r="D492" s="125"/>
      <c r="AA492" s="74"/>
      <c r="AD492" s="208"/>
      <c r="AE492" s="124"/>
      <c r="AI492" s="74"/>
      <c r="AM492" s="74"/>
      <c r="AQ492" s="74"/>
      <c r="AU492" s="74"/>
      <c r="AY492" s="74"/>
      <c r="BC492" s="74"/>
    </row>
    <row r="493" spans="2:55" s="123" customFormat="1">
      <c r="B493" s="125"/>
      <c r="D493" s="125"/>
      <c r="AA493" s="74"/>
      <c r="AD493" s="208"/>
      <c r="AE493" s="124"/>
      <c r="AI493" s="74"/>
      <c r="AM493" s="74"/>
      <c r="AQ493" s="74"/>
      <c r="AU493" s="74"/>
      <c r="AY493" s="74"/>
      <c r="BC493" s="74"/>
    </row>
    <row r="494" spans="2:55" s="123" customFormat="1">
      <c r="B494" s="125"/>
      <c r="D494" s="125"/>
      <c r="AA494" s="74"/>
      <c r="AD494" s="208"/>
      <c r="AE494" s="124"/>
      <c r="AI494" s="74"/>
      <c r="AM494" s="74"/>
      <c r="AQ494" s="74"/>
      <c r="AU494" s="74"/>
      <c r="AY494" s="74"/>
      <c r="BC494" s="74"/>
    </row>
    <row r="495" spans="2:55" s="123" customFormat="1">
      <c r="B495" s="125"/>
      <c r="D495" s="125"/>
      <c r="AA495" s="74"/>
      <c r="AD495" s="208"/>
      <c r="AE495" s="124"/>
      <c r="AI495" s="74"/>
      <c r="AM495" s="74"/>
      <c r="AQ495" s="74"/>
      <c r="AU495" s="74"/>
      <c r="AY495" s="74"/>
      <c r="BC495" s="74"/>
    </row>
    <row r="496" spans="2:55" s="123" customFormat="1">
      <c r="B496" s="125"/>
      <c r="D496" s="125"/>
      <c r="AA496" s="74"/>
      <c r="AD496" s="208"/>
      <c r="AE496" s="124"/>
      <c r="AI496" s="74"/>
      <c r="AM496" s="74"/>
      <c r="AQ496" s="74"/>
      <c r="AU496" s="74"/>
      <c r="AY496" s="74"/>
      <c r="BC496" s="74"/>
    </row>
    <row r="497" spans="2:55" s="123" customFormat="1">
      <c r="B497" s="125"/>
      <c r="D497" s="125"/>
      <c r="AA497" s="74"/>
      <c r="AD497" s="208"/>
      <c r="AE497" s="124"/>
      <c r="AI497" s="74"/>
      <c r="AM497" s="74"/>
      <c r="AQ497" s="74"/>
      <c r="AU497" s="74"/>
      <c r="AY497" s="74"/>
      <c r="BC497" s="74"/>
    </row>
    <row r="498" spans="2:55" s="123" customFormat="1">
      <c r="B498" s="125"/>
      <c r="D498" s="125"/>
      <c r="AA498" s="74"/>
      <c r="AD498" s="208"/>
      <c r="AE498" s="124"/>
      <c r="AI498" s="74"/>
      <c r="AM498" s="74"/>
      <c r="AQ498" s="74"/>
      <c r="AU498" s="74"/>
      <c r="AY498" s="74"/>
      <c r="BC498" s="74"/>
    </row>
    <row r="499" spans="2:55" s="123" customFormat="1">
      <c r="B499" s="125"/>
      <c r="D499" s="125"/>
      <c r="AA499" s="74"/>
      <c r="AD499" s="208"/>
      <c r="AE499" s="124"/>
      <c r="AI499" s="74"/>
      <c r="AM499" s="74"/>
      <c r="AQ499" s="74"/>
      <c r="AU499" s="74"/>
      <c r="AY499" s="74"/>
      <c r="BC499" s="74"/>
    </row>
    <row r="500" spans="2:55" s="123" customFormat="1">
      <c r="B500" s="125"/>
      <c r="D500" s="125"/>
      <c r="AA500" s="74"/>
      <c r="AD500" s="208"/>
      <c r="AE500" s="124"/>
      <c r="AI500" s="74"/>
      <c r="AM500" s="74"/>
      <c r="AQ500" s="74"/>
      <c r="AU500" s="74"/>
      <c r="AY500" s="74"/>
      <c r="BC500" s="74"/>
    </row>
    <row r="501" spans="2:55" s="123" customFormat="1">
      <c r="B501" s="125"/>
      <c r="D501" s="125"/>
      <c r="AA501" s="74"/>
      <c r="AD501" s="208"/>
      <c r="AE501" s="124"/>
      <c r="AI501" s="74"/>
      <c r="AM501" s="74"/>
      <c r="AQ501" s="74"/>
      <c r="AU501" s="74"/>
      <c r="AY501" s="74"/>
      <c r="BC501" s="74"/>
    </row>
    <row r="502" spans="2:55" s="123" customFormat="1">
      <c r="B502" s="125"/>
      <c r="D502" s="125"/>
      <c r="AA502" s="74"/>
      <c r="AD502" s="208"/>
      <c r="AE502" s="124"/>
      <c r="AI502" s="74"/>
      <c r="AM502" s="74"/>
      <c r="AQ502" s="74"/>
      <c r="AU502" s="74"/>
      <c r="AY502" s="74"/>
      <c r="BC502" s="74"/>
    </row>
    <row r="503" spans="2:55" s="123" customFormat="1">
      <c r="B503" s="125"/>
      <c r="D503" s="125"/>
      <c r="AA503" s="74"/>
      <c r="AD503" s="208"/>
      <c r="AE503" s="124"/>
      <c r="AI503" s="74"/>
      <c r="AM503" s="74"/>
      <c r="AQ503" s="74"/>
      <c r="AU503" s="74"/>
      <c r="AY503" s="74"/>
      <c r="BC503" s="74"/>
    </row>
    <row r="504" spans="2:55" s="123" customFormat="1">
      <c r="B504" s="125"/>
      <c r="D504" s="125"/>
      <c r="AA504" s="74"/>
      <c r="AD504" s="208"/>
      <c r="AE504" s="124"/>
      <c r="AI504" s="74"/>
      <c r="AM504" s="74"/>
      <c r="AQ504" s="74"/>
      <c r="AU504" s="74"/>
      <c r="AY504" s="74"/>
      <c r="BC504" s="74"/>
    </row>
    <row r="505" spans="2:55" s="123" customFormat="1">
      <c r="B505" s="125"/>
      <c r="D505" s="125"/>
      <c r="AA505" s="74"/>
      <c r="AD505" s="208"/>
      <c r="AE505" s="124"/>
      <c r="AI505" s="74"/>
      <c r="AM505" s="74"/>
      <c r="AQ505" s="74"/>
      <c r="AU505" s="74"/>
      <c r="AY505" s="74"/>
      <c r="BC505" s="74"/>
    </row>
    <row r="506" spans="2:55" s="123" customFormat="1">
      <c r="B506" s="125"/>
      <c r="D506" s="125"/>
      <c r="AA506" s="74"/>
      <c r="AD506" s="208"/>
      <c r="AE506" s="124"/>
      <c r="AI506" s="74"/>
      <c r="AM506" s="74"/>
      <c r="AQ506" s="74"/>
      <c r="AU506" s="74"/>
      <c r="AY506" s="74"/>
      <c r="BC506" s="74"/>
    </row>
    <row r="507" spans="2:55" s="123" customFormat="1">
      <c r="B507" s="125"/>
      <c r="D507" s="125"/>
      <c r="AA507" s="74"/>
      <c r="AD507" s="208"/>
      <c r="AE507" s="124"/>
      <c r="AI507" s="74"/>
      <c r="AM507" s="74"/>
      <c r="AQ507" s="74"/>
      <c r="AU507" s="74"/>
      <c r="AY507" s="74"/>
      <c r="BC507" s="74"/>
    </row>
    <row r="508" spans="2:55" s="123" customFormat="1">
      <c r="B508" s="125"/>
      <c r="D508" s="125"/>
      <c r="AA508" s="74"/>
      <c r="AD508" s="208"/>
      <c r="AE508" s="124"/>
      <c r="AI508" s="74"/>
      <c r="AM508" s="74"/>
      <c r="AQ508" s="74"/>
      <c r="AU508" s="74"/>
      <c r="AY508" s="74"/>
      <c r="BC508" s="74"/>
    </row>
    <row r="509" spans="2:55" s="123" customFormat="1">
      <c r="B509" s="125"/>
      <c r="D509" s="125"/>
      <c r="AA509" s="74"/>
      <c r="AD509" s="208"/>
      <c r="AE509" s="124"/>
      <c r="AI509" s="74"/>
      <c r="AM509" s="74"/>
      <c r="AQ509" s="74"/>
      <c r="AU509" s="74"/>
      <c r="AY509" s="74"/>
      <c r="BC509" s="74"/>
    </row>
    <row r="510" spans="2:55" s="123" customFormat="1">
      <c r="B510" s="125"/>
      <c r="D510" s="125"/>
      <c r="AA510" s="74"/>
      <c r="AD510" s="208"/>
      <c r="AE510" s="124"/>
      <c r="AI510" s="74"/>
      <c r="AM510" s="74"/>
      <c r="AQ510" s="74"/>
      <c r="AU510" s="74"/>
      <c r="AY510" s="74"/>
      <c r="BC510" s="74"/>
    </row>
    <row r="511" spans="2:55" s="123" customFormat="1">
      <c r="B511" s="125"/>
      <c r="D511" s="125"/>
      <c r="AA511" s="74"/>
      <c r="AD511" s="208"/>
      <c r="AE511" s="124"/>
      <c r="AI511" s="74"/>
      <c r="AM511" s="74"/>
      <c r="AQ511" s="74"/>
      <c r="AU511" s="74"/>
      <c r="AY511" s="74"/>
      <c r="BC511" s="74"/>
    </row>
    <row r="512" spans="2:55" s="123" customFormat="1">
      <c r="B512" s="125"/>
      <c r="D512" s="125"/>
      <c r="AA512" s="74"/>
      <c r="AD512" s="208"/>
      <c r="AE512" s="124"/>
      <c r="AI512" s="74"/>
      <c r="AM512" s="74"/>
      <c r="AQ512" s="74"/>
      <c r="AU512" s="74"/>
      <c r="AY512" s="74"/>
      <c r="BC512" s="74"/>
    </row>
    <row r="513" spans="2:55" s="123" customFormat="1">
      <c r="B513" s="125"/>
      <c r="D513" s="125"/>
      <c r="AA513" s="74"/>
      <c r="AD513" s="208"/>
      <c r="AE513" s="124"/>
      <c r="AI513" s="74"/>
      <c r="AM513" s="74"/>
      <c r="AQ513" s="74"/>
      <c r="AU513" s="74"/>
      <c r="AY513" s="74"/>
      <c r="BC513" s="74"/>
    </row>
    <row r="514" spans="2:55" s="123" customFormat="1">
      <c r="B514" s="125"/>
      <c r="D514" s="125"/>
      <c r="AA514" s="74"/>
      <c r="AD514" s="208"/>
      <c r="AE514" s="124"/>
      <c r="AI514" s="74"/>
      <c r="AM514" s="74"/>
      <c r="AQ514" s="74"/>
      <c r="AU514" s="74"/>
      <c r="AY514" s="74"/>
      <c r="BC514" s="74"/>
    </row>
    <row r="515" spans="2:55" s="123" customFormat="1">
      <c r="B515" s="125"/>
      <c r="D515" s="125"/>
      <c r="AA515" s="74"/>
      <c r="AD515" s="208"/>
      <c r="AE515" s="124"/>
      <c r="AI515" s="74"/>
      <c r="AM515" s="74"/>
      <c r="AQ515" s="74"/>
      <c r="AU515" s="74"/>
      <c r="AY515" s="74"/>
      <c r="BC515" s="74"/>
    </row>
    <row r="516" spans="2:55" s="123" customFormat="1">
      <c r="B516" s="125"/>
      <c r="D516" s="125"/>
      <c r="AA516" s="74"/>
      <c r="AD516" s="208"/>
      <c r="AE516" s="124"/>
      <c r="AI516" s="74"/>
      <c r="AM516" s="74"/>
      <c r="AQ516" s="74"/>
      <c r="AU516" s="74"/>
      <c r="AY516" s="74"/>
      <c r="BC516" s="74"/>
    </row>
    <row r="517" spans="2:55" s="123" customFormat="1">
      <c r="B517" s="125"/>
      <c r="D517" s="125"/>
      <c r="AA517" s="74"/>
      <c r="AD517" s="208"/>
      <c r="AE517" s="124"/>
      <c r="AI517" s="74"/>
      <c r="AM517" s="74"/>
      <c r="AQ517" s="74"/>
      <c r="AU517" s="74"/>
      <c r="AY517" s="74"/>
      <c r="BC517" s="74"/>
    </row>
    <row r="518" spans="2:55" s="123" customFormat="1">
      <c r="B518" s="125"/>
      <c r="D518" s="125"/>
      <c r="AA518" s="74"/>
      <c r="AD518" s="208"/>
      <c r="AE518" s="124"/>
      <c r="AI518" s="74"/>
      <c r="AM518" s="74"/>
      <c r="AQ518" s="74"/>
      <c r="AU518" s="74"/>
      <c r="AY518" s="74"/>
      <c r="BC518" s="74"/>
    </row>
    <row r="519" spans="2:55" s="123" customFormat="1">
      <c r="B519" s="125"/>
      <c r="D519" s="125"/>
      <c r="AA519" s="74"/>
      <c r="AD519" s="208"/>
      <c r="AE519" s="124"/>
      <c r="AI519" s="74"/>
      <c r="AM519" s="74"/>
      <c r="AQ519" s="74"/>
      <c r="AU519" s="74"/>
      <c r="AY519" s="74"/>
      <c r="BC519" s="74"/>
    </row>
    <row r="520" spans="2:55" s="123" customFormat="1">
      <c r="B520" s="125"/>
      <c r="D520" s="125"/>
      <c r="AA520" s="74"/>
      <c r="AD520" s="208"/>
      <c r="AE520" s="124"/>
      <c r="AI520" s="74"/>
      <c r="AM520" s="74"/>
      <c r="AQ520" s="74"/>
      <c r="AU520" s="74"/>
      <c r="AY520" s="74"/>
      <c r="BC520" s="74"/>
    </row>
    <row r="521" spans="2:55" s="123" customFormat="1">
      <c r="B521" s="125"/>
      <c r="D521" s="125"/>
      <c r="AA521" s="74"/>
      <c r="AD521" s="208"/>
      <c r="AE521" s="124"/>
      <c r="AI521" s="74"/>
      <c r="AM521" s="74"/>
      <c r="AQ521" s="74"/>
      <c r="AU521" s="74"/>
      <c r="AY521" s="74"/>
      <c r="BC521" s="74"/>
    </row>
    <row r="522" spans="2:55" s="123" customFormat="1">
      <c r="B522" s="125"/>
      <c r="D522" s="125"/>
      <c r="AA522" s="74"/>
      <c r="AD522" s="208"/>
      <c r="AE522" s="124"/>
      <c r="AI522" s="74"/>
      <c r="AM522" s="74"/>
      <c r="AQ522" s="74"/>
      <c r="AU522" s="74"/>
      <c r="AY522" s="74"/>
      <c r="BC522" s="74"/>
    </row>
    <row r="523" spans="2:55" s="123" customFormat="1">
      <c r="B523" s="125"/>
      <c r="D523" s="125"/>
      <c r="AA523" s="74"/>
      <c r="AD523" s="208"/>
      <c r="AE523" s="124"/>
      <c r="AI523" s="74"/>
      <c r="AM523" s="74"/>
      <c r="AQ523" s="74"/>
      <c r="AU523" s="74"/>
      <c r="AY523" s="74"/>
      <c r="BC523" s="74"/>
    </row>
    <row r="524" spans="2:55" s="123" customFormat="1">
      <c r="B524" s="125"/>
      <c r="D524" s="125"/>
      <c r="AA524" s="74"/>
      <c r="AD524" s="208"/>
      <c r="AE524" s="124"/>
      <c r="AI524" s="74"/>
      <c r="AM524" s="74"/>
      <c r="AQ524" s="74"/>
      <c r="AU524" s="74"/>
      <c r="AY524" s="74"/>
      <c r="BC524" s="74"/>
    </row>
    <row r="525" spans="2:55" s="123" customFormat="1">
      <c r="B525" s="125"/>
      <c r="D525" s="125"/>
      <c r="AA525" s="74"/>
      <c r="AD525" s="208"/>
      <c r="AE525" s="124"/>
      <c r="AI525" s="74"/>
      <c r="AM525" s="74"/>
      <c r="AQ525" s="74"/>
      <c r="AU525" s="74"/>
      <c r="AY525" s="74"/>
      <c r="BC525" s="74"/>
    </row>
    <row r="526" spans="2:55" s="123" customFormat="1">
      <c r="B526" s="125"/>
      <c r="D526" s="125"/>
      <c r="AA526" s="74"/>
      <c r="AD526" s="208"/>
      <c r="AE526" s="124"/>
      <c r="AI526" s="74"/>
      <c r="AM526" s="74"/>
      <c r="AQ526" s="74"/>
      <c r="AU526" s="74"/>
      <c r="AY526" s="74"/>
      <c r="BC526" s="74"/>
    </row>
    <row r="527" spans="2:55" s="123" customFormat="1">
      <c r="B527" s="125"/>
      <c r="D527" s="125"/>
      <c r="AA527" s="74"/>
      <c r="AD527" s="208"/>
      <c r="AE527" s="124"/>
      <c r="AI527" s="74"/>
      <c r="AM527" s="74"/>
      <c r="AQ527" s="74"/>
      <c r="AU527" s="74"/>
      <c r="AY527" s="74"/>
      <c r="BC527" s="74"/>
    </row>
    <row r="528" spans="2:55" s="123" customFormat="1">
      <c r="B528" s="125"/>
      <c r="D528" s="125"/>
      <c r="AA528" s="74"/>
      <c r="AD528" s="208"/>
      <c r="AE528" s="124"/>
      <c r="AI528" s="74"/>
      <c r="AM528" s="74"/>
      <c r="AQ528" s="74"/>
      <c r="AU528" s="74"/>
      <c r="AY528" s="74"/>
      <c r="BC528" s="74"/>
    </row>
    <row r="529" spans="2:55" s="123" customFormat="1">
      <c r="B529" s="125"/>
      <c r="D529" s="125"/>
      <c r="AA529" s="74"/>
      <c r="AD529" s="208"/>
      <c r="AE529" s="124"/>
      <c r="AI529" s="74"/>
      <c r="AM529" s="74"/>
      <c r="AQ529" s="74"/>
      <c r="AU529" s="74"/>
      <c r="AY529" s="74"/>
      <c r="BC529" s="74"/>
    </row>
    <row r="530" spans="2:55" s="123" customFormat="1">
      <c r="B530" s="125"/>
      <c r="D530" s="125"/>
      <c r="AA530" s="74"/>
      <c r="AD530" s="208"/>
      <c r="AE530" s="124"/>
      <c r="AI530" s="74"/>
      <c r="AM530" s="74"/>
      <c r="AQ530" s="74"/>
      <c r="AU530" s="74"/>
      <c r="AY530" s="74"/>
      <c r="BC530" s="74"/>
    </row>
    <row r="531" spans="2:55" s="123" customFormat="1">
      <c r="B531" s="125"/>
      <c r="D531" s="125"/>
      <c r="AA531" s="74"/>
      <c r="AD531" s="208"/>
      <c r="AE531" s="124"/>
      <c r="AI531" s="74"/>
      <c r="AM531" s="74"/>
      <c r="AQ531" s="74"/>
      <c r="AU531" s="74"/>
      <c r="AY531" s="74"/>
      <c r="BC531" s="74"/>
    </row>
    <row r="532" spans="2:55" s="123" customFormat="1">
      <c r="B532" s="125"/>
      <c r="D532" s="125"/>
      <c r="AA532" s="74"/>
      <c r="AD532" s="208"/>
      <c r="AE532" s="124"/>
      <c r="AI532" s="74"/>
      <c r="AM532" s="74"/>
      <c r="AQ532" s="74"/>
      <c r="AU532" s="74"/>
      <c r="AY532" s="74"/>
      <c r="BC532" s="74"/>
    </row>
    <row r="533" spans="2:55" s="123" customFormat="1">
      <c r="B533" s="125"/>
      <c r="D533" s="125"/>
      <c r="AA533" s="74"/>
      <c r="AD533" s="208"/>
      <c r="AE533" s="124"/>
      <c r="AI533" s="74"/>
      <c r="AM533" s="74"/>
      <c r="AQ533" s="74"/>
      <c r="AU533" s="74"/>
      <c r="AY533" s="74"/>
      <c r="BC533" s="74"/>
    </row>
    <row r="534" spans="2:55" s="123" customFormat="1">
      <c r="B534" s="125"/>
      <c r="D534" s="125"/>
      <c r="AA534" s="74"/>
      <c r="AD534" s="208"/>
      <c r="AE534" s="124"/>
      <c r="AI534" s="74"/>
      <c r="AM534" s="74"/>
      <c r="AQ534" s="74"/>
      <c r="AU534" s="74"/>
      <c r="AY534" s="74"/>
      <c r="BC534" s="74"/>
    </row>
    <row r="535" spans="2:55" s="123" customFormat="1">
      <c r="B535" s="125"/>
      <c r="D535" s="125"/>
      <c r="AA535" s="74"/>
      <c r="AD535" s="208"/>
      <c r="AE535" s="124"/>
      <c r="AI535" s="74"/>
      <c r="AM535" s="74"/>
      <c r="AQ535" s="74"/>
      <c r="AU535" s="74"/>
      <c r="AY535" s="74"/>
      <c r="BC535" s="74"/>
    </row>
    <row r="536" spans="2:55" s="123" customFormat="1">
      <c r="B536" s="125"/>
      <c r="D536" s="125"/>
      <c r="AA536" s="74"/>
      <c r="AD536" s="208"/>
      <c r="AE536" s="124"/>
      <c r="AI536" s="74"/>
      <c r="AM536" s="74"/>
      <c r="AQ536" s="74"/>
      <c r="AU536" s="74"/>
      <c r="AY536" s="74"/>
      <c r="BC536" s="74"/>
    </row>
    <row r="537" spans="2:55" s="123" customFormat="1">
      <c r="B537" s="125"/>
      <c r="D537" s="125"/>
      <c r="AA537" s="74"/>
      <c r="AD537" s="208"/>
      <c r="AE537" s="124"/>
      <c r="AI537" s="74"/>
      <c r="AM537" s="74"/>
      <c r="AQ537" s="74"/>
      <c r="AU537" s="74"/>
      <c r="AY537" s="74"/>
      <c r="BC537" s="74"/>
    </row>
    <row r="538" spans="2:55" s="123" customFormat="1">
      <c r="B538" s="125"/>
      <c r="D538" s="125"/>
      <c r="AA538" s="74"/>
      <c r="AD538" s="208"/>
      <c r="AE538" s="124"/>
      <c r="AI538" s="74"/>
      <c r="AM538" s="74"/>
      <c r="AQ538" s="74"/>
      <c r="AU538" s="74"/>
      <c r="AY538" s="74"/>
      <c r="BC538" s="74"/>
    </row>
    <row r="539" spans="2:55" s="123" customFormat="1">
      <c r="B539" s="125"/>
      <c r="D539" s="125"/>
      <c r="AA539" s="74"/>
      <c r="AD539" s="208"/>
      <c r="AE539" s="124"/>
      <c r="AI539" s="74"/>
      <c r="AM539" s="74"/>
      <c r="AQ539" s="74"/>
      <c r="AU539" s="74"/>
      <c r="AY539" s="74"/>
      <c r="BC539" s="74"/>
    </row>
    <row r="540" spans="2:55" s="123" customFormat="1">
      <c r="B540" s="125"/>
      <c r="D540" s="125"/>
      <c r="AA540" s="74"/>
      <c r="AD540" s="208"/>
      <c r="AE540" s="124"/>
      <c r="AI540" s="74"/>
      <c r="AM540" s="74"/>
      <c r="AQ540" s="74"/>
      <c r="AU540" s="74"/>
      <c r="AY540" s="74"/>
      <c r="BC540" s="74"/>
    </row>
    <row r="541" spans="2:55" s="123" customFormat="1">
      <c r="B541" s="125"/>
      <c r="D541" s="125"/>
      <c r="AA541" s="74"/>
      <c r="AD541" s="208"/>
      <c r="AE541" s="124"/>
      <c r="AI541" s="74"/>
      <c r="AM541" s="74"/>
      <c r="AQ541" s="74"/>
      <c r="AU541" s="74"/>
      <c r="AY541" s="74"/>
      <c r="BC541" s="74"/>
    </row>
    <row r="542" spans="2:55" s="123" customFormat="1">
      <c r="B542" s="125"/>
      <c r="D542" s="125"/>
      <c r="AA542" s="74"/>
      <c r="AD542" s="208"/>
      <c r="AE542" s="124"/>
      <c r="AI542" s="74"/>
      <c r="AM542" s="74"/>
      <c r="AQ542" s="74"/>
      <c r="AU542" s="74"/>
      <c r="AY542" s="74"/>
      <c r="BC542" s="74"/>
    </row>
    <row r="543" spans="2:55" s="123" customFormat="1">
      <c r="B543" s="125"/>
      <c r="D543" s="125"/>
      <c r="AA543" s="74"/>
      <c r="AD543" s="208"/>
      <c r="AE543" s="124"/>
      <c r="AI543" s="74"/>
      <c r="AM543" s="74"/>
      <c r="AQ543" s="74"/>
      <c r="AU543" s="74"/>
      <c r="AY543" s="74"/>
      <c r="BC543" s="74"/>
    </row>
    <row r="544" spans="2:55" s="123" customFormat="1">
      <c r="B544" s="125"/>
      <c r="D544" s="125"/>
      <c r="AA544" s="74"/>
      <c r="AD544" s="208"/>
      <c r="AE544" s="124"/>
      <c r="AI544" s="74"/>
      <c r="AM544" s="74"/>
      <c r="AQ544" s="74"/>
      <c r="AU544" s="74"/>
      <c r="AY544" s="74"/>
      <c r="BC544" s="74"/>
    </row>
    <row r="545" spans="2:55" s="123" customFormat="1">
      <c r="B545" s="125"/>
      <c r="D545" s="125"/>
      <c r="AA545" s="74"/>
      <c r="AD545" s="208"/>
      <c r="AE545" s="124"/>
      <c r="AI545" s="74"/>
      <c r="AM545" s="74"/>
      <c r="AQ545" s="74"/>
      <c r="AU545" s="74"/>
      <c r="AY545" s="74"/>
      <c r="BC545" s="74"/>
    </row>
    <row r="546" spans="2:55" s="123" customFormat="1">
      <c r="B546" s="125"/>
      <c r="D546" s="125"/>
      <c r="AA546" s="74"/>
      <c r="AD546" s="208"/>
      <c r="AE546" s="124"/>
      <c r="AI546" s="74"/>
      <c r="AM546" s="74"/>
      <c r="AQ546" s="74"/>
      <c r="AU546" s="74"/>
      <c r="AY546" s="74"/>
      <c r="BC546" s="74"/>
    </row>
    <row r="547" spans="2:55" s="123" customFormat="1">
      <c r="B547" s="125"/>
      <c r="D547" s="125"/>
      <c r="AA547" s="74"/>
      <c r="AD547" s="208"/>
      <c r="AE547" s="124"/>
      <c r="AI547" s="74"/>
      <c r="AM547" s="74"/>
      <c r="AQ547" s="74"/>
      <c r="AU547" s="74"/>
      <c r="AY547" s="74"/>
      <c r="BC547" s="74"/>
    </row>
    <row r="548" spans="2:55" s="123" customFormat="1">
      <c r="B548" s="125"/>
      <c r="D548" s="125"/>
      <c r="AA548" s="74"/>
      <c r="AD548" s="208"/>
      <c r="AE548" s="124"/>
      <c r="AI548" s="74"/>
      <c r="AM548" s="74"/>
      <c r="AQ548" s="74"/>
      <c r="AU548" s="74"/>
      <c r="AY548" s="74"/>
      <c r="BC548" s="74"/>
    </row>
    <row r="549" spans="2:55" s="123" customFormat="1">
      <c r="B549" s="125"/>
      <c r="D549" s="125"/>
      <c r="AA549" s="74"/>
      <c r="AD549" s="208"/>
      <c r="AE549" s="124"/>
      <c r="AI549" s="74"/>
      <c r="AM549" s="74"/>
      <c r="AQ549" s="74"/>
      <c r="AU549" s="74"/>
      <c r="AY549" s="74"/>
      <c r="BC549" s="74"/>
    </row>
    <row r="550" spans="2:55" s="123" customFormat="1">
      <c r="B550" s="125"/>
      <c r="D550" s="125"/>
      <c r="AA550" s="74"/>
      <c r="AD550" s="208"/>
      <c r="AE550" s="124"/>
      <c r="AI550" s="74"/>
      <c r="AM550" s="74"/>
      <c r="AQ550" s="74"/>
      <c r="AU550" s="74"/>
      <c r="AY550" s="74"/>
      <c r="BC550" s="74"/>
    </row>
    <row r="551" spans="2:55" s="123" customFormat="1">
      <c r="B551" s="125"/>
      <c r="D551" s="125"/>
      <c r="AA551" s="74"/>
      <c r="AD551" s="208"/>
      <c r="AE551" s="124"/>
      <c r="AI551" s="74"/>
      <c r="AM551" s="74"/>
      <c r="AQ551" s="74"/>
      <c r="AU551" s="74"/>
      <c r="AY551" s="74"/>
      <c r="BC551" s="74"/>
    </row>
    <row r="552" spans="2:55" s="123" customFormat="1">
      <c r="B552" s="125"/>
      <c r="D552" s="125"/>
      <c r="AA552" s="74"/>
      <c r="AD552" s="208"/>
      <c r="AE552" s="124"/>
      <c r="AI552" s="74"/>
      <c r="AM552" s="74"/>
      <c r="AQ552" s="74"/>
      <c r="AU552" s="74"/>
      <c r="AY552" s="74"/>
      <c r="BC552" s="74"/>
    </row>
    <row r="553" spans="2:55" s="123" customFormat="1">
      <c r="B553" s="125"/>
      <c r="D553" s="125"/>
      <c r="AA553" s="74"/>
      <c r="AD553" s="208"/>
      <c r="AE553" s="124"/>
      <c r="AI553" s="74"/>
      <c r="AM553" s="74"/>
      <c r="AQ553" s="74"/>
      <c r="AU553" s="74"/>
      <c r="AY553" s="74"/>
      <c r="BC553" s="74"/>
    </row>
    <row r="554" spans="2:55" s="123" customFormat="1">
      <c r="B554" s="125"/>
      <c r="D554" s="125"/>
      <c r="AA554" s="74"/>
      <c r="AD554" s="208"/>
      <c r="AE554" s="124"/>
      <c r="AI554" s="74"/>
      <c r="AM554" s="74"/>
      <c r="AQ554" s="74"/>
      <c r="AU554" s="74"/>
      <c r="AY554" s="74"/>
      <c r="BC554" s="74"/>
    </row>
    <row r="555" spans="2:55" s="123" customFormat="1">
      <c r="B555" s="125"/>
      <c r="D555" s="125"/>
      <c r="AA555" s="74"/>
      <c r="AD555" s="208"/>
      <c r="AE555" s="124"/>
      <c r="AI555" s="74"/>
      <c r="AM555" s="74"/>
      <c r="AQ555" s="74"/>
      <c r="AU555" s="74"/>
      <c r="AY555" s="74"/>
      <c r="BC555" s="74"/>
    </row>
    <row r="556" spans="2:55" s="123" customFormat="1">
      <c r="B556" s="125"/>
      <c r="D556" s="125"/>
      <c r="AA556" s="74"/>
      <c r="AD556" s="208"/>
      <c r="AE556" s="124"/>
      <c r="AI556" s="74"/>
      <c r="AM556" s="74"/>
      <c r="AQ556" s="74"/>
      <c r="AU556" s="74"/>
      <c r="AY556" s="74"/>
      <c r="BC556" s="74"/>
    </row>
    <row r="557" spans="2:55" s="123" customFormat="1">
      <c r="B557" s="125"/>
      <c r="D557" s="125"/>
      <c r="AA557" s="74"/>
      <c r="AD557" s="208"/>
      <c r="AE557" s="124"/>
      <c r="AI557" s="74"/>
      <c r="AM557" s="74"/>
      <c r="AQ557" s="74"/>
      <c r="AU557" s="74"/>
      <c r="AY557" s="74"/>
      <c r="BC557" s="74"/>
    </row>
    <row r="558" spans="2:55" s="123" customFormat="1">
      <c r="B558" s="125"/>
      <c r="D558" s="125"/>
      <c r="AA558" s="74"/>
      <c r="AD558" s="208"/>
      <c r="AE558" s="124"/>
      <c r="AI558" s="74"/>
      <c r="AM558" s="74"/>
      <c r="AQ558" s="74"/>
      <c r="AU558" s="74"/>
      <c r="AY558" s="74"/>
      <c r="BC558" s="74"/>
    </row>
    <row r="559" spans="2:55" s="123" customFormat="1">
      <c r="B559" s="125"/>
      <c r="D559" s="125"/>
      <c r="AA559" s="74"/>
      <c r="AD559" s="208"/>
      <c r="AE559" s="124"/>
      <c r="AI559" s="74"/>
      <c r="AM559" s="74"/>
      <c r="AQ559" s="74"/>
      <c r="AU559" s="74"/>
      <c r="AY559" s="74"/>
      <c r="BC559" s="74"/>
    </row>
    <row r="560" spans="2:55" s="123" customFormat="1">
      <c r="B560" s="125"/>
      <c r="D560" s="125"/>
      <c r="AA560" s="74"/>
      <c r="AD560" s="208"/>
      <c r="AE560" s="124"/>
      <c r="AI560" s="74"/>
      <c r="AM560" s="74"/>
      <c r="AQ560" s="74"/>
      <c r="AU560" s="74"/>
      <c r="AY560" s="74"/>
      <c r="BC560" s="74"/>
    </row>
    <row r="561" spans="2:55" s="123" customFormat="1">
      <c r="B561" s="125"/>
      <c r="D561" s="125"/>
      <c r="AA561" s="74"/>
      <c r="AD561" s="208"/>
      <c r="AE561" s="124"/>
      <c r="AI561" s="74"/>
      <c r="AM561" s="74"/>
      <c r="AQ561" s="74"/>
      <c r="AU561" s="74"/>
      <c r="AY561" s="74"/>
      <c r="BC561" s="74"/>
    </row>
    <row r="562" spans="2:55" s="123" customFormat="1">
      <c r="B562" s="125"/>
      <c r="D562" s="125"/>
      <c r="AA562" s="74"/>
      <c r="AD562" s="208"/>
      <c r="AE562" s="124"/>
      <c r="AI562" s="74"/>
      <c r="AM562" s="74"/>
      <c r="AQ562" s="74"/>
      <c r="AU562" s="74"/>
      <c r="AY562" s="74"/>
      <c r="BC562" s="74"/>
    </row>
    <row r="563" spans="2:55" s="123" customFormat="1">
      <c r="B563" s="125"/>
      <c r="D563" s="125"/>
      <c r="AA563" s="74"/>
      <c r="AD563" s="208"/>
      <c r="AE563" s="124"/>
      <c r="AI563" s="74"/>
      <c r="AM563" s="74"/>
      <c r="AQ563" s="74"/>
      <c r="AU563" s="74"/>
      <c r="AY563" s="74"/>
      <c r="BC563" s="74"/>
    </row>
    <row r="564" spans="2:55" s="123" customFormat="1">
      <c r="B564" s="125"/>
      <c r="D564" s="125"/>
      <c r="AA564" s="74"/>
      <c r="AD564" s="208"/>
      <c r="AE564" s="124"/>
      <c r="AI564" s="74"/>
      <c r="AM564" s="74"/>
      <c r="AQ564" s="74"/>
      <c r="AU564" s="74"/>
      <c r="AY564" s="74"/>
      <c r="BC564" s="74"/>
    </row>
    <row r="565" spans="2:55" s="123" customFormat="1">
      <c r="B565" s="125"/>
      <c r="D565" s="125"/>
      <c r="AA565" s="74"/>
      <c r="AD565" s="208"/>
      <c r="AE565" s="124"/>
      <c r="AI565" s="74"/>
      <c r="AM565" s="74"/>
      <c r="AQ565" s="74"/>
      <c r="AU565" s="74"/>
      <c r="AY565" s="74"/>
      <c r="BC565" s="74"/>
    </row>
    <row r="566" spans="2:55" s="123" customFormat="1">
      <c r="B566" s="125"/>
      <c r="D566" s="125"/>
      <c r="AA566" s="74"/>
      <c r="AD566" s="208"/>
      <c r="AE566" s="124"/>
      <c r="AI566" s="74"/>
      <c r="AM566" s="74"/>
      <c r="AQ566" s="74"/>
      <c r="AU566" s="74"/>
      <c r="AY566" s="74"/>
      <c r="BC566" s="74"/>
    </row>
    <row r="567" spans="2:55" s="123" customFormat="1">
      <c r="B567" s="125"/>
      <c r="D567" s="125"/>
      <c r="AA567" s="74"/>
      <c r="AD567" s="208"/>
      <c r="AE567" s="124"/>
      <c r="AI567" s="74"/>
      <c r="AM567" s="74"/>
      <c r="AQ567" s="74"/>
      <c r="AU567" s="74"/>
      <c r="AY567" s="74"/>
      <c r="BC567" s="74"/>
    </row>
    <row r="568" spans="2:55" s="123" customFormat="1">
      <c r="B568" s="125"/>
      <c r="D568" s="125"/>
      <c r="AA568" s="74"/>
      <c r="AD568" s="208"/>
      <c r="AE568" s="124"/>
      <c r="AI568" s="74"/>
      <c r="AM568" s="74"/>
      <c r="AQ568" s="74"/>
      <c r="AU568" s="74"/>
      <c r="AY568" s="74"/>
      <c r="BC568" s="74"/>
    </row>
    <row r="569" spans="2:55" s="123" customFormat="1">
      <c r="B569" s="125"/>
      <c r="D569" s="125"/>
      <c r="AA569" s="74"/>
      <c r="AD569" s="208"/>
      <c r="AE569" s="124"/>
      <c r="AI569" s="74"/>
      <c r="AM569" s="74"/>
      <c r="AQ569" s="74"/>
      <c r="AU569" s="74"/>
      <c r="AY569" s="74"/>
      <c r="BC569" s="74"/>
    </row>
    <row r="570" spans="2:55" s="123" customFormat="1">
      <c r="B570" s="125"/>
      <c r="D570" s="125"/>
      <c r="AA570" s="74"/>
      <c r="AD570" s="208"/>
      <c r="AE570" s="124"/>
      <c r="AI570" s="74"/>
      <c r="AM570" s="74"/>
      <c r="AQ570" s="74"/>
      <c r="AU570" s="74"/>
      <c r="AY570" s="74"/>
      <c r="BC570" s="74"/>
    </row>
    <row r="571" spans="2:55" s="123" customFormat="1">
      <c r="B571" s="125"/>
      <c r="D571" s="125"/>
      <c r="AA571" s="74"/>
      <c r="AD571" s="208"/>
      <c r="AE571" s="124"/>
      <c r="AI571" s="74"/>
      <c r="AM571" s="74"/>
      <c r="AQ571" s="74"/>
      <c r="AU571" s="74"/>
      <c r="AY571" s="74"/>
      <c r="BC571" s="74"/>
    </row>
    <row r="572" spans="2:55" s="123" customFormat="1">
      <c r="B572" s="125"/>
      <c r="D572" s="125"/>
      <c r="AA572" s="74"/>
      <c r="AD572" s="208"/>
      <c r="AE572" s="124"/>
      <c r="AI572" s="74"/>
      <c r="AM572" s="74"/>
      <c r="AQ572" s="74"/>
      <c r="AU572" s="74"/>
      <c r="AY572" s="74"/>
      <c r="BC572" s="74"/>
    </row>
    <row r="573" spans="2:55" s="123" customFormat="1">
      <c r="B573" s="125"/>
      <c r="D573" s="125"/>
      <c r="AA573" s="74"/>
      <c r="AD573" s="208"/>
      <c r="AE573" s="124"/>
      <c r="AI573" s="74"/>
      <c r="AM573" s="74"/>
      <c r="AQ573" s="74"/>
      <c r="AU573" s="74"/>
      <c r="AY573" s="74"/>
      <c r="BC573" s="74"/>
    </row>
    <row r="574" spans="2:55" s="123" customFormat="1">
      <c r="B574" s="125"/>
      <c r="D574" s="125"/>
      <c r="AA574" s="74"/>
      <c r="AD574" s="208"/>
      <c r="AE574" s="124"/>
      <c r="AI574" s="74"/>
      <c r="AM574" s="74"/>
      <c r="AQ574" s="74"/>
      <c r="AU574" s="74"/>
      <c r="AY574" s="74"/>
      <c r="BC574" s="74"/>
    </row>
    <row r="575" spans="2:55" s="123" customFormat="1">
      <c r="B575" s="125"/>
      <c r="D575" s="125"/>
      <c r="AA575" s="74"/>
      <c r="AD575" s="208"/>
      <c r="AE575" s="124"/>
      <c r="AI575" s="74"/>
      <c r="AM575" s="74"/>
      <c r="AQ575" s="74"/>
      <c r="AU575" s="74"/>
      <c r="AY575" s="74"/>
      <c r="BC575" s="74"/>
    </row>
    <row r="576" spans="2:55" s="123" customFormat="1">
      <c r="B576" s="125"/>
      <c r="D576" s="125"/>
      <c r="AA576" s="74"/>
      <c r="AD576" s="208"/>
      <c r="AE576" s="124"/>
      <c r="AI576" s="74"/>
      <c r="AM576" s="74"/>
      <c r="AQ576" s="74"/>
      <c r="AU576" s="74"/>
      <c r="AY576" s="74"/>
      <c r="BC576" s="74"/>
    </row>
    <row r="577" spans="2:55" s="123" customFormat="1">
      <c r="B577" s="125"/>
      <c r="D577" s="125"/>
      <c r="AA577" s="74"/>
      <c r="AD577" s="208"/>
      <c r="AE577" s="124"/>
      <c r="AI577" s="74"/>
      <c r="AM577" s="74"/>
      <c r="AQ577" s="74"/>
      <c r="AU577" s="74"/>
      <c r="AY577" s="74"/>
      <c r="BC577" s="74"/>
    </row>
    <row r="578" spans="2:55" s="123" customFormat="1">
      <c r="B578" s="125"/>
      <c r="D578" s="125"/>
      <c r="AA578" s="74"/>
      <c r="AD578" s="208"/>
      <c r="AE578" s="124"/>
      <c r="AI578" s="74"/>
      <c r="AM578" s="74"/>
      <c r="AQ578" s="74"/>
      <c r="AU578" s="74"/>
      <c r="AY578" s="74"/>
      <c r="BC578" s="74"/>
    </row>
    <row r="579" spans="2:55" s="123" customFormat="1">
      <c r="B579" s="125"/>
      <c r="D579" s="125"/>
      <c r="AA579" s="74"/>
      <c r="AD579" s="208"/>
      <c r="AE579" s="124"/>
      <c r="AI579" s="74"/>
      <c r="AM579" s="74"/>
      <c r="AQ579" s="74"/>
      <c r="AU579" s="74"/>
      <c r="AY579" s="74"/>
      <c r="BC579" s="74"/>
    </row>
    <row r="580" spans="2:55" s="123" customFormat="1">
      <c r="B580" s="125"/>
      <c r="D580" s="125"/>
      <c r="AA580" s="74"/>
      <c r="AD580" s="208"/>
      <c r="AE580" s="124"/>
      <c r="AI580" s="74"/>
      <c r="AM580" s="74"/>
      <c r="AQ580" s="74"/>
      <c r="AU580" s="74"/>
      <c r="AY580" s="74"/>
      <c r="BC580" s="74"/>
    </row>
    <row r="581" spans="2:55" s="123" customFormat="1">
      <c r="B581" s="125"/>
      <c r="D581" s="125"/>
      <c r="AA581" s="74"/>
      <c r="AD581" s="208"/>
      <c r="AE581" s="124"/>
      <c r="AI581" s="74"/>
      <c r="AM581" s="74"/>
      <c r="AQ581" s="74"/>
      <c r="AU581" s="74"/>
      <c r="AY581" s="74"/>
      <c r="BC581" s="74"/>
    </row>
    <row r="582" spans="2:55" s="123" customFormat="1">
      <c r="B582" s="125"/>
      <c r="D582" s="125"/>
      <c r="AA582" s="74"/>
      <c r="AD582" s="208"/>
      <c r="AE582" s="124"/>
      <c r="AI582" s="74"/>
      <c r="AM582" s="74"/>
      <c r="AQ582" s="74"/>
      <c r="AU582" s="74"/>
      <c r="AY582" s="74"/>
      <c r="BC582" s="74"/>
    </row>
    <row r="583" spans="2:55" s="123" customFormat="1">
      <c r="B583" s="125"/>
      <c r="D583" s="125"/>
      <c r="AA583" s="74"/>
      <c r="AD583" s="208"/>
      <c r="AE583" s="124"/>
      <c r="AI583" s="74"/>
      <c r="AM583" s="74"/>
      <c r="AQ583" s="74"/>
      <c r="AU583" s="74"/>
      <c r="AY583" s="74"/>
      <c r="BC583" s="74"/>
    </row>
    <row r="584" spans="2:55" s="123" customFormat="1">
      <c r="B584" s="125"/>
      <c r="D584" s="125"/>
      <c r="AA584" s="74"/>
      <c r="AD584" s="208"/>
      <c r="AE584" s="124"/>
      <c r="AI584" s="74"/>
      <c r="AM584" s="74"/>
      <c r="AQ584" s="74"/>
      <c r="AU584" s="74"/>
      <c r="AY584" s="74"/>
      <c r="BC584" s="74"/>
    </row>
    <row r="585" spans="2:55" s="123" customFormat="1">
      <c r="B585" s="125"/>
      <c r="D585" s="125"/>
      <c r="AA585" s="74"/>
      <c r="AD585" s="208"/>
      <c r="AE585" s="124"/>
      <c r="AI585" s="74"/>
      <c r="AM585" s="74"/>
      <c r="AQ585" s="74"/>
      <c r="AU585" s="74"/>
      <c r="AY585" s="74"/>
      <c r="BC585" s="74"/>
    </row>
    <row r="586" spans="2:55" s="123" customFormat="1">
      <c r="B586" s="125"/>
      <c r="D586" s="125"/>
      <c r="AA586" s="74"/>
      <c r="AD586" s="208"/>
      <c r="AE586" s="124"/>
      <c r="AI586" s="74"/>
      <c r="AM586" s="74"/>
      <c r="AQ586" s="74"/>
      <c r="AU586" s="74"/>
      <c r="AY586" s="74"/>
      <c r="BC586" s="74"/>
    </row>
    <row r="587" spans="2:55" s="123" customFormat="1">
      <c r="B587" s="125"/>
      <c r="D587" s="125"/>
      <c r="AA587" s="74"/>
      <c r="AD587" s="208"/>
      <c r="AE587" s="124"/>
      <c r="AI587" s="74"/>
      <c r="AM587" s="74"/>
      <c r="AQ587" s="74"/>
      <c r="AU587" s="74"/>
      <c r="AY587" s="74"/>
      <c r="BC587" s="74"/>
    </row>
    <row r="588" spans="2:55" s="123" customFormat="1">
      <c r="B588" s="125"/>
      <c r="D588" s="125"/>
      <c r="AA588" s="74"/>
      <c r="AD588" s="208"/>
      <c r="AE588" s="124"/>
      <c r="AI588" s="74"/>
      <c r="AM588" s="74"/>
      <c r="AQ588" s="74"/>
      <c r="AU588" s="74"/>
      <c r="AY588" s="74"/>
      <c r="BC588" s="74"/>
    </row>
    <row r="589" spans="2:55" s="123" customFormat="1">
      <c r="B589" s="125"/>
      <c r="D589" s="125"/>
      <c r="AA589" s="74"/>
      <c r="AD589" s="208"/>
      <c r="AE589" s="124"/>
      <c r="AI589" s="74"/>
      <c r="AM589" s="74"/>
      <c r="AQ589" s="74"/>
      <c r="AU589" s="74"/>
      <c r="AY589" s="74"/>
      <c r="BC589" s="74"/>
    </row>
    <row r="590" spans="2:55" s="123" customFormat="1">
      <c r="B590" s="125"/>
      <c r="D590" s="125"/>
      <c r="AA590" s="74"/>
      <c r="AD590" s="208"/>
      <c r="AE590" s="124"/>
      <c r="AI590" s="74"/>
      <c r="AM590" s="74"/>
      <c r="AQ590" s="74"/>
      <c r="AU590" s="74"/>
      <c r="AY590" s="74"/>
      <c r="BC590" s="74"/>
    </row>
    <row r="591" spans="2:55" s="123" customFormat="1">
      <c r="B591" s="125"/>
      <c r="D591" s="125"/>
      <c r="AA591" s="74"/>
      <c r="AD591" s="208"/>
      <c r="AE591" s="124"/>
      <c r="AI591" s="74"/>
      <c r="AM591" s="74"/>
      <c r="AQ591" s="74"/>
      <c r="AU591" s="74"/>
      <c r="AY591" s="74"/>
      <c r="BC591" s="74"/>
    </row>
    <row r="592" spans="2:55" s="123" customFormat="1">
      <c r="B592" s="125"/>
      <c r="D592" s="125"/>
      <c r="AA592" s="74"/>
      <c r="AD592" s="208"/>
      <c r="AE592" s="124"/>
      <c r="AI592" s="74"/>
      <c r="AM592" s="74"/>
      <c r="AQ592" s="74"/>
      <c r="AU592" s="74"/>
      <c r="AY592" s="74"/>
      <c r="BC592" s="74"/>
    </row>
    <row r="593" spans="2:55" s="123" customFormat="1">
      <c r="B593" s="125"/>
      <c r="D593" s="125"/>
      <c r="AA593" s="74"/>
      <c r="AD593" s="208"/>
      <c r="AE593" s="124"/>
      <c r="AI593" s="74"/>
      <c r="AM593" s="74"/>
      <c r="AQ593" s="74"/>
      <c r="AU593" s="74"/>
      <c r="AY593" s="74"/>
      <c r="BC593" s="74"/>
    </row>
    <row r="594" spans="2:55" s="123" customFormat="1">
      <c r="B594" s="125"/>
      <c r="D594" s="125"/>
      <c r="AA594" s="74"/>
      <c r="AD594" s="208"/>
      <c r="AE594" s="124"/>
      <c r="AI594" s="74"/>
      <c r="AM594" s="74"/>
      <c r="AQ594" s="74"/>
      <c r="AU594" s="74"/>
      <c r="AY594" s="74"/>
      <c r="BC594" s="74"/>
    </row>
    <row r="595" spans="2:55" s="123" customFormat="1">
      <c r="B595" s="125"/>
      <c r="D595" s="125"/>
      <c r="AA595" s="74"/>
      <c r="AD595" s="208"/>
      <c r="AE595" s="124"/>
      <c r="AI595" s="74"/>
      <c r="AM595" s="74"/>
      <c r="AQ595" s="74"/>
      <c r="AU595" s="74"/>
      <c r="AY595" s="74"/>
      <c r="BC595" s="74"/>
    </row>
    <row r="596" spans="2:55" s="123" customFormat="1">
      <c r="B596" s="125"/>
      <c r="D596" s="125"/>
      <c r="AA596" s="74"/>
      <c r="AD596" s="208"/>
      <c r="AE596" s="124"/>
      <c r="AI596" s="74"/>
      <c r="AM596" s="74"/>
      <c r="AQ596" s="74"/>
      <c r="AU596" s="74"/>
      <c r="AY596" s="74"/>
      <c r="BC596" s="74"/>
    </row>
    <row r="597" spans="2:55" s="123" customFormat="1">
      <c r="B597" s="125"/>
      <c r="D597" s="125"/>
      <c r="AA597" s="74"/>
      <c r="AD597" s="208"/>
      <c r="AE597" s="124"/>
      <c r="AI597" s="74"/>
      <c r="AM597" s="74"/>
      <c r="AQ597" s="74"/>
      <c r="AU597" s="74"/>
      <c r="AY597" s="74"/>
      <c r="BC597" s="74"/>
    </row>
    <row r="598" spans="2:55" s="123" customFormat="1">
      <c r="B598" s="125"/>
      <c r="D598" s="125"/>
      <c r="AA598" s="74"/>
      <c r="AD598" s="208"/>
      <c r="AE598" s="124"/>
      <c r="AI598" s="74"/>
      <c r="AM598" s="74"/>
      <c r="AQ598" s="74"/>
      <c r="AU598" s="74"/>
      <c r="AY598" s="74"/>
      <c r="BC598" s="74"/>
    </row>
    <row r="599" spans="2:55" s="123" customFormat="1">
      <c r="B599" s="125"/>
      <c r="D599" s="125"/>
      <c r="AA599" s="74"/>
      <c r="AD599" s="208"/>
      <c r="AE599" s="124"/>
      <c r="AI599" s="74"/>
      <c r="AM599" s="74"/>
      <c r="AQ599" s="74"/>
      <c r="AU599" s="74"/>
      <c r="AY599" s="74"/>
      <c r="BC599" s="74"/>
    </row>
    <row r="600" spans="2:55" s="123" customFormat="1">
      <c r="B600" s="125"/>
      <c r="D600" s="125"/>
      <c r="AA600" s="74"/>
      <c r="AD600" s="208"/>
      <c r="AE600" s="124"/>
      <c r="AI600" s="74"/>
      <c r="AM600" s="74"/>
      <c r="AQ600" s="74"/>
      <c r="AU600" s="74"/>
      <c r="AY600" s="74"/>
      <c r="BC600" s="74"/>
    </row>
    <row r="601" spans="2:55" s="123" customFormat="1">
      <c r="B601" s="125"/>
      <c r="D601" s="125"/>
      <c r="AA601" s="74"/>
      <c r="AD601" s="208"/>
      <c r="AE601" s="124"/>
      <c r="AI601" s="74"/>
      <c r="AM601" s="74"/>
      <c r="AQ601" s="74"/>
      <c r="AU601" s="74"/>
      <c r="AY601" s="74"/>
      <c r="BC601" s="74"/>
    </row>
    <row r="602" spans="2:55" s="123" customFormat="1">
      <c r="B602" s="125"/>
      <c r="D602" s="125"/>
      <c r="AA602" s="74"/>
      <c r="AD602" s="208"/>
      <c r="AE602" s="124"/>
      <c r="AI602" s="74"/>
      <c r="AM602" s="74"/>
      <c r="AQ602" s="74"/>
      <c r="AU602" s="74"/>
      <c r="AY602" s="74"/>
      <c r="BC602" s="74"/>
    </row>
    <row r="603" spans="2:55" s="123" customFormat="1">
      <c r="B603" s="125"/>
      <c r="D603" s="125"/>
      <c r="AA603" s="74"/>
      <c r="AD603" s="208"/>
      <c r="AE603" s="124"/>
      <c r="AI603" s="74"/>
      <c r="AM603" s="74"/>
      <c r="AQ603" s="74"/>
      <c r="AU603" s="74"/>
      <c r="AY603" s="74"/>
      <c r="BC603" s="74"/>
    </row>
    <row r="604" spans="2:55" s="123" customFormat="1">
      <c r="B604" s="125"/>
      <c r="D604" s="125"/>
      <c r="AA604" s="74"/>
      <c r="AD604" s="208"/>
      <c r="AE604" s="124"/>
      <c r="AI604" s="74"/>
      <c r="AM604" s="74"/>
      <c r="AQ604" s="74"/>
      <c r="AU604" s="74"/>
      <c r="AY604" s="74"/>
      <c r="BC604" s="74"/>
    </row>
    <row r="605" spans="2:55" s="123" customFormat="1">
      <c r="B605" s="125"/>
      <c r="D605" s="125"/>
      <c r="AA605" s="74"/>
      <c r="AD605" s="208"/>
      <c r="AE605" s="124"/>
      <c r="AI605" s="74"/>
      <c r="AM605" s="74"/>
      <c r="AQ605" s="74"/>
      <c r="AU605" s="74"/>
      <c r="AY605" s="74"/>
      <c r="BC605" s="74"/>
    </row>
    <row r="606" spans="2:55" s="123" customFormat="1">
      <c r="B606" s="125"/>
      <c r="D606" s="125"/>
      <c r="AA606" s="74"/>
      <c r="AD606" s="208"/>
      <c r="AE606" s="124"/>
      <c r="AI606" s="74"/>
      <c r="AM606" s="74"/>
      <c r="AQ606" s="74"/>
      <c r="AU606" s="74"/>
      <c r="AY606" s="74"/>
      <c r="BC606" s="74"/>
    </row>
    <row r="607" spans="2:55" s="123" customFormat="1">
      <c r="B607" s="125"/>
      <c r="D607" s="125"/>
      <c r="AA607" s="74"/>
      <c r="AD607" s="208"/>
      <c r="AE607" s="124"/>
      <c r="AI607" s="74"/>
      <c r="AM607" s="74"/>
      <c r="AQ607" s="74"/>
      <c r="AU607" s="74"/>
      <c r="AY607" s="74"/>
      <c r="BC607" s="74"/>
    </row>
    <row r="608" spans="2:55" s="123" customFormat="1">
      <c r="B608" s="125"/>
      <c r="D608" s="125"/>
      <c r="AA608" s="74"/>
      <c r="AD608" s="208"/>
      <c r="AE608" s="124"/>
      <c r="AI608" s="74"/>
      <c r="AM608" s="74"/>
      <c r="AQ608" s="74"/>
      <c r="AU608" s="74"/>
      <c r="AY608" s="74"/>
      <c r="BC608" s="74"/>
    </row>
    <row r="609" spans="2:55" s="123" customFormat="1">
      <c r="B609" s="125"/>
      <c r="D609" s="125"/>
      <c r="AA609" s="74"/>
      <c r="AD609" s="208"/>
      <c r="AE609" s="124"/>
      <c r="AI609" s="74"/>
      <c r="AM609" s="74"/>
      <c r="AQ609" s="74"/>
      <c r="AU609" s="74"/>
      <c r="AY609" s="74"/>
      <c r="BC609" s="74"/>
    </row>
    <row r="610" spans="2:55" s="123" customFormat="1">
      <c r="B610" s="125"/>
      <c r="D610" s="125"/>
      <c r="AA610" s="74"/>
      <c r="AD610" s="208"/>
      <c r="AE610" s="124"/>
      <c r="AI610" s="74"/>
      <c r="AM610" s="74"/>
      <c r="AQ610" s="74"/>
      <c r="AU610" s="74"/>
      <c r="AY610" s="74"/>
      <c r="BC610" s="74"/>
    </row>
    <row r="611" spans="2:55" s="123" customFormat="1">
      <c r="B611" s="125"/>
      <c r="D611" s="125"/>
      <c r="AA611" s="74"/>
      <c r="AD611" s="208"/>
      <c r="AE611" s="124"/>
      <c r="AI611" s="74"/>
      <c r="AM611" s="74"/>
      <c r="AQ611" s="74"/>
      <c r="AU611" s="74"/>
      <c r="AY611" s="74"/>
      <c r="BC611" s="74"/>
    </row>
    <row r="612" spans="2:55" s="123" customFormat="1">
      <c r="B612" s="125"/>
      <c r="D612" s="125"/>
      <c r="AA612" s="74"/>
      <c r="AD612" s="208"/>
      <c r="AE612" s="124"/>
      <c r="AI612" s="74"/>
      <c r="AM612" s="74"/>
      <c r="AQ612" s="74"/>
      <c r="AU612" s="74"/>
      <c r="AY612" s="74"/>
      <c r="BC612" s="74"/>
    </row>
    <row r="613" spans="2:55" s="123" customFormat="1">
      <c r="B613" s="125"/>
      <c r="D613" s="125"/>
      <c r="AA613" s="74"/>
      <c r="AD613" s="208"/>
      <c r="AE613" s="124"/>
      <c r="AI613" s="74"/>
      <c r="AM613" s="74"/>
      <c r="AQ613" s="74"/>
      <c r="AU613" s="74"/>
      <c r="AY613" s="74"/>
      <c r="BC613" s="74"/>
    </row>
    <row r="614" spans="2:55" s="123" customFormat="1">
      <c r="B614" s="125"/>
      <c r="D614" s="125"/>
      <c r="AA614" s="74"/>
      <c r="AD614" s="208"/>
      <c r="AE614" s="124"/>
      <c r="AI614" s="74"/>
      <c r="AM614" s="74"/>
      <c r="AQ614" s="74"/>
      <c r="AU614" s="74"/>
      <c r="AY614" s="74"/>
      <c r="BC614" s="74"/>
    </row>
    <row r="615" spans="2:55" s="123" customFormat="1">
      <c r="B615" s="125"/>
      <c r="D615" s="125"/>
      <c r="AA615" s="74"/>
      <c r="AD615" s="208"/>
      <c r="AE615" s="124"/>
      <c r="AI615" s="74"/>
      <c r="AM615" s="74"/>
      <c r="AQ615" s="74"/>
      <c r="AU615" s="74"/>
      <c r="AY615" s="74"/>
      <c r="BC615" s="74"/>
    </row>
    <row r="616" spans="2:55" s="123" customFormat="1">
      <c r="B616" s="125"/>
      <c r="D616" s="125"/>
      <c r="AA616" s="74"/>
      <c r="AD616" s="208"/>
      <c r="AE616" s="124"/>
      <c r="AI616" s="74"/>
      <c r="AM616" s="74"/>
      <c r="AQ616" s="74"/>
      <c r="AU616" s="74"/>
      <c r="AY616" s="74"/>
      <c r="BC616" s="74"/>
    </row>
    <row r="617" spans="2:55" s="123" customFormat="1">
      <c r="B617" s="125"/>
      <c r="D617" s="125"/>
      <c r="AA617" s="74"/>
      <c r="AD617" s="208"/>
      <c r="AE617" s="124"/>
      <c r="AI617" s="74"/>
      <c r="AM617" s="74"/>
      <c r="AQ617" s="74"/>
      <c r="AU617" s="74"/>
      <c r="AY617" s="74"/>
      <c r="BC617" s="74"/>
    </row>
    <row r="618" spans="2:55" s="123" customFormat="1">
      <c r="B618" s="125"/>
      <c r="D618" s="125"/>
      <c r="AA618" s="74"/>
      <c r="AD618" s="208"/>
      <c r="AE618" s="124"/>
      <c r="AI618" s="74"/>
      <c r="AM618" s="74"/>
      <c r="AQ618" s="74"/>
      <c r="AU618" s="74"/>
      <c r="AY618" s="74"/>
      <c r="BC618" s="74"/>
    </row>
    <row r="619" spans="2:55" s="123" customFormat="1">
      <c r="B619" s="125"/>
      <c r="D619" s="125"/>
      <c r="AA619" s="74"/>
      <c r="AD619" s="208"/>
      <c r="AE619" s="124"/>
      <c r="AI619" s="74"/>
      <c r="AM619" s="74"/>
      <c r="AQ619" s="74"/>
      <c r="AU619" s="74"/>
      <c r="AY619" s="74"/>
      <c r="BC619" s="74"/>
    </row>
    <row r="620" spans="2:55" s="123" customFormat="1">
      <c r="B620" s="125"/>
      <c r="D620" s="125"/>
      <c r="AA620" s="74"/>
      <c r="AD620" s="208"/>
      <c r="AE620" s="124"/>
      <c r="AI620" s="74"/>
      <c r="AM620" s="74"/>
      <c r="AQ620" s="74"/>
      <c r="AU620" s="74"/>
      <c r="AY620" s="74"/>
      <c r="BC620" s="74"/>
    </row>
    <row r="621" spans="2:55" s="123" customFormat="1">
      <c r="B621" s="125"/>
      <c r="D621" s="125"/>
      <c r="AA621" s="74"/>
      <c r="AD621" s="208"/>
      <c r="AE621" s="124"/>
      <c r="AI621" s="74"/>
      <c r="AM621" s="74"/>
      <c r="AQ621" s="74"/>
      <c r="AU621" s="74"/>
      <c r="AY621" s="74"/>
      <c r="BC621" s="74"/>
    </row>
    <row r="622" spans="2:55" s="123" customFormat="1">
      <c r="B622" s="125"/>
      <c r="D622" s="125"/>
      <c r="AA622" s="74"/>
      <c r="AD622" s="208"/>
      <c r="AE622" s="124"/>
      <c r="AI622" s="74"/>
      <c r="AM622" s="74"/>
      <c r="AQ622" s="74"/>
      <c r="AU622" s="74"/>
      <c r="AY622" s="74"/>
      <c r="BC622" s="74"/>
    </row>
    <row r="623" spans="2:55" s="123" customFormat="1">
      <c r="B623" s="125"/>
      <c r="D623" s="125"/>
      <c r="AA623" s="74"/>
      <c r="AD623" s="208"/>
      <c r="AE623" s="124"/>
      <c r="AI623" s="74"/>
      <c r="AM623" s="74"/>
      <c r="AQ623" s="74"/>
      <c r="AU623" s="74"/>
      <c r="AY623" s="74"/>
      <c r="BC623" s="74"/>
    </row>
    <row r="624" spans="2:55" s="123" customFormat="1">
      <c r="B624" s="125"/>
      <c r="D624" s="125"/>
      <c r="AA624" s="74"/>
      <c r="AD624" s="208"/>
      <c r="AE624" s="124"/>
      <c r="AI624" s="74"/>
      <c r="AM624" s="74"/>
      <c r="AQ624" s="74"/>
      <c r="AU624" s="74"/>
      <c r="AY624" s="74"/>
      <c r="BC624" s="74"/>
    </row>
    <row r="625" spans="2:55" s="123" customFormat="1">
      <c r="B625" s="125"/>
      <c r="D625" s="125"/>
      <c r="AA625" s="74"/>
      <c r="AD625" s="208"/>
      <c r="AE625" s="124"/>
      <c r="AI625" s="74"/>
      <c r="AM625" s="74"/>
      <c r="AQ625" s="74"/>
      <c r="AU625" s="74"/>
      <c r="AY625" s="74"/>
      <c r="BC625" s="74"/>
    </row>
    <row r="626" spans="2:55" s="123" customFormat="1">
      <c r="B626" s="125"/>
      <c r="D626" s="125"/>
      <c r="AA626" s="74"/>
      <c r="AD626" s="208"/>
      <c r="AE626" s="124"/>
      <c r="AI626" s="74"/>
      <c r="AM626" s="74"/>
      <c r="AQ626" s="74"/>
      <c r="AU626" s="74"/>
      <c r="AY626" s="74"/>
      <c r="BC626" s="74"/>
    </row>
    <row r="627" spans="2:55" s="123" customFormat="1">
      <c r="B627" s="125"/>
      <c r="D627" s="125"/>
      <c r="AA627" s="74"/>
      <c r="AD627" s="208"/>
      <c r="AE627" s="124"/>
      <c r="AI627" s="74"/>
      <c r="AM627" s="74"/>
      <c r="AQ627" s="74"/>
      <c r="AU627" s="74"/>
      <c r="AY627" s="74"/>
      <c r="BC627" s="74"/>
    </row>
    <row r="628" spans="2:55" s="123" customFormat="1">
      <c r="B628" s="125"/>
      <c r="D628" s="125"/>
      <c r="AA628" s="74"/>
      <c r="AD628" s="208"/>
      <c r="AE628" s="124"/>
      <c r="AI628" s="74"/>
      <c r="AM628" s="74"/>
      <c r="AQ628" s="74"/>
      <c r="AU628" s="74"/>
      <c r="AY628" s="74"/>
      <c r="BC628" s="74"/>
    </row>
    <row r="629" spans="2:55" s="123" customFormat="1">
      <c r="B629" s="125"/>
      <c r="D629" s="125"/>
      <c r="AA629" s="74"/>
      <c r="AD629" s="208"/>
      <c r="AE629" s="124"/>
      <c r="AI629" s="74"/>
      <c r="AM629" s="74"/>
      <c r="AQ629" s="74"/>
      <c r="AU629" s="74"/>
      <c r="AY629" s="74"/>
      <c r="BC629" s="74"/>
    </row>
    <row r="630" spans="2:55" s="123" customFormat="1">
      <c r="B630" s="125"/>
      <c r="D630" s="125"/>
      <c r="AA630" s="74"/>
      <c r="AD630" s="208"/>
      <c r="AE630" s="124"/>
      <c r="AI630" s="74"/>
      <c r="AM630" s="74"/>
      <c r="AQ630" s="74"/>
      <c r="AU630" s="74"/>
      <c r="AY630" s="74"/>
      <c r="BC630" s="74"/>
    </row>
    <row r="631" spans="2:55" s="123" customFormat="1">
      <c r="B631" s="125"/>
      <c r="D631" s="125"/>
      <c r="AA631" s="74"/>
      <c r="AD631" s="208"/>
      <c r="AE631" s="124"/>
      <c r="AI631" s="74"/>
      <c r="AM631" s="74"/>
      <c r="AQ631" s="74"/>
      <c r="AU631" s="74"/>
      <c r="AY631" s="74"/>
      <c r="BC631" s="74"/>
    </row>
    <row r="632" spans="2:55" s="123" customFormat="1">
      <c r="B632" s="125"/>
      <c r="D632" s="125"/>
      <c r="AA632" s="74"/>
      <c r="AD632" s="208"/>
      <c r="AE632" s="124"/>
      <c r="AI632" s="74"/>
      <c r="AM632" s="74"/>
      <c r="AQ632" s="74"/>
      <c r="AU632" s="74"/>
      <c r="AY632" s="74"/>
      <c r="BC632" s="74"/>
    </row>
    <row r="633" spans="2:55" s="123" customFormat="1">
      <c r="B633" s="125"/>
      <c r="D633" s="125"/>
      <c r="AA633" s="74"/>
      <c r="AD633" s="208"/>
      <c r="AE633" s="124"/>
      <c r="AI633" s="74"/>
      <c r="AM633" s="74"/>
      <c r="AQ633" s="74"/>
      <c r="AU633" s="74"/>
      <c r="AY633" s="74"/>
      <c r="BC633" s="74"/>
    </row>
    <row r="634" spans="2:55" s="123" customFormat="1">
      <c r="B634" s="125"/>
      <c r="D634" s="125"/>
      <c r="AA634" s="74"/>
      <c r="AD634" s="208"/>
      <c r="AE634" s="124"/>
      <c r="AI634" s="74"/>
      <c r="AM634" s="74"/>
      <c r="AQ634" s="74"/>
      <c r="AU634" s="74"/>
      <c r="AY634" s="74"/>
      <c r="BC634" s="74"/>
    </row>
    <row r="635" spans="2:55" s="123" customFormat="1">
      <c r="B635" s="125"/>
      <c r="D635" s="125"/>
      <c r="AA635" s="74"/>
      <c r="AD635" s="208"/>
      <c r="AE635" s="124"/>
      <c r="AI635" s="74"/>
      <c r="AM635" s="74"/>
      <c r="AQ635" s="74"/>
      <c r="AU635" s="74"/>
      <c r="AY635" s="74"/>
      <c r="BC635" s="74"/>
    </row>
    <row r="636" spans="2:55" s="123" customFormat="1">
      <c r="B636" s="125"/>
      <c r="D636" s="125"/>
      <c r="AA636" s="74"/>
      <c r="AD636" s="208"/>
      <c r="AE636" s="124"/>
      <c r="AI636" s="74"/>
      <c r="AM636" s="74"/>
      <c r="AQ636" s="74"/>
      <c r="AU636" s="74"/>
      <c r="AY636" s="74"/>
      <c r="BC636" s="74"/>
    </row>
    <row r="637" spans="2:55" s="123" customFormat="1">
      <c r="B637" s="125"/>
      <c r="D637" s="125"/>
      <c r="AA637" s="74"/>
      <c r="AD637" s="208"/>
      <c r="AE637" s="124"/>
      <c r="AI637" s="74"/>
      <c r="AM637" s="74"/>
      <c r="AQ637" s="74"/>
      <c r="AU637" s="74"/>
      <c r="AY637" s="74"/>
      <c r="BC637" s="74"/>
    </row>
    <row r="638" spans="2:55" s="123" customFormat="1">
      <c r="B638" s="125"/>
      <c r="D638" s="125"/>
      <c r="AA638" s="74"/>
      <c r="AD638" s="208"/>
      <c r="AE638" s="124"/>
      <c r="AI638" s="74"/>
      <c r="AM638" s="74"/>
      <c r="AQ638" s="74"/>
      <c r="AU638" s="74"/>
      <c r="AY638" s="74"/>
      <c r="BC638" s="74"/>
    </row>
    <row r="639" spans="2:55" s="123" customFormat="1">
      <c r="B639" s="125"/>
      <c r="D639" s="125"/>
      <c r="AA639" s="74"/>
      <c r="AD639" s="208"/>
      <c r="AE639" s="124"/>
      <c r="AI639" s="74"/>
      <c r="AM639" s="74"/>
      <c r="AQ639" s="74"/>
      <c r="AU639" s="74"/>
      <c r="AY639" s="74"/>
      <c r="BC639" s="74"/>
    </row>
    <row r="640" spans="2:55" s="123" customFormat="1">
      <c r="B640" s="125"/>
      <c r="D640" s="125"/>
      <c r="AA640" s="74"/>
      <c r="AD640" s="208"/>
      <c r="AE640" s="124"/>
      <c r="AI640" s="74"/>
      <c r="AM640" s="74"/>
      <c r="AQ640" s="74"/>
      <c r="AU640" s="74"/>
      <c r="AY640" s="74"/>
      <c r="BC640" s="74"/>
    </row>
    <row r="641" spans="2:55" s="123" customFormat="1">
      <c r="B641" s="125"/>
      <c r="D641" s="125"/>
      <c r="AA641" s="74"/>
      <c r="AD641" s="208"/>
      <c r="AE641" s="124"/>
      <c r="AI641" s="74"/>
      <c r="AM641" s="74"/>
      <c r="AQ641" s="74"/>
      <c r="AU641" s="74"/>
      <c r="AY641" s="74"/>
      <c r="BC641" s="74"/>
    </row>
    <row r="642" spans="2:55" s="123" customFormat="1">
      <c r="B642" s="125"/>
      <c r="D642" s="125"/>
      <c r="AA642" s="74"/>
      <c r="AD642" s="208"/>
      <c r="AE642" s="124"/>
      <c r="AI642" s="74"/>
      <c r="AM642" s="74"/>
      <c r="AQ642" s="74"/>
      <c r="AU642" s="74"/>
      <c r="AY642" s="74"/>
      <c r="BC642" s="74"/>
    </row>
    <row r="643" spans="2:55" s="123" customFormat="1">
      <c r="B643" s="125"/>
      <c r="D643" s="125"/>
      <c r="AA643" s="74"/>
      <c r="AD643" s="208"/>
      <c r="AE643" s="124"/>
      <c r="AI643" s="74"/>
      <c r="AM643" s="74"/>
      <c r="AQ643" s="74"/>
      <c r="AU643" s="74"/>
      <c r="AY643" s="74"/>
      <c r="BC643" s="74"/>
    </row>
    <row r="644" spans="2:55" s="123" customFormat="1">
      <c r="B644" s="125"/>
      <c r="D644" s="125"/>
      <c r="AA644" s="74"/>
      <c r="AD644" s="208"/>
      <c r="AE644" s="124"/>
      <c r="AI644" s="74"/>
      <c r="AM644" s="74"/>
      <c r="AQ644" s="74"/>
      <c r="AU644" s="74"/>
      <c r="AY644" s="74"/>
      <c r="BC644" s="74"/>
    </row>
    <row r="645" spans="2:55" s="123" customFormat="1">
      <c r="B645" s="125"/>
      <c r="D645" s="125"/>
      <c r="AA645" s="74"/>
      <c r="AD645" s="208"/>
      <c r="AE645" s="124"/>
      <c r="AI645" s="74"/>
      <c r="AM645" s="74"/>
      <c r="AQ645" s="74"/>
      <c r="AU645" s="74"/>
      <c r="AY645" s="74"/>
      <c r="BC645" s="74"/>
    </row>
    <row r="646" spans="2:55" s="123" customFormat="1">
      <c r="B646" s="125"/>
      <c r="D646" s="125"/>
      <c r="AA646" s="74"/>
      <c r="AD646" s="208"/>
      <c r="AE646" s="124"/>
      <c r="AI646" s="74"/>
      <c r="AM646" s="74"/>
      <c r="AQ646" s="74"/>
      <c r="AU646" s="74"/>
      <c r="AY646" s="74"/>
      <c r="BC646" s="74"/>
    </row>
    <row r="647" spans="2:55" s="123" customFormat="1">
      <c r="B647" s="125"/>
      <c r="D647" s="125"/>
      <c r="AA647" s="74"/>
      <c r="AD647" s="208"/>
      <c r="AE647" s="124"/>
      <c r="AI647" s="74"/>
      <c r="AM647" s="74"/>
      <c r="AQ647" s="74"/>
      <c r="AU647" s="74"/>
      <c r="AY647" s="74"/>
      <c r="BC647" s="74"/>
    </row>
    <row r="648" spans="2:55" s="123" customFormat="1">
      <c r="B648" s="125"/>
      <c r="D648" s="125"/>
      <c r="AA648" s="74"/>
      <c r="AD648" s="208"/>
      <c r="AE648" s="124"/>
      <c r="AI648" s="74"/>
      <c r="AM648" s="74"/>
      <c r="AQ648" s="74"/>
      <c r="AU648" s="74"/>
      <c r="AY648" s="74"/>
      <c r="BC648" s="74"/>
    </row>
    <row r="649" spans="2:55" s="123" customFormat="1">
      <c r="B649" s="125"/>
      <c r="D649" s="125"/>
      <c r="AA649" s="74"/>
      <c r="AD649" s="208"/>
      <c r="AE649" s="124"/>
      <c r="AI649" s="74"/>
      <c r="AM649" s="74"/>
      <c r="AQ649" s="74"/>
      <c r="AU649" s="74"/>
      <c r="AY649" s="74"/>
      <c r="BC649" s="74"/>
    </row>
    <row r="650" spans="2:55" s="123" customFormat="1">
      <c r="B650" s="125"/>
      <c r="D650" s="125"/>
      <c r="AA650" s="74"/>
      <c r="AD650" s="208"/>
      <c r="AE650" s="124"/>
      <c r="AI650" s="74"/>
      <c r="AM650" s="74"/>
      <c r="AQ650" s="74"/>
      <c r="AU650" s="74"/>
      <c r="AY650" s="74"/>
      <c r="BC650" s="74"/>
    </row>
    <row r="651" spans="2:55" s="123" customFormat="1">
      <c r="B651" s="125"/>
      <c r="D651" s="125"/>
      <c r="AA651" s="74"/>
      <c r="AD651" s="208"/>
      <c r="AE651" s="124"/>
      <c r="AI651" s="74"/>
      <c r="AM651" s="74"/>
      <c r="AQ651" s="74"/>
      <c r="AU651" s="74"/>
      <c r="AY651" s="74"/>
      <c r="BC651" s="74"/>
    </row>
    <row r="652" spans="2:55" s="123" customFormat="1">
      <c r="B652" s="125"/>
      <c r="D652" s="125"/>
      <c r="AA652" s="74"/>
      <c r="AD652" s="208"/>
      <c r="AE652" s="124"/>
      <c r="AI652" s="74"/>
      <c r="AM652" s="74"/>
      <c r="AQ652" s="74"/>
      <c r="AU652" s="74"/>
      <c r="AY652" s="74"/>
      <c r="BC652" s="74"/>
    </row>
    <row r="653" spans="2:55" s="123" customFormat="1">
      <c r="B653" s="125"/>
      <c r="D653" s="125"/>
      <c r="AA653" s="74"/>
      <c r="AD653" s="208"/>
      <c r="AE653" s="124"/>
      <c r="AI653" s="74"/>
      <c r="AM653" s="74"/>
      <c r="AQ653" s="74"/>
      <c r="AU653" s="74"/>
      <c r="AY653" s="74"/>
      <c r="BC653" s="74"/>
    </row>
    <row r="654" spans="2:55" s="123" customFormat="1">
      <c r="B654" s="125"/>
      <c r="D654" s="125"/>
      <c r="AA654" s="74"/>
      <c r="AD654" s="208"/>
      <c r="AE654" s="124"/>
      <c r="AI654" s="74"/>
      <c r="AM654" s="74"/>
      <c r="AQ654" s="74"/>
      <c r="AU654" s="74"/>
      <c r="AY654" s="74"/>
      <c r="BC654" s="74"/>
    </row>
    <row r="655" spans="2:55" s="123" customFormat="1">
      <c r="B655" s="125"/>
      <c r="D655" s="125"/>
      <c r="AA655" s="74"/>
      <c r="AD655" s="208"/>
      <c r="AE655" s="124"/>
      <c r="AI655" s="74"/>
      <c r="AM655" s="74"/>
      <c r="AQ655" s="74"/>
      <c r="AU655" s="74"/>
      <c r="AY655" s="74"/>
      <c r="BC655" s="74"/>
    </row>
    <row r="656" spans="2:55" s="123" customFormat="1">
      <c r="B656" s="125"/>
      <c r="D656" s="125"/>
      <c r="AA656" s="74"/>
      <c r="AD656" s="208"/>
      <c r="AE656" s="124"/>
      <c r="AI656" s="74"/>
      <c r="AM656" s="74"/>
      <c r="AQ656" s="74"/>
      <c r="AU656" s="74"/>
      <c r="AY656" s="74"/>
      <c r="BC656" s="74"/>
    </row>
    <row r="657" spans="2:55" s="123" customFormat="1">
      <c r="B657" s="125"/>
      <c r="D657" s="125"/>
      <c r="AA657" s="74"/>
      <c r="AD657" s="208"/>
      <c r="AE657" s="124"/>
      <c r="AI657" s="74"/>
      <c r="AM657" s="74"/>
      <c r="AQ657" s="74"/>
      <c r="AU657" s="74"/>
      <c r="AY657" s="74"/>
      <c r="BC657" s="74"/>
    </row>
    <row r="658" spans="2:55" s="123" customFormat="1">
      <c r="B658" s="125"/>
      <c r="D658" s="125"/>
      <c r="AA658" s="74"/>
      <c r="AD658" s="208"/>
      <c r="AE658" s="124"/>
      <c r="AI658" s="74"/>
      <c r="AM658" s="74"/>
      <c r="AQ658" s="74"/>
      <c r="AU658" s="74"/>
      <c r="AY658" s="74"/>
      <c r="BC658" s="74"/>
    </row>
    <row r="659" spans="2:55" s="123" customFormat="1">
      <c r="B659" s="125"/>
      <c r="D659" s="125"/>
      <c r="AA659" s="74"/>
      <c r="AD659" s="208"/>
      <c r="AE659" s="124"/>
      <c r="AI659" s="74"/>
      <c r="AM659" s="74"/>
      <c r="AQ659" s="74"/>
      <c r="AU659" s="74"/>
      <c r="AY659" s="74"/>
      <c r="BC659" s="74"/>
    </row>
    <row r="660" spans="2:55" s="123" customFormat="1">
      <c r="B660" s="125"/>
      <c r="D660" s="125"/>
      <c r="AA660" s="74"/>
      <c r="AD660" s="208"/>
      <c r="AE660" s="124"/>
      <c r="AI660" s="74"/>
      <c r="AM660" s="74"/>
      <c r="AQ660" s="74"/>
      <c r="AU660" s="74"/>
      <c r="AY660" s="74"/>
      <c r="BC660" s="74"/>
    </row>
    <row r="661" spans="2:55" s="123" customFormat="1">
      <c r="B661" s="125"/>
      <c r="D661" s="125"/>
      <c r="AA661" s="74"/>
      <c r="AD661" s="208"/>
      <c r="AE661" s="124"/>
      <c r="AI661" s="74"/>
      <c r="AM661" s="74"/>
      <c r="AQ661" s="74"/>
      <c r="AU661" s="74"/>
      <c r="AY661" s="74"/>
      <c r="BC661" s="74"/>
    </row>
    <row r="662" spans="2:55" s="123" customFormat="1">
      <c r="B662" s="125"/>
      <c r="D662" s="125"/>
      <c r="AA662" s="74"/>
      <c r="AD662" s="208"/>
      <c r="AE662" s="124"/>
      <c r="AI662" s="74"/>
      <c r="AM662" s="74"/>
      <c r="AQ662" s="74"/>
      <c r="AU662" s="74"/>
      <c r="AY662" s="74"/>
      <c r="BC662" s="74"/>
    </row>
    <row r="663" spans="2:55" s="123" customFormat="1">
      <c r="B663" s="125"/>
      <c r="D663" s="125"/>
      <c r="AA663" s="74"/>
      <c r="AD663" s="208"/>
      <c r="AE663" s="124"/>
      <c r="AI663" s="74"/>
      <c r="AM663" s="74"/>
      <c r="AQ663" s="74"/>
      <c r="AU663" s="74"/>
      <c r="AY663" s="74"/>
      <c r="BC663" s="74"/>
    </row>
    <row r="664" spans="2:55" s="123" customFormat="1">
      <c r="B664" s="125"/>
      <c r="D664" s="125"/>
      <c r="AA664" s="74"/>
      <c r="AD664" s="208"/>
      <c r="AE664" s="124"/>
      <c r="AI664" s="74"/>
      <c r="AM664" s="74"/>
      <c r="AQ664" s="74"/>
      <c r="AU664" s="74"/>
      <c r="AY664" s="74"/>
      <c r="BC664" s="74"/>
    </row>
    <row r="665" spans="2:55" s="123" customFormat="1">
      <c r="B665" s="125"/>
      <c r="D665" s="125"/>
      <c r="AA665" s="74"/>
      <c r="AD665" s="208"/>
      <c r="AE665" s="124"/>
      <c r="AI665" s="74"/>
      <c r="AM665" s="74"/>
      <c r="AQ665" s="74"/>
      <c r="AU665" s="74"/>
      <c r="AY665" s="74"/>
      <c r="BC665" s="74"/>
    </row>
    <row r="666" spans="2:55" s="123" customFormat="1">
      <c r="B666" s="125"/>
      <c r="D666" s="125"/>
      <c r="AA666" s="74"/>
      <c r="AD666" s="208"/>
      <c r="AE666" s="124"/>
      <c r="AI666" s="74"/>
      <c r="AM666" s="74"/>
      <c r="AQ666" s="74"/>
      <c r="AU666" s="74"/>
      <c r="AY666" s="74"/>
      <c r="BC666" s="74"/>
    </row>
    <row r="667" spans="2:55" s="123" customFormat="1">
      <c r="B667" s="125"/>
      <c r="D667" s="125"/>
      <c r="AA667" s="74"/>
      <c r="AD667" s="208"/>
      <c r="AE667" s="124"/>
      <c r="AI667" s="74"/>
      <c r="AM667" s="74"/>
      <c r="AQ667" s="74"/>
      <c r="AU667" s="74"/>
      <c r="AY667" s="74"/>
      <c r="BC667" s="74"/>
    </row>
    <row r="668" spans="2:55" s="123" customFormat="1">
      <c r="B668" s="125"/>
      <c r="D668" s="125"/>
      <c r="AA668" s="74"/>
      <c r="AD668" s="208"/>
      <c r="AE668" s="124"/>
      <c r="AI668" s="74"/>
      <c r="AM668" s="74"/>
      <c r="AQ668" s="74"/>
      <c r="AU668" s="74"/>
      <c r="AY668" s="74"/>
      <c r="BC668" s="74"/>
    </row>
    <row r="669" spans="2:55" s="123" customFormat="1">
      <c r="B669" s="125"/>
      <c r="D669" s="125"/>
      <c r="AA669" s="74"/>
      <c r="AD669" s="208"/>
      <c r="AE669" s="124"/>
      <c r="AI669" s="74"/>
      <c r="AM669" s="74"/>
      <c r="AQ669" s="74"/>
      <c r="AU669" s="74"/>
      <c r="AY669" s="74"/>
      <c r="BC669" s="74"/>
    </row>
    <row r="670" spans="2:55" s="123" customFormat="1">
      <c r="B670" s="125"/>
      <c r="D670" s="125"/>
      <c r="AA670" s="74"/>
      <c r="AD670" s="208"/>
      <c r="AE670" s="124"/>
      <c r="AI670" s="74"/>
      <c r="AM670" s="74"/>
      <c r="AQ670" s="74"/>
      <c r="AU670" s="74"/>
      <c r="AY670" s="74"/>
      <c r="BC670" s="74"/>
    </row>
    <row r="671" spans="2:55" s="123" customFormat="1">
      <c r="B671" s="125"/>
      <c r="D671" s="125"/>
      <c r="AA671" s="74"/>
      <c r="AD671" s="208"/>
      <c r="AE671" s="124"/>
      <c r="AI671" s="74"/>
      <c r="AM671" s="74"/>
      <c r="AQ671" s="74"/>
      <c r="AU671" s="74"/>
      <c r="AY671" s="74"/>
      <c r="BC671" s="74"/>
    </row>
    <row r="672" spans="2:55" s="123" customFormat="1">
      <c r="B672" s="125"/>
      <c r="D672" s="125"/>
      <c r="AA672" s="74"/>
      <c r="AD672" s="208"/>
      <c r="AE672" s="124"/>
      <c r="AI672" s="74"/>
      <c r="AM672" s="74"/>
      <c r="AQ672" s="74"/>
      <c r="AU672" s="74"/>
      <c r="AY672" s="74"/>
      <c r="BC672" s="74"/>
    </row>
    <row r="673" spans="2:55" s="123" customFormat="1">
      <c r="B673" s="125"/>
      <c r="D673" s="125"/>
      <c r="AA673" s="74"/>
      <c r="AD673" s="208"/>
      <c r="AE673" s="124"/>
      <c r="AI673" s="74"/>
      <c r="AM673" s="74"/>
      <c r="AQ673" s="74"/>
      <c r="AU673" s="74"/>
      <c r="AY673" s="74"/>
      <c r="BC673" s="74"/>
    </row>
    <row r="674" spans="2:55" s="123" customFormat="1">
      <c r="B674" s="125"/>
      <c r="D674" s="125"/>
      <c r="AA674" s="74"/>
      <c r="AD674" s="208"/>
      <c r="AE674" s="124"/>
      <c r="AI674" s="74"/>
      <c r="AM674" s="74"/>
      <c r="AQ674" s="74"/>
      <c r="AU674" s="74"/>
      <c r="AY674" s="74"/>
      <c r="BC674" s="74"/>
    </row>
    <row r="675" spans="2:55" s="123" customFormat="1">
      <c r="B675" s="125"/>
      <c r="D675" s="125"/>
      <c r="AA675" s="74"/>
      <c r="AD675" s="208"/>
      <c r="AE675" s="124"/>
      <c r="AI675" s="74"/>
      <c r="AM675" s="74"/>
      <c r="AQ675" s="74"/>
      <c r="AU675" s="74"/>
      <c r="AY675" s="74"/>
      <c r="BC675" s="74"/>
    </row>
    <row r="676" spans="2:55" s="123" customFormat="1">
      <c r="B676" s="125"/>
      <c r="D676" s="125"/>
      <c r="AA676" s="74"/>
      <c r="AD676" s="208"/>
      <c r="AE676" s="124"/>
      <c r="AI676" s="74"/>
      <c r="AM676" s="74"/>
      <c r="AQ676" s="74"/>
      <c r="AU676" s="74"/>
      <c r="AY676" s="74"/>
      <c r="BC676" s="74"/>
    </row>
    <row r="677" spans="2:55" s="123" customFormat="1">
      <c r="B677" s="125"/>
      <c r="D677" s="125"/>
      <c r="AA677" s="74"/>
      <c r="AD677" s="208"/>
      <c r="AE677" s="124"/>
      <c r="AI677" s="74"/>
      <c r="AM677" s="74"/>
      <c r="AQ677" s="74"/>
      <c r="AU677" s="74"/>
      <c r="AY677" s="74"/>
      <c r="BC677" s="74"/>
    </row>
    <row r="678" spans="2:55" s="123" customFormat="1">
      <c r="B678" s="125"/>
      <c r="D678" s="125"/>
      <c r="AA678" s="74"/>
      <c r="AD678" s="208"/>
      <c r="AE678" s="124"/>
      <c r="AI678" s="74"/>
      <c r="AM678" s="74"/>
      <c r="AQ678" s="74"/>
      <c r="AU678" s="74"/>
      <c r="AY678" s="74"/>
      <c r="BC678" s="74"/>
    </row>
    <row r="679" spans="2:55" s="123" customFormat="1">
      <c r="B679" s="125"/>
      <c r="D679" s="125"/>
      <c r="AA679" s="74"/>
      <c r="AD679" s="208"/>
      <c r="AE679" s="124"/>
      <c r="AI679" s="74"/>
      <c r="AM679" s="74"/>
      <c r="AQ679" s="74"/>
      <c r="AU679" s="74"/>
      <c r="AY679" s="74"/>
      <c r="BC679" s="74"/>
    </row>
    <row r="680" spans="2:55" s="123" customFormat="1">
      <c r="B680" s="125"/>
      <c r="D680" s="125"/>
      <c r="AA680" s="74"/>
      <c r="AD680" s="208"/>
      <c r="AE680" s="124"/>
      <c r="AI680" s="74"/>
      <c r="AM680" s="74"/>
      <c r="AQ680" s="74"/>
      <c r="AU680" s="74"/>
      <c r="AY680" s="74"/>
      <c r="BC680" s="74"/>
    </row>
    <row r="681" spans="2:55" s="123" customFormat="1">
      <c r="B681" s="125"/>
      <c r="D681" s="125"/>
      <c r="AA681" s="74"/>
      <c r="AD681" s="208"/>
      <c r="AE681" s="124"/>
      <c r="AI681" s="74"/>
      <c r="AM681" s="74"/>
      <c r="AQ681" s="74"/>
      <c r="AU681" s="74"/>
      <c r="AY681" s="74"/>
      <c r="BC681" s="74"/>
    </row>
    <row r="682" spans="2:55" s="123" customFormat="1">
      <c r="B682" s="125"/>
      <c r="D682" s="125"/>
      <c r="AA682" s="74"/>
      <c r="AD682" s="208"/>
      <c r="AE682" s="124"/>
      <c r="AI682" s="74"/>
      <c r="AM682" s="74"/>
      <c r="AQ682" s="74"/>
      <c r="AU682" s="74"/>
      <c r="AY682" s="74"/>
      <c r="BC682" s="74"/>
    </row>
    <row r="683" spans="2:55" s="123" customFormat="1">
      <c r="B683" s="125"/>
      <c r="D683" s="125"/>
      <c r="AA683" s="74"/>
      <c r="AD683" s="208"/>
      <c r="AE683" s="124"/>
      <c r="AI683" s="74"/>
      <c r="AM683" s="74"/>
      <c r="AQ683" s="74"/>
      <c r="AU683" s="74"/>
      <c r="AY683" s="74"/>
      <c r="BC683" s="74"/>
    </row>
    <row r="684" spans="2:55" s="123" customFormat="1">
      <c r="B684" s="125"/>
      <c r="D684" s="125"/>
      <c r="AA684" s="74"/>
      <c r="AD684" s="208"/>
      <c r="AE684" s="124"/>
      <c r="AI684" s="74"/>
      <c r="AM684" s="74"/>
      <c r="AQ684" s="74"/>
      <c r="AU684" s="74"/>
      <c r="AY684" s="74"/>
      <c r="BC684" s="74"/>
    </row>
    <row r="685" spans="2:55" s="123" customFormat="1">
      <c r="B685" s="125"/>
      <c r="D685" s="125"/>
      <c r="AA685" s="74"/>
      <c r="AD685" s="208"/>
      <c r="AE685" s="124"/>
      <c r="AI685" s="74"/>
      <c r="AM685" s="74"/>
      <c r="AQ685" s="74"/>
      <c r="AU685" s="74"/>
      <c r="AY685" s="74"/>
      <c r="BC685" s="74"/>
    </row>
    <row r="686" spans="2:55" s="123" customFormat="1">
      <c r="B686" s="125"/>
      <c r="D686" s="125"/>
      <c r="AA686" s="74"/>
      <c r="AD686" s="208"/>
      <c r="AE686" s="124"/>
      <c r="AI686" s="74"/>
      <c r="AM686" s="74"/>
      <c r="AQ686" s="74"/>
      <c r="AU686" s="74"/>
      <c r="AY686" s="74"/>
      <c r="BC686" s="74"/>
    </row>
    <row r="687" spans="2:55" s="123" customFormat="1">
      <c r="B687" s="125"/>
      <c r="D687" s="125"/>
      <c r="AA687" s="74"/>
      <c r="AD687" s="208"/>
      <c r="AE687" s="124"/>
      <c r="AI687" s="74"/>
      <c r="AM687" s="74"/>
      <c r="AQ687" s="74"/>
      <c r="AU687" s="74"/>
      <c r="AY687" s="74"/>
      <c r="BC687" s="74"/>
    </row>
    <row r="688" spans="2:55" s="123" customFormat="1">
      <c r="B688" s="125"/>
      <c r="D688" s="125"/>
      <c r="AA688" s="74"/>
      <c r="AD688" s="208"/>
      <c r="AE688" s="124"/>
      <c r="AI688" s="74"/>
      <c r="AM688" s="74"/>
      <c r="AQ688" s="74"/>
      <c r="AU688" s="74"/>
      <c r="AY688" s="74"/>
      <c r="BC688" s="74"/>
    </row>
    <row r="689" spans="2:55" s="123" customFormat="1">
      <c r="B689" s="125"/>
      <c r="D689" s="125"/>
      <c r="AA689" s="74"/>
      <c r="AD689" s="208"/>
      <c r="AE689" s="124"/>
      <c r="AI689" s="74"/>
      <c r="AM689" s="74"/>
      <c r="AQ689" s="74"/>
      <c r="AU689" s="74"/>
      <c r="AY689" s="74"/>
      <c r="BC689" s="74"/>
    </row>
    <row r="690" spans="2:55" s="123" customFormat="1">
      <c r="B690" s="125"/>
      <c r="D690" s="125"/>
      <c r="AA690" s="74"/>
      <c r="AD690" s="208"/>
      <c r="AE690" s="124"/>
      <c r="AI690" s="74"/>
      <c r="AM690" s="74"/>
      <c r="AQ690" s="74"/>
      <c r="AU690" s="74"/>
      <c r="AY690" s="74"/>
      <c r="BC690" s="74"/>
    </row>
    <row r="691" spans="2:55" s="123" customFormat="1">
      <c r="B691" s="125"/>
      <c r="D691" s="125"/>
      <c r="AA691" s="74"/>
      <c r="AD691" s="208"/>
      <c r="AE691" s="124"/>
      <c r="AI691" s="74"/>
      <c r="AM691" s="74"/>
      <c r="AQ691" s="74"/>
      <c r="AU691" s="74"/>
      <c r="AY691" s="74"/>
      <c r="BC691" s="74"/>
    </row>
    <row r="692" spans="2:55" s="123" customFormat="1">
      <c r="B692" s="125"/>
      <c r="D692" s="125"/>
      <c r="AA692" s="74"/>
      <c r="AD692" s="208"/>
      <c r="AE692" s="124"/>
      <c r="AI692" s="74"/>
      <c r="AM692" s="74"/>
      <c r="AQ692" s="74"/>
      <c r="AU692" s="74"/>
      <c r="AY692" s="74"/>
      <c r="BC692" s="74"/>
    </row>
    <row r="693" spans="2:55" s="123" customFormat="1">
      <c r="B693" s="125"/>
      <c r="D693" s="125"/>
      <c r="AA693" s="74"/>
      <c r="AD693" s="208"/>
      <c r="AE693" s="124"/>
      <c r="AI693" s="74"/>
      <c r="AM693" s="74"/>
      <c r="AQ693" s="74"/>
      <c r="AU693" s="74"/>
      <c r="AY693" s="74"/>
      <c r="BC693" s="74"/>
    </row>
    <row r="694" spans="2:55" s="123" customFormat="1">
      <c r="B694" s="125"/>
      <c r="D694" s="125"/>
      <c r="AA694" s="74"/>
      <c r="AD694" s="208"/>
      <c r="AE694" s="124"/>
      <c r="AI694" s="74"/>
      <c r="AM694" s="74"/>
      <c r="AQ694" s="74"/>
      <c r="AU694" s="74"/>
      <c r="AY694" s="74"/>
      <c r="BC694" s="74"/>
    </row>
    <row r="695" spans="2:55" s="123" customFormat="1">
      <c r="B695" s="125"/>
      <c r="D695" s="125"/>
      <c r="AA695" s="74"/>
      <c r="AD695" s="208"/>
      <c r="AE695" s="124"/>
      <c r="AI695" s="74"/>
      <c r="AM695" s="74"/>
      <c r="AQ695" s="74"/>
      <c r="AU695" s="74"/>
      <c r="AY695" s="74"/>
      <c r="BC695" s="74"/>
    </row>
    <row r="696" spans="2:55" s="123" customFormat="1">
      <c r="B696" s="125"/>
      <c r="D696" s="125"/>
      <c r="AA696" s="74"/>
      <c r="AD696" s="208"/>
      <c r="AE696" s="124"/>
      <c r="AI696" s="74"/>
      <c r="AM696" s="74"/>
      <c r="AQ696" s="74"/>
      <c r="AU696" s="74"/>
      <c r="AY696" s="74"/>
      <c r="BC696" s="74"/>
    </row>
    <row r="697" spans="2:55" s="123" customFormat="1">
      <c r="B697" s="125"/>
      <c r="D697" s="125"/>
      <c r="AA697" s="74"/>
      <c r="AD697" s="208"/>
      <c r="AE697" s="124"/>
      <c r="AI697" s="74"/>
      <c r="AM697" s="74"/>
      <c r="AQ697" s="74"/>
      <c r="AU697" s="74"/>
      <c r="AY697" s="74"/>
      <c r="BC697" s="74"/>
    </row>
    <row r="698" spans="2:55" s="123" customFormat="1">
      <c r="B698" s="125"/>
      <c r="D698" s="125"/>
      <c r="AA698" s="74"/>
      <c r="AD698" s="208"/>
      <c r="AE698" s="124"/>
      <c r="AI698" s="74"/>
      <c r="AM698" s="74"/>
      <c r="AQ698" s="74"/>
      <c r="AU698" s="74"/>
      <c r="AY698" s="74"/>
      <c r="BC698" s="74"/>
    </row>
    <row r="699" spans="2:55" s="123" customFormat="1">
      <c r="B699" s="125"/>
      <c r="D699" s="125"/>
      <c r="AA699" s="74"/>
      <c r="AD699" s="208"/>
      <c r="AE699" s="124"/>
      <c r="AI699" s="74"/>
      <c r="AM699" s="74"/>
      <c r="AQ699" s="74"/>
      <c r="AU699" s="74"/>
      <c r="AY699" s="74"/>
      <c r="BC699" s="74"/>
    </row>
    <row r="700" spans="2:55" s="123" customFormat="1">
      <c r="B700" s="125"/>
      <c r="D700" s="125"/>
      <c r="AA700" s="74"/>
      <c r="AD700" s="208"/>
      <c r="AE700" s="124"/>
      <c r="AI700" s="74"/>
      <c r="AM700" s="74"/>
      <c r="AQ700" s="74"/>
      <c r="AU700" s="74"/>
      <c r="AY700" s="74"/>
      <c r="BC700" s="74"/>
    </row>
    <row r="701" spans="2:55" s="123" customFormat="1">
      <c r="B701" s="125"/>
      <c r="D701" s="125"/>
      <c r="AA701" s="74"/>
      <c r="AD701" s="208"/>
      <c r="AE701" s="124"/>
      <c r="AI701" s="74"/>
      <c r="AM701" s="74"/>
      <c r="AQ701" s="74"/>
      <c r="AU701" s="74"/>
      <c r="AY701" s="74"/>
      <c r="BC701" s="74"/>
    </row>
    <row r="702" spans="2:55" s="123" customFormat="1">
      <c r="B702" s="125"/>
      <c r="D702" s="125"/>
      <c r="AA702" s="74"/>
      <c r="AD702" s="208"/>
      <c r="AE702" s="124"/>
      <c r="AI702" s="74"/>
      <c r="AM702" s="74"/>
      <c r="AQ702" s="74"/>
      <c r="AU702" s="74"/>
      <c r="AY702" s="74"/>
      <c r="BC702" s="74"/>
    </row>
    <row r="703" spans="2:55" s="123" customFormat="1">
      <c r="B703" s="125"/>
      <c r="D703" s="125"/>
      <c r="AA703" s="74"/>
      <c r="AD703" s="208"/>
      <c r="AE703" s="124"/>
      <c r="AI703" s="74"/>
      <c r="AM703" s="74"/>
      <c r="AQ703" s="74"/>
      <c r="AU703" s="74"/>
      <c r="AY703" s="74"/>
      <c r="BC703" s="74"/>
    </row>
    <row r="704" spans="2:55" s="123" customFormat="1">
      <c r="B704" s="125"/>
      <c r="D704" s="125"/>
      <c r="AA704" s="74"/>
      <c r="AD704" s="208"/>
      <c r="AE704" s="124"/>
      <c r="AI704" s="74"/>
      <c r="AM704" s="74"/>
      <c r="AQ704" s="74"/>
      <c r="AU704" s="74"/>
      <c r="AY704" s="74"/>
      <c r="BC704" s="74"/>
    </row>
    <row r="705" spans="2:55" s="123" customFormat="1">
      <c r="B705" s="125"/>
      <c r="D705" s="125"/>
      <c r="AA705" s="74"/>
      <c r="AD705" s="208"/>
      <c r="AE705" s="124"/>
      <c r="AI705" s="74"/>
      <c r="AM705" s="74"/>
      <c r="AQ705" s="74"/>
      <c r="AU705" s="74"/>
      <c r="AY705" s="74"/>
      <c r="BC705" s="74"/>
    </row>
    <row r="706" spans="2:55" s="123" customFormat="1">
      <c r="B706" s="125"/>
      <c r="D706" s="125"/>
      <c r="AA706" s="74"/>
      <c r="AD706" s="208"/>
      <c r="AE706" s="124"/>
      <c r="AI706" s="74"/>
      <c r="AM706" s="74"/>
      <c r="AQ706" s="74"/>
      <c r="AU706" s="74"/>
      <c r="AY706" s="74"/>
      <c r="BC706" s="74"/>
    </row>
    <row r="707" spans="2:55" s="123" customFormat="1">
      <c r="B707" s="125"/>
      <c r="D707" s="125"/>
      <c r="AA707" s="74"/>
      <c r="AD707" s="208"/>
      <c r="AE707" s="124"/>
      <c r="AI707" s="74"/>
      <c r="AM707" s="74"/>
      <c r="AQ707" s="74"/>
      <c r="AU707" s="74"/>
      <c r="AY707" s="74"/>
      <c r="BC707" s="74"/>
    </row>
    <row r="708" spans="2:55" s="123" customFormat="1">
      <c r="B708" s="125"/>
      <c r="D708" s="125"/>
      <c r="AA708" s="74"/>
      <c r="AD708" s="208"/>
      <c r="AE708" s="124"/>
      <c r="AI708" s="74"/>
      <c r="AM708" s="74"/>
      <c r="AQ708" s="74"/>
      <c r="AU708" s="74"/>
      <c r="AY708" s="74"/>
      <c r="BC708" s="74"/>
    </row>
    <row r="709" spans="2:55" s="123" customFormat="1">
      <c r="B709" s="125"/>
      <c r="D709" s="125"/>
      <c r="AA709" s="74"/>
      <c r="AD709" s="208"/>
      <c r="AE709" s="124"/>
      <c r="AI709" s="74"/>
      <c r="AM709" s="74"/>
      <c r="AQ709" s="74"/>
      <c r="AU709" s="74"/>
      <c r="AY709" s="74"/>
      <c r="BC709" s="74"/>
    </row>
    <row r="710" spans="2:55" s="123" customFormat="1">
      <c r="B710" s="125"/>
      <c r="D710" s="125"/>
      <c r="AA710" s="74"/>
      <c r="AD710" s="208"/>
      <c r="AE710" s="124"/>
      <c r="AI710" s="74"/>
      <c r="AM710" s="74"/>
      <c r="AQ710" s="74"/>
      <c r="AU710" s="74"/>
      <c r="AY710" s="74"/>
      <c r="BC710" s="74"/>
    </row>
    <row r="711" spans="2:55" s="123" customFormat="1">
      <c r="B711" s="125"/>
      <c r="D711" s="125"/>
      <c r="AA711" s="74"/>
      <c r="AD711" s="208"/>
      <c r="AE711" s="124"/>
      <c r="AI711" s="74"/>
      <c r="AM711" s="74"/>
      <c r="AQ711" s="74"/>
      <c r="AU711" s="74"/>
      <c r="AY711" s="74"/>
      <c r="BC711" s="74"/>
    </row>
    <row r="712" spans="2:55" s="123" customFormat="1">
      <c r="B712" s="125"/>
      <c r="D712" s="125"/>
      <c r="AA712" s="74"/>
      <c r="AD712" s="208"/>
      <c r="AE712" s="124"/>
      <c r="AI712" s="74"/>
      <c r="AM712" s="74"/>
      <c r="AQ712" s="74"/>
      <c r="AU712" s="74"/>
      <c r="AY712" s="74"/>
      <c r="BC712" s="74"/>
    </row>
    <row r="713" spans="2:55" s="123" customFormat="1">
      <c r="B713" s="125"/>
      <c r="D713" s="125"/>
      <c r="AA713" s="74"/>
      <c r="AD713" s="208"/>
      <c r="AE713" s="124"/>
      <c r="AI713" s="74"/>
      <c r="AM713" s="74"/>
      <c r="AQ713" s="74"/>
      <c r="AU713" s="74"/>
      <c r="AY713" s="74"/>
      <c r="BC713" s="74"/>
    </row>
    <row r="714" spans="2:55" s="123" customFormat="1">
      <c r="B714" s="125"/>
      <c r="D714" s="125"/>
      <c r="AA714" s="74"/>
      <c r="AD714" s="208"/>
      <c r="AE714" s="124"/>
      <c r="AI714" s="74"/>
      <c r="AM714" s="74"/>
      <c r="AQ714" s="74"/>
      <c r="AU714" s="74"/>
      <c r="AY714" s="74"/>
      <c r="BC714" s="74"/>
    </row>
    <row r="715" spans="2:55" s="123" customFormat="1">
      <c r="B715" s="125"/>
      <c r="D715" s="125"/>
      <c r="AA715" s="74"/>
      <c r="AD715" s="208"/>
      <c r="AE715" s="124"/>
      <c r="AI715" s="74"/>
      <c r="AM715" s="74"/>
      <c r="AQ715" s="74"/>
      <c r="AU715" s="74"/>
      <c r="AY715" s="74"/>
      <c r="BC715" s="74"/>
    </row>
    <row r="716" spans="2:55" s="123" customFormat="1">
      <c r="B716" s="125"/>
      <c r="D716" s="125"/>
      <c r="AA716" s="74"/>
      <c r="AD716" s="208"/>
      <c r="AE716" s="124"/>
      <c r="AI716" s="74"/>
      <c r="AM716" s="74"/>
      <c r="AQ716" s="74"/>
      <c r="AU716" s="74"/>
      <c r="AY716" s="74"/>
      <c r="BC716" s="74"/>
    </row>
    <row r="717" spans="2:55" s="123" customFormat="1">
      <c r="B717" s="125"/>
      <c r="D717" s="125"/>
      <c r="AA717" s="74"/>
      <c r="AD717" s="208"/>
      <c r="AE717" s="124"/>
      <c r="AI717" s="74"/>
      <c r="AM717" s="74"/>
      <c r="AQ717" s="74"/>
      <c r="AU717" s="74"/>
      <c r="AY717" s="74"/>
      <c r="BC717" s="74"/>
    </row>
    <row r="718" spans="2:55" s="123" customFormat="1">
      <c r="B718" s="125"/>
      <c r="D718" s="125"/>
      <c r="AA718" s="74"/>
      <c r="AD718" s="208"/>
      <c r="AE718" s="124"/>
      <c r="AI718" s="74"/>
      <c r="AM718" s="74"/>
      <c r="AQ718" s="74"/>
      <c r="AU718" s="74"/>
      <c r="AY718" s="74"/>
      <c r="BC718" s="74"/>
    </row>
    <row r="719" spans="2:55" s="123" customFormat="1">
      <c r="B719" s="125"/>
      <c r="D719" s="125"/>
      <c r="AA719" s="74"/>
      <c r="AD719" s="208"/>
      <c r="AE719" s="124"/>
      <c r="AI719" s="74"/>
      <c r="AM719" s="74"/>
      <c r="AQ719" s="74"/>
      <c r="AU719" s="74"/>
      <c r="AY719" s="74"/>
      <c r="BC719" s="74"/>
    </row>
    <row r="720" spans="2:55" s="123" customFormat="1">
      <c r="B720" s="125"/>
      <c r="D720" s="125"/>
      <c r="AA720" s="74"/>
      <c r="AD720" s="208"/>
      <c r="AE720" s="124"/>
      <c r="AI720" s="74"/>
      <c r="AM720" s="74"/>
      <c r="AQ720" s="74"/>
      <c r="AU720" s="74"/>
      <c r="AY720" s="74"/>
      <c r="BC720" s="74"/>
    </row>
    <row r="721" spans="2:55" s="123" customFormat="1">
      <c r="B721" s="125"/>
      <c r="D721" s="125"/>
      <c r="AA721" s="74"/>
      <c r="AD721" s="208"/>
      <c r="AE721" s="124"/>
      <c r="AI721" s="74"/>
      <c r="AM721" s="74"/>
      <c r="AQ721" s="74"/>
      <c r="AU721" s="74"/>
      <c r="AY721" s="74"/>
      <c r="BC721" s="74"/>
    </row>
    <row r="722" spans="2:55" s="123" customFormat="1">
      <c r="B722" s="125"/>
      <c r="D722" s="125"/>
      <c r="AA722" s="74"/>
      <c r="AD722" s="208"/>
      <c r="AE722" s="124"/>
      <c r="AI722" s="74"/>
      <c r="AM722" s="74"/>
      <c r="AQ722" s="74"/>
      <c r="AU722" s="74"/>
      <c r="AY722" s="74"/>
      <c r="BC722" s="74"/>
    </row>
    <row r="723" spans="2:55" s="123" customFormat="1">
      <c r="B723" s="125"/>
      <c r="D723" s="125"/>
      <c r="AA723" s="74"/>
      <c r="AD723" s="208"/>
      <c r="AE723" s="124"/>
      <c r="AI723" s="74"/>
      <c r="AM723" s="74"/>
      <c r="AQ723" s="74"/>
      <c r="AU723" s="74"/>
      <c r="AY723" s="74"/>
      <c r="BC723" s="74"/>
    </row>
    <row r="724" spans="2:55" s="123" customFormat="1">
      <c r="B724" s="125"/>
      <c r="D724" s="125"/>
      <c r="AA724" s="74"/>
      <c r="AD724" s="208"/>
      <c r="AE724" s="124"/>
      <c r="AI724" s="74"/>
      <c r="AM724" s="74"/>
      <c r="AQ724" s="74"/>
      <c r="AU724" s="74"/>
      <c r="AY724" s="74"/>
      <c r="BC724" s="74"/>
    </row>
    <row r="725" spans="2:55" s="123" customFormat="1">
      <c r="B725" s="125"/>
      <c r="D725" s="125"/>
      <c r="AA725" s="74"/>
      <c r="AD725" s="208"/>
      <c r="AE725" s="124"/>
      <c r="AI725" s="74"/>
      <c r="AM725" s="74"/>
      <c r="AQ725" s="74"/>
      <c r="AU725" s="74"/>
      <c r="AY725" s="74"/>
      <c r="BC725" s="74"/>
    </row>
    <row r="726" spans="2:55" s="123" customFormat="1">
      <c r="B726" s="125"/>
      <c r="D726" s="125"/>
      <c r="AA726" s="74"/>
      <c r="AD726" s="208"/>
      <c r="AE726" s="124"/>
      <c r="AI726" s="74"/>
      <c r="AM726" s="74"/>
      <c r="AQ726" s="74"/>
      <c r="AU726" s="74"/>
      <c r="AY726" s="74"/>
      <c r="BC726" s="74"/>
    </row>
    <row r="727" spans="2:55" s="123" customFormat="1">
      <c r="B727" s="125"/>
      <c r="D727" s="125"/>
      <c r="AA727" s="74"/>
      <c r="AD727" s="208"/>
      <c r="AE727" s="124"/>
      <c r="AI727" s="74"/>
      <c r="AM727" s="74"/>
      <c r="AQ727" s="74"/>
      <c r="AU727" s="74"/>
      <c r="AY727" s="74"/>
      <c r="BC727" s="74"/>
    </row>
    <row r="728" spans="2:55" s="123" customFormat="1">
      <c r="B728" s="125"/>
      <c r="D728" s="125"/>
      <c r="AA728" s="74"/>
      <c r="AD728" s="208"/>
      <c r="AE728" s="124"/>
      <c r="AI728" s="74"/>
      <c r="AM728" s="74"/>
      <c r="AQ728" s="74"/>
      <c r="AU728" s="74"/>
      <c r="AY728" s="74"/>
      <c r="BC728" s="74"/>
    </row>
    <row r="729" spans="2:55" s="123" customFormat="1">
      <c r="B729" s="125"/>
      <c r="D729" s="125"/>
      <c r="AA729" s="74"/>
      <c r="AD729" s="208"/>
      <c r="AE729" s="124"/>
      <c r="AI729" s="74"/>
      <c r="AM729" s="74"/>
      <c r="AQ729" s="74"/>
      <c r="AU729" s="74"/>
      <c r="AY729" s="74"/>
      <c r="BC729" s="74"/>
    </row>
    <row r="730" spans="2:55" s="123" customFormat="1">
      <c r="B730" s="125"/>
      <c r="D730" s="125"/>
      <c r="AA730" s="74"/>
      <c r="AD730" s="208"/>
      <c r="AE730" s="124"/>
      <c r="AI730" s="74"/>
      <c r="AM730" s="74"/>
      <c r="AQ730" s="74"/>
      <c r="AU730" s="74"/>
      <c r="AY730" s="74"/>
      <c r="BC730" s="74"/>
    </row>
    <row r="731" spans="2:55" s="123" customFormat="1">
      <c r="B731" s="125"/>
      <c r="D731" s="125"/>
      <c r="AA731" s="74"/>
      <c r="AD731" s="208"/>
      <c r="AE731" s="124"/>
      <c r="AI731" s="74"/>
      <c r="AM731" s="74"/>
      <c r="AQ731" s="74"/>
      <c r="AU731" s="74"/>
      <c r="AY731" s="74"/>
      <c r="BC731" s="74"/>
    </row>
    <row r="732" spans="2:55" s="123" customFormat="1">
      <c r="B732" s="125"/>
      <c r="D732" s="125"/>
      <c r="AA732" s="74"/>
      <c r="AD732" s="208"/>
      <c r="AE732" s="124"/>
      <c r="AI732" s="74"/>
      <c r="AM732" s="74"/>
      <c r="AQ732" s="74"/>
      <c r="AU732" s="74"/>
      <c r="AY732" s="74"/>
      <c r="BC732" s="74"/>
    </row>
    <row r="733" spans="2:55" s="123" customFormat="1">
      <c r="B733" s="125"/>
      <c r="D733" s="125"/>
      <c r="AA733" s="74"/>
      <c r="AD733" s="208"/>
      <c r="AE733" s="124"/>
      <c r="AI733" s="74"/>
      <c r="AM733" s="74"/>
      <c r="AQ733" s="74"/>
      <c r="AU733" s="74"/>
      <c r="AY733" s="74"/>
      <c r="BC733" s="74"/>
    </row>
    <row r="734" spans="2:55" s="123" customFormat="1">
      <c r="B734" s="125"/>
      <c r="D734" s="125"/>
      <c r="AA734" s="74"/>
      <c r="AD734" s="208"/>
      <c r="AE734" s="124"/>
      <c r="AI734" s="74"/>
      <c r="AM734" s="74"/>
      <c r="AQ734" s="74"/>
      <c r="AU734" s="74"/>
      <c r="AY734" s="74"/>
      <c r="BC734" s="74"/>
    </row>
    <row r="735" spans="2:55" s="123" customFormat="1">
      <c r="B735" s="125"/>
      <c r="D735" s="125"/>
      <c r="AA735" s="74"/>
      <c r="AD735" s="208"/>
      <c r="AE735" s="124"/>
      <c r="AI735" s="74"/>
      <c r="AM735" s="74"/>
      <c r="AQ735" s="74"/>
      <c r="AU735" s="74"/>
      <c r="AY735" s="74"/>
      <c r="BC735" s="74"/>
    </row>
    <row r="736" spans="2:55" s="123" customFormat="1">
      <c r="B736" s="125"/>
      <c r="D736" s="125"/>
      <c r="AA736" s="74"/>
      <c r="AD736" s="208"/>
      <c r="AE736" s="124"/>
      <c r="AI736" s="74"/>
      <c r="AM736" s="74"/>
      <c r="AQ736" s="74"/>
      <c r="AU736" s="74"/>
      <c r="AY736" s="74"/>
      <c r="BC736" s="74"/>
    </row>
    <row r="737" spans="2:55" s="123" customFormat="1">
      <c r="B737" s="125"/>
      <c r="D737" s="125"/>
      <c r="AA737" s="74"/>
      <c r="AD737" s="208"/>
      <c r="AE737" s="124"/>
      <c r="AI737" s="74"/>
      <c r="AM737" s="74"/>
      <c r="AQ737" s="74"/>
      <c r="AU737" s="74"/>
      <c r="AY737" s="74"/>
      <c r="BC737" s="74"/>
    </row>
    <row r="738" spans="2:55" s="123" customFormat="1">
      <c r="B738" s="125"/>
      <c r="D738" s="125"/>
      <c r="AA738" s="74"/>
      <c r="AD738" s="208"/>
      <c r="AE738" s="124"/>
      <c r="AI738" s="74"/>
      <c r="AM738" s="74"/>
      <c r="AQ738" s="74"/>
      <c r="AU738" s="74"/>
      <c r="AY738" s="74"/>
      <c r="BC738" s="74"/>
    </row>
    <row r="739" spans="2:55" s="123" customFormat="1">
      <c r="B739" s="125"/>
      <c r="D739" s="125"/>
      <c r="AA739" s="74"/>
      <c r="AD739" s="208"/>
      <c r="AE739" s="124"/>
      <c r="AI739" s="74"/>
      <c r="AM739" s="74"/>
      <c r="AQ739" s="74"/>
      <c r="AU739" s="74"/>
      <c r="AY739" s="74"/>
      <c r="BC739" s="74"/>
    </row>
    <row r="740" spans="2:55" s="123" customFormat="1">
      <c r="B740" s="125"/>
      <c r="D740" s="125"/>
      <c r="AA740" s="74"/>
      <c r="AD740" s="208"/>
      <c r="AE740" s="124"/>
      <c r="AI740" s="74"/>
      <c r="AM740" s="74"/>
      <c r="AQ740" s="74"/>
      <c r="AU740" s="74"/>
      <c r="AY740" s="74"/>
      <c r="BC740" s="74"/>
    </row>
    <row r="741" spans="2:55" s="123" customFormat="1">
      <c r="B741" s="125"/>
      <c r="D741" s="125"/>
      <c r="AA741" s="74"/>
      <c r="AD741" s="208"/>
      <c r="AE741" s="124"/>
      <c r="AI741" s="74"/>
      <c r="AM741" s="74"/>
      <c r="AQ741" s="74"/>
      <c r="AU741" s="74"/>
      <c r="AY741" s="74"/>
      <c r="BC741" s="74"/>
    </row>
    <row r="742" spans="2:55" s="123" customFormat="1">
      <c r="B742" s="125"/>
      <c r="D742" s="125"/>
      <c r="AA742" s="74"/>
      <c r="AD742" s="208"/>
      <c r="AE742" s="124"/>
      <c r="AI742" s="74"/>
      <c r="AM742" s="74"/>
      <c r="AQ742" s="74"/>
      <c r="AU742" s="74"/>
      <c r="AY742" s="74"/>
      <c r="BC742" s="74"/>
    </row>
    <row r="743" spans="2:55" s="123" customFormat="1">
      <c r="B743" s="125"/>
      <c r="D743" s="125"/>
      <c r="AA743" s="74"/>
      <c r="AD743" s="208"/>
      <c r="AE743" s="124"/>
      <c r="AI743" s="74"/>
      <c r="AM743" s="74"/>
      <c r="AQ743" s="74"/>
      <c r="AU743" s="74"/>
      <c r="AY743" s="74"/>
      <c r="BC743" s="74"/>
    </row>
    <row r="744" spans="2:55" s="123" customFormat="1">
      <c r="B744" s="125"/>
      <c r="D744" s="125"/>
      <c r="AA744" s="74"/>
      <c r="AD744" s="208"/>
      <c r="AE744" s="124"/>
      <c r="AI744" s="74"/>
      <c r="AM744" s="74"/>
      <c r="AQ744" s="74"/>
      <c r="AU744" s="74"/>
      <c r="AY744" s="74"/>
      <c r="BC744" s="74"/>
    </row>
    <row r="745" spans="2:55" s="123" customFormat="1">
      <c r="B745" s="125"/>
      <c r="D745" s="125"/>
      <c r="AA745" s="74"/>
      <c r="AD745" s="208"/>
      <c r="AE745" s="124"/>
      <c r="AI745" s="74"/>
      <c r="AM745" s="74"/>
      <c r="AQ745" s="74"/>
      <c r="AU745" s="74"/>
      <c r="AY745" s="74"/>
      <c r="BC745" s="74"/>
    </row>
    <row r="746" spans="2:55" s="123" customFormat="1">
      <c r="B746" s="125"/>
      <c r="D746" s="125"/>
      <c r="AA746" s="74"/>
      <c r="AD746" s="208"/>
      <c r="AE746" s="124"/>
      <c r="AI746" s="74"/>
      <c r="AM746" s="74"/>
      <c r="AQ746" s="74"/>
      <c r="AU746" s="74"/>
      <c r="AY746" s="74"/>
      <c r="BC746" s="74"/>
    </row>
    <row r="747" spans="2:55" s="123" customFormat="1">
      <c r="B747" s="125"/>
      <c r="D747" s="125"/>
      <c r="AA747" s="74"/>
      <c r="AD747" s="208"/>
      <c r="AE747" s="124"/>
      <c r="AI747" s="74"/>
      <c r="AM747" s="74"/>
      <c r="AQ747" s="74"/>
      <c r="AU747" s="74"/>
      <c r="AY747" s="74"/>
      <c r="BC747" s="74"/>
    </row>
    <row r="748" spans="2:55" s="123" customFormat="1">
      <c r="B748" s="125"/>
      <c r="D748" s="125"/>
      <c r="AA748" s="74"/>
      <c r="AD748" s="208"/>
      <c r="AE748" s="124"/>
      <c r="AI748" s="74"/>
      <c r="AM748" s="74"/>
      <c r="AQ748" s="74"/>
      <c r="AU748" s="74"/>
      <c r="AY748" s="74"/>
      <c r="BC748" s="74"/>
    </row>
    <row r="749" spans="2:55" s="123" customFormat="1">
      <c r="B749" s="125"/>
      <c r="D749" s="125"/>
      <c r="AA749" s="74"/>
      <c r="AD749" s="208"/>
      <c r="AE749" s="124"/>
      <c r="AI749" s="74"/>
      <c r="AM749" s="74"/>
      <c r="AQ749" s="74"/>
      <c r="AU749" s="74"/>
      <c r="AY749" s="74"/>
      <c r="BC749" s="74"/>
    </row>
    <row r="750" spans="2:55" s="123" customFormat="1">
      <c r="B750" s="125"/>
      <c r="D750" s="125"/>
      <c r="AA750" s="74"/>
      <c r="AD750" s="208"/>
      <c r="AE750" s="124"/>
      <c r="AI750" s="74"/>
      <c r="AM750" s="74"/>
      <c r="AQ750" s="74"/>
      <c r="AU750" s="74"/>
      <c r="AY750" s="74"/>
      <c r="BC750" s="74"/>
    </row>
    <row r="751" spans="2:55" s="123" customFormat="1">
      <c r="B751" s="125"/>
      <c r="D751" s="125"/>
      <c r="AA751" s="74"/>
      <c r="AD751" s="208"/>
      <c r="AE751" s="124"/>
      <c r="AI751" s="74"/>
      <c r="AM751" s="74"/>
      <c r="AQ751" s="74"/>
      <c r="AU751" s="74"/>
      <c r="AY751" s="74"/>
      <c r="BC751" s="74"/>
    </row>
    <row r="752" spans="2:55" s="123" customFormat="1">
      <c r="B752" s="125"/>
      <c r="D752" s="125"/>
      <c r="AA752" s="74"/>
      <c r="AD752" s="208"/>
      <c r="AE752" s="124"/>
      <c r="AI752" s="74"/>
      <c r="AM752" s="74"/>
      <c r="AQ752" s="74"/>
      <c r="AU752" s="74"/>
      <c r="AY752" s="74"/>
      <c r="BC752" s="74"/>
    </row>
    <row r="753" spans="2:55" s="123" customFormat="1">
      <c r="B753" s="125"/>
      <c r="D753" s="125"/>
      <c r="AA753" s="74"/>
      <c r="AD753" s="208"/>
      <c r="AE753" s="124"/>
      <c r="AI753" s="74"/>
      <c r="AM753" s="74"/>
      <c r="AQ753" s="74"/>
      <c r="AU753" s="74"/>
      <c r="AY753" s="74"/>
      <c r="BC753" s="74"/>
    </row>
    <row r="754" spans="2:55" s="123" customFormat="1">
      <c r="B754" s="125"/>
      <c r="D754" s="125"/>
      <c r="AA754" s="74"/>
      <c r="AD754" s="208"/>
      <c r="AE754" s="124"/>
      <c r="AI754" s="74"/>
      <c r="AM754" s="74"/>
      <c r="AQ754" s="74"/>
      <c r="AU754" s="74"/>
      <c r="AY754" s="74"/>
      <c r="BC754" s="74"/>
    </row>
    <row r="755" spans="2:55" s="123" customFormat="1">
      <c r="B755" s="125"/>
      <c r="D755" s="125"/>
      <c r="AA755" s="74"/>
      <c r="AD755" s="208"/>
      <c r="AE755" s="124"/>
      <c r="AI755" s="74"/>
      <c r="AM755" s="74"/>
      <c r="AQ755" s="74"/>
      <c r="AU755" s="74"/>
      <c r="AY755" s="74"/>
      <c r="BC755" s="74"/>
    </row>
    <row r="756" spans="2:55" s="123" customFormat="1">
      <c r="B756" s="125"/>
      <c r="D756" s="125"/>
      <c r="AA756" s="74"/>
      <c r="AD756" s="208"/>
      <c r="AE756" s="124"/>
      <c r="AI756" s="74"/>
      <c r="AM756" s="74"/>
      <c r="AQ756" s="74"/>
      <c r="AU756" s="74"/>
      <c r="AY756" s="74"/>
      <c r="BC756" s="74"/>
    </row>
    <row r="757" spans="2:55" s="123" customFormat="1">
      <c r="B757" s="125"/>
      <c r="D757" s="125"/>
      <c r="AA757" s="74"/>
      <c r="AD757" s="208"/>
      <c r="AE757" s="124"/>
      <c r="AI757" s="74"/>
      <c r="AM757" s="74"/>
      <c r="AQ757" s="74"/>
      <c r="AU757" s="74"/>
      <c r="AY757" s="74"/>
      <c r="BC757" s="74"/>
    </row>
    <row r="758" spans="2:55" s="123" customFormat="1">
      <c r="B758" s="125"/>
      <c r="D758" s="125"/>
      <c r="AA758" s="74"/>
      <c r="AD758" s="208"/>
      <c r="AE758" s="124"/>
      <c r="AI758" s="74"/>
      <c r="AM758" s="74"/>
      <c r="AQ758" s="74"/>
      <c r="AU758" s="74"/>
      <c r="AY758" s="74"/>
      <c r="BC758" s="74"/>
    </row>
    <row r="759" spans="2:55" s="123" customFormat="1">
      <c r="B759" s="125"/>
      <c r="D759" s="125"/>
      <c r="AA759" s="74"/>
      <c r="AD759" s="208"/>
      <c r="AE759" s="124"/>
      <c r="AI759" s="74"/>
      <c r="AM759" s="74"/>
      <c r="AQ759" s="74"/>
      <c r="AU759" s="74"/>
      <c r="AY759" s="74"/>
      <c r="BC759" s="74"/>
    </row>
    <row r="760" spans="2:55" s="123" customFormat="1">
      <c r="B760" s="125"/>
      <c r="D760" s="125"/>
      <c r="AA760" s="74"/>
      <c r="AD760" s="208"/>
      <c r="AE760" s="124"/>
      <c r="AI760" s="74"/>
      <c r="AM760" s="74"/>
      <c r="AQ760" s="74"/>
      <c r="AU760" s="74"/>
      <c r="AY760" s="74"/>
      <c r="BC760" s="74"/>
    </row>
    <row r="761" spans="2:55" s="123" customFormat="1">
      <c r="B761" s="125"/>
      <c r="D761" s="125"/>
      <c r="AA761" s="74"/>
      <c r="AD761" s="208"/>
      <c r="AE761" s="124"/>
      <c r="AI761" s="74"/>
      <c r="AM761" s="74"/>
      <c r="AQ761" s="74"/>
      <c r="AU761" s="74"/>
      <c r="AY761" s="74"/>
      <c r="BC761" s="74"/>
    </row>
    <row r="762" spans="2:55" s="123" customFormat="1">
      <c r="B762" s="125"/>
      <c r="D762" s="125"/>
      <c r="AA762" s="74"/>
      <c r="AD762" s="208"/>
      <c r="AE762" s="124"/>
      <c r="AI762" s="74"/>
      <c r="AM762" s="74"/>
      <c r="AQ762" s="74"/>
      <c r="AU762" s="74"/>
      <c r="AY762" s="74"/>
      <c r="BC762" s="74"/>
    </row>
    <row r="763" spans="2:55" s="123" customFormat="1">
      <c r="B763" s="125"/>
      <c r="D763" s="125"/>
      <c r="AA763" s="74"/>
      <c r="AD763" s="208"/>
      <c r="AE763" s="124"/>
      <c r="AI763" s="74"/>
      <c r="AM763" s="74"/>
      <c r="AQ763" s="74"/>
      <c r="AU763" s="74"/>
      <c r="AY763" s="74"/>
      <c r="BC763" s="74"/>
    </row>
    <row r="764" spans="2:55" s="123" customFormat="1">
      <c r="B764" s="125"/>
      <c r="D764" s="125"/>
      <c r="AA764" s="74"/>
      <c r="AD764" s="208"/>
      <c r="AE764" s="124"/>
      <c r="AI764" s="74"/>
      <c r="AM764" s="74"/>
      <c r="AQ764" s="74"/>
      <c r="AU764" s="74"/>
      <c r="AY764" s="74"/>
      <c r="BC764" s="74"/>
    </row>
    <row r="765" spans="2:55" s="123" customFormat="1">
      <c r="B765" s="125"/>
      <c r="D765" s="125"/>
      <c r="AA765" s="74"/>
      <c r="AD765" s="208"/>
      <c r="AE765" s="124"/>
      <c r="AI765" s="74"/>
      <c r="AM765" s="74"/>
      <c r="AQ765" s="74"/>
      <c r="AU765" s="74"/>
      <c r="AY765" s="74"/>
      <c r="BC765" s="74"/>
    </row>
    <row r="766" spans="2:55" s="123" customFormat="1">
      <c r="B766" s="125"/>
      <c r="D766" s="125"/>
      <c r="AA766" s="74"/>
      <c r="AD766" s="208"/>
      <c r="AE766" s="124"/>
      <c r="AI766" s="74"/>
      <c r="AM766" s="74"/>
      <c r="AQ766" s="74"/>
      <c r="AU766" s="74"/>
      <c r="AY766" s="74"/>
      <c r="BC766" s="74"/>
    </row>
    <row r="767" spans="2:55" s="123" customFormat="1">
      <c r="B767" s="125"/>
      <c r="D767" s="125"/>
      <c r="AA767" s="74"/>
      <c r="AD767" s="208"/>
      <c r="AE767" s="124"/>
      <c r="AI767" s="74"/>
      <c r="AM767" s="74"/>
      <c r="AQ767" s="74"/>
      <c r="AU767" s="74"/>
      <c r="AY767" s="74"/>
      <c r="BC767" s="74"/>
    </row>
    <row r="768" spans="2:55" s="123" customFormat="1">
      <c r="B768" s="125"/>
      <c r="D768" s="125"/>
      <c r="AA768" s="74"/>
      <c r="AD768" s="208"/>
      <c r="AE768" s="124"/>
      <c r="AI768" s="74"/>
      <c r="AM768" s="74"/>
      <c r="AQ768" s="74"/>
      <c r="AU768" s="74"/>
      <c r="AY768" s="74"/>
      <c r="BC768" s="74"/>
    </row>
    <row r="769" spans="2:55" s="123" customFormat="1">
      <c r="B769" s="125"/>
      <c r="D769" s="125"/>
      <c r="AA769" s="74"/>
      <c r="AD769" s="208"/>
      <c r="AE769" s="124"/>
      <c r="AI769" s="74"/>
      <c r="AM769" s="74"/>
      <c r="AQ769" s="74"/>
      <c r="AU769" s="74"/>
      <c r="AY769" s="74"/>
      <c r="BC769" s="74"/>
    </row>
    <row r="770" spans="2:55" s="123" customFormat="1">
      <c r="B770" s="125"/>
      <c r="D770" s="125"/>
      <c r="AA770" s="74"/>
      <c r="AD770" s="208"/>
      <c r="AE770" s="124"/>
      <c r="AI770" s="74"/>
      <c r="AM770" s="74"/>
      <c r="AQ770" s="74"/>
      <c r="AU770" s="74"/>
      <c r="AY770" s="74"/>
      <c r="BC770" s="74"/>
    </row>
    <row r="771" spans="2:55" s="123" customFormat="1">
      <c r="B771" s="125"/>
      <c r="D771" s="125"/>
      <c r="AA771" s="74"/>
      <c r="AD771" s="208"/>
      <c r="AE771" s="124"/>
      <c r="AI771" s="74"/>
      <c r="AM771" s="74"/>
      <c r="AQ771" s="74"/>
      <c r="AU771" s="74"/>
      <c r="AY771" s="74"/>
      <c r="BC771" s="74"/>
    </row>
    <row r="772" spans="2:55" s="123" customFormat="1">
      <c r="B772" s="125"/>
      <c r="D772" s="125"/>
      <c r="AA772" s="74"/>
      <c r="AD772" s="208"/>
      <c r="AE772" s="124"/>
      <c r="AI772" s="74"/>
      <c r="AM772" s="74"/>
      <c r="AQ772" s="74"/>
      <c r="AU772" s="74"/>
      <c r="AY772" s="74"/>
      <c r="BC772" s="74"/>
    </row>
    <row r="773" spans="2:55" s="123" customFormat="1">
      <c r="B773" s="125"/>
      <c r="D773" s="125"/>
      <c r="AA773" s="74"/>
      <c r="AD773" s="208"/>
      <c r="AE773" s="124"/>
      <c r="AI773" s="74"/>
      <c r="AM773" s="74"/>
      <c r="AQ773" s="74"/>
      <c r="AU773" s="74"/>
      <c r="AY773" s="74"/>
      <c r="BC773" s="74"/>
    </row>
    <row r="774" spans="2:55" s="123" customFormat="1">
      <c r="B774" s="125"/>
      <c r="D774" s="125"/>
      <c r="AA774" s="74"/>
      <c r="AD774" s="208"/>
      <c r="AE774" s="124"/>
      <c r="AI774" s="74"/>
      <c r="AM774" s="74"/>
      <c r="AQ774" s="74"/>
      <c r="AU774" s="74"/>
      <c r="AY774" s="74"/>
      <c r="BC774" s="74"/>
    </row>
    <row r="775" spans="2:55" s="123" customFormat="1">
      <c r="B775" s="125"/>
      <c r="D775" s="125"/>
      <c r="AA775" s="74"/>
      <c r="AD775" s="208"/>
      <c r="AE775" s="124"/>
      <c r="AI775" s="74"/>
      <c r="AM775" s="74"/>
      <c r="AQ775" s="74"/>
      <c r="AU775" s="74"/>
      <c r="AY775" s="74"/>
      <c r="BC775" s="74"/>
    </row>
    <row r="776" spans="2:55" s="123" customFormat="1">
      <c r="B776" s="125"/>
      <c r="D776" s="125"/>
      <c r="AA776" s="74"/>
      <c r="AD776" s="208"/>
      <c r="AE776" s="124"/>
      <c r="AI776" s="74"/>
      <c r="AM776" s="74"/>
      <c r="AQ776" s="74"/>
      <c r="AU776" s="74"/>
      <c r="AY776" s="74"/>
      <c r="BC776" s="74"/>
    </row>
    <row r="777" spans="2:55" s="123" customFormat="1">
      <c r="B777" s="125"/>
      <c r="D777" s="125"/>
      <c r="AA777" s="74"/>
      <c r="AD777" s="208"/>
      <c r="AE777" s="124"/>
      <c r="AI777" s="74"/>
      <c r="AM777" s="74"/>
      <c r="AQ777" s="74"/>
      <c r="AU777" s="74"/>
      <c r="AY777" s="74"/>
      <c r="BC777" s="74"/>
    </row>
    <row r="778" spans="2:55" s="123" customFormat="1">
      <c r="B778" s="125"/>
      <c r="D778" s="125"/>
      <c r="AA778" s="74"/>
      <c r="AD778" s="208"/>
      <c r="AE778" s="124"/>
      <c r="AI778" s="74"/>
      <c r="AM778" s="74"/>
      <c r="AQ778" s="74"/>
      <c r="AU778" s="74"/>
      <c r="AY778" s="74"/>
      <c r="BC778" s="74"/>
    </row>
    <row r="779" spans="2:55" s="123" customFormat="1">
      <c r="B779" s="125"/>
      <c r="D779" s="125"/>
      <c r="AA779" s="74"/>
      <c r="AD779" s="208"/>
      <c r="AE779" s="124"/>
      <c r="AI779" s="74"/>
      <c r="AM779" s="74"/>
      <c r="AQ779" s="74"/>
      <c r="AU779" s="74"/>
      <c r="AY779" s="74"/>
      <c r="BC779" s="74"/>
    </row>
    <row r="780" spans="2:55" s="123" customFormat="1">
      <c r="B780" s="125"/>
      <c r="D780" s="125"/>
      <c r="AA780" s="74"/>
      <c r="AD780" s="208"/>
      <c r="AE780" s="124"/>
      <c r="AI780" s="74"/>
      <c r="AM780" s="74"/>
      <c r="AQ780" s="74"/>
      <c r="AU780" s="74"/>
      <c r="AY780" s="74"/>
      <c r="BC780" s="74"/>
    </row>
    <row r="781" spans="2:55" s="123" customFormat="1">
      <c r="B781" s="125"/>
      <c r="D781" s="125"/>
      <c r="AA781" s="74"/>
      <c r="AD781" s="208"/>
      <c r="AE781" s="124"/>
      <c r="AI781" s="74"/>
      <c r="AM781" s="74"/>
      <c r="AQ781" s="74"/>
      <c r="AU781" s="74"/>
      <c r="AY781" s="74"/>
      <c r="BC781" s="74"/>
    </row>
    <row r="782" spans="2:55" s="123" customFormat="1">
      <c r="B782" s="125"/>
      <c r="D782" s="125"/>
      <c r="AA782" s="74"/>
      <c r="AD782" s="208"/>
      <c r="AE782" s="124"/>
      <c r="AI782" s="74"/>
      <c r="AM782" s="74"/>
      <c r="AQ782" s="74"/>
      <c r="AU782" s="74"/>
      <c r="AY782" s="74"/>
      <c r="BC782" s="74"/>
    </row>
    <row r="783" spans="2:55" s="123" customFormat="1">
      <c r="B783" s="125"/>
      <c r="D783" s="125"/>
      <c r="AA783" s="74"/>
      <c r="AD783" s="208"/>
      <c r="AE783" s="124"/>
      <c r="AI783" s="74"/>
      <c r="AM783" s="74"/>
      <c r="AQ783" s="74"/>
      <c r="AU783" s="74"/>
      <c r="AY783" s="74"/>
      <c r="BC783" s="74"/>
    </row>
    <row r="784" spans="2:55" s="123" customFormat="1">
      <c r="B784" s="125"/>
      <c r="D784" s="125"/>
      <c r="AA784" s="74"/>
      <c r="AD784" s="208"/>
      <c r="AE784" s="124"/>
      <c r="AI784" s="74"/>
      <c r="AM784" s="74"/>
      <c r="AQ784" s="74"/>
      <c r="AU784" s="74"/>
      <c r="AY784" s="74"/>
      <c r="BC784" s="74"/>
    </row>
    <row r="785" spans="2:55" s="123" customFormat="1">
      <c r="B785" s="125"/>
      <c r="D785" s="125"/>
      <c r="AA785" s="74"/>
      <c r="AD785" s="208"/>
      <c r="AE785" s="124"/>
      <c r="AI785" s="74"/>
      <c r="AM785" s="74"/>
      <c r="AQ785" s="74"/>
      <c r="AU785" s="74"/>
      <c r="AY785" s="74"/>
      <c r="BC785" s="74"/>
    </row>
    <row r="786" spans="2:55" s="123" customFormat="1">
      <c r="B786" s="125"/>
      <c r="D786" s="125"/>
      <c r="AA786" s="74"/>
      <c r="AD786" s="208"/>
      <c r="AE786" s="124"/>
      <c r="AI786" s="74"/>
      <c r="AM786" s="74"/>
      <c r="AQ786" s="74"/>
      <c r="AU786" s="74"/>
      <c r="AY786" s="74"/>
      <c r="BC786" s="74"/>
    </row>
    <row r="787" spans="2:55" s="123" customFormat="1">
      <c r="B787" s="125"/>
      <c r="D787" s="125"/>
      <c r="AA787" s="74"/>
      <c r="AD787" s="208"/>
      <c r="AE787" s="124"/>
      <c r="AI787" s="74"/>
      <c r="AM787" s="74"/>
      <c r="AQ787" s="74"/>
      <c r="AU787" s="74"/>
      <c r="AY787" s="74"/>
      <c r="BC787" s="74"/>
    </row>
    <row r="788" spans="2:55" s="123" customFormat="1">
      <c r="B788" s="125"/>
      <c r="D788" s="125"/>
      <c r="AA788" s="74"/>
      <c r="AD788" s="208"/>
      <c r="AE788" s="124"/>
      <c r="AI788" s="74"/>
      <c r="AM788" s="74"/>
      <c r="AQ788" s="74"/>
      <c r="AU788" s="74"/>
      <c r="AY788" s="74"/>
      <c r="BC788" s="74"/>
    </row>
    <row r="789" spans="2:55" s="123" customFormat="1">
      <c r="B789" s="125"/>
      <c r="D789" s="125"/>
      <c r="AA789" s="74"/>
      <c r="AD789" s="208"/>
      <c r="AE789" s="124"/>
      <c r="AI789" s="74"/>
      <c r="AM789" s="74"/>
      <c r="AQ789" s="74"/>
      <c r="AU789" s="74"/>
      <c r="AY789" s="74"/>
      <c r="BC789" s="74"/>
    </row>
    <row r="790" spans="2:55" s="123" customFormat="1">
      <c r="B790" s="125"/>
      <c r="D790" s="125"/>
      <c r="AA790" s="74"/>
      <c r="AD790" s="208"/>
      <c r="AE790" s="124"/>
      <c r="AI790" s="74"/>
      <c r="AM790" s="74"/>
      <c r="AQ790" s="74"/>
      <c r="AU790" s="74"/>
      <c r="AY790" s="74"/>
      <c r="BC790" s="74"/>
    </row>
    <row r="791" spans="2:55" s="123" customFormat="1">
      <c r="B791" s="125"/>
      <c r="D791" s="125"/>
      <c r="AA791" s="74"/>
      <c r="AD791" s="208"/>
      <c r="AE791" s="124"/>
      <c r="AI791" s="74"/>
      <c r="AM791" s="74"/>
      <c r="AQ791" s="74"/>
      <c r="AU791" s="74"/>
      <c r="AY791" s="74"/>
      <c r="BC791" s="74"/>
    </row>
    <row r="792" spans="2:55" s="123" customFormat="1">
      <c r="B792" s="125"/>
      <c r="D792" s="125"/>
      <c r="AA792" s="74"/>
      <c r="AD792" s="208"/>
      <c r="AE792" s="124"/>
      <c r="AI792" s="74"/>
      <c r="AM792" s="74"/>
      <c r="AQ792" s="74"/>
      <c r="AU792" s="74"/>
      <c r="AY792" s="74"/>
      <c r="BC792" s="74"/>
    </row>
    <row r="793" spans="2:55" s="123" customFormat="1">
      <c r="B793" s="125"/>
      <c r="D793" s="125"/>
      <c r="AA793" s="74"/>
      <c r="AD793" s="208"/>
      <c r="AE793" s="124"/>
      <c r="AI793" s="74"/>
      <c r="AM793" s="74"/>
      <c r="AQ793" s="74"/>
      <c r="AU793" s="74"/>
      <c r="AY793" s="74"/>
      <c r="BC793" s="74"/>
    </row>
    <row r="794" spans="2:55" s="123" customFormat="1">
      <c r="B794" s="125"/>
      <c r="D794" s="125"/>
      <c r="AA794" s="74"/>
      <c r="AD794" s="208"/>
      <c r="AE794" s="124"/>
      <c r="AI794" s="74"/>
      <c r="AM794" s="74"/>
      <c r="AQ794" s="74"/>
      <c r="AU794" s="74"/>
      <c r="AY794" s="74"/>
      <c r="BC794" s="74"/>
    </row>
    <row r="795" spans="2:55" s="123" customFormat="1">
      <c r="B795" s="125"/>
      <c r="D795" s="125"/>
      <c r="AA795" s="74"/>
      <c r="AD795" s="208"/>
      <c r="AE795" s="124"/>
      <c r="AI795" s="74"/>
      <c r="AM795" s="74"/>
      <c r="AQ795" s="74"/>
      <c r="AU795" s="74"/>
      <c r="AY795" s="74"/>
      <c r="BC795" s="74"/>
    </row>
    <row r="796" spans="2:55" s="123" customFormat="1">
      <c r="B796" s="125"/>
      <c r="D796" s="125"/>
      <c r="AA796" s="74"/>
      <c r="AD796" s="208"/>
      <c r="AE796" s="124"/>
      <c r="AI796" s="74"/>
      <c r="AM796" s="74"/>
      <c r="AQ796" s="74"/>
      <c r="AU796" s="74"/>
      <c r="AY796" s="74"/>
      <c r="BC796" s="74"/>
    </row>
    <row r="797" spans="2:55" s="123" customFormat="1">
      <c r="B797" s="125"/>
      <c r="D797" s="125"/>
      <c r="AA797" s="74"/>
      <c r="AD797" s="208"/>
      <c r="AE797" s="124"/>
      <c r="AI797" s="74"/>
      <c r="AM797" s="74"/>
      <c r="AQ797" s="74"/>
      <c r="AU797" s="74"/>
      <c r="AY797" s="74"/>
      <c r="BC797" s="74"/>
    </row>
    <row r="798" spans="2:55" s="123" customFormat="1">
      <c r="B798" s="125"/>
      <c r="D798" s="125"/>
      <c r="AA798" s="74"/>
      <c r="AD798" s="208"/>
      <c r="AE798" s="124"/>
      <c r="AI798" s="74"/>
      <c r="AM798" s="74"/>
      <c r="AQ798" s="74"/>
      <c r="AU798" s="74"/>
      <c r="AY798" s="74"/>
      <c r="BC798" s="74"/>
    </row>
    <row r="799" spans="2:55" s="123" customFormat="1">
      <c r="B799" s="125"/>
      <c r="D799" s="125"/>
      <c r="AA799" s="74"/>
      <c r="AD799" s="208"/>
      <c r="AE799" s="124"/>
      <c r="AI799" s="74"/>
      <c r="AM799" s="74"/>
      <c r="AQ799" s="74"/>
      <c r="AU799" s="74"/>
      <c r="AY799" s="74"/>
      <c r="BC799" s="74"/>
    </row>
    <row r="800" spans="2:55" s="123" customFormat="1">
      <c r="B800" s="125"/>
      <c r="D800" s="125"/>
      <c r="AA800" s="74"/>
      <c r="AD800" s="208"/>
      <c r="AE800" s="124"/>
      <c r="AI800" s="74"/>
      <c r="AM800" s="74"/>
      <c r="AQ800" s="74"/>
      <c r="AU800" s="74"/>
      <c r="AY800" s="74"/>
      <c r="BC800" s="74"/>
    </row>
    <row r="801" spans="2:55" s="123" customFormat="1">
      <c r="B801" s="125"/>
      <c r="D801" s="125"/>
      <c r="AA801" s="74"/>
      <c r="AD801" s="208"/>
      <c r="AE801" s="124"/>
      <c r="AI801" s="74"/>
      <c r="AM801" s="74"/>
      <c r="AQ801" s="74"/>
      <c r="AU801" s="74"/>
      <c r="AY801" s="74"/>
      <c r="BC801" s="74"/>
    </row>
    <row r="802" spans="2:55" s="123" customFormat="1">
      <c r="B802" s="125"/>
      <c r="D802" s="125"/>
      <c r="AA802" s="74"/>
      <c r="AD802" s="208"/>
      <c r="AE802" s="124"/>
      <c r="AI802" s="74"/>
      <c r="AM802" s="74"/>
      <c r="AQ802" s="74"/>
      <c r="AU802" s="74"/>
      <c r="AY802" s="74"/>
      <c r="BC802" s="74"/>
    </row>
    <row r="803" spans="2:55" s="123" customFormat="1">
      <c r="B803" s="125"/>
      <c r="D803" s="125"/>
      <c r="AA803" s="74"/>
      <c r="AD803" s="208"/>
      <c r="AE803" s="124"/>
      <c r="AI803" s="74"/>
      <c r="AM803" s="74"/>
      <c r="AQ803" s="74"/>
      <c r="AU803" s="74"/>
      <c r="AY803" s="74"/>
      <c r="BC803" s="74"/>
    </row>
    <row r="804" spans="2:55" s="123" customFormat="1">
      <c r="B804" s="125"/>
      <c r="D804" s="125"/>
      <c r="AA804" s="74"/>
      <c r="AD804" s="208"/>
      <c r="AE804" s="124"/>
      <c r="AI804" s="74"/>
      <c r="AM804" s="74"/>
      <c r="AQ804" s="74"/>
      <c r="AU804" s="74"/>
      <c r="AY804" s="74"/>
      <c r="BC804" s="74"/>
    </row>
    <row r="805" spans="2:55" s="123" customFormat="1">
      <c r="B805" s="125"/>
      <c r="D805" s="125"/>
      <c r="AA805" s="74"/>
      <c r="AD805" s="208"/>
      <c r="AE805" s="124"/>
      <c r="AI805" s="74"/>
      <c r="AM805" s="74"/>
      <c r="AQ805" s="74"/>
      <c r="AU805" s="74"/>
      <c r="AY805" s="74"/>
      <c r="BC805" s="74"/>
    </row>
    <row r="806" spans="2:55" s="123" customFormat="1">
      <c r="B806" s="125"/>
      <c r="D806" s="125"/>
      <c r="AA806" s="74"/>
      <c r="AD806" s="208"/>
      <c r="AE806" s="124"/>
      <c r="AI806" s="74"/>
      <c r="AM806" s="74"/>
      <c r="AQ806" s="74"/>
      <c r="AU806" s="74"/>
      <c r="AY806" s="74"/>
      <c r="BC806" s="74"/>
    </row>
    <row r="807" spans="2:55" s="123" customFormat="1">
      <c r="B807" s="125"/>
      <c r="D807" s="125"/>
      <c r="AA807" s="74"/>
      <c r="AD807" s="208"/>
      <c r="AE807" s="124"/>
      <c r="AI807" s="74"/>
      <c r="AM807" s="74"/>
      <c r="AQ807" s="74"/>
      <c r="AU807" s="74"/>
      <c r="AY807" s="74"/>
      <c r="BC807" s="74"/>
    </row>
    <row r="808" spans="2:55" s="123" customFormat="1">
      <c r="B808" s="125"/>
      <c r="D808" s="125"/>
      <c r="AA808" s="74"/>
      <c r="AD808" s="208"/>
      <c r="AE808" s="124"/>
      <c r="AI808" s="74"/>
      <c r="AM808" s="74"/>
      <c r="AQ808" s="74"/>
      <c r="AU808" s="74"/>
      <c r="AY808" s="74"/>
      <c r="BC808" s="74"/>
    </row>
    <row r="809" spans="2:55" s="123" customFormat="1">
      <c r="B809" s="125"/>
      <c r="D809" s="125"/>
      <c r="AA809" s="74"/>
      <c r="AD809" s="208"/>
      <c r="AE809" s="124"/>
      <c r="AI809" s="74"/>
      <c r="AM809" s="74"/>
      <c r="AQ809" s="74"/>
      <c r="AU809" s="74"/>
      <c r="AY809" s="74"/>
      <c r="BC809" s="74"/>
    </row>
    <row r="810" spans="2:55" s="123" customFormat="1">
      <c r="B810" s="125"/>
      <c r="D810" s="125"/>
      <c r="AA810" s="74"/>
      <c r="AD810" s="208"/>
      <c r="AE810" s="124"/>
      <c r="AI810" s="74"/>
      <c r="AM810" s="74"/>
      <c r="AQ810" s="74"/>
      <c r="AU810" s="74"/>
      <c r="AY810" s="74"/>
      <c r="BC810" s="74"/>
    </row>
    <row r="811" spans="2:55" s="123" customFormat="1">
      <c r="B811" s="125"/>
      <c r="D811" s="125"/>
      <c r="AA811" s="74"/>
      <c r="AD811" s="208"/>
      <c r="AE811" s="124"/>
      <c r="AI811" s="74"/>
      <c r="AM811" s="74"/>
      <c r="AQ811" s="74"/>
      <c r="AU811" s="74"/>
      <c r="AY811" s="74"/>
      <c r="BC811" s="74"/>
    </row>
    <row r="812" spans="2:55" s="123" customFormat="1">
      <c r="B812" s="125"/>
      <c r="D812" s="125"/>
      <c r="AA812" s="74"/>
      <c r="AD812" s="208"/>
      <c r="AE812" s="124"/>
      <c r="AI812" s="74"/>
      <c r="AM812" s="74"/>
      <c r="AQ812" s="74"/>
      <c r="AU812" s="74"/>
      <c r="AY812" s="74"/>
      <c r="BC812" s="74"/>
    </row>
    <row r="813" spans="2:55" s="123" customFormat="1">
      <c r="B813" s="125"/>
      <c r="D813" s="125"/>
      <c r="AA813" s="74"/>
      <c r="AD813" s="208"/>
      <c r="AE813" s="124"/>
      <c r="AI813" s="74"/>
      <c r="AM813" s="74"/>
      <c r="AQ813" s="74"/>
      <c r="AU813" s="74"/>
      <c r="AY813" s="74"/>
      <c r="BC813" s="74"/>
    </row>
    <row r="814" spans="2:55" s="123" customFormat="1">
      <c r="B814" s="125"/>
      <c r="D814" s="125"/>
      <c r="AA814" s="74"/>
      <c r="AD814" s="208"/>
      <c r="AE814" s="124"/>
      <c r="AI814" s="74"/>
      <c r="AM814" s="74"/>
      <c r="AQ814" s="74"/>
      <c r="AU814" s="74"/>
      <c r="AY814" s="74"/>
      <c r="BC814" s="74"/>
    </row>
    <row r="815" spans="2:55" s="123" customFormat="1">
      <c r="B815" s="125"/>
      <c r="D815" s="125"/>
      <c r="AA815" s="74"/>
      <c r="AD815" s="208"/>
      <c r="AE815" s="124"/>
      <c r="AI815" s="74"/>
      <c r="AM815" s="74"/>
      <c r="AQ815" s="74"/>
      <c r="AU815" s="74"/>
      <c r="AY815" s="74"/>
      <c r="BC815" s="74"/>
    </row>
    <row r="816" spans="2:55" s="123" customFormat="1">
      <c r="B816" s="125"/>
      <c r="D816" s="125"/>
      <c r="AA816" s="74"/>
      <c r="AD816" s="208"/>
      <c r="AE816" s="124"/>
      <c r="AI816" s="74"/>
      <c r="AM816" s="74"/>
      <c r="AQ816" s="74"/>
      <c r="AU816" s="74"/>
      <c r="AY816" s="74"/>
      <c r="BC816" s="74"/>
    </row>
    <row r="817" spans="2:55" s="123" customFormat="1">
      <c r="B817" s="125"/>
      <c r="D817" s="125"/>
      <c r="AA817" s="74"/>
      <c r="AD817" s="208"/>
      <c r="AE817" s="124"/>
      <c r="AI817" s="74"/>
      <c r="AM817" s="74"/>
      <c r="AQ817" s="74"/>
      <c r="AU817" s="74"/>
      <c r="AY817" s="74"/>
      <c r="BC817" s="74"/>
    </row>
    <row r="818" spans="2:55" s="123" customFormat="1">
      <c r="B818" s="125"/>
      <c r="D818" s="125"/>
      <c r="AA818" s="74"/>
      <c r="AD818" s="208"/>
      <c r="AE818" s="124"/>
      <c r="AI818" s="74"/>
      <c r="AM818" s="74"/>
      <c r="AQ818" s="74"/>
      <c r="AU818" s="74"/>
      <c r="AY818" s="74"/>
      <c r="BC818" s="74"/>
    </row>
    <row r="819" spans="2:55" s="123" customFormat="1">
      <c r="B819" s="125"/>
      <c r="D819" s="125"/>
      <c r="AA819" s="74"/>
      <c r="AD819" s="208"/>
      <c r="AE819" s="124"/>
      <c r="AI819" s="74"/>
      <c r="AM819" s="74"/>
      <c r="AQ819" s="74"/>
      <c r="AU819" s="74"/>
      <c r="AY819" s="74"/>
      <c r="BC819" s="74"/>
    </row>
    <row r="820" spans="2:55" s="123" customFormat="1">
      <c r="B820" s="125"/>
      <c r="D820" s="125"/>
      <c r="AA820" s="74"/>
      <c r="AD820" s="208"/>
      <c r="AE820" s="124"/>
      <c r="AI820" s="74"/>
      <c r="AM820" s="74"/>
      <c r="AQ820" s="74"/>
      <c r="AU820" s="74"/>
      <c r="AY820" s="74"/>
      <c r="BC820" s="74"/>
    </row>
    <row r="821" spans="2:55" s="123" customFormat="1">
      <c r="B821" s="125"/>
      <c r="D821" s="125"/>
      <c r="AA821" s="74"/>
      <c r="AD821" s="208"/>
      <c r="AE821" s="124"/>
      <c r="AI821" s="74"/>
      <c r="AM821" s="74"/>
      <c r="AQ821" s="74"/>
      <c r="AU821" s="74"/>
      <c r="AY821" s="74"/>
      <c r="BC821" s="74"/>
    </row>
    <row r="822" spans="2:55" s="123" customFormat="1">
      <c r="B822" s="125"/>
      <c r="D822" s="125"/>
      <c r="AA822" s="74"/>
      <c r="AD822" s="208"/>
      <c r="AE822" s="124"/>
      <c r="AI822" s="74"/>
      <c r="AM822" s="74"/>
      <c r="AQ822" s="74"/>
      <c r="AU822" s="74"/>
      <c r="AY822" s="74"/>
      <c r="BC822" s="74"/>
    </row>
    <row r="823" spans="2:55" s="123" customFormat="1">
      <c r="B823" s="125"/>
      <c r="D823" s="125"/>
      <c r="AA823" s="74"/>
      <c r="AD823" s="208"/>
      <c r="AE823" s="124"/>
      <c r="AI823" s="74"/>
      <c r="AM823" s="74"/>
      <c r="AQ823" s="74"/>
      <c r="AU823" s="74"/>
      <c r="AY823" s="74"/>
      <c r="BC823" s="74"/>
    </row>
    <row r="824" spans="2:55" s="123" customFormat="1">
      <c r="B824" s="125"/>
      <c r="D824" s="125"/>
      <c r="AA824" s="74"/>
      <c r="AD824" s="208"/>
      <c r="AE824" s="124"/>
      <c r="AI824" s="74"/>
      <c r="AM824" s="74"/>
      <c r="AQ824" s="74"/>
      <c r="AU824" s="74"/>
      <c r="AY824" s="74"/>
      <c r="BC824" s="74"/>
    </row>
    <row r="825" spans="2:55" s="123" customFormat="1">
      <c r="B825" s="125"/>
      <c r="D825" s="125"/>
      <c r="AA825" s="74"/>
      <c r="AD825" s="208"/>
      <c r="AE825" s="124"/>
      <c r="AI825" s="74"/>
      <c r="AM825" s="74"/>
      <c r="AQ825" s="74"/>
      <c r="AU825" s="74"/>
      <c r="AY825" s="74"/>
      <c r="BC825" s="74"/>
    </row>
    <row r="826" spans="2:55" s="123" customFormat="1">
      <c r="B826" s="125"/>
      <c r="D826" s="125"/>
      <c r="AA826" s="74"/>
      <c r="AD826" s="208"/>
      <c r="AE826" s="124"/>
      <c r="AI826" s="74"/>
      <c r="AM826" s="74"/>
      <c r="AQ826" s="74"/>
      <c r="AU826" s="74"/>
      <c r="AY826" s="74"/>
      <c r="BC826" s="74"/>
    </row>
    <row r="827" spans="2:55" s="123" customFormat="1">
      <c r="B827" s="125"/>
      <c r="D827" s="125"/>
      <c r="AA827" s="74"/>
      <c r="AD827" s="208"/>
      <c r="AE827" s="124"/>
      <c r="AI827" s="74"/>
      <c r="AM827" s="74"/>
      <c r="AQ827" s="74"/>
      <c r="AU827" s="74"/>
      <c r="AY827" s="74"/>
      <c r="BC827" s="74"/>
    </row>
    <row r="828" spans="2:55" s="123" customFormat="1">
      <c r="B828" s="125"/>
      <c r="D828" s="125"/>
      <c r="AA828" s="74"/>
      <c r="AD828" s="208"/>
      <c r="AE828" s="124"/>
      <c r="AI828" s="74"/>
      <c r="AM828" s="74"/>
      <c r="AQ828" s="74"/>
      <c r="AU828" s="74"/>
      <c r="AY828" s="74"/>
      <c r="BC828" s="74"/>
    </row>
    <row r="829" spans="2:55" s="123" customFormat="1">
      <c r="B829" s="125"/>
      <c r="D829" s="125"/>
      <c r="AA829" s="74"/>
      <c r="AD829" s="208"/>
      <c r="AE829" s="124"/>
      <c r="AI829" s="74"/>
      <c r="AM829" s="74"/>
      <c r="AQ829" s="74"/>
      <c r="AU829" s="74"/>
      <c r="AY829" s="74"/>
      <c r="BC829" s="74"/>
    </row>
    <row r="830" spans="2:55" s="123" customFormat="1">
      <c r="B830" s="125"/>
      <c r="D830" s="125"/>
      <c r="AA830" s="74"/>
      <c r="AD830" s="208"/>
      <c r="AE830" s="124"/>
      <c r="AI830" s="74"/>
      <c r="AM830" s="74"/>
      <c r="AQ830" s="74"/>
      <c r="AU830" s="74"/>
      <c r="AY830" s="74"/>
      <c r="BC830" s="74"/>
    </row>
    <row r="831" spans="2:55" s="123" customFormat="1">
      <c r="B831" s="125"/>
      <c r="D831" s="125"/>
      <c r="AA831" s="74"/>
      <c r="AD831" s="208"/>
      <c r="AE831" s="124"/>
      <c r="AI831" s="74"/>
      <c r="AM831" s="74"/>
      <c r="AQ831" s="74"/>
      <c r="AU831" s="74"/>
      <c r="AY831" s="74"/>
      <c r="BC831" s="74"/>
    </row>
    <row r="832" spans="2:55" s="123" customFormat="1">
      <c r="B832" s="125"/>
      <c r="D832" s="125"/>
      <c r="AA832" s="74"/>
      <c r="AD832" s="208"/>
      <c r="AE832" s="124"/>
      <c r="AI832" s="74"/>
      <c r="AM832" s="74"/>
      <c r="AQ832" s="74"/>
      <c r="AU832" s="74"/>
      <c r="AY832" s="74"/>
      <c r="BC832" s="74"/>
    </row>
    <row r="833" spans="2:55" s="123" customFormat="1">
      <c r="B833" s="125"/>
      <c r="D833" s="125"/>
      <c r="AA833" s="74"/>
      <c r="AD833" s="208"/>
      <c r="AE833" s="124"/>
      <c r="AI833" s="74"/>
      <c r="AM833" s="74"/>
      <c r="AQ833" s="74"/>
      <c r="AU833" s="74"/>
      <c r="AY833" s="74"/>
      <c r="BC833" s="74"/>
    </row>
    <row r="834" spans="2:55" s="123" customFormat="1">
      <c r="B834" s="125"/>
      <c r="D834" s="125"/>
      <c r="AA834" s="74"/>
      <c r="AD834" s="208"/>
      <c r="AE834" s="124"/>
      <c r="AI834" s="74"/>
      <c r="AM834" s="74"/>
      <c r="AQ834" s="74"/>
      <c r="AU834" s="74"/>
      <c r="AY834" s="74"/>
      <c r="BC834" s="74"/>
    </row>
    <row r="835" spans="2:55" s="123" customFormat="1">
      <c r="B835" s="125"/>
      <c r="D835" s="125"/>
      <c r="AA835" s="74"/>
      <c r="AD835" s="208"/>
      <c r="AE835" s="124"/>
      <c r="AI835" s="74"/>
      <c r="AM835" s="74"/>
      <c r="AQ835" s="74"/>
      <c r="AU835" s="74"/>
      <c r="AY835" s="74"/>
      <c r="BC835" s="74"/>
    </row>
    <row r="836" spans="2:55" s="123" customFormat="1">
      <c r="B836" s="125"/>
      <c r="D836" s="125"/>
      <c r="AA836" s="74"/>
      <c r="AD836" s="208"/>
      <c r="AE836" s="124"/>
      <c r="AI836" s="74"/>
      <c r="AM836" s="74"/>
      <c r="AQ836" s="74"/>
      <c r="AU836" s="74"/>
      <c r="AY836" s="74"/>
      <c r="BC836" s="74"/>
    </row>
    <row r="837" spans="2:55" s="123" customFormat="1">
      <c r="B837" s="125"/>
      <c r="D837" s="125"/>
      <c r="AA837" s="74"/>
      <c r="AD837" s="208"/>
      <c r="AE837" s="124"/>
      <c r="AI837" s="74"/>
      <c r="AM837" s="74"/>
      <c r="AQ837" s="74"/>
      <c r="AU837" s="74"/>
      <c r="AY837" s="74"/>
      <c r="BC837" s="74"/>
    </row>
    <row r="838" spans="2:55" s="123" customFormat="1">
      <c r="B838" s="125"/>
      <c r="D838" s="125"/>
      <c r="AA838" s="74"/>
      <c r="AD838" s="208"/>
      <c r="AE838" s="124"/>
      <c r="AI838" s="74"/>
      <c r="AM838" s="74"/>
      <c r="AQ838" s="74"/>
      <c r="AU838" s="74"/>
      <c r="AY838" s="74"/>
      <c r="BC838" s="74"/>
    </row>
    <row r="839" spans="2:55" s="123" customFormat="1">
      <c r="B839" s="125"/>
      <c r="D839" s="125"/>
      <c r="AA839" s="74"/>
      <c r="AD839" s="208"/>
      <c r="AE839" s="124"/>
      <c r="AI839" s="74"/>
      <c r="AM839" s="74"/>
      <c r="AQ839" s="74"/>
      <c r="AU839" s="74"/>
      <c r="AY839" s="74"/>
      <c r="BC839" s="74"/>
    </row>
    <row r="840" spans="2:55" s="123" customFormat="1">
      <c r="B840" s="125"/>
      <c r="D840" s="125"/>
      <c r="AA840" s="74"/>
      <c r="AD840" s="208"/>
      <c r="AE840" s="124"/>
      <c r="AI840" s="74"/>
      <c r="AM840" s="74"/>
      <c r="AQ840" s="74"/>
      <c r="AU840" s="74"/>
      <c r="AY840" s="74"/>
      <c r="BC840" s="74"/>
    </row>
    <row r="841" spans="2:55" s="123" customFormat="1">
      <c r="B841" s="125"/>
      <c r="D841" s="125"/>
      <c r="AA841" s="74"/>
      <c r="AD841" s="208"/>
      <c r="AE841" s="124"/>
      <c r="AI841" s="74"/>
      <c r="AM841" s="74"/>
      <c r="AQ841" s="74"/>
      <c r="AU841" s="74"/>
      <c r="AY841" s="74"/>
      <c r="BC841" s="74"/>
    </row>
    <row r="842" spans="2:55" s="123" customFormat="1">
      <c r="B842" s="125"/>
      <c r="D842" s="125"/>
      <c r="AA842" s="74"/>
      <c r="AD842" s="208"/>
      <c r="AE842" s="124"/>
      <c r="AI842" s="74"/>
      <c r="AM842" s="74"/>
      <c r="AQ842" s="74"/>
      <c r="AU842" s="74"/>
      <c r="AY842" s="74"/>
      <c r="BC842" s="74"/>
    </row>
    <row r="843" spans="2:55" s="123" customFormat="1">
      <c r="B843" s="125"/>
      <c r="D843" s="125"/>
      <c r="AA843" s="74"/>
      <c r="AD843" s="208"/>
      <c r="AE843" s="124"/>
      <c r="AI843" s="74"/>
      <c r="AM843" s="74"/>
      <c r="AQ843" s="74"/>
      <c r="AU843" s="74"/>
      <c r="AY843" s="74"/>
      <c r="BC843" s="74"/>
    </row>
    <row r="844" spans="2:55" s="123" customFormat="1">
      <c r="B844" s="125"/>
      <c r="D844" s="125"/>
      <c r="AA844" s="74"/>
      <c r="AD844" s="208"/>
      <c r="AE844" s="124"/>
      <c r="AI844" s="74"/>
      <c r="AM844" s="74"/>
      <c r="AQ844" s="74"/>
      <c r="AU844" s="74"/>
      <c r="AY844" s="74"/>
      <c r="BC844" s="74"/>
    </row>
    <row r="845" spans="2:55" s="123" customFormat="1">
      <c r="B845" s="125"/>
      <c r="D845" s="125"/>
      <c r="AA845" s="74"/>
      <c r="AD845" s="208"/>
      <c r="AE845" s="124"/>
      <c r="AI845" s="74"/>
      <c r="AM845" s="74"/>
      <c r="AQ845" s="74"/>
      <c r="AU845" s="74"/>
      <c r="AY845" s="74"/>
      <c r="BC845" s="74"/>
    </row>
    <row r="846" spans="2:55" s="123" customFormat="1">
      <c r="B846" s="125"/>
      <c r="D846" s="125"/>
      <c r="AA846" s="74"/>
      <c r="AD846" s="208"/>
      <c r="AE846" s="124"/>
      <c r="AI846" s="74"/>
      <c r="AM846" s="74"/>
      <c r="AQ846" s="74"/>
      <c r="AU846" s="74"/>
      <c r="AY846" s="74"/>
      <c r="BC846" s="74"/>
    </row>
    <row r="847" spans="2:55" s="123" customFormat="1">
      <c r="B847" s="125"/>
      <c r="D847" s="125"/>
      <c r="AA847" s="74"/>
      <c r="AD847" s="208"/>
      <c r="AE847" s="124"/>
      <c r="AI847" s="74"/>
      <c r="AM847" s="74"/>
      <c r="AQ847" s="74"/>
      <c r="AU847" s="74"/>
      <c r="AY847" s="74"/>
      <c r="BC847" s="74"/>
    </row>
    <row r="848" spans="2:55" s="123" customFormat="1">
      <c r="B848" s="125"/>
      <c r="D848" s="125"/>
      <c r="AA848" s="74"/>
      <c r="AD848" s="208"/>
      <c r="AE848" s="124"/>
      <c r="AI848" s="74"/>
      <c r="AM848" s="74"/>
      <c r="AQ848" s="74"/>
      <c r="AU848" s="74"/>
      <c r="AY848" s="74"/>
      <c r="BC848" s="74"/>
    </row>
    <row r="849" spans="2:55" s="123" customFormat="1">
      <c r="B849" s="125"/>
      <c r="D849" s="125"/>
      <c r="AA849" s="74"/>
      <c r="AD849" s="208"/>
      <c r="AE849" s="124"/>
      <c r="AI849" s="74"/>
      <c r="AM849" s="74"/>
      <c r="AQ849" s="74"/>
      <c r="AU849" s="74"/>
      <c r="AY849" s="74"/>
      <c r="BC849" s="74"/>
    </row>
    <row r="850" spans="2:55" s="123" customFormat="1">
      <c r="B850" s="125"/>
      <c r="D850" s="125"/>
      <c r="AA850" s="74"/>
      <c r="AD850" s="208"/>
      <c r="AE850" s="124"/>
      <c r="AI850" s="74"/>
      <c r="AM850" s="74"/>
      <c r="AQ850" s="74"/>
      <c r="AU850" s="74"/>
      <c r="AY850" s="74"/>
      <c r="BC850" s="74"/>
    </row>
    <row r="851" spans="2:55" s="123" customFormat="1">
      <c r="B851" s="125"/>
      <c r="D851" s="125"/>
      <c r="AA851" s="74"/>
      <c r="AD851" s="208"/>
      <c r="AE851" s="124"/>
      <c r="AI851" s="74"/>
      <c r="AM851" s="74"/>
      <c r="AQ851" s="74"/>
      <c r="AU851" s="74"/>
      <c r="AY851" s="74"/>
      <c r="BC851" s="74"/>
    </row>
    <row r="852" spans="2:55" s="123" customFormat="1">
      <c r="B852" s="125"/>
      <c r="D852" s="125"/>
      <c r="AA852" s="74"/>
      <c r="AD852" s="208"/>
      <c r="AE852" s="124"/>
      <c r="AI852" s="74"/>
      <c r="AM852" s="74"/>
      <c r="AQ852" s="74"/>
      <c r="AU852" s="74"/>
      <c r="AY852" s="74"/>
      <c r="BC852" s="74"/>
    </row>
    <row r="853" spans="2:55" s="123" customFormat="1">
      <c r="B853" s="125"/>
      <c r="D853" s="125"/>
      <c r="AA853" s="74"/>
      <c r="AD853" s="208"/>
      <c r="AE853" s="124"/>
      <c r="AI853" s="74"/>
      <c r="AM853" s="74"/>
      <c r="AQ853" s="74"/>
      <c r="AU853" s="74"/>
      <c r="AY853" s="74"/>
      <c r="BC853" s="74"/>
    </row>
    <row r="854" spans="2:55" s="123" customFormat="1">
      <c r="B854" s="125"/>
      <c r="D854" s="125"/>
      <c r="AA854" s="74"/>
      <c r="AD854" s="208"/>
      <c r="AE854" s="124"/>
      <c r="AI854" s="74"/>
      <c r="AM854" s="74"/>
      <c r="AQ854" s="74"/>
      <c r="AU854" s="74"/>
      <c r="AY854" s="74"/>
      <c r="BC854" s="74"/>
    </row>
    <row r="855" spans="2:55" s="123" customFormat="1">
      <c r="B855" s="125"/>
      <c r="D855" s="125"/>
      <c r="AA855" s="74"/>
      <c r="AD855" s="208"/>
      <c r="AE855" s="124"/>
      <c r="AI855" s="74"/>
      <c r="AM855" s="74"/>
      <c r="AQ855" s="74"/>
      <c r="AU855" s="74"/>
      <c r="AY855" s="74"/>
      <c r="BC855" s="74"/>
    </row>
    <row r="856" spans="2:55" s="123" customFormat="1">
      <c r="B856" s="125"/>
      <c r="D856" s="125"/>
      <c r="AA856" s="74"/>
      <c r="AD856" s="208"/>
      <c r="AE856" s="124"/>
      <c r="AI856" s="74"/>
      <c r="AM856" s="74"/>
      <c r="AQ856" s="74"/>
      <c r="AU856" s="74"/>
      <c r="AY856" s="74"/>
      <c r="BC856" s="74"/>
    </row>
    <row r="857" spans="2:55" s="123" customFormat="1">
      <c r="B857" s="125"/>
      <c r="D857" s="125"/>
      <c r="AA857" s="74"/>
      <c r="AD857" s="208"/>
      <c r="AE857" s="124"/>
      <c r="AI857" s="74"/>
      <c r="AM857" s="74"/>
      <c r="AQ857" s="74"/>
      <c r="AU857" s="74"/>
      <c r="AY857" s="74"/>
      <c r="BC857" s="74"/>
    </row>
    <row r="858" spans="2:55" s="123" customFormat="1">
      <c r="B858" s="125"/>
      <c r="D858" s="125"/>
      <c r="AA858" s="74"/>
      <c r="AD858" s="208"/>
      <c r="AE858" s="124"/>
      <c r="AI858" s="74"/>
      <c r="AM858" s="74"/>
      <c r="AQ858" s="74"/>
      <c r="AU858" s="74"/>
      <c r="AY858" s="74"/>
      <c r="BC858" s="74"/>
    </row>
    <row r="859" spans="2:55" s="123" customFormat="1">
      <c r="B859" s="125"/>
      <c r="D859" s="125"/>
      <c r="AA859" s="74"/>
      <c r="AD859" s="208"/>
      <c r="AE859" s="124"/>
      <c r="AI859" s="74"/>
      <c r="AM859" s="74"/>
      <c r="AQ859" s="74"/>
      <c r="AU859" s="74"/>
      <c r="AY859" s="74"/>
      <c r="BC859" s="74"/>
    </row>
    <row r="860" spans="2:55" s="123" customFormat="1">
      <c r="B860" s="125"/>
      <c r="D860" s="125"/>
      <c r="AA860" s="74"/>
      <c r="AD860" s="208"/>
      <c r="AE860" s="124"/>
      <c r="AI860" s="74"/>
      <c r="AM860" s="74"/>
      <c r="AQ860" s="74"/>
      <c r="AU860" s="74"/>
      <c r="AY860" s="74"/>
      <c r="BC860" s="74"/>
    </row>
    <row r="861" spans="2:55" s="123" customFormat="1">
      <c r="B861" s="125"/>
      <c r="D861" s="125"/>
      <c r="AA861" s="74"/>
      <c r="AD861" s="208"/>
      <c r="AE861" s="124"/>
      <c r="AI861" s="74"/>
      <c r="AM861" s="74"/>
      <c r="AQ861" s="74"/>
      <c r="AU861" s="74"/>
      <c r="AY861" s="74"/>
      <c r="BC861" s="74"/>
    </row>
    <row r="862" spans="2:55" s="123" customFormat="1">
      <c r="B862" s="125"/>
      <c r="D862" s="125"/>
      <c r="AA862" s="74"/>
      <c r="AD862" s="208"/>
      <c r="AE862" s="124"/>
      <c r="AI862" s="74"/>
      <c r="AM862" s="74"/>
      <c r="AQ862" s="74"/>
      <c r="AU862" s="74"/>
      <c r="AY862" s="74"/>
      <c r="BC862" s="74"/>
    </row>
    <row r="863" spans="2:55" s="123" customFormat="1">
      <c r="B863" s="125"/>
      <c r="D863" s="125"/>
      <c r="AA863" s="74"/>
      <c r="AD863" s="208"/>
      <c r="AE863" s="124"/>
      <c r="AI863" s="74"/>
      <c r="AM863" s="74"/>
      <c r="AQ863" s="74"/>
      <c r="AU863" s="74"/>
      <c r="AY863" s="74"/>
      <c r="BC863" s="74"/>
    </row>
    <row r="864" spans="2:55" s="123" customFormat="1">
      <c r="B864" s="125"/>
      <c r="D864" s="125"/>
      <c r="AA864" s="74"/>
      <c r="AD864" s="208"/>
      <c r="AE864" s="124"/>
      <c r="AI864" s="74"/>
      <c r="AM864" s="74"/>
      <c r="AQ864" s="74"/>
      <c r="AU864" s="74"/>
      <c r="AY864" s="74"/>
      <c r="BC864" s="74"/>
    </row>
    <row r="865" spans="2:55" s="123" customFormat="1">
      <c r="B865" s="125"/>
      <c r="D865" s="125"/>
      <c r="AA865" s="74"/>
      <c r="AD865" s="208"/>
      <c r="AE865" s="124"/>
      <c r="AI865" s="74"/>
      <c r="AM865" s="74"/>
      <c r="AQ865" s="74"/>
      <c r="AU865" s="74"/>
      <c r="AY865" s="74"/>
      <c r="BC865" s="74"/>
    </row>
    <row r="866" spans="2:55" s="123" customFormat="1">
      <c r="B866" s="125"/>
      <c r="D866" s="125"/>
      <c r="AA866" s="74"/>
      <c r="AD866" s="208"/>
      <c r="AE866" s="124"/>
      <c r="AI866" s="74"/>
      <c r="AM866" s="74"/>
      <c r="AQ866" s="74"/>
      <c r="AU866" s="74"/>
      <c r="AY866" s="74"/>
      <c r="BC866" s="74"/>
    </row>
    <row r="867" spans="2:55" s="123" customFormat="1">
      <c r="B867" s="125"/>
      <c r="D867" s="125"/>
      <c r="AA867" s="74"/>
      <c r="AD867" s="208"/>
      <c r="AE867" s="124"/>
      <c r="AI867" s="74"/>
      <c r="AM867" s="74"/>
      <c r="AQ867" s="74"/>
      <c r="AU867" s="74"/>
      <c r="AY867" s="74"/>
      <c r="BC867" s="74"/>
    </row>
    <row r="868" spans="2:55" s="123" customFormat="1">
      <c r="B868" s="125"/>
      <c r="D868" s="125"/>
      <c r="AA868" s="74"/>
      <c r="AD868" s="208"/>
      <c r="AE868" s="124"/>
      <c r="AI868" s="74"/>
      <c r="AM868" s="74"/>
      <c r="AQ868" s="74"/>
      <c r="AU868" s="74"/>
      <c r="AY868" s="74"/>
      <c r="BC868" s="74"/>
    </row>
    <row r="869" spans="2:55" s="123" customFormat="1">
      <c r="B869" s="125"/>
      <c r="D869" s="125"/>
      <c r="AA869" s="74"/>
      <c r="AD869" s="208"/>
      <c r="AE869" s="124"/>
      <c r="AI869" s="74"/>
      <c r="AM869" s="74"/>
      <c r="AQ869" s="74"/>
      <c r="AU869" s="74"/>
      <c r="AY869" s="74"/>
      <c r="BC869" s="74"/>
    </row>
    <row r="870" spans="2:55" s="123" customFormat="1">
      <c r="B870" s="125"/>
      <c r="D870" s="125"/>
      <c r="AA870" s="74"/>
      <c r="AD870" s="208"/>
      <c r="AE870" s="124"/>
      <c r="AI870" s="74"/>
      <c r="AM870" s="74"/>
      <c r="AQ870" s="74"/>
      <c r="AU870" s="74"/>
      <c r="AY870" s="74"/>
      <c r="BC870" s="74"/>
    </row>
    <row r="871" spans="2:55" s="123" customFormat="1">
      <c r="B871" s="125"/>
      <c r="D871" s="125"/>
      <c r="AA871" s="74"/>
      <c r="AD871" s="208"/>
      <c r="AE871" s="124"/>
      <c r="AI871" s="74"/>
      <c r="AM871" s="74"/>
      <c r="AQ871" s="74"/>
      <c r="AU871" s="74"/>
      <c r="AY871" s="74"/>
      <c r="BC871" s="74"/>
    </row>
    <row r="872" spans="2:55" s="123" customFormat="1">
      <c r="B872" s="125"/>
      <c r="D872" s="125"/>
      <c r="AA872" s="74"/>
      <c r="AD872" s="208"/>
      <c r="AE872" s="124"/>
      <c r="AI872" s="74"/>
      <c r="AM872" s="74"/>
      <c r="AQ872" s="74"/>
      <c r="AU872" s="74"/>
      <c r="AY872" s="74"/>
      <c r="BC872" s="74"/>
    </row>
    <row r="873" spans="2:55" s="123" customFormat="1">
      <c r="B873" s="125"/>
      <c r="D873" s="125"/>
      <c r="AA873" s="74"/>
      <c r="AD873" s="208"/>
      <c r="AE873" s="124"/>
      <c r="AI873" s="74"/>
      <c r="AM873" s="74"/>
      <c r="AQ873" s="74"/>
      <c r="AU873" s="74"/>
      <c r="AY873" s="74"/>
      <c r="BC873" s="74"/>
    </row>
    <row r="874" spans="2:55" s="123" customFormat="1">
      <c r="B874" s="125"/>
      <c r="D874" s="125"/>
      <c r="AA874" s="74"/>
      <c r="AD874" s="208"/>
      <c r="AE874" s="124"/>
      <c r="AI874" s="74"/>
      <c r="AM874" s="74"/>
      <c r="AQ874" s="74"/>
      <c r="AU874" s="74"/>
      <c r="AY874" s="74"/>
      <c r="BC874" s="74"/>
    </row>
    <row r="875" spans="2:55" s="123" customFormat="1">
      <c r="B875" s="125"/>
      <c r="D875" s="125"/>
      <c r="AA875" s="74"/>
      <c r="AD875" s="208"/>
      <c r="AE875" s="124"/>
      <c r="AI875" s="74"/>
      <c r="AM875" s="74"/>
      <c r="AQ875" s="74"/>
      <c r="AU875" s="74"/>
      <c r="AY875" s="74"/>
      <c r="BC875" s="74"/>
    </row>
    <row r="876" spans="2:55" s="123" customFormat="1">
      <c r="B876" s="125"/>
      <c r="D876" s="125"/>
      <c r="AA876" s="74"/>
      <c r="AD876" s="208"/>
      <c r="AE876" s="124"/>
      <c r="AI876" s="74"/>
      <c r="AM876" s="74"/>
      <c r="AQ876" s="74"/>
      <c r="AU876" s="74"/>
      <c r="AY876" s="74"/>
      <c r="BC876" s="74"/>
    </row>
    <row r="877" spans="2:55" s="123" customFormat="1">
      <c r="B877" s="125"/>
      <c r="D877" s="125"/>
      <c r="AA877" s="74"/>
      <c r="AD877" s="208"/>
      <c r="AE877" s="124"/>
      <c r="AI877" s="74"/>
      <c r="AM877" s="74"/>
      <c r="AQ877" s="74"/>
      <c r="AU877" s="74"/>
      <c r="AY877" s="74"/>
      <c r="BC877" s="74"/>
    </row>
    <row r="878" spans="2:55" s="123" customFormat="1">
      <c r="B878" s="125"/>
      <c r="D878" s="125"/>
      <c r="AA878" s="74"/>
      <c r="AD878" s="208"/>
      <c r="AE878" s="124"/>
      <c r="AI878" s="74"/>
      <c r="AM878" s="74"/>
      <c r="AQ878" s="74"/>
      <c r="AU878" s="74"/>
      <c r="AY878" s="74"/>
      <c r="BC878" s="74"/>
    </row>
    <row r="879" spans="2:55" s="123" customFormat="1">
      <c r="B879" s="125"/>
      <c r="D879" s="125"/>
      <c r="AA879" s="74"/>
      <c r="AD879" s="208"/>
      <c r="AE879" s="124"/>
      <c r="AI879" s="74"/>
      <c r="AM879" s="74"/>
      <c r="AQ879" s="74"/>
      <c r="AU879" s="74"/>
      <c r="AY879" s="74"/>
      <c r="BC879" s="74"/>
    </row>
    <row r="880" spans="2:55" s="123" customFormat="1">
      <c r="B880" s="125"/>
      <c r="D880" s="125"/>
      <c r="AA880" s="74"/>
      <c r="AD880" s="208"/>
      <c r="AE880" s="124"/>
      <c r="AI880" s="74"/>
      <c r="AM880" s="74"/>
      <c r="AQ880" s="74"/>
      <c r="AU880" s="74"/>
      <c r="AY880" s="74"/>
      <c r="BC880" s="74"/>
    </row>
    <row r="881" spans="2:55" s="123" customFormat="1">
      <c r="B881" s="125"/>
      <c r="D881" s="125"/>
      <c r="AA881" s="74"/>
      <c r="AD881" s="208"/>
      <c r="AE881" s="124"/>
      <c r="AI881" s="74"/>
      <c r="AM881" s="74"/>
      <c r="AQ881" s="74"/>
      <c r="AU881" s="74"/>
      <c r="AY881" s="74"/>
      <c r="BC881" s="74"/>
    </row>
    <row r="882" spans="2:55" s="123" customFormat="1">
      <c r="B882" s="125"/>
      <c r="D882" s="125"/>
      <c r="AA882" s="74"/>
      <c r="AD882" s="208"/>
      <c r="AE882" s="124"/>
      <c r="AI882" s="74"/>
      <c r="AM882" s="74"/>
      <c r="AQ882" s="74"/>
      <c r="AU882" s="74"/>
      <c r="AY882" s="74"/>
      <c r="BC882" s="74"/>
    </row>
    <row r="883" spans="2:55" s="123" customFormat="1">
      <c r="B883" s="125"/>
      <c r="D883" s="125"/>
      <c r="AA883" s="74"/>
      <c r="AD883" s="208"/>
      <c r="AE883" s="124"/>
      <c r="AI883" s="74"/>
      <c r="AM883" s="74"/>
      <c r="AQ883" s="74"/>
      <c r="AU883" s="74"/>
      <c r="AY883" s="74"/>
      <c r="BC883" s="74"/>
    </row>
    <row r="884" spans="2:55" s="123" customFormat="1">
      <c r="B884" s="125"/>
      <c r="D884" s="125"/>
      <c r="AA884" s="74"/>
      <c r="AD884" s="208"/>
      <c r="AE884" s="124"/>
      <c r="AI884" s="74"/>
      <c r="AM884" s="74"/>
      <c r="AQ884" s="74"/>
      <c r="AU884" s="74"/>
      <c r="AY884" s="74"/>
      <c r="BC884" s="74"/>
    </row>
    <row r="885" spans="2:55" s="123" customFormat="1">
      <c r="B885" s="125"/>
      <c r="D885" s="125"/>
      <c r="AA885" s="74"/>
      <c r="AD885" s="208"/>
      <c r="AE885" s="124"/>
      <c r="AI885" s="74"/>
      <c r="AM885" s="74"/>
      <c r="AQ885" s="74"/>
      <c r="AU885" s="74"/>
      <c r="AY885" s="74"/>
      <c r="BC885" s="74"/>
    </row>
    <row r="886" spans="2:55" s="123" customFormat="1">
      <c r="B886" s="125"/>
      <c r="D886" s="125"/>
      <c r="AA886" s="74"/>
      <c r="AD886" s="208"/>
      <c r="AE886" s="124"/>
      <c r="AI886" s="74"/>
      <c r="AM886" s="74"/>
      <c r="AQ886" s="74"/>
      <c r="AU886" s="74"/>
      <c r="AY886" s="74"/>
      <c r="BC886" s="74"/>
    </row>
    <row r="887" spans="2:55" s="123" customFormat="1">
      <c r="B887" s="125"/>
      <c r="D887" s="125"/>
      <c r="AA887" s="74"/>
      <c r="AD887" s="208"/>
      <c r="AE887" s="124"/>
      <c r="AI887" s="74"/>
      <c r="AM887" s="74"/>
      <c r="AQ887" s="74"/>
      <c r="AU887" s="74"/>
      <c r="AY887" s="74"/>
      <c r="BC887" s="74"/>
    </row>
    <row r="888" spans="2:55" s="123" customFormat="1">
      <c r="B888" s="125"/>
      <c r="D888" s="125"/>
      <c r="AA888" s="74"/>
      <c r="AD888" s="208"/>
      <c r="AE888" s="124"/>
      <c r="AI888" s="74"/>
      <c r="AM888" s="74"/>
      <c r="AQ888" s="74"/>
      <c r="AU888" s="74"/>
      <c r="AY888" s="74"/>
      <c r="BC888" s="74"/>
    </row>
    <row r="889" spans="2:55" s="123" customFormat="1">
      <c r="B889" s="125"/>
      <c r="D889" s="125"/>
      <c r="AA889" s="74"/>
      <c r="AD889" s="208"/>
      <c r="AE889" s="124"/>
      <c r="AI889" s="74"/>
      <c r="AM889" s="74"/>
      <c r="AQ889" s="74"/>
      <c r="AU889" s="74"/>
      <c r="AY889" s="74"/>
      <c r="BC889" s="74"/>
    </row>
    <row r="890" spans="2:55" s="123" customFormat="1">
      <c r="B890" s="125"/>
      <c r="D890" s="125"/>
      <c r="AA890" s="74"/>
      <c r="AD890" s="208"/>
      <c r="AE890" s="124"/>
      <c r="AI890" s="74"/>
      <c r="AM890" s="74"/>
      <c r="AQ890" s="74"/>
      <c r="AU890" s="74"/>
      <c r="AY890" s="74"/>
      <c r="BC890" s="74"/>
    </row>
    <row r="891" spans="2:55" s="123" customFormat="1">
      <c r="B891" s="125"/>
      <c r="D891" s="125"/>
      <c r="AA891" s="74"/>
      <c r="AD891" s="208"/>
      <c r="AE891" s="124"/>
      <c r="AI891" s="74"/>
      <c r="AM891" s="74"/>
      <c r="AQ891" s="74"/>
      <c r="AU891" s="74"/>
      <c r="AY891" s="74"/>
      <c r="BC891" s="74"/>
    </row>
    <row r="892" spans="2:55" s="123" customFormat="1">
      <c r="B892" s="125"/>
      <c r="D892" s="125"/>
      <c r="AA892" s="74"/>
      <c r="AD892" s="208"/>
      <c r="AE892" s="124"/>
      <c r="AI892" s="74"/>
      <c r="AM892" s="74"/>
      <c r="AQ892" s="74"/>
      <c r="AU892" s="74"/>
      <c r="AY892" s="74"/>
      <c r="BC892" s="74"/>
    </row>
    <row r="893" spans="2:55" s="123" customFormat="1">
      <c r="B893" s="125"/>
      <c r="D893" s="125"/>
      <c r="AA893" s="74"/>
      <c r="AD893" s="208"/>
      <c r="AE893" s="124"/>
      <c r="AI893" s="74"/>
      <c r="AM893" s="74"/>
      <c r="AQ893" s="74"/>
      <c r="AU893" s="74"/>
      <c r="AY893" s="74"/>
      <c r="BC893" s="74"/>
    </row>
    <row r="894" spans="2:55" s="123" customFormat="1">
      <c r="B894" s="125"/>
      <c r="D894" s="125"/>
      <c r="AA894" s="74"/>
      <c r="AD894" s="208"/>
      <c r="AE894" s="124"/>
      <c r="AI894" s="74"/>
      <c r="AM894" s="74"/>
      <c r="AQ894" s="74"/>
      <c r="AU894" s="74"/>
      <c r="AY894" s="74"/>
      <c r="BC894" s="74"/>
    </row>
    <row r="895" spans="2:55" s="123" customFormat="1">
      <c r="B895" s="125"/>
      <c r="D895" s="125"/>
      <c r="AA895" s="74"/>
      <c r="AD895" s="208"/>
      <c r="AE895" s="124"/>
      <c r="AI895" s="74"/>
      <c r="AM895" s="74"/>
      <c r="AQ895" s="74"/>
      <c r="AU895" s="74"/>
      <c r="AY895" s="74"/>
      <c r="BC895" s="74"/>
    </row>
    <row r="896" spans="2:55" s="123" customFormat="1">
      <c r="B896" s="125"/>
      <c r="D896" s="125"/>
      <c r="AA896" s="74"/>
      <c r="AD896" s="208"/>
      <c r="AE896" s="124"/>
      <c r="AI896" s="74"/>
      <c r="AM896" s="74"/>
      <c r="AQ896" s="74"/>
      <c r="AU896" s="74"/>
      <c r="AY896" s="74"/>
      <c r="BC896" s="74"/>
    </row>
    <row r="897" spans="2:55" s="123" customFormat="1">
      <c r="B897" s="125"/>
      <c r="D897" s="125"/>
      <c r="AA897" s="74"/>
      <c r="AD897" s="208"/>
      <c r="AE897" s="124"/>
      <c r="AI897" s="74"/>
      <c r="AM897" s="74"/>
      <c r="AQ897" s="74"/>
      <c r="AU897" s="74"/>
      <c r="AY897" s="74"/>
      <c r="BC897" s="74"/>
    </row>
    <row r="898" spans="2:55" s="123" customFormat="1">
      <c r="B898" s="125"/>
      <c r="D898" s="125"/>
      <c r="AA898" s="74"/>
      <c r="AD898" s="208"/>
      <c r="AE898" s="124"/>
      <c r="AI898" s="74"/>
      <c r="AM898" s="74"/>
      <c r="AQ898" s="74"/>
      <c r="AU898" s="74"/>
      <c r="AY898" s="74"/>
      <c r="BC898" s="74"/>
    </row>
    <row r="899" spans="2:55" s="123" customFormat="1">
      <c r="B899" s="125"/>
      <c r="D899" s="125"/>
      <c r="AA899" s="74"/>
      <c r="AD899" s="208"/>
      <c r="AE899" s="124"/>
      <c r="AI899" s="74"/>
      <c r="AM899" s="74"/>
      <c r="AQ899" s="74"/>
      <c r="AU899" s="74"/>
      <c r="AY899" s="74"/>
      <c r="BC899" s="74"/>
    </row>
    <row r="900" spans="2:55" s="123" customFormat="1">
      <c r="B900" s="125"/>
      <c r="D900" s="125"/>
      <c r="AA900" s="74"/>
      <c r="AD900" s="208"/>
      <c r="AE900" s="124"/>
      <c r="AI900" s="74"/>
      <c r="AM900" s="74"/>
      <c r="AQ900" s="74"/>
      <c r="AU900" s="74"/>
      <c r="AY900" s="74"/>
      <c r="BC900" s="74"/>
    </row>
    <row r="901" spans="2:55" s="123" customFormat="1">
      <c r="B901" s="125"/>
      <c r="D901" s="125"/>
      <c r="AA901" s="74"/>
      <c r="AD901" s="208"/>
      <c r="AE901" s="124"/>
      <c r="AI901" s="74"/>
      <c r="AM901" s="74"/>
      <c r="AQ901" s="74"/>
      <c r="AU901" s="74"/>
      <c r="AY901" s="74"/>
      <c r="BC901" s="74"/>
    </row>
    <row r="902" spans="2:55" s="123" customFormat="1">
      <c r="B902" s="125"/>
      <c r="D902" s="125"/>
      <c r="AA902" s="74"/>
      <c r="AD902" s="208"/>
      <c r="AE902" s="124"/>
      <c r="AI902" s="74"/>
      <c r="AM902" s="74"/>
      <c r="AQ902" s="74"/>
      <c r="AU902" s="74"/>
      <c r="AY902" s="74"/>
      <c r="BC902" s="74"/>
    </row>
    <row r="903" spans="2:55" s="123" customFormat="1">
      <c r="B903" s="125"/>
      <c r="D903" s="125"/>
      <c r="AA903" s="74"/>
      <c r="AD903" s="208"/>
      <c r="AE903" s="124"/>
      <c r="AI903" s="74"/>
      <c r="AM903" s="74"/>
      <c r="AQ903" s="74"/>
      <c r="AU903" s="74"/>
      <c r="AY903" s="74"/>
      <c r="BC903" s="74"/>
    </row>
    <row r="904" spans="2:55" s="123" customFormat="1">
      <c r="B904" s="125"/>
      <c r="D904" s="125"/>
      <c r="AA904" s="74"/>
      <c r="AD904" s="208"/>
      <c r="AE904" s="124"/>
      <c r="AI904" s="74"/>
      <c r="AM904" s="74"/>
      <c r="AQ904" s="74"/>
      <c r="AU904" s="74"/>
      <c r="AY904" s="74"/>
      <c r="BC904" s="74"/>
    </row>
    <row r="905" spans="2:55" s="123" customFormat="1">
      <c r="B905" s="125"/>
      <c r="D905" s="125"/>
      <c r="AA905" s="74"/>
      <c r="AD905" s="208"/>
      <c r="AE905" s="124"/>
      <c r="AI905" s="74"/>
      <c r="AM905" s="74"/>
      <c r="AQ905" s="74"/>
      <c r="AU905" s="74"/>
      <c r="AY905" s="74"/>
      <c r="BC905" s="74"/>
    </row>
    <row r="906" spans="2:55" s="123" customFormat="1">
      <c r="B906" s="125"/>
      <c r="D906" s="125"/>
      <c r="AA906" s="74"/>
      <c r="AD906" s="208"/>
      <c r="AE906" s="124"/>
      <c r="AI906" s="74"/>
      <c r="AM906" s="74"/>
      <c r="AQ906" s="74"/>
      <c r="AU906" s="74"/>
      <c r="AY906" s="74"/>
      <c r="BC906" s="74"/>
    </row>
    <row r="907" spans="2:55" s="123" customFormat="1">
      <c r="B907" s="125"/>
      <c r="D907" s="125"/>
      <c r="AA907" s="74"/>
      <c r="AD907" s="208"/>
      <c r="AE907" s="124"/>
      <c r="AI907" s="74"/>
      <c r="AM907" s="74"/>
      <c r="AQ907" s="74"/>
      <c r="AU907" s="74"/>
      <c r="AY907" s="74"/>
      <c r="BC907" s="74"/>
    </row>
    <row r="908" spans="2:55" s="123" customFormat="1">
      <c r="B908" s="125"/>
      <c r="D908" s="125"/>
      <c r="AA908" s="74"/>
      <c r="AD908" s="208"/>
      <c r="AE908" s="124"/>
      <c r="AI908" s="74"/>
      <c r="AM908" s="74"/>
      <c r="AQ908" s="74"/>
      <c r="AU908" s="74"/>
      <c r="AY908" s="74"/>
      <c r="BC908" s="74"/>
    </row>
    <row r="909" spans="2:55" s="123" customFormat="1">
      <c r="B909" s="125"/>
      <c r="D909" s="125"/>
      <c r="AA909" s="74"/>
      <c r="AD909" s="208"/>
      <c r="AE909" s="124"/>
      <c r="AI909" s="74"/>
      <c r="AM909" s="74"/>
      <c r="AQ909" s="74"/>
      <c r="AU909" s="74"/>
      <c r="AY909" s="74"/>
      <c r="BC909" s="74"/>
    </row>
    <row r="910" spans="2:55" s="123" customFormat="1">
      <c r="B910" s="125"/>
      <c r="D910" s="125"/>
      <c r="AA910" s="74"/>
      <c r="AD910" s="208"/>
      <c r="AE910" s="124"/>
      <c r="AI910" s="74"/>
      <c r="AM910" s="74"/>
      <c r="AQ910" s="74"/>
      <c r="AU910" s="74"/>
      <c r="AY910" s="74"/>
      <c r="BC910" s="74"/>
    </row>
    <row r="911" spans="2:55" s="123" customFormat="1">
      <c r="B911" s="125"/>
      <c r="D911" s="125"/>
      <c r="AA911" s="74"/>
      <c r="AD911" s="208"/>
      <c r="AE911" s="124"/>
      <c r="AI911" s="74"/>
      <c r="AM911" s="74"/>
      <c r="AQ911" s="74"/>
      <c r="AU911" s="74"/>
      <c r="AY911" s="74"/>
      <c r="BC911" s="74"/>
    </row>
    <row r="912" spans="2:55" s="123" customFormat="1">
      <c r="B912" s="125"/>
      <c r="D912" s="125"/>
      <c r="AA912" s="74"/>
      <c r="AD912" s="208"/>
      <c r="AE912" s="124"/>
      <c r="AI912" s="74"/>
      <c r="AM912" s="74"/>
      <c r="AQ912" s="74"/>
      <c r="AU912" s="74"/>
      <c r="AY912" s="74"/>
      <c r="BC912" s="74"/>
    </row>
    <row r="913" spans="2:55" s="123" customFormat="1">
      <c r="B913" s="125"/>
      <c r="D913" s="125"/>
      <c r="AA913" s="74"/>
      <c r="AD913" s="208"/>
      <c r="AE913" s="124"/>
      <c r="AI913" s="74"/>
      <c r="AM913" s="74"/>
      <c r="AQ913" s="74"/>
      <c r="AU913" s="74"/>
      <c r="AY913" s="74"/>
      <c r="BC913" s="74"/>
    </row>
    <row r="914" spans="2:55" s="123" customFormat="1">
      <c r="B914" s="125"/>
      <c r="D914" s="125"/>
      <c r="AA914" s="74"/>
      <c r="AD914" s="208"/>
      <c r="AE914" s="124"/>
      <c r="AI914" s="74"/>
      <c r="AM914" s="74"/>
      <c r="AQ914" s="74"/>
      <c r="AU914" s="74"/>
      <c r="AY914" s="74"/>
      <c r="BC914" s="74"/>
    </row>
    <row r="915" spans="2:55" s="123" customFormat="1">
      <c r="B915" s="125"/>
      <c r="D915" s="125"/>
      <c r="AA915" s="74"/>
      <c r="AD915" s="208"/>
      <c r="AE915" s="124"/>
      <c r="AI915" s="74"/>
      <c r="AM915" s="74"/>
      <c r="AQ915" s="74"/>
      <c r="AU915" s="74"/>
      <c r="AY915" s="74"/>
      <c r="BC915" s="74"/>
    </row>
    <row r="916" spans="2:55" s="123" customFormat="1">
      <c r="B916" s="125"/>
      <c r="D916" s="125"/>
      <c r="AA916" s="74"/>
      <c r="AD916" s="208"/>
      <c r="AE916" s="124"/>
      <c r="AI916" s="74"/>
      <c r="AM916" s="74"/>
      <c r="AQ916" s="74"/>
      <c r="AU916" s="74"/>
      <c r="AY916" s="74"/>
      <c r="BC916" s="74"/>
    </row>
    <row r="917" spans="2:55" s="123" customFormat="1">
      <c r="B917" s="125"/>
      <c r="D917" s="125"/>
      <c r="AA917" s="74"/>
      <c r="AD917" s="208"/>
      <c r="AE917" s="124"/>
      <c r="AI917" s="74"/>
      <c r="AM917" s="74"/>
      <c r="AQ917" s="74"/>
      <c r="AU917" s="74"/>
      <c r="AY917" s="74"/>
      <c r="BC917" s="74"/>
    </row>
    <row r="918" spans="2:55" s="123" customFormat="1">
      <c r="B918" s="125"/>
      <c r="D918" s="125"/>
      <c r="AA918" s="74"/>
      <c r="AD918" s="208"/>
      <c r="AE918" s="124"/>
      <c r="AI918" s="74"/>
      <c r="AM918" s="74"/>
      <c r="AQ918" s="74"/>
      <c r="AU918" s="74"/>
      <c r="AY918" s="74"/>
      <c r="BC918" s="74"/>
    </row>
    <row r="919" spans="2:55" s="123" customFormat="1">
      <c r="B919" s="125"/>
      <c r="D919" s="125"/>
      <c r="AA919" s="74"/>
      <c r="AD919" s="208"/>
      <c r="AE919" s="124"/>
      <c r="AI919" s="74"/>
      <c r="AM919" s="74"/>
      <c r="AQ919" s="74"/>
      <c r="AU919" s="74"/>
      <c r="AY919" s="74"/>
      <c r="BC919" s="74"/>
    </row>
    <row r="920" spans="2:55" s="123" customFormat="1">
      <c r="B920" s="125"/>
      <c r="D920" s="125"/>
      <c r="AA920" s="74"/>
      <c r="AD920" s="208"/>
      <c r="AE920" s="124"/>
      <c r="AI920" s="74"/>
      <c r="AM920" s="74"/>
      <c r="AQ920" s="74"/>
      <c r="AU920" s="74"/>
      <c r="AY920" s="74"/>
      <c r="BC920" s="74"/>
    </row>
    <row r="921" spans="2:55" s="123" customFormat="1">
      <c r="B921" s="125"/>
      <c r="D921" s="125"/>
      <c r="AA921" s="74"/>
      <c r="AD921" s="208"/>
      <c r="AE921" s="124"/>
      <c r="AI921" s="74"/>
      <c r="AM921" s="74"/>
      <c r="AQ921" s="74"/>
      <c r="AU921" s="74"/>
      <c r="AY921" s="74"/>
      <c r="BC921" s="74"/>
    </row>
    <row r="922" spans="2:55" s="123" customFormat="1">
      <c r="B922" s="125"/>
      <c r="D922" s="125"/>
      <c r="AA922" s="74"/>
      <c r="AD922" s="208"/>
      <c r="AE922" s="124"/>
      <c r="AI922" s="74"/>
      <c r="AM922" s="74"/>
      <c r="AQ922" s="74"/>
      <c r="AU922" s="74"/>
      <c r="AY922" s="74"/>
      <c r="BC922" s="74"/>
    </row>
    <row r="923" spans="2:55" s="123" customFormat="1">
      <c r="B923" s="125"/>
      <c r="D923" s="125"/>
      <c r="AA923" s="74"/>
      <c r="AD923" s="208"/>
      <c r="AE923" s="124"/>
      <c r="AI923" s="74"/>
      <c r="AM923" s="74"/>
      <c r="AQ923" s="74"/>
      <c r="AU923" s="74"/>
      <c r="AY923" s="74"/>
      <c r="BC923" s="74"/>
    </row>
    <row r="924" spans="2:55" s="123" customFormat="1">
      <c r="B924" s="125"/>
      <c r="D924" s="125"/>
      <c r="AA924" s="74"/>
      <c r="AD924" s="208"/>
      <c r="AE924" s="124"/>
      <c r="AI924" s="74"/>
      <c r="AM924" s="74"/>
      <c r="AQ924" s="74"/>
      <c r="AU924" s="74"/>
      <c r="AY924" s="74"/>
      <c r="BC924" s="74"/>
    </row>
    <row r="925" spans="2:55" s="123" customFormat="1">
      <c r="B925" s="125"/>
      <c r="D925" s="125"/>
      <c r="AA925" s="74"/>
      <c r="AD925" s="208"/>
      <c r="AE925" s="124"/>
      <c r="AI925" s="74"/>
      <c r="AM925" s="74"/>
      <c r="AQ925" s="74"/>
      <c r="AU925" s="74"/>
      <c r="AY925" s="74"/>
      <c r="BC925" s="74"/>
    </row>
    <row r="926" spans="2:55" s="123" customFormat="1">
      <c r="B926" s="125"/>
      <c r="D926" s="125"/>
      <c r="AA926" s="74"/>
      <c r="AD926" s="208"/>
      <c r="AE926" s="124"/>
      <c r="AI926" s="74"/>
      <c r="AM926" s="74"/>
      <c r="AQ926" s="74"/>
      <c r="AU926" s="74"/>
      <c r="AY926" s="74"/>
      <c r="BC926" s="74"/>
    </row>
    <row r="927" spans="2:55" s="123" customFormat="1">
      <c r="B927" s="125"/>
      <c r="D927" s="125"/>
      <c r="AA927" s="74"/>
      <c r="AD927" s="208"/>
      <c r="AE927" s="124"/>
      <c r="AI927" s="74"/>
      <c r="AM927" s="74"/>
      <c r="AQ927" s="74"/>
      <c r="AU927" s="74"/>
      <c r="AY927" s="74"/>
      <c r="BC927" s="74"/>
    </row>
    <row r="928" spans="2:55" s="123" customFormat="1">
      <c r="B928" s="125"/>
      <c r="D928" s="125"/>
      <c r="AA928" s="74"/>
      <c r="AD928" s="208"/>
      <c r="AE928" s="124"/>
      <c r="AI928" s="74"/>
      <c r="AM928" s="74"/>
      <c r="AQ928" s="74"/>
      <c r="AU928" s="74"/>
      <c r="AY928" s="74"/>
      <c r="BC928" s="74"/>
    </row>
    <row r="929" spans="2:55" s="123" customFormat="1">
      <c r="B929" s="125"/>
      <c r="D929" s="125"/>
      <c r="AA929" s="74"/>
      <c r="AD929" s="208"/>
      <c r="AE929" s="124"/>
      <c r="AI929" s="74"/>
      <c r="AM929" s="74"/>
      <c r="AQ929" s="74"/>
      <c r="AU929" s="74"/>
      <c r="AY929" s="74"/>
      <c r="BC929" s="74"/>
    </row>
    <row r="930" spans="2:55" s="123" customFormat="1">
      <c r="B930" s="125"/>
      <c r="D930" s="125"/>
      <c r="AA930" s="74"/>
      <c r="AD930" s="208"/>
      <c r="AE930" s="124"/>
      <c r="AI930" s="74"/>
      <c r="AM930" s="74"/>
      <c r="AQ930" s="74"/>
      <c r="AU930" s="74"/>
      <c r="AY930" s="74"/>
      <c r="BC930" s="74"/>
    </row>
    <row r="931" spans="2:55" s="123" customFormat="1">
      <c r="B931" s="125"/>
      <c r="D931" s="125"/>
      <c r="AA931" s="74"/>
      <c r="AD931" s="208"/>
      <c r="AE931" s="124"/>
      <c r="AI931" s="74"/>
      <c r="AM931" s="74"/>
      <c r="AQ931" s="74"/>
      <c r="AU931" s="74"/>
      <c r="AY931" s="74"/>
      <c r="BC931" s="74"/>
    </row>
    <row r="932" spans="2:55" s="123" customFormat="1">
      <c r="B932" s="125"/>
      <c r="D932" s="125"/>
      <c r="AA932" s="74"/>
      <c r="AD932" s="208"/>
      <c r="AE932" s="124"/>
      <c r="AI932" s="74"/>
      <c r="AM932" s="74"/>
      <c r="AQ932" s="74"/>
      <c r="AU932" s="74"/>
      <c r="AY932" s="74"/>
      <c r="BC932" s="74"/>
    </row>
    <row r="933" spans="2:55" s="123" customFormat="1">
      <c r="B933" s="125"/>
      <c r="D933" s="125"/>
      <c r="AA933" s="74"/>
      <c r="AD933" s="208"/>
      <c r="AE933" s="124"/>
      <c r="AI933" s="74"/>
      <c r="AM933" s="74"/>
      <c r="AQ933" s="74"/>
      <c r="AU933" s="74"/>
      <c r="AY933" s="74"/>
      <c r="BC933" s="74"/>
    </row>
    <row r="934" spans="2:55" s="123" customFormat="1">
      <c r="B934" s="125"/>
      <c r="D934" s="125"/>
      <c r="AA934" s="74"/>
      <c r="AD934" s="208"/>
      <c r="AE934" s="124"/>
      <c r="AI934" s="74"/>
      <c r="AM934" s="74"/>
      <c r="AQ934" s="74"/>
      <c r="AU934" s="74"/>
      <c r="AY934" s="74"/>
      <c r="BC934" s="74"/>
    </row>
    <row r="935" spans="2:55" s="123" customFormat="1">
      <c r="B935" s="125"/>
      <c r="D935" s="125"/>
      <c r="AA935" s="74"/>
      <c r="AD935" s="208"/>
      <c r="AE935" s="124"/>
      <c r="AI935" s="74"/>
      <c r="AM935" s="74"/>
      <c r="AQ935" s="74"/>
      <c r="AU935" s="74"/>
      <c r="AY935" s="74"/>
      <c r="BC935" s="74"/>
    </row>
    <row r="936" spans="2:55" s="123" customFormat="1">
      <c r="B936" s="125"/>
      <c r="D936" s="125"/>
      <c r="AA936" s="74"/>
      <c r="AD936" s="208"/>
      <c r="AE936" s="124"/>
      <c r="AI936" s="74"/>
      <c r="AM936" s="74"/>
      <c r="AQ936" s="74"/>
      <c r="AU936" s="74"/>
      <c r="AY936" s="74"/>
      <c r="BC936" s="74"/>
    </row>
    <row r="937" spans="2:55" s="123" customFormat="1">
      <c r="B937" s="125"/>
      <c r="D937" s="125"/>
      <c r="AA937" s="74"/>
      <c r="AD937" s="208"/>
      <c r="AE937" s="124"/>
      <c r="AI937" s="74"/>
      <c r="AM937" s="74"/>
      <c r="AQ937" s="74"/>
      <c r="AU937" s="74"/>
      <c r="AY937" s="74"/>
      <c r="BC937" s="74"/>
    </row>
    <row r="938" spans="2:55" s="123" customFormat="1">
      <c r="B938" s="125"/>
      <c r="D938" s="125"/>
      <c r="AA938" s="74"/>
      <c r="AD938" s="208"/>
      <c r="AE938" s="124"/>
      <c r="AI938" s="74"/>
      <c r="AM938" s="74"/>
      <c r="AQ938" s="74"/>
      <c r="AU938" s="74"/>
      <c r="AY938" s="74"/>
      <c r="BC938" s="74"/>
    </row>
    <row r="939" spans="2:55" s="123" customFormat="1">
      <c r="B939" s="125"/>
      <c r="D939" s="125"/>
      <c r="AA939" s="74"/>
      <c r="AD939" s="208"/>
      <c r="AE939" s="124"/>
      <c r="AI939" s="74"/>
      <c r="AM939" s="74"/>
      <c r="AQ939" s="74"/>
      <c r="AU939" s="74"/>
      <c r="AY939" s="74"/>
      <c r="BC939" s="74"/>
    </row>
    <row r="940" spans="2:55" s="123" customFormat="1">
      <c r="B940" s="125"/>
      <c r="D940" s="125"/>
      <c r="AA940" s="74"/>
      <c r="AD940" s="208"/>
      <c r="AE940" s="124"/>
      <c r="AI940" s="74"/>
      <c r="AM940" s="74"/>
      <c r="AQ940" s="74"/>
      <c r="AU940" s="74"/>
      <c r="AY940" s="74"/>
      <c r="BC940" s="74"/>
    </row>
    <row r="941" spans="2:55" s="123" customFormat="1">
      <c r="B941" s="125"/>
      <c r="D941" s="125"/>
      <c r="AA941" s="74"/>
      <c r="AD941" s="208"/>
      <c r="AE941" s="124"/>
      <c r="AI941" s="74"/>
      <c r="AM941" s="74"/>
      <c r="AQ941" s="74"/>
      <c r="AU941" s="74"/>
      <c r="AY941" s="74"/>
      <c r="BC941" s="74"/>
    </row>
    <row r="942" spans="2:55" s="123" customFormat="1">
      <c r="B942" s="125"/>
      <c r="D942" s="125"/>
      <c r="AA942" s="74"/>
      <c r="AD942" s="208"/>
      <c r="AE942" s="124"/>
      <c r="AI942" s="74"/>
      <c r="AM942" s="74"/>
      <c r="AQ942" s="74"/>
      <c r="AU942" s="74"/>
      <c r="AY942" s="74"/>
      <c r="BC942" s="74"/>
    </row>
    <row r="943" spans="2:55" s="123" customFormat="1">
      <c r="B943" s="125"/>
      <c r="D943" s="125"/>
      <c r="AA943" s="74"/>
      <c r="AD943" s="208"/>
      <c r="AE943" s="124"/>
      <c r="AI943" s="74"/>
      <c r="AM943" s="74"/>
      <c r="AQ943" s="74"/>
      <c r="AU943" s="74"/>
      <c r="AY943" s="74"/>
      <c r="BC943" s="74"/>
    </row>
    <row r="944" spans="2:55" s="123" customFormat="1">
      <c r="B944" s="125"/>
      <c r="D944" s="125"/>
      <c r="AA944" s="74"/>
      <c r="AD944" s="208"/>
      <c r="AE944" s="124"/>
      <c r="AI944" s="74"/>
      <c r="AM944" s="74"/>
      <c r="AQ944" s="74"/>
      <c r="AU944" s="74"/>
      <c r="AY944" s="74"/>
      <c r="BC944" s="74"/>
    </row>
    <row r="945" spans="2:55" s="123" customFormat="1">
      <c r="B945" s="125"/>
      <c r="D945" s="125"/>
      <c r="AA945" s="74"/>
      <c r="AD945" s="208"/>
      <c r="AE945" s="124"/>
      <c r="AI945" s="74"/>
      <c r="AM945" s="74"/>
      <c r="AQ945" s="74"/>
      <c r="AU945" s="74"/>
      <c r="AY945" s="74"/>
      <c r="BC945" s="74"/>
    </row>
    <row r="946" spans="2:55" s="123" customFormat="1">
      <c r="B946" s="125"/>
      <c r="D946" s="125"/>
      <c r="AA946" s="74"/>
      <c r="AD946" s="208"/>
      <c r="AE946" s="124"/>
      <c r="AI946" s="74"/>
      <c r="AM946" s="74"/>
      <c r="AQ946" s="74"/>
      <c r="AU946" s="74"/>
      <c r="AY946" s="74"/>
      <c r="BC946" s="74"/>
    </row>
    <row r="947" spans="2:55" s="123" customFormat="1">
      <c r="B947" s="125"/>
      <c r="D947" s="125"/>
      <c r="AA947" s="74"/>
      <c r="AD947" s="208"/>
      <c r="AE947" s="124"/>
      <c r="AI947" s="74"/>
      <c r="AM947" s="74"/>
      <c r="AQ947" s="74"/>
      <c r="AU947" s="74"/>
      <c r="AY947" s="74"/>
      <c r="BC947" s="74"/>
    </row>
    <row r="948" spans="2:55" s="123" customFormat="1">
      <c r="B948" s="125"/>
      <c r="D948" s="125"/>
      <c r="AA948" s="74"/>
      <c r="AD948" s="208"/>
      <c r="AE948" s="124"/>
      <c r="AI948" s="74"/>
      <c r="AM948" s="74"/>
      <c r="AQ948" s="74"/>
      <c r="AU948" s="74"/>
      <c r="AY948" s="74"/>
      <c r="BC948" s="74"/>
    </row>
    <row r="949" spans="2:55" s="123" customFormat="1">
      <c r="B949" s="125"/>
      <c r="D949" s="125"/>
      <c r="AA949" s="74"/>
      <c r="AD949" s="208"/>
      <c r="AE949" s="124"/>
      <c r="AI949" s="74"/>
      <c r="AM949" s="74"/>
      <c r="AQ949" s="74"/>
      <c r="AU949" s="74"/>
      <c r="AY949" s="74"/>
      <c r="BC949" s="74"/>
    </row>
    <row r="950" spans="2:55" s="123" customFormat="1">
      <c r="B950" s="125"/>
      <c r="D950" s="125"/>
      <c r="AA950" s="74"/>
      <c r="AD950" s="208"/>
      <c r="AE950" s="124"/>
      <c r="AI950" s="74"/>
      <c r="AM950" s="74"/>
      <c r="AQ950" s="74"/>
      <c r="AU950" s="74"/>
      <c r="AY950" s="74"/>
      <c r="BC950" s="74"/>
    </row>
    <row r="951" spans="2:55" s="123" customFormat="1">
      <c r="B951" s="125"/>
      <c r="D951" s="125"/>
      <c r="AA951" s="74"/>
      <c r="AD951" s="208"/>
      <c r="AE951" s="124"/>
      <c r="AI951" s="74"/>
      <c r="AM951" s="74"/>
      <c r="AQ951" s="74"/>
      <c r="AU951" s="74"/>
      <c r="AY951" s="74"/>
      <c r="BC951" s="74"/>
    </row>
    <row r="952" spans="2:55" s="123" customFormat="1">
      <c r="B952" s="125"/>
      <c r="D952" s="125"/>
      <c r="AA952" s="74"/>
      <c r="AD952" s="208"/>
      <c r="AE952" s="124"/>
      <c r="AI952" s="74"/>
      <c r="AM952" s="74"/>
      <c r="AQ952" s="74"/>
      <c r="AU952" s="74"/>
      <c r="AY952" s="74"/>
      <c r="BC952" s="74"/>
    </row>
    <row r="953" spans="2:55" s="123" customFormat="1">
      <c r="B953" s="125"/>
      <c r="D953" s="125"/>
      <c r="AA953" s="74"/>
      <c r="AD953" s="208"/>
      <c r="AE953" s="124"/>
      <c r="AI953" s="74"/>
      <c r="AM953" s="74"/>
      <c r="AQ953" s="74"/>
      <c r="AU953" s="74"/>
      <c r="AY953" s="74"/>
      <c r="BC953" s="74"/>
    </row>
    <row r="954" spans="2:55" s="123" customFormat="1">
      <c r="B954" s="125"/>
      <c r="D954" s="125"/>
      <c r="AA954" s="74"/>
      <c r="AD954" s="208"/>
      <c r="AE954" s="124"/>
      <c r="AI954" s="74"/>
      <c r="AM954" s="74"/>
      <c r="AQ954" s="74"/>
      <c r="AU954" s="74"/>
      <c r="AY954" s="74"/>
      <c r="BC954" s="74"/>
    </row>
    <row r="955" spans="2:55" s="123" customFormat="1">
      <c r="B955" s="125"/>
      <c r="D955" s="125"/>
      <c r="AA955" s="74"/>
      <c r="AD955" s="208"/>
      <c r="AE955" s="124"/>
      <c r="AI955" s="74"/>
      <c r="AM955" s="74"/>
      <c r="AQ955" s="74"/>
      <c r="AU955" s="74"/>
      <c r="AY955" s="74"/>
      <c r="BC955" s="74"/>
    </row>
    <row r="956" spans="2:55" s="123" customFormat="1">
      <c r="B956" s="125"/>
      <c r="D956" s="125"/>
      <c r="AA956" s="74"/>
      <c r="AD956" s="208"/>
      <c r="AE956" s="124"/>
      <c r="AI956" s="74"/>
      <c r="AM956" s="74"/>
      <c r="AQ956" s="74"/>
      <c r="AU956" s="74"/>
      <c r="AY956" s="74"/>
      <c r="BC956" s="74"/>
    </row>
    <row r="957" spans="2:55" s="123" customFormat="1">
      <c r="B957" s="125"/>
      <c r="D957" s="125"/>
      <c r="AA957" s="74"/>
      <c r="AD957" s="208"/>
      <c r="AE957" s="124"/>
      <c r="AI957" s="74"/>
      <c r="AM957" s="74"/>
      <c r="AQ957" s="74"/>
      <c r="AU957" s="74"/>
      <c r="AY957" s="74"/>
      <c r="BC957" s="74"/>
    </row>
    <row r="958" spans="2:55" s="123" customFormat="1">
      <c r="B958" s="125"/>
      <c r="D958" s="125"/>
      <c r="AA958" s="74"/>
      <c r="AD958" s="208"/>
      <c r="AE958" s="124"/>
      <c r="AI958" s="74"/>
      <c r="AM958" s="74"/>
      <c r="AQ958" s="74"/>
      <c r="AU958" s="74"/>
      <c r="AY958" s="74"/>
      <c r="BC958" s="74"/>
    </row>
    <row r="959" spans="2:55" s="123" customFormat="1">
      <c r="B959" s="125"/>
      <c r="D959" s="125"/>
      <c r="AA959" s="74"/>
      <c r="AD959" s="208"/>
      <c r="AE959" s="124"/>
      <c r="AI959" s="74"/>
      <c r="AM959" s="74"/>
      <c r="AQ959" s="74"/>
      <c r="AU959" s="74"/>
      <c r="AY959" s="74"/>
      <c r="BC959" s="74"/>
    </row>
    <row r="960" spans="2:55" s="123" customFormat="1">
      <c r="B960" s="125"/>
      <c r="D960" s="125"/>
      <c r="AA960" s="74"/>
      <c r="AD960" s="208"/>
      <c r="AE960" s="124"/>
      <c r="AI960" s="74"/>
      <c r="AM960" s="74"/>
      <c r="AQ960" s="74"/>
      <c r="AU960" s="74"/>
      <c r="AY960" s="74"/>
      <c r="BC960" s="74"/>
    </row>
    <row r="961" spans="2:55" s="123" customFormat="1">
      <c r="B961" s="125"/>
      <c r="D961" s="125"/>
      <c r="AA961" s="74"/>
      <c r="AD961" s="208"/>
      <c r="AE961" s="124"/>
      <c r="AI961" s="74"/>
      <c r="AM961" s="74"/>
      <c r="AQ961" s="74"/>
      <c r="AU961" s="74"/>
      <c r="AY961" s="74"/>
      <c r="BC961" s="74"/>
    </row>
    <row r="962" spans="2:55" s="123" customFormat="1">
      <c r="B962" s="125"/>
      <c r="D962" s="125"/>
      <c r="AA962" s="74"/>
      <c r="AD962" s="208"/>
      <c r="AE962" s="124"/>
      <c r="AI962" s="74"/>
      <c r="AM962" s="74"/>
      <c r="AQ962" s="74"/>
      <c r="AU962" s="74"/>
      <c r="AY962" s="74"/>
      <c r="BC962" s="74"/>
    </row>
    <row r="963" spans="2:55" s="123" customFormat="1">
      <c r="B963" s="125"/>
      <c r="D963" s="125"/>
      <c r="AA963" s="74"/>
      <c r="AD963" s="208"/>
      <c r="AE963" s="124"/>
      <c r="AI963" s="74"/>
      <c r="AM963" s="74"/>
      <c r="AQ963" s="74"/>
      <c r="AU963" s="74"/>
      <c r="AY963" s="74"/>
      <c r="BC963" s="74"/>
    </row>
    <row r="964" spans="2:55" s="123" customFormat="1">
      <c r="B964" s="125"/>
      <c r="D964" s="125"/>
      <c r="AA964" s="74"/>
      <c r="AD964" s="208"/>
      <c r="AE964" s="124"/>
      <c r="AI964" s="74"/>
      <c r="AM964" s="74"/>
      <c r="AQ964" s="74"/>
      <c r="AU964" s="74"/>
      <c r="AY964" s="74"/>
      <c r="BC964" s="74"/>
    </row>
    <row r="965" spans="2:55" s="123" customFormat="1">
      <c r="B965" s="125"/>
      <c r="D965" s="125"/>
      <c r="AA965" s="74"/>
      <c r="AD965" s="208"/>
      <c r="AE965" s="124"/>
      <c r="AI965" s="74"/>
      <c r="AM965" s="74"/>
      <c r="AQ965" s="74"/>
      <c r="AU965" s="74"/>
      <c r="AY965" s="74"/>
      <c r="BC965" s="74"/>
    </row>
    <row r="966" spans="2:55" s="123" customFormat="1">
      <c r="B966" s="125"/>
      <c r="D966" s="125"/>
      <c r="AA966" s="74"/>
      <c r="AD966" s="208"/>
      <c r="AE966" s="124"/>
      <c r="AI966" s="74"/>
      <c r="AM966" s="74"/>
      <c r="AQ966" s="74"/>
      <c r="AU966" s="74"/>
      <c r="AY966" s="74"/>
      <c r="BC966" s="74"/>
    </row>
    <row r="967" spans="2:55" s="123" customFormat="1">
      <c r="B967" s="125"/>
      <c r="D967" s="125"/>
      <c r="AA967" s="74"/>
      <c r="AD967" s="208"/>
      <c r="AE967" s="124"/>
      <c r="AI967" s="74"/>
      <c r="AM967" s="74"/>
      <c r="AQ967" s="74"/>
      <c r="AU967" s="74"/>
      <c r="AY967" s="74"/>
      <c r="BC967" s="74"/>
    </row>
    <row r="968" spans="2:55" s="123" customFormat="1">
      <c r="B968" s="125"/>
      <c r="D968" s="125"/>
      <c r="AA968" s="74"/>
      <c r="AD968" s="208"/>
      <c r="AE968" s="124"/>
      <c r="AI968" s="74"/>
      <c r="AM968" s="74"/>
      <c r="AQ968" s="74"/>
      <c r="AU968" s="74"/>
      <c r="AY968" s="74"/>
      <c r="BC968" s="74"/>
    </row>
    <row r="969" spans="2:55" s="123" customFormat="1">
      <c r="B969" s="125"/>
      <c r="D969" s="125"/>
      <c r="AA969" s="74"/>
      <c r="AD969" s="208"/>
      <c r="AE969" s="124"/>
      <c r="AI969" s="74"/>
      <c r="AM969" s="74"/>
      <c r="AQ969" s="74"/>
      <c r="AU969" s="74"/>
      <c r="AY969" s="74"/>
      <c r="BC969" s="74"/>
    </row>
    <row r="970" spans="2:55" s="123" customFormat="1">
      <c r="B970" s="125"/>
      <c r="D970" s="125"/>
      <c r="AA970" s="74"/>
      <c r="AD970" s="208"/>
      <c r="AE970" s="124"/>
      <c r="AI970" s="74"/>
      <c r="AM970" s="74"/>
      <c r="AQ970" s="74"/>
      <c r="AU970" s="74"/>
      <c r="AY970" s="74"/>
      <c r="BC970" s="74"/>
    </row>
    <row r="971" spans="2:55" s="123" customFormat="1">
      <c r="B971" s="125"/>
      <c r="D971" s="125"/>
      <c r="AA971" s="74"/>
      <c r="AD971" s="208"/>
      <c r="AE971" s="124"/>
      <c r="AI971" s="74"/>
      <c r="AM971" s="74"/>
      <c r="AQ971" s="74"/>
      <c r="AU971" s="74"/>
      <c r="AY971" s="74"/>
      <c r="BC971" s="74"/>
    </row>
    <row r="972" spans="2:55" s="123" customFormat="1">
      <c r="B972" s="125"/>
      <c r="D972" s="125"/>
      <c r="AA972" s="74"/>
      <c r="AD972" s="208"/>
      <c r="AE972" s="124"/>
      <c r="AI972" s="74"/>
      <c r="AM972" s="74"/>
      <c r="AQ972" s="74"/>
      <c r="AU972" s="74"/>
      <c r="AY972" s="74"/>
      <c r="BC972" s="74"/>
    </row>
    <row r="973" spans="2:55" s="123" customFormat="1">
      <c r="B973" s="125"/>
      <c r="D973" s="125"/>
      <c r="AA973" s="74"/>
      <c r="AD973" s="208"/>
      <c r="AE973" s="124"/>
      <c r="AI973" s="74"/>
      <c r="AM973" s="74"/>
      <c r="AQ973" s="74"/>
      <c r="AU973" s="74"/>
      <c r="AY973" s="74"/>
      <c r="BC973" s="74"/>
    </row>
    <row r="974" spans="2:55" s="123" customFormat="1">
      <c r="B974" s="125"/>
      <c r="D974" s="125"/>
      <c r="AA974" s="74"/>
      <c r="AD974" s="208"/>
      <c r="AE974" s="124"/>
      <c r="AI974" s="74"/>
      <c r="AM974" s="74"/>
      <c r="AQ974" s="74"/>
      <c r="AU974" s="74"/>
      <c r="AY974" s="74"/>
      <c r="BC974" s="74"/>
    </row>
    <row r="975" spans="2:55" s="123" customFormat="1">
      <c r="B975" s="125"/>
      <c r="D975" s="125"/>
      <c r="AA975" s="74"/>
      <c r="AD975" s="208"/>
      <c r="AE975" s="124"/>
      <c r="AI975" s="74"/>
      <c r="AM975" s="74"/>
      <c r="AQ975" s="74"/>
      <c r="AU975" s="74"/>
      <c r="AY975" s="74"/>
      <c r="BC975" s="74"/>
    </row>
    <row r="976" spans="2:55" s="123" customFormat="1">
      <c r="B976" s="125"/>
      <c r="D976" s="125"/>
      <c r="AA976" s="74"/>
      <c r="AD976" s="208"/>
      <c r="AE976" s="124"/>
      <c r="AI976" s="74"/>
      <c r="AM976" s="74"/>
      <c r="AQ976" s="74"/>
      <c r="AU976" s="74"/>
      <c r="AY976" s="74"/>
      <c r="BC976" s="74"/>
    </row>
    <row r="977" spans="2:55" s="123" customFormat="1">
      <c r="B977" s="125"/>
      <c r="D977" s="125"/>
      <c r="AA977" s="74"/>
      <c r="AD977" s="208"/>
      <c r="AE977" s="124"/>
      <c r="AI977" s="74"/>
      <c r="AM977" s="74"/>
      <c r="AQ977" s="74"/>
      <c r="AU977" s="74"/>
      <c r="AY977" s="74"/>
      <c r="BC977" s="74"/>
    </row>
    <row r="978" spans="2:55" s="123" customFormat="1">
      <c r="B978" s="125"/>
      <c r="D978" s="125"/>
      <c r="AA978" s="74"/>
      <c r="AD978" s="208"/>
      <c r="AE978" s="124"/>
      <c r="AI978" s="74"/>
      <c r="AM978" s="74"/>
      <c r="AQ978" s="74"/>
      <c r="AU978" s="74"/>
      <c r="AY978" s="74"/>
      <c r="BC978" s="74"/>
    </row>
    <row r="979" spans="2:55" s="123" customFormat="1">
      <c r="B979" s="125"/>
      <c r="D979" s="125"/>
      <c r="AA979" s="74"/>
      <c r="AD979" s="208"/>
      <c r="AE979" s="124"/>
      <c r="AI979" s="74"/>
      <c r="AM979" s="74"/>
      <c r="AQ979" s="74"/>
      <c r="AU979" s="74"/>
      <c r="AY979" s="74"/>
      <c r="BC979" s="74"/>
    </row>
    <row r="980" spans="2:55" s="123" customFormat="1">
      <c r="B980" s="125"/>
      <c r="D980" s="125"/>
      <c r="AA980" s="74"/>
      <c r="AD980" s="208"/>
      <c r="AE980" s="124"/>
      <c r="AI980" s="74"/>
      <c r="AM980" s="74"/>
      <c r="AQ980" s="74"/>
      <c r="AU980" s="74"/>
      <c r="AY980" s="74"/>
      <c r="BC980" s="74"/>
    </row>
    <row r="981" spans="2:55" s="123" customFormat="1">
      <c r="B981" s="125"/>
      <c r="D981" s="125"/>
      <c r="AA981" s="74"/>
      <c r="AD981" s="208"/>
      <c r="AE981" s="124"/>
      <c r="AI981" s="74"/>
      <c r="AM981" s="74"/>
      <c r="AQ981" s="74"/>
      <c r="AU981" s="74"/>
      <c r="AY981" s="74"/>
      <c r="BC981" s="74"/>
    </row>
    <row r="982" spans="2:55" s="123" customFormat="1">
      <c r="B982" s="125"/>
      <c r="D982" s="125"/>
      <c r="AA982" s="74"/>
      <c r="AD982" s="208"/>
      <c r="AE982" s="124"/>
      <c r="AI982" s="74"/>
      <c r="AM982" s="74"/>
      <c r="AQ982" s="74"/>
      <c r="AU982" s="74"/>
      <c r="AY982" s="74"/>
      <c r="BC982" s="74"/>
    </row>
    <row r="983" spans="2:55" s="123" customFormat="1">
      <c r="B983" s="125"/>
      <c r="D983" s="125"/>
      <c r="AA983" s="74"/>
      <c r="AD983" s="208"/>
      <c r="AE983" s="124"/>
      <c r="AI983" s="74"/>
      <c r="AM983" s="74"/>
      <c r="AQ983" s="74"/>
      <c r="AU983" s="74"/>
      <c r="AY983" s="74"/>
      <c r="BC983" s="74"/>
    </row>
    <row r="984" spans="2:55" s="123" customFormat="1">
      <c r="B984" s="125"/>
      <c r="D984" s="125"/>
      <c r="AA984" s="74"/>
      <c r="AD984" s="208"/>
      <c r="AE984" s="124"/>
      <c r="AI984" s="74"/>
      <c r="AM984" s="74"/>
      <c r="AQ984" s="74"/>
      <c r="AU984" s="74"/>
      <c r="AY984" s="74"/>
      <c r="BC984" s="74"/>
    </row>
    <row r="985" spans="2:55" s="123" customFormat="1">
      <c r="B985" s="125"/>
      <c r="D985" s="125"/>
      <c r="AA985" s="74"/>
      <c r="AD985" s="208"/>
      <c r="AE985" s="124"/>
      <c r="AI985" s="74"/>
      <c r="AM985" s="74"/>
      <c r="AQ985" s="74"/>
      <c r="AU985" s="74"/>
      <c r="AY985" s="74"/>
      <c r="BC985" s="74"/>
    </row>
    <row r="986" spans="2:55" s="123" customFormat="1">
      <c r="B986" s="125"/>
      <c r="D986" s="125"/>
      <c r="AA986" s="74"/>
      <c r="AD986" s="208"/>
      <c r="AE986" s="124"/>
      <c r="AI986" s="74"/>
      <c r="AM986" s="74"/>
      <c r="AQ986" s="74"/>
      <c r="AU986" s="74"/>
      <c r="AY986" s="74"/>
      <c r="BC986" s="74"/>
    </row>
    <row r="987" spans="2:55" s="123" customFormat="1">
      <c r="B987" s="125"/>
      <c r="D987" s="125"/>
      <c r="AA987" s="74"/>
      <c r="AD987" s="208"/>
      <c r="AE987" s="124"/>
      <c r="AI987" s="74"/>
      <c r="AM987" s="74"/>
      <c r="AQ987" s="74"/>
      <c r="AU987" s="74"/>
      <c r="AY987" s="74"/>
      <c r="BC987" s="74"/>
    </row>
    <row r="988" spans="2:55" s="123" customFormat="1">
      <c r="B988" s="125"/>
      <c r="D988" s="125"/>
      <c r="AA988" s="74"/>
      <c r="AD988" s="208"/>
      <c r="AE988" s="124"/>
      <c r="AI988" s="74"/>
      <c r="AM988" s="74"/>
      <c r="AQ988" s="74"/>
      <c r="AU988" s="74"/>
      <c r="AY988" s="74"/>
      <c r="BC988" s="74"/>
    </row>
    <row r="989" spans="2:55" s="123" customFormat="1">
      <c r="B989" s="125"/>
      <c r="D989" s="125"/>
      <c r="AA989" s="74"/>
      <c r="AD989" s="208"/>
      <c r="AE989" s="124"/>
      <c r="AI989" s="74"/>
      <c r="AM989" s="74"/>
      <c r="AQ989" s="74"/>
      <c r="AU989" s="74"/>
      <c r="AY989" s="74"/>
      <c r="BC989" s="74"/>
    </row>
    <row r="990" spans="2:55" s="123" customFormat="1">
      <c r="B990" s="125"/>
      <c r="D990" s="125"/>
      <c r="AA990" s="74"/>
      <c r="AD990" s="208"/>
      <c r="AE990" s="124"/>
      <c r="AI990" s="74"/>
      <c r="AM990" s="74"/>
      <c r="AQ990" s="74"/>
      <c r="AU990" s="74"/>
      <c r="AY990" s="74"/>
      <c r="BC990" s="74"/>
    </row>
    <row r="991" spans="2:55" s="123" customFormat="1">
      <c r="B991" s="125"/>
      <c r="D991" s="125"/>
      <c r="AA991" s="74"/>
      <c r="AD991" s="208"/>
      <c r="AE991" s="124"/>
      <c r="AI991" s="74"/>
      <c r="AM991" s="74"/>
      <c r="AQ991" s="74"/>
      <c r="AU991" s="74"/>
      <c r="AY991" s="74"/>
      <c r="BC991" s="74"/>
    </row>
    <row r="992" spans="2:55" s="123" customFormat="1">
      <c r="B992" s="125"/>
      <c r="D992" s="125"/>
      <c r="AA992" s="74"/>
      <c r="AD992" s="208"/>
      <c r="AE992" s="124"/>
      <c r="AI992" s="74"/>
      <c r="AM992" s="74"/>
      <c r="AQ992" s="74"/>
      <c r="AU992" s="74"/>
      <c r="AY992" s="74"/>
      <c r="BC992" s="74"/>
    </row>
    <row r="993" spans="2:55" s="123" customFormat="1">
      <c r="B993" s="125"/>
      <c r="D993" s="125"/>
      <c r="AA993" s="74"/>
      <c r="AD993" s="208"/>
      <c r="AE993" s="124"/>
      <c r="AI993" s="74"/>
      <c r="AM993" s="74"/>
      <c r="AQ993" s="74"/>
      <c r="AU993" s="74"/>
      <c r="AY993" s="74"/>
      <c r="BC993" s="74"/>
    </row>
    <row r="994" spans="2:55" s="123" customFormat="1">
      <c r="B994" s="125"/>
      <c r="D994" s="125"/>
      <c r="AA994" s="74"/>
      <c r="AD994" s="208"/>
      <c r="AE994" s="124"/>
      <c r="AI994" s="74"/>
      <c r="AM994" s="74"/>
      <c r="AQ994" s="74"/>
      <c r="AU994" s="74"/>
      <c r="AY994" s="74"/>
      <c r="BC994" s="74"/>
    </row>
    <row r="995" spans="2:55" s="123" customFormat="1">
      <c r="B995" s="125"/>
      <c r="D995" s="125"/>
      <c r="AA995" s="74"/>
      <c r="AD995" s="208"/>
      <c r="AE995" s="124"/>
      <c r="AI995" s="74"/>
      <c r="AM995" s="74"/>
      <c r="AQ995" s="74"/>
      <c r="AU995" s="74"/>
      <c r="AY995" s="74"/>
      <c r="BC995" s="74"/>
    </row>
    <row r="996" spans="2:55" s="123" customFormat="1">
      <c r="B996" s="125"/>
      <c r="D996" s="125"/>
      <c r="AA996" s="74"/>
      <c r="AD996" s="208"/>
      <c r="AE996" s="124"/>
      <c r="AI996" s="74"/>
      <c r="AM996" s="74"/>
      <c r="AQ996" s="74"/>
      <c r="AU996" s="74"/>
      <c r="AY996" s="74"/>
      <c r="BC996" s="74"/>
    </row>
    <row r="997" spans="2:55" s="123" customFormat="1">
      <c r="B997" s="125"/>
      <c r="D997" s="125"/>
      <c r="AA997" s="74"/>
      <c r="AD997" s="208"/>
      <c r="AE997" s="124"/>
      <c r="AI997" s="74"/>
      <c r="AM997" s="74"/>
      <c r="AQ997" s="74"/>
      <c r="AU997" s="74"/>
      <c r="AY997" s="74"/>
      <c r="BC997" s="74"/>
    </row>
    <row r="998" spans="2:55" s="123" customFormat="1">
      <c r="B998" s="125"/>
      <c r="D998" s="125"/>
      <c r="AA998" s="74"/>
      <c r="AD998" s="208"/>
      <c r="AE998" s="124"/>
      <c r="AI998" s="74"/>
      <c r="AM998" s="74"/>
      <c r="AQ998" s="74"/>
      <c r="AU998" s="74"/>
      <c r="AY998" s="74"/>
      <c r="BC998" s="74"/>
    </row>
    <row r="999" spans="2:55" s="123" customFormat="1">
      <c r="B999" s="125"/>
      <c r="D999" s="125"/>
      <c r="AA999" s="74"/>
      <c r="AD999" s="208"/>
      <c r="AE999" s="124"/>
      <c r="AI999" s="74"/>
      <c r="AM999" s="74"/>
      <c r="AQ999" s="74"/>
      <c r="AU999" s="74"/>
      <c r="AY999" s="74"/>
      <c r="BC999" s="74"/>
    </row>
    <row r="1000" spans="2:55" s="123" customFormat="1">
      <c r="B1000" s="125"/>
      <c r="D1000" s="125"/>
      <c r="AA1000" s="74"/>
      <c r="AD1000" s="208"/>
      <c r="AE1000" s="124"/>
      <c r="AI1000" s="74"/>
      <c r="AM1000" s="74"/>
      <c r="AQ1000" s="74"/>
      <c r="AU1000" s="74"/>
      <c r="AY1000" s="74"/>
      <c r="BC1000" s="74"/>
    </row>
    <row r="1001" spans="2:55" s="123" customFormat="1">
      <c r="B1001" s="125"/>
      <c r="D1001" s="125"/>
      <c r="AA1001" s="74"/>
      <c r="AD1001" s="208"/>
      <c r="AE1001" s="124"/>
      <c r="AI1001" s="74"/>
      <c r="AM1001" s="74"/>
      <c r="AQ1001" s="74"/>
      <c r="AU1001" s="74"/>
      <c r="AY1001" s="74"/>
      <c r="BC1001" s="74"/>
    </row>
    <row r="1002" spans="2:55" s="123" customFormat="1">
      <c r="B1002" s="125"/>
      <c r="D1002" s="125"/>
      <c r="AA1002" s="74"/>
      <c r="AD1002" s="208"/>
      <c r="AE1002" s="124"/>
      <c r="AI1002" s="74"/>
      <c r="AM1002" s="74"/>
      <c r="AQ1002" s="74"/>
      <c r="AU1002" s="74"/>
      <c r="AY1002" s="74"/>
      <c r="BC1002" s="74"/>
    </row>
    <row r="1003" spans="2:55" s="123" customFormat="1">
      <c r="B1003" s="125"/>
      <c r="D1003" s="125"/>
      <c r="AA1003" s="74"/>
      <c r="AD1003" s="208"/>
      <c r="AE1003" s="124"/>
      <c r="AI1003" s="74"/>
      <c r="AM1003" s="74"/>
      <c r="AQ1003" s="74"/>
      <c r="AU1003" s="74"/>
      <c r="AY1003" s="74"/>
      <c r="BC1003" s="74"/>
    </row>
    <row r="1004" spans="2:55" s="123" customFormat="1">
      <c r="B1004" s="125"/>
      <c r="D1004" s="125"/>
      <c r="AA1004" s="74"/>
      <c r="AD1004" s="208"/>
      <c r="AE1004" s="124"/>
      <c r="AI1004" s="74"/>
      <c r="AM1004" s="74"/>
      <c r="AQ1004" s="74"/>
      <c r="AU1004" s="74"/>
      <c r="AY1004" s="74"/>
      <c r="BC1004" s="74"/>
    </row>
    <row r="1005" spans="2:55" s="123" customFormat="1">
      <c r="B1005" s="125"/>
      <c r="D1005" s="125"/>
      <c r="AA1005" s="74"/>
      <c r="AD1005" s="208"/>
      <c r="AE1005" s="124"/>
      <c r="AI1005" s="74"/>
      <c r="AM1005" s="74"/>
      <c r="AQ1005" s="74"/>
      <c r="AU1005" s="74"/>
      <c r="AY1005" s="74"/>
      <c r="BC1005" s="74"/>
    </row>
    <row r="1006" spans="2:55" s="123" customFormat="1">
      <c r="B1006" s="125"/>
      <c r="D1006" s="125"/>
      <c r="AA1006" s="74"/>
      <c r="AD1006" s="208"/>
      <c r="AE1006" s="124"/>
      <c r="AI1006" s="74"/>
      <c r="AM1006" s="74"/>
      <c r="AQ1006" s="74"/>
      <c r="AU1006" s="74"/>
      <c r="AY1006" s="74"/>
      <c r="BC1006" s="74"/>
    </row>
    <row r="1007" spans="2:55" s="123" customFormat="1">
      <c r="B1007" s="125"/>
      <c r="D1007" s="125"/>
      <c r="AA1007" s="74"/>
      <c r="AD1007" s="208"/>
      <c r="AE1007" s="124"/>
      <c r="AI1007" s="74"/>
      <c r="AM1007" s="74"/>
      <c r="AQ1007" s="74"/>
      <c r="AU1007" s="74"/>
      <c r="AY1007" s="74"/>
      <c r="BC1007" s="74"/>
    </row>
    <row r="1008" spans="2:55" s="123" customFormat="1">
      <c r="B1008" s="125"/>
      <c r="D1008" s="125"/>
      <c r="AA1008" s="74"/>
      <c r="AD1008" s="208"/>
      <c r="AE1008" s="124"/>
      <c r="AI1008" s="74"/>
      <c r="AM1008" s="74"/>
      <c r="AQ1008" s="74"/>
      <c r="AU1008" s="74"/>
      <c r="AY1008" s="74"/>
      <c r="BC1008" s="74"/>
    </row>
    <row r="1009" spans="2:55" s="123" customFormat="1">
      <c r="B1009" s="125"/>
      <c r="D1009" s="125"/>
      <c r="AA1009" s="74"/>
      <c r="AD1009" s="208"/>
      <c r="AE1009" s="124"/>
      <c r="AI1009" s="74"/>
      <c r="AM1009" s="74"/>
      <c r="AQ1009" s="74"/>
      <c r="AU1009" s="74"/>
      <c r="AY1009" s="74"/>
      <c r="BC1009" s="74"/>
    </row>
    <row r="1010" spans="2:55" s="123" customFormat="1">
      <c r="B1010" s="125"/>
      <c r="D1010" s="125"/>
      <c r="AA1010" s="74"/>
      <c r="AD1010" s="208"/>
      <c r="AE1010" s="124"/>
      <c r="AI1010" s="74"/>
      <c r="AM1010" s="74"/>
      <c r="AQ1010" s="74"/>
      <c r="AU1010" s="74"/>
      <c r="AY1010" s="74"/>
      <c r="BC1010" s="74"/>
    </row>
    <row r="1011" spans="2:55" s="123" customFormat="1">
      <c r="B1011" s="125"/>
      <c r="D1011" s="125"/>
      <c r="AA1011" s="74"/>
      <c r="AD1011" s="208"/>
      <c r="AE1011" s="124"/>
      <c r="AI1011" s="74"/>
      <c r="AM1011" s="74"/>
      <c r="AQ1011" s="74"/>
      <c r="AU1011" s="74"/>
      <c r="AY1011" s="74"/>
      <c r="BC1011" s="74"/>
    </row>
    <row r="1012" spans="2:55" s="123" customFormat="1">
      <c r="B1012" s="125"/>
      <c r="D1012" s="125"/>
      <c r="AA1012" s="74"/>
      <c r="AD1012" s="208"/>
      <c r="AE1012" s="124"/>
      <c r="AI1012" s="74"/>
      <c r="AM1012" s="74"/>
      <c r="AQ1012" s="74"/>
      <c r="AU1012" s="74"/>
      <c r="AY1012" s="74"/>
      <c r="BC1012" s="74"/>
    </row>
    <row r="1013" spans="2:55" s="123" customFormat="1">
      <c r="B1013" s="125"/>
      <c r="D1013" s="125"/>
      <c r="AA1013" s="74"/>
      <c r="AD1013" s="208"/>
      <c r="AE1013" s="124"/>
      <c r="AI1013" s="74"/>
      <c r="AM1013" s="74"/>
      <c r="AQ1013" s="74"/>
      <c r="AU1013" s="74"/>
      <c r="AY1013" s="74"/>
      <c r="BC1013" s="74"/>
    </row>
    <row r="1014" spans="2:55" s="123" customFormat="1">
      <c r="B1014" s="125"/>
      <c r="D1014" s="125"/>
      <c r="AA1014" s="74"/>
      <c r="AD1014" s="208"/>
      <c r="AE1014" s="124"/>
      <c r="AI1014" s="74"/>
      <c r="AM1014" s="74"/>
      <c r="AQ1014" s="74"/>
      <c r="AU1014" s="74"/>
      <c r="AY1014" s="74"/>
      <c r="BC1014" s="74"/>
    </row>
    <row r="1015" spans="2:55" s="123" customFormat="1">
      <c r="B1015" s="125"/>
      <c r="D1015" s="125"/>
      <c r="AA1015" s="74"/>
      <c r="AD1015" s="208"/>
      <c r="AE1015" s="124"/>
      <c r="AI1015" s="74"/>
      <c r="AM1015" s="74"/>
      <c r="AQ1015" s="74"/>
      <c r="AU1015" s="74"/>
      <c r="AY1015" s="74"/>
      <c r="BC1015" s="74"/>
    </row>
    <row r="1016" spans="2:55" s="123" customFormat="1">
      <c r="B1016" s="125"/>
      <c r="D1016" s="125"/>
      <c r="AA1016" s="74"/>
      <c r="AD1016" s="208"/>
      <c r="AE1016" s="124"/>
      <c r="AI1016" s="74"/>
      <c r="AM1016" s="74"/>
      <c r="AQ1016" s="74"/>
      <c r="AU1016" s="74"/>
      <c r="AY1016" s="74"/>
      <c r="BC1016" s="74"/>
    </row>
    <row r="1017" spans="2:55" s="123" customFormat="1">
      <c r="B1017" s="125"/>
      <c r="D1017" s="125"/>
      <c r="AA1017" s="74"/>
      <c r="AD1017" s="208"/>
      <c r="AE1017" s="124"/>
      <c r="AI1017" s="74"/>
      <c r="AM1017" s="74"/>
      <c r="AQ1017" s="74"/>
      <c r="AU1017" s="74"/>
      <c r="AY1017" s="74"/>
      <c r="BC1017" s="74"/>
    </row>
    <row r="1018" spans="2:55" s="123" customFormat="1">
      <c r="B1018" s="125"/>
      <c r="D1018" s="125"/>
      <c r="AA1018" s="74"/>
      <c r="AD1018" s="208"/>
      <c r="AE1018" s="124"/>
      <c r="AI1018" s="74"/>
      <c r="AM1018" s="74"/>
      <c r="AQ1018" s="74"/>
      <c r="AU1018" s="74"/>
      <c r="AY1018" s="74"/>
      <c r="BC1018" s="74"/>
    </row>
    <row r="1019" spans="2:55" s="123" customFormat="1">
      <c r="B1019" s="125"/>
      <c r="D1019" s="125"/>
      <c r="AA1019" s="74"/>
      <c r="AD1019" s="208"/>
      <c r="AE1019" s="124"/>
      <c r="AI1019" s="74"/>
      <c r="AM1019" s="74"/>
      <c r="AQ1019" s="74"/>
      <c r="AU1019" s="74"/>
      <c r="AY1019" s="74"/>
      <c r="BC1019" s="74"/>
    </row>
    <row r="1020" spans="2:55" s="123" customFormat="1">
      <c r="B1020" s="125"/>
      <c r="D1020" s="125"/>
      <c r="AA1020" s="74"/>
      <c r="AD1020" s="208"/>
      <c r="AE1020" s="124"/>
      <c r="AI1020" s="74"/>
      <c r="AM1020" s="74"/>
      <c r="AQ1020" s="74"/>
      <c r="AU1020" s="74"/>
      <c r="AY1020" s="74"/>
      <c r="BC1020" s="74"/>
    </row>
    <row r="1021" spans="2:55" s="123" customFormat="1">
      <c r="B1021" s="125"/>
      <c r="D1021" s="125"/>
      <c r="AA1021" s="74"/>
      <c r="AD1021" s="208"/>
      <c r="AE1021" s="124"/>
      <c r="AI1021" s="74"/>
      <c r="AM1021" s="74"/>
      <c r="AQ1021" s="74"/>
      <c r="AU1021" s="74"/>
      <c r="AY1021" s="74"/>
      <c r="BC1021" s="74"/>
    </row>
    <row r="1022" spans="2:55" s="123" customFormat="1">
      <c r="B1022" s="125"/>
      <c r="D1022" s="125"/>
      <c r="AA1022" s="74"/>
      <c r="AD1022" s="208"/>
      <c r="AE1022" s="124"/>
      <c r="AI1022" s="74"/>
      <c r="AM1022" s="74"/>
      <c r="AQ1022" s="74"/>
      <c r="AU1022" s="74"/>
      <c r="AY1022" s="74"/>
      <c r="BC1022" s="74"/>
    </row>
    <row r="1023" spans="2:55" s="123" customFormat="1">
      <c r="B1023" s="125"/>
      <c r="D1023" s="125"/>
      <c r="AA1023" s="74"/>
      <c r="AD1023" s="208"/>
      <c r="AE1023" s="124"/>
      <c r="AI1023" s="74"/>
      <c r="AM1023" s="74"/>
      <c r="AQ1023" s="74"/>
      <c r="AU1023" s="74"/>
      <c r="AY1023" s="74"/>
      <c r="BC1023" s="74"/>
    </row>
    <row r="1024" spans="2:55" s="123" customFormat="1">
      <c r="B1024" s="125"/>
      <c r="D1024" s="125"/>
      <c r="AA1024" s="74"/>
      <c r="AD1024" s="208"/>
      <c r="AE1024" s="124"/>
      <c r="AI1024" s="74"/>
      <c r="AM1024" s="74"/>
      <c r="AQ1024" s="74"/>
      <c r="AU1024" s="74"/>
      <c r="AY1024" s="74"/>
      <c r="BC1024" s="74"/>
    </row>
    <row r="1025" spans="2:55" s="123" customFormat="1">
      <c r="B1025" s="125"/>
      <c r="D1025" s="125"/>
      <c r="AA1025" s="74"/>
      <c r="AD1025" s="208"/>
      <c r="AE1025" s="124"/>
      <c r="AI1025" s="74"/>
      <c r="AM1025" s="74"/>
      <c r="AQ1025" s="74"/>
      <c r="AU1025" s="74"/>
      <c r="AY1025" s="74"/>
      <c r="BC1025" s="74"/>
    </row>
    <row r="1026" spans="2:55" s="123" customFormat="1">
      <c r="B1026" s="125"/>
      <c r="D1026" s="125"/>
      <c r="AA1026" s="74"/>
      <c r="AD1026" s="208"/>
      <c r="AE1026" s="124"/>
      <c r="AI1026" s="74"/>
      <c r="AM1026" s="74"/>
      <c r="AQ1026" s="74"/>
      <c r="AU1026" s="74"/>
      <c r="AY1026" s="74"/>
      <c r="BC1026" s="74"/>
    </row>
    <row r="1027" spans="2:55" s="123" customFormat="1">
      <c r="B1027" s="125"/>
      <c r="D1027" s="125"/>
      <c r="AA1027" s="74"/>
      <c r="AD1027" s="208"/>
      <c r="AE1027" s="124"/>
      <c r="AI1027" s="74"/>
      <c r="AM1027" s="74"/>
      <c r="AQ1027" s="74"/>
      <c r="AU1027" s="74"/>
      <c r="AY1027" s="74"/>
      <c r="BC1027" s="74"/>
    </row>
    <row r="1028" spans="2:55" s="123" customFormat="1">
      <c r="B1028" s="125"/>
      <c r="D1028" s="125"/>
      <c r="AA1028" s="74"/>
      <c r="AD1028" s="208"/>
      <c r="AE1028" s="124"/>
      <c r="AI1028" s="74"/>
      <c r="AM1028" s="74"/>
      <c r="AQ1028" s="74"/>
      <c r="AU1028" s="74"/>
      <c r="AY1028" s="74"/>
      <c r="BC1028" s="74"/>
    </row>
    <row r="1029" spans="2:55" s="123" customFormat="1">
      <c r="B1029" s="125"/>
      <c r="D1029" s="125"/>
      <c r="AA1029" s="74"/>
      <c r="AD1029" s="208"/>
      <c r="AE1029" s="124"/>
      <c r="AI1029" s="74"/>
      <c r="AM1029" s="74"/>
      <c r="AQ1029" s="74"/>
      <c r="AU1029" s="74"/>
      <c r="AY1029" s="74"/>
      <c r="BC1029" s="74"/>
    </row>
    <row r="1030" spans="2:55" s="123" customFormat="1">
      <c r="B1030" s="125"/>
      <c r="D1030" s="125"/>
      <c r="AA1030" s="74"/>
      <c r="AD1030" s="208"/>
      <c r="AE1030" s="124"/>
      <c r="AI1030" s="74"/>
      <c r="AM1030" s="74"/>
      <c r="AQ1030" s="74"/>
      <c r="AU1030" s="74"/>
      <c r="AY1030" s="74"/>
      <c r="BC1030" s="74"/>
    </row>
    <row r="1031" spans="2:55" s="123" customFormat="1">
      <c r="B1031" s="125"/>
      <c r="D1031" s="125"/>
      <c r="AA1031" s="74"/>
      <c r="AD1031" s="208"/>
      <c r="AE1031" s="124"/>
      <c r="AI1031" s="74"/>
      <c r="AM1031" s="74"/>
      <c r="AQ1031" s="74"/>
      <c r="AU1031" s="74"/>
      <c r="AY1031" s="74"/>
      <c r="BC1031" s="74"/>
    </row>
    <row r="1032" spans="2:55" s="123" customFormat="1">
      <c r="B1032" s="125"/>
      <c r="D1032" s="125"/>
      <c r="AA1032" s="74"/>
      <c r="AD1032" s="208"/>
      <c r="AE1032" s="124"/>
      <c r="AI1032" s="74"/>
      <c r="AM1032" s="74"/>
      <c r="AQ1032" s="74"/>
      <c r="AU1032" s="74"/>
      <c r="AY1032" s="74"/>
      <c r="BC1032" s="74"/>
    </row>
    <row r="1033" spans="2:55" s="123" customFormat="1">
      <c r="B1033" s="125"/>
      <c r="D1033" s="125"/>
      <c r="AA1033" s="74"/>
      <c r="AD1033" s="208"/>
      <c r="AE1033" s="124"/>
      <c r="AI1033" s="74"/>
      <c r="AM1033" s="74"/>
      <c r="AQ1033" s="74"/>
      <c r="AU1033" s="74"/>
      <c r="AY1033" s="74"/>
      <c r="BC1033" s="74"/>
    </row>
    <row r="1034" spans="2:55" s="123" customFormat="1">
      <c r="B1034" s="125"/>
      <c r="D1034" s="125"/>
      <c r="AA1034" s="74"/>
      <c r="AD1034" s="208"/>
      <c r="AE1034" s="124"/>
      <c r="AI1034" s="74"/>
      <c r="AM1034" s="74"/>
      <c r="AQ1034" s="74"/>
      <c r="AU1034" s="74"/>
      <c r="AY1034" s="74"/>
      <c r="BC1034" s="74"/>
    </row>
    <row r="1035" spans="2:55" s="123" customFormat="1">
      <c r="B1035" s="125"/>
      <c r="D1035" s="125"/>
      <c r="AA1035" s="74"/>
      <c r="AD1035" s="208"/>
      <c r="AE1035" s="124"/>
      <c r="AI1035" s="74"/>
      <c r="AM1035" s="74"/>
      <c r="AQ1035" s="74"/>
      <c r="AU1035" s="74"/>
      <c r="AY1035" s="74"/>
      <c r="BC1035" s="74"/>
    </row>
    <row r="1036" spans="2:55" s="123" customFormat="1">
      <c r="B1036" s="125"/>
      <c r="D1036" s="125"/>
      <c r="AA1036" s="74"/>
      <c r="AD1036" s="208"/>
      <c r="AE1036" s="124"/>
      <c r="AI1036" s="74"/>
      <c r="AM1036" s="74"/>
      <c r="AQ1036" s="74"/>
      <c r="AU1036" s="74"/>
      <c r="AY1036" s="74"/>
      <c r="BC1036" s="74"/>
    </row>
    <row r="1037" spans="2:55" s="123" customFormat="1">
      <c r="B1037" s="125"/>
      <c r="D1037" s="125"/>
      <c r="AA1037" s="74"/>
      <c r="AD1037" s="208"/>
      <c r="AE1037" s="124"/>
      <c r="AI1037" s="74"/>
      <c r="AM1037" s="74"/>
      <c r="AQ1037" s="74"/>
      <c r="AU1037" s="74"/>
      <c r="AY1037" s="74"/>
      <c r="BC1037" s="74"/>
    </row>
    <row r="1038" spans="2:55" s="123" customFormat="1">
      <c r="B1038" s="125"/>
      <c r="D1038" s="125"/>
      <c r="AA1038" s="74"/>
      <c r="AD1038" s="208"/>
      <c r="AE1038" s="124"/>
      <c r="AI1038" s="74"/>
      <c r="AM1038" s="74"/>
      <c r="AQ1038" s="74"/>
      <c r="AU1038" s="74"/>
      <c r="AY1038" s="74"/>
      <c r="BC1038" s="74"/>
    </row>
    <row r="1039" spans="2:55" s="123" customFormat="1">
      <c r="B1039" s="125"/>
      <c r="D1039" s="125"/>
      <c r="AA1039" s="74"/>
      <c r="AD1039" s="208"/>
      <c r="AE1039" s="124"/>
      <c r="AI1039" s="74"/>
      <c r="AM1039" s="74"/>
      <c r="AQ1039" s="74"/>
      <c r="AU1039" s="74"/>
      <c r="AY1039" s="74"/>
      <c r="BC1039" s="74"/>
    </row>
    <row r="1040" spans="2:55" s="123" customFormat="1">
      <c r="B1040" s="125"/>
      <c r="D1040" s="125"/>
      <c r="AA1040" s="74"/>
      <c r="AD1040" s="208"/>
      <c r="AE1040" s="124"/>
      <c r="AI1040" s="74"/>
      <c r="AM1040" s="74"/>
      <c r="AQ1040" s="74"/>
      <c r="AU1040" s="74"/>
      <c r="AY1040" s="74"/>
      <c r="BC1040" s="74"/>
    </row>
    <row r="1041" spans="2:55" s="123" customFormat="1">
      <c r="B1041" s="125"/>
      <c r="D1041" s="125"/>
      <c r="AA1041" s="74"/>
      <c r="AD1041" s="208"/>
      <c r="AE1041" s="124"/>
      <c r="AI1041" s="74"/>
      <c r="AM1041" s="74"/>
      <c r="AQ1041" s="74"/>
      <c r="AU1041" s="74"/>
      <c r="AY1041" s="74"/>
      <c r="BC1041" s="74"/>
    </row>
    <row r="1042" spans="2:55" s="123" customFormat="1">
      <c r="B1042" s="125"/>
      <c r="D1042" s="125"/>
      <c r="AA1042" s="74"/>
      <c r="AD1042" s="208"/>
      <c r="AE1042" s="124"/>
      <c r="AI1042" s="74"/>
      <c r="AM1042" s="74"/>
      <c r="AQ1042" s="74"/>
      <c r="AU1042" s="74"/>
      <c r="AY1042" s="74"/>
      <c r="BC1042" s="74"/>
    </row>
    <row r="1043" spans="2:55" s="123" customFormat="1">
      <c r="B1043" s="125"/>
      <c r="D1043" s="125"/>
      <c r="AA1043" s="74"/>
      <c r="AD1043" s="208"/>
      <c r="AE1043" s="124"/>
      <c r="AI1043" s="74"/>
      <c r="AM1043" s="74"/>
      <c r="AQ1043" s="74"/>
      <c r="AU1043" s="74"/>
      <c r="AY1043" s="74"/>
      <c r="BC1043" s="74"/>
    </row>
    <row r="1044" spans="2:55" s="123" customFormat="1">
      <c r="B1044" s="125"/>
      <c r="D1044" s="125"/>
      <c r="AA1044" s="74"/>
      <c r="AD1044" s="208"/>
      <c r="AE1044" s="124"/>
      <c r="AI1044" s="74"/>
      <c r="AM1044" s="74"/>
      <c r="AQ1044" s="74"/>
      <c r="AU1044" s="74"/>
      <c r="AY1044" s="74"/>
      <c r="BC1044" s="74"/>
    </row>
    <row r="1045" spans="2:55" s="123" customFormat="1">
      <c r="B1045" s="125"/>
      <c r="D1045" s="125"/>
      <c r="AA1045" s="74"/>
      <c r="AD1045" s="208"/>
      <c r="AE1045" s="124"/>
      <c r="AI1045" s="74"/>
      <c r="AM1045" s="74"/>
      <c r="AQ1045" s="74"/>
      <c r="AU1045" s="74"/>
      <c r="AY1045" s="74"/>
      <c r="BC1045" s="74"/>
    </row>
    <row r="1046" spans="2:55" s="123" customFormat="1">
      <c r="B1046" s="125"/>
      <c r="D1046" s="125"/>
      <c r="AA1046" s="74"/>
      <c r="AD1046" s="208"/>
      <c r="AE1046" s="124"/>
      <c r="AI1046" s="74"/>
      <c r="AM1046" s="74"/>
      <c r="AQ1046" s="74"/>
      <c r="AU1046" s="74"/>
      <c r="AY1046" s="74"/>
      <c r="BC1046" s="74"/>
    </row>
    <row r="1047" spans="2:55" s="123" customFormat="1">
      <c r="B1047" s="125"/>
      <c r="D1047" s="125"/>
      <c r="AA1047" s="74"/>
      <c r="AD1047" s="208"/>
      <c r="AE1047" s="124"/>
      <c r="AI1047" s="74"/>
      <c r="AM1047" s="74"/>
      <c r="AQ1047" s="74"/>
      <c r="AU1047" s="74"/>
      <c r="AY1047" s="74"/>
      <c r="BC1047" s="74"/>
    </row>
    <row r="1048" spans="2:55" s="123" customFormat="1">
      <c r="B1048" s="125"/>
      <c r="D1048" s="125"/>
      <c r="AA1048" s="74"/>
      <c r="AD1048" s="208"/>
      <c r="AE1048" s="124"/>
      <c r="AI1048" s="74"/>
      <c r="AM1048" s="74"/>
      <c r="AQ1048" s="74"/>
      <c r="AU1048" s="74"/>
      <c r="AY1048" s="74"/>
      <c r="BC1048" s="74"/>
    </row>
    <row r="1049" spans="2:55" s="123" customFormat="1">
      <c r="B1049" s="125"/>
      <c r="D1049" s="125"/>
      <c r="AA1049" s="74"/>
      <c r="AD1049" s="208"/>
      <c r="AE1049" s="124"/>
      <c r="AI1049" s="74"/>
      <c r="AM1049" s="74"/>
      <c r="AQ1049" s="74"/>
      <c r="AU1049" s="74"/>
      <c r="AY1049" s="74"/>
      <c r="BC1049" s="74"/>
    </row>
    <row r="1050" spans="2:55" s="123" customFormat="1">
      <c r="B1050" s="125"/>
      <c r="D1050" s="125"/>
      <c r="AA1050" s="74"/>
      <c r="AD1050" s="208"/>
      <c r="AE1050" s="124"/>
      <c r="AI1050" s="74"/>
      <c r="AM1050" s="74"/>
      <c r="AQ1050" s="74"/>
      <c r="AU1050" s="74"/>
      <c r="AY1050" s="74"/>
      <c r="BC1050" s="74"/>
    </row>
    <row r="1051" spans="2:55" s="123" customFormat="1">
      <c r="B1051" s="125"/>
      <c r="D1051" s="125"/>
      <c r="AA1051" s="74"/>
      <c r="AD1051" s="208"/>
      <c r="AE1051" s="124"/>
      <c r="AI1051" s="74"/>
      <c r="AM1051" s="74"/>
      <c r="AQ1051" s="74"/>
      <c r="AU1051" s="74"/>
      <c r="AY1051" s="74"/>
      <c r="BC1051" s="74"/>
    </row>
    <row r="1052" spans="2:55" s="123" customFormat="1">
      <c r="B1052" s="125"/>
      <c r="D1052" s="125"/>
      <c r="AA1052" s="74"/>
      <c r="AD1052" s="208"/>
      <c r="AE1052" s="124"/>
      <c r="AI1052" s="74"/>
      <c r="AM1052" s="74"/>
      <c r="AQ1052" s="74"/>
      <c r="AU1052" s="74"/>
      <c r="AY1052" s="74"/>
      <c r="BC1052" s="74"/>
    </row>
    <row r="1053" spans="2:55" s="123" customFormat="1">
      <c r="B1053" s="125"/>
      <c r="D1053" s="125"/>
      <c r="AA1053" s="74"/>
      <c r="AD1053" s="208"/>
      <c r="AE1053" s="124"/>
      <c r="AI1053" s="74"/>
      <c r="AM1053" s="74"/>
      <c r="AQ1053" s="74"/>
      <c r="AU1053" s="74"/>
      <c r="AY1053" s="74"/>
      <c r="BC1053" s="74"/>
    </row>
    <row r="1054" spans="2:55" s="123" customFormat="1">
      <c r="B1054" s="125"/>
      <c r="D1054" s="125"/>
      <c r="AA1054" s="74"/>
      <c r="AD1054" s="208"/>
      <c r="AE1054" s="124"/>
      <c r="AI1054" s="74"/>
      <c r="AM1054" s="74"/>
      <c r="AQ1054" s="74"/>
      <c r="AU1054" s="74"/>
      <c r="AY1054" s="74"/>
      <c r="BC1054" s="74"/>
    </row>
    <row r="1055" spans="2:55" s="123" customFormat="1">
      <c r="B1055" s="125"/>
      <c r="D1055" s="125"/>
      <c r="AA1055" s="74"/>
      <c r="AD1055" s="208"/>
      <c r="AE1055" s="124"/>
      <c r="AI1055" s="74"/>
      <c r="AM1055" s="74"/>
      <c r="AQ1055" s="74"/>
      <c r="AU1055" s="74"/>
      <c r="AY1055" s="74"/>
      <c r="BC1055" s="74"/>
    </row>
    <row r="1056" spans="2:55" s="123" customFormat="1">
      <c r="B1056" s="125"/>
      <c r="D1056" s="125"/>
      <c r="AA1056" s="74"/>
      <c r="AD1056" s="208"/>
      <c r="AE1056" s="124"/>
      <c r="AI1056" s="74"/>
      <c r="AM1056" s="74"/>
      <c r="AQ1056" s="74"/>
      <c r="AU1056" s="74"/>
      <c r="AY1056" s="74"/>
      <c r="BC1056" s="74"/>
    </row>
    <row r="1057" spans="2:55" s="123" customFormat="1">
      <c r="B1057" s="125"/>
      <c r="D1057" s="125"/>
      <c r="AA1057" s="74"/>
      <c r="AD1057" s="208"/>
      <c r="AE1057" s="124"/>
      <c r="AI1057" s="74"/>
      <c r="AM1057" s="74"/>
      <c r="AQ1057" s="74"/>
      <c r="AU1057" s="74"/>
      <c r="AY1057" s="74"/>
      <c r="BC1057" s="74"/>
    </row>
    <row r="1058" spans="2:55" s="123" customFormat="1">
      <c r="B1058" s="125"/>
      <c r="D1058" s="125"/>
      <c r="AA1058" s="74"/>
      <c r="AD1058" s="208"/>
      <c r="AE1058" s="124"/>
      <c r="AI1058" s="74"/>
      <c r="AM1058" s="74"/>
      <c r="AQ1058" s="74"/>
      <c r="AU1058" s="74"/>
      <c r="AY1058" s="74"/>
      <c r="BC1058" s="74"/>
    </row>
    <row r="1059" spans="2:55" s="123" customFormat="1">
      <c r="B1059" s="125"/>
      <c r="D1059" s="125"/>
      <c r="AA1059" s="74"/>
      <c r="AD1059" s="208"/>
      <c r="AE1059" s="124"/>
      <c r="AI1059" s="74"/>
      <c r="AM1059" s="74"/>
      <c r="AQ1059" s="74"/>
      <c r="AU1059" s="74"/>
      <c r="AY1059" s="74"/>
      <c r="BC1059" s="74"/>
    </row>
    <row r="1060" spans="2:55" s="123" customFormat="1">
      <c r="B1060" s="125"/>
      <c r="D1060" s="125"/>
      <c r="AA1060" s="74"/>
      <c r="AD1060" s="208"/>
      <c r="AE1060" s="124"/>
      <c r="AI1060" s="74"/>
      <c r="AM1060" s="74"/>
      <c r="AQ1060" s="74"/>
      <c r="AU1060" s="74"/>
      <c r="AY1060" s="74"/>
      <c r="BC1060" s="74"/>
    </row>
    <row r="1061" spans="2:55" s="123" customFormat="1">
      <c r="B1061" s="125"/>
      <c r="D1061" s="125"/>
      <c r="AA1061" s="74"/>
      <c r="AD1061" s="208"/>
      <c r="AE1061" s="124"/>
      <c r="AI1061" s="74"/>
      <c r="AM1061" s="74"/>
      <c r="AQ1061" s="74"/>
      <c r="AU1061" s="74"/>
      <c r="AY1061" s="74"/>
      <c r="BC1061" s="74"/>
    </row>
    <row r="1062" spans="2:55" s="123" customFormat="1">
      <c r="B1062" s="125"/>
      <c r="D1062" s="125"/>
      <c r="AA1062" s="74"/>
      <c r="AD1062" s="208"/>
      <c r="AE1062" s="124"/>
      <c r="AI1062" s="74"/>
      <c r="AM1062" s="74"/>
      <c r="AQ1062" s="74"/>
      <c r="AU1062" s="74"/>
      <c r="AY1062" s="74"/>
      <c r="BC1062" s="74"/>
    </row>
    <row r="1063" spans="2:55" s="123" customFormat="1">
      <c r="B1063" s="125"/>
      <c r="D1063" s="125"/>
      <c r="AA1063" s="74"/>
      <c r="AD1063" s="208"/>
      <c r="AE1063" s="124"/>
      <c r="AI1063" s="74"/>
      <c r="AM1063" s="74"/>
      <c r="AQ1063" s="74"/>
      <c r="AU1063" s="74"/>
      <c r="AY1063" s="74"/>
      <c r="BC1063" s="74"/>
    </row>
    <row r="1064" spans="2:55" s="123" customFormat="1">
      <c r="B1064" s="125"/>
      <c r="D1064" s="125"/>
      <c r="AA1064" s="74"/>
      <c r="AD1064" s="208"/>
      <c r="AE1064" s="124"/>
      <c r="AI1064" s="74"/>
      <c r="AM1064" s="74"/>
      <c r="AQ1064" s="74"/>
      <c r="AU1064" s="74"/>
      <c r="AY1064" s="74"/>
      <c r="BC1064" s="74"/>
    </row>
    <row r="1065" spans="2:55" s="123" customFormat="1">
      <c r="B1065" s="125"/>
      <c r="D1065" s="125"/>
      <c r="AA1065" s="74"/>
      <c r="AD1065" s="208"/>
      <c r="AE1065" s="124"/>
      <c r="AI1065" s="74"/>
      <c r="AM1065" s="74"/>
      <c r="AQ1065" s="74"/>
      <c r="AU1065" s="74"/>
      <c r="AY1065" s="74"/>
      <c r="BC1065" s="74"/>
    </row>
    <row r="1066" spans="2:55" s="123" customFormat="1">
      <c r="B1066" s="125"/>
      <c r="D1066" s="125"/>
      <c r="AA1066" s="74"/>
      <c r="AD1066" s="208"/>
      <c r="AE1066" s="124"/>
      <c r="AI1066" s="74"/>
      <c r="AM1066" s="74"/>
      <c r="AQ1066" s="74"/>
      <c r="AU1066" s="74"/>
      <c r="AY1066" s="74"/>
      <c r="BC1066" s="74"/>
    </row>
    <row r="1067" spans="2:55" s="123" customFormat="1">
      <c r="B1067" s="125"/>
      <c r="D1067" s="125"/>
      <c r="AA1067" s="74"/>
      <c r="AD1067" s="208"/>
      <c r="AE1067" s="124"/>
      <c r="AI1067" s="74"/>
      <c r="AM1067" s="74"/>
      <c r="AQ1067" s="74"/>
      <c r="AU1067" s="74"/>
      <c r="AY1067" s="74"/>
      <c r="BC1067" s="74"/>
    </row>
    <row r="1068" spans="2:55" s="123" customFormat="1">
      <c r="B1068" s="125"/>
      <c r="D1068" s="125"/>
      <c r="AA1068" s="74"/>
      <c r="AD1068" s="208"/>
      <c r="AE1068" s="124"/>
      <c r="AI1068" s="74"/>
      <c r="AM1068" s="74"/>
      <c r="AQ1068" s="74"/>
      <c r="AU1068" s="74"/>
      <c r="AY1068" s="74"/>
      <c r="BC1068" s="74"/>
    </row>
    <row r="1069" spans="2:55" s="123" customFormat="1">
      <c r="B1069" s="125"/>
      <c r="D1069" s="125"/>
      <c r="AA1069" s="74"/>
      <c r="AD1069" s="208"/>
      <c r="AE1069" s="124"/>
      <c r="AI1069" s="74"/>
      <c r="AM1069" s="74"/>
      <c r="AQ1069" s="74"/>
      <c r="AU1069" s="74"/>
      <c r="AY1069" s="74"/>
      <c r="BC1069" s="74"/>
    </row>
    <row r="1070" spans="2:55" s="123" customFormat="1">
      <c r="B1070" s="125"/>
      <c r="D1070" s="125"/>
      <c r="AA1070" s="74"/>
      <c r="AD1070" s="208"/>
      <c r="AE1070" s="124"/>
      <c r="AI1070" s="74"/>
      <c r="AM1070" s="74"/>
      <c r="AQ1070" s="74"/>
      <c r="AU1070" s="74"/>
      <c r="AY1070" s="74"/>
      <c r="BC1070" s="74"/>
    </row>
    <row r="1071" spans="2:55" s="123" customFormat="1">
      <c r="B1071" s="125"/>
      <c r="D1071" s="125"/>
      <c r="AA1071" s="74"/>
      <c r="AD1071" s="208"/>
      <c r="AE1071" s="124"/>
      <c r="AI1071" s="74"/>
      <c r="AM1071" s="74"/>
      <c r="AQ1071" s="74"/>
      <c r="AU1071" s="74"/>
      <c r="AY1071" s="74"/>
      <c r="BC1071" s="74"/>
    </row>
    <row r="1072" spans="2:55" s="123" customFormat="1">
      <c r="B1072" s="125"/>
      <c r="D1072" s="125"/>
      <c r="AA1072" s="74"/>
      <c r="AD1072" s="208"/>
      <c r="AE1072" s="124"/>
      <c r="AI1072" s="74"/>
      <c r="AM1072" s="74"/>
      <c r="AQ1072" s="74"/>
      <c r="AU1072" s="74"/>
      <c r="AY1072" s="74"/>
      <c r="BC1072" s="74"/>
    </row>
    <row r="1073" spans="2:55" s="123" customFormat="1">
      <c r="B1073" s="125"/>
      <c r="D1073" s="125"/>
      <c r="AA1073" s="74"/>
      <c r="AD1073" s="208"/>
      <c r="AE1073" s="124"/>
      <c r="AI1073" s="74"/>
      <c r="AM1073" s="74"/>
      <c r="AQ1073" s="74"/>
      <c r="AU1073" s="74"/>
      <c r="AY1073" s="74"/>
      <c r="BC1073" s="74"/>
    </row>
    <row r="1074" spans="2:55" s="123" customFormat="1">
      <c r="B1074" s="125"/>
      <c r="D1074" s="125"/>
      <c r="AA1074" s="74"/>
      <c r="AD1074" s="208"/>
      <c r="AE1074" s="124"/>
      <c r="AI1074" s="74"/>
      <c r="AM1074" s="74"/>
      <c r="AQ1074" s="74"/>
      <c r="AU1074" s="74"/>
      <c r="AY1074" s="74"/>
      <c r="BC1074" s="74"/>
    </row>
    <row r="1075" spans="2:55" s="123" customFormat="1">
      <c r="B1075" s="125"/>
      <c r="D1075" s="125"/>
      <c r="AA1075" s="74"/>
      <c r="AD1075" s="208"/>
      <c r="AE1075" s="124"/>
      <c r="AI1075" s="74"/>
      <c r="AM1075" s="74"/>
      <c r="AQ1075" s="74"/>
      <c r="AU1075" s="74"/>
      <c r="AY1075" s="74"/>
      <c r="BC1075" s="74"/>
    </row>
    <row r="1076" spans="2:55" s="123" customFormat="1">
      <c r="B1076" s="125"/>
      <c r="D1076" s="125"/>
      <c r="AA1076" s="74"/>
      <c r="AD1076" s="208"/>
      <c r="AE1076" s="124"/>
      <c r="AI1076" s="74"/>
      <c r="AM1076" s="74"/>
      <c r="AQ1076" s="74"/>
      <c r="AU1076" s="74"/>
      <c r="AY1076" s="74"/>
      <c r="BC1076" s="74"/>
    </row>
    <row r="1077" spans="2:55" s="123" customFormat="1">
      <c r="B1077" s="125"/>
      <c r="D1077" s="125"/>
      <c r="AA1077" s="74"/>
      <c r="AD1077" s="208"/>
      <c r="AE1077" s="124"/>
      <c r="AI1077" s="74"/>
      <c r="AM1077" s="74"/>
      <c r="AQ1077" s="74"/>
      <c r="AU1077" s="74"/>
      <c r="AY1077" s="74"/>
      <c r="BC1077" s="74"/>
    </row>
    <row r="1078" spans="2:55" s="123" customFormat="1">
      <c r="B1078" s="125"/>
      <c r="D1078" s="125"/>
      <c r="AA1078" s="74"/>
      <c r="AD1078" s="208"/>
      <c r="AE1078" s="124"/>
      <c r="AI1078" s="74"/>
      <c r="AM1078" s="74"/>
      <c r="AQ1078" s="74"/>
      <c r="AU1078" s="74"/>
      <c r="AY1078" s="74"/>
      <c r="BC1078" s="74"/>
    </row>
    <row r="1079" spans="2:55" s="123" customFormat="1">
      <c r="B1079" s="125"/>
      <c r="D1079" s="125"/>
      <c r="AA1079" s="74"/>
      <c r="AD1079" s="208"/>
      <c r="AE1079" s="124"/>
      <c r="AI1079" s="74"/>
      <c r="AM1079" s="74"/>
      <c r="AQ1079" s="74"/>
      <c r="AU1079" s="74"/>
      <c r="AY1079" s="74"/>
      <c r="BC1079" s="74"/>
    </row>
    <row r="1080" spans="2:55" s="123" customFormat="1">
      <c r="B1080" s="125"/>
      <c r="D1080" s="125"/>
      <c r="AA1080" s="74"/>
      <c r="AD1080" s="208"/>
      <c r="AE1080" s="124"/>
      <c r="AI1080" s="74"/>
      <c r="AM1080" s="74"/>
      <c r="AQ1080" s="74"/>
      <c r="AU1080" s="74"/>
      <c r="AY1080" s="74"/>
      <c r="BC1080" s="74"/>
    </row>
    <row r="1081" spans="2:55" s="123" customFormat="1">
      <c r="B1081" s="125"/>
      <c r="D1081" s="125"/>
      <c r="AA1081" s="74"/>
      <c r="AD1081" s="208"/>
      <c r="AE1081" s="124"/>
      <c r="AI1081" s="74"/>
      <c r="AM1081" s="74"/>
      <c r="AQ1081" s="74"/>
      <c r="AU1081" s="74"/>
      <c r="AY1081" s="74"/>
      <c r="BC1081" s="74"/>
    </row>
    <row r="1082" spans="2:55" s="123" customFormat="1">
      <c r="B1082" s="125"/>
      <c r="D1082" s="125"/>
      <c r="AA1082" s="74"/>
      <c r="AD1082" s="208"/>
      <c r="AE1082" s="124"/>
      <c r="AI1082" s="74"/>
      <c r="AM1082" s="74"/>
      <c r="AQ1082" s="74"/>
      <c r="AU1082" s="74"/>
      <c r="AY1082" s="74"/>
      <c r="BC1082" s="74"/>
    </row>
    <row r="1083" spans="2:55" s="123" customFormat="1">
      <c r="B1083" s="125"/>
      <c r="D1083" s="125"/>
      <c r="AA1083" s="74"/>
      <c r="AD1083" s="208"/>
      <c r="AE1083" s="124"/>
      <c r="AI1083" s="74"/>
      <c r="AM1083" s="74"/>
      <c r="AQ1083" s="74"/>
      <c r="AU1083" s="74"/>
      <c r="AY1083" s="74"/>
      <c r="BC1083" s="74"/>
    </row>
    <row r="1084" spans="2:55" s="123" customFormat="1">
      <c r="B1084" s="125"/>
      <c r="D1084" s="125"/>
      <c r="AA1084" s="74"/>
      <c r="AD1084" s="208"/>
      <c r="AE1084" s="124"/>
      <c r="AI1084" s="74"/>
      <c r="AM1084" s="74"/>
      <c r="AQ1084" s="74"/>
      <c r="AU1084" s="74"/>
      <c r="AY1084" s="74"/>
      <c r="BC1084" s="74"/>
    </row>
    <row r="1085" spans="2:55" s="123" customFormat="1">
      <c r="B1085" s="125"/>
      <c r="D1085" s="125"/>
      <c r="AA1085" s="74"/>
      <c r="AD1085" s="208"/>
      <c r="AE1085" s="124"/>
      <c r="AI1085" s="74"/>
      <c r="AM1085" s="74"/>
      <c r="AQ1085" s="74"/>
      <c r="AU1085" s="74"/>
      <c r="AY1085" s="74"/>
      <c r="BC1085" s="74"/>
    </row>
    <row r="1086" spans="2:55" s="123" customFormat="1">
      <c r="B1086" s="125"/>
      <c r="D1086" s="125"/>
      <c r="AA1086" s="74"/>
      <c r="AD1086" s="208"/>
      <c r="AE1086" s="124"/>
      <c r="AI1086" s="74"/>
      <c r="AM1086" s="74"/>
      <c r="AQ1086" s="74"/>
      <c r="AU1086" s="74"/>
      <c r="AY1086" s="74"/>
      <c r="BC1086" s="74"/>
    </row>
    <row r="1087" spans="2:55" s="123" customFormat="1">
      <c r="B1087" s="125"/>
      <c r="D1087" s="125"/>
      <c r="AA1087" s="74"/>
      <c r="AD1087" s="208"/>
      <c r="AE1087" s="124"/>
      <c r="AI1087" s="74"/>
      <c r="AM1087" s="74"/>
      <c r="AQ1087" s="74"/>
      <c r="AU1087" s="74"/>
      <c r="AY1087" s="74"/>
      <c r="BC1087" s="74"/>
    </row>
    <row r="1088" spans="2:55" s="123" customFormat="1">
      <c r="B1088" s="125"/>
      <c r="D1088" s="125"/>
      <c r="AA1088" s="74"/>
      <c r="AD1088" s="208"/>
      <c r="AE1088" s="124"/>
      <c r="AI1088" s="74"/>
      <c r="AM1088" s="74"/>
      <c r="AQ1088" s="74"/>
      <c r="AU1088" s="74"/>
      <c r="AY1088" s="74"/>
      <c r="BC1088" s="74"/>
    </row>
    <row r="1089" spans="2:55" s="123" customFormat="1">
      <c r="B1089" s="125"/>
      <c r="D1089" s="125"/>
      <c r="AA1089" s="74"/>
      <c r="AD1089" s="208"/>
      <c r="AE1089" s="124"/>
      <c r="AI1089" s="74"/>
      <c r="AM1089" s="74"/>
      <c r="AQ1089" s="74"/>
      <c r="AU1089" s="74"/>
      <c r="AY1089" s="74"/>
      <c r="BC1089" s="74"/>
    </row>
    <row r="1090" spans="2:55" s="123" customFormat="1">
      <c r="B1090" s="125"/>
      <c r="D1090" s="125"/>
      <c r="AA1090" s="74"/>
      <c r="AD1090" s="208"/>
      <c r="AE1090" s="124"/>
      <c r="AI1090" s="74"/>
      <c r="AM1090" s="74"/>
      <c r="AQ1090" s="74"/>
      <c r="AU1090" s="74"/>
      <c r="AY1090" s="74"/>
      <c r="BC1090" s="74"/>
    </row>
    <row r="1091" spans="2:55" s="123" customFormat="1">
      <c r="B1091" s="125"/>
      <c r="D1091" s="125"/>
      <c r="AA1091" s="74"/>
      <c r="AD1091" s="208"/>
      <c r="AE1091" s="124"/>
      <c r="AI1091" s="74"/>
      <c r="AM1091" s="74"/>
      <c r="AQ1091" s="74"/>
      <c r="AU1091" s="74"/>
      <c r="AY1091" s="74"/>
      <c r="BC1091" s="74"/>
    </row>
    <row r="1092" spans="2:55" s="123" customFormat="1">
      <c r="B1092" s="125"/>
      <c r="D1092" s="125"/>
      <c r="AA1092" s="74"/>
      <c r="AD1092" s="208"/>
      <c r="AE1092" s="124"/>
      <c r="AI1092" s="74"/>
      <c r="AM1092" s="74"/>
      <c r="AQ1092" s="74"/>
      <c r="AU1092" s="74"/>
      <c r="AY1092" s="74"/>
      <c r="BC1092" s="74"/>
    </row>
    <row r="1093" spans="2:55" s="123" customFormat="1">
      <c r="B1093" s="125"/>
      <c r="D1093" s="125"/>
      <c r="AA1093" s="74"/>
      <c r="AD1093" s="208"/>
      <c r="AE1093" s="124"/>
      <c r="AI1093" s="74"/>
      <c r="AM1093" s="74"/>
      <c r="AQ1093" s="74"/>
      <c r="AU1093" s="74"/>
      <c r="AY1093" s="74"/>
      <c r="BC1093" s="74"/>
    </row>
    <row r="1094" spans="2:55" s="123" customFormat="1">
      <c r="B1094" s="125"/>
      <c r="D1094" s="125"/>
      <c r="AA1094" s="74"/>
      <c r="AD1094" s="208"/>
      <c r="AE1094" s="124"/>
      <c r="AI1094" s="74"/>
      <c r="AM1094" s="74"/>
      <c r="AQ1094" s="74"/>
      <c r="AU1094" s="74"/>
      <c r="AY1094" s="74"/>
      <c r="BC1094" s="74"/>
    </row>
    <row r="1095" spans="2:55" s="123" customFormat="1">
      <c r="B1095" s="125"/>
      <c r="D1095" s="125"/>
      <c r="AA1095" s="74"/>
      <c r="AD1095" s="208"/>
      <c r="AE1095" s="124"/>
      <c r="AI1095" s="74"/>
      <c r="AM1095" s="74"/>
      <c r="AQ1095" s="74"/>
      <c r="AU1095" s="74"/>
      <c r="AY1095" s="74"/>
      <c r="BC1095" s="74"/>
    </row>
    <row r="1096" spans="2:55" s="123" customFormat="1">
      <c r="B1096" s="125"/>
      <c r="D1096" s="125"/>
      <c r="AA1096" s="74"/>
      <c r="AD1096" s="208"/>
      <c r="AE1096" s="124"/>
      <c r="AI1096" s="74"/>
      <c r="AM1096" s="74"/>
      <c r="AQ1096" s="74"/>
      <c r="AU1096" s="74"/>
      <c r="AY1096" s="74"/>
      <c r="BC1096" s="74"/>
    </row>
    <row r="1097" spans="2:55" s="123" customFormat="1">
      <c r="B1097" s="125"/>
      <c r="D1097" s="125"/>
      <c r="AA1097" s="74"/>
      <c r="AD1097" s="208"/>
      <c r="AE1097" s="124"/>
      <c r="AI1097" s="74"/>
      <c r="AM1097" s="74"/>
      <c r="AQ1097" s="74"/>
      <c r="AU1097" s="74"/>
      <c r="AY1097" s="74"/>
      <c r="BC1097" s="74"/>
    </row>
    <row r="1098" spans="2:55" s="123" customFormat="1">
      <c r="B1098" s="125"/>
      <c r="D1098" s="125"/>
      <c r="AA1098" s="74"/>
      <c r="AD1098" s="208"/>
      <c r="AE1098" s="124"/>
      <c r="AI1098" s="74"/>
      <c r="AM1098" s="74"/>
      <c r="AQ1098" s="74"/>
      <c r="AU1098" s="74"/>
      <c r="AY1098" s="74"/>
      <c r="BC1098" s="74"/>
    </row>
    <row r="1099" spans="2:55" s="123" customFormat="1">
      <c r="B1099" s="125"/>
      <c r="D1099" s="125"/>
      <c r="AA1099" s="74"/>
      <c r="AD1099" s="208"/>
      <c r="AE1099" s="124"/>
      <c r="AI1099" s="74"/>
      <c r="AM1099" s="74"/>
      <c r="AQ1099" s="74"/>
      <c r="AU1099" s="74"/>
      <c r="AY1099" s="74"/>
      <c r="BC1099" s="74"/>
    </row>
    <row r="1100" spans="2:55" s="123" customFormat="1">
      <c r="B1100" s="125"/>
      <c r="D1100" s="125"/>
      <c r="AA1100" s="74"/>
      <c r="AD1100" s="208"/>
      <c r="AE1100" s="124"/>
      <c r="AI1100" s="74"/>
      <c r="AM1100" s="74"/>
      <c r="AQ1100" s="74"/>
      <c r="AU1100" s="74"/>
      <c r="AY1100" s="74"/>
      <c r="BC1100" s="74"/>
    </row>
    <row r="1101" spans="2:55" s="123" customFormat="1">
      <c r="B1101" s="125"/>
      <c r="D1101" s="125"/>
      <c r="AA1101" s="74"/>
      <c r="AD1101" s="208"/>
      <c r="AE1101" s="124"/>
      <c r="AI1101" s="74"/>
      <c r="AM1101" s="74"/>
      <c r="AQ1101" s="74"/>
      <c r="AU1101" s="74"/>
      <c r="AY1101" s="74"/>
      <c r="BC1101" s="74"/>
    </row>
    <row r="1102" spans="2:55" s="123" customFormat="1">
      <c r="B1102" s="125"/>
      <c r="D1102" s="125"/>
      <c r="AA1102" s="74"/>
      <c r="AD1102" s="208"/>
      <c r="AE1102" s="124"/>
      <c r="AI1102" s="74"/>
      <c r="AM1102" s="74"/>
      <c r="AQ1102" s="74"/>
      <c r="AU1102" s="74"/>
      <c r="AY1102" s="74"/>
      <c r="BC1102" s="74"/>
    </row>
    <row r="1103" spans="2:55" s="123" customFormat="1">
      <c r="B1103" s="125"/>
      <c r="D1103" s="125"/>
      <c r="AA1103" s="74"/>
      <c r="AD1103" s="208"/>
      <c r="AE1103" s="124"/>
      <c r="AI1103" s="74"/>
      <c r="AM1103" s="74"/>
      <c r="AQ1103" s="74"/>
      <c r="AU1103" s="74"/>
      <c r="AY1103" s="74"/>
      <c r="BC1103" s="74"/>
    </row>
    <row r="1104" spans="2:55" s="123" customFormat="1">
      <c r="B1104" s="125"/>
      <c r="D1104" s="125"/>
      <c r="AA1104" s="74"/>
      <c r="AD1104" s="208"/>
      <c r="AE1104" s="124"/>
      <c r="AI1104" s="74"/>
      <c r="AM1104" s="74"/>
      <c r="AQ1104" s="74"/>
      <c r="AU1104" s="74"/>
      <c r="AY1104" s="74"/>
      <c r="BC1104" s="74"/>
    </row>
    <row r="1105" spans="2:55" s="123" customFormat="1">
      <c r="B1105" s="125"/>
      <c r="D1105" s="125"/>
      <c r="AA1105" s="74"/>
      <c r="AD1105" s="208"/>
      <c r="AE1105" s="124"/>
      <c r="AI1105" s="74"/>
      <c r="AM1105" s="74"/>
      <c r="AQ1105" s="74"/>
      <c r="AU1105" s="74"/>
      <c r="AY1105" s="74"/>
      <c r="BC1105" s="74"/>
    </row>
    <row r="1106" spans="2:55" s="123" customFormat="1">
      <c r="B1106" s="125"/>
      <c r="D1106" s="125"/>
      <c r="AA1106" s="74"/>
      <c r="AD1106" s="208"/>
      <c r="AE1106" s="124"/>
      <c r="AI1106" s="74"/>
      <c r="AM1106" s="74"/>
      <c r="AQ1106" s="74"/>
      <c r="AU1106" s="74"/>
      <c r="AY1106" s="74"/>
      <c r="BC1106" s="74"/>
    </row>
    <row r="1107" spans="2:55" s="123" customFormat="1">
      <c r="B1107" s="125"/>
      <c r="D1107" s="125"/>
      <c r="AA1107" s="74"/>
      <c r="AD1107" s="208"/>
      <c r="AE1107" s="124"/>
      <c r="AI1107" s="74"/>
      <c r="AM1107" s="74"/>
      <c r="AQ1107" s="74"/>
      <c r="AU1107" s="74"/>
      <c r="AY1107" s="74"/>
      <c r="BC1107" s="74"/>
    </row>
    <row r="1108" spans="2:55" s="123" customFormat="1">
      <c r="B1108" s="125"/>
      <c r="D1108" s="125"/>
      <c r="AA1108" s="74"/>
      <c r="AD1108" s="208"/>
      <c r="AE1108" s="124"/>
      <c r="AI1108" s="74"/>
      <c r="AM1108" s="74"/>
      <c r="AQ1108" s="74"/>
      <c r="AU1108" s="74"/>
      <c r="AY1108" s="74"/>
      <c r="BC1108" s="74"/>
    </row>
    <row r="1109" spans="2:55" s="123" customFormat="1">
      <c r="B1109" s="125"/>
      <c r="D1109" s="125"/>
      <c r="AA1109" s="74"/>
      <c r="AD1109" s="208"/>
      <c r="AE1109" s="124"/>
      <c r="AI1109" s="74"/>
      <c r="AM1109" s="74"/>
      <c r="AQ1109" s="74"/>
      <c r="AU1109" s="74"/>
      <c r="AY1109" s="74"/>
      <c r="BC1109" s="74"/>
    </row>
    <row r="1110" spans="2:55" s="123" customFormat="1">
      <c r="B1110" s="125"/>
      <c r="D1110" s="125"/>
      <c r="AA1110" s="74"/>
      <c r="AD1110" s="208"/>
      <c r="AE1110" s="124"/>
      <c r="AI1110" s="74"/>
      <c r="AM1110" s="74"/>
      <c r="AQ1110" s="74"/>
      <c r="AU1110" s="74"/>
      <c r="AY1110" s="74"/>
      <c r="BC1110" s="74"/>
    </row>
    <row r="1111" spans="2:55" s="123" customFormat="1">
      <c r="B1111" s="125"/>
      <c r="D1111" s="125"/>
      <c r="AA1111" s="74"/>
      <c r="AD1111" s="208"/>
      <c r="AE1111" s="124"/>
      <c r="AI1111" s="74"/>
      <c r="AM1111" s="74"/>
      <c r="AQ1111" s="74"/>
      <c r="AU1111" s="74"/>
      <c r="AY1111" s="74"/>
      <c r="BC1111" s="74"/>
    </row>
    <row r="1112" spans="2:55" s="123" customFormat="1">
      <c r="B1112" s="125"/>
      <c r="D1112" s="125"/>
      <c r="AA1112" s="74"/>
      <c r="AD1112" s="208"/>
      <c r="AE1112" s="124"/>
      <c r="AI1112" s="74"/>
      <c r="AM1112" s="74"/>
      <c r="AQ1112" s="74"/>
      <c r="AU1112" s="74"/>
      <c r="AY1112" s="74"/>
      <c r="BC1112" s="74"/>
    </row>
    <row r="1113" spans="2:55" s="123" customFormat="1">
      <c r="B1113" s="125"/>
      <c r="D1113" s="125"/>
      <c r="AA1113" s="74"/>
      <c r="AD1113" s="208"/>
      <c r="AE1113" s="124"/>
      <c r="AI1113" s="74"/>
      <c r="AM1113" s="74"/>
      <c r="AQ1113" s="74"/>
      <c r="AU1113" s="74"/>
      <c r="AY1113" s="74"/>
      <c r="BC1113" s="74"/>
    </row>
    <row r="1114" spans="2:55" s="123" customFormat="1">
      <c r="B1114" s="125"/>
      <c r="D1114" s="125"/>
      <c r="AA1114" s="74"/>
      <c r="AD1114" s="208"/>
      <c r="AE1114" s="124"/>
      <c r="AI1114" s="74"/>
      <c r="AM1114" s="74"/>
      <c r="AQ1114" s="74"/>
      <c r="AU1114" s="74"/>
      <c r="AY1114" s="74"/>
      <c r="BC1114" s="74"/>
    </row>
    <row r="1115" spans="2:55" s="123" customFormat="1">
      <c r="B1115" s="125"/>
      <c r="D1115" s="125"/>
      <c r="AA1115" s="74"/>
      <c r="AD1115" s="208"/>
      <c r="AE1115" s="124"/>
      <c r="AI1115" s="74"/>
      <c r="AM1115" s="74"/>
      <c r="AQ1115" s="74"/>
      <c r="AU1115" s="74"/>
      <c r="AY1115" s="74"/>
      <c r="BC1115" s="74"/>
    </row>
    <row r="1116" spans="2:55" s="123" customFormat="1">
      <c r="B1116" s="125"/>
      <c r="D1116" s="125"/>
      <c r="AA1116" s="74"/>
      <c r="AD1116" s="208"/>
      <c r="AE1116" s="124"/>
      <c r="AI1116" s="74"/>
      <c r="AM1116" s="74"/>
      <c r="AQ1116" s="74"/>
      <c r="AU1116" s="74"/>
      <c r="AY1116" s="74"/>
      <c r="BC1116" s="74"/>
    </row>
    <row r="1117" spans="2:55" s="123" customFormat="1">
      <c r="B1117" s="125"/>
      <c r="D1117" s="125"/>
      <c r="AA1117" s="74"/>
      <c r="AD1117" s="208"/>
      <c r="AE1117" s="124"/>
      <c r="AI1117" s="74"/>
      <c r="AM1117" s="74"/>
      <c r="AQ1117" s="74"/>
      <c r="AU1117" s="74"/>
      <c r="AY1117" s="74"/>
      <c r="BC1117" s="74"/>
    </row>
    <row r="1118" spans="2:55" s="123" customFormat="1">
      <c r="B1118" s="125"/>
      <c r="D1118" s="125"/>
      <c r="AA1118" s="74"/>
      <c r="AD1118" s="208"/>
      <c r="AE1118" s="124"/>
      <c r="AI1118" s="74"/>
      <c r="AM1118" s="74"/>
      <c r="AQ1118" s="74"/>
      <c r="AU1118" s="74"/>
      <c r="AY1118" s="74"/>
      <c r="BC1118" s="74"/>
    </row>
    <row r="1119" spans="2:55" s="123" customFormat="1">
      <c r="B1119" s="125"/>
      <c r="D1119" s="125"/>
      <c r="AA1119" s="74"/>
      <c r="AD1119" s="208"/>
      <c r="AE1119" s="124"/>
      <c r="AI1119" s="74"/>
      <c r="AM1119" s="74"/>
      <c r="AQ1119" s="74"/>
      <c r="AU1119" s="74"/>
      <c r="AY1119" s="74"/>
      <c r="BC1119" s="74"/>
    </row>
    <row r="1120" spans="2:55" s="123" customFormat="1">
      <c r="B1120" s="125"/>
      <c r="D1120" s="125"/>
      <c r="AA1120" s="74"/>
      <c r="AD1120" s="208"/>
      <c r="AE1120" s="124"/>
      <c r="AI1120" s="74"/>
      <c r="AM1120" s="74"/>
      <c r="AQ1120" s="74"/>
      <c r="AU1120" s="74"/>
      <c r="AY1120" s="74"/>
      <c r="BC1120" s="74"/>
    </row>
    <row r="1121" spans="2:55" s="123" customFormat="1">
      <c r="B1121" s="125"/>
      <c r="D1121" s="125"/>
      <c r="AA1121" s="74"/>
      <c r="AD1121" s="208"/>
      <c r="AE1121" s="124"/>
      <c r="AI1121" s="74"/>
      <c r="AM1121" s="74"/>
      <c r="AQ1121" s="74"/>
      <c r="AU1121" s="74"/>
      <c r="AY1121" s="74"/>
      <c r="BC1121" s="74"/>
    </row>
    <row r="1122" spans="2:55" s="123" customFormat="1">
      <c r="B1122" s="125"/>
      <c r="D1122" s="125"/>
      <c r="AA1122" s="74"/>
      <c r="AD1122" s="208"/>
      <c r="AE1122" s="124"/>
      <c r="AI1122" s="74"/>
      <c r="AM1122" s="74"/>
      <c r="AQ1122" s="74"/>
      <c r="AU1122" s="74"/>
      <c r="AY1122" s="74"/>
      <c r="BC1122" s="74"/>
    </row>
    <row r="1123" spans="2:55" s="123" customFormat="1">
      <c r="B1123" s="125"/>
      <c r="D1123" s="125"/>
      <c r="AA1123" s="74"/>
      <c r="AD1123" s="208"/>
      <c r="AE1123" s="124"/>
      <c r="AI1123" s="74"/>
      <c r="AM1123" s="74"/>
      <c r="AQ1123" s="74"/>
      <c r="AU1123" s="74"/>
      <c r="AY1123" s="74"/>
      <c r="BC1123" s="74"/>
    </row>
    <row r="1124" spans="2:55" s="123" customFormat="1">
      <c r="B1124" s="125"/>
      <c r="D1124" s="125"/>
      <c r="AA1124" s="74"/>
      <c r="AD1124" s="208"/>
      <c r="AE1124" s="124"/>
      <c r="AI1124" s="74"/>
      <c r="AM1124" s="74"/>
      <c r="AQ1124" s="74"/>
      <c r="AU1124" s="74"/>
      <c r="AY1124" s="74"/>
      <c r="BC1124" s="74"/>
    </row>
    <row r="1125" spans="2:55" s="123" customFormat="1">
      <c r="B1125" s="125"/>
      <c r="D1125" s="125"/>
      <c r="AA1125" s="74"/>
      <c r="AD1125" s="208"/>
      <c r="AE1125" s="124"/>
      <c r="AI1125" s="74"/>
      <c r="AM1125" s="74"/>
      <c r="AQ1125" s="74"/>
      <c r="AU1125" s="74"/>
      <c r="AY1125" s="74"/>
      <c r="BC1125" s="74"/>
    </row>
    <row r="1126" spans="2:55" s="123" customFormat="1">
      <c r="B1126" s="125"/>
      <c r="D1126" s="125"/>
      <c r="AA1126" s="74"/>
      <c r="AD1126" s="208"/>
      <c r="AE1126" s="124"/>
      <c r="AI1126" s="74"/>
      <c r="AM1126" s="74"/>
      <c r="AQ1126" s="74"/>
      <c r="AU1126" s="74"/>
      <c r="AY1126" s="74"/>
      <c r="BC1126" s="74"/>
    </row>
    <row r="1127" spans="2:55" s="123" customFormat="1">
      <c r="B1127" s="125"/>
      <c r="D1127" s="125"/>
      <c r="AA1127" s="74"/>
      <c r="AD1127" s="208"/>
      <c r="AE1127" s="124"/>
      <c r="AI1127" s="74"/>
      <c r="AM1127" s="74"/>
      <c r="AQ1127" s="74"/>
      <c r="AU1127" s="74"/>
      <c r="AY1127" s="74"/>
      <c r="BC1127" s="74"/>
    </row>
    <row r="1128" spans="2:55" s="123" customFormat="1">
      <c r="B1128" s="125"/>
      <c r="D1128" s="125"/>
      <c r="AA1128" s="74"/>
      <c r="AD1128" s="208"/>
      <c r="AE1128" s="124"/>
      <c r="AI1128" s="74"/>
      <c r="AM1128" s="74"/>
      <c r="AQ1128" s="74"/>
      <c r="AU1128" s="74"/>
      <c r="AY1128" s="74"/>
      <c r="BC1128" s="74"/>
    </row>
    <row r="1129" spans="2:55" s="123" customFormat="1">
      <c r="B1129" s="125"/>
      <c r="D1129" s="125"/>
      <c r="AA1129" s="74"/>
      <c r="AD1129" s="208"/>
      <c r="AE1129" s="124"/>
      <c r="AI1129" s="74"/>
      <c r="AM1129" s="74"/>
      <c r="AQ1129" s="74"/>
      <c r="AU1129" s="74"/>
      <c r="AY1129" s="74"/>
      <c r="BC1129" s="74"/>
    </row>
    <row r="1130" spans="2:55" s="123" customFormat="1">
      <c r="B1130" s="125"/>
      <c r="D1130" s="125"/>
      <c r="AA1130" s="74"/>
      <c r="AD1130" s="208"/>
      <c r="AE1130" s="124"/>
      <c r="AI1130" s="74"/>
      <c r="AM1130" s="74"/>
      <c r="AQ1130" s="74"/>
      <c r="AU1130" s="74"/>
      <c r="AY1130" s="74"/>
      <c r="BC1130" s="74"/>
    </row>
    <row r="1131" spans="2:55" s="123" customFormat="1">
      <c r="B1131" s="125"/>
      <c r="D1131" s="125"/>
      <c r="AA1131" s="74"/>
      <c r="AD1131" s="208"/>
      <c r="AE1131" s="124"/>
      <c r="AI1131" s="74"/>
      <c r="AM1131" s="74"/>
      <c r="AQ1131" s="74"/>
      <c r="AU1131" s="74"/>
      <c r="AY1131" s="74"/>
      <c r="BC1131" s="74"/>
    </row>
    <row r="1132" spans="2:55" s="123" customFormat="1">
      <c r="B1132" s="125"/>
      <c r="D1132" s="125"/>
      <c r="AA1132" s="74"/>
      <c r="AD1132" s="208"/>
      <c r="AE1132" s="124"/>
      <c r="AI1132" s="74"/>
      <c r="AM1132" s="74"/>
      <c r="AQ1132" s="74"/>
      <c r="AU1132" s="74"/>
      <c r="AY1132" s="74"/>
      <c r="BC1132" s="74"/>
    </row>
    <row r="1133" spans="2:55" s="123" customFormat="1">
      <c r="B1133" s="125"/>
      <c r="D1133" s="125"/>
      <c r="AA1133" s="74"/>
      <c r="AD1133" s="208"/>
      <c r="AE1133" s="124"/>
      <c r="AI1133" s="74"/>
      <c r="AM1133" s="74"/>
      <c r="AQ1133" s="74"/>
      <c r="AU1133" s="74"/>
      <c r="AY1133" s="74"/>
      <c r="BC1133" s="74"/>
    </row>
    <row r="1134" spans="2:55" s="123" customFormat="1">
      <c r="B1134" s="125"/>
      <c r="D1134" s="125"/>
      <c r="AA1134" s="74"/>
      <c r="AD1134" s="208"/>
      <c r="AE1134" s="124"/>
      <c r="AI1134" s="74"/>
      <c r="AM1134" s="74"/>
      <c r="AQ1134" s="74"/>
      <c r="AU1134" s="74"/>
      <c r="AY1134" s="74"/>
      <c r="BC1134" s="74"/>
    </row>
    <row r="1135" spans="2:55" s="123" customFormat="1">
      <c r="B1135" s="125"/>
      <c r="D1135" s="125"/>
      <c r="AA1135" s="74"/>
      <c r="AD1135" s="208"/>
      <c r="AE1135" s="124"/>
      <c r="AI1135" s="74"/>
      <c r="AM1135" s="74"/>
      <c r="AQ1135" s="74"/>
      <c r="AU1135" s="74"/>
      <c r="AY1135" s="74"/>
      <c r="BC1135" s="74"/>
    </row>
    <row r="1136" spans="2:55" s="123" customFormat="1">
      <c r="B1136" s="125"/>
      <c r="D1136" s="125"/>
      <c r="AA1136" s="74"/>
      <c r="AD1136" s="208"/>
      <c r="AE1136" s="124"/>
      <c r="AI1136" s="74"/>
      <c r="AM1136" s="74"/>
      <c r="AQ1136" s="74"/>
      <c r="AU1136" s="74"/>
      <c r="AY1136" s="74"/>
      <c r="BC1136" s="74"/>
    </row>
    <row r="1137" spans="2:55" s="123" customFormat="1">
      <c r="B1137" s="125"/>
      <c r="D1137" s="125"/>
      <c r="AA1137" s="74"/>
      <c r="AD1137" s="208"/>
      <c r="AE1137" s="124"/>
      <c r="AI1137" s="74"/>
      <c r="AM1137" s="74"/>
      <c r="AQ1137" s="74"/>
      <c r="AU1137" s="74"/>
      <c r="AY1137" s="74"/>
      <c r="BC1137" s="74"/>
    </row>
    <row r="1138" spans="2:55" s="123" customFormat="1">
      <c r="B1138" s="125"/>
      <c r="D1138" s="125"/>
      <c r="AA1138" s="74"/>
      <c r="AD1138" s="208"/>
      <c r="AE1138" s="124"/>
      <c r="AI1138" s="74"/>
      <c r="AM1138" s="74"/>
      <c r="AQ1138" s="74"/>
      <c r="AU1138" s="74"/>
      <c r="AY1138" s="74"/>
      <c r="BC1138" s="74"/>
    </row>
    <row r="1139" spans="2:55" s="123" customFormat="1">
      <c r="B1139" s="125"/>
      <c r="D1139" s="125"/>
      <c r="AA1139" s="74"/>
      <c r="AD1139" s="208"/>
      <c r="AE1139" s="124"/>
      <c r="AI1139" s="74"/>
      <c r="AM1139" s="74"/>
      <c r="AQ1139" s="74"/>
      <c r="AU1139" s="74"/>
      <c r="AY1139" s="74"/>
      <c r="BC1139" s="74"/>
    </row>
    <row r="1140" spans="2:55" s="123" customFormat="1">
      <c r="B1140" s="125"/>
      <c r="D1140" s="125"/>
      <c r="AA1140" s="74"/>
      <c r="AD1140" s="208"/>
      <c r="AE1140" s="124"/>
      <c r="AI1140" s="74"/>
      <c r="AM1140" s="74"/>
      <c r="AQ1140" s="74"/>
      <c r="AU1140" s="74"/>
      <c r="AY1140" s="74"/>
      <c r="BC1140" s="74"/>
    </row>
    <row r="1141" spans="2:55" s="123" customFormat="1">
      <c r="B1141" s="125"/>
      <c r="D1141" s="125"/>
      <c r="AA1141" s="74"/>
      <c r="AD1141" s="208"/>
      <c r="AE1141" s="124"/>
      <c r="AI1141" s="74"/>
      <c r="AM1141" s="74"/>
      <c r="AQ1141" s="74"/>
      <c r="AU1141" s="74"/>
      <c r="AY1141" s="74"/>
      <c r="BC1141" s="74"/>
    </row>
    <row r="1142" spans="2:55" s="123" customFormat="1">
      <c r="B1142" s="125"/>
      <c r="D1142" s="125"/>
      <c r="AA1142" s="74"/>
      <c r="AD1142" s="208"/>
      <c r="AE1142" s="124"/>
      <c r="AI1142" s="74"/>
      <c r="AM1142" s="74"/>
      <c r="AQ1142" s="74"/>
      <c r="AU1142" s="74"/>
      <c r="AY1142" s="74"/>
      <c r="BC1142" s="74"/>
    </row>
    <row r="1143" spans="2:55" s="123" customFormat="1">
      <c r="B1143" s="125"/>
      <c r="D1143" s="125"/>
      <c r="AA1143" s="74"/>
      <c r="AD1143" s="208"/>
      <c r="AE1143" s="124"/>
      <c r="AI1143" s="74"/>
      <c r="AM1143" s="74"/>
      <c r="AQ1143" s="74"/>
      <c r="AU1143" s="74"/>
      <c r="AY1143" s="74"/>
      <c r="BC1143" s="74"/>
    </row>
    <row r="1144" spans="2:55" s="123" customFormat="1">
      <c r="B1144" s="125"/>
      <c r="D1144" s="125"/>
      <c r="AA1144" s="74"/>
      <c r="AD1144" s="208"/>
      <c r="AE1144" s="124"/>
      <c r="AI1144" s="74"/>
      <c r="AM1144" s="74"/>
      <c r="AQ1144" s="74"/>
      <c r="AU1144" s="74"/>
      <c r="AY1144" s="74"/>
      <c r="BC1144" s="74"/>
    </row>
    <row r="1145" spans="2:55" s="123" customFormat="1">
      <c r="B1145" s="125"/>
      <c r="D1145" s="125"/>
      <c r="AA1145" s="74"/>
      <c r="AD1145" s="208"/>
      <c r="AE1145" s="124"/>
      <c r="AI1145" s="74"/>
      <c r="AM1145" s="74"/>
      <c r="AQ1145" s="74"/>
      <c r="AU1145" s="74"/>
      <c r="AY1145" s="74"/>
      <c r="BC1145" s="74"/>
    </row>
    <row r="1146" spans="2:55" s="123" customFormat="1">
      <c r="B1146" s="125"/>
      <c r="D1146" s="125"/>
      <c r="AA1146" s="74"/>
      <c r="AD1146" s="208"/>
      <c r="AE1146" s="124"/>
      <c r="AI1146" s="74"/>
      <c r="AM1146" s="74"/>
      <c r="AQ1146" s="74"/>
      <c r="AU1146" s="74"/>
      <c r="AY1146" s="74"/>
      <c r="BC1146" s="74"/>
    </row>
    <row r="1147" spans="2:55" s="123" customFormat="1">
      <c r="B1147" s="125"/>
      <c r="D1147" s="125"/>
      <c r="AA1147" s="74"/>
      <c r="AD1147" s="208"/>
      <c r="AE1147" s="124"/>
      <c r="AI1147" s="74"/>
      <c r="AM1147" s="74"/>
      <c r="AQ1147" s="74"/>
      <c r="AU1147" s="74"/>
      <c r="AY1147" s="74"/>
      <c r="BC1147" s="74"/>
    </row>
    <row r="1148" spans="2:55" s="123" customFormat="1">
      <c r="B1148" s="125"/>
      <c r="D1148" s="125"/>
      <c r="AA1148" s="74"/>
      <c r="AD1148" s="208"/>
      <c r="AE1148" s="124"/>
      <c r="AI1148" s="74"/>
      <c r="AM1148" s="74"/>
      <c r="AQ1148" s="74"/>
      <c r="AU1148" s="74"/>
      <c r="AY1148" s="74"/>
      <c r="BC1148" s="74"/>
    </row>
    <row r="1149" spans="2:55" s="123" customFormat="1">
      <c r="B1149" s="125"/>
      <c r="D1149" s="125"/>
      <c r="AA1149" s="74"/>
      <c r="AD1149" s="208"/>
      <c r="AE1149" s="124"/>
      <c r="AI1149" s="74"/>
      <c r="AM1149" s="74"/>
      <c r="AQ1149" s="74"/>
      <c r="AU1149" s="74"/>
      <c r="AY1149" s="74"/>
      <c r="BC1149" s="74"/>
    </row>
    <row r="1150" spans="2:55" s="123" customFormat="1">
      <c r="B1150" s="125"/>
      <c r="D1150" s="125"/>
      <c r="AA1150" s="74"/>
      <c r="AD1150" s="208"/>
      <c r="AE1150" s="124"/>
      <c r="AI1150" s="74"/>
      <c r="AM1150" s="74"/>
      <c r="AQ1150" s="74"/>
      <c r="AU1150" s="74"/>
      <c r="AY1150" s="74"/>
      <c r="BC1150" s="74"/>
    </row>
    <row r="1151" spans="2:55" s="123" customFormat="1">
      <c r="B1151" s="125"/>
      <c r="D1151" s="125"/>
      <c r="AA1151" s="74"/>
      <c r="AD1151" s="208"/>
      <c r="AE1151" s="124"/>
      <c r="AI1151" s="74"/>
      <c r="AM1151" s="74"/>
      <c r="AQ1151" s="74"/>
      <c r="AU1151" s="74"/>
      <c r="AY1151" s="74"/>
      <c r="BC1151" s="74"/>
    </row>
    <row r="1152" spans="2:55" s="123" customFormat="1">
      <c r="B1152" s="125"/>
      <c r="D1152" s="125"/>
      <c r="AA1152" s="74"/>
      <c r="AD1152" s="208"/>
      <c r="AE1152" s="124"/>
      <c r="AI1152" s="74"/>
      <c r="AM1152" s="74"/>
      <c r="AQ1152" s="74"/>
      <c r="AU1152" s="74"/>
      <c r="AY1152" s="74"/>
      <c r="BC1152" s="74"/>
    </row>
    <row r="1153" spans="2:55" s="123" customFormat="1">
      <c r="B1153" s="125"/>
      <c r="D1153" s="125"/>
      <c r="AA1153" s="74"/>
      <c r="AD1153" s="208"/>
      <c r="AE1153" s="124"/>
      <c r="AI1153" s="74"/>
      <c r="AM1153" s="74"/>
      <c r="AQ1153" s="74"/>
      <c r="AU1153" s="74"/>
      <c r="AY1153" s="74"/>
      <c r="BC1153" s="74"/>
    </row>
    <row r="1154" spans="2:55" s="123" customFormat="1">
      <c r="B1154" s="125"/>
      <c r="D1154" s="125"/>
      <c r="AA1154" s="74"/>
      <c r="AD1154" s="208"/>
      <c r="AE1154" s="124"/>
      <c r="AI1154" s="74"/>
      <c r="AM1154" s="74"/>
      <c r="AQ1154" s="74"/>
      <c r="AU1154" s="74"/>
      <c r="AY1154" s="74"/>
      <c r="BC1154" s="74"/>
    </row>
    <row r="1155" spans="2:55" s="123" customFormat="1">
      <c r="B1155" s="125"/>
      <c r="D1155" s="125"/>
      <c r="AA1155" s="74"/>
      <c r="AD1155" s="208"/>
      <c r="AE1155" s="124"/>
      <c r="AI1155" s="74"/>
      <c r="AM1155" s="74"/>
      <c r="AQ1155" s="74"/>
      <c r="AU1155" s="74"/>
      <c r="AY1155" s="74"/>
      <c r="BC1155" s="74"/>
    </row>
    <row r="1156" spans="2:55" s="123" customFormat="1">
      <c r="B1156" s="125"/>
      <c r="D1156" s="125"/>
      <c r="AA1156" s="74"/>
      <c r="AD1156" s="208"/>
      <c r="AE1156" s="124"/>
      <c r="AI1156" s="74"/>
      <c r="AM1156" s="74"/>
      <c r="AQ1156" s="74"/>
      <c r="AU1156" s="74"/>
      <c r="AY1156" s="74"/>
      <c r="BC1156" s="74"/>
    </row>
    <row r="1157" spans="2:55" s="123" customFormat="1">
      <c r="B1157" s="125"/>
      <c r="D1157" s="125"/>
      <c r="AA1157" s="74"/>
      <c r="AD1157" s="208"/>
      <c r="AE1157" s="124"/>
      <c r="AI1157" s="74"/>
      <c r="AM1157" s="74"/>
      <c r="AQ1157" s="74"/>
      <c r="AU1157" s="74"/>
      <c r="AY1157" s="74"/>
      <c r="BC1157" s="74"/>
    </row>
    <row r="1158" spans="2:55" s="123" customFormat="1">
      <c r="B1158" s="125"/>
      <c r="D1158" s="125"/>
      <c r="AA1158" s="74"/>
      <c r="AD1158" s="208"/>
      <c r="AE1158" s="124"/>
      <c r="AI1158" s="74"/>
      <c r="AM1158" s="74"/>
      <c r="AQ1158" s="74"/>
      <c r="AU1158" s="74"/>
      <c r="AY1158" s="74"/>
      <c r="BC1158" s="74"/>
    </row>
    <row r="1159" spans="2:55" s="123" customFormat="1">
      <c r="B1159" s="125"/>
      <c r="D1159" s="125"/>
      <c r="AA1159" s="74"/>
      <c r="AD1159" s="208"/>
      <c r="AE1159" s="124"/>
      <c r="AI1159" s="74"/>
      <c r="AM1159" s="74"/>
      <c r="AQ1159" s="74"/>
      <c r="AU1159" s="74"/>
      <c r="AY1159" s="74"/>
      <c r="BC1159" s="74"/>
    </row>
    <row r="1160" spans="2:55" s="123" customFormat="1">
      <c r="B1160" s="125"/>
      <c r="D1160" s="125"/>
      <c r="AA1160" s="74"/>
      <c r="AD1160" s="208"/>
      <c r="AE1160" s="124"/>
      <c r="AI1160" s="74"/>
      <c r="AM1160" s="74"/>
      <c r="AQ1160" s="74"/>
      <c r="AU1160" s="74"/>
      <c r="AY1160" s="74"/>
      <c r="BC1160" s="74"/>
    </row>
    <row r="1161" spans="2:55" s="123" customFormat="1">
      <c r="B1161" s="125"/>
      <c r="D1161" s="125"/>
      <c r="AA1161" s="74"/>
      <c r="AD1161" s="208"/>
      <c r="AE1161" s="124"/>
      <c r="AI1161" s="74"/>
      <c r="AM1161" s="74"/>
      <c r="AQ1161" s="74"/>
      <c r="AU1161" s="74"/>
      <c r="AY1161" s="74"/>
      <c r="BC1161" s="74"/>
    </row>
    <row r="1162" spans="2:55" s="123" customFormat="1">
      <c r="B1162" s="125"/>
      <c r="D1162" s="125"/>
      <c r="AA1162" s="74"/>
      <c r="AD1162" s="208"/>
      <c r="AE1162" s="124"/>
      <c r="AI1162" s="74"/>
      <c r="AM1162" s="74"/>
      <c r="AQ1162" s="74"/>
      <c r="AU1162" s="74"/>
      <c r="AY1162" s="74"/>
      <c r="BC1162" s="74"/>
    </row>
    <row r="1163" spans="2:55" s="123" customFormat="1">
      <c r="B1163" s="125"/>
      <c r="D1163" s="125"/>
      <c r="AA1163" s="74"/>
      <c r="AD1163" s="208"/>
      <c r="AE1163" s="124"/>
      <c r="AI1163" s="74"/>
      <c r="AM1163" s="74"/>
      <c r="AQ1163" s="74"/>
      <c r="AU1163" s="74"/>
      <c r="AY1163" s="74"/>
      <c r="BC1163" s="74"/>
    </row>
    <row r="1164" spans="2:55" s="123" customFormat="1">
      <c r="B1164" s="125"/>
      <c r="D1164" s="125"/>
      <c r="AA1164" s="74"/>
      <c r="AD1164" s="208"/>
      <c r="AE1164" s="124"/>
      <c r="AI1164" s="74"/>
      <c r="AM1164" s="74"/>
      <c r="AQ1164" s="74"/>
      <c r="AU1164" s="74"/>
      <c r="AY1164" s="74"/>
      <c r="BC1164" s="74"/>
    </row>
    <row r="1165" spans="2:55" s="123" customFormat="1">
      <c r="B1165" s="125"/>
      <c r="D1165" s="125"/>
      <c r="AA1165" s="74"/>
      <c r="AD1165" s="208"/>
      <c r="AE1165" s="124"/>
      <c r="AI1165" s="74"/>
      <c r="AM1165" s="74"/>
      <c r="AQ1165" s="74"/>
      <c r="AU1165" s="74"/>
      <c r="AY1165" s="74"/>
      <c r="BC1165" s="74"/>
    </row>
    <row r="1166" spans="2:55" s="123" customFormat="1">
      <c r="B1166" s="125"/>
      <c r="D1166" s="125"/>
      <c r="AA1166" s="74"/>
      <c r="AD1166" s="208"/>
      <c r="AE1166" s="124"/>
      <c r="AI1166" s="74"/>
      <c r="AM1166" s="74"/>
      <c r="AQ1166" s="74"/>
      <c r="AU1166" s="74"/>
      <c r="AY1166" s="74"/>
      <c r="BC1166" s="74"/>
    </row>
    <row r="1167" spans="2:55" s="123" customFormat="1">
      <c r="B1167" s="125"/>
      <c r="D1167" s="125"/>
      <c r="AA1167" s="74"/>
      <c r="AD1167" s="208"/>
      <c r="AE1167" s="124"/>
      <c r="AI1167" s="74"/>
      <c r="AM1167" s="74"/>
      <c r="AQ1167" s="74"/>
      <c r="AU1167" s="74"/>
      <c r="AY1167" s="74"/>
      <c r="BC1167" s="74"/>
    </row>
    <row r="1168" spans="2:55" s="123" customFormat="1">
      <c r="B1168" s="125"/>
      <c r="D1168" s="125"/>
      <c r="AA1168" s="74"/>
      <c r="AD1168" s="208"/>
      <c r="AE1168" s="124"/>
      <c r="AI1168" s="74"/>
      <c r="AM1168" s="74"/>
      <c r="AQ1168" s="74"/>
      <c r="AU1168" s="74"/>
      <c r="AY1168" s="74"/>
      <c r="BC1168" s="74"/>
    </row>
    <row r="1169" spans="2:55" s="123" customFormat="1">
      <c r="B1169" s="125"/>
      <c r="D1169" s="125"/>
      <c r="AA1169" s="74"/>
      <c r="AD1169" s="208"/>
      <c r="AE1169" s="124"/>
      <c r="AI1169" s="74"/>
      <c r="AM1169" s="74"/>
      <c r="AQ1169" s="74"/>
      <c r="AU1169" s="74"/>
      <c r="AY1169" s="74"/>
      <c r="BC1169" s="74"/>
    </row>
    <row r="1170" spans="2:55" s="123" customFormat="1">
      <c r="B1170" s="125"/>
      <c r="D1170" s="125"/>
      <c r="AA1170" s="74"/>
      <c r="AD1170" s="208"/>
      <c r="AE1170" s="124"/>
      <c r="AI1170" s="74"/>
      <c r="AM1170" s="74"/>
      <c r="AQ1170" s="74"/>
      <c r="AU1170" s="74"/>
      <c r="AY1170" s="74"/>
      <c r="BC1170" s="74"/>
    </row>
    <row r="1171" spans="2:55" s="123" customFormat="1">
      <c r="B1171" s="125"/>
      <c r="D1171" s="125"/>
      <c r="AA1171" s="74"/>
      <c r="AD1171" s="208"/>
      <c r="AE1171" s="124"/>
      <c r="AI1171" s="74"/>
      <c r="AM1171" s="74"/>
      <c r="AQ1171" s="74"/>
      <c r="AU1171" s="74"/>
      <c r="AY1171" s="74"/>
      <c r="BC1171" s="74"/>
    </row>
    <row r="1172" spans="2:55" s="123" customFormat="1">
      <c r="B1172" s="125"/>
      <c r="D1172" s="125"/>
      <c r="AA1172" s="74"/>
      <c r="AD1172" s="208"/>
      <c r="AE1172" s="124"/>
      <c r="AI1172" s="74"/>
      <c r="AM1172" s="74"/>
      <c r="AQ1172" s="74"/>
      <c r="AU1172" s="74"/>
      <c r="AY1172" s="74"/>
      <c r="BC1172" s="74"/>
    </row>
    <row r="1173" spans="2:55" s="123" customFormat="1">
      <c r="B1173" s="125"/>
      <c r="D1173" s="125"/>
      <c r="AA1173" s="74"/>
      <c r="AD1173" s="208"/>
      <c r="AE1173" s="124"/>
      <c r="AI1173" s="74"/>
      <c r="AM1173" s="74"/>
      <c r="AQ1173" s="74"/>
      <c r="AU1173" s="74"/>
      <c r="AY1173" s="74"/>
      <c r="BC1173" s="74"/>
    </row>
    <row r="1174" spans="2:55" s="123" customFormat="1">
      <c r="B1174" s="125"/>
      <c r="D1174" s="125"/>
      <c r="AA1174" s="74"/>
      <c r="AD1174" s="208"/>
      <c r="AE1174" s="124"/>
      <c r="AI1174" s="74"/>
      <c r="AM1174" s="74"/>
      <c r="AQ1174" s="74"/>
      <c r="AU1174" s="74"/>
      <c r="AY1174" s="74"/>
      <c r="BC1174" s="74"/>
    </row>
    <row r="1175" spans="2:55" s="123" customFormat="1">
      <c r="B1175" s="125"/>
      <c r="D1175" s="125"/>
      <c r="AA1175" s="74"/>
      <c r="AD1175" s="208"/>
      <c r="AE1175" s="124"/>
      <c r="AI1175" s="74"/>
      <c r="AM1175" s="74"/>
      <c r="AQ1175" s="74"/>
      <c r="AU1175" s="74"/>
      <c r="AY1175" s="74"/>
      <c r="BC1175" s="74"/>
    </row>
    <row r="1176" spans="2:55" s="123" customFormat="1">
      <c r="B1176" s="125"/>
      <c r="D1176" s="125"/>
      <c r="AA1176" s="74"/>
      <c r="AD1176" s="208"/>
      <c r="AE1176" s="124"/>
      <c r="AI1176" s="74"/>
      <c r="AM1176" s="74"/>
      <c r="AQ1176" s="74"/>
      <c r="AU1176" s="74"/>
      <c r="AY1176" s="74"/>
      <c r="BC1176" s="74"/>
    </row>
    <row r="1177" spans="2:55" s="123" customFormat="1">
      <c r="B1177" s="125"/>
      <c r="D1177" s="125"/>
      <c r="AA1177" s="74"/>
      <c r="AD1177" s="208"/>
      <c r="AE1177" s="124"/>
      <c r="AI1177" s="74"/>
      <c r="AM1177" s="74"/>
      <c r="AQ1177" s="74"/>
      <c r="AU1177" s="74"/>
      <c r="AY1177" s="74"/>
      <c r="BC1177" s="74"/>
    </row>
    <row r="1178" spans="2:55" s="123" customFormat="1">
      <c r="B1178" s="125"/>
      <c r="D1178" s="125"/>
      <c r="AA1178" s="74"/>
      <c r="AD1178" s="208"/>
      <c r="AE1178" s="124"/>
      <c r="AI1178" s="74"/>
      <c r="AM1178" s="74"/>
      <c r="AQ1178" s="74"/>
      <c r="AU1178" s="74"/>
      <c r="AY1178" s="74"/>
      <c r="BC1178" s="74"/>
    </row>
    <row r="1179" spans="2:55" s="123" customFormat="1">
      <c r="B1179" s="125"/>
      <c r="D1179" s="125"/>
      <c r="AA1179" s="74"/>
      <c r="AD1179" s="208"/>
      <c r="AE1179" s="124"/>
      <c r="AI1179" s="74"/>
      <c r="AM1179" s="74"/>
      <c r="AQ1179" s="74"/>
      <c r="AU1179" s="74"/>
      <c r="AY1179" s="74"/>
      <c r="BC1179" s="74"/>
    </row>
    <row r="1180" spans="2:55" s="123" customFormat="1">
      <c r="B1180" s="125"/>
      <c r="D1180" s="125"/>
      <c r="AA1180" s="74"/>
      <c r="AD1180" s="208"/>
      <c r="AE1180" s="124"/>
      <c r="AI1180" s="74"/>
      <c r="AM1180" s="74"/>
      <c r="AQ1180" s="74"/>
      <c r="AU1180" s="74"/>
      <c r="AY1180" s="74"/>
      <c r="BC1180" s="74"/>
    </row>
    <row r="1181" spans="2:55" s="123" customFormat="1">
      <c r="B1181" s="125"/>
      <c r="D1181" s="125"/>
      <c r="AA1181" s="74"/>
      <c r="AD1181" s="208"/>
      <c r="AE1181" s="124"/>
      <c r="AI1181" s="74"/>
      <c r="AM1181" s="74"/>
      <c r="AQ1181" s="74"/>
      <c r="AU1181" s="74"/>
      <c r="AY1181" s="74"/>
      <c r="BC1181" s="74"/>
    </row>
    <row r="1182" spans="2:55" s="123" customFormat="1">
      <c r="B1182" s="125"/>
      <c r="D1182" s="125"/>
      <c r="AA1182" s="74"/>
      <c r="AD1182" s="208"/>
      <c r="AE1182" s="124"/>
      <c r="AI1182" s="74"/>
      <c r="AM1182" s="74"/>
      <c r="AQ1182" s="74"/>
      <c r="AU1182" s="74"/>
      <c r="AY1182" s="74"/>
      <c r="BC1182" s="74"/>
    </row>
    <row r="1183" spans="2:55" s="123" customFormat="1">
      <c r="B1183" s="125"/>
      <c r="D1183" s="125"/>
      <c r="AA1183" s="74"/>
      <c r="AD1183" s="208"/>
      <c r="AE1183" s="124"/>
      <c r="AI1183" s="74"/>
      <c r="AM1183" s="74"/>
      <c r="AQ1183" s="74"/>
      <c r="AU1183" s="74"/>
      <c r="AY1183" s="74"/>
      <c r="BC1183" s="74"/>
    </row>
    <row r="1184" spans="2:55" s="123" customFormat="1">
      <c r="B1184" s="125"/>
      <c r="D1184" s="125"/>
      <c r="AA1184" s="74"/>
      <c r="AD1184" s="208"/>
      <c r="AE1184" s="124"/>
      <c r="AI1184" s="74"/>
      <c r="AM1184" s="74"/>
      <c r="AQ1184" s="74"/>
      <c r="AU1184" s="74"/>
      <c r="AY1184" s="74"/>
      <c r="BC1184" s="74"/>
    </row>
    <row r="1185" spans="2:55" s="123" customFormat="1">
      <c r="B1185" s="125"/>
      <c r="D1185" s="125"/>
      <c r="AA1185" s="74"/>
      <c r="AD1185" s="208"/>
      <c r="AE1185" s="124"/>
      <c r="AI1185" s="74"/>
      <c r="AM1185" s="74"/>
      <c r="AQ1185" s="74"/>
      <c r="AU1185" s="74"/>
      <c r="AY1185" s="74"/>
      <c r="BC1185" s="74"/>
    </row>
    <row r="1186" spans="2:55" s="123" customFormat="1">
      <c r="B1186" s="125"/>
      <c r="D1186" s="125"/>
      <c r="AA1186" s="74"/>
      <c r="AD1186" s="208"/>
      <c r="AE1186" s="124"/>
      <c r="AI1186" s="74"/>
      <c r="AM1186" s="74"/>
      <c r="AQ1186" s="74"/>
      <c r="AU1186" s="74"/>
      <c r="AY1186" s="74"/>
      <c r="BC1186" s="74"/>
    </row>
    <row r="1187" spans="2:55" s="123" customFormat="1">
      <c r="B1187" s="125"/>
      <c r="D1187" s="125"/>
      <c r="AA1187" s="74"/>
      <c r="AD1187" s="208"/>
      <c r="AE1187" s="124"/>
      <c r="AI1187" s="74"/>
      <c r="AM1187" s="74"/>
      <c r="AQ1187" s="74"/>
      <c r="AU1187" s="74"/>
      <c r="AY1187" s="74"/>
      <c r="BC1187" s="74"/>
    </row>
    <row r="1188" spans="2:55" s="123" customFormat="1">
      <c r="B1188" s="125"/>
      <c r="D1188" s="125"/>
      <c r="AA1188" s="74"/>
      <c r="AD1188" s="208"/>
      <c r="AE1188" s="124"/>
      <c r="AI1188" s="74"/>
      <c r="AM1188" s="74"/>
      <c r="AQ1188" s="74"/>
      <c r="AU1188" s="74"/>
      <c r="AY1188" s="74"/>
      <c r="BC1188" s="74"/>
    </row>
    <row r="1189" spans="2:55" s="123" customFormat="1">
      <c r="B1189" s="125"/>
      <c r="D1189" s="125"/>
      <c r="AA1189" s="74"/>
      <c r="AD1189" s="208"/>
      <c r="AE1189" s="124"/>
      <c r="AI1189" s="74"/>
      <c r="AM1189" s="74"/>
      <c r="AQ1189" s="74"/>
      <c r="AU1189" s="74"/>
      <c r="AY1189" s="74"/>
      <c r="BC1189" s="74"/>
    </row>
    <row r="1190" spans="2:55" s="123" customFormat="1">
      <c r="B1190" s="125"/>
      <c r="D1190" s="125"/>
      <c r="AA1190" s="74"/>
      <c r="AD1190" s="208"/>
      <c r="AE1190" s="124"/>
      <c r="AI1190" s="74"/>
      <c r="AM1190" s="74"/>
      <c r="AQ1190" s="74"/>
      <c r="AU1190" s="74"/>
      <c r="AY1190" s="74"/>
      <c r="BC1190" s="74"/>
    </row>
    <row r="1191" spans="2:55" s="123" customFormat="1">
      <c r="B1191" s="125"/>
      <c r="D1191" s="125"/>
      <c r="AA1191" s="74"/>
      <c r="AD1191" s="208"/>
      <c r="AE1191" s="124"/>
      <c r="AI1191" s="74"/>
      <c r="AM1191" s="74"/>
      <c r="AQ1191" s="74"/>
      <c r="AU1191" s="74"/>
      <c r="AY1191" s="74"/>
      <c r="BC1191" s="74"/>
    </row>
    <row r="1192" spans="2:55" s="123" customFormat="1">
      <c r="B1192" s="125"/>
      <c r="D1192" s="125"/>
      <c r="AA1192" s="74"/>
      <c r="AD1192" s="208"/>
      <c r="AE1192" s="124"/>
      <c r="AI1192" s="74"/>
      <c r="AM1192" s="74"/>
      <c r="AQ1192" s="74"/>
      <c r="AU1192" s="74"/>
      <c r="AY1192" s="74"/>
      <c r="BC1192" s="74"/>
    </row>
    <row r="1193" spans="2:55" s="123" customFormat="1">
      <c r="B1193" s="125"/>
      <c r="D1193" s="125"/>
      <c r="AA1193" s="74"/>
      <c r="AD1193" s="208"/>
      <c r="AE1193" s="124"/>
      <c r="AI1193" s="74"/>
      <c r="AM1193" s="74"/>
      <c r="AQ1193" s="74"/>
      <c r="AU1193" s="74"/>
      <c r="AY1193" s="74"/>
      <c r="BC1193" s="74"/>
    </row>
    <row r="1194" spans="2:55" s="123" customFormat="1">
      <c r="B1194" s="125"/>
      <c r="D1194" s="125"/>
      <c r="AA1194" s="74"/>
      <c r="AD1194" s="208"/>
      <c r="AE1194" s="124"/>
      <c r="AI1194" s="74"/>
      <c r="AM1194" s="74"/>
      <c r="AQ1194" s="74"/>
      <c r="AU1194" s="74"/>
      <c r="AY1194" s="74"/>
      <c r="BC1194" s="74"/>
    </row>
    <row r="1195" spans="2:55" s="123" customFormat="1">
      <c r="B1195" s="125"/>
      <c r="D1195" s="125"/>
      <c r="AA1195" s="74"/>
      <c r="AD1195" s="208"/>
      <c r="AE1195" s="124"/>
      <c r="AI1195" s="74"/>
      <c r="AM1195" s="74"/>
      <c r="AQ1195" s="74"/>
      <c r="AU1195" s="74"/>
      <c r="AY1195" s="74"/>
      <c r="BC1195" s="74"/>
    </row>
    <row r="1196" spans="2:55" s="123" customFormat="1">
      <c r="B1196" s="125"/>
      <c r="D1196" s="125"/>
      <c r="AA1196" s="74"/>
      <c r="AD1196" s="208"/>
      <c r="AE1196" s="124"/>
      <c r="AI1196" s="74"/>
      <c r="AM1196" s="74"/>
      <c r="AQ1196" s="74"/>
      <c r="AU1196" s="74"/>
      <c r="AY1196" s="74"/>
      <c r="BC1196" s="74"/>
    </row>
    <row r="1197" spans="2:55" s="123" customFormat="1">
      <c r="B1197" s="125"/>
      <c r="D1197" s="125"/>
      <c r="AA1197" s="74"/>
      <c r="AD1197" s="208"/>
      <c r="AE1197" s="124"/>
      <c r="AI1197" s="74"/>
      <c r="AM1197" s="74"/>
      <c r="AQ1197" s="74"/>
      <c r="AU1197" s="74"/>
      <c r="AY1197" s="74"/>
      <c r="BC1197" s="74"/>
    </row>
    <row r="1198" spans="2:55" s="123" customFormat="1">
      <c r="B1198" s="125"/>
      <c r="D1198" s="125"/>
      <c r="AA1198" s="74"/>
      <c r="AD1198" s="208"/>
      <c r="AE1198" s="124"/>
      <c r="AI1198" s="74"/>
      <c r="AM1198" s="74"/>
      <c r="AQ1198" s="74"/>
      <c r="AU1198" s="74"/>
      <c r="AY1198" s="74"/>
      <c r="BC1198" s="74"/>
    </row>
    <row r="1199" spans="2:55" s="123" customFormat="1">
      <c r="B1199" s="125"/>
      <c r="D1199" s="125"/>
      <c r="AA1199" s="74"/>
      <c r="AD1199" s="208"/>
      <c r="AE1199" s="124"/>
      <c r="AI1199" s="74"/>
      <c r="AM1199" s="74"/>
      <c r="AQ1199" s="74"/>
      <c r="AU1199" s="74"/>
      <c r="AY1199" s="74"/>
      <c r="BC1199" s="74"/>
    </row>
    <row r="1200" spans="2:55" s="123" customFormat="1">
      <c r="B1200" s="125"/>
      <c r="D1200" s="125"/>
      <c r="AA1200" s="74"/>
      <c r="AD1200" s="208"/>
      <c r="AE1200" s="124"/>
      <c r="AI1200" s="74"/>
      <c r="AM1200" s="74"/>
      <c r="AQ1200" s="74"/>
      <c r="AU1200" s="74"/>
      <c r="AY1200" s="74"/>
      <c r="BC1200" s="74"/>
    </row>
    <row r="1201" spans="2:55" s="123" customFormat="1">
      <c r="B1201" s="125"/>
      <c r="D1201" s="125"/>
      <c r="AA1201" s="74"/>
      <c r="AD1201" s="208"/>
      <c r="AE1201" s="124"/>
      <c r="AI1201" s="74"/>
      <c r="AM1201" s="74"/>
      <c r="AQ1201" s="74"/>
      <c r="AU1201" s="74"/>
      <c r="AY1201" s="74"/>
      <c r="BC1201" s="74"/>
    </row>
    <row r="1202" spans="2:55" s="123" customFormat="1">
      <c r="B1202" s="125"/>
      <c r="D1202" s="125"/>
      <c r="AA1202" s="74"/>
      <c r="AD1202" s="208"/>
      <c r="AE1202" s="124"/>
      <c r="AI1202" s="74"/>
      <c r="AM1202" s="74"/>
      <c r="AQ1202" s="74"/>
      <c r="AU1202" s="74"/>
      <c r="AY1202" s="74"/>
      <c r="BC1202" s="74"/>
    </row>
    <row r="1203" spans="2:55" s="123" customFormat="1">
      <c r="B1203" s="125"/>
      <c r="D1203" s="125"/>
      <c r="AA1203" s="74"/>
      <c r="AD1203" s="208"/>
      <c r="AE1203" s="124"/>
      <c r="AI1203" s="74"/>
      <c r="AM1203" s="74"/>
      <c r="AQ1203" s="74"/>
      <c r="AU1203" s="74"/>
      <c r="AY1203" s="74"/>
      <c r="BC1203" s="74"/>
    </row>
    <row r="1204" spans="2:55" s="123" customFormat="1">
      <c r="B1204" s="125"/>
      <c r="D1204" s="125"/>
      <c r="AA1204" s="74"/>
      <c r="AD1204" s="208"/>
      <c r="AE1204" s="124"/>
      <c r="AI1204" s="74"/>
      <c r="AM1204" s="74"/>
      <c r="AQ1204" s="74"/>
      <c r="AU1204" s="74"/>
      <c r="AY1204" s="74"/>
      <c r="BC1204" s="74"/>
    </row>
    <row r="1205" spans="2:55" s="123" customFormat="1">
      <c r="B1205" s="125"/>
      <c r="D1205" s="125"/>
      <c r="AA1205" s="74"/>
      <c r="AD1205" s="208"/>
      <c r="AE1205" s="124"/>
      <c r="AI1205" s="74"/>
      <c r="AM1205" s="74"/>
      <c r="AQ1205" s="74"/>
      <c r="AU1205" s="74"/>
      <c r="AY1205" s="74"/>
      <c r="BC1205" s="74"/>
    </row>
    <row r="1206" spans="2:55" s="123" customFormat="1">
      <c r="B1206" s="125"/>
      <c r="D1206" s="125"/>
      <c r="AA1206" s="74"/>
      <c r="AD1206" s="208"/>
      <c r="AE1206" s="124"/>
      <c r="AI1206" s="74"/>
      <c r="AM1206" s="74"/>
      <c r="AQ1206" s="74"/>
      <c r="AU1206" s="74"/>
      <c r="AY1206" s="74"/>
      <c r="BC1206" s="74"/>
    </row>
    <row r="1207" spans="2:55" s="123" customFormat="1">
      <c r="B1207" s="125"/>
      <c r="D1207" s="125"/>
      <c r="AA1207" s="74"/>
      <c r="AD1207" s="208"/>
      <c r="AE1207" s="124"/>
      <c r="AI1207" s="74"/>
      <c r="AM1207" s="74"/>
      <c r="AQ1207" s="74"/>
      <c r="AU1207" s="74"/>
      <c r="AY1207" s="74"/>
      <c r="BC1207" s="74"/>
    </row>
    <row r="1208" spans="2:55" s="123" customFormat="1">
      <c r="B1208" s="125"/>
      <c r="D1208" s="125"/>
      <c r="AA1208" s="74"/>
      <c r="AD1208" s="208"/>
      <c r="AE1208" s="124"/>
      <c r="AI1208" s="74"/>
      <c r="AM1208" s="74"/>
      <c r="AQ1208" s="74"/>
      <c r="AU1208" s="74"/>
      <c r="AY1208" s="74"/>
      <c r="BC1208" s="74"/>
    </row>
    <row r="1209" spans="2:55" s="123" customFormat="1">
      <c r="B1209" s="125"/>
      <c r="D1209" s="125"/>
      <c r="AA1209" s="74"/>
      <c r="AD1209" s="208"/>
      <c r="AE1209" s="124"/>
      <c r="AI1209" s="74"/>
      <c r="AM1209" s="74"/>
      <c r="AQ1209" s="74"/>
      <c r="AU1209" s="74"/>
      <c r="AY1209" s="74"/>
      <c r="BC1209" s="74"/>
    </row>
    <row r="1210" spans="2:55" s="123" customFormat="1">
      <c r="B1210" s="125"/>
      <c r="D1210" s="125"/>
      <c r="AA1210" s="74"/>
      <c r="AD1210" s="208"/>
      <c r="AE1210" s="124"/>
      <c r="AI1210" s="74"/>
      <c r="AM1210" s="74"/>
      <c r="AQ1210" s="74"/>
      <c r="AU1210" s="74"/>
      <c r="AY1210" s="74"/>
      <c r="BC1210" s="74"/>
    </row>
    <row r="1211" spans="2:55" s="123" customFormat="1">
      <c r="B1211" s="125"/>
      <c r="D1211" s="125"/>
      <c r="AA1211" s="74"/>
      <c r="AD1211" s="208"/>
      <c r="AE1211" s="124"/>
      <c r="AI1211" s="74"/>
      <c r="AM1211" s="74"/>
      <c r="AQ1211" s="74"/>
      <c r="AU1211" s="74"/>
      <c r="AY1211" s="74"/>
      <c r="BC1211" s="74"/>
    </row>
    <row r="1212" spans="2:55" s="123" customFormat="1">
      <c r="B1212" s="125"/>
      <c r="D1212" s="125"/>
      <c r="AA1212" s="74"/>
      <c r="AD1212" s="208"/>
      <c r="AE1212" s="124"/>
      <c r="AI1212" s="74"/>
      <c r="AM1212" s="74"/>
      <c r="AQ1212" s="74"/>
      <c r="AU1212" s="74"/>
      <c r="AY1212" s="74"/>
      <c r="BC1212" s="74"/>
    </row>
    <row r="1213" spans="2:55" s="123" customFormat="1">
      <c r="B1213" s="125"/>
      <c r="D1213" s="125"/>
      <c r="AA1213" s="74"/>
      <c r="AD1213" s="208"/>
      <c r="AE1213" s="124"/>
      <c r="AI1213" s="74"/>
      <c r="AM1213" s="74"/>
      <c r="AQ1213" s="74"/>
      <c r="AU1213" s="74"/>
      <c r="AY1213" s="74"/>
      <c r="BC1213" s="74"/>
    </row>
    <row r="1214" spans="2:55" s="123" customFormat="1">
      <c r="B1214" s="125"/>
      <c r="D1214" s="125"/>
      <c r="AA1214" s="74"/>
      <c r="AD1214" s="208"/>
      <c r="AE1214" s="124"/>
      <c r="AI1214" s="74"/>
      <c r="AM1214" s="74"/>
      <c r="AQ1214" s="74"/>
      <c r="AU1214" s="74"/>
      <c r="AY1214" s="74"/>
      <c r="BC1214" s="74"/>
    </row>
    <row r="1215" spans="2:55" s="123" customFormat="1">
      <c r="B1215" s="125"/>
      <c r="D1215" s="125"/>
      <c r="AA1215" s="74"/>
      <c r="AD1215" s="208"/>
      <c r="AE1215" s="124"/>
      <c r="AI1215" s="74"/>
      <c r="AM1215" s="74"/>
      <c r="AQ1215" s="74"/>
      <c r="AU1215" s="74"/>
      <c r="AY1215" s="74"/>
      <c r="BC1215" s="74"/>
    </row>
    <row r="1216" spans="2:55" s="123" customFormat="1">
      <c r="B1216" s="125"/>
      <c r="D1216" s="125"/>
      <c r="AA1216" s="74"/>
      <c r="AD1216" s="208"/>
      <c r="AE1216" s="124"/>
      <c r="AI1216" s="74"/>
      <c r="AM1216" s="74"/>
      <c r="AQ1216" s="74"/>
      <c r="AU1216" s="74"/>
      <c r="AY1216" s="74"/>
      <c r="BC1216" s="74"/>
    </row>
    <row r="1217" spans="2:55" s="123" customFormat="1">
      <c r="B1217" s="125"/>
      <c r="D1217" s="125"/>
      <c r="AA1217" s="74"/>
      <c r="AD1217" s="208"/>
      <c r="AE1217" s="124"/>
      <c r="AI1217" s="74"/>
      <c r="AM1217" s="74"/>
      <c r="AQ1217" s="74"/>
      <c r="AU1217" s="74"/>
      <c r="AY1217" s="74"/>
      <c r="BC1217" s="74"/>
    </row>
    <row r="1218" spans="2:55" s="123" customFormat="1">
      <c r="B1218" s="125"/>
      <c r="D1218" s="125"/>
      <c r="AA1218" s="74"/>
      <c r="AD1218" s="208"/>
      <c r="AE1218" s="124"/>
      <c r="AI1218" s="74"/>
      <c r="AM1218" s="74"/>
      <c r="AQ1218" s="74"/>
      <c r="AU1218" s="74"/>
      <c r="AY1218" s="74"/>
      <c r="BC1218" s="74"/>
    </row>
    <row r="1219" spans="2:55" s="123" customFormat="1">
      <c r="B1219" s="125"/>
      <c r="D1219" s="125"/>
      <c r="AA1219" s="74"/>
      <c r="AD1219" s="208"/>
      <c r="AE1219" s="124"/>
      <c r="AI1219" s="74"/>
      <c r="AM1219" s="74"/>
      <c r="AQ1219" s="74"/>
      <c r="AU1219" s="74"/>
      <c r="AY1219" s="74"/>
      <c r="BC1219" s="74"/>
    </row>
    <row r="1220" spans="2:55" s="123" customFormat="1">
      <c r="B1220" s="125"/>
      <c r="D1220" s="125"/>
      <c r="AA1220" s="74"/>
      <c r="AD1220" s="208"/>
      <c r="AE1220" s="124"/>
      <c r="AI1220" s="74"/>
      <c r="AM1220" s="74"/>
      <c r="AQ1220" s="74"/>
      <c r="AU1220" s="74"/>
      <c r="AY1220" s="74"/>
      <c r="BC1220" s="74"/>
    </row>
    <row r="1221" spans="2:55" s="123" customFormat="1">
      <c r="B1221" s="125"/>
      <c r="D1221" s="125"/>
      <c r="AA1221" s="74"/>
      <c r="AD1221" s="208"/>
      <c r="AE1221" s="124"/>
      <c r="AI1221" s="74"/>
      <c r="AM1221" s="74"/>
      <c r="AQ1221" s="74"/>
      <c r="AU1221" s="74"/>
      <c r="AY1221" s="74"/>
      <c r="BC1221" s="74"/>
    </row>
    <row r="1222" spans="2:55" s="123" customFormat="1">
      <c r="B1222" s="125"/>
      <c r="D1222" s="125"/>
      <c r="AA1222" s="74"/>
      <c r="AD1222" s="208"/>
      <c r="AE1222" s="124"/>
      <c r="AI1222" s="74"/>
      <c r="AM1222" s="74"/>
      <c r="AQ1222" s="74"/>
      <c r="AU1222" s="74"/>
      <c r="AY1222" s="74"/>
      <c r="BC1222" s="74"/>
    </row>
    <row r="1223" spans="2:55" s="123" customFormat="1">
      <c r="B1223" s="125"/>
      <c r="D1223" s="125"/>
      <c r="AA1223" s="74"/>
      <c r="AD1223" s="208"/>
      <c r="AE1223" s="124"/>
      <c r="AI1223" s="74"/>
      <c r="AM1223" s="74"/>
      <c r="AQ1223" s="74"/>
      <c r="AU1223" s="74"/>
      <c r="AY1223" s="74"/>
      <c r="BC1223" s="74"/>
    </row>
    <row r="1224" spans="2:55" s="123" customFormat="1">
      <c r="B1224" s="125"/>
      <c r="D1224" s="125"/>
      <c r="AA1224" s="74"/>
      <c r="AD1224" s="208"/>
      <c r="AE1224" s="124"/>
      <c r="AI1224" s="74"/>
      <c r="AM1224" s="74"/>
      <c r="AQ1224" s="74"/>
      <c r="AU1224" s="74"/>
      <c r="AY1224" s="74"/>
      <c r="BC1224" s="74"/>
    </row>
    <row r="1225" spans="2:55" s="123" customFormat="1">
      <c r="B1225" s="125"/>
      <c r="D1225" s="125"/>
      <c r="AA1225" s="74"/>
      <c r="AD1225" s="208"/>
      <c r="AE1225" s="124"/>
      <c r="AI1225" s="74"/>
      <c r="AM1225" s="74"/>
      <c r="AQ1225" s="74"/>
      <c r="AU1225" s="74"/>
      <c r="AY1225" s="74"/>
      <c r="BC1225" s="74"/>
    </row>
    <row r="1226" spans="2:55" s="123" customFormat="1">
      <c r="B1226" s="125"/>
      <c r="D1226" s="125"/>
      <c r="AA1226" s="74"/>
      <c r="AD1226" s="208"/>
      <c r="AE1226" s="124"/>
      <c r="AI1226" s="74"/>
      <c r="AM1226" s="74"/>
      <c r="AQ1226" s="74"/>
      <c r="AU1226" s="74"/>
      <c r="AY1226" s="74"/>
      <c r="BC1226" s="74"/>
    </row>
    <row r="1227" spans="2:55" s="123" customFormat="1">
      <c r="B1227" s="125"/>
      <c r="D1227" s="125"/>
      <c r="AA1227" s="74"/>
      <c r="AD1227" s="208"/>
      <c r="AE1227" s="124"/>
      <c r="AI1227" s="74"/>
      <c r="AM1227" s="74"/>
      <c r="AQ1227" s="74"/>
      <c r="AU1227" s="74"/>
      <c r="AY1227" s="74"/>
      <c r="BC1227" s="74"/>
    </row>
    <row r="1228" spans="2:55" s="123" customFormat="1">
      <c r="B1228" s="125"/>
      <c r="D1228" s="125"/>
      <c r="AA1228" s="74"/>
      <c r="AD1228" s="208"/>
      <c r="AE1228" s="124"/>
      <c r="AI1228" s="74"/>
      <c r="AM1228" s="74"/>
      <c r="AQ1228" s="74"/>
      <c r="AU1228" s="74"/>
      <c r="AY1228" s="74"/>
      <c r="BC1228" s="74"/>
    </row>
    <row r="1229" spans="2:55" s="123" customFormat="1">
      <c r="B1229" s="125"/>
      <c r="D1229" s="125"/>
      <c r="AA1229" s="74"/>
      <c r="AD1229" s="208"/>
      <c r="AE1229" s="124"/>
      <c r="AI1229" s="74"/>
      <c r="AM1229" s="74"/>
      <c r="AQ1229" s="74"/>
      <c r="AU1229" s="74"/>
      <c r="AY1229" s="74"/>
      <c r="BC1229" s="74"/>
    </row>
    <row r="1230" spans="2:55" s="123" customFormat="1">
      <c r="B1230" s="125"/>
      <c r="D1230" s="125"/>
      <c r="AA1230" s="74"/>
      <c r="AD1230" s="208"/>
      <c r="AE1230" s="124"/>
      <c r="AI1230" s="74"/>
      <c r="AM1230" s="74"/>
      <c r="AQ1230" s="74"/>
      <c r="AU1230" s="74"/>
      <c r="AY1230" s="74"/>
      <c r="BC1230" s="74"/>
    </row>
    <row r="1231" spans="2:55" s="123" customFormat="1">
      <c r="B1231" s="125"/>
      <c r="D1231" s="125"/>
      <c r="AA1231" s="74"/>
      <c r="AD1231" s="208"/>
      <c r="AE1231" s="124"/>
      <c r="AI1231" s="74"/>
      <c r="AM1231" s="74"/>
      <c r="AQ1231" s="74"/>
      <c r="AU1231" s="74"/>
      <c r="AY1231" s="74"/>
      <c r="BC1231" s="74"/>
    </row>
    <row r="1232" spans="2:55" s="123" customFormat="1">
      <c r="B1232" s="125"/>
      <c r="D1232" s="125"/>
      <c r="AA1232" s="74"/>
      <c r="AD1232" s="208"/>
      <c r="AE1232" s="124"/>
      <c r="AI1232" s="74"/>
      <c r="AM1232" s="74"/>
      <c r="AQ1232" s="74"/>
      <c r="AU1232" s="74"/>
      <c r="AY1232" s="74"/>
      <c r="BC1232" s="74"/>
    </row>
    <row r="1233" spans="2:55" s="123" customFormat="1">
      <c r="B1233" s="125"/>
      <c r="D1233" s="125"/>
      <c r="AA1233" s="74"/>
      <c r="AD1233" s="208"/>
      <c r="AE1233" s="124"/>
      <c r="AI1233" s="74"/>
      <c r="AM1233" s="74"/>
      <c r="AQ1233" s="74"/>
      <c r="AU1233" s="74"/>
      <c r="AY1233" s="74"/>
      <c r="BC1233" s="74"/>
    </row>
    <row r="1234" spans="2:55" s="123" customFormat="1">
      <c r="B1234" s="125"/>
      <c r="D1234" s="125"/>
      <c r="AA1234" s="74"/>
      <c r="AD1234" s="208"/>
      <c r="AE1234" s="124"/>
      <c r="AI1234" s="74"/>
      <c r="AM1234" s="74"/>
      <c r="AQ1234" s="74"/>
      <c r="AU1234" s="74"/>
      <c r="AY1234" s="74"/>
      <c r="BC1234" s="74"/>
    </row>
    <row r="1235" spans="2:55" s="123" customFormat="1">
      <c r="B1235" s="125"/>
      <c r="D1235" s="125"/>
      <c r="AA1235" s="74"/>
      <c r="AD1235" s="208"/>
      <c r="AE1235" s="124"/>
      <c r="AI1235" s="74"/>
      <c r="AM1235" s="74"/>
      <c r="AQ1235" s="74"/>
      <c r="AU1235" s="74"/>
      <c r="AY1235" s="74"/>
      <c r="BC1235" s="74"/>
    </row>
    <row r="1236" spans="2:55" s="123" customFormat="1">
      <c r="B1236" s="125"/>
      <c r="D1236" s="125"/>
      <c r="AA1236" s="74"/>
      <c r="AD1236" s="208"/>
      <c r="AE1236" s="124"/>
      <c r="AI1236" s="74"/>
      <c r="AM1236" s="74"/>
      <c r="AQ1236" s="74"/>
      <c r="AU1236" s="74"/>
      <c r="AY1236" s="74"/>
      <c r="BC1236" s="74"/>
    </row>
    <row r="1237" spans="2:55" s="123" customFormat="1">
      <c r="B1237" s="125"/>
      <c r="D1237" s="125"/>
      <c r="AA1237" s="74"/>
      <c r="AD1237" s="208"/>
      <c r="AE1237" s="124"/>
      <c r="AI1237" s="74"/>
      <c r="AM1237" s="74"/>
      <c r="AQ1237" s="74"/>
      <c r="AU1237" s="74"/>
      <c r="AY1237" s="74"/>
      <c r="BC1237" s="74"/>
    </row>
    <row r="1238" spans="2:55" s="123" customFormat="1">
      <c r="B1238" s="125"/>
      <c r="D1238" s="125"/>
      <c r="AA1238" s="74"/>
      <c r="AD1238" s="208"/>
      <c r="AE1238" s="124"/>
      <c r="AI1238" s="74"/>
      <c r="AM1238" s="74"/>
      <c r="AQ1238" s="74"/>
      <c r="AU1238" s="74"/>
      <c r="AY1238" s="74"/>
      <c r="BC1238" s="74"/>
    </row>
    <row r="1239" spans="2:55" s="123" customFormat="1">
      <c r="B1239" s="125"/>
      <c r="D1239" s="125"/>
      <c r="AA1239" s="74"/>
      <c r="AD1239" s="208"/>
      <c r="AE1239" s="124"/>
      <c r="AI1239" s="74"/>
      <c r="AM1239" s="74"/>
      <c r="AQ1239" s="74"/>
      <c r="AU1239" s="74"/>
      <c r="AY1239" s="74"/>
      <c r="BC1239" s="74"/>
    </row>
    <row r="1240" spans="2:55" s="123" customFormat="1">
      <c r="B1240" s="125"/>
      <c r="D1240" s="125"/>
      <c r="AA1240" s="74"/>
      <c r="AD1240" s="208"/>
      <c r="AE1240" s="124"/>
      <c r="AI1240" s="74"/>
      <c r="AM1240" s="74"/>
      <c r="AQ1240" s="74"/>
      <c r="AU1240" s="74"/>
      <c r="AY1240" s="74"/>
      <c r="BC1240" s="74"/>
    </row>
    <row r="1241" spans="2:55" s="123" customFormat="1">
      <c r="B1241" s="125"/>
      <c r="D1241" s="125"/>
      <c r="AA1241" s="74"/>
      <c r="AD1241" s="208"/>
      <c r="AE1241" s="124"/>
      <c r="AI1241" s="74"/>
      <c r="AM1241" s="74"/>
      <c r="AQ1241" s="74"/>
      <c r="AU1241" s="74"/>
      <c r="AY1241" s="74"/>
      <c r="BC1241" s="74"/>
    </row>
    <row r="1242" spans="2:55" s="123" customFormat="1">
      <c r="B1242" s="125"/>
      <c r="D1242" s="125"/>
      <c r="AA1242" s="74"/>
      <c r="AD1242" s="208"/>
      <c r="AE1242" s="124"/>
      <c r="AI1242" s="74"/>
      <c r="AM1242" s="74"/>
      <c r="AQ1242" s="74"/>
      <c r="AU1242" s="74"/>
      <c r="AY1242" s="74"/>
      <c r="BC1242" s="74"/>
    </row>
    <row r="1243" spans="2:55" s="123" customFormat="1">
      <c r="B1243" s="125"/>
      <c r="D1243" s="125"/>
      <c r="AA1243" s="74"/>
      <c r="AD1243" s="208"/>
      <c r="AE1243" s="124"/>
      <c r="AI1243" s="74"/>
      <c r="AM1243" s="74"/>
      <c r="AQ1243" s="74"/>
      <c r="AU1243" s="74"/>
      <c r="AY1243" s="74"/>
      <c r="BC1243" s="74"/>
    </row>
    <row r="1244" spans="2:55" s="123" customFormat="1">
      <c r="B1244" s="125"/>
      <c r="D1244" s="125"/>
      <c r="AA1244" s="74"/>
      <c r="AD1244" s="208"/>
      <c r="AE1244" s="124"/>
      <c r="AI1244" s="74"/>
      <c r="AM1244" s="74"/>
      <c r="AQ1244" s="74"/>
      <c r="AU1244" s="74"/>
      <c r="AY1244" s="74"/>
      <c r="BC1244" s="74"/>
    </row>
    <row r="1245" spans="2:55" s="123" customFormat="1">
      <c r="B1245" s="125"/>
      <c r="D1245" s="125"/>
      <c r="AA1245" s="74"/>
      <c r="AD1245" s="208"/>
      <c r="AE1245" s="124"/>
      <c r="AI1245" s="74"/>
      <c r="AM1245" s="74"/>
      <c r="AQ1245" s="74"/>
      <c r="AU1245" s="74"/>
      <c r="AY1245" s="74"/>
      <c r="BC1245" s="74"/>
    </row>
    <row r="1246" spans="2:55" s="123" customFormat="1">
      <c r="B1246" s="125"/>
      <c r="D1246" s="125"/>
      <c r="AA1246" s="74"/>
      <c r="AD1246" s="208"/>
      <c r="AE1246" s="124"/>
      <c r="AI1246" s="74"/>
      <c r="AM1246" s="74"/>
      <c r="AQ1246" s="74"/>
      <c r="AU1246" s="74"/>
      <c r="AY1246" s="74"/>
      <c r="BC1246" s="74"/>
    </row>
    <row r="1247" spans="2:55" s="123" customFormat="1">
      <c r="B1247" s="125"/>
      <c r="D1247" s="125"/>
      <c r="AA1247" s="74"/>
      <c r="AD1247" s="208"/>
      <c r="AE1247" s="124"/>
      <c r="AI1247" s="74"/>
      <c r="AM1247" s="74"/>
      <c r="AQ1247" s="74"/>
      <c r="AU1247" s="74"/>
      <c r="AY1247" s="74"/>
      <c r="BC1247" s="74"/>
    </row>
    <row r="1248" spans="2:55" s="123" customFormat="1">
      <c r="B1248" s="125"/>
      <c r="D1248" s="125"/>
      <c r="AA1248" s="74"/>
      <c r="AD1248" s="208"/>
      <c r="AE1248" s="124"/>
      <c r="AI1248" s="74"/>
      <c r="AM1248" s="74"/>
      <c r="AQ1248" s="74"/>
      <c r="AU1248" s="74"/>
      <c r="AY1248" s="74"/>
      <c r="BC1248" s="74"/>
    </row>
    <row r="1249" spans="2:55" s="123" customFormat="1">
      <c r="B1249" s="125"/>
      <c r="D1249" s="125"/>
      <c r="AA1249" s="74"/>
      <c r="AD1249" s="208"/>
      <c r="AE1249" s="124"/>
      <c r="AI1249" s="74"/>
      <c r="AM1249" s="74"/>
      <c r="AQ1249" s="74"/>
      <c r="AU1249" s="74"/>
      <c r="AY1249" s="74"/>
      <c r="BC1249" s="74"/>
    </row>
    <row r="1250" spans="2:55" s="123" customFormat="1">
      <c r="B1250" s="125"/>
      <c r="D1250" s="125"/>
      <c r="AA1250" s="74"/>
      <c r="AD1250" s="208"/>
      <c r="AE1250" s="124"/>
      <c r="AI1250" s="74"/>
      <c r="AM1250" s="74"/>
      <c r="AQ1250" s="74"/>
      <c r="AU1250" s="74"/>
      <c r="AY1250" s="74"/>
      <c r="BC1250" s="74"/>
    </row>
    <row r="1251" spans="2:55" s="123" customFormat="1">
      <c r="B1251" s="125"/>
      <c r="D1251" s="125"/>
      <c r="AA1251" s="74"/>
      <c r="AD1251" s="208"/>
      <c r="AE1251" s="124"/>
      <c r="AI1251" s="74"/>
      <c r="AM1251" s="74"/>
      <c r="AQ1251" s="74"/>
      <c r="AU1251" s="74"/>
      <c r="AY1251" s="74"/>
      <c r="BC1251" s="74"/>
    </row>
    <row r="1252" spans="2:55" s="123" customFormat="1">
      <c r="B1252" s="125"/>
      <c r="D1252" s="125"/>
      <c r="AA1252" s="74"/>
      <c r="AD1252" s="208"/>
      <c r="AE1252" s="124"/>
      <c r="AI1252" s="74"/>
      <c r="AM1252" s="74"/>
      <c r="AQ1252" s="74"/>
      <c r="AU1252" s="74"/>
      <c r="AY1252" s="74"/>
      <c r="BC1252" s="74"/>
    </row>
    <row r="1253" spans="2:55" s="123" customFormat="1">
      <c r="B1253" s="125"/>
      <c r="D1253" s="125"/>
      <c r="AA1253" s="74"/>
      <c r="AD1253" s="208"/>
      <c r="AE1253" s="124"/>
      <c r="AI1253" s="74"/>
      <c r="AM1253" s="74"/>
      <c r="AQ1253" s="74"/>
      <c r="AU1253" s="74"/>
      <c r="AY1253" s="74"/>
      <c r="BC1253" s="74"/>
    </row>
    <row r="1254" spans="2:55" s="123" customFormat="1">
      <c r="B1254" s="125"/>
      <c r="D1254" s="125"/>
      <c r="AA1254" s="74"/>
      <c r="AD1254" s="208"/>
      <c r="AE1254" s="124"/>
      <c r="AI1254" s="74"/>
      <c r="AM1254" s="74"/>
      <c r="AQ1254" s="74"/>
      <c r="AU1254" s="74"/>
      <c r="AY1254" s="74"/>
      <c r="BC1254" s="74"/>
    </row>
    <row r="1255" spans="2:55" s="123" customFormat="1">
      <c r="B1255" s="125"/>
      <c r="D1255" s="125"/>
      <c r="AA1255" s="74"/>
      <c r="AD1255" s="208"/>
      <c r="AE1255" s="124"/>
      <c r="AI1255" s="74"/>
      <c r="AM1255" s="74"/>
      <c r="AQ1255" s="74"/>
      <c r="AU1255" s="74"/>
      <c r="AY1255" s="74"/>
      <c r="BC1255" s="74"/>
    </row>
    <row r="1256" spans="2:55" s="123" customFormat="1">
      <c r="B1256" s="125"/>
      <c r="D1256" s="125"/>
      <c r="AA1256" s="74"/>
      <c r="AD1256" s="208"/>
      <c r="AE1256" s="124"/>
      <c r="AI1256" s="74"/>
      <c r="AM1256" s="74"/>
      <c r="AQ1256" s="74"/>
      <c r="AU1256" s="74"/>
      <c r="AY1256" s="74"/>
      <c r="BC1256" s="74"/>
    </row>
    <row r="1257" spans="2:55" s="123" customFormat="1">
      <c r="B1257" s="125"/>
      <c r="D1257" s="125"/>
      <c r="AA1257" s="74"/>
      <c r="AD1257" s="208"/>
      <c r="AE1257" s="124"/>
      <c r="AI1257" s="74"/>
      <c r="AM1257" s="74"/>
      <c r="AQ1257" s="74"/>
      <c r="AU1257" s="74"/>
      <c r="AY1257" s="74"/>
      <c r="BC1257" s="74"/>
    </row>
    <row r="1258" spans="2:55" s="123" customFormat="1">
      <c r="B1258" s="125"/>
      <c r="D1258" s="125"/>
      <c r="AA1258" s="74"/>
      <c r="AD1258" s="208"/>
      <c r="AE1258" s="124"/>
      <c r="AI1258" s="74"/>
      <c r="AM1258" s="74"/>
      <c r="AQ1258" s="74"/>
      <c r="AU1258" s="74"/>
      <c r="AY1258" s="74"/>
      <c r="BC1258" s="74"/>
    </row>
    <row r="1259" spans="2:55" s="123" customFormat="1">
      <c r="B1259" s="125"/>
      <c r="D1259" s="125"/>
      <c r="AA1259" s="74"/>
      <c r="AD1259" s="208"/>
      <c r="AE1259" s="124"/>
      <c r="AI1259" s="74"/>
      <c r="AM1259" s="74"/>
      <c r="AQ1259" s="74"/>
      <c r="AU1259" s="74"/>
      <c r="AY1259" s="74"/>
      <c r="BC1259" s="74"/>
    </row>
    <row r="1260" spans="2:55" s="123" customFormat="1">
      <c r="B1260" s="125"/>
      <c r="D1260" s="125"/>
      <c r="AA1260" s="74"/>
      <c r="AD1260" s="208"/>
      <c r="AE1260" s="124"/>
      <c r="AI1260" s="74"/>
      <c r="AM1260" s="74"/>
      <c r="AQ1260" s="74"/>
      <c r="AU1260" s="74"/>
      <c r="AY1260" s="74"/>
      <c r="BC1260" s="74"/>
    </row>
    <row r="1261" spans="2:55" s="123" customFormat="1">
      <c r="B1261" s="125"/>
      <c r="D1261" s="125"/>
      <c r="AA1261" s="74"/>
      <c r="AD1261" s="208"/>
      <c r="AE1261" s="124"/>
      <c r="AI1261" s="74"/>
      <c r="AM1261" s="74"/>
      <c r="AQ1261" s="74"/>
      <c r="AU1261" s="74"/>
      <c r="AY1261" s="74"/>
      <c r="BC1261" s="74"/>
    </row>
    <row r="1262" spans="2:55" s="123" customFormat="1">
      <c r="B1262" s="125"/>
      <c r="D1262" s="125"/>
      <c r="AA1262" s="74"/>
      <c r="AD1262" s="208"/>
      <c r="AE1262" s="124"/>
      <c r="AI1262" s="74"/>
      <c r="AM1262" s="74"/>
      <c r="AQ1262" s="74"/>
      <c r="AU1262" s="74"/>
      <c r="AY1262" s="74"/>
      <c r="BC1262" s="74"/>
    </row>
    <row r="1263" spans="2:55" s="123" customFormat="1">
      <c r="B1263" s="125"/>
      <c r="D1263" s="125"/>
      <c r="AA1263" s="74"/>
      <c r="AD1263" s="208"/>
      <c r="AE1263" s="124"/>
      <c r="AI1263" s="74"/>
      <c r="AM1263" s="74"/>
      <c r="AQ1263" s="74"/>
      <c r="AU1263" s="74"/>
      <c r="AY1263" s="74"/>
      <c r="BC1263" s="74"/>
    </row>
    <row r="1264" spans="2:55" s="123" customFormat="1">
      <c r="B1264" s="125"/>
      <c r="D1264" s="125"/>
      <c r="AA1264" s="74"/>
      <c r="AD1264" s="208"/>
      <c r="AE1264" s="124"/>
      <c r="AI1264" s="74"/>
      <c r="AM1264" s="74"/>
      <c r="AQ1264" s="74"/>
      <c r="AU1264" s="74"/>
      <c r="AY1264" s="74"/>
      <c r="BC1264" s="74"/>
    </row>
    <row r="1265" spans="2:55" s="123" customFormat="1">
      <c r="B1265" s="125"/>
      <c r="D1265" s="125"/>
      <c r="AA1265" s="74"/>
      <c r="AD1265" s="208"/>
      <c r="AE1265" s="124"/>
      <c r="AI1265" s="74"/>
      <c r="AM1265" s="74"/>
      <c r="AQ1265" s="74"/>
      <c r="AU1265" s="74"/>
      <c r="AY1265" s="74"/>
      <c r="BC1265" s="74"/>
    </row>
    <row r="1266" spans="2:55" s="123" customFormat="1">
      <c r="B1266" s="125"/>
      <c r="D1266" s="125"/>
      <c r="AA1266" s="74"/>
      <c r="AD1266" s="208"/>
      <c r="AE1266" s="124"/>
      <c r="AI1266" s="74"/>
      <c r="AM1266" s="74"/>
      <c r="AQ1266" s="74"/>
      <c r="AU1266" s="74"/>
      <c r="AY1266" s="74"/>
      <c r="BC1266" s="74"/>
    </row>
    <row r="1267" spans="2:55" s="123" customFormat="1">
      <c r="B1267" s="125"/>
      <c r="D1267" s="125"/>
      <c r="AA1267" s="74"/>
      <c r="AD1267" s="208"/>
      <c r="AE1267" s="124"/>
      <c r="AI1267" s="74"/>
      <c r="AM1267" s="74"/>
      <c r="AQ1267" s="74"/>
      <c r="AU1267" s="74"/>
      <c r="AY1267" s="74"/>
      <c r="BC1267" s="74"/>
    </row>
    <row r="1268" spans="2:55" s="123" customFormat="1">
      <c r="B1268" s="125"/>
      <c r="D1268" s="125"/>
      <c r="AA1268" s="74"/>
      <c r="AD1268" s="208"/>
      <c r="AE1268" s="124"/>
      <c r="AI1268" s="74"/>
      <c r="AM1268" s="74"/>
      <c r="AQ1268" s="74"/>
      <c r="AU1268" s="74"/>
      <c r="AY1268" s="74"/>
      <c r="BC1268" s="74"/>
    </row>
    <row r="1269" spans="2:55" s="123" customFormat="1">
      <c r="B1269" s="125"/>
      <c r="D1269" s="125"/>
      <c r="AA1269" s="74"/>
      <c r="AD1269" s="208"/>
      <c r="AE1269" s="124"/>
      <c r="AI1269" s="74"/>
      <c r="AM1269" s="74"/>
      <c r="AQ1269" s="74"/>
      <c r="AU1269" s="74"/>
      <c r="AY1269" s="74"/>
      <c r="BC1269" s="74"/>
    </row>
    <row r="1270" spans="2:55" s="123" customFormat="1">
      <c r="B1270" s="125"/>
      <c r="D1270" s="125"/>
      <c r="AA1270" s="74"/>
      <c r="AD1270" s="208"/>
      <c r="AE1270" s="124"/>
      <c r="AI1270" s="74"/>
      <c r="AM1270" s="74"/>
      <c r="AQ1270" s="74"/>
      <c r="AU1270" s="74"/>
      <c r="AY1270" s="74"/>
      <c r="BC1270" s="74"/>
    </row>
    <row r="1271" spans="2:55" s="123" customFormat="1">
      <c r="B1271" s="125"/>
      <c r="D1271" s="125"/>
      <c r="AA1271" s="74"/>
      <c r="AD1271" s="208"/>
      <c r="AE1271" s="124"/>
      <c r="AI1271" s="74"/>
      <c r="AM1271" s="74"/>
      <c r="AQ1271" s="74"/>
      <c r="AU1271" s="74"/>
      <c r="AY1271" s="74"/>
      <c r="BC1271" s="74"/>
    </row>
    <row r="1272" spans="2:55" s="123" customFormat="1">
      <c r="B1272" s="125"/>
      <c r="D1272" s="125"/>
      <c r="AA1272" s="74"/>
      <c r="AD1272" s="208"/>
      <c r="AE1272" s="124"/>
      <c r="AI1272" s="74"/>
      <c r="AM1272" s="74"/>
      <c r="AQ1272" s="74"/>
      <c r="AU1272" s="74"/>
      <c r="AY1272" s="74"/>
      <c r="BC1272" s="74"/>
    </row>
    <row r="1273" spans="2:55" s="123" customFormat="1">
      <c r="B1273" s="125"/>
      <c r="D1273" s="125"/>
      <c r="AA1273" s="74"/>
      <c r="AD1273" s="208"/>
      <c r="AE1273" s="124"/>
      <c r="AI1273" s="74"/>
      <c r="AM1273" s="74"/>
      <c r="AQ1273" s="74"/>
      <c r="AU1273" s="74"/>
      <c r="AY1273" s="74"/>
      <c r="BC1273" s="74"/>
    </row>
    <row r="1274" spans="2:55" s="123" customFormat="1">
      <c r="B1274" s="125"/>
      <c r="D1274" s="125"/>
      <c r="AA1274" s="74"/>
      <c r="AD1274" s="208"/>
      <c r="AE1274" s="124"/>
      <c r="AI1274" s="74"/>
      <c r="AM1274" s="74"/>
      <c r="AQ1274" s="74"/>
      <c r="AU1274" s="74"/>
      <c r="AY1274" s="74"/>
      <c r="BC1274" s="74"/>
    </row>
    <row r="1275" spans="2:55" s="123" customFormat="1">
      <c r="B1275" s="125"/>
      <c r="D1275" s="125"/>
      <c r="AA1275" s="74"/>
      <c r="AD1275" s="208"/>
      <c r="AE1275" s="124"/>
      <c r="AI1275" s="74"/>
      <c r="AM1275" s="74"/>
      <c r="AQ1275" s="74"/>
      <c r="AU1275" s="74"/>
      <c r="AY1275" s="74"/>
      <c r="BC1275" s="74"/>
    </row>
    <row r="1276" spans="2:55" s="123" customFormat="1">
      <c r="B1276" s="125"/>
      <c r="D1276" s="125"/>
      <c r="AA1276" s="74"/>
      <c r="AD1276" s="208"/>
      <c r="AE1276" s="124"/>
      <c r="AI1276" s="74"/>
      <c r="AM1276" s="74"/>
      <c r="AQ1276" s="74"/>
      <c r="AU1276" s="74"/>
      <c r="AY1276" s="74"/>
      <c r="BC1276" s="74"/>
    </row>
    <row r="1277" spans="2:55" s="123" customFormat="1">
      <c r="B1277" s="125"/>
      <c r="D1277" s="125"/>
      <c r="AA1277" s="74"/>
      <c r="AD1277" s="208"/>
      <c r="AE1277" s="124"/>
      <c r="AI1277" s="74"/>
      <c r="AM1277" s="74"/>
      <c r="AQ1277" s="74"/>
      <c r="AU1277" s="74"/>
      <c r="AY1277" s="74"/>
      <c r="BC1277" s="74"/>
    </row>
    <row r="1278" spans="2:55" s="123" customFormat="1">
      <c r="B1278" s="125"/>
      <c r="D1278" s="125"/>
      <c r="AA1278" s="74"/>
      <c r="AD1278" s="208"/>
      <c r="AE1278" s="124"/>
      <c r="AI1278" s="74"/>
      <c r="AM1278" s="74"/>
      <c r="AQ1278" s="74"/>
      <c r="AU1278" s="74"/>
      <c r="AY1278" s="74"/>
      <c r="BC1278" s="74"/>
    </row>
    <row r="1279" spans="2:55" s="123" customFormat="1">
      <c r="B1279" s="125"/>
      <c r="D1279" s="125"/>
      <c r="AA1279" s="74"/>
      <c r="AD1279" s="208"/>
      <c r="AE1279" s="124"/>
      <c r="AI1279" s="74"/>
      <c r="AM1279" s="74"/>
      <c r="AQ1279" s="74"/>
      <c r="AU1279" s="74"/>
      <c r="AY1279" s="74"/>
      <c r="BC1279" s="74"/>
    </row>
    <row r="1280" spans="2:55" s="123" customFormat="1">
      <c r="B1280" s="125"/>
      <c r="D1280" s="125"/>
      <c r="AA1280" s="74"/>
      <c r="AD1280" s="208"/>
      <c r="AE1280" s="124"/>
      <c r="AI1280" s="74"/>
      <c r="AM1280" s="74"/>
      <c r="AQ1280" s="74"/>
      <c r="AU1280" s="74"/>
      <c r="AY1280" s="74"/>
      <c r="BC1280" s="74"/>
    </row>
    <row r="1281" spans="2:55" s="123" customFormat="1">
      <c r="B1281" s="125"/>
      <c r="D1281" s="125"/>
      <c r="AA1281" s="74"/>
      <c r="AD1281" s="208"/>
      <c r="AE1281" s="124"/>
      <c r="AI1281" s="74"/>
      <c r="AM1281" s="74"/>
      <c r="AQ1281" s="74"/>
      <c r="AU1281" s="74"/>
      <c r="AY1281" s="74"/>
      <c r="BC1281" s="74"/>
    </row>
    <row r="1282" spans="2:55" s="123" customFormat="1">
      <c r="B1282" s="125"/>
      <c r="D1282" s="125"/>
      <c r="AA1282" s="74"/>
      <c r="AD1282" s="208"/>
      <c r="AE1282" s="124"/>
      <c r="AI1282" s="74"/>
      <c r="AM1282" s="74"/>
      <c r="AQ1282" s="74"/>
      <c r="AU1282" s="74"/>
      <c r="AY1282" s="74"/>
      <c r="BC1282" s="74"/>
    </row>
    <row r="1283" spans="2:55" s="123" customFormat="1">
      <c r="B1283" s="125"/>
      <c r="D1283" s="125"/>
      <c r="AA1283" s="74"/>
      <c r="AD1283" s="208"/>
      <c r="AE1283" s="124"/>
      <c r="AI1283" s="74"/>
      <c r="AM1283" s="74"/>
      <c r="AQ1283" s="74"/>
      <c r="AU1283" s="74"/>
      <c r="AY1283" s="74"/>
      <c r="BC1283" s="74"/>
    </row>
    <row r="1284" spans="2:55" s="123" customFormat="1">
      <c r="B1284" s="125"/>
      <c r="D1284" s="125"/>
      <c r="AA1284" s="74"/>
      <c r="AD1284" s="208"/>
      <c r="AE1284" s="124"/>
      <c r="AI1284" s="74"/>
      <c r="AM1284" s="74"/>
      <c r="AQ1284" s="74"/>
      <c r="AU1284" s="74"/>
      <c r="AY1284" s="74"/>
      <c r="BC1284" s="74"/>
    </row>
    <row r="1285" spans="2:55" s="123" customFormat="1">
      <c r="B1285" s="125"/>
      <c r="D1285" s="125"/>
      <c r="AA1285" s="74"/>
      <c r="AD1285" s="208"/>
      <c r="AE1285" s="124"/>
      <c r="AI1285" s="74"/>
      <c r="AM1285" s="74"/>
      <c r="AQ1285" s="74"/>
      <c r="AU1285" s="74"/>
      <c r="AY1285" s="74"/>
      <c r="BC1285" s="74"/>
    </row>
    <row r="1286" spans="2:55" s="123" customFormat="1">
      <c r="B1286" s="125"/>
      <c r="D1286" s="125"/>
      <c r="AA1286" s="74"/>
      <c r="AD1286" s="208"/>
      <c r="AE1286" s="124"/>
      <c r="AI1286" s="74"/>
      <c r="AM1286" s="74"/>
      <c r="AQ1286" s="74"/>
      <c r="AU1286" s="74"/>
      <c r="AY1286" s="74"/>
      <c r="BC1286" s="74"/>
    </row>
    <row r="1287" spans="2:55" s="123" customFormat="1">
      <c r="B1287" s="125"/>
      <c r="D1287" s="125"/>
      <c r="AA1287" s="74"/>
      <c r="AD1287" s="208"/>
      <c r="AE1287" s="124"/>
      <c r="AI1287" s="74"/>
      <c r="AM1287" s="74"/>
      <c r="AQ1287" s="74"/>
      <c r="AU1287" s="74"/>
      <c r="AY1287" s="74"/>
      <c r="BC1287" s="74"/>
    </row>
    <row r="1288" spans="2:55" s="123" customFormat="1">
      <c r="B1288" s="125"/>
      <c r="D1288" s="125"/>
      <c r="AA1288" s="74"/>
      <c r="AD1288" s="208"/>
      <c r="AE1288" s="124"/>
      <c r="AI1288" s="74"/>
      <c r="AM1288" s="74"/>
      <c r="AQ1288" s="74"/>
      <c r="AU1288" s="74"/>
      <c r="AY1288" s="74"/>
      <c r="BC1288" s="74"/>
    </row>
    <row r="1289" spans="2:55" s="123" customFormat="1">
      <c r="B1289" s="125"/>
      <c r="D1289" s="125"/>
      <c r="AA1289" s="74"/>
      <c r="AD1289" s="208"/>
      <c r="AE1289" s="124"/>
      <c r="AI1289" s="74"/>
      <c r="AM1289" s="74"/>
      <c r="AQ1289" s="74"/>
      <c r="AU1289" s="74"/>
      <c r="AY1289" s="74"/>
      <c r="BC1289" s="74"/>
    </row>
    <row r="1290" spans="2:55" s="123" customFormat="1">
      <c r="B1290" s="125"/>
      <c r="D1290" s="125"/>
      <c r="AA1290" s="74"/>
      <c r="AD1290" s="208"/>
      <c r="AE1290" s="124"/>
      <c r="AI1290" s="74"/>
      <c r="AM1290" s="74"/>
      <c r="AQ1290" s="74"/>
      <c r="AU1290" s="74"/>
      <c r="AY1290" s="74"/>
      <c r="BC1290" s="74"/>
    </row>
    <row r="1291" spans="2:55" s="123" customFormat="1">
      <c r="B1291" s="125"/>
      <c r="D1291" s="125"/>
      <c r="AA1291" s="74"/>
      <c r="AD1291" s="208"/>
      <c r="AE1291" s="124"/>
      <c r="AI1291" s="74"/>
      <c r="AM1291" s="74"/>
      <c r="AQ1291" s="74"/>
      <c r="AU1291" s="74"/>
      <c r="AY1291" s="74"/>
      <c r="BC1291" s="74"/>
    </row>
    <row r="1292" spans="2:55" s="123" customFormat="1">
      <c r="B1292" s="125"/>
      <c r="D1292" s="125"/>
      <c r="AA1292" s="74"/>
      <c r="AD1292" s="208"/>
      <c r="AE1292" s="124"/>
      <c r="AI1292" s="74"/>
      <c r="AM1292" s="74"/>
      <c r="AQ1292" s="74"/>
      <c r="AU1292" s="74"/>
      <c r="AY1292" s="74"/>
      <c r="BC1292" s="74"/>
    </row>
    <row r="1293" spans="2:55" s="123" customFormat="1">
      <c r="B1293" s="125"/>
      <c r="D1293" s="125"/>
      <c r="AA1293" s="74"/>
      <c r="AD1293" s="208"/>
      <c r="AE1293" s="124"/>
      <c r="AI1293" s="74"/>
      <c r="AM1293" s="74"/>
      <c r="AQ1293" s="74"/>
      <c r="AU1293" s="74"/>
      <c r="AY1293" s="74"/>
      <c r="BC1293" s="74"/>
    </row>
    <row r="1294" spans="2:55" s="123" customFormat="1">
      <c r="B1294" s="125"/>
      <c r="D1294" s="125"/>
      <c r="AA1294" s="74"/>
      <c r="AD1294" s="208"/>
      <c r="AE1294" s="124"/>
      <c r="AI1294" s="74"/>
      <c r="AM1294" s="74"/>
      <c r="AQ1294" s="74"/>
      <c r="AU1294" s="74"/>
      <c r="AY1294" s="74"/>
      <c r="BC1294" s="74"/>
    </row>
    <row r="1295" spans="2:55" s="123" customFormat="1">
      <c r="B1295" s="125"/>
      <c r="D1295" s="125"/>
      <c r="AA1295" s="74"/>
      <c r="AD1295" s="208"/>
      <c r="AE1295" s="124"/>
      <c r="AI1295" s="74"/>
      <c r="AM1295" s="74"/>
      <c r="AQ1295" s="74"/>
      <c r="AU1295" s="74"/>
      <c r="AY1295" s="74"/>
      <c r="BC1295" s="74"/>
    </row>
    <row r="1296" spans="2:55" s="123" customFormat="1">
      <c r="B1296" s="125"/>
      <c r="D1296" s="125"/>
      <c r="AA1296" s="74"/>
      <c r="AD1296" s="208"/>
      <c r="AE1296" s="124"/>
      <c r="AI1296" s="74"/>
      <c r="AM1296" s="74"/>
      <c r="AQ1296" s="74"/>
      <c r="AU1296" s="74"/>
      <c r="AY1296" s="74"/>
      <c r="BC1296" s="74"/>
    </row>
    <row r="1297" spans="2:55" s="123" customFormat="1">
      <c r="B1297" s="125"/>
      <c r="D1297" s="125"/>
      <c r="AA1297" s="74"/>
      <c r="AD1297" s="208"/>
      <c r="AE1297" s="124"/>
      <c r="AI1297" s="74"/>
      <c r="AM1297" s="74"/>
      <c r="AQ1297" s="74"/>
      <c r="AU1297" s="74"/>
      <c r="AY1297" s="74"/>
      <c r="BC1297" s="74"/>
    </row>
    <row r="1298" spans="2:55" s="123" customFormat="1">
      <c r="B1298" s="125"/>
      <c r="D1298" s="125"/>
      <c r="AA1298" s="74"/>
      <c r="AD1298" s="208"/>
      <c r="AE1298" s="124"/>
      <c r="AI1298" s="74"/>
      <c r="AM1298" s="74"/>
      <c r="AQ1298" s="74"/>
      <c r="AU1298" s="74"/>
      <c r="AY1298" s="74"/>
      <c r="BC1298" s="74"/>
    </row>
    <row r="1299" spans="2:55" s="123" customFormat="1">
      <c r="B1299" s="125"/>
      <c r="D1299" s="125"/>
      <c r="AA1299" s="74"/>
      <c r="AD1299" s="208"/>
      <c r="AE1299" s="124"/>
      <c r="AI1299" s="74"/>
      <c r="AM1299" s="74"/>
      <c r="AQ1299" s="74"/>
      <c r="AU1299" s="74"/>
      <c r="AY1299" s="74"/>
      <c r="BC1299" s="74"/>
    </row>
    <row r="1300" spans="2:55" s="123" customFormat="1">
      <c r="B1300" s="125"/>
      <c r="D1300" s="125"/>
      <c r="AA1300" s="74"/>
      <c r="AD1300" s="208"/>
      <c r="AE1300" s="124"/>
      <c r="AI1300" s="74"/>
      <c r="AM1300" s="74"/>
      <c r="AQ1300" s="74"/>
      <c r="AU1300" s="74"/>
      <c r="AY1300" s="74"/>
      <c r="BC1300" s="74"/>
    </row>
    <row r="1301" spans="2:55" s="123" customFormat="1">
      <c r="B1301" s="125"/>
      <c r="D1301" s="125"/>
      <c r="AA1301" s="74"/>
      <c r="AD1301" s="208"/>
      <c r="AE1301" s="124"/>
      <c r="AI1301" s="74"/>
      <c r="AM1301" s="74"/>
      <c r="AQ1301" s="74"/>
      <c r="AU1301" s="74"/>
      <c r="AY1301" s="74"/>
      <c r="BC1301" s="74"/>
    </row>
    <row r="1302" spans="2:55" s="123" customFormat="1">
      <c r="B1302" s="125"/>
      <c r="D1302" s="125"/>
      <c r="AA1302" s="74"/>
      <c r="AD1302" s="208"/>
      <c r="AE1302" s="124"/>
      <c r="AI1302" s="74"/>
      <c r="AM1302" s="74"/>
      <c r="AQ1302" s="74"/>
      <c r="AU1302" s="74"/>
      <c r="AY1302" s="74"/>
      <c r="BC1302" s="74"/>
    </row>
    <row r="1303" spans="2:55" s="123" customFormat="1">
      <c r="B1303" s="125"/>
      <c r="D1303" s="125"/>
      <c r="AA1303" s="74"/>
      <c r="AD1303" s="208"/>
      <c r="AE1303" s="124"/>
      <c r="AI1303" s="74"/>
      <c r="AM1303" s="74"/>
      <c r="AQ1303" s="74"/>
      <c r="AU1303" s="74"/>
      <c r="AY1303" s="74"/>
      <c r="BC1303" s="74"/>
    </row>
    <row r="1304" spans="2:55" s="123" customFormat="1">
      <c r="B1304" s="125"/>
      <c r="D1304" s="125"/>
      <c r="AA1304" s="74"/>
      <c r="AD1304" s="208"/>
      <c r="AE1304" s="124"/>
      <c r="AI1304" s="74"/>
      <c r="AM1304" s="74"/>
      <c r="AQ1304" s="74"/>
      <c r="AU1304" s="74"/>
      <c r="AY1304" s="74"/>
      <c r="BC1304" s="74"/>
    </row>
    <row r="1305" spans="2:55" s="123" customFormat="1">
      <c r="B1305" s="125"/>
      <c r="D1305" s="125"/>
      <c r="AA1305" s="74"/>
      <c r="AD1305" s="208"/>
      <c r="AE1305" s="124"/>
      <c r="AI1305" s="74"/>
      <c r="AM1305" s="74"/>
      <c r="AQ1305" s="74"/>
      <c r="AU1305" s="74"/>
      <c r="AY1305" s="74"/>
      <c r="BC1305" s="74"/>
    </row>
    <row r="1306" spans="2:55" s="123" customFormat="1">
      <c r="B1306" s="125"/>
      <c r="D1306" s="125"/>
      <c r="AA1306" s="74"/>
      <c r="AD1306" s="208"/>
      <c r="AE1306" s="124"/>
      <c r="AI1306" s="74"/>
      <c r="AM1306" s="74"/>
      <c r="AQ1306" s="74"/>
      <c r="AU1306" s="74"/>
      <c r="AY1306" s="74"/>
      <c r="BC1306" s="74"/>
    </row>
    <row r="1307" spans="2:55" s="123" customFormat="1">
      <c r="B1307" s="125"/>
      <c r="D1307" s="125"/>
      <c r="AA1307" s="74"/>
      <c r="AD1307" s="208"/>
      <c r="AE1307" s="124"/>
      <c r="AI1307" s="74"/>
      <c r="AM1307" s="74"/>
      <c r="AQ1307" s="74"/>
      <c r="AU1307" s="74"/>
      <c r="AY1307" s="74"/>
      <c r="BC1307" s="74"/>
    </row>
    <row r="1308" spans="2:55" s="123" customFormat="1">
      <c r="B1308" s="125"/>
      <c r="D1308" s="125"/>
      <c r="AA1308" s="74"/>
      <c r="AD1308" s="208"/>
      <c r="AE1308" s="124"/>
      <c r="AI1308" s="74"/>
      <c r="AM1308" s="74"/>
      <c r="AQ1308" s="74"/>
      <c r="AU1308" s="74"/>
      <c r="AY1308" s="74"/>
      <c r="BC1308" s="74"/>
    </row>
    <row r="1309" spans="2:55" s="123" customFormat="1">
      <c r="B1309" s="125"/>
      <c r="D1309" s="125"/>
      <c r="AA1309" s="74"/>
      <c r="AD1309" s="208"/>
      <c r="AE1309" s="124"/>
      <c r="AI1309" s="74"/>
      <c r="AM1309" s="74"/>
      <c r="AQ1309" s="74"/>
      <c r="AU1309" s="74"/>
      <c r="AY1309" s="74"/>
      <c r="BC1309" s="74"/>
    </row>
    <row r="1310" spans="2:55" s="123" customFormat="1">
      <c r="B1310" s="125"/>
      <c r="D1310" s="125"/>
      <c r="AA1310" s="74"/>
      <c r="AD1310" s="208"/>
      <c r="AE1310" s="124"/>
      <c r="AI1310" s="74"/>
      <c r="AM1310" s="74"/>
      <c r="AQ1310" s="74"/>
      <c r="AU1310" s="74"/>
      <c r="AY1310" s="74"/>
      <c r="BC1310" s="74"/>
    </row>
    <row r="1311" spans="2:55" s="123" customFormat="1">
      <c r="B1311" s="125"/>
      <c r="D1311" s="125"/>
      <c r="AA1311" s="74"/>
      <c r="AD1311" s="208"/>
      <c r="AE1311" s="124"/>
      <c r="AI1311" s="74"/>
      <c r="AM1311" s="74"/>
      <c r="AQ1311" s="74"/>
      <c r="AU1311" s="74"/>
      <c r="AY1311" s="74"/>
      <c r="BC1311" s="74"/>
    </row>
    <row r="1312" spans="2:55" s="123" customFormat="1">
      <c r="B1312" s="125"/>
      <c r="D1312" s="125"/>
      <c r="AA1312" s="74"/>
      <c r="AD1312" s="208"/>
      <c r="AE1312" s="124"/>
      <c r="AI1312" s="74"/>
      <c r="AM1312" s="74"/>
      <c r="AQ1312" s="74"/>
      <c r="AU1312" s="74"/>
      <c r="AY1312" s="74"/>
      <c r="BC1312" s="74"/>
    </row>
    <row r="1313" spans="2:55" s="123" customFormat="1">
      <c r="B1313" s="125"/>
      <c r="D1313" s="125"/>
      <c r="AA1313" s="74"/>
      <c r="AD1313" s="208"/>
      <c r="AE1313" s="124"/>
      <c r="AI1313" s="74"/>
      <c r="AM1313" s="74"/>
      <c r="AQ1313" s="74"/>
      <c r="AU1313" s="74"/>
      <c r="AY1313" s="74"/>
      <c r="BC1313" s="74"/>
    </row>
    <row r="1314" spans="2:55" s="123" customFormat="1">
      <c r="B1314" s="125"/>
      <c r="D1314" s="125"/>
      <c r="AA1314" s="74"/>
      <c r="AD1314" s="208"/>
      <c r="AE1314" s="124"/>
      <c r="AI1314" s="74"/>
      <c r="AM1314" s="74"/>
      <c r="AQ1314" s="74"/>
      <c r="AU1314" s="74"/>
      <c r="AY1314" s="74"/>
      <c r="BC1314" s="74"/>
    </row>
    <row r="1315" spans="2:55" s="123" customFormat="1">
      <c r="B1315" s="125"/>
      <c r="D1315" s="125"/>
      <c r="AA1315" s="74"/>
      <c r="AD1315" s="208"/>
      <c r="AE1315" s="124"/>
      <c r="AI1315" s="74"/>
      <c r="AM1315" s="74"/>
      <c r="AQ1315" s="74"/>
      <c r="AU1315" s="74"/>
      <c r="AY1315" s="74"/>
      <c r="BC1315" s="74"/>
    </row>
    <row r="1316" spans="2:55" s="123" customFormat="1">
      <c r="B1316" s="125"/>
      <c r="D1316" s="125"/>
      <c r="AA1316" s="74"/>
      <c r="AD1316" s="208"/>
      <c r="AE1316" s="124"/>
      <c r="AI1316" s="74"/>
      <c r="AM1316" s="74"/>
      <c r="AQ1316" s="74"/>
      <c r="AU1316" s="74"/>
      <c r="AY1316" s="74"/>
      <c r="BC1316" s="74"/>
    </row>
    <row r="1317" spans="2:55" s="123" customFormat="1">
      <c r="B1317" s="125"/>
      <c r="D1317" s="125"/>
      <c r="AA1317" s="74"/>
      <c r="AD1317" s="208"/>
      <c r="AE1317" s="124"/>
      <c r="AI1317" s="74"/>
      <c r="AM1317" s="74"/>
      <c r="AQ1317" s="74"/>
      <c r="AU1317" s="74"/>
      <c r="AY1317" s="74"/>
      <c r="BC1317" s="74"/>
    </row>
    <row r="1318" spans="2:55" s="123" customFormat="1">
      <c r="B1318" s="125"/>
      <c r="D1318" s="125"/>
      <c r="AA1318" s="74"/>
      <c r="AD1318" s="208"/>
      <c r="AE1318" s="124"/>
      <c r="AI1318" s="74"/>
      <c r="AM1318" s="74"/>
      <c r="AQ1318" s="74"/>
      <c r="AU1318" s="74"/>
      <c r="AY1318" s="74"/>
      <c r="BC1318" s="74"/>
    </row>
    <row r="1319" spans="2:55" s="123" customFormat="1">
      <c r="B1319" s="125"/>
      <c r="D1319" s="125"/>
      <c r="AA1319" s="74"/>
      <c r="AD1319" s="208"/>
      <c r="AE1319" s="124"/>
      <c r="AI1319" s="74"/>
      <c r="AM1319" s="74"/>
      <c r="AQ1319" s="74"/>
      <c r="AU1319" s="74"/>
      <c r="AY1319" s="74"/>
      <c r="BC1319" s="74"/>
    </row>
    <row r="1320" spans="2:55" s="123" customFormat="1">
      <c r="B1320" s="125"/>
      <c r="D1320" s="125"/>
      <c r="AA1320" s="74"/>
      <c r="AD1320" s="208"/>
      <c r="AE1320" s="124"/>
      <c r="AI1320" s="74"/>
      <c r="AM1320" s="74"/>
      <c r="AQ1320" s="74"/>
      <c r="AU1320" s="74"/>
      <c r="AY1320" s="74"/>
      <c r="BC1320" s="74"/>
    </row>
    <row r="1321" spans="2:55" s="123" customFormat="1">
      <c r="B1321" s="125"/>
      <c r="D1321" s="125"/>
      <c r="AA1321" s="74"/>
      <c r="AD1321" s="208"/>
      <c r="AE1321" s="124"/>
      <c r="AI1321" s="74"/>
      <c r="AM1321" s="74"/>
      <c r="AQ1321" s="74"/>
      <c r="AU1321" s="74"/>
      <c r="AY1321" s="74"/>
      <c r="BC1321" s="74"/>
    </row>
    <row r="1322" spans="2:55" s="123" customFormat="1">
      <c r="B1322" s="125"/>
      <c r="D1322" s="125"/>
      <c r="AA1322" s="74"/>
      <c r="AD1322" s="208"/>
      <c r="AE1322" s="124"/>
      <c r="AI1322" s="74"/>
      <c r="AM1322" s="74"/>
      <c r="AQ1322" s="74"/>
      <c r="AU1322" s="74"/>
      <c r="AY1322" s="74"/>
      <c r="BC1322" s="74"/>
    </row>
    <row r="1323" spans="2:55" s="123" customFormat="1">
      <c r="B1323" s="125"/>
      <c r="D1323" s="125"/>
      <c r="AA1323" s="74"/>
      <c r="AD1323" s="208"/>
      <c r="AE1323" s="124"/>
      <c r="AI1323" s="74"/>
      <c r="AM1323" s="74"/>
      <c r="AQ1323" s="74"/>
      <c r="AU1323" s="74"/>
      <c r="AY1323" s="74"/>
      <c r="BC1323" s="74"/>
    </row>
    <row r="1324" spans="2:55" s="123" customFormat="1">
      <c r="B1324" s="125"/>
      <c r="D1324" s="125"/>
      <c r="AA1324" s="74"/>
      <c r="AD1324" s="208"/>
      <c r="AE1324" s="124"/>
      <c r="AI1324" s="74"/>
      <c r="AM1324" s="74"/>
      <c r="AQ1324" s="74"/>
      <c r="AU1324" s="74"/>
      <c r="AY1324" s="74"/>
      <c r="BC1324" s="74"/>
    </row>
    <row r="1325" spans="2:55" s="123" customFormat="1">
      <c r="B1325" s="125"/>
      <c r="D1325" s="125"/>
      <c r="AA1325" s="74"/>
      <c r="AD1325" s="208"/>
      <c r="AE1325" s="124"/>
      <c r="AI1325" s="74"/>
      <c r="AM1325" s="74"/>
      <c r="AQ1325" s="74"/>
      <c r="AU1325" s="74"/>
      <c r="AY1325" s="74"/>
      <c r="BC1325" s="74"/>
    </row>
    <row r="1326" spans="2:55" s="123" customFormat="1">
      <c r="B1326" s="125"/>
      <c r="D1326" s="125"/>
      <c r="AA1326" s="74"/>
      <c r="AD1326" s="208"/>
      <c r="AE1326" s="124"/>
      <c r="AI1326" s="74"/>
      <c r="AM1326" s="74"/>
      <c r="AQ1326" s="74"/>
      <c r="AU1326" s="74"/>
      <c r="AY1326" s="74"/>
      <c r="BC1326" s="74"/>
    </row>
    <row r="1327" spans="2:55" s="123" customFormat="1">
      <c r="B1327" s="125"/>
      <c r="D1327" s="125"/>
      <c r="AA1327" s="74"/>
      <c r="AD1327" s="208"/>
      <c r="AE1327" s="124"/>
      <c r="AI1327" s="74"/>
      <c r="AM1327" s="74"/>
      <c r="AQ1327" s="74"/>
      <c r="AU1327" s="74"/>
      <c r="AY1327" s="74"/>
      <c r="BC1327" s="74"/>
    </row>
    <row r="1328" spans="2:55" s="123" customFormat="1">
      <c r="B1328" s="125"/>
      <c r="D1328" s="125"/>
      <c r="AA1328" s="74"/>
      <c r="AD1328" s="208"/>
      <c r="AE1328" s="124"/>
      <c r="AI1328" s="74"/>
      <c r="AM1328" s="74"/>
      <c r="AQ1328" s="74"/>
      <c r="AU1328" s="74"/>
      <c r="AY1328" s="74"/>
      <c r="BC1328" s="74"/>
    </row>
    <row r="1329" spans="2:55" s="123" customFormat="1">
      <c r="B1329" s="125"/>
      <c r="D1329" s="125"/>
      <c r="AA1329" s="74"/>
      <c r="AD1329" s="208"/>
      <c r="AE1329" s="124"/>
      <c r="AI1329" s="74"/>
      <c r="AM1329" s="74"/>
      <c r="AQ1329" s="74"/>
      <c r="AU1329" s="74"/>
      <c r="AY1329" s="74"/>
      <c r="BC1329" s="74"/>
    </row>
    <row r="1330" spans="2:55" s="123" customFormat="1">
      <c r="B1330" s="125"/>
      <c r="D1330" s="125"/>
      <c r="AA1330" s="74"/>
      <c r="AD1330" s="208"/>
      <c r="AE1330" s="124"/>
      <c r="AI1330" s="74"/>
      <c r="AM1330" s="74"/>
      <c r="AQ1330" s="74"/>
      <c r="AU1330" s="74"/>
      <c r="AY1330" s="74"/>
      <c r="BC1330" s="74"/>
    </row>
    <row r="1331" spans="2:55" s="123" customFormat="1">
      <c r="B1331" s="125"/>
      <c r="D1331" s="125"/>
      <c r="AA1331" s="74"/>
      <c r="AD1331" s="208"/>
      <c r="AE1331" s="124"/>
      <c r="AI1331" s="74"/>
      <c r="AM1331" s="74"/>
      <c r="AQ1331" s="74"/>
      <c r="AU1331" s="74"/>
      <c r="AY1331" s="74"/>
      <c r="BC1331" s="74"/>
    </row>
    <row r="1332" spans="2:55" s="123" customFormat="1">
      <c r="B1332" s="125"/>
      <c r="D1332" s="125"/>
      <c r="AA1332" s="74"/>
      <c r="AD1332" s="208"/>
      <c r="AE1332" s="124"/>
      <c r="AI1332" s="74"/>
      <c r="AM1332" s="74"/>
      <c r="AQ1332" s="74"/>
      <c r="AU1332" s="74"/>
      <c r="AY1332" s="74"/>
      <c r="BC1332" s="74"/>
    </row>
    <row r="1333" spans="2:55" s="123" customFormat="1">
      <c r="B1333" s="125"/>
      <c r="D1333" s="125"/>
      <c r="AA1333" s="74"/>
      <c r="AD1333" s="208"/>
      <c r="AE1333" s="124"/>
      <c r="AI1333" s="74"/>
      <c r="AM1333" s="74"/>
      <c r="AQ1333" s="74"/>
      <c r="AU1333" s="74"/>
      <c r="AY1333" s="74"/>
      <c r="BC1333" s="74"/>
    </row>
    <row r="1334" spans="2:55" s="123" customFormat="1">
      <c r="B1334" s="125"/>
      <c r="D1334" s="125"/>
      <c r="AA1334" s="74"/>
      <c r="AD1334" s="208"/>
      <c r="AE1334" s="124"/>
      <c r="AI1334" s="74"/>
      <c r="AM1334" s="74"/>
      <c r="AQ1334" s="74"/>
      <c r="AU1334" s="74"/>
      <c r="AY1334" s="74"/>
      <c r="BC1334" s="74"/>
    </row>
    <row r="1335" spans="2:55" s="123" customFormat="1">
      <c r="B1335" s="125"/>
      <c r="D1335" s="125"/>
      <c r="AA1335" s="74"/>
      <c r="AD1335" s="208"/>
      <c r="AE1335" s="124"/>
      <c r="AI1335" s="74"/>
      <c r="AM1335" s="74"/>
      <c r="AQ1335" s="74"/>
      <c r="AU1335" s="74"/>
      <c r="AY1335" s="74"/>
      <c r="BC1335" s="74"/>
    </row>
    <row r="1336" spans="2:55" s="123" customFormat="1">
      <c r="B1336" s="125"/>
      <c r="D1336" s="125"/>
      <c r="AA1336" s="74"/>
      <c r="AD1336" s="208"/>
      <c r="AE1336" s="124"/>
      <c r="AI1336" s="74"/>
      <c r="AM1336" s="74"/>
      <c r="AQ1336" s="74"/>
      <c r="AU1336" s="74"/>
      <c r="AY1336" s="74"/>
      <c r="BC1336" s="74"/>
    </row>
    <row r="1337" spans="2:55" s="123" customFormat="1">
      <c r="B1337" s="125"/>
      <c r="D1337" s="125"/>
      <c r="AA1337" s="74"/>
      <c r="AD1337" s="208"/>
      <c r="AE1337" s="124"/>
      <c r="AI1337" s="74"/>
      <c r="AM1337" s="74"/>
      <c r="AQ1337" s="74"/>
      <c r="AU1337" s="74"/>
      <c r="AY1337" s="74"/>
      <c r="BC1337" s="74"/>
    </row>
    <row r="1338" spans="2:55" s="123" customFormat="1">
      <c r="B1338" s="125"/>
      <c r="D1338" s="125"/>
      <c r="AA1338" s="74"/>
      <c r="AD1338" s="208"/>
      <c r="AE1338" s="124"/>
      <c r="AI1338" s="74"/>
      <c r="AM1338" s="74"/>
      <c r="AQ1338" s="74"/>
      <c r="AU1338" s="74"/>
      <c r="AY1338" s="74"/>
      <c r="BC1338" s="74"/>
    </row>
    <row r="1339" spans="2:55" s="123" customFormat="1">
      <c r="B1339" s="125"/>
      <c r="D1339" s="125"/>
      <c r="AA1339" s="74"/>
      <c r="AD1339" s="208"/>
      <c r="AE1339" s="124"/>
      <c r="AI1339" s="74"/>
      <c r="AM1339" s="74"/>
      <c r="AQ1339" s="74"/>
      <c r="AU1339" s="74"/>
      <c r="AY1339" s="74"/>
      <c r="BC1339" s="74"/>
    </row>
    <row r="1340" spans="2:55" s="123" customFormat="1">
      <c r="B1340" s="125"/>
      <c r="D1340" s="125"/>
      <c r="AA1340" s="74"/>
      <c r="AD1340" s="208"/>
      <c r="AE1340" s="124"/>
      <c r="AI1340" s="74"/>
      <c r="AM1340" s="74"/>
      <c r="AQ1340" s="74"/>
      <c r="AU1340" s="74"/>
      <c r="AY1340" s="74"/>
      <c r="BC1340" s="74"/>
    </row>
    <row r="1341" spans="2:55" s="123" customFormat="1">
      <c r="B1341" s="125"/>
      <c r="D1341" s="125"/>
      <c r="AA1341" s="74"/>
      <c r="AD1341" s="208"/>
      <c r="AE1341" s="124"/>
      <c r="AI1341" s="74"/>
      <c r="AM1341" s="74"/>
      <c r="AQ1341" s="74"/>
      <c r="AU1341" s="74"/>
      <c r="AY1341" s="74"/>
      <c r="BC1341" s="74"/>
    </row>
    <row r="1342" spans="2:55" s="123" customFormat="1">
      <c r="B1342" s="125"/>
      <c r="D1342" s="125"/>
      <c r="AA1342" s="74"/>
      <c r="AD1342" s="208"/>
      <c r="AE1342" s="124"/>
      <c r="AI1342" s="74"/>
      <c r="AM1342" s="74"/>
      <c r="AQ1342" s="74"/>
      <c r="AU1342" s="74"/>
      <c r="AY1342" s="74"/>
      <c r="BC1342" s="74"/>
    </row>
    <row r="1343" spans="2:55" s="123" customFormat="1">
      <c r="B1343" s="125"/>
      <c r="D1343" s="125"/>
      <c r="AA1343" s="74"/>
      <c r="AD1343" s="208"/>
      <c r="AE1343" s="124"/>
      <c r="AI1343" s="74"/>
      <c r="AM1343" s="74"/>
      <c r="AQ1343" s="74"/>
      <c r="AU1343" s="74"/>
      <c r="AY1343" s="74"/>
      <c r="BC1343" s="74"/>
    </row>
    <row r="1344" spans="2:55" s="123" customFormat="1">
      <c r="B1344" s="125"/>
      <c r="D1344" s="125"/>
      <c r="AA1344" s="74"/>
      <c r="AD1344" s="208"/>
      <c r="AE1344" s="124"/>
      <c r="AI1344" s="74"/>
      <c r="AM1344" s="74"/>
      <c r="AQ1344" s="74"/>
      <c r="AU1344" s="74"/>
      <c r="AY1344" s="74"/>
      <c r="BC1344" s="74"/>
    </row>
    <row r="1345" spans="2:55" s="123" customFormat="1">
      <c r="B1345" s="125"/>
      <c r="D1345" s="125"/>
      <c r="AA1345" s="74"/>
      <c r="AD1345" s="208"/>
      <c r="AE1345" s="124"/>
      <c r="AI1345" s="74"/>
      <c r="AM1345" s="74"/>
      <c r="AQ1345" s="74"/>
      <c r="AU1345" s="74"/>
      <c r="AY1345" s="74"/>
      <c r="BC1345" s="74"/>
    </row>
    <row r="1346" spans="2:55" s="123" customFormat="1">
      <c r="B1346" s="125"/>
      <c r="D1346" s="125"/>
      <c r="AA1346" s="74"/>
      <c r="AD1346" s="208"/>
      <c r="AE1346" s="124"/>
      <c r="AI1346" s="74"/>
      <c r="AM1346" s="74"/>
      <c r="AQ1346" s="74"/>
      <c r="AU1346" s="74"/>
      <c r="AY1346" s="74"/>
      <c r="BC1346" s="74"/>
    </row>
    <row r="1347" spans="2:55" s="123" customFormat="1">
      <c r="B1347" s="125"/>
      <c r="D1347" s="125"/>
      <c r="AA1347" s="74"/>
      <c r="AD1347" s="208"/>
      <c r="AE1347" s="124"/>
      <c r="AI1347" s="74"/>
      <c r="AM1347" s="74"/>
      <c r="AQ1347" s="74"/>
      <c r="AU1347" s="74"/>
      <c r="AY1347" s="74"/>
      <c r="BC1347" s="74"/>
    </row>
    <row r="1348" spans="2:55" s="123" customFormat="1">
      <c r="B1348" s="125"/>
      <c r="D1348" s="125"/>
      <c r="AA1348" s="74"/>
      <c r="AD1348" s="208"/>
      <c r="AE1348" s="124"/>
      <c r="AI1348" s="74"/>
      <c r="AM1348" s="74"/>
      <c r="AQ1348" s="74"/>
      <c r="AU1348" s="74"/>
      <c r="AY1348" s="74"/>
      <c r="BC1348" s="74"/>
    </row>
    <row r="1349" spans="2:55" s="123" customFormat="1">
      <c r="B1349" s="125"/>
      <c r="D1349" s="125"/>
      <c r="AA1349" s="74"/>
      <c r="AD1349" s="208"/>
      <c r="AE1349" s="124"/>
      <c r="AI1349" s="74"/>
      <c r="AM1349" s="74"/>
      <c r="AQ1349" s="74"/>
      <c r="AU1349" s="74"/>
      <c r="AY1349" s="74"/>
      <c r="BC1349" s="74"/>
    </row>
    <row r="1350" spans="2:55" s="123" customFormat="1">
      <c r="B1350" s="125"/>
      <c r="D1350" s="125"/>
      <c r="AA1350" s="74"/>
      <c r="AD1350" s="208"/>
      <c r="AE1350" s="124"/>
      <c r="AI1350" s="74"/>
      <c r="AM1350" s="74"/>
      <c r="AQ1350" s="74"/>
      <c r="AU1350" s="74"/>
      <c r="AY1350" s="74"/>
      <c r="BC1350" s="74"/>
    </row>
    <row r="1351" spans="2:55" s="123" customFormat="1">
      <c r="B1351" s="125"/>
      <c r="D1351" s="125"/>
      <c r="AA1351" s="74"/>
      <c r="AD1351" s="208"/>
      <c r="AE1351" s="124"/>
      <c r="AI1351" s="74"/>
      <c r="AM1351" s="74"/>
      <c r="AQ1351" s="74"/>
      <c r="AU1351" s="74"/>
      <c r="AY1351" s="74"/>
      <c r="BC1351" s="74"/>
    </row>
    <row r="1352" spans="2:55" s="123" customFormat="1">
      <c r="B1352" s="125"/>
      <c r="D1352" s="125"/>
      <c r="AA1352" s="74"/>
      <c r="AD1352" s="208"/>
      <c r="AE1352" s="124"/>
      <c r="AI1352" s="74"/>
      <c r="AM1352" s="74"/>
      <c r="AQ1352" s="74"/>
      <c r="AU1352" s="74"/>
      <c r="AY1352" s="74"/>
      <c r="BC1352" s="74"/>
    </row>
    <row r="1353" spans="2:55" s="123" customFormat="1">
      <c r="B1353" s="125"/>
      <c r="D1353" s="125"/>
      <c r="AA1353" s="74"/>
      <c r="AD1353" s="208"/>
      <c r="AE1353" s="124"/>
      <c r="AI1353" s="74"/>
      <c r="AM1353" s="74"/>
      <c r="AQ1353" s="74"/>
      <c r="AU1353" s="74"/>
      <c r="AY1353" s="74"/>
      <c r="BC1353" s="74"/>
    </row>
    <row r="1354" spans="2:55" s="123" customFormat="1">
      <c r="B1354" s="125"/>
      <c r="D1354" s="125"/>
      <c r="AA1354" s="74"/>
      <c r="AD1354" s="208"/>
      <c r="AE1354" s="124"/>
      <c r="AI1354" s="74"/>
      <c r="AM1354" s="74"/>
      <c r="AQ1354" s="74"/>
      <c r="AU1354" s="74"/>
      <c r="AY1354" s="74"/>
      <c r="BC1354" s="74"/>
    </row>
    <row r="1355" spans="2:55" s="123" customFormat="1">
      <c r="B1355" s="125"/>
      <c r="D1355" s="125"/>
      <c r="AA1355" s="74"/>
      <c r="AD1355" s="208"/>
      <c r="AE1355" s="124"/>
      <c r="AI1355" s="74"/>
      <c r="AM1355" s="74"/>
      <c r="AQ1355" s="74"/>
      <c r="AU1355" s="74"/>
      <c r="AY1355" s="74"/>
      <c r="BC1355" s="74"/>
    </row>
    <row r="1356" spans="2:55" s="123" customFormat="1">
      <c r="B1356" s="125"/>
      <c r="D1356" s="125"/>
      <c r="AA1356" s="74"/>
      <c r="AD1356" s="208"/>
      <c r="AE1356" s="124"/>
      <c r="AI1356" s="74"/>
      <c r="AM1356" s="74"/>
      <c r="AQ1356" s="74"/>
      <c r="AU1356" s="74"/>
      <c r="AY1356" s="74"/>
      <c r="BC1356" s="74"/>
    </row>
    <row r="1357" spans="2:55" s="123" customFormat="1">
      <c r="B1357" s="125"/>
      <c r="D1357" s="125"/>
      <c r="AA1357" s="74"/>
      <c r="AD1357" s="208"/>
      <c r="AE1357" s="124"/>
      <c r="AI1357" s="74"/>
      <c r="AM1357" s="74"/>
      <c r="AQ1357" s="74"/>
      <c r="AU1357" s="74"/>
      <c r="AY1357" s="74"/>
      <c r="BC1357" s="74"/>
    </row>
    <row r="1358" spans="2:55" s="123" customFormat="1">
      <c r="B1358" s="125"/>
      <c r="D1358" s="125"/>
      <c r="AA1358" s="74"/>
      <c r="AD1358" s="208"/>
      <c r="AE1358" s="124"/>
      <c r="AI1358" s="74"/>
      <c r="AM1358" s="74"/>
      <c r="AQ1358" s="74"/>
      <c r="AU1358" s="74"/>
      <c r="AY1358" s="74"/>
      <c r="BC1358" s="74"/>
    </row>
    <row r="1359" spans="2:55" s="123" customFormat="1">
      <c r="B1359" s="125"/>
      <c r="D1359" s="125"/>
      <c r="AA1359" s="74"/>
      <c r="AD1359" s="208"/>
      <c r="AE1359" s="124"/>
      <c r="AI1359" s="74"/>
      <c r="AM1359" s="74"/>
      <c r="AQ1359" s="74"/>
      <c r="AU1359" s="74"/>
      <c r="AY1359" s="74"/>
      <c r="BC1359" s="74"/>
    </row>
    <row r="1360" spans="2:55" s="123" customFormat="1">
      <c r="B1360" s="125"/>
      <c r="D1360" s="125"/>
      <c r="AA1360" s="74"/>
      <c r="AD1360" s="208"/>
      <c r="AE1360" s="124"/>
      <c r="AI1360" s="74"/>
      <c r="AM1360" s="74"/>
      <c r="AQ1360" s="74"/>
      <c r="AU1360" s="74"/>
      <c r="AY1360" s="74"/>
      <c r="BC1360" s="74"/>
    </row>
    <row r="1361" spans="2:55" s="123" customFormat="1">
      <c r="B1361" s="125"/>
      <c r="D1361" s="125"/>
      <c r="AA1361" s="74"/>
      <c r="AD1361" s="208"/>
      <c r="AE1361" s="124"/>
      <c r="AI1361" s="74"/>
      <c r="AM1361" s="74"/>
      <c r="AQ1361" s="74"/>
      <c r="AU1361" s="74"/>
      <c r="AY1361" s="74"/>
      <c r="BC1361" s="74"/>
    </row>
    <row r="1362" spans="2:55" s="123" customFormat="1">
      <c r="B1362" s="125"/>
      <c r="D1362" s="125"/>
      <c r="AA1362" s="74"/>
      <c r="AD1362" s="208"/>
      <c r="AE1362" s="124"/>
      <c r="AI1362" s="74"/>
      <c r="AM1362" s="74"/>
      <c r="AQ1362" s="74"/>
      <c r="AU1362" s="74"/>
      <c r="AY1362" s="74"/>
      <c r="BC1362" s="74"/>
    </row>
    <row r="1363" spans="2:55" s="123" customFormat="1">
      <c r="B1363" s="125"/>
      <c r="D1363" s="125"/>
      <c r="AA1363" s="74"/>
      <c r="AD1363" s="208"/>
      <c r="AE1363" s="124"/>
      <c r="AI1363" s="74"/>
      <c r="AM1363" s="74"/>
      <c r="AQ1363" s="74"/>
      <c r="AU1363" s="74"/>
      <c r="AY1363" s="74"/>
      <c r="BC1363" s="74"/>
    </row>
    <row r="1364" spans="2:55" s="123" customFormat="1">
      <c r="B1364" s="125"/>
      <c r="D1364" s="125"/>
      <c r="AA1364" s="74"/>
      <c r="AD1364" s="208"/>
      <c r="AE1364" s="124"/>
      <c r="AI1364" s="74"/>
      <c r="AM1364" s="74"/>
      <c r="AQ1364" s="74"/>
      <c r="AU1364" s="74"/>
      <c r="AY1364" s="74"/>
      <c r="BC1364" s="74"/>
    </row>
    <row r="1365" spans="2:55" s="123" customFormat="1">
      <c r="B1365" s="125"/>
      <c r="D1365" s="125"/>
      <c r="AA1365" s="74"/>
      <c r="AD1365" s="208"/>
      <c r="AE1365" s="124"/>
      <c r="AI1365" s="74"/>
      <c r="AM1365" s="74"/>
      <c r="AQ1365" s="74"/>
      <c r="AU1365" s="74"/>
      <c r="AY1365" s="74"/>
      <c r="BC1365" s="74"/>
    </row>
    <row r="1366" spans="2:55" s="123" customFormat="1">
      <c r="B1366" s="125"/>
      <c r="D1366" s="125"/>
      <c r="AA1366" s="74"/>
      <c r="AD1366" s="208"/>
      <c r="AE1366" s="124"/>
      <c r="AI1366" s="74"/>
      <c r="AM1366" s="74"/>
      <c r="AQ1366" s="74"/>
      <c r="AU1366" s="74"/>
      <c r="AY1366" s="74"/>
      <c r="BC1366" s="74"/>
    </row>
    <row r="1367" spans="2:55" s="123" customFormat="1">
      <c r="B1367" s="125"/>
      <c r="D1367" s="125"/>
      <c r="AA1367" s="74"/>
      <c r="AD1367" s="208"/>
      <c r="AE1367" s="124"/>
      <c r="AI1367" s="74"/>
      <c r="AM1367" s="74"/>
      <c r="AQ1367" s="74"/>
      <c r="AU1367" s="74"/>
      <c r="AY1367" s="74"/>
      <c r="BC1367" s="74"/>
    </row>
    <row r="1368" spans="2:55" s="123" customFormat="1">
      <c r="B1368" s="125"/>
      <c r="D1368" s="125"/>
      <c r="AA1368" s="74"/>
      <c r="AD1368" s="208"/>
      <c r="AE1368" s="124"/>
      <c r="AI1368" s="74"/>
      <c r="AM1368" s="74"/>
      <c r="AQ1368" s="74"/>
      <c r="AU1368" s="74"/>
      <c r="AY1368" s="74"/>
      <c r="BC1368" s="74"/>
    </row>
    <row r="1369" spans="2:55" s="123" customFormat="1">
      <c r="B1369" s="125"/>
      <c r="D1369" s="125"/>
      <c r="AA1369" s="74"/>
      <c r="AD1369" s="208"/>
      <c r="AE1369" s="124"/>
      <c r="AI1369" s="74"/>
      <c r="AM1369" s="74"/>
      <c r="AQ1369" s="74"/>
      <c r="AU1369" s="74"/>
      <c r="AY1369" s="74"/>
      <c r="BC1369" s="74"/>
    </row>
    <row r="1370" spans="2:55" s="123" customFormat="1">
      <c r="B1370" s="125"/>
      <c r="D1370" s="125"/>
      <c r="AA1370" s="74"/>
      <c r="AD1370" s="208"/>
      <c r="AE1370" s="124"/>
      <c r="AI1370" s="74"/>
      <c r="AM1370" s="74"/>
      <c r="AQ1370" s="74"/>
      <c r="AU1370" s="74"/>
      <c r="AY1370" s="74"/>
      <c r="BC1370" s="74"/>
    </row>
    <row r="1371" spans="2:55" s="123" customFormat="1">
      <c r="B1371" s="125"/>
      <c r="D1371" s="125"/>
      <c r="AA1371" s="74"/>
      <c r="AD1371" s="208"/>
      <c r="AE1371" s="124"/>
      <c r="AI1371" s="74"/>
      <c r="AM1371" s="74"/>
      <c r="AQ1371" s="74"/>
      <c r="AU1371" s="74"/>
      <c r="AY1371" s="74"/>
      <c r="BC1371" s="74"/>
    </row>
    <row r="1372" spans="2:55" s="123" customFormat="1">
      <c r="B1372" s="125"/>
      <c r="D1372" s="125"/>
      <c r="AA1372" s="74"/>
      <c r="AD1372" s="208"/>
      <c r="AE1372" s="124"/>
      <c r="AI1372" s="74"/>
      <c r="AM1372" s="74"/>
      <c r="AQ1372" s="74"/>
      <c r="AU1372" s="74"/>
      <c r="AY1372" s="74"/>
      <c r="BC1372" s="74"/>
    </row>
    <row r="1373" spans="2:55" s="123" customFormat="1">
      <c r="B1373" s="125"/>
      <c r="D1373" s="125"/>
      <c r="AA1373" s="74"/>
      <c r="AD1373" s="208"/>
      <c r="AE1373" s="124"/>
      <c r="AI1373" s="74"/>
      <c r="AM1373" s="74"/>
      <c r="AQ1373" s="74"/>
      <c r="AU1373" s="74"/>
      <c r="AY1373" s="74"/>
      <c r="BC1373" s="74"/>
    </row>
    <row r="1374" spans="2:55" s="123" customFormat="1">
      <c r="B1374" s="125"/>
      <c r="D1374" s="125"/>
      <c r="AA1374" s="74"/>
      <c r="AD1374" s="208"/>
      <c r="AE1374" s="124"/>
      <c r="AI1374" s="74"/>
      <c r="AM1374" s="74"/>
      <c r="AQ1374" s="74"/>
      <c r="AU1374" s="74"/>
      <c r="AY1374" s="74"/>
      <c r="BC1374" s="74"/>
    </row>
    <row r="1375" spans="2:55" s="123" customFormat="1">
      <c r="B1375" s="125"/>
      <c r="D1375" s="125"/>
      <c r="AA1375" s="74"/>
      <c r="AD1375" s="208"/>
      <c r="AE1375" s="124"/>
      <c r="AI1375" s="74"/>
      <c r="AM1375" s="74"/>
      <c r="AQ1375" s="74"/>
      <c r="AU1375" s="74"/>
      <c r="AY1375" s="74"/>
      <c r="BC1375" s="74"/>
    </row>
    <row r="1376" spans="2:55" s="123" customFormat="1">
      <c r="B1376" s="125"/>
      <c r="D1376" s="125"/>
      <c r="AA1376" s="74"/>
      <c r="AD1376" s="208"/>
      <c r="AE1376" s="124"/>
      <c r="AI1376" s="74"/>
      <c r="AM1376" s="74"/>
      <c r="AQ1376" s="74"/>
      <c r="AU1376" s="74"/>
      <c r="AY1376" s="74"/>
      <c r="BC1376" s="74"/>
    </row>
    <row r="1377" spans="2:55" s="123" customFormat="1">
      <c r="B1377" s="125"/>
      <c r="D1377" s="125"/>
      <c r="AA1377" s="74"/>
      <c r="AD1377" s="208"/>
      <c r="AE1377" s="124"/>
      <c r="AI1377" s="74"/>
      <c r="AM1377" s="74"/>
      <c r="AQ1377" s="74"/>
      <c r="AU1377" s="74"/>
      <c r="AY1377" s="74"/>
      <c r="BC1377" s="74"/>
    </row>
    <row r="1378" spans="2:55" s="123" customFormat="1">
      <c r="B1378" s="125"/>
      <c r="D1378" s="125"/>
      <c r="AA1378" s="74"/>
      <c r="AD1378" s="208"/>
      <c r="AE1378" s="124"/>
      <c r="AI1378" s="74"/>
      <c r="AM1378" s="74"/>
      <c r="AQ1378" s="74"/>
      <c r="AU1378" s="74"/>
      <c r="AY1378" s="74"/>
      <c r="BC1378" s="74"/>
    </row>
    <row r="1379" spans="2:55" s="123" customFormat="1">
      <c r="B1379" s="125"/>
      <c r="D1379" s="125"/>
      <c r="AA1379" s="74"/>
      <c r="AD1379" s="208"/>
      <c r="AE1379" s="124"/>
      <c r="AI1379" s="74"/>
      <c r="AM1379" s="74"/>
      <c r="AQ1379" s="74"/>
      <c r="AU1379" s="74"/>
      <c r="AY1379" s="74"/>
      <c r="BC1379" s="74"/>
    </row>
    <row r="1380" spans="2:55" s="123" customFormat="1">
      <c r="B1380" s="125"/>
      <c r="D1380" s="125"/>
      <c r="AA1380" s="74"/>
      <c r="AD1380" s="208"/>
      <c r="AE1380" s="124"/>
      <c r="AI1380" s="74"/>
      <c r="AM1380" s="74"/>
      <c r="AQ1380" s="74"/>
      <c r="AU1380" s="74"/>
      <c r="AY1380" s="74"/>
      <c r="BC1380" s="74"/>
    </row>
    <row r="1381" spans="2:55" s="123" customFormat="1">
      <c r="B1381" s="125"/>
      <c r="D1381" s="125"/>
      <c r="AA1381" s="74"/>
      <c r="AD1381" s="208"/>
      <c r="AE1381" s="124"/>
      <c r="AI1381" s="74"/>
      <c r="AM1381" s="74"/>
      <c r="AQ1381" s="74"/>
      <c r="AU1381" s="74"/>
      <c r="AY1381" s="74"/>
      <c r="BC1381" s="74"/>
    </row>
    <row r="1382" spans="2:55" s="123" customFormat="1">
      <c r="B1382" s="125"/>
      <c r="D1382" s="125"/>
      <c r="AA1382" s="74"/>
      <c r="AD1382" s="208"/>
      <c r="AE1382" s="124"/>
      <c r="AI1382" s="74"/>
      <c r="AM1382" s="74"/>
      <c r="AQ1382" s="74"/>
      <c r="AU1382" s="74"/>
      <c r="AY1382" s="74"/>
      <c r="BC1382" s="74"/>
    </row>
    <row r="1383" spans="2:55" s="123" customFormat="1">
      <c r="B1383" s="125"/>
      <c r="D1383" s="125"/>
      <c r="AA1383" s="74"/>
      <c r="AD1383" s="208"/>
      <c r="AE1383" s="124"/>
      <c r="AI1383" s="74"/>
      <c r="AM1383" s="74"/>
      <c r="AQ1383" s="74"/>
      <c r="AU1383" s="74"/>
      <c r="AY1383" s="74"/>
      <c r="BC1383" s="74"/>
    </row>
    <row r="1384" spans="2:55" s="123" customFormat="1">
      <c r="B1384" s="125"/>
      <c r="D1384" s="125"/>
      <c r="AA1384" s="74"/>
      <c r="AD1384" s="208"/>
      <c r="AE1384" s="124"/>
      <c r="AI1384" s="74"/>
      <c r="AM1384" s="74"/>
      <c r="AQ1384" s="74"/>
      <c r="AU1384" s="74"/>
      <c r="AY1384" s="74"/>
      <c r="BC1384" s="74"/>
    </row>
    <row r="1385" spans="2:55" s="123" customFormat="1">
      <c r="B1385" s="125"/>
      <c r="D1385" s="125"/>
      <c r="AA1385" s="74"/>
      <c r="AD1385" s="208"/>
      <c r="AE1385" s="124"/>
      <c r="AI1385" s="74"/>
      <c r="AM1385" s="74"/>
      <c r="AQ1385" s="74"/>
      <c r="AU1385" s="74"/>
      <c r="AY1385" s="74"/>
      <c r="BC1385" s="74"/>
    </row>
    <row r="1386" spans="2:55" s="123" customFormat="1">
      <c r="B1386" s="125"/>
      <c r="D1386" s="125"/>
      <c r="AA1386" s="74"/>
      <c r="AD1386" s="208"/>
      <c r="AE1386" s="124"/>
      <c r="AI1386" s="74"/>
      <c r="AM1386" s="74"/>
      <c r="AQ1386" s="74"/>
      <c r="AU1386" s="74"/>
      <c r="AY1386" s="74"/>
      <c r="BC1386" s="74"/>
    </row>
    <row r="1387" spans="2:55" s="123" customFormat="1">
      <c r="B1387" s="125"/>
      <c r="D1387" s="125"/>
      <c r="AA1387" s="74"/>
      <c r="AD1387" s="208"/>
      <c r="AE1387" s="124"/>
      <c r="AI1387" s="74"/>
      <c r="AM1387" s="74"/>
      <c r="AQ1387" s="74"/>
      <c r="AU1387" s="74"/>
      <c r="AY1387" s="74"/>
      <c r="BC1387" s="74"/>
    </row>
    <row r="1388" spans="2:55" s="123" customFormat="1">
      <c r="B1388" s="125"/>
      <c r="D1388" s="125"/>
      <c r="AA1388" s="74"/>
      <c r="AD1388" s="208"/>
      <c r="AE1388" s="124"/>
      <c r="AI1388" s="74"/>
      <c r="AM1388" s="74"/>
      <c r="AQ1388" s="74"/>
      <c r="AU1388" s="74"/>
      <c r="AY1388" s="74"/>
      <c r="BC1388" s="74"/>
    </row>
    <row r="1389" spans="2:55" s="123" customFormat="1">
      <c r="B1389" s="125"/>
      <c r="D1389" s="125"/>
      <c r="AA1389" s="74"/>
      <c r="AD1389" s="208"/>
      <c r="AE1389" s="124"/>
      <c r="AI1389" s="74"/>
      <c r="AM1389" s="74"/>
      <c r="AQ1389" s="74"/>
      <c r="AU1389" s="74"/>
      <c r="AY1389" s="74"/>
      <c r="BC1389" s="74"/>
    </row>
    <row r="1390" spans="2:55" s="123" customFormat="1">
      <c r="B1390" s="125"/>
      <c r="D1390" s="125"/>
      <c r="AA1390" s="74"/>
      <c r="AD1390" s="208"/>
      <c r="AE1390" s="124"/>
      <c r="AI1390" s="74"/>
      <c r="AM1390" s="74"/>
      <c r="AQ1390" s="74"/>
      <c r="AU1390" s="74"/>
      <c r="AY1390" s="74"/>
      <c r="BC1390" s="74"/>
    </row>
    <row r="1391" spans="2:55" s="123" customFormat="1">
      <c r="B1391" s="125"/>
      <c r="D1391" s="125"/>
      <c r="AA1391" s="74"/>
      <c r="AD1391" s="208"/>
      <c r="AE1391" s="124"/>
      <c r="AI1391" s="74"/>
      <c r="AM1391" s="74"/>
      <c r="AQ1391" s="74"/>
      <c r="AU1391" s="74"/>
      <c r="AY1391" s="74"/>
      <c r="BC1391" s="74"/>
    </row>
    <row r="1392" spans="2:55" s="123" customFormat="1">
      <c r="B1392" s="125"/>
      <c r="D1392" s="125"/>
      <c r="AA1392" s="74"/>
      <c r="AD1392" s="208"/>
      <c r="AE1392" s="124"/>
      <c r="AI1392" s="74"/>
      <c r="AM1392" s="74"/>
      <c r="AQ1392" s="74"/>
      <c r="AU1392" s="74"/>
      <c r="AY1392" s="74"/>
      <c r="BC1392" s="74"/>
    </row>
    <row r="1393" spans="2:55" s="123" customFormat="1">
      <c r="B1393" s="125"/>
      <c r="D1393" s="125"/>
      <c r="AA1393" s="74"/>
      <c r="AD1393" s="208"/>
      <c r="AE1393" s="124"/>
      <c r="AI1393" s="74"/>
      <c r="AM1393" s="74"/>
      <c r="AQ1393" s="74"/>
      <c r="AU1393" s="74"/>
      <c r="AY1393" s="74"/>
      <c r="BC1393" s="74"/>
    </row>
    <row r="1394" spans="2:55" s="123" customFormat="1">
      <c r="B1394" s="125"/>
      <c r="D1394" s="125"/>
      <c r="AA1394" s="74"/>
      <c r="AD1394" s="208"/>
      <c r="AE1394" s="124"/>
      <c r="AI1394" s="74"/>
      <c r="AM1394" s="74"/>
      <c r="AQ1394" s="74"/>
      <c r="AU1394" s="74"/>
      <c r="AY1394" s="74"/>
      <c r="BC1394" s="74"/>
    </row>
    <row r="1395" spans="2:55" s="123" customFormat="1">
      <c r="B1395" s="125"/>
      <c r="D1395" s="125"/>
      <c r="AA1395" s="74"/>
      <c r="AD1395" s="208"/>
      <c r="AE1395" s="124"/>
      <c r="AI1395" s="74"/>
      <c r="AM1395" s="74"/>
      <c r="AQ1395" s="74"/>
      <c r="AU1395" s="74"/>
      <c r="AY1395" s="74"/>
      <c r="BC1395" s="74"/>
    </row>
    <row r="1396" spans="2:55" s="123" customFormat="1">
      <c r="B1396" s="125"/>
      <c r="D1396" s="125"/>
      <c r="AA1396" s="74"/>
      <c r="AD1396" s="208"/>
      <c r="AE1396" s="124"/>
      <c r="AI1396" s="74"/>
      <c r="AM1396" s="74"/>
      <c r="AQ1396" s="74"/>
      <c r="AU1396" s="74"/>
      <c r="AY1396" s="74"/>
      <c r="BC1396" s="74"/>
    </row>
    <row r="1397" spans="2:55" s="123" customFormat="1">
      <c r="B1397" s="125"/>
      <c r="D1397" s="125"/>
      <c r="AA1397" s="74"/>
      <c r="AD1397" s="208"/>
      <c r="AE1397" s="124"/>
      <c r="AI1397" s="74"/>
      <c r="AM1397" s="74"/>
      <c r="AQ1397" s="74"/>
      <c r="AU1397" s="74"/>
      <c r="AY1397" s="74"/>
      <c r="BC1397" s="74"/>
    </row>
    <row r="1398" spans="2:55" s="123" customFormat="1">
      <c r="B1398" s="125"/>
      <c r="D1398" s="125"/>
      <c r="AA1398" s="74"/>
      <c r="AD1398" s="208"/>
      <c r="AE1398" s="124"/>
      <c r="AI1398" s="74"/>
      <c r="AM1398" s="74"/>
      <c r="AQ1398" s="74"/>
      <c r="AU1398" s="74"/>
      <c r="AY1398" s="74"/>
      <c r="BC1398" s="74"/>
    </row>
    <row r="1399" spans="2:55" s="123" customFormat="1">
      <c r="B1399" s="125"/>
      <c r="D1399" s="125"/>
      <c r="AA1399" s="74"/>
      <c r="AD1399" s="208"/>
      <c r="AE1399" s="124"/>
      <c r="AI1399" s="74"/>
      <c r="AM1399" s="74"/>
      <c r="AQ1399" s="74"/>
      <c r="AU1399" s="74"/>
      <c r="AY1399" s="74"/>
      <c r="BC1399" s="74"/>
    </row>
    <row r="1400" spans="2:55" s="123" customFormat="1">
      <c r="B1400" s="125"/>
      <c r="D1400" s="125"/>
      <c r="AA1400" s="74"/>
      <c r="AD1400" s="208"/>
      <c r="AE1400" s="124"/>
      <c r="AI1400" s="74"/>
      <c r="AM1400" s="74"/>
      <c r="AQ1400" s="74"/>
      <c r="AU1400" s="74"/>
      <c r="AY1400" s="74"/>
      <c r="BC1400" s="74"/>
    </row>
    <row r="1401" spans="2:55" s="123" customFormat="1">
      <c r="B1401" s="125"/>
      <c r="D1401" s="125"/>
      <c r="AA1401" s="74"/>
      <c r="AD1401" s="208"/>
      <c r="AE1401" s="124"/>
      <c r="AI1401" s="74"/>
      <c r="AM1401" s="74"/>
      <c r="AQ1401" s="74"/>
      <c r="AU1401" s="74"/>
      <c r="AY1401" s="74"/>
      <c r="BC1401" s="74"/>
    </row>
    <row r="1402" spans="2:55" s="123" customFormat="1">
      <c r="B1402" s="125"/>
      <c r="D1402" s="125"/>
      <c r="AA1402" s="74"/>
      <c r="AD1402" s="208"/>
      <c r="AE1402" s="124"/>
      <c r="AI1402" s="74"/>
      <c r="AM1402" s="74"/>
      <c r="AQ1402" s="74"/>
      <c r="AU1402" s="74"/>
      <c r="AY1402" s="74"/>
      <c r="BC1402" s="74"/>
    </row>
    <row r="1403" spans="2:55" s="123" customFormat="1">
      <c r="B1403" s="125"/>
      <c r="D1403" s="125"/>
      <c r="AA1403" s="74"/>
      <c r="AD1403" s="208"/>
      <c r="AE1403" s="124"/>
      <c r="AI1403" s="74"/>
      <c r="AM1403" s="74"/>
      <c r="AQ1403" s="74"/>
      <c r="AU1403" s="74"/>
      <c r="AY1403" s="74"/>
      <c r="BC1403" s="74"/>
    </row>
    <row r="1404" spans="2:55" s="123" customFormat="1">
      <c r="B1404" s="125"/>
      <c r="D1404" s="125"/>
      <c r="AA1404" s="74"/>
      <c r="AD1404" s="208"/>
      <c r="AE1404" s="124"/>
      <c r="AI1404" s="74"/>
      <c r="AM1404" s="74"/>
      <c r="AQ1404" s="74"/>
      <c r="AU1404" s="74"/>
      <c r="AY1404" s="74"/>
      <c r="BC1404" s="74"/>
    </row>
    <row r="1405" spans="2:55" s="123" customFormat="1">
      <c r="B1405" s="125"/>
      <c r="D1405" s="125"/>
      <c r="AA1405" s="74"/>
      <c r="AD1405" s="208"/>
      <c r="AE1405" s="124"/>
      <c r="AI1405" s="74"/>
      <c r="AM1405" s="74"/>
      <c r="AQ1405" s="74"/>
      <c r="AU1405" s="74"/>
      <c r="AY1405" s="74"/>
      <c r="BC1405" s="74"/>
    </row>
    <row r="1406" spans="2:55" s="123" customFormat="1">
      <c r="B1406" s="125"/>
      <c r="D1406" s="125"/>
      <c r="AA1406" s="74"/>
      <c r="AD1406" s="208"/>
      <c r="AE1406" s="124"/>
      <c r="AI1406" s="74"/>
      <c r="AM1406" s="74"/>
      <c r="AQ1406" s="74"/>
      <c r="AU1406" s="74"/>
      <c r="AY1406" s="74"/>
      <c r="BC1406" s="74"/>
    </row>
    <row r="1407" spans="2:55" s="123" customFormat="1">
      <c r="B1407" s="125"/>
      <c r="D1407" s="125"/>
      <c r="AA1407" s="74"/>
      <c r="AD1407" s="208"/>
      <c r="AE1407" s="124"/>
      <c r="AI1407" s="74"/>
      <c r="AM1407" s="74"/>
      <c r="AQ1407" s="74"/>
      <c r="AU1407" s="74"/>
      <c r="AY1407" s="74"/>
      <c r="BC1407" s="74"/>
    </row>
    <row r="1408" spans="2:55" s="123" customFormat="1">
      <c r="B1408" s="125"/>
      <c r="D1408" s="125"/>
      <c r="AA1408" s="74"/>
      <c r="AD1408" s="208"/>
      <c r="AE1408" s="124"/>
      <c r="AI1408" s="74"/>
      <c r="AM1408" s="74"/>
      <c r="AQ1408" s="74"/>
      <c r="AU1408" s="74"/>
      <c r="AY1408" s="74"/>
      <c r="BC1408" s="74"/>
    </row>
    <row r="1409" spans="2:55" s="123" customFormat="1">
      <c r="B1409" s="125"/>
      <c r="D1409" s="125"/>
      <c r="AA1409" s="74"/>
      <c r="AD1409" s="208"/>
      <c r="AE1409" s="124"/>
      <c r="AI1409" s="74"/>
      <c r="AM1409" s="74"/>
      <c r="AQ1409" s="74"/>
      <c r="AU1409" s="74"/>
      <c r="AY1409" s="74"/>
      <c r="BC1409" s="74"/>
    </row>
    <row r="1410" spans="2:55" s="123" customFormat="1">
      <c r="B1410" s="125"/>
      <c r="D1410" s="125"/>
      <c r="AA1410" s="74"/>
      <c r="AD1410" s="208"/>
      <c r="AE1410" s="124"/>
      <c r="AI1410" s="74"/>
      <c r="AM1410" s="74"/>
      <c r="AQ1410" s="74"/>
      <c r="AU1410" s="74"/>
      <c r="AY1410" s="74"/>
      <c r="BC1410" s="74"/>
    </row>
    <row r="1411" spans="2:55" s="123" customFormat="1">
      <c r="B1411" s="125"/>
      <c r="D1411" s="125"/>
      <c r="AA1411" s="74"/>
      <c r="AD1411" s="208"/>
      <c r="AE1411" s="124"/>
      <c r="AI1411" s="74"/>
      <c r="AM1411" s="74"/>
      <c r="AQ1411" s="74"/>
      <c r="AU1411" s="74"/>
      <c r="AY1411" s="74"/>
      <c r="BC1411" s="74"/>
    </row>
    <row r="1412" spans="2:55" s="123" customFormat="1">
      <c r="B1412" s="125"/>
      <c r="D1412" s="125"/>
      <c r="AA1412" s="74"/>
      <c r="AD1412" s="208"/>
      <c r="AE1412" s="124"/>
      <c r="AI1412" s="74"/>
      <c r="AM1412" s="74"/>
      <c r="AQ1412" s="74"/>
      <c r="AU1412" s="74"/>
      <c r="AY1412" s="74"/>
      <c r="BC1412" s="74"/>
    </row>
    <row r="1413" spans="2:55" s="123" customFormat="1">
      <c r="B1413" s="125"/>
      <c r="D1413" s="125"/>
      <c r="AA1413" s="74"/>
      <c r="AD1413" s="208"/>
      <c r="AE1413" s="124"/>
      <c r="AI1413" s="74"/>
      <c r="AM1413" s="74"/>
      <c r="AQ1413" s="74"/>
      <c r="AU1413" s="74"/>
      <c r="AY1413" s="74"/>
      <c r="BC1413" s="74"/>
    </row>
    <row r="1414" spans="2:55" s="123" customFormat="1">
      <c r="B1414" s="125"/>
      <c r="D1414" s="125"/>
      <c r="AA1414" s="74"/>
      <c r="AD1414" s="208"/>
      <c r="AE1414" s="124"/>
      <c r="AI1414" s="74"/>
      <c r="AM1414" s="74"/>
      <c r="AQ1414" s="74"/>
      <c r="AU1414" s="74"/>
      <c r="AY1414" s="74"/>
      <c r="BC1414" s="74"/>
    </row>
    <row r="1415" spans="2:55" s="123" customFormat="1">
      <c r="B1415" s="125"/>
      <c r="D1415" s="125"/>
      <c r="AA1415" s="74"/>
      <c r="AD1415" s="208"/>
      <c r="AE1415" s="124"/>
      <c r="AI1415" s="74"/>
      <c r="AM1415" s="74"/>
      <c r="AQ1415" s="74"/>
      <c r="AU1415" s="74"/>
      <c r="AY1415" s="74"/>
      <c r="BC1415" s="74"/>
    </row>
    <row r="1416" spans="2:55" s="123" customFormat="1">
      <c r="B1416" s="125"/>
      <c r="D1416" s="125"/>
      <c r="AA1416" s="74"/>
      <c r="AD1416" s="208"/>
      <c r="AE1416" s="124"/>
      <c r="AI1416" s="74"/>
      <c r="AM1416" s="74"/>
      <c r="AQ1416" s="74"/>
      <c r="AU1416" s="74"/>
      <c r="AY1416" s="74"/>
      <c r="BC1416" s="74"/>
    </row>
    <row r="1417" spans="2:55" s="123" customFormat="1">
      <c r="B1417" s="125"/>
      <c r="D1417" s="125"/>
      <c r="AA1417" s="74"/>
      <c r="AD1417" s="208"/>
      <c r="AE1417" s="124"/>
      <c r="AI1417" s="74"/>
      <c r="AM1417" s="74"/>
      <c r="AQ1417" s="74"/>
      <c r="AU1417" s="74"/>
      <c r="AY1417" s="74"/>
      <c r="BC1417" s="74"/>
    </row>
    <row r="1418" spans="2:55" s="123" customFormat="1">
      <c r="B1418" s="125"/>
      <c r="D1418" s="125"/>
      <c r="AA1418" s="74"/>
      <c r="AD1418" s="208"/>
      <c r="AE1418" s="124"/>
      <c r="AI1418" s="74"/>
      <c r="AM1418" s="74"/>
      <c r="AQ1418" s="74"/>
      <c r="AU1418" s="74"/>
      <c r="AY1418" s="74"/>
      <c r="BC1418" s="74"/>
    </row>
    <row r="1419" spans="2:55" s="123" customFormat="1">
      <c r="B1419" s="125"/>
      <c r="D1419" s="125"/>
      <c r="AA1419" s="74"/>
      <c r="AD1419" s="208"/>
      <c r="AE1419" s="124"/>
      <c r="AI1419" s="74"/>
      <c r="AM1419" s="74"/>
      <c r="AQ1419" s="74"/>
      <c r="AU1419" s="74"/>
      <c r="AY1419" s="74"/>
      <c r="BC1419" s="74"/>
    </row>
    <row r="1420" spans="2:55" s="123" customFormat="1">
      <c r="B1420" s="125"/>
      <c r="D1420" s="125"/>
      <c r="AA1420" s="74"/>
      <c r="AD1420" s="208"/>
      <c r="AE1420" s="124"/>
      <c r="AI1420" s="74"/>
      <c r="AM1420" s="74"/>
      <c r="AQ1420" s="74"/>
      <c r="AU1420" s="74"/>
      <c r="AY1420" s="74"/>
      <c r="BC1420" s="74"/>
    </row>
    <row r="1421" spans="2:55" s="123" customFormat="1">
      <c r="B1421" s="125"/>
      <c r="D1421" s="125"/>
      <c r="AA1421" s="74"/>
      <c r="AD1421" s="208"/>
      <c r="AE1421" s="124"/>
      <c r="AI1421" s="74"/>
      <c r="AM1421" s="74"/>
      <c r="AQ1421" s="74"/>
      <c r="AU1421" s="74"/>
      <c r="AY1421" s="74"/>
      <c r="BC1421" s="74"/>
    </row>
    <row r="1422" spans="2:55" s="123" customFormat="1">
      <c r="B1422" s="125"/>
      <c r="D1422" s="125"/>
      <c r="AA1422" s="74"/>
      <c r="AD1422" s="208"/>
      <c r="AE1422" s="124"/>
      <c r="AI1422" s="74"/>
      <c r="AM1422" s="74"/>
      <c r="AQ1422" s="74"/>
      <c r="AU1422" s="74"/>
      <c r="AY1422" s="74"/>
      <c r="BC1422" s="74"/>
    </row>
    <row r="1423" spans="2:55" s="123" customFormat="1">
      <c r="B1423" s="125"/>
      <c r="D1423" s="125"/>
      <c r="AA1423" s="74"/>
      <c r="AD1423" s="208"/>
      <c r="AE1423" s="124"/>
      <c r="AI1423" s="74"/>
      <c r="AM1423" s="74"/>
      <c r="AQ1423" s="74"/>
      <c r="AU1423" s="74"/>
      <c r="AY1423" s="74"/>
      <c r="BC1423" s="74"/>
    </row>
    <row r="1424" spans="2:55" s="123" customFormat="1">
      <c r="B1424" s="125"/>
      <c r="D1424" s="125"/>
      <c r="AA1424" s="74"/>
      <c r="AD1424" s="208"/>
      <c r="AE1424" s="124"/>
      <c r="AI1424" s="74"/>
      <c r="AM1424" s="74"/>
      <c r="AQ1424" s="74"/>
      <c r="AU1424" s="74"/>
      <c r="AY1424" s="74"/>
      <c r="BC1424" s="74"/>
    </row>
    <row r="1425" spans="2:55" s="123" customFormat="1">
      <c r="B1425" s="125"/>
      <c r="D1425" s="125"/>
      <c r="AA1425" s="74"/>
      <c r="AD1425" s="208"/>
      <c r="AE1425" s="124"/>
      <c r="AI1425" s="74"/>
      <c r="AM1425" s="74"/>
      <c r="AQ1425" s="74"/>
      <c r="AU1425" s="74"/>
      <c r="AY1425" s="74"/>
      <c r="BC1425" s="74"/>
    </row>
    <row r="1426" spans="2:55" s="123" customFormat="1">
      <c r="B1426" s="125"/>
      <c r="D1426" s="125"/>
      <c r="AA1426" s="74"/>
      <c r="AD1426" s="208"/>
      <c r="AE1426" s="124"/>
      <c r="AI1426" s="74"/>
      <c r="AM1426" s="74"/>
      <c r="AQ1426" s="74"/>
      <c r="AU1426" s="74"/>
      <c r="AY1426" s="74"/>
      <c r="BC1426" s="74"/>
    </row>
    <row r="1427" spans="2:55" s="123" customFormat="1">
      <c r="B1427" s="125"/>
      <c r="D1427" s="125"/>
      <c r="AA1427" s="74"/>
      <c r="AD1427" s="208"/>
      <c r="AE1427" s="124"/>
      <c r="AI1427" s="74"/>
      <c r="AM1427" s="74"/>
      <c r="AQ1427" s="74"/>
      <c r="AU1427" s="74"/>
      <c r="AY1427" s="74"/>
      <c r="BC1427" s="74"/>
    </row>
    <row r="1428" spans="2:55" s="123" customFormat="1">
      <c r="B1428" s="125"/>
      <c r="D1428" s="125"/>
      <c r="AA1428" s="74"/>
      <c r="AD1428" s="208"/>
      <c r="AE1428" s="124"/>
      <c r="AI1428" s="74"/>
      <c r="AM1428" s="74"/>
      <c r="AQ1428" s="74"/>
      <c r="AU1428" s="74"/>
      <c r="AY1428" s="74"/>
      <c r="BC1428" s="74"/>
    </row>
    <row r="1429" spans="2:55" s="123" customFormat="1">
      <c r="B1429" s="125"/>
      <c r="D1429" s="125"/>
      <c r="AA1429" s="74"/>
      <c r="AD1429" s="208"/>
      <c r="AE1429" s="124"/>
      <c r="AI1429" s="74"/>
      <c r="AM1429" s="74"/>
      <c r="AQ1429" s="74"/>
      <c r="AU1429" s="74"/>
      <c r="AY1429" s="74"/>
      <c r="BC1429" s="74"/>
    </row>
    <row r="1430" spans="2:55" s="123" customFormat="1">
      <c r="B1430" s="125"/>
      <c r="D1430" s="125"/>
      <c r="AA1430" s="74"/>
      <c r="AD1430" s="208"/>
      <c r="AE1430" s="124"/>
      <c r="AI1430" s="74"/>
      <c r="AM1430" s="74"/>
      <c r="AQ1430" s="74"/>
      <c r="AU1430" s="74"/>
      <c r="AY1430" s="74"/>
      <c r="BC1430" s="74"/>
    </row>
    <row r="1431" spans="2:55" s="123" customFormat="1">
      <c r="B1431" s="125"/>
      <c r="D1431" s="125"/>
      <c r="AA1431" s="74"/>
      <c r="AD1431" s="208"/>
      <c r="AE1431" s="124"/>
      <c r="AI1431" s="74"/>
      <c r="AM1431" s="74"/>
      <c r="AQ1431" s="74"/>
      <c r="AU1431" s="74"/>
      <c r="AY1431" s="74"/>
      <c r="BC1431" s="74"/>
    </row>
    <row r="1432" spans="2:55" s="123" customFormat="1">
      <c r="B1432" s="125"/>
      <c r="D1432" s="125"/>
      <c r="AA1432" s="74"/>
      <c r="AD1432" s="208"/>
      <c r="AE1432" s="124"/>
      <c r="AI1432" s="74"/>
      <c r="AM1432" s="74"/>
      <c r="AQ1432" s="74"/>
      <c r="AU1432" s="74"/>
      <c r="AY1432" s="74"/>
      <c r="BC1432" s="74"/>
    </row>
    <row r="1433" spans="2:55" s="123" customFormat="1">
      <c r="B1433" s="125"/>
      <c r="D1433" s="125"/>
      <c r="AA1433" s="74"/>
      <c r="AD1433" s="208"/>
      <c r="AE1433" s="124"/>
      <c r="AI1433" s="74"/>
      <c r="AM1433" s="74"/>
      <c r="AQ1433" s="74"/>
      <c r="AU1433" s="74"/>
      <c r="AY1433" s="74"/>
      <c r="BC1433" s="74"/>
    </row>
    <row r="1434" spans="2:55" s="123" customFormat="1">
      <c r="B1434" s="125"/>
      <c r="D1434" s="125"/>
      <c r="AA1434" s="74"/>
      <c r="AD1434" s="208"/>
      <c r="AE1434" s="124"/>
      <c r="AI1434" s="74"/>
      <c r="AM1434" s="74"/>
      <c r="AQ1434" s="74"/>
      <c r="AU1434" s="74"/>
      <c r="AY1434" s="74"/>
      <c r="BC1434" s="74"/>
    </row>
    <row r="1435" spans="2:55" s="123" customFormat="1">
      <c r="B1435" s="125"/>
      <c r="D1435" s="125"/>
      <c r="AA1435" s="74"/>
      <c r="AD1435" s="208"/>
      <c r="AE1435" s="124"/>
      <c r="AI1435" s="74"/>
      <c r="AM1435" s="74"/>
      <c r="AQ1435" s="74"/>
      <c r="AU1435" s="74"/>
      <c r="AY1435" s="74"/>
      <c r="BC1435" s="74"/>
    </row>
    <row r="1436" spans="2:55" s="123" customFormat="1">
      <c r="B1436" s="125"/>
      <c r="D1436" s="125"/>
      <c r="AA1436" s="74"/>
      <c r="AD1436" s="208"/>
      <c r="AE1436" s="124"/>
      <c r="AI1436" s="74"/>
      <c r="AM1436" s="74"/>
      <c r="AQ1436" s="74"/>
      <c r="AU1436" s="74"/>
      <c r="AY1436" s="74"/>
      <c r="BC1436" s="74"/>
    </row>
    <row r="1437" spans="2:55" s="123" customFormat="1">
      <c r="B1437" s="125"/>
      <c r="D1437" s="125"/>
      <c r="AA1437" s="74"/>
      <c r="AD1437" s="208"/>
      <c r="AE1437" s="124"/>
      <c r="AI1437" s="74"/>
      <c r="AM1437" s="74"/>
      <c r="AQ1437" s="74"/>
      <c r="AU1437" s="74"/>
      <c r="AY1437" s="74"/>
      <c r="BC1437" s="74"/>
    </row>
    <row r="1438" spans="2:55" s="123" customFormat="1">
      <c r="B1438" s="125"/>
      <c r="D1438" s="125"/>
      <c r="AA1438" s="74"/>
      <c r="AD1438" s="208"/>
      <c r="AE1438" s="124"/>
      <c r="AI1438" s="74"/>
      <c r="AM1438" s="74"/>
      <c r="AQ1438" s="74"/>
      <c r="AU1438" s="74"/>
      <c r="AY1438" s="74"/>
      <c r="BC1438" s="74"/>
    </row>
    <row r="1439" spans="2:55" s="123" customFormat="1">
      <c r="B1439" s="125"/>
      <c r="D1439" s="125"/>
      <c r="AA1439" s="74"/>
      <c r="AD1439" s="208"/>
      <c r="AE1439" s="124"/>
      <c r="AI1439" s="74"/>
      <c r="AM1439" s="74"/>
      <c r="AQ1439" s="74"/>
      <c r="AU1439" s="74"/>
      <c r="AY1439" s="74"/>
      <c r="BC1439" s="74"/>
    </row>
    <row r="1440" spans="2:55" s="123" customFormat="1">
      <c r="B1440" s="125"/>
      <c r="D1440" s="125"/>
      <c r="AA1440" s="74"/>
      <c r="AD1440" s="208"/>
      <c r="AE1440" s="124"/>
      <c r="AI1440" s="74"/>
      <c r="AM1440" s="74"/>
      <c r="AQ1440" s="74"/>
      <c r="AU1440" s="74"/>
      <c r="AY1440" s="74"/>
      <c r="BC1440" s="74"/>
    </row>
    <row r="1441" spans="2:55" s="123" customFormat="1">
      <c r="B1441" s="125"/>
      <c r="D1441" s="125"/>
      <c r="AA1441" s="74"/>
      <c r="AD1441" s="208"/>
      <c r="AE1441" s="124"/>
      <c r="AI1441" s="74"/>
      <c r="AM1441" s="74"/>
      <c r="AQ1441" s="74"/>
      <c r="AU1441" s="74"/>
      <c r="AY1441" s="74"/>
      <c r="BC1441" s="74"/>
    </row>
    <row r="1442" spans="2:55" s="123" customFormat="1">
      <c r="B1442" s="125"/>
      <c r="D1442" s="125"/>
      <c r="AA1442" s="74"/>
      <c r="AD1442" s="208"/>
      <c r="AE1442" s="124"/>
      <c r="AI1442" s="74"/>
      <c r="AM1442" s="74"/>
      <c r="AQ1442" s="74"/>
      <c r="AU1442" s="74"/>
      <c r="AY1442" s="74"/>
      <c r="BC1442" s="74"/>
    </row>
    <row r="1443" spans="2:55" s="123" customFormat="1">
      <c r="B1443" s="125"/>
      <c r="D1443" s="125"/>
      <c r="AA1443" s="74"/>
      <c r="AD1443" s="208"/>
      <c r="AE1443" s="124"/>
      <c r="AI1443" s="74"/>
      <c r="AM1443" s="74"/>
      <c r="AQ1443" s="74"/>
      <c r="AU1443" s="74"/>
      <c r="AY1443" s="74"/>
      <c r="BC1443" s="74"/>
    </row>
    <row r="1444" spans="2:55" s="123" customFormat="1">
      <c r="B1444" s="125"/>
      <c r="D1444" s="125"/>
      <c r="AA1444" s="74"/>
      <c r="AD1444" s="208"/>
      <c r="AE1444" s="124"/>
      <c r="AI1444" s="74"/>
      <c r="AM1444" s="74"/>
      <c r="AQ1444" s="74"/>
      <c r="AU1444" s="74"/>
      <c r="AY1444" s="74"/>
      <c r="BC1444" s="74"/>
    </row>
    <row r="1445" spans="2:55" s="123" customFormat="1">
      <c r="B1445" s="125"/>
      <c r="D1445" s="125"/>
      <c r="AA1445" s="74"/>
      <c r="AD1445" s="208"/>
      <c r="AE1445" s="124"/>
      <c r="AI1445" s="74"/>
      <c r="AM1445" s="74"/>
      <c r="AQ1445" s="74"/>
      <c r="AU1445" s="74"/>
      <c r="AY1445" s="74"/>
      <c r="BC1445" s="74"/>
    </row>
    <row r="1446" spans="2:55" s="123" customFormat="1">
      <c r="B1446" s="125"/>
      <c r="D1446" s="125"/>
      <c r="AA1446" s="74"/>
      <c r="AD1446" s="208"/>
      <c r="AE1446" s="124"/>
      <c r="AI1446" s="74"/>
      <c r="AM1446" s="74"/>
      <c r="AQ1446" s="74"/>
      <c r="AU1446" s="74"/>
      <c r="AY1446" s="74"/>
      <c r="BC1446" s="74"/>
    </row>
    <row r="1447" spans="2:55" s="123" customFormat="1">
      <c r="B1447" s="125"/>
      <c r="D1447" s="125"/>
      <c r="AA1447" s="74"/>
      <c r="AD1447" s="208"/>
      <c r="AE1447" s="124"/>
      <c r="AI1447" s="74"/>
      <c r="AM1447" s="74"/>
      <c r="AQ1447" s="74"/>
      <c r="AU1447" s="74"/>
      <c r="AY1447" s="74"/>
      <c r="BC1447" s="74"/>
    </row>
    <row r="1448" spans="2:55" s="123" customFormat="1">
      <c r="B1448" s="125"/>
      <c r="D1448" s="125"/>
      <c r="AA1448" s="74"/>
      <c r="AD1448" s="208"/>
      <c r="AE1448" s="124"/>
      <c r="AI1448" s="74"/>
      <c r="AM1448" s="74"/>
      <c r="AQ1448" s="74"/>
      <c r="AU1448" s="74"/>
      <c r="AY1448" s="74"/>
      <c r="BC1448" s="74"/>
    </row>
    <row r="1449" spans="2:55" s="123" customFormat="1">
      <c r="B1449" s="125"/>
      <c r="D1449" s="125"/>
      <c r="AA1449" s="74"/>
      <c r="AD1449" s="208"/>
      <c r="AE1449" s="124"/>
      <c r="AI1449" s="74"/>
      <c r="AM1449" s="74"/>
      <c r="AQ1449" s="74"/>
      <c r="AU1449" s="74"/>
      <c r="AY1449" s="74"/>
      <c r="BC1449" s="74"/>
    </row>
    <row r="1450" spans="2:55" s="123" customFormat="1">
      <c r="B1450" s="125"/>
      <c r="D1450" s="125"/>
      <c r="AA1450" s="74"/>
      <c r="AD1450" s="208"/>
      <c r="AE1450" s="124"/>
      <c r="AI1450" s="74"/>
      <c r="AM1450" s="74"/>
      <c r="AQ1450" s="74"/>
      <c r="AU1450" s="74"/>
      <c r="AY1450" s="74"/>
      <c r="BC1450" s="74"/>
    </row>
    <row r="1451" spans="2:55" s="123" customFormat="1">
      <c r="B1451" s="125"/>
      <c r="D1451" s="125"/>
      <c r="AA1451" s="74"/>
      <c r="AD1451" s="208"/>
      <c r="AE1451" s="124"/>
      <c r="AI1451" s="74"/>
      <c r="AM1451" s="74"/>
      <c r="AQ1451" s="74"/>
      <c r="AU1451" s="74"/>
      <c r="AY1451" s="74"/>
      <c r="BC1451" s="74"/>
    </row>
    <row r="1452" spans="2:55" s="123" customFormat="1">
      <c r="B1452" s="125"/>
      <c r="D1452" s="125"/>
      <c r="AA1452" s="74"/>
      <c r="AD1452" s="208"/>
      <c r="AE1452" s="124"/>
      <c r="AI1452" s="74"/>
      <c r="AM1452" s="74"/>
      <c r="AQ1452" s="74"/>
      <c r="AU1452" s="74"/>
      <c r="AY1452" s="74"/>
      <c r="BC1452" s="74"/>
    </row>
    <row r="1453" spans="2:55" s="123" customFormat="1">
      <c r="B1453" s="125"/>
      <c r="D1453" s="125"/>
      <c r="AA1453" s="74"/>
      <c r="AD1453" s="208"/>
      <c r="AE1453" s="124"/>
      <c r="AI1453" s="74"/>
      <c r="AM1453" s="74"/>
      <c r="AQ1453" s="74"/>
      <c r="AU1453" s="74"/>
      <c r="AY1453" s="74"/>
      <c r="BC1453" s="74"/>
    </row>
    <row r="1454" spans="2:55" s="123" customFormat="1">
      <c r="B1454" s="125"/>
      <c r="D1454" s="125"/>
      <c r="AA1454" s="74"/>
      <c r="AD1454" s="208"/>
      <c r="AE1454" s="124"/>
      <c r="AI1454" s="74"/>
      <c r="AM1454" s="74"/>
      <c r="AQ1454" s="74"/>
      <c r="AU1454" s="74"/>
      <c r="AY1454" s="74"/>
      <c r="BC1454" s="74"/>
    </row>
    <row r="1455" spans="2:55" s="123" customFormat="1">
      <c r="B1455" s="125"/>
      <c r="D1455" s="125"/>
      <c r="AA1455" s="74"/>
      <c r="AD1455" s="208"/>
      <c r="AE1455" s="124"/>
      <c r="AI1455" s="74"/>
      <c r="AM1455" s="74"/>
      <c r="AQ1455" s="74"/>
      <c r="AU1455" s="74"/>
      <c r="AY1455" s="74"/>
      <c r="BC1455" s="74"/>
    </row>
  </sheetData>
  <mergeCells count="19">
    <mergeCell ref="B8:AC8"/>
    <mergeCell ref="B1:AC2"/>
    <mergeCell ref="B3:AC4"/>
    <mergeCell ref="B5:AC5"/>
    <mergeCell ref="B6:AC6"/>
    <mergeCell ref="B7:AC7"/>
    <mergeCell ref="B9:AC10"/>
    <mergeCell ref="Z14:AC14"/>
    <mergeCell ref="AD14:AG14"/>
    <mergeCell ref="AH14:AK14"/>
    <mergeCell ref="AL14:AO14"/>
    <mergeCell ref="B113:AC113"/>
    <mergeCell ref="AT14:AW14"/>
    <mergeCell ref="AX14:BA14"/>
    <mergeCell ref="BB14:BE14"/>
    <mergeCell ref="BF14:BG14"/>
    <mergeCell ref="B111:I111"/>
    <mergeCell ref="B112:E112"/>
    <mergeCell ref="AP14:AS14"/>
  </mergeCells>
  <conditionalFormatting sqref="D110">
    <cfRule type="duplicateValues" dxfId="146" priority="1"/>
  </conditionalFormatting>
  <conditionalFormatting sqref="D106:D109 D37:D89">
    <cfRule type="duplicateValues" dxfId="145" priority="2"/>
  </conditionalFormatting>
  <conditionalFormatting sqref="D16:D36">
    <cfRule type="duplicateValues" dxfId="144" priority="3"/>
  </conditionalFormatting>
  <conditionalFormatting sqref="D90:D105">
    <cfRule type="duplicateValues" dxfId="143" priority="4"/>
  </conditionalFormatting>
  <pageMargins left="0.7" right="0.7" top="0.75" bottom="0.75" header="0.3" footer="0.3"/>
  <ignoredErrors>
    <ignoredError sqref="Y16:Y104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918"/>
  <sheetViews>
    <sheetView topLeftCell="A9" workbookViewId="0">
      <selection activeCell="B9" sqref="B9:AC10"/>
    </sheetView>
  </sheetViews>
  <sheetFormatPr baseColWidth="10" defaultRowHeight="11.25"/>
  <cols>
    <col min="1" max="1" width="5" style="123" customWidth="1"/>
    <col min="2" max="2" width="10.140625" style="86" customWidth="1"/>
    <col min="3" max="3" width="9.85546875" style="83" customWidth="1"/>
    <col min="4" max="4" width="11.42578125" style="86" customWidth="1"/>
    <col min="5" max="5" width="37" style="83" customWidth="1"/>
    <col min="6" max="6" width="13.140625" style="83" customWidth="1"/>
    <col min="7" max="7" width="11.28515625" style="83" customWidth="1"/>
    <col min="8" max="8" width="18.85546875" style="83" customWidth="1"/>
    <col min="9" max="9" width="9.7109375" style="83" customWidth="1"/>
    <col min="10" max="10" width="9.7109375" style="84" customWidth="1"/>
    <col min="11" max="25" width="12" style="83" customWidth="1"/>
    <col min="26" max="26" width="10.140625" style="83" customWidth="1"/>
    <col min="27" max="27" width="10.140625" style="60" customWidth="1"/>
    <col min="28" max="30" width="10.140625" style="83" customWidth="1"/>
    <col min="31" max="31" width="10.140625" style="84" customWidth="1"/>
    <col min="32" max="34" width="10.140625" style="83" customWidth="1"/>
    <col min="35" max="35" width="10.140625" style="60" customWidth="1"/>
    <col min="36" max="38" width="10.140625" style="83" customWidth="1"/>
    <col min="39" max="39" width="10.140625" style="60" customWidth="1"/>
    <col min="40" max="42" width="10.140625" style="83" customWidth="1"/>
    <col min="43" max="43" width="10.140625" style="60" customWidth="1"/>
    <col min="44" max="49" width="10.140625" style="83" customWidth="1"/>
    <col min="50" max="51" width="11.42578125" style="83"/>
    <col min="52" max="108" width="11.42578125" style="123"/>
    <col min="109" max="16384" width="11.42578125" style="83"/>
  </cols>
  <sheetData>
    <row r="1" spans="1:108" hidden="1">
      <c r="B1" s="738"/>
      <c r="C1" s="738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739"/>
      <c r="AB1" s="739"/>
      <c r="AC1" s="739"/>
      <c r="AD1" s="80"/>
      <c r="AE1" s="81"/>
      <c r="AF1" s="80"/>
      <c r="AG1" s="80"/>
      <c r="AH1" s="80"/>
      <c r="AI1" s="82"/>
      <c r="AJ1" s="80"/>
      <c r="AK1" s="80"/>
      <c r="AL1" s="80"/>
      <c r="AM1" s="82"/>
      <c r="AN1" s="80"/>
      <c r="AO1" s="80"/>
      <c r="AP1" s="80"/>
      <c r="AQ1" s="82"/>
      <c r="AR1" s="80"/>
      <c r="AS1" s="80"/>
      <c r="AT1" s="80"/>
      <c r="AU1" s="80"/>
      <c r="AV1" s="80"/>
      <c r="AW1" s="80"/>
    </row>
    <row r="2" spans="1:108" hidden="1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80"/>
      <c r="AE2" s="81"/>
      <c r="AF2" s="80"/>
      <c r="AG2" s="80"/>
      <c r="AH2" s="80"/>
      <c r="AI2" s="82"/>
      <c r="AJ2" s="80"/>
      <c r="AK2" s="80"/>
      <c r="AL2" s="80"/>
      <c r="AM2" s="82"/>
      <c r="AN2" s="80"/>
      <c r="AO2" s="80"/>
      <c r="AP2" s="80"/>
      <c r="AQ2" s="82"/>
      <c r="AR2" s="80"/>
      <c r="AS2" s="80"/>
      <c r="AT2" s="80"/>
      <c r="AU2" s="80"/>
      <c r="AV2" s="80"/>
      <c r="AW2" s="80"/>
    </row>
    <row r="3" spans="1:108" ht="12.75" hidden="1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1"/>
      <c r="AE3" s="2"/>
      <c r="AF3" s="1"/>
      <c r="AG3" s="1"/>
      <c r="AH3" s="1"/>
      <c r="AI3" s="3"/>
      <c r="AJ3" s="1"/>
      <c r="AK3" s="1"/>
      <c r="AL3" s="1"/>
      <c r="AM3" s="3"/>
      <c r="AN3" s="1"/>
      <c r="AO3" s="1"/>
      <c r="AP3" s="1"/>
      <c r="AQ3" s="3"/>
      <c r="AR3" s="1"/>
      <c r="AS3" s="1"/>
      <c r="AT3" s="1"/>
      <c r="AU3" s="1"/>
      <c r="AV3" s="1"/>
      <c r="AW3" s="1"/>
    </row>
    <row r="4" spans="1:108" ht="21.75" hidden="1" customHeight="1"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1"/>
      <c r="AE4" s="2"/>
      <c r="AF4" s="1"/>
      <c r="AG4" s="1"/>
      <c r="AH4" s="1"/>
      <c r="AI4" s="3"/>
      <c r="AJ4" s="1"/>
      <c r="AK4" s="1"/>
      <c r="AL4" s="1"/>
      <c r="AM4" s="3"/>
      <c r="AN4" s="1"/>
      <c r="AO4" s="1"/>
      <c r="AP4" s="1"/>
      <c r="AQ4" s="3"/>
      <c r="AR4" s="1"/>
      <c r="AS4" s="1"/>
      <c r="AT4" s="1"/>
      <c r="AU4" s="1"/>
      <c r="AV4" s="1"/>
      <c r="AW4" s="1"/>
    </row>
    <row r="5" spans="1:108" ht="11.25" hidden="1" customHeight="1"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1"/>
      <c r="AE5" s="2"/>
      <c r="AF5" s="1"/>
      <c r="AG5" s="1"/>
      <c r="AH5" s="1"/>
      <c r="AI5" s="3"/>
      <c r="AJ5" s="1"/>
      <c r="AK5" s="1"/>
      <c r="AL5" s="1"/>
      <c r="AM5" s="3"/>
      <c r="AN5" s="1"/>
      <c r="AO5" s="1"/>
      <c r="AP5" s="1"/>
      <c r="AQ5" s="3"/>
      <c r="AR5" s="1"/>
      <c r="AS5" s="1"/>
      <c r="AT5" s="1"/>
      <c r="AU5" s="1"/>
      <c r="AV5" s="1"/>
      <c r="AW5" s="1"/>
    </row>
    <row r="6" spans="1:108" ht="15" hidden="1" customHeight="1"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1"/>
      <c r="AE6" s="2"/>
      <c r="AF6" s="1"/>
      <c r="AG6" s="1"/>
      <c r="AH6" s="1"/>
      <c r="AI6" s="3"/>
      <c r="AJ6" s="1"/>
      <c r="AK6" s="1"/>
      <c r="AL6" s="1"/>
      <c r="AM6" s="3"/>
      <c r="AN6" s="1"/>
      <c r="AO6" s="1"/>
      <c r="AP6" s="1"/>
      <c r="AQ6" s="3"/>
      <c r="AR6" s="1"/>
      <c r="AS6" s="1"/>
      <c r="AT6" s="1"/>
      <c r="AU6" s="1"/>
      <c r="AV6" s="1"/>
      <c r="AW6" s="1"/>
    </row>
    <row r="7" spans="1:108" ht="21" hidden="1" customHeight="1"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1"/>
      <c r="AE7" s="2"/>
      <c r="AF7" s="1"/>
      <c r="AG7" s="1"/>
      <c r="AH7" s="1"/>
      <c r="AI7" s="3"/>
      <c r="AJ7" s="1"/>
      <c r="AK7" s="1"/>
      <c r="AL7" s="1"/>
      <c r="AM7" s="3"/>
      <c r="AN7" s="1"/>
      <c r="AO7" s="1"/>
      <c r="AP7" s="1"/>
      <c r="AQ7" s="3"/>
      <c r="AR7" s="1"/>
      <c r="AS7" s="1"/>
      <c r="AT7" s="1"/>
      <c r="AU7" s="1"/>
      <c r="AV7" s="1"/>
      <c r="AW7" s="1"/>
    </row>
    <row r="8" spans="1:108" ht="16.5" hidden="1" customHeight="1"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1"/>
      <c r="AE8" s="2"/>
      <c r="AF8" s="1"/>
      <c r="AG8" s="1"/>
      <c r="AH8" s="1"/>
      <c r="AI8" s="3"/>
      <c r="AJ8" s="1"/>
      <c r="AK8" s="1"/>
      <c r="AL8" s="1"/>
      <c r="AM8" s="3"/>
      <c r="AN8" s="1"/>
      <c r="AO8" s="1"/>
      <c r="AP8" s="1"/>
      <c r="AQ8" s="3"/>
      <c r="AR8" s="1"/>
      <c r="AS8" s="1"/>
      <c r="AT8" s="1"/>
      <c r="AU8" s="1"/>
      <c r="AV8" s="1"/>
      <c r="AW8" s="1"/>
    </row>
    <row r="9" spans="1:108" s="123" customFormat="1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61"/>
      <c r="AE9" s="62"/>
      <c r="AF9" s="61"/>
      <c r="AG9" s="61"/>
      <c r="AH9" s="61"/>
      <c r="AI9" s="63"/>
      <c r="AJ9" s="61"/>
      <c r="AK9" s="61"/>
      <c r="AL9" s="61"/>
      <c r="AM9" s="63"/>
      <c r="AN9" s="61"/>
      <c r="AO9" s="61"/>
      <c r="AP9" s="61"/>
      <c r="AQ9" s="63"/>
      <c r="AR9" s="61"/>
      <c r="AS9" s="61"/>
      <c r="AT9" s="61"/>
      <c r="AU9" s="61"/>
      <c r="AV9" s="61"/>
      <c r="AW9" s="61"/>
    </row>
    <row r="10" spans="1:108" s="123" customFormat="1" ht="11.25" customHeight="1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E10" s="124"/>
      <c r="AI10" s="74"/>
      <c r="AM10" s="74"/>
      <c r="AQ10" s="74"/>
    </row>
    <row r="11" spans="1:108" s="123" customFormat="1" ht="18.75">
      <c r="B11" s="65"/>
      <c r="C11" s="65"/>
      <c r="D11" s="65"/>
      <c r="E11" s="128"/>
      <c r="F11" s="65"/>
      <c r="G11" s="65"/>
      <c r="H11" s="65"/>
      <c r="I11" s="65"/>
      <c r="J11" s="122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E11" s="124"/>
      <c r="AI11" s="74"/>
      <c r="AM11" s="74"/>
      <c r="AQ11" s="74"/>
    </row>
    <row r="12" spans="1:108" ht="22.5">
      <c r="B12" s="4" t="s">
        <v>1</v>
      </c>
      <c r="C12" s="4" t="s">
        <v>2</v>
      </c>
      <c r="D12" s="5" t="s">
        <v>3</v>
      </c>
      <c r="E12" s="6" t="s">
        <v>4</v>
      </c>
      <c r="F12" s="7"/>
      <c r="G12" s="65"/>
      <c r="H12" s="65"/>
      <c r="I12" s="65"/>
      <c r="J12" s="122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123"/>
      <c r="AE12" s="124"/>
      <c r="AF12" s="123"/>
      <c r="AG12" s="123"/>
      <c r="AH12" s="123"/>
      <c r="AI12" s="74"/>
      <c r="AJ12" s="123"/>
      <c r="AK12" s="123"/>
      <c r="AL12" s="123"/>
      <c r="AM12" s="74"/>
      <c r="AN12" s="123"/>
      <c r="AO12" s="123"/>
      <c r="AP12" s="123"/>
      <c r="AQ12" s="74"/>
      <c r="AR12" s="123"/>
      <c r="AS12" s="123"/>
      <c r="AT12" s="123"/>
      <c r="AU12" s="123"/>
      <c r="AV12" s="123"/>
      <c r="AW12" s="123"/>
      <c r="AX12" s="123"/>
      <c r="AY12" s="123"/>
    </row>
    <row r="13" spans="1:108" ht="18.75">
      <c r="B13" s="8">
        <v>40872537</v>
      </c>
      <c r="C13" s="8">
        <v>40946474</v>
      </c>
      <c r="D13" s="8">
        <v>38109520</v>
      </c>
      <c r="E13" s="117">
        <f>+Y148</f>
        <v>26309006</v>
      </c>
      <c r="F13" s="67"/>
      <c r="G13" s="65"/>
      <c r="H13" s="65"/>
      <c r="I13" s="65"/>
      <c r="J13" s="122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123"/>
      <c r="AE13" s="124"/>
      <c r="AF13" s="123"/>
      <c r="AG13" s="123"/>
      <c r="AH13" s="123"/>
      <c r="AI13" s="74"/>
      <c r="AJ13" s="123"/>
      <c r="AK13" s="123"/>
      <c r="AL13" s="123"/>
      <c r="AM13" s="74"/>
      <c r="AN13" s="123"/>
      <c r="AO13" s="123"/>
      <c r="AP13" s="123"/>
      <c r="AQ13" s="74"/>
      <c r="AR13" s="123"/>
      <c r="AS13" s="123"/>
      <c r="AT13" s="123"/>
      <c r="AU13" s="123"/>
      <c r="AV13" s="123"/>
      <c r="AW13" s="123"/>
      <c r="AX13" s="123"/>
      <c r="AY13" s="123"/>
    </row>
    <row r="14" spans="1:108" ht="15" customHeight="1">
      <c r="B14" s="125"/>
      <c r="C14" s="68"/>
      <c r="D14" s="69"/>
      <c r="E14" s="123"/>
      <c r="F14" s="68"/>
      <c r="G14" s="123"/>
      <c r="H14" s="123"/>
      <c r="I14" s="123"/>
      <c r="J14" s="124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742" t="s">
        <v>5</v>
      </c>
      <c r="AA14" s="743"/>
      <c r="AB14" s="743"/>
      <c r="AC14" s="744"/>
      <c r="AD14" s="745" t="s">
        <v>6</v>
      </c>
      <c r="AE14" s="746"/>
      <c r="AF14" s="746"/>
      <c r="AG14" s="747"/>
      <c r="AH14" s="745" t="s">
        <v>6</v>
      </c>
      <c r="AI14" s="746"/>
      <c r="AJ14" s="746"/>
      <c r="AK14" s="747"/>
      <c r="AL14" s="745" t="s">
        <v>6</v>
      </c>
      <c r="AM14" s="746"/>
      <c r="AN14" s="746"/>
      <c r="AO14" s="747"/>
      <c r="AP14" s="745" t="s">
        <v>6</v>
      </c>
      <c r="AQ14" s="746"/>
      <c r="AR14" s="746"/>
      <c r="AS14" s="747"/>
      <c r="AT14" s="745" t="s">
        <v>6</v>
      </c>
      <c r="AU14" s="746"/>
      <c r="AV14" s="746"/>
      <c r="AW14" s="747"/>
      <c r="AX14" s="729" t="s">
        <v>7</v>
      </c>
      <c r="AY14" s="729"/>
    </row>
    <row r="15" spans="1:108" s="96" customFormat="1" ht="55.5" customHeight="1">
      <c r="A15" s="39"/>
      <c r="B15" s="11" t="s">
        <v>8</v>
      </c>
      <c r="C15" s="11" t="s">
        <v>9</v>
      </c>
      <c r="D15" s="11" t="s">
        <v>10</v>
      </c>
      <c r="E15" s="12" t="s">
        <v>11</v>
      </c>
      <c r="F15" s="12" t="s">
        <v>12</v>
      </c>
      <c r="G15" s="12" t="s">
        <v>13</v>
      </c>
      <c r="H15" s="12" t="s">
        <v>14</v>
      </c>
      <c r="I15" s="12" t="s">
        <v>15</v>
      </c>
      <c r="J15" s="219" t="s">
        <v>16</v>
      </c>
      <c r="K15" s="12" t="s">
        <v>17</v>
      </c>
      <c r="L15" s="12" t="s">
        <v>18</v>
      </c>
      <c r="M15" s="13" t="s">
        <v>19</v>
      </c>
      <c r="N15" s="13" t="s">
        <v>20</v>
      </c>
      <c r="O15" s="13" t="s">
        <v>21</v>
      </c>
      <c r="P15" s="13" t="s">
        <v>22</v>
      </c>
      <c r="Q15" s="13" t="s">
        <v>23</v>
      </c>
      <c r="R15" s="220" t="s">
        <v>24</v>
      </c>
      <c r="S15" s="14" t="s">
        <v>25</v>
      </c>
      <c r="T15" s="14" t="s">
        <v>26</v>
      </c>
      <c r="U15" s="14" t="s">
        <v>27</v>
      </c>
      <c r="V15" s="14" t="s">
        <v>28</v>
      </c>
      <c r="W15" s="14" t="s">
        <v>29</v>
      </c>
      <c r="X15" s="14" t="s">
        <v>30</v>
      </c>
      <c r="Y15" s="15" t="s">
        <v>31</v>
      </c>
      <c r="Z15" s="16" t="s">
        <v>32</v>
      </c>
      <c r="AA15" s="17" t="s">
        <v>33</v>
      </c>
      <c r="AB15" s="16" t="s">
        <v>34</v>
      </c>
      <c r="AC15" s="16" t="s">
        <v>35</v>
      </c>
      <c r="AD15" s="18" t="s">
        <v>36</v>
      </c>
      <c r="AE15" s="19" t="s">
        <v>33</v>
      </c>
      <c r="AF15" s="18" t="s">
        <v>34</v>
      </c>
      <c r="AG15" s="18" t="s">
        <v>35</v>
      </c>
      <c r="AH15" s="18" t="s">
        <v>36</v>
      </c>
      <c r="AI15" s="19" t="s">
        <v>33</v>
      </c>
      <c r="AJ15" s="18" t="s">
        <v>34</v>
      </c>
      <c r="AK15" s="18" t="s">
        <v>35</v>
      </c>
      <c r="AL15" s="18" t="s">
        <v>36</v>
      </c>
      <c r="AM15" s="19" t="s">
        <v>33</v>
      </c>
      <c r="AN15" s="18" t="s">
        <v>34</v>
      </c>
      <c r="AO15" s="18" t="s">
        <v>35</v>
      </c>
      <c r="AP15" s="18" t="s">
        <v>36</v>
      </c>
      <c r="AQ15" s="19" t="s">
        <v>33</v>
      </c>
      <c r="AR15" s="18" t="s">
        <v>34</v>
      </c>
      <c r="AS15" s="18" t="s">
        <v>35</v>
      </c>
      <c r="AT15" s="18" t="s">
        <v>36</v>
      </c>
      <c r="AU15" s="19" t="s">
        <v>33</v>
      </c>
      <c r="AV15" s="18" t="s">
        <v>34</v>
      </c>
      <c r="AW15" s="18" t="s">
        <v>35</v>
      </c>
      <c r="AX15" s="20" t="s">
        <v>37</v>
      </c>
      <c r="AY15" s="20" t="s">
        <v>38</v>
      </c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</row>
    <row r="16" spans="1:108" s="39" customFormat="1" ht="22.5">
      <c r="B16" s="22">
        <v>1</v>
      </c>
      <c r="C16" s="22" t="s">
        <v>39</v>
      </c>
      <c r="D16" s="23" t="s">
        <v>424</v>
      </c>
      <c r="E16" s="48" t="s">
        <v>425</v>
      </c>
      <c r="F16" s="48" t="s">
        <v>146</v>
      </c>
      <c r="G16" s="26" t="s">
        <v>426</v>
      </c>
      <c r="H16" s="26" t="s">
        <v>426</v>
      </c>
      <c r="I16" s="49" t="s">
        <v>44</v>
      </c>
      <c r="J16" s="216">
        <f>29106993-7157499</f>
        <v>21949494</v>
      </c>
      <c r="K16" s="34">
        <f>17344677</f>
        <v>17344677</v>
      </c>
      <c r="L16" s="34">
        <f>329899-329899</f>
        <v>0</v>
      </c>
      <c r="M16" s="34">
        <v>0</v>
      </c>
      <c r="N16" s="34">
        <v>2684380</v>
      </c>
      <c r="O16" s="34">
        <v>0</v>
      </c>
      <c r="P16" s="34">
        <v>126052</v>
      </c>
      <c r="Q16" s="34">
        <f>0</f>
        <v>0</v>
      </c>
      <c r="R16" s="225">
        <v>26906</v>
      </c>
      <c r="S16" s="34">
        <v>34416</v>
      </c>
      <c r="T16" s="34"/>
      <c r="U16" s="34"/>
      <c r="V16" s="34"/>
      <c r="W16" s="34"/>
      <c r="X16" s="34"/>
      <c r="Y16" s="34">
        <f t="shared" ref="Y16:Y47" si="0">SUM(M16:X16)</f>
        <v>2871754</v>
      </c>
      <c r="Z16" s="31">
        <f>3903689+92025+92025</f>
        <v>4087739</v>
      </c>
      <c r="AA16" s="226" t="s">
        <v>427</v>
      </c>
      <c r="AB16" s="33">
        <v>44209</v>
      </c>
      <c r="AC16" s="36">
        <v>44243</v>
      </c>
      <c r="AD16" s="31">
        <f>40000</f>
        <v>40000</v>
      </c>
      <c r="AE16" s="35">
        <v>10</v>
      </c>
      <c r="AF16" s="33">
        <v>44299</v>
      </c>
      <c r="AG16" s="36">
        <v>44316</v>
      </c>
      <c r="AH16" s="31">
        <f>18000+270158</f>
        <v>288158</v>
      </c>
      <c r="AI16" s="32">
        <v>16</v>
      </c>
      <c r="AJ16" s="33">
        <v>44330</v>
      </c>
      <c r="AK16" s="36">
        <v>44347</v>
      </c>
      <c r="AL16" s="31">
        <v>37351</v>
      </c>
      <c r="AM16" s="32">
        <v>23</v>
      </c>
      <c r="AN16" s="33">
        <v>44355</v>
      </c>
      <c r="AO16" s="36">
        <v>44369</v>
      </c>
      <c r="AP16" s="31"/>
      <c r="AQ16" s="32"/>
      <c r="AR16" s="27"/>
      <c r="AS16" s="36"/>
      <c r="AT16" s="36"/>
      <c r="AU16" s="36"/>
      <c r="AV16" s="36"/>
      <c r="AW16" s="36"/>
      <c r="AX16" s="37">
        <f>+Z16+AD16+AH16+AL16+AP16+AT16</f>
        <v>4453248</v>
      </c>
      <c r="AY16" s="38">
        <f>+AX16-Y16</f>
        <v>1581494</v>
      </c>
    </row>
    <row r="17" spans="2:51" s="39" customFormat="1" ht="22.5">
      <c r="B17" s="22">
        <v>2</v>
      </c>
      <c r="C17" s="22" t="s">
        <v>39</v>
      </c>
      <c r="D17" s="23" t="s">
        <v>428</v>
      </c>
      <c r="E17" s="48" t="s">
        <v>429</v>
      </c>
      <c r="F17" s="48" t="s">
        <v>146</v>
      </c>
      <c r="G17" s="26" t="s">
        <v>426</v>
      </c>
      <c r="H17" s="26" t="s">
        <v>430</v>
      </c>
      <c r="I17" s="49" t="s">
        <v>44</v>
      </c>
      <c r="J17" s="216">
        <f>270179</f>
        <v>270179</v>
      </c>
      <c r="K17" s="34">
        <f>2360</f>
        <v>2360</v>
      </c>
      <c r="L17" s="34">
        <f>0</f>
        <v>0</v>
      </c>
      <c r="M17" s="34">
        <v>0</v>
      </c>
      <c r="N17" s="34">
        <v>0</v>
      </c>
      <c r="O17" s="34">
        <v>64441</v>
      </c>
      <c r="P17" s="34">
        <f>6924</f>
        <v>6924</v>
      </c>
      <c r="Q17" s="34"/>
      <c r="R17" s="225">
        <v>2000</v>
      </c>
      <c r="S17" s="34">
        <v>49681</v>
      </c>
      <c r="T17" s="34">
        <v>2000</v>
      </c>
      <c r="U17" s="34">
        <v>2000</v>
      </c>
      <c r="V17" s="34"/>
      <c r="W17" s="34"/>
      <c r="X17" s="34"/>
      <c r="Y17" s="34">
        <f t="shared" si="0"/>
        <v>127046</v>
      </c>
      <c r="Z17" s="31">
        <f>12000+254781</f>
        <v>266781</v>
      </c>
      <c r="AA17" s="226" t="s">
        <v>427</v>
      </c>
      <c r="AB17" s="33">
        <v>44209</v>
      </c>
      <c r="AC17" s="36">
        <v>44243</v>
      </c>
      <c r="AD17" s="31"/>
      <c r="AE17" s="35"/>
      <c r="AF17" s="27"/>
      <c r="AG17" s="36"/>
      <c r="AH17" s="31"/>
      <c r="AI17" s="32"/>
      <c r="AJ17" s="27"/>
      <c r="AK17" s="36"/>
      <c r="AL17" s="31"/>
      <c r="AM17" s="32"/>
      <c r="AN17" s="27"/>
      <c r="AO17" s="36"/>
      <c r="AP17" s="31"/>
      <c r="AQ17" s="32"/>
      <c r="AR17" s="27"/>
      <c r="AS17" s="36"/>
      <c r="AT17" s="36"/>
      <c r="AU17" s="36"/>
      <c r="AV17" s="36"/>
      <c r="AW17" s="36"/>
      <c r="AX17" s="37">
        <f t="shared" ref="AX17:AX80" si="1">+Z17+AD17+AH17+AL17+AP17+AT17</f>
        <v>266781</v>
      </c>
      <c r="AY17" s="38">
        <f t="shared" ref="AY17:AY80" si="2">+AX17-Y17</f>
        <v>139735</v>
      </c>
    </row>
    <row r="18" spans="2:51" s="39" customFormat="1" ht="22.5">
      <c r="B18" s="22">
        <v>3</v>
      </c>
      <c r="C18" s="22" t="s">
        <v>39</v>
      </c>
      <c r="D18" s="23" t="s">
        <v>431</v>
      </c>
      <c r="E18" s="48" t="s">
        <v>432</v>
      </c>
      <c r="F18" s="48" t="s">
        <v>146</v>
      </c>
      <c r="G18" s="26" t="s">
        <v>426</v>
      </c>
      <c r="H18" s="26" t="s">
        <v>430</v>
      </c>
      <c r="I18" s="49" t="s">
        <v>44</v>
      </c>
      <c r="J18" s="216">
        <f>718214</f>
        <v>718214</v>
      </c>
      <c r="K18" s="34">
        <f>592</f>
        <v>592</v>
      </c>
      <c r="L18" s="34">
        <f>0</f>
        <v>0</v>
      </c>
      <c r="M18" s="34">
        <v>0</v>
      </c>
      <c r="N18" s="34">
        <v>100956</v>
      </c>
      <c r="O18" s="34">
        <f>103318</f>
        <v>103318</v>
      </c>
      <c r="P18" s="34">
        <f>2216+75327</f>
        <v>77543</v>
      </c>
      <c r="Q18" s="34">
        <f>2216+57672</f>
        <v>59888</v>
      </c>
      <c r="R18" s="225">
        <v>96305</v>
      </c>
      <c r="S18" s="34">
        <v>59600</v>
      </c>
      <c r="T18" s="34">
        <v>38581</v>
      </c>
      <c r="U18" s="34">
        <v>50153</v>
      </c>
      <c r="V18" s="34"/>
      <c r="W18" s="34"/>
      <c r="X18" s="34"/>
      <c r="Y18" s="34">
        <f t="shared" si="0"/>
        <v>586344</v>
      </c>
      <c r="Z18" s="31">
        <f>13297+704325</f>
        <v>717622</v>
      </c>
      <c r="AA18" s="226" t="s">
        <v>427</v>
      </c>
      <c r="AB18" s="33">
        <v>44209</v>
      </c>
      <c r="AC18" s="36">
        <v>44243</v>
      </c>
      <c r="AD18" s="227"/>
      <c r="AE18" s="35"/>
      <c r="AF18" s="33"/>
      <c r="AG18" s="36"/>
      <c r="AH18" s="227"/>
      <c r="AI18" s="32"/>
      <c r="AJ18" s="33"/>
      <c r="AK18" s="36"/>
      <c r="AL18" s="227"/>
      <c r="AM18" s="32"/>
      <c r="AN18" s="33"/>
      <c r="AO18" s="36"/>
      <c r="AP18" s="227"/>
      <c r="AQ18" s="32"/>
      <c r="AR18" s="33"/>
      <c r="AS18" s="36"/>
      <c r="AT18" s="36"/>
      <c r="AU18" s="36"/>
      <c r="AV18" s="36"/>
      <c r="AW18" s="36"/>
      <c r="AX18" s="37">
        <f t="shared" si="1"/>
        <v>717622</v>
      </c>
      <c r="AY18" s="38">
        <f t="shared" si="2"/>
        <v>131278</v>
      </c>
    </row>
    <row r="19" spans="2:51" s="39" customFormat="1" ht="22.5">
      <c r="B19" s="22">
        <v>4</v>
      </c>
      <c r="C19" s="22" t="s">
        <v>39</v>
      </c>
      <c r="D19" s="23" t="s">
        <v>433</v>
      </c>
      <c r="E19" s="48" t="s">
        <v>434</v>
      </c>
      <c r="F19" s="48" t="s">
        <v>435</v>
      </c>
      <c r="G19" s="26" t="s">
        <v>426</v>
      </c>
      <c r="H19" s="26" t="s">
        <v>426</v>
      </c>
      <c r="I19" s="49" t="s">
        <v>44</v>
      </c>
      <c r="J19" s="216">
        <f>11462+366157</f>
        <v>377619</v>
      </c>
      <c r="K19" s="34">
        <f>11462+14326</f>
        <v>25788</v>
      </c>
      <c r="L19" s="34">
        <f>0</f>
        <v>0</v>
      </c>
      <c r="M19" s="34">
        <v>0</v>
      </c>
      <c r="N19" s="34">
        <v>344089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>
        <f t="shared" si="0"/>
        <v>344089</v>
      </c>
      <c r="Z19" s="31">
        <f>344090</f>
        <v>344090</v>
      </c>
      <c r="AA19" s="226" t="s">
        <v>427</v>
      </c>
      <c r="AB19" s="33">
        <v>44209</v>
      </c>
      <c r="AC19" s="36">
        <v>44243</v>
      </c>
      <c r="AD19" s="31"/>
      <c r="AE19" s="35"/>
      <c r="AF19" s="33"/>
      <c r="AG19" s="36"/>
      <c r="AH19" s="34"/>
      <c r="AI19" s="32"/>
      <c r="AJ19" s="33"/>
      <c r="AK19" s="36"/>
      <c r="AL19" s="34"/>
      <c r="AM19" s="32"/>
      <c r="AN19" s="33"/>
      <c r="AO19" s="36"/>
      <c r="AP19" s="34"/>
      <c r="AQ19" s="32"/>
      <c r="AR19" s="33"/>
      <c r="AS19" s="36"/>
      <c r="AT19" s="36"/>
      <c r="AU19" s="36"/>
      <c r="AV19" s="36"/>
      <c r="AW19" s="36"/>
      <c r="AX19" s="37">
        <f t="shared" si="1"/>
        <v>344090</v>
      </c>
      <c r="AY19" s="38">
        <f t="shared" si="2"/>
        <v>1</v>
      </c>
    </row>
    <row r="20" spans="2:51" s="39" customFormat="1">
      <c r="B20" s="22">
        <v>5</v>
      </c>
      <c r="C20" s="22" t="s">
        <v>39</v>
      </c>
      <c r="D20" s="23" t="s">
        <v>436</v>
      </c>
      <c r="E20" s="48" t="s">
        <v>437</v>
      </c>
      <c r="F20" s="48" t="s">
        <v>435</v>
      </c>
      <c r="G20" s="26" t="s">
        <v>426</v>
      </c>
      <c r="H20" s="26" t="s">
        <v>430</v>
      </c>
      <c r="I20" s="49" t="s">
        <v>44</v>
      </c>
      <c r="J20" s="216">
        <f>670476</f>
        <v>670476</v>
      </c>
      <c r="K20" s="34">
        <f>577</f>
        <v>577</v>
      </c>
      <c r="L20" s="34">
        <f>13398</f>
        <v>13398</v>
      </c>
      <c r="M20" s="34">
        <v>0</v>
      </c>
      <c r="N20" s="34">
        <v>0</v>
      </c>
      <c r="O20" s="34">
        <v>69817</v>
      </c>
      <c r="P20" s="34">
        <f>40969</f>
        <v>40969</v>
      </c>
      <c r="Q20" s="34">
        <f>2100+35948</f>
        <v>38048</v>
      </c>
      <c r="R20" s="225">
        <v>36548</v>
      </c>
      <c r="S20" s="34">
        <v>12161</v>
      </c>
      <c r="T20" s="34">
        <v>30310</v>
      </c>
      <c r="U20" s="34">
        <v>2100</v>
      </c>
      <c r="V20" s="34"/>
      <c r="W20" s="34"/>
      <c r="X20" s="34"/>
      <c r="Y20" s="34">
        <f t="shared" si="0"/>
        <v>229953</v>
      </c>
      <c r="Z20" s="31">
        <f>27899+627974</f>
        <v>655873</v>
      </c>
      <c r="AA20" s="226" t="s">
        <v>427</v>
      </c>
      <c r="AB20" s="33">
        <v>44209</v>
      </c>
      <c r="AC20" s="36">
        <v>44243</v>
      </c>
      <c r="AD20" s="31">
        <v>-11099</v>
      </c>
      <c r="AE20" s="35">
        <v>24</v>
      </c>
      <c r="AF20" s="33">
        <v>44363</v>
      </c>
      <c r="AG20" s="36">
        <v>44372</v>
      </c>
      <c r="AH20" s="34"/>
      <c r="AI20" s="32"/>
      <c r="AJ20" s="33"/>
      <c r="AK20" s="36"/>
      <c r="AL20" s="34"/>
      <c r="AM20" s="32"/>
      <c r="AN20" s="33"/>
      <c r="AO20" s="36"/>
      <c r="AP20" s="34"/>
      <c r="AQ20" s="32"/>
      <c r="AR20" s="33"/>
      <c r="AS20" s="36"/>
      <c r="AT20" s="36"/>
      <c r="AU20" s="36"/>
      <c r="AV20" s="36"/>
      <c r="AW20" s="36"/>
      <c r="AX20" s="37">
        <f t="shared" si="1"/>
        <v>644774</v>
      </c>
      <c r="AY20" s="38">
        <f t="shared" si="2"/>
        <v>414821</v>
      </c>
    </row>
    <row r="21" spans="2:51" s="39" customFormat="1" ht="22.5">
      <c r="B21" s="22">
        <v>6</v>
      </c>
      <c r="C21" s="22" t="s">
        <v>39</v>
      </c>
      <c r="D21" s="23" t="s">
        <v>438</v>
      </c>
      <c r="E21" s="48" t="s">
        <v>439</v>
      </c>
      <c r="F21" s="48" t="s">
        <v>158</v>
      </c>
      <c r="G21" s="26" t="s">
        <v>426</v>
      </c>
      <c r="H21" s="26" t="s">
        <v>430</v>
      </c>
      <c r="I21" s="49" t="s">
        <v>44</v>
      </c>
      <c r="J21" s="216">
        <f>14678</f>
        <v>14678</v>
      </c>
      <c r="K21" s="34">
        <f>277</f>
        <v>277</v>
      </c>
      <c r="L21" s="34">
        <f>1</f>
        <v>1</v>
      </c>
      <c r="M21" s="34">
        <v>0</v>
      </c>
      <c r="N21" s="34">
        <v>0</v>
      </c>
      <c r="O21" s="34">
        <v>9600</v>
      </c>
      <c r="P21" s="34"/>
      <c r="Q21" s="34"/>
      <c r="R21" s="34"/>
      <c r="S21" s="34"/>
      <c r="T21" s="34"/>
      <c r="U21" s="34"/>
      <c r="V21" s="34"/>
      <c r="W21" s="34"/>
      <c r="X21" s="34"/>
      <c r="Y21" s="34">
        <f t="shared" si="0"/>
        <v>9600</v>
      </c>
      <c r="Z21" s="31">
        <f>4800</f>
        <v>4800</v>
      </c>
      <c r="AA21" s="226" t="s">
        <v>427</v>
      </c>
      <c r="AB21" s="33">
        <v>44209</v>
      </c>
      <c r="AC21" s="36">
        <v>44243</v>
      </c>
      <c r="AD21" s="31">
        <f>9600</f>
        <v>9600</v>
      </c>
      <c r="AE21" s="226" t="s">
        <v>440</v>
      </c>
      <c r="AF21" s="33">
        <v>44253</v>
      </c>
      <c r="AG21" s="36">
        <v>44281</v>
      </c>
      <c r="AH21" s="34"/>
      <c r="AI21" s="32"/>
      <c r="AJ21" s="33"/>
      <c r="AK21" s="36"/>
      <c r="AL21" s="34"/>
      <c r="AM21" s="32"/>
      <c r="AN21" s="33"/>
      <c r="AO21" s="36"/>
      <c r="AP21" s="34"/>
      <c r="AQ21" s="32"/>
      <c r="AR21" s="33"/>
      <c r="AS21" s="36"/>
      <c r="AT21" s="36"/>
      <c r="AU21" s="36"/>
      <c r="AV21" s="36"/>
      <c r="AW21" s="36"/>
      <c r="AX21" s="37">
        <f t="shared" si="1"/>
        <v>14400</v>
      </c>
      <c r="AY21" s="38">
        <f t="shared" si="2"/>
        <v>4800</v>
      </c>
    </row>
    <row r="22" spans="2:51" s="39" customFormat="1" ht="22.5">
      <c r="B22" s="22">
        <v>7</v>
      </c>
      <c r="C22" s="22" t="s">
        <v>39</v>
      </c>
      <c r="D22" s="23" t="s">
        <v>441</v>
      </c>
      <c r="E22" s="48" t="s">
        <v>442</v>
      </c>
      <c r="F22" s="48" t="s">
        <v>158</v>
      </c>
      <c r="G22" s="26" t="s">
        <v>426</v>
      </c>
      <c r="H22" s="26" t="s">
        <v>443</v>
      </c>
      <c r="I22" s="49" t="s">
        <v>52</v>
      </c>
      <c r="J22" s="216">
        <f>1567287</f>
        <v>1567287</v>
      </c>
      <c r="K22" s="34">
        <f>16439</f>
        <v>16439</v>
      </c>
      <c r="L22" s="34">
        <f>617430</f>
        <v>617430</v>
      </c>
      <c r="M22" s="34">
        <v>0</v>
      </c>
      <c r="N22" s="34">
        <v>0</v>
      </c>
      <c r="O22" s="34">
        <v>103445</v>
      </c>
      <c r="P22" s="34">
        <f>0</f>
        <v>0</v>
      </c>
      <c r="Q22" s="34">
        <f>0</f>
        <v>0</v>
      </c>
      <c r="R22" s="225">
        <v>127574</v>
      </c>
      <c r="S22" s="34"/>
      <c r="T22" s="34"/>
      <c r="U22" s="34">
        <v>137927</v>
      </c>
      <c r="V22" s="34"/>
      <c r="W22" s="34"/>
      <c r="X22" s="34"/>
      <c r="Y22" s="34">
        <f t="shared" si="0"/>
        <v>368946</v>
      </c>
      <c r="Z22" s="31">
        <f>932990</f>
        <v>932990</v>
      </c>
      <c r="AA22" s="226" t="s">
        <v>427</v>
      </c>
      <c r="AB22" s="33">
        <v>44209</v>
      </c>
      <c r="AC22" s="36">
        <v>44243</v>
      </c>
      <c r="AD22" s="31">
        <v>-669249</v>
      </c>
      <c r="AE22" s="35">
        <v>10</v>
      </c>
      <c r="AF22" s="33">
        <v>44299</v>
      </c>
      <c r="AG22" s="36">
        <v>44316</v>
      </c>
      <c r="AH22" s="31">
        <v>40000</v>
      </c>
      <c r="AI22" s="32">
        <v>11</v>
      </c>
      <c r="AJ22" s="33">
        <v>44323</v>
      </c>
      <c r="AK22" s="36">
        <v>44334</v>
      </c>
      <c r="AL22" s="31">
        <v>66000</v>
      </c>
      <c r="AM22" s="32">
        <v>38</v>
      </c>
      <c r="AN22" s="33">
        <v>44433</v>
      </c>
      <c r="AO22" s="36">
        <v>44449</v>
      </c>
      <c r="AP22" s="31"/>
      <c r="AQ22" s="32"/>
      <c r="AR22" s="27"/>
      <c r="AS22" s="36"/>
      <c r="AT22" s="36"/>
      <c r="AU22" s="36"/>
      <c r="AV22" s="36"/>
      <c r="AW22" s="36"/>
      <c r="AX22" s="37">
        <f t="shared" si="1"/>
        <v>369741</v>
      </c>
      <c r="AY22" s="38">
        <f t="shared" si="2"/>
        <v>795</v>
      </c>
    </row>
    <row r="23" spans="2:51" s="39" customFormat="1" ht="22.5">
      <c r="B23" s="22">
        <v>8</v>
      </c>
      <c r="C23" s="22" t="s">
        <v>39</v>
      </c>
      <c r="D23" s="23" t="s">
        <v>444</v>
      </c>
      <c r="E23" s="48" t="s">
        <v>445</v>
      </c>
      <c r="F23" s="48" t="s">
        <v>158</v>
      </c>
      <c r="G23" s="26" t="s">
        <v>426</v>
      </c>
      <c r="H23" s="73" t="s">
        <v>446</v>
      </c>
      <c r="I23" s="49" t="s">
        <v>44</v>
      </c>
      <c r="J23" s="216">
        <v>44239</v>
      </c>
      <c r="K23" s="34">
        <f>2623</f>
        <v>2623</v>
      </c>
      <c r="L23" s="34">
        <f>0</f>
        <v>0</v>
      </c>
      <c r="M23" s="34">
        <v>0</v>
      </c>
      <c r="N23" s="34">
        <v>0</v>
      </c>
      <c r="O23" s="34">
        <v>0</v>
      </c>
      <c r="P23" s="34"/>
      <c r="Q23" s="34"/>
      <c r="R23" s="34"/>
      <c r="S23" s="34"/>
      <c r="T23" s="34"/>
      <c r="U23" s="34"/>
      <c r="V23" s="34"/>
      <c r="W23" s="34"/>
      <c r="X23" s="34"/>
      <c r="Y23" s="34">
        <f t="shared" si="0"/>
        <v>0</v>
      </c>
      <c r="Z23" s="31">
        <f>41615</f>
        <v>41615</v>
      </c>
      <c r="AA23" s="226" t="s">
        <v>427</v>
      </c>
      <c r="AB23" s="33">
        <v>44209</v>
      </c>
      <c r="AC23" s="36">
        <v>44243</v>
      </c>
      <c r="AD23" s="31">
        <v>-29725</v>
      </c>
      <c r="AE23" s="35">
        <v>24</v>
      </c>
      <c r="AF23" s="33">
        <v>44363</v>
      </c>
      <c r="AG23" s="36">
        <v>44372</v>
      </c>
      <c r="AH23" s="31"/>
      <c r="AI23" s="32"/>
      <c r="AJ23" s="27"/>
      <c r="AK23" s="36"/>
      <c r="AL23" s="31"/>
      <c r="AM23" s="32"/>
      <c r="AN23" s="27"/>
      <c r="AO23" s="36"/>
      <c r="AP23" s="31"/>
      <c r="AQ23" s="32"/>
      <c r="AR23" s="27"/>
      <c r="AS23" s="36"/>
      <c r="AT23" s="36"/>
      <c r="AU23" s="36"/>
      <c r="AV23" s="36"/>
      <c r="AW23" s="36"/>
      <c r="AX23" s="37">
        <f t="shared" si="1"/>
        <v>11890</v>
      </c>
      <c r="AY23" s="38">
        <f t="shared" si="2"/>
        <v>11890</v>
      </c>
    </row>
    <row r="24" spans="2:51" s="39" customFormat="1" ht="23.25" customHeight="1">
      <c r="B24" s="22">
        <v>9</v>
      </c>
      <c r="C24" s="22" t="s">
        <v>39</v>
      </c>
      <c r="D24" s="23" t="s">
        <v>447</v>
      </c>
      <c r="E24" s="48" t="s">
        <v>448</v>
      </c>
      <c r="F24" s="48" t="s">
        <v>146</v>
      </c>
      <c r="G24" s="26" t="s">
        <v>426</v>
      </c>
      <c r="H24" s="73" t="s">
        <v>449</v>
      </c>
      <c r="I24" s="49" t="s">
        <v>44</v>
      </c>
      <c r="J24" s="216">
        <f>6338498</f>
        <v>6338498</v>
      </c>
      <c r="K24" s="34">
        <f>1354638</f>
        <v>1354638</v>
      </c>
      <c r="L24" s="34">
        <f>2000427</f>
        <v>2000427</v>
      </c>
      <c r="M24" s="34">
        <v>0</v>
      </c>
      <c r="N24" s="34">
        <v>556706</v>
      </c>
      <c r="O24" s="34">
        <v>273886</v>
      </c>
      <c r="P24" s="34">
        <f>353739</f>
        <v>353739</v>
      </c>
      <c r="Q24" s="34">
        <f>347787</f>
        <v>347787</v>
      </c>
      <c r="R24" s="225">
        <v>418756</v>
      </c>
      <c r="S24" s="34">
        <v>450705</v>
      </c>
      <c r="T24" s="34">
        <v>387471</v>
      </c>
      <c r="U24" s="34"/>
      <c r="V24" s="34"/>
      <c r="W24" s="34"/>
      <c r="X24" s="34"/>
      <c r="Y24" s="34">
        <f t="shared" si="0"/>
        <v>2789050</v>
      </c>
      <c r="Z24" s="31">
        <f>20291+1626150</f>
        <v>1646441</v>
      </c>
      <c r="AA24" s="226" t="s">
        <v>427</v>
      </c>
      <c r="AB24" s="33">
        <v>44209</v>
      </c>
      <c r="AC24" s="36">
        <v>44243</v>
      </c>
      <c r="AD24" s="31">
        <f>542017</f>
        <v>542017</v>
      </c>
      <c r="AE24" s="35">
        <v>10</v>
      </c>
      <c r="AF24" s="33">
        <v>44299</v>
      </c>
      <c r="AG24" s="36">
        <v>44316</v>
      </c>
      <c r="AH24" s="31">
        <v>770777</v>
      </c>
      <c r="AI24" s="32">
        <v>24</v>
      </c>
      <c r="AJ24" s="33">
        <v>44363</v>
      </c>
      <c r="AK24" s="36">
        <v>44372</v>
      </c>
      <c r="AL24" s="31">
        <f>-10000+5000+5000</f>
        <v>0</v>
      </c>
      <c r="AM24" s="32">
        <v>34</v>
      </c>
      <c r="AN24" s="33">
        <v>44411</v>
      </c>
      <c r="AO24" s="36">
        <v>44449</v>
      </c>
      <c r="AP24" s="31">
        <v>50000</v>
      </c>
      <c r="AQ24" s="32">
        <v>38</v>
      </c>
      <c r="AR24" s="33">
        <v>44433</v>
      </c>
      <c r="AS24" s="36">
        <v>44449</v>
      </c>
      <c r="AT24" s="36"/>
      <c r="AU24" s="36"/>
      <c r="AV24" s="36"/>
      <c r="AW24" s="36"/>
      <c r="AX24" s="37">
        <f t="shared" si="1"/>
        <v>3009235</v>
      </c>
      <c r="AY24" s="38">
        <f t="shared" si="2"/>
        <v>220185</v>
      </c>
    </row>
    <row r="25" spans="2:51" s="39" customFormat="1" ht="22.5">
      <c r="B25" s="22">
        <v>10</v>
      </c>
      <c r="C25" s="22" t="s">
        <v>39</v>
      </c>
      <c r="D25" s="23" t="s">
        <v>450</v>
      </c>
      <c r="E25" s="48" t="s">
        <v>451</v>
      </c>
      <c r="F25" s="48" t="s">
        <v>146</v>
      </c>
      <c r="G25" s="26" t="s">
        <v>426</v>
      </c>
      <c r="H25" s="73" t="s">
        <v>452</v>
      </c>
      <c r="I25" s="49" t="s">
        <v>52</v>
      </c>
      <c r="J25" s="216">
        <f>1371520</f>
        <v>1371520</v>
      </c>
      <c r="K25" s="34">
        <f>9566</f>
        <v>9566</v>
      </c>
      <c r="L25" s="34">
        <f>608844</f>
        <v>608844</v>
      </c>
      <c r="M25" s="34">
        <v>0</v>
      </c>
      <c r="N25" s="34">
        <v>241074</v>
      </c>
      <c r="O25" s="34">
        <v>91533</v>
      </c>
      <c r="P25" s="34"/>
      <c r="Q25" s="34">
        <f>800+102975</f>
        <v>103775</v>
      </c>
      <c r="R25" s="225">
        <v>800</v>
      </c>
      <c r="S25" s="34">
        <v>800</v>
      </c>
      <c r="T25" s="34">
        <v>800</v>
      </c>
      <c r="U25" s="34">
        <v>115216</v>
      </c>
      <c r="V25" s="34"/>
      <c r="W25" s="34"/>
      <c r="X25" s="34"/>
      <c r="Y25" s="34">
        <f t="shared" si="0"/>
        <v>553998</v>
      </c>
      <c r="Z25" s="31">
        <f>8644+720321</f>
        <v>728965</v>
      </c>
      <c r="AA25" s="226" t="s">
        <v>427</v>
      </c>
      <c r="AB25" s="33">
        <v>44209</v>
      </c>
      <c r="AC25" s="36">
        <v>44243</v>
      </c>
      <c r="AD25" s="31">
        <f>6905-6905</f>
        <v>0</v>
      </c>
      <c r="AE25" s="35">
        <v>10</v>
      </c>
      <c r="AF25" s="33">
        <v>44299</v>
      </c>
      <c r="AG25" s="36">
        <v>44316</v>
      </c>
      <c r="AH25" s="31">
        <v>-265000</v>
      </c>
      <c r="AI25" s="32">
        <v>24</v>
      </c>
      <c r="AJ25" s="33">
        <v>44363</v>
      </c>
      <c r="AK25" s="36">
        <v>44372</v>
      </c>
      <c r="AL25" s="31">
        <f>-10000+5000+5000</f>
        <v>0</v>
      </c>
      <c r="AM25" s="32">
        <v>34</v>
      </c>
      <c r="AN25" s="33">
        <v>44411</v>
      </c>
      <c r="AO25" s="36">
        <v>44449</v>
      </c>
      <c r="AP25" s="31">
        <v>120000</v>
      </c>
      <c r="AQ25" s="32">
        <v>38</v>
      </c>
      <c r="AR25" s="33">
        <v>44433</v>
      </c>
      <c r="AS25" s="36">
        <v>44449</v>
      </c>
      <c r="AT25" s="36"/>
      <c r="AU25" s="36"/>
      <c r="AV25" s="36"/>
      <c r="AW25" s="36"/>
      <c r="AX25" s="37">
        <f t="shared" si="1"/>
        <v>583965</v>
      </c>
      <c r="AY25" s="38">
        <f t="shared" si="2"/>
        <v>29967</v>
      </c>
    </row>
    <row r="26" spans="2:51" s="39" customFormat="1" ht="22.5">
      <c r="B26" s="22">
        <v>11</v>
      </c>
      <c r="C26" s="22" t="s">
        <v>39</v>
      </c>
      <c r="D26" s="23" t="s">
        <v>453</v>
      </c>
      <c r="E26" s="48" t="s">
        <v>454</v>
      </c>
      <c r="F26" s="48" t="s">
        <v>146</v>
      </c>
      <c r="G26" s="26" t="s">
        <v>426</v>
      </c>
      <c r="H26" s="73" t="s">
        <v>426</v>
      </c>
      <c r="I26" s="49" t="s">
        <v>44</v>
      </c>
      <c r="J26" s="216">
        <f>237431</f>
        <v>237431</v>
      </c>
      <c r="K26" s="34">
        <f>203167</f>
        <v>203167</v>
      </c>
      <c r="L26" s="34">
        <f>0</f>
        <v>0</v>
      </c>
      <c r="M26" s="34">
        <v>0</v>
      </c>
      <c r="N26" s="34">
        <v>19142</v>
      </c>
      <c r="O26" s="34">
        <f>0</f>
        <v>0</v>
      </c>
      <c r="P26" s="34"/>
      <c r="Q26" s="34"/>
      <c r="R26" s="34"/>
      <c r="S26" s="34"/>
      <c r="T26" s="34"/>
      <c r="U26" s="34"/>
      <c r="V26" s="34"/>
      <c r="W26" s="34"/>
      <c r="X26" s="34"/>
      <c r="Y26" s="34">
        <f t="shared" si="0"/>
        <v>19142</v>
      </c>
      <c r="Z26" s="31">
        <f>19143+7414+4414</f>
        <v>30971</v>
      </c>
      <c r="AA26" s="226" t="s">
        <v>427</v>
      </c>
      <c r="AB26" s="33">
        <v>44209</v>
      </c>
      <c r="AC26" s="36">
        <v>44243</v>
      </c>
      <c r="AD26" s="31">
        <v>3292</v>
      </c>
      <c r="AE26" s="35">
        <v>24</v>
      </c>
      <c r="AF26" s="33">
        <v>44363</v>
      </c>
      <c r="AG26" s="36">
        <v>44372</v>
      </c>
      <c r="AH26" s="31"/>
      <c r="AI26" s="32"/>
      <c r="AJ26" s="27"/>
      <c r="AK26" s="36"/>
      <c r="AL26" s="31"/>
      <c r="AM26" s="32"/>
      <c r="AN26" s="27"/>
      <c r="AO26" s="36"/>
      <c r="AP26" s="31"/>
      <c r="AQ26" s="32"/>
      <c r="AR26" s="27"/>
      <c r="AS26" s="36"/>
      <c r="AT26" s="36"/>
      <c r="AU26" s="36"/>
      <c r="AV26" s="36"/>
      <c r="AW26" s="36"/>
      <c r="AX26" s="37">
        <f t="shared" si="1"/>
        <v>34263</v>
      </c>
      <c r="AY26" s="38">
        <f t="shared" si="2"/>
        <v>15121</v>
      </c>
    </row>
    <row r="27" spans="2:51" s="39" customFormat="1" ht="22.5">
      <c r="B27" s="22">
        <v>12</v>
      </c>
      <c r="C27" s="22" t="s">
        <v>39</v>
      </c>
      <c r="D27" s="23" t="s">
        <v>455</v>
      </c>
      <c r="E27" s="48" t="s">
        <v>456</v>
      </c>
      <c r="F27" s="48" t="s">
        <v>146</v>
      </c>
      <c r="G27" s="26" t="s">
        <v>426</v>
      </c>
      <c r="H27" s="73" t="s">
        <v>457</v>
      </c>
      <c r="I27" s="49" t="s">
        <v>44</v>
      </c>
      <c r="J27" s="216">
        <f>1130643</f>
        <v>1130643</v>
      </c>
      <c r="K27" s="34">
        <f>434552</f>
        <v>434552</v>
      </c>
      <c r="L27" s="34">
        <f>87263</f>
        <v>87263</v>
      </c>
      <c r="M27" s="34">
        <f>0</f>
        <v>0</v>
      </c>
      <c r="N27" s="34">
        <v>105193</v>
      </c>
      <c r="O27" s="34">
        <v>73899</v>
      </c>
      <c r="P27" s="34">
        <f>800+136999</f>
        <v>137799</v>
      </c>
      <c r="Q27" s="34">
        <f>800+122288</f>
        <v>123088</v>
      </c>
      <c r="R27" s="225">
        <v>92310</v>
      </c>
      <c r="S27" s="34">
        <v>30584</v>
      </c>
      <c r="T27" s="34"/>
      <c r="U27" s="34"/>
      <c r="V27" s="34"/>
      <c r="W27" s="34"/>
      <c r="X27" s="34"/>
      <c r="Y27" s="34">
        <f t="shared" si="0"/>
        <v>562873</v>
      </c>
      <c r="Z27" s="31">
        <f>20990+669971</f>
        <v>690961</v>
      </c>
      <c r="AA27" s="226" t="s">
        <v>427</v>
      </c>
      <c r="AB27" s="33">
        <v>44209</v>
      </c>
      <c r="AC27" s="36">
        <v>44243</v>
      </c>
      <c r="AD27" s="31">
        <v>-16005</v>
      </c>
      <c r="AE27" s="35">
        <v>10</v>
      </c>
      <c r="AF27" s="33">
        <v>44299</v>
      </c>
      <c r="AG27" s="36">
        <v>44316</v>
      </c>
      <c r="AH27" s="31"/>
      <c r="AI27" s="32"/>
      <c r="AJ27" s="27"/>
      <c r="AK27" s="36"/>
      <c r="AL27" s="31"/>
      <c r="AM27" s="32"/>
      <c r="AN27" s="27"/>
      <c r="AO27" s="36"/>
      <c r="AP27" s="31"/>
      <c r="AQ27" s="32"/>
      <c r="AR27" s="27"/>
      <c r="AS27" s="36"/>
      <c r="AT27" s="36"/>
      <c r="AU27" s="36"/>
      <c r="AV27" s="36"/>
      <c r="AW27" s="36"/>
      <c r="AX27" s="37">
        <f t="shared" si="1"/>
        <v>674956</v>
      </c>
      <c r="AY27" s="38">
        <f t="shared" si="2"/>
        <v>112083</v>
      </c>
    </row>
    <row r="28" spans="2:51" s="39" customFormat="1" ht="22.5">
      <c r="B28" s="22">
        <v>13</v>
      </c>
      <c r="C28" s="22" t="s">
        <v>39</v>
      </c>
      <c r="D28" s="23" t="s">
        <v>458</v>
      </c>
      <c r="E28" s="48" t="s">
        <v>459</v>
      </c>
      <c r="F28" s="48" t="s">
        <v>146</v>
      </c>
      <c r="G28" s="26" t="s">
        <v>426</v>
      </c>
      <c r="H28" s="73" t="s">
        <v>426</v>
      </c>
      <c r="I28" s="49" t="s">
        <v>44</v>
      </c>
      <c r="J28" s="216">
        <f>4590307</f>
        <v>4590307</v>
      </c>
      <c r="K28" s="34">
        <f>4480641</f>
        <v>4480641</v>
      </c>
      <c r="L28" s="34">
        <f>0</f>
        <v>0</v>
      </c>
      <c r="M28" s="34">
        <f>0</f>
        <v>0</v>
      </c>
      <c r="N28" s="34">
        <v>340</v>
      </c>
      <c r="O28" s="34">
        <f>0</f>
        <v>0</v>
      </c>
      <c r="P28" s="34"/>
      <c r="Q28" s="34"/>
      <c r="R28" s="34"/>
      <c r="S28" s="34"/>
      <c r="T28" s="34"/>
      <c r="U28" s="34"/>
      <c r="V28" s="34"/>
      <c r="W28" s="34"/>
      <c r="X28" s="34"/>
      <c r="Y28" s="34">
        <f t="shared" si="0"/>
        <v>340</v>
      </c>
      <c r="Z28" s="31">
        <f>67854+41811</f>
        <v>109665</v>
      </c>
      <c r="AA28" s="226" t="s">
        <v>427</v>
      </c>
      <c r="AB28" s="33">
        <v>44209</v>
      </c>
      <c r="AC28" s="36">
        <v>44243</v>
      </c>
      <c r="AD28" s="31"/>
      <c r="AE28" s="35"/>
      <c r="AF28" s="27"/>
      <c r="AG28" s="36"/>
      <c r="AH28" s="31"/>
      <c r="AI28" s="32"/>
      <c r="AJ28" s="27"/>
      <c r="AK28" s="36"/>
      <c r="AL28" s="31"/>
      <c r="AM28" s="32"/>
      <c r="AN28" s="27"/>
      <c r="AO28" s="36"/>
      <c r="AP28" s="31"/>
      <c r="AQ28" s="32"/>
      <c r="AR28" s="27"/>
      <c r="AS28" s="36"/>
      <c r="AT28" s="36"/>
      <c r="AU28" s="36"/>
      <c r="AV28" s="36"/>
      <c r="AW28" s="36"/>
      <c r="AX28" s="37">
        <f t="shared" si="1"/>
        <v>109665</v>
      </c>
      <c r="AY28" s="38">
        <f t="shared" si="2"/>
        <v>109325</v>
      </c>
    </row>
    <row r="29" spans="2:51" s="39" customFormat="1" ht="22.5">
      <c r="B29" s="22">
        <v>14</v>
      </c>
      <c r="C29" s="22" t="s">
        <v>39</v>
      </c>
      <c r="D29" s="23" t="s">
        <v>460</v>
      </c>
      <c r="E29" s="48" t="s">
        <v>461</v>
      </c>
      <c r="F29" s="48" t="s">
        <v>146</v>
      </c>
      <c r="G29" s="26" t="s">
        <v>426</v>
      </c>
      <c r="H29" s="73" t="s">
        <v>426</v>
      </c>
      <c r="I29" s="49" t="s">
        <v>44</v>
      </c>
      <c r="J29" s="216">
        <f>5700748</f>
        <v>5700748</v>
      </c>
      <c r="K29" s="34">
        <f>5581804</f>
        <v>5581804</v>
      </c>
      <c r="L29" s="34">
        <f>0</f>
        <v>0</v>
      </c>
      <c r="M29" s="34">
        <f>0</f>
        <v>0</v>
      </c>
      <c r="N29" s="34">
        <f>0</f>
        <v>0</v>
      </c>
      <c r="O29" s="34">
        <v>947</v>
      </c>
      <c r="P29" s="34">
        <f>3175</f>
        <v>3175</v>
      </c>
      <c r="Q29" s="34">
        <f>0</f>
        <v>0</v>
      </c>
      <c r="R29" s="225">
        <v>3528</v>
      </c>
      <c r="S29" s="34"/>
      <c r="T29" s="34">
        <v>1187</v>
      </c>
      <c r="U29" s="34">
        <v>4218</v>
      </c>
      <c r="V29" s="34"/>
      <c r="W29" s="34"/>
      <c r="X29" s="34"/>
      <c r="Y29" s="34">
        <f t="shared" si="0"/>
        <v>13055</v>
      </c>
      <c r="Z29" s="31">
        <f>95588+23356</f>
        <v>118944</v>
      </c>
      <c r="AA29" s="226" t="s">
        <v>427</v>
      </c>
      <c r="AB29" s="33">
        <v>44209</v>
      </c>
      <c r="AC29" s="36">
        <v>44243</v>
      </c>
      <c r="AD29" s="31">
        <v>-50000</v>
      </c>
      <c r="AE29" s="35">
        <v>10</v>
      </c>
      <c r="AF29" s="33">
        <v>44299</v>
      </c>
      <c r="AG29" s="36">
        <v>44316</v>
      </c>
      <c r="AH29" s="31"/>
      <c r="AI29" s="32"/>
      <c r="AJ29" s="27"/>
      <c r="AK29" s="36"/>
      <c r="AL29" s="31"/>
      <c r="AM29" s="32"/>
      <c r="AN29" s="27"/>
      <c r="AO29" s="36"/>
      <c r="AP29" s="31"/>
      <c r="AQ29" s="32"/>
      <c r="AR29" s="27"/>
      <c r="AS29" s="36"/>
      <c r="AT29" s="36"/>
      <c r="AU29" s="36"/>
      <c r="AV29" s="36"/>
      <c r="AW29" s="36"/>
      <c r="AX29" s="37">
        <f t="shared" si="1"/>
        <v>68944</v>
      </c>
      <c r="AY29" s="38">
        <f t="shared" si="2"/>
        <v>55889</v>
      </c>
    </row>
    <row r="30" spans="2:51" s="39" customFormat="1">
      <c r="B30" s="22">
        <v>15</v>
      </c>
      <c r="C30" s="22" t="s">
        <v>39</v>
      </c>
      <c r="D30" s="23" t="s">
        <v>462</v>
      </c>
      <c r="E30" s="48" t="s">
        <v>463</v>
      </c>
      <c r="F30" s="48" t="s">
        <v>146</v>
      </c>
      <c r="G30" s="26" t="s">
        <v>426</v>
      </c>
      <c r="H30" s="73" t="s">
        <v>446</v>
      </c>
      <c r="I30" s="49" t="s">
        <v>44</v>
      </c>
      <c r="J30" s="216">
        <f>5231488</f>
        <v>5231488</v>
      </c>
      <c r="K30" s="34">
        <f>5177411</f>
        <v>5177411</v>
      </c>
      <c r="L30" s="34">
        <f>0</f>
        <v>0</v>
      </c>
      <c r="M30" s="34">
        <f>0</f>
        <v>0</v>
      </c>
      <c r="N30" s="34">
        <f>0</f>
        <v>0</v>
      </c>
      <c r="O30" s="34">
        <f>0</f>
        <v>0</v>
      </c>
      <c r="P30" s="34"/>
      <c r="Q30" s="34"/>
      <c r="R30" s="34"/>
      <c r="S30" s="34"/>
      <c r="T30" s="34"/>
      <c r="U30" s="34"/>
      <c r="V30" s="34"/>
      <c r="W30" s="34"/>
      <c r="X30" s="34"/>
      <c r="Y30" s="34">
        <f t="shared" si="0"/>
        <v>0</v>
      </c>
      <c r="Z30" s="31">
        <f>53260+814</f>
        <v>54074</v>
      </c>
      <c r="AA30" s="226" t="s">
        <v>427</v>
      </c>
      <c r="AB30" s="33">
        <v>44209</v>
      </c>
      <c r="AC30" s="36">
        <v>44243</v>
      </c>
      <c r="AD30" s="31"/>
      <c r="AE30" s="35"/>
      <c r="AF30" s="27"/>
      <c r="AG30" s="36"/>
      <c r="AH30" s="31"/>
      <c r="AI30" s="32"/>
      <c r="AJ30" s="27"/>
      <c r="AK30" s="36"/>
      <c r="AL30" s="31"/>
      <c r="AM30" s="32"/>
      <c r="AN30" s="27"/>
      <c r="AO30" s="36"/>
      <c r="AP30" s="31"/>
      <c r="AQ30" s="32"/>
      <c r="AR30" s="27"/>
      <c r="AS30" s="36"/>
      <c r="AT30" s="36"/>
      <c r="AU30" s="36"/>
      <c r="AV30" s="36"/>
      <c r="AW30" s="36"/>
      <c r="AX30" s="37">
        <f t="shared" si="1"/>
        <v>54074</v>
      </c>
      <c r="AY30" s="38">
        <f t="shared" si="2"/>
        <v>54074</v>
      </c>
    </row>
    <row r="31" spans="2:51" s="39" customFormat="1" ht="22.5">
      <c r="B31" s="22">
        <v>16</v>
      </c>
      <c r="C31" s="22" t="s">
        <v>39</v>
      </c>
      <c r="D31" s="23" t="s">
        <v>464</v>
      </c>
      <c r="E31" s="48" t="s">
        <v>465</v>
      </c>
      <c r="F31" s="48" t="s">
        <v>146</v>
      </c>
      <c r="G31" s="26" t="s">
        <v>426</v>
      </c>
      <c r="H31" s="73" t="s">
        <v>466</v>
      </c>
      <c r="I31" s="49" t="s">
        <v>44</v>
      </c>
      <c r="J31" s="216">
        <f>706892-197811</f>
        <v>509081</v>
      </c>
      <c r="K31" s="34">
        <f>7081</f>
        <v>7081</v>
      </c>
      <c r="L31" s="34">
        <f>0</f>
        <v>0</v>
      </c>
      <c r="M31" s="34">
        <f>0</f>
        <v>0</v>
      </c>
      <c r="N31" s="34">
        <f>0</f>
        <v>0</v>
      </c>
      <c r="O31" s="34">
        <v>259606</v>
      </c>
      <c r="P31" s="34">
        <f>0</f>
        <v>0</v>
      </c>
      <c r="Q31" s="34">
        <f>180493</f>
        <v>180493</v>
      </c>
      <c r="R31" s="225">
        <v>41400</v>
      </c>
      <c r="S31" s="34"/>
      <c r="T31" s="34"/>
      <c r="U31" s="34"/>
      <c r="V31" s="34"/>
      <c r="W31" s="34"/>
      <c r="X31" s="34"/>
      <c r="Y31" s="34">
        <f t="shared" si="0"/>
        <v>481499</v>
      </c>
      <c r="Z31" s="31">
        <f>502000</f>
        <v>502000</v>
      </c>
      <c r="AA31" s="226" t="s">
        <v>427</v>
      </c>
      <c r="AB31" s="33">
        <v>44209</v>
      </c>
      <c r="AC31" s="36">
        <v>44243</v>
      </c>
      <c r="AD31" s="31"/>
      <c r="AE31" s="35"/>
      <c r="AF31" s="27"/>
      <c r="AG31" s="36"/>
      <c r="AH31" s="31"/>
      <c r="AI31" s="32"/>
      <c r="AJ31" s="27"/>
      <c r="AK31" s="36"/>
      <c r="AL31" s="31"/>
      <c r="AM31" s="32"/>
      <c r="AN31" s="27"/>
      <c r="AO31" s="36"/>
      <c r="AP31" s="31"/>
      <c r="AQ31" s="32"/>
      <c r="AR31" s="27"/>
      <c r="AS31" s="36"/>
      <c r="AT31" s="36"/>
      <c r="AU31" s="36"/>
      <c r="AV31" s="36"/>
      <c r="AW31" s="36"/>
      <c r="AX31" s="37">
        <f t="shared" si="1"/>
        <v>502000</v>
      </c>
      <c r="AY31" s="38">
        <f t="shared" si="2"/>
        <v>20501</v>
      </c>
    </row>
    <row r="32" spans="2:51" s="39" customFormat="1">
      <c r="B32" s="22">
        <v>17</v>
      </c>
      <c r="C32" s="22" t="s">
        <v>39</v>
      </c>
      <c r="D32" s="23" t="s">
        <v>467</v>
      </c>
      <c r="E32" s="48" t="s">
        <v>468</v>
      </c>
      <c r="F32" s="48" t="s">
        <v>146</v>
      </c>
      <c r="G32" s="26" t="s">
        <v>426</v>
      </c>
      <c r="H32" s="73" t="s">
        <v>469</v>
      </c>
      <c r="I32" s="49" t="s">
        <v>44</v>
      </c>
      <c r="J32" s="216">
        <f>3363212</f>
        <v>3363212</v>
      </c>
      <c r="K32" s="34">
        <f>3271746</f>
        <v>3271746</v>
      </c>
      <c r="L32" s="34">
        <f>0</f>
        <v>0</v>
      </c>
      <c r="M32" s="34">
        <f>0</f>
        <v>0</v>
      </c>
      <c r="N32" s="34">
        <v>11984</v>
      </c>
      <c r="O32" s="34">
        <f>0</f>
        <v>0</v>
      </c>
      <c r="P32" s="34">
        <f>447</f>
        <v>447</v>
      </c>
      <c r="Q32" s="34"/>
      <c r="R32" s="34"/>
      <c r="S32" s="34"/>
      <c r="T32" s="34"/>
      <c r="U32" s="34"/>
      <c r="V32" s="34"/>
      <c r="W32" s="34"/>
      <c r="X32" s="34"/>
      <c r="Y32" s="34">
        <f t="shared" si="0"/>
        <v>12431</v>
      </c>
      <c r="Z32" s="31">
        <f>39932+51534</f>
        <v>91466</v>
      </c>
      <c r="AA32" s="226" t="s">
        <v>427</v>
      </c>
      <c r="AB32" s="33">
        <v>44209</v>
      </c>
      <c r="AC32" s="36">
        <v>44243</v>
      </c>
      <c r="AD32" s="31">
        <v>-69034</v>
      </c>
      <c r="AE32" s="32">
        <v>23</v>
      </c>
      <c r="AF32" s="33">
        <v>44355</v>
      </c>
      <c r="AG32" s="36">
        <v>44369</v>
      </c>
      <c r="AH32" s="31"/>
      <c r="AI32" s="32"/>
      <c r="AJ32" s="27"/>
      <c r="AK32" s="36"/>
      <c r="AL32" s="228"/>
      <c r="AM32" s="228"/>
      <c r="AN32" s="228"/>
      <c r="AP32" s="31"/>
      <c r="AQ32" s="32"/>
      <c r="AR32" s="27"/>
      <c r="AS32" s="36"/>
      <c r="AT32" s="36"/>
      <c r="AU32" s="36"/>
      <c r="AV32" s="36"/>
      <c r="AW32" s="36"/>
      <c r="AX32" s="37">
        <f t="shared" si="1"/>
        <v>22432</v>
      </c>
      <c r="AY32" s="38">
        <f t="shared" si="2"/>
        <v>10001</v>
      </c>
    </row>
    <row r="33" spans="2:51" s="39" customFormat="1" ht="22.5">
      <c r="B33" s="22">
        <v>18</v>
      </c>
      <c r="C33" s="22" t="s">
        <v>39</v>
      </c>
      <c r="D33" s="23" t="s">
        <v>470</v>
      </c>
      <c r="E33" s="48" t="s">
        <v>471</v>
      </c>
      <c r="F33" s="48" t="s">
        <v>146</v>
      </c>
      <c r="G33" s="26" t="s">
        <v>426</v>
      </c>
      <c r="H33" s="73" t="s">
        <v>472</v>
      </c>
      <c r="I33" s="49" t="s">
        <v>44</v>
      </c>
      <c r="J33" s="216">
        <f>1057448</f>
        <v>1057448</v>
      </c>
      <c r="K33" s="34">
        <f>829027</f>
        <v>829027</v>
      </c>
      <c r="L33" s="34">
        <f>2740</f>
        <v>2740</v>
      </c>
      <c r="M33" s="34">
        <f>0</f>
        <v>0</v>
      </c>
      <c r="N33" s="34">
        <f>0</f>
        <v>0</v>
      </c>
      <c r="O33" s="34">
        <f>0</f>
        <v>0</v>
      </c>
      <c r="P33" s="34"/>
      <c r="Q33" s="34">
        <f>0</f>
        <v>0</v>
      </c>
      <c r="R33" s="34"/>
      <c r="S33" s="34"/>
      <c r="T33" s="34"/>
      <c r="U33" s="34"/>
      <c r="V33" s="34"/>
      <c r="W33" s="34"/>
      <c r="X33" s="34"/>
      <c r="Y33" s="34">
        <f t="shared" si="0"/>
        <v>0</v>
      </c>
      <c r="Z33" s="31">
        <f>68620+124490</f>
        <v>193110</v>
      </c>
      <c r="AA33" s="226" t="s">
        <v>427</v>
      </c>
      <c r="AB33" s="33">
        <v>44209</v>
      </c>
      <c r="AC33" s="36">
        <v>44243</v>
      </c>
      <c r="AD33" s="31">
        <v>32571</v>
      </c>
      <c r="AE33" s="35">
        <v>10</v>
      </c>
      <c r="AF33" s="33">
        <v>44299</v>
      </c>
      <c r="AG33" s="36">
        <v>44316</v>
      </c>
      <c r="AH33" s="31">
        <v>-210681</v>
      </c>
      <c r="AI33" s="32">
        <v>24</v>
      </c>
      <c r="AJ33" s="33">
        <v>44363</v>
      </c>
      <c r="AK33" s="36">
        <v>44372</v>
      </c>
      <c r="AL33" s="31"/>
      <c r="AM33" s="32"/>
      <c r="AN33" s="27"/>
      <c r="AO33" s="36"/>
      <c r="AP33" s="31"/>
      <c r="AQ33" s="32"/>
      <c r="AR33" s="27"/>
      <c r="AS33" s="36"/>
      <c r="AT33" s="36"/>
      <c r="AU33" s="36"/>
      <c r="AV33" s="36"/>
      <c r="AW33" s="36"/>
      <c r="AX33" s="37">
        <f t="shared" si="1"/>
        <v>15000</v>
      </c>
      <c r="AY33" s="38">
        <f t="shared" si="2"/>
        <v>15000</v>
      </c>
    </row>
    <row r="34" spans="2:51" s="39" customFormat="1" ht="22.5">
      <c r="B34" s="22">
        <v>19</v>
      </c>
      <c r="C34" s="22" t="s">
        <v>39</v>
      </c>
      <c r="D34" s="23" t="s">
        <v>473</v>
      </c>
      <c r="E34" s="48" t="s">
        <v>474</v>
      </c>
      <c r="F34" s="48" t="s">
        <v>146</v>
      </c>
      <c r="G34" s="26" t="s">
        <v>426</v>
      </c>
      <c r="H34" s="73" t="s">
        <v>457</v>
      </c>
      <c r="I34" s="49" t="s">
        <v>44</v>
      </c>
      <c r="J34" s="216">
        <f>1595553</f>
        <v>1595553</v>
      </c>
      <c r="K34" s="34">
        <f>87504</f>
        <v>87504</v>
      </c>
      <c r="L34" s="34">
        <f>19299</f>
        <v>19299</v>
      </c>
      <c r="M34" s="34">
        <f>0</f>
        <v>0</v>
      </c>
      <c r="N34" s="34">
        <v>210568</v>
      </c>
      <c r="O34" s="34">
        <v>102831</v>
      </c>
      <c r="P34" s="34">
        <f>1467+96165</f>
        <v>97632</v>
      </c>
      <c r="Q34" s="34">
        <f>1467+331103</f>
        <v>332570</v>
      </c>
      <c r="R34" s="225">
        <v>102105</v>
      </c>
      <c r="S34" s="34">
        <v>96955</v>
      </c>
      <c r="T34" s="34">
        <v>63876</v>
      </c>
      <c r="U34" s="34">
        <v>65503</v>
      </c>
      <c r="V34" s="34"/>
      <c r="W34" s="34"/>
      <c r="X34" s="34"/>
      <c r="Y34" s="34">
        <f t="shared" si="0"/>
        <v>1072040</v>
      </c>
      <c r="Z34" s="31">
        <f>15524+1469352</f>
        <v>1484876</v>
      </c>
      <c r="AA34" s="226" t="s">
        <v>427</v>
      </c>
      <c r="AB34" s="33">
        <v>44209</v>
      </c>
      <c r="AC34" s="36">
        <v>44243</v>
      </c>
      <c r="AD34" s="31">
        <v>45000</v>
      </c>
      <c r="AE34" s="35">
        <v>24</v>
      </c>
      <c r="AF34" s="33">
        <v>44363</v>
      </c>
      <c r="AG34" s="36">
        <v>44372</v>
      </c>
      <c r="AH34" s="31"/>
      <c r="AI34" s="32"/>
      <c r="AJ34" s="27"/>
      <c r="AK34" s="36"/>
      <c r="AL34" s="31"/>
      <c r="AM34" s="32"/>
      <c r="AN34" s="27"/>
      <c r="AO34" s="36"/>
      <c r="AP34" s="31"/>
      <c r="AQ34" s="32"/>
      <c r="AR34" s="27"/>
      <c r="AS34" s="36"/>
      <c r="AT34" s="36"/>
      <c r="AU34" s="36"/>
      <c r="AV34" s="36"/>
      <c r="AW34" s="36"/>
      <c r="AX34" s="37">
        <f t="shared" si="1"/>
        <v>1529876</v>
      </c>
      <c r="AY34" s="38">
        <f t="shared" si="2"/>
        <v>457836</v>
      </c>
    </row>
    <row r="35" spans="2:51" s="39" customFormat="1" ht="22.5">
      <c r="B35" s="22">
        <v>20</v>
      </c>
      <c r="C35" s="22" t="s">
        <v>39</v>
      </c>
      <c r="D35" s="23" t="s">
        <v>475</v>
      </c>
      <c r="E35" s="48" t="s">
        <v>476</v>
      </c>
      <c r="F35" s="48" t="s">
        <v>158</v>
      </c>
      <c r="G35" s="26" t="s">
        <v>426</v>
      </c>
      <c r="H35" s="73" t="s">
        <v>452</v>
      </c>
      <c r="I35" s="49" t="s">
        <v>44</v>
      </c>
      <c r="J35" s="216">
        <f>45143</f>
        <v>45143</v>
      </c>
      <c r="K35" s="34">
        <f>30893</f>
        <v>30893</v>
      </c>
      <c r="L35" s="34">
        <f>0</f>
        <v>0</v>
      </c>
      <c r="M35" s="34">
        <f>0</f>
        <v>0</v>
      </c>
      <c r="N35" s="34">
        <f>0</f>
        <v>0</v>
      </c>
      <c r="O35" s="34">
        <f>0</f>
        <v>0</v>
      </c>
      <c r="P35" s="34"/>
      <c r="Q35" s="34"/>
      <c r="R35" s="34"/>
      <c r="S35" s="34">
        <v>14250</v>
      </c>
      <c r="T35" s="34"/>
      <c r="U35" s="34"/>
      <c r="V35" s="34"/>
      <c r="W35" s="34"/>
      <c r="X35" s="34"/>
      <c r="Y35" s="34">
        <f t="shared" si="0"/>
        <v>14250</v>
      </c>
      <c r="Z35" s="31">
        <f>14250</f>
        <v>14250</v>
      </c>
      <c r="AA35" s="226" t="s">
        <v>427</v>
      </c>
      <c r="AB35" s="33">
        <v>44209</v>
      </c>
      <c r="AC35" s="36">
        <v>44243</v>
      </c>
      <c r="AD35" s="31"/>
      <c r="AE35" s="35"/>
      <c r="AF35" s="27"/>
      <c r="AG35" s="36"/>
      <c r="AH35" s="31"/>
      <c r="AI35" s="32"/>
      <c r="AJ35" s="27"/>
      <c r="AK35" s="36"/>
      <c r="AL35" s="31"/>
      <c r="AM35" s="32"/>
      <c r="AN35" s="27"/>
      <c r="AO35" s="36"/>
      <c r="AP35" s="31"/>
      <c r="AQ35" s="32"/>
      <c r="AR35" s="27"/>
      <c r="AS35" s="36"/>
      <c r="AT35" s="36"/>
      <c r="AU35" s="36"/>
      <c r="AV35" s="36"/>
      <c r="AW35" s="36"/>
      <c r="AX35" s="37">
        <f t="shared" si="1"/>
        <v>14250</v>
      </c>
      <c r="AY35" s="38">
        <f t="shared" si="2"/>
        <v>0</v>
      </c>
    </row>
    <row r="36" spans="2:51" s="39" customFormat="1" ht="22.5">
      <c r="B36" s="22">
        <v>21</v>
      </c>
      <c r="C36" s="22" t="s">
        <v>39</v>
      </c>
      <c r="D36" s="23" t="s">
        <v>477</v>
      </c>
      <c r="E36" s="48" t="s">
        <v>478</v>
      </c>
      <c r="F36" s="48" t="s">
        <v>146</v>
      </c>
      <c r="G36" s="26" t="s">
        <v>426</v>
      </c>
      <c r="H36" s="73" t="s">
        <v>472</v>
      </c>
      <c r="I36" s="49" t="s">
        <v>44</v>
      </c>
      <c r="J36" s="216">
        <f>4639030</f>
        <v>4639030</v>
      </c>
      <c r="K36" s="34">
        <f>3916953</f>
        <v>3916953</v>
      </c>
      <c r="L36" s="34">
        <f>0</f>
        <v>0</v>
      </c>
      <c r="M36" s="34">
        <f>0</f>
        <v>0</v>
      </c>
      <c r="N36" s="34">
        <v>22491</v>
      </c>
      <c r="O36" s="34">
        <f>0</f>
        <v>0</v>
      </c>
      <c r="P36" s="34">
        <f>50114</f>
        <v>50114</v>
      </c>
      <c r="Q36" s="34">
        <f>118964</f>
        <v>118964</v>
      </c>
      <c r="R36" s="225">
        <v>67675</v>
      </c>
      <c r="S36" s="34">
        <v>17682</v>
      </c>
      <c r="T36" s="34">
        <v>690</v>
      </c>
      <c r="U36" s="34">
        <v>12788</v>
      </c>
      <c r="V36" s="34"/>
      <c r="W36" s="34"/>
      <c r="X36" s="34"/>
      <c r="Y36" s="34">
        <f t="shared" si="0"/>
        <v>290404</v>
      </c>
      <c r="Z36" s="31">
        <f>88259+600037</f>
        <v>688296</v>
      </c>
      <c r="AA36" s="226" t="s">
        <v>427</v>
      </c>
      <c r="AB36" s="33">
        <v>44209</v>
      </c>
      <c r="AC36" s="36">
        <v>44243</v>
      </c>
      <c r="AD36" s="31"/>
      <c r="AE36" s="35"/>
      <c r="AF36" s="27"/>
      <c r="AG36" s="36"/>
      <c r="AH36" s="31"/>
      <c r="AI36" s="32"/>
      <c r="AJ36" s="27"/>
      <c r="AK36" s="36"/>
      <c r="AL36" s="31"/>
      <c r="AM36" s="32"/>
      <c r="AN36" s="27"/>
      <c r="AO36" s="36"/>
      <c r="AP36" s="31"/>
      <c r="AQ36" s="32"/>
      <c r="AR36" s="27"/>
      <c r="AS36" s="36"/>
      <c r="AT36" s="36"/>
      <c r="AU36" s="36"/>
      <c r="AV36" s="36"/>
      <c r="AW36" s="36"/>
      <c r="AX36" s="37">
        <f t="shared" si="1"/>
        <v>688296</v>
      </c>
      <c r="AY36" s="38">
        <f t="shared" si="2"/>
        <v>397892</v>
      </c>
    </row>
    <row r="37" spans="2:51" s="39" customFormat="1" ht="22.5">
      <c r="B37" s="22">
        <v>22</v>
      </c>
      <c r="C37" s="22" t="s">
        <v>39</v>
      </c>
      <c r="D37" s="23" t="s">
        <v>479</v>
      </c>
      <c r="E37" s="48" t="s">
        <v>480</v>
      </c>
      <c r="F37" s="48" t="s">
        <v>158</v>
      </c>
      <c r="G37" s="26" t="s">
        <v>426</v>
      </c>
      <c r="H37" s="73" t="s">
        <v>472</v>
      </c>
      <c r="I37" s="49" t="s">
        <v>44</v>
      </c>
      <c r="J37" s="216">
        <f>168053</f>
        <v>168053</v>
      </c>
      <c r="K37" s="34">
        <f>120328</f>
        <v>120328</v>
      </c>
      <c r="L37" s="34">
        <f>0</f>
        <v>0</v>
      </c>
      <c r="M37" s="34">
        <f>0</f>
        <v>0</v>
      </c>
      <c r="N37" s="34">
        <f>0</f>
        <v>0</v>
      </c>
      <c r="O37" s="34">
        <f>0</f>
        <v>0</v>
      </c>
      <c r="P37" s="34"/>
      <c r="Q37" s="34"/>
      <c r="R37" s="34"/>
      <c r="S37" s="34"/>
      <c r="T37" s="34"/>
      <c r="U37" s="34"/>
      <c r="V37" s="34"/>
      <c r="W37" s="34"/>
      <c r="X37" s="34"/>
      <c r="Y37" s="34">
        <f t="shared" si="0"/>
        <v>0</v>
      </c>
      <c r="Z37" s="31">
        <f>47725</f>
        <v>47725</v>
      </c>
      <c r="AA37" s="226" t="s">
        <v>427</v>
      </c>
      <c r="AB37" s="33">
        <v>44209</v>
      </c>
      <c r="AC37" s="36">
        <v>44243</v>
      </c>
      <c r="AD37" s="31">
        <v>-47725</v>
      </c>
      <c r="AE37" s="35">
        <v>24</v>
      </c>
      <c r="AF37" s="33">
        <v>44363</v>
      </c>
      <c r="AG37" s="36">
        <v>44372</v>
      </c>
      <c r="AH37" s="31"/>
      <c r="AI37" s="32"/>
      <c r="AJ37" s="27"/>
      <c r="AK37" s="36"/>
      <c r="AL37" s="31"/>
      <c r="AM37" s="32"/>
      <c r="AN37" s="27"/>
      <c r="AO37" s="36"/>
      <c r="AP37" s="31"/>
      <c r="AQ37" s="32"/>
      <c r="AR37" s="27"/>
      <c r="AS37" s="36"/>
      <c r="AT37" s="36"/>
      <c r="AU37" s="36"/>
      <c r="AV37" s="36"/>
      <c r="AW37" s="36"/>
      <c r="AX37" s="37">
        <f t="shared" si="1"/>
        <v>0</v>
      </c>
      <c r="AY37" s="38">
        <f t="shared" si="2"/>
        <v>0</v>
      </c>
    </row>
    <row r="38" spans="2:51" s="39" customFormat="1" ht="22.5">
      <c r="B38" s="22">
        <v>23</v>
      </c>
      <c r="C38" s="22" t="s">
        <v>39</v>
      </c>
      <c r="D38" s="23" t="s">
        <v>481</v>
      </c>
      <c r="E38" s="48" t="s">
        <v>482</v>
      </c>
      <c r="F38" s="48" t="s">
        <v>146</v>
      </c>
      <c r="G38" s="26" t="s">
        <v>426</v>
      </c>
      <c r="H38" s="73" t="s">
        <v>472</v>
      </c>
      <c r="I38" s="49" t="s">
        <v>44</v>
      </c>
      <c r="J38" s="216">
        <f>3274336</f>
        <v>3274336</v>
      </c>
      <c r="K38" s="34">
        <f>2861590</f>
        <v>2861590</v>
      </c>
      <c r="L38" s="34">
        <f>20349</f>
        <v>20349</v>
      </c>
      <c r="M38" s="34">
        <f>0</f>
        <v>0</v>
      </c>
      <c r="N38" s="34">
        <f>0</f>
        <v>0</v>
      </c>
      <c r="O38" s="34">
        <f>0</f>
        <v>0</v>
      </c>
      <c r="P38" s="34">
        <f>0</f>
        <v>0</v>
      </c>
      <c r="Q38" s="34">
        <f>0</f>
        <v>0</v>
      </c>
      <c r="R38" s="34"/>
      <c r="S38" s="34"/>
      <c r="T38" s="34"/>
      <c r="U38" s="34"/>
      <c r="V38" s="34"/>
      <c r="W38" s="34"/>
      <c r="X38" s="34"/>
      <c r="Y38" s="34">
        <f t="shared" si="0"/>
        <v>0</v>
      </c>
      <c r="Z38" s="31">
        <f>377268</f>
        <v>377268</v>
      </c>
      <c r="AA38" s="226" t="s">
        <v>427</v>
      </c>
      <c r="AB38" s="33">
        <v>44209</v>
      </c>
      <c r="AC38" s="36">
        <v>44243</v>
      </c>
      <c r="AD38" s="31">
        <v>1</v>
      </c>
      <c r="AE38" s="35">
        <v>10</v>
      </c>
      <c r="AF38" s="33">
        <v>44299</v>
      </c>
      <c r="AG38" s="36">
        <v>44316</v>
      </c>
      <c r="AH38" s="31"/>
      <c r="AI38" s="32"/>
      <c r="AJ38" s="27"/>
      <c r="AK38" s="36"/>
      <c r="AL38" s="31"/>
      <c r="AM38" s="32"/>
      <c r="AN38" s="27"/>
      <c r="AO38" s="36"/>
      <c r="AP38" s="31"/>
      <c r="AQ38" s="32"/>
      <c r="AR38" s="27"/>
      <c r="AS38" s="36"/>
      <c r="AT38" s="36"/>
      <c r="AU38" s="36"/>
      <c r="AV38" s="36"/>
      <c r="AW38" s="36"/>
      <c r="AX38" s="37">
        <f t="shared" si="1"/>
        <v>377269</v>
      </c>
      <c r="AY38" s="38">
        <f t="shared" si="2"/>
        <v>377269</v>
      </c>
    </row>
    <row r="39" spans="2:51" s="39" customFormat="1" ht="22.5">
      <c r="B39" s="22">
        <v>24</v>
      </c>
      <c r="C39" s="22" t="s">
        <v>39</v>
      </c>
      <c r="D39" s="23" t="s">
        <v>483</v>
      </c>
      <c r="E39" s="48" t="s">
        <v>484</v>
      </c>
      <c r="F39" s="48" t="s">
        <v>146</v>
      </c>
      <c r="G39" s="26" t="s">
        <v>426</v>
      </c>
      <c r="H39" s="73" t="s">
        <v>472</v>
      </c>
      <c r="I39" s="49" t="s">
        <v>44</v>
      </c>
      <c r="J39" s="216">
        <f>4545257</f>
        <v>4545257</v>
      </c>
      <c r="K39" s="34">
        <f>1248804</f>
        <v>1248804</v>
      </c>
      <c r="L39" s="34">
        <f>295433</f>
        <v>295433</v>
      </c>
      <c r="M39" s="34">
        <f>0</f>
        <v>0</v>
      </c>
      <c r="N39" s="34">
        <v>1755716</v>
      </c>
      <c r="O39" s="34">
        <f>0</f>
        <v>0</v>
      </c>
      <c r="P39" s="34">
        <f>0</f>
        <v>0</v>
      </c>
      <c r="Q39" s="34">
        <f>516414</f>
        <v>516414</v>
      </c>
      <c r="R39" s="34"/>
      <c r="S39" s="34">
        <v>434394</v>
      </c>
      <c r="T39" s="34"/>
      <c r="U39" s="34">
        <v>178034</v>
      </c>
      <c r="V39" s="34"/>
      <c r="W39" s="34"/>
      <c r="X39" s="34"/>
      <c r="Y39" s="34">
        <f t="shared" si="0"/>
        <v>2884558</v>
      </c>
      <c r="Z39" s="31">
        <f>2500000</f>
        <v>2500000</v>
      </c>
      <c r="AA39" s="226" t="s">
        <v>427</v>
      </c>
      <c r="AB39" s="33">
        <v>44209</v>
      </c>
      <c r="AC39" s="36">
        <v>44243</v>
      </c>
      <c r="AD39" s="31">
        <v>855344</v>
      </c>
      <c r="AE39" s="35">
        <v>24</v>
      </c>
      <c r="AF39" s="33">
        <v>44363</v>
      </c>
      <c r="AG39" s="36">
        <v>44372</v>
      </c>
      <c r="AH39" s="31">
        <v>2</v>
      </c>
      <c r="AI39" s="32">
        <v>38</v>
      </c>
      <c r="AJ39" s="33">
        <v>44433</v>
      </c>
      <c r="AK39" s="36">
        <v>44449</v>
      </c>
      <c r="AL39" s="31"/>
      <c r="AM39" s="32"/>
      <c r="AN39" s="27"/>
      <c r="AO39" s="36"/>
      <c r="AP39" s="31"/>
      <c r="AQ39" s="32"/>
      <c r="AR39" s="27"/>
      <c r="AS39" s="36"/>
      <c r="AT39" s="36"/>
      <c r="AU39" s="36"/>
      <c r="AV39" s="36"/>
      <c r="AW39" s="36"/>
      <c r="AX39" s="37">
        <f t="shared" si="1"/>
        <v>3355346</v>
      </c>
      <c r="AY39" s="38">
        <f t="shared" si="2"/>
        <v>470788</v>
      </c>
    </row>
    <row r="40" spans="2:51" s="39" customFormat="1" ht="22.5" customHeight="1">
      <c r="B40" s="22">
        <v>25</v>
      </c>
      <c r="C40" s="22" t="s">
        <v>39</v>
      </c>
      <c r="D40" s="23" t="s">
        <v>485</v>
      </c>
      <c r="E40" s="48" t="s">
        <v>486</v>
      </c>
      <c r="F40" s="48" t="s">
        <v>146</v>
      </c>
      <c r="G40" s="26" t="s">
        <v>426</v>
      </c>
      <c r="H40" s="26" t="s">
        <v>426</v>
      </c>
      <c r="I40" s="49" t="s">
        <v>44</v>
      </c>
      <c r="J40" s="216">
        <f>5623369</f>
        <v>5623369</v>
      </c>
      <c r="K40" s="34">
        <f>5407444</f>
        <v>5407444</v>
      </c>
      <c r="L40" s="34">
        <f>2</f>
        <v>2</v>
      </c>
      <c r="M40" s="34">
        <f>0</f>
        <v>0</v>
      </c>
      <c r="N40" s="34">
        <f>0</f>
        <v>0</v>
      </c>
      <c r="O40" s="34">
        <f>0</f>
        <v>0</v>
      </c>
      <c r="P40" s="34"/>
      <c r="Q40" s="34"/>
      <c r="R40" s="225">
        <v>114040</v>
      </c>
      <c r="S40" s="34">
        <v>32662</v>
      </c>
      <c r="T40" s="34">
        <v>4973</v>
      </c>
      <c r="U40" s="34">
        <v>5224</v>
      </c>
      <c r="V40" s="34"/>
      <c r="W40" s="34"/>
      <c r="X40" s="34"/>
      <c r="Y40" s="34">
        <f t="shared" si="0"/>
        <v>156899</v>
      </c>
      <c r="Z40" s="31">
        <f>148564+67359</f>
        <v>215923</v>
      </c>
      <c r="AA40" s="226" t="s">
        <v>427</v>
      </c>
      <c r="AB40" s="33">
        <v>44209</v>
      </c>
      <c r="AC40" s="36">
        <v>44243</v>
      </c>
      <c r="AD40" s="31"/>
      <c r="AE40" s="35"/>
      <c r="AF40" s="27"/>
      <c r="AG40" s="36"/>
      <c r="AH40" s="31"/>
      <c r="AI40" s="32"/>
      <c r="AJ40" s="27"/>
      <c r="AK40" s="36"/>
      <c r="AL40" s="31"/>
      <c r="AM40" s="32"/>
      <c r="AN40" s="27"/>
      <c r="AO40" s="36"/>
      <c r="AP40" s="31"/>
      <c r="AQ40" s="32"/>
      <c r="AR40" s="27"/>
      <c r="AS40" s="36"/>
      <c r="AT40" s="36"/>
      <c r="AU40" s="36"/>
      <c r="AV40" s="36"/>
      <c r="AW40" s="36"/>
      <c r="AX40" s="37">
        <f t="shared" si="1"/>
        <v>215923</v>
      </c>
      <c r="AY40" s="38">
        <f t="shared" si="2"/>
        <v>59024</v>
      </c>
    </row>
    <row r="41" spans="2:51" s="39" customFormat="1" ht="22.5">
      <c r="B41" s="22">
        <v>26</v>
      </c>
      <c r="C41" s="22" t="s">
        <v>39</v>
      </c>
      <c r="D41" s="23" t="s">
        <v>487</v>
      </c>
      <c r="E41" s="48" t="s">
        <v>488</v>
      </c>
      <c r="F41" s="48" t="s">
        <v>146</v>
      </c>
      <c r="G41" s="26" t="s">
        <v>426</v>
      </c>
      <c r="H41" s="73" t="s">
        <v>446</v>
      </c>
      <c r="I41" s="49" t="s">
        <v>44</v>
      </c>
      <c r="J41" s="216">
        <f>646779</f>
        <v>646779</v>
      </c>
      <c r="K41" s="34">
        <f>597258</f>
        <v>597258</v>
      </c>
      <c r="L41" s="34">
        <f>2</f>
        <v>2</v>
      </c>
      <c r="M41" s="34">
        <f>0</f>
        <v>0</v>
      </c>
      <c r="N41" s="34">
        <f>0</f>
        <v>0</v>
      </c>
      <c r="O41" s="34">
        <f>0</f>
        <v>0</v>
      </c>
      <c r="P41" s="34"/>
      <c r="Q41" s="34"/>
      <c r="R41" s="34"/>
      <c r="S41" s="34"/>
      <c r="T41" s="34"/>
      <c r="U41" s="34"/>
      <c r="V41" s="34"/>
      <c r="W41" s="34"/>
      <c r="X41" s="34"/>
      <c r="Y41" s="34">
        <f t="shared" si="0"/>
        <v>0</v>
      </c>
      <c r="Z41" s="31">
        <f>4494+3376+40731</f>
        <v>48601</v>
      </c>
      <c r="AA41" s="226" t="s">
        <v>427</v>
      </c>
      <c r="AB41" s="33">
        <v>44209</v>
      </c>
      <c r="AC41" s="36">
        <v>44243</v>
      </c>
      <c r="AD41" s="31"/>
      <c r="AE41" s="35"/>
      <c r="AF41" s="27"/>
      <c r="AG41" s="36"/>
      <c r="AH41" s="31"/>
      <c r="AI41" s="32"/>
      <c r="AJ41" s="27"/>
      <c r="AK41" s="36"/>
      <c r="AL41" s="31"/>
      <c r="AM41" s="32"/>
      <c r="AN41" s="27"/>
      <c r="AO41" s="36"/>
      <c r="AP41" s="31"/>
      <c r="AQ41" s="32"/>
      <c r="AR41" s="27"/>
      <c r="AS41" s="36"/>
      <c r="AT41" s="36"/>
      <c r="AU41" s="36"/>
      <c r="AV41" s="36"/>
      <c r="AW41" s="36"/>
      <c r="AX41" s="37">
        <f t="shared" si="1"/>
        <v>48601</v>
      </c>
      <c r="AY41" s="38">
        <f t="shared" si="2"/>
        <v>48601</v>
      </c>
    </row>
    <row r="42" spans="2:51" s="39" customFormat="1" ht="22.5">
      <c r="B42" s="22">
        <v>27</v>
      </c>
      <c r="C42" s="22" t="s">
        <v>39</v>
      </c>
      <c r="D42" s="23" t="s">
        <v>489</v>
      </c>
      <c r="E42" s="48" t="s">
        <v>490</v>
      </c>
      <c r="F42" s="48" t="s">
        <v>146</v>
      </c>
      <c r="G42" s="26" t="s">
        <v>426</v>
      </c>
      <c r="H42" s="26" t="s">
        <v>426</v>
      </c>
      <c r="I42" s="49" t="s">
        <v>44</v>
      </c>
      <c r="J42" s="216">
        <f>7365450</f>
        <v>7365450</v>
      </c>
      <c r="K42" s="34">
        <f>6561753</f>
        <v>6561753</v>
      </c>
      <c r="L42" s="34">
        <f>2</f>
        <v>2</v>
      </c>
      <c r="M42" s="34">
        <f>0</f>
        <v>0</v>
      </c>
      <c r="N42" s="34">
        <f>0</f>
        <v>0</v>
      </c>
      <c r="O42" s="34">
        <f>0</f>
        <v>0</v>
      </c>
      <c r="P42" s="34">
        <f>0</f>
        <v>0</v>
      </c>
      <c r="Q42" s="34">
        <f>0</f>
        <v>0</v>
      </c>
      <c r="R42" s="225">
        <v>981958</v>
      </c>
      <c r="S42" s="34"/>
      <c r="T42" s="34"/>
      <c r="U42" s="34"/>
      <c r="V42" s="34"/>
      <c r="W42" s="34"/>
      <c r="X42" s="34"/>
      <c r="Y42" s="34">
        <f t="shared" si="0"/>
        <v>981958</v>
      </c>
      <c r="Z42" s="31">
        <f>240+693282+61012+49161</f>
        <v>803695</v>
      </c>
      <c r="AA42" s="226" t="s">
        <v>427</v>
      </c>
      <c r="AB42" s="33">
        <v>44209</v>
      </c>
      <c r="AC42" s="36">
        <v>44243</v>
      </c>
      <c r="AD42" s="31">
        <v>288677</v>
      </c>
      <c r="AE42" s="35">
        <v>10</v>
      </c>
      <c r="AF42" s="33">
        <v>44299</v>
      </c>
      <c r="AG42" s="36">
        <v>44316</v>
      </c>
      <c r="AH42" s="31"/>
      <c r="AI42" s="32"/>
      <c r="AJ42" s="27"/>
      <c r="AK42" s="36"/>
      <c r="AL42" s="31"/>
      <c r="AM42" s="32"/>
      <c r="AN42" s="27"/>
      <c r="AO42" s="36"/>
      <c r="AP42" s="31"/>
      <c r="AQ42" s="32"/>
      <c r="AR42" s="27"/>
      <c r="AS42" s="36"/>
      <c r="AT42" s="36"/>
      <c r="AU42" s="36"/>
      <c r="AV42" s="36"/>
      <c r="AW42" s="36"/>
      <c r="AX42" s="37">
        <f t="shared" si="1"/>
        <v>1092372</v>
      </c>
      <c r="AY42" s="38">
        <f t="shared" si="2"/>
        <v>110414</v>
      </c>
    </row>
    <row r="43" spans="2:51" s="39" customFormat="1" ht="22.5" customHeight="1">
      <c r="B43" s="22">
        <v>28</v>
      </c>
      <c r="C43" s="22" t="s">
        <v>39</v>
      </c>
      <c r="D43" s="23" t="s">
        <v>491</v>
      </c>
      <c r="E43" s="48" t="s">
        <v>492</v>
      </c>
      <c r="F43" s="48" t="s">
        <v>158</v>
      </c>
      <c r="G43" s="26" t="s">
        <v>426</v>
      </c>
      <c r="H43" s="73" t="s">
        <v>446</v>
      </c>
      <c r="I43" s="49" t="s">
        <v>44</v>
      </c>
      <c r="J43" s="216">
        <f>412837</f>
        <v>412837</v>
      </c>
      <c r="K43" s="34">
        <f>333669</f>
        <v>333669</v>
      </c>
      <c r="L43" s="34">
        <f>0</f>
        <v>0</v>
      </c>
      <c r="M43" s="34">
        <f>0</f>
        <v>0</v>
      </c>
      <c r="N43" s="34">
        <f>0</f>
        <v>0</v>
      </c>
      <c r="O43" s="34">
        <f>0</f>
        <v>0</v>
      </c>
      <c r="P43" s="34"/>
      <c r="Q43" s="34"/>
      <c r="R43" s="34"/>
      <c r="S43" s="34"/>
      <c r="T43" s="34"/>
      <c r="U43" s="34">
        <v>79168</v>
      </c>
      <c r="V43" s="34"/>
      <c r="W43" s="34"/>
      <c r="X43" s="34"/>
      <c r="Y43" s="34">
        <f t="shared" si="0"/>
        <v>79168</v>
      </c>
      <c r="Z43" s="31">
        <f>79168</f>
        <v>79168</v>
      </c>
      <c r="AA43" s="226" t="s">
        <v>427</v>
      </c>
      <c r="AB43" s="33">
        <v>44209</v>
      </c>
      <c r="AC43" s="36">
        <v>44243</v>
      </c>
      <c r="AD43" s="31"/>
      <c r="AE43" s="35"/>
      <c r="AF43" s="27"/>
      <c r="AG43" s="36"/>
      <c r="AH43" s="31"/>
      <c r="AI43" s="32"/>
      <c r="AJ43" s="27"/>
      <c r="AK43" s="36"/>
      <c r="AL43" s="31"/>
      <c r="AM43" s="32"/>
      <c r="AN43" s="27"/>
      <c r="AO43" s="36"/>
      <c r="AP43" s="31"/>
      <c r="AQ43" s="32"/>
      <c r="AR43" s="27"/>
      <c r="AS43" s="36"/>
      <c r="AT43" s="36"/>
      <c r="AU43" s="36"/>
      <c r="AV43" s="36"/>
      <c r="AW43" s="36"/>
      <c r="AX43" s="37">
        <f t="shared" si="1"/>
        <v>79168</v>
      </c>
      <c r="AY43" s="38">
        <f t="shared" si="2"/>
        <v>0</v>
      </c>
    </row>
    <row r="44" spans="2:51" s="39" customFormat="1" ht="22.5" customHeight="1">
      <c r="B44" s="22">
        <v>29</v>
      </c>
      <c r="C44" s="22" t="s">
        <v>39</v>
      </c>
      <c r="D44" s="23" t="s">
        <v>493</v>
      </c>
      <c r="E44" s="48" t="s">
        <v>494</v>
      </c>
      <c r="F44" s="48" t="s">
        <v>146</v>
      </c>
      <c r="G44" s="26" t="s">
        <v>426</v>
      </c>
      <c r="H44" s="73" t="s">
        <v>495</v>
      </c>
      <c r="I44" s="49" t="s">
        <v>44</v>
      </c>
      <c r="J44" s="216">
        <f>2379612</f>
        <v>2379612</v>
      </c>
      <c r="K44" s="34">
        <f>2271443</f>
        <v>2271443</v>
      </c>
      <c r="L44" s="34">
        <f>0</f>
        <v>0</v>
      </c>
      <c r="M44" s="34">
        <f>0</f>
        <v>0</v>
      </c>
      <c r="N44" s="34">
        <v>10921</v>
      </c>
      <c r="O44" s="34">
        <f>0</f>
        <v>0</v>
      </c>
      <c r="P44" s="34"/>
      <c r="Q44" s="34"/>
      <c r="R44" s="34"/>
      <c r="S44" s="34"/>
      <c r="T44" s="34"/>
      <c r="U44" s="34"/>
      <c r="V44" s="34"/>
      <c r="W44" s="34"/>
      <c r="X44" s="34"/>
      <c r="Y44" s="34">
        <f t="shared" si="0"/>
        <v>10921</v>
      </c>
      <c r="Z44" s="31">
        <f>10922+60829+29169</f>
        <v>100920</v>
      </c>
      <c r="AA44" s="226" t="s">
        <v>427</v>
      </c>
      <c r="AB44" s="33">
        <v>44209</v>
      </c>
      <c r="AC44" s="36">
        <v>44243</v>
      </c>
      <c r="AD44" s="31"/>
      <c r="AE44" s="35"/>
      <c r="AF44" s="27"/>
      <c r="AG44" s="36"/>
      <c r="AH44" s="31"/>
      <c r="AI44" s="32"/>
      <c r="AJ44" s="27"/>
      <c r="AK44" s="36"/>
      <c r="AL44" s="31"/>
      <c r="AM44" s="32"/>
      <c r="AN44" s="27"/>
      <c r="AO44" s="36"/>
      <c r="AP44" s="31"/>
      <c r="AQ44" s="32"/>
      <c r="AR44" s="27"/>
      <c r="AS44" s="36"/>
      <c r="AT44" s="36"/>
      <c r="AU44" s="36"/>
      <c r="AV44" s="36"/>
      <c r="AW44" s="36"/>
      <c r="AX44" s="37">
        <f t="shared" si="1"/>
        <v>100920</v>
      </c>
      <c r="AY44" s="38">
        <f t="shared" si="2"/>
        <v>89999</v>
      </c>
    </row>
    <row r="45" spans="2:51" s="39" customFormat="1" ht="22.5">
      <c r="B45" s="22">
        <v>30</v>
      </c>
      <c r="C45" s="22" t="s">
        <v>39</v>
      </c>
      <c r="D45" s="23" t="s">
        <v>496</v>
      </c>
      <c r="E45" s="48" t="s">
        <v>497</v>
      </c>
      <c r="F45" s="48" t="s">
        <v>146</v>
      </c>
      <c r="G45" s="26" t="s">
        <v>426</v>
      </c>
      <c r="H45" s="73" t="s">
        <v>443</v>
      </c>
      <c r="I45" s="49" t="s">
        <v>44</v>
      </c>
      <c r="J45" s="216">
        <f>848178</f>
        <v>848178</v>
      </c>
      <c r="K45" s="34">
        <f>1081</f>
        <v>1081</v>
      </c>
      <c r="L45" s="34">
        <f>190096-190096</f>
        <v>0</v>
      </c>
      <c r="M45" s="34">
        <f>0</f>
        <v>0</v>
      </c>
      <c r="N45" s="34">
        <f>456984</f>
        <v>456984</v>
      </c>
      <c r="O45" s="34">
        <v>104313</v>
      </c>
      <c r="P45" s="34">
        <f>38000</f>
        <v>38000</v>
      </c>
      <c r="Q45" s="34">
        <f>20281+72320</f>
        <v>92601</v>
      </c>
      <c r="R45" s="34"/>
      <c r="S45" s="34">
        <v>10661</v>
      </c>
      <c r="T45" s="34"/>
      <c r="U45" s="34"/>
      <c r="V45" s="34"/>
      <c r="W45" s="34"/>
      <c r="X45" s="34"/>
      <c r="Y45" s="34">
        <f t="shared" si="0"/>
        <v>702559</v>
      </c>
      <c r="Z45" s="31">
        <f>17000+600000+23000</f>
        <v>640000</v>
      </c>
      <c r="AA45" s="226" t="s">
        <v>427</v>
      </c>
      <c r="AB45" s="33">
        <v>44209</v>
      </c>
      <c r="AC45" s="36">
        <v>44243</v>
      </c>
      <c r="AD45" s="31">
        <f>-17000+105472+52108</f>
        <v>140580</v>
      </c>
      <c r="AE45" s="35">
        <v>11</v>
      </c>
      <c r="AF45" s="33">
        <v>44323</v>
      </c>
      <c r="AG45" s="36">
        <v>44334</v>
      </c>
      <c r="AH45" s="31"/>
      <c r="AI45" s="32"/>
      <c r="AJ45" s="27"/>
      <c r="AK45" s="36"/>
      <c r="AL45" s="31"/>
      <c r="AM45" s="32"/>
      <c r="AN45" s="27"/>
      <c r="AO45" s="36"/>
      <c r="AP45" s="31"/>
      <c r="AQ45" s="32"/>
      <c r="AR45" s="27"/>
      <c r="AS45" s="36"/>
      <c r="AT45" s="36"/>
      <c r="AU45" s="36"/>
      <c r="AV45" s="36"/>
      <c r="AW45" s="36"/>
      <c r="AX45" s="37">
        <f t="shared" si="1"/>
        <v>780580</v>
      </c>
      <c r="AY45" s="38">
        <f t="shared" si="2"/>
        <v>78021</v>
      </c>
    </row>
    <row r="46" spans="2:51" s="39" customFormat="1" ht="22.5">
      <c r="B46" s="22">
        <v>31</v>
      </c>
      <c r="C46" s="22" t="s">
        <v>39</v>
      </c>
      <c r="D46" s="23" t="s">
        <v>498</v>
      </c>
      <c r="E46" s="48" t="s">
        <v>499</v>
      </c>
      <c r="F46" s="48" t="s">
        <v>146</v>
      </c>
      <c r="G46" s="26" t="s">
        <v>426</v>
      </c>
      <c r="H46" s="73"/>
      <c r="I46" s="49" t="s">
        <v>44</v>
      </c>
      <c r="J46" s="216">
        <f>2618995</f>
        <v>2618995</v>
      </c>
      <c r="K46" s="34">
        <f>1960176</f>
        <v>1960176</v>
      </c>
      <c r="L46" s="34">
        <f>0</f>
        <v>0</v>
      </c>
      <c r="M46" s="34">
        <f>0</f>
        <v>0</v>
      </c>
      <c r="N46" s="34">
        <f>0</f>
        <v>0</v>
      </c>
      <c r="O46" s="34">
        <f>0</f>
        <v>0</v>
      </c>
      <c r="P46" s="34">
        <f>0</f>
        <v>0</v>
      </c>
      <c r="Q46" s="34">
        <f>2000+14920</f>
        <v>16920</v>
      </c>
      <c r="R46" s="225">
        <v>31534</v>
      </c>
      <c r="S46" s="34">
        <v>30527</v>
      </c>
      <c r="T46" s="34">
        <v>29968</v>
      </c>
      <c r="U46" s="34">
        <v>25748</v>
      </c>
      <c r="V46" s="34"/>
      <c r="W46" s="34"/>
      <c r="X46" s="34"/>
      <c r="Y46" s="34">
        <f t="shared" si="0"/>
        <v>134697</v>
      </c>
      <c r="Z46" s="31">
        <f>18000+540000</f>
        <v>558000</v>
      </c>
      <c r="AA46" s="226" t="s">
        <v>427</v>
      </c>
      <c r="AB46" s="33">
        <v>44209</v>
      </c>
      <c r="AC46" s="36">
        <v>44243</v>
      </c>
      <c r="AD46" s="31">
        <v>-262000</v>
      </c>
      <c r="AE46" s="35">
        <v>24</v>
      </c>
      <c r="AF46" s="33">
        <v>44363</v>
      </c>
      <c r="AG46" s="36">
        <v>44372</v>
      </c>
      <c r="AH46" s="31">
        <v>40000</v>
      </c>
      <c r="AI46" s="32">
        <v>38</v>
      </c>
      <c r="AJ46" s="33">
        <v>44433</v>
      </c>
      <c r="AK46" s="36">
        <v>44449</v>
      </c>
      <c r="AL46" s="31"/>
      <c r="AM46" s="32"/>
      <c r="AN46" s="27"/>
      <c r="AO46" s="36"/>
      <c r="AP46" s="31"/>
      <c r="AQ46" s="32"/>
      <c r="AR46" s="27"/>
      <c r="AS46" s="36"/>
      <c r="AT46" s="36"/>
      <c r="AU46" s="36"/>
      <c r="AV46" s="36"/>
      <c r="AW46" s="36"/>
      <c r="AX46" s="37">
        <f t="shared" si="1"/>
        <v>336000</v>
      </c>
      <c r="AY46" s="38">
        <f t="shared" si="2"/>
        <v>201303</v>
      </c>
    </row>
    <row r="47" spans="2:51" s="39" customFormat="1" ht="33.75">
      <c r="B47" s="22">
        <v>32</v>
      </c>
      <c r="C47" s="22" t="s">
        <v>39</v>
      </c>
      <c r="D47" s="23" t="s">
        <v>500</v>
      </c>
      <c r="E47" s="48" t="s">
        <v>501</v>
      </c>
      <c r="F47" s="48" t="s">
        <v>146</v>
      </c>
      <c r="G47" s="26" t="s">
        <v>426</v>
      </c>
      <c r="H47" s="73" t="s">
        <v>469</v>
      </c>
      <c r="I47" s="49" t="s">
        <v>44</v>
      </c>
      <c r="J47" s="216">
        <f>419613</f>
        <v>419613</v>
      </c>
      <c r="K47" s="34">
        <f>135552</f>
        <v>135552</v>
      </c>
      <c r="L47" s="34">
        <f>3</f>
        <v>3</v>
      </c>
      <c r="M47" s="34">
        <f>0</f>
        <v>0</v>
      </c>
      <c r="N47" s="34">
        <f>97341</f>
        <v>97341</v>
      </c>
      <c r="O47" s="34">
        <f>5827</f>
        <v>5827</v>
      </c>
      <c r="P47" s="34">
        <f>113336+282</f>
        <v>113618</v>
      </c>
      <c r="Q47" s="34">
        <f>0</f>
        <v>0</v>
      </c>
      <c r="R47" s="34"/>
      <c r="S47" s="34"/>
      <c r="T47" s="34"/>
      <c r="U47" s="34"/>
      <c r="V47" s="34"/>
      <c r="W47" s="34"/>
      <c r="X47" s="34"/>
      <c r="Y47" s="34">
        <f t="shared" si="0"/>
        <v>216786</v>
      </c>
      <c r="Z47" s="31">
        <f>15218+222333+46225+282</f>
        <v>284058</v>
      </c>
      <c r="AA47" s="226" t="s">
        <v>427</v>
      </c>
      <c r="AB47" s="33">
        <v>44209</v>
      </c>
      <c r="AC47" s="36">
        <v>44243</v>
      </c>
      <c r="AD47" s="31">
        <f>-15218+1</f>
        <v>-15217</v>
      </c>
      <c r="AE47" s="35">
        <v>10</v>
      </c>
      <c r="AF47" s="33">
        <v>44299</v>
      </c>
      <c r="AG47" s="36">
        <v>44316</v>
      </c>
      <c r="AH47" s="31">
        <v>1</v>
      </c>
      <c r="AI47" s="32">
        <v>38</v>
      </c>
      <c r="AJ47" s="33">
        <v>44433</v>
      </c>
      <c r="AK47" s="36">
        <v>44449</v>
      </c>
      <c r="AL47" s="31"/>
      <c r="AM47" s="32"/>
      <c r="AN47" s="27"/>
      <c r="AO47" s="36"/>
      <c r="AP47" s="31"/>
      <c r="AQ47" s="32"/>
      <c r="AR47" s="27"/>
      <c r="AS47" s="36"/>
      <c r="AT47" s="36"/>
      <c r="AU47" s="36"/>
      <c r="AV47" s="36"/>
      <c r="AW47" s="36"/>
      <c r="AX47" s="37">
        <f t="shared" si="1"/>
        <v>268842</v>
      </c>
      <c r="AY47" s="38">
        <f t="shared" si="2"/>
        <v>52056</v>
      </c>
    </row>
    <row r="48" spans="2:51" s="39" customFormat="1" ht="22.5">
      <c r="B48" s="22">
        <v>33</v>
      </c>
      <c r="C48" s="22" t="s">
        <v>39</v>
      </c>
      <c r="D48" s="23" t="s">
        <v>502</v>
      </c>
      <c r="E48" s="48" t="s">
        <v>503</v>
      </c>
      <c r="F48" s="48" t="s">
        <v>146</v>
      </c>
      <c r="G48" s="26" t="s">
        <v>426</v>
      </c>
      <c r="H48" s="73" t="s">
        <v>443</v>
      </c>
      <c r="I48" s="49" t="s">
        <v>44</v>
      </c>
      <c r="J48" s="216">
        <f>813467</f>
        <v>813467</v>
      </c>
      <c r="K48" s="34">
        <f>1945</f>
        <v>1945</v>
      </c>
      <c r="L48" s="34">
        <f>194522</f>
        <v>194522</v>
      </c>
      <c r="M48" s="34">
        <f>0</f>
        <v>0</v>
      </c>
      <c r="N48" s="34">
        <f>31562</f>
        <v>31562</v>
      </c>
      <c r="O48" s="34">
        <f>263012</f>
        <v>263012</v>
      </c>
      <c r="P48" s="34">
        <f>1950+65894</f>
        <v>67844</v>
      </c>
      <c r="Q48" s="34">
        <f>1950+117769</f>
        <v>119719</v>
      </c>
      <c r="R48" s="225">
        <v>127612</v>
      </c>
      <c r="S48" s="34">
        <v>83816</v>
      </c>
      <c r="T48" s="34">
        <v>25652</v>
      </c>
      <c r="U48" s="34">
        <v>36306</v>
      </c>
      <c r="V48" s="34"/>
      <c r="W48" s="34"/>
      <c r="X48" s="34"/>
      <c r="Y48" s="34">
        <f t="shared" ref="Y48:Y79" si="3">SUM(M48:X48)</f>
        <v>755523</v>
      </c>
      <c r="Z48" s="31">
        <f>17000+600000</f>
        <v>617000</v>
      </c>
      <c r="AA48" s="226" t="s">
        <v>427</v>
      </c>
      <c r="AB48" s="33">
        <v>44209</v>
      </c>
      <c r="AC48" s="36">
        <v>44243</v>
      </c>
      <c r="AD48" s="31">
        <v>184294</v>
      </c>
      <c r="AE48" s="35">
        <v>24</v>
      </c>
      <c r="AF48" s="33">
        <v>44363</v>
      </c>
      <c r="AG48" s="36">
        <v>44372</v>
      </c>
      <c r="AH48" s="31"/>
      <c r="AI48" s="32"/>
      <c r="AJ48" s="27"/>
      <c r="AK48" s="36"/>
      <c r="AL48" s="31"/>
      <c r="AM48" s="32"/>
      <c r="AN48" s="27"/>
      <c r="AO48" s="36"/>
      <c r="AP48" s="31"/>
      <c r="AQ48" s="32"/>
      <c r="AR48" s="27"/>
      <c r="AS48" s="36"/>
      <c r="AT48" s="36"/>
      <c r="AU48" s="36"/>
      <c r="AV48" s="36"/>
      <c r="AW48" s="36"/>
      <c r="AX48" s="37">
        <f t="shared" si="1"/>
        <v>801294</v>
      </c>
      <c r="AY48" s="38">
        <f t="shared" si="2"/>
        <v>45771</v>
      </c>
    </row>
    <row r="49" spans="2:51" s="39" customFormat="1" ht="33.75">
      <c r="B49" s="22">
        <v>34</v>
      </c>
      <c r="C49" s="22" t="s">
        <v>39</v>
      </c>
      <c r="D49" s="23" t="s">
        <v>504</v>
      </c>
      <c r="E49" s="48" t="s">
        <v>505</v>
      </c>
      <c r="F49" s="48" t="s">
        <v>158</v>
      </c>
      <c r="G49" s="26" t="s">
        <v>426</v>
      </c>
      <c r="H49" s="73" t="s">
        <v>472</v>
      </c>
      <c r="I49" s="49" t="s">
        <v>44</v>
      </c>
      <c r="J49" s="216">
        <f>174932</f>
        <v>174932</v>
      </c>
      <c r="K49" s="34">
        <f>135900</f>
        <v>135900</v>
      </c>
      <c r="L49" s="34">
        <f>0</f>
        <v>0</v>
      </c>
      <c r="M49" s="34">
        <f>0</f>
        <v>0</v>
      </c>
      <c r="N49" s="34">
        <f>0</f>
        <v>0</v>
      </c>
      <c r="O49" s="34">
        <f>0</f>
        <v>0</v>
      </c>
      <c r="P49" s="34"/>
      <c r="Q49" s="34">
        <f>0</f>
        <v>0</v>
      </c>
      <c r="R49" s="34"/>
      <c r="S49" s="34"/>
      <c r="T49" s="34"/>
      <c r="U49" s="34"/>
      <c r="V49" s="34"/>
      <c r="W49" s="34"/>
      <c r="X49" s="34"/>
      <c r="Y49" s="34">
        <f t="shared" si="3"/>
        <v>0</v>
      </c>
      <c r="Z49" s="31">
        <f>23936</f>
        <v>23936</v>
      </c>
      <c r="AA49" s="226" t="s">
        <v>427</v>
      </c>
      <c r="AB49" s="33">
        <v>44209</v>
      </c>
      <c r="AC49" s="36">
        <v>44243</v>
      </c>
      <c r="AD49" s="31">
        <v>-1496</v>
      </c>
      <c r="AE49" s="35">
        <v>10</v>
      </c>
      <c r="AF49" s="33">
        <v>44299</v>
      </c>
      <c r="AG49" s="36">
        <v>44316</v>
      </c>
      <c r="AH49" s="31"/>
      <c r="AI49" s="32"/>
      <c r="AJ49" s="27"/>
      <c r="AK49" s="36"/>
      <c r="AL49" s="31"/>
      <c r="AM49" s="32"/>
      <c r="AN49" s="27"/>
      <c r="AO49" s="36"/>
      <c r="AP49" s="31"/>
      <c r="AQ49" s="32"/>
      <c r="AR49" s="27"/>
      <c r="AS49" s="36"/>
      <c r="AT49" s="36"/>
      <c r="AU49" s="36"/>
      <c r="AV49" s="36"/>
      <c r="AW49" s="36"/>
      <c r="AX49" s="37">
        <f t="shared" si="1"/>
        <v>22440</v>
      </c>
      <c r="AY49" s="38">
        <f t="shared" si="2"/>
        <v>22440</v>
      </c>
    </row>
    <row r="50" spans="2:51" s="39" customFormat="1" ht="22.5">
      <c r="B50" s="22">
        <v>35</v>
      </c>
      <c r="C50" s="22" t="s">
        <v>39</v>
      </c>
      <c r="D50" s="23" t="s">
        <v>506</v>
      </c>
      <c r="E50" s="48" t="s">
        <v>507</v>
      </c>
      <c r="F50" s="48" t="s">
        <v>146</v>
      </c>
      <c r="G50" s="26" t="s">
        <v>426</v>
      </c>
      <c r="H50" s="73" t="s">
        <v>426</v>
      </c>
      <c r="I50" s="49" t="s">
        <v>44</v>
      </c>
      <c r="J50" s="216">
        <f>996473</f>
        <v>996473</v>
      </c>
      <c r="K50" s="34">
        <f>256867</f>
        <v>256867</v>
      </c>
      <c r="L50" s="31">
        <f>80899-9999</f>
        <v>70900</v>
      </c>
      <c r="M50" s="34">
        <f>0</f>
        <v>0</v>
      </c>
      <c r="N50" s="34">
        <f>76888</f>
        <v>76888</v>
      </c>
      <c r="O50" s="34">
        <f>36947</f>
        <v>36947</v>
      </c>
      <c r="P50" s="34">
        <f>32880</f>
        <v>32880</v>
      </c>
      <c r="Q50" s="34">
        <f>12943</f>
        <v>12943</v>
      </c>
      <c r="R50" s="34"/>
      <c r="S50" s="34"/>
      <c r="T50" s="34"/>
      <c r="U50" s="34"/>
      <c r="V50" s="34"/>
      <c r="W50" s="34"/>
      <c r="X50" s="34"/>
      <c r="Y50" s="34">
        <f t="shared" si="3"/>
        <v>159658</v>
      </c>
      <c r="Z50" s="31">
        <f>15329+643377</f>
        <v>658706</v>
      </c>
      <c r="AA50" s="226" t="s">
        <v>427</v>
      </c>
      <c r="AB50" s="33">
        <v>44209</v>
      </c>
      <c r="AC50" s="36">
        <v>44243</v>
      </c>
      <c r="AD50" s="31">
        <f>5000+5000</f>
        <v>10000</v>
      </c>
      <c r="AE50" s="226" t="s">
        <v>440</v>
      </c>
      <c r="AF50" s="33">
        <v>44253</v>
      </c>
      <c r="AG50" s="36">
        <v>44281</v>
      </c>
      <c r="AH50" s="31">
        <v>-15000</v>
      </c>
      <c r="AI50" s="32">
        <v>10</v>
      </c>
      <c r="AJ50" s="33">
        <v>44299</v>
      </c>
      <c r="AK50" s="36">
        <v>44316</v>
      </c>
      <c r="AL50" s="31"/>
      <c r="AM50" s="32"/>
      <c r="AN50" s="27"/>
      <c r="AO50" s="36"/>
      <c r="AP50" s="31"/>
      <c r="AQ50" s="32"/>
      <c r="AR50" s="27"/>
      <c r="AS50" s="36"/>
      <c r="AT50" s="36"/>
      <c r="AU50" s="36"/>
      <c r="AV50" s="36"/>
      <c r="AW50" s="36"/>
      <c r="AX50" s="37">
        <f t="shared" si="1"/>
        <v>653706</v>
      </c>
      <c r="AY50" s="38">
        <f t="shared" si="2"/>
        <v>494048</v>
      </c>
    </row>
    <row r="51" spans="2:51" s="39" customFormat="1" ht="22.5">
      <c r="B51" s="22">
        <v>36</v>
      </c>
      <c r="C51" s="22" t="s">
        <v>39</v>
      </c>
      <c r="D51" s="23" t="s">
        <v>508</v>
      </c>
      <c r="E51" s="48" t="s">
        <v>509</v>
      </c>
      <c r="F51" s="48" t="s">
        <v>146</v>
      </c>
      <c r="G51" s="26" t="s">
        <v>426</v>
      </c>
      <c r="H51" s="73" t="s">
        <v>446</v>
      </c>
      <c r="I51" s="49" t="s">
        <v>44</v>
      </c>
      <c r="J51" s="216">
        <f>1818236</f>
        <v>1818236</v>
      </c>
      <c r="K51" s="34">
        <f>1201431</f>
        <v>1201431</v>
      </c>
      <c r="L51" s="34">
        <f>2810</f>
        <v>2810</v>
      </c>
      <c r="M51" s="34">
        <f>0</f>
        <v>0</v>
      </c>
      <c r="N51" s="34">
        <f>116540</f>
        <v>116540</v>
      </c>
      <c r="O51" s="34">
        <f>59199</f>
        <v>59199</v>
      </c>
      <c r="P51" s="34">
        <f>47790</f>
        <v>47790</v>
      </c>
      <c r="Q51" s="34">
        <f>51425</f>
        <v>51425</v>
      </c>
      <c r="R51" s="34"/>
      <c r="S51" s="34">
        <v>116293</v>
      </c>
      <c r="T51" s="34">
        <v>44189</v>
      </c>
      <c r="U51" s="34">
        <v>10070</v>
      </c>
      <c r="V51" s="34"/>
      <c r="W51" s="34"/>
      <c r="X51" s="34"/>
      <c r="Y51" s="34">
        <f t="shared" si="3"/>
        <v>445506</v>
      </c>
      <c r="Z51" s="31">
        <f>486750</f>
        <v>486750</v>
      </c>
      <c r="AA51" s="226" t="s">
        <v>427</v>
      </c>
      <c r="AB51" s="33">
        <v>44209</v>
      </c>
      <c r="AC51" s="36">
        <v>44243</v>
      </c>
      <c r="AD51" s="31">
        <f>2312+88749+36155</f>
        <v>127216</v>
      </c>
      <c r="AE51" s="35">
        <v>10</v>
      </c>
      <c r="AF51" s="33">
        <v>44299</v>
      </c>
      <c r="AG51" s="36">
        <v>44316</v>
      </c>
      <c r="AH51" s="31"/>
      <c r="AI51" s="32"/>
      <c r="AJ51" s="27"/>
      <c r="AK51" s="36"/>
      <c r="AL51" s="31"/>
      <c r="AM51" s="32"/>
      <c r="AN51" s="27"/>
      <c r="AO51" s="36"/>
      <c r="AP51" s="31"/>
      <c r="AQ51" s="32"/>
      <c r="AR51" s="27"/>
      <c r="AS51" s="36"/>
      <c r="AT51" s="36"/>
      <c r="AU51" s="36"/>
      <c r="AV51" s="36"/>
      <c r="AW51" s="36"/>
      <c r="AX51" s="37">
        <f t="shared" si="1"/>
        <v>613966</v>
      </c>
      <c r="AY51" s="38">
        <f t="shared" si="2"/>
        <v>168460</v>
      </c>
    </row>
    <row r="52" spans="2:51" s="39" customFormat="1" ht="22.5">
      <c r="B52" s="22">
        <v>37</v>
      </c>
      <c r="C52" s="22" t="s">
        <v>39</v>
      </c>
      <c r="D52" s="23" t="s">
        <v>510</v>
      </c>
      <c r="E52" s="48" t="s">
        <v>511</v>
      </c>
      <c r="F52" s="48" t="s">
        <v>146</v>
      </c>
      <c r="G52" s="26" t="s">
        <v>426</v>
      </c>
      <c r="H52" s="73" t="s">
        <v>430</v>
      </c>
      <c r="I52" s="49" t="s">
        <v>44</v>
      </c>
      <c r="J52" s="216">
        <f>5854007</f>
        <v>5854007</v>
      </c>
      <c r="K52" s="34">
        <f>4429005</f>
        <v>4429005</v>
      </c>
      <c r="L52" s="34">
        <f>601925</f>
        <v>601925</v>
      </c>
      <c r="M52" s="34">
        <f>0</f>
        <v>0</v>
      </c>
      <c r="N52" s="34">
        <f>0</f>
        <v>0</v>
      </c>
      <c r="O52" s="34">
        <f>0</f>
        <v>0</v>
      </c>
      <c r="P52" s="34">
        <f>0</f>
        <v>0</v>
      </c>
      <c r="Q52" s="34">
        <f>0</f>
        <v>0</v>
      </c>
      <c r="R52" s="34"/>
      <c r="S52" s="34"/>
      <c r="T52" s="34"/>
      <c r="U52" s="34">
        <v>229812</v>
      </c>
      <c r="V52" s="34"/>
      <c r="W52" s="34"/>
      <c r="X52" s="34"/>
      <c r="Y52" s="34">
        <f t="shared" si="3"/>
        <v>229812</v>
      </c>
      <c r="Z52" s="31">
        <f>16000+337791+1000+1000</f>
        <v>355791</v>
      </c>
      <c r="AA52" s="226" t="s">
        <v>427</v>
      </c>
      <c r="AB52" s="33">
        <v>44209</v>
      </c>
      <c r="AC52" s="36">
        <v>44243</v>
      </c>
      <c r="AD52" s="31">
        <v>160000</v>
      </c>
      <c r="AE52" s="35">
        <v>11</v>
      </c>
      <c r="AF52" s="33">
        <v>44323</v>
      </c>
      <c r="AG52" s="36">
        <v>44334</v>
      </c>
      <c r="AH52" s="31"/>
      <c r="AI52" s="32"/>
      <c r="AJ52" s="27"/>
      <c r="AK52" s="36"/>
      <c r="AL52" s="31"/>
      <c r="AM52" s="32"/>
      <c r="AN52" s="27"/>
      <c r="AO52" s="36"/>
      <c r="AP52" s="31"/>
      <c r="AQ52" s="32"/>
      <c r="AR52" s="27"/>
      <c r="AS52" s="36"/>
      <c r="AT52" s="36"/>
      <c r="AU52" s="36"/>
      <c r="AV52" s="36"/>
      <c r="AW52" s="36"/>
      <c r="AX52" s="37">
        <f t="shared" si="1"/>
        <v>515791</v>
      </c>
      <c r="AY52" s="38">
        <f t="shared" si="2"/>
        <v>285979</v>
      </c>
    </row>
    <row r="53" spans="2:51" s="39" customFormat="1" ht="22.5">
      <c r="B53" s="22">
        <v>38</v>
      </c>
      <c r="C53" s="22" t="s">
        <v>39</v>
      </c>
      <c r="D53" s="23" t="s">
        <v>512</v>
      </c>
      <c r="E53" s="48" t="s">
        <v>513</v>
      </c>
      <c r="F53" s="48" t="s">
        <v>146</v>
      </c>
      <c r="G53" s="26" t="s">
        <v>426</v>
      </c>
      <c r="H53" s="73" t="s">
        <v>446</v>
      </c>
      <c r="I53" s="49" t="s">
        <v>44</v>
      </c>
      <c r="J53" s="216">
        <f>480083</f>
        <v>480083</v>
      </c>
      <c r="K53" s="34">
        <f>428903</f>
        <v>428903</v>
      </c>
      <c r="L53" s="34">
        <f>2</f>
        <v>2</v>
      </c>
      <c r="M53" s="34">
        <f>0</f>
        <v>0</v>
      </c>
      <c r="N53" s="34">
        <f>0</f>
        <v>0</v>
      </c>
      <c r="O53" s="34">
        <f>0</f>
        <v>0</v>
      </c>
      <c r="P53" s="34">
        <f>0</f>
        <v>0</v>
      </c>
      <c r="Q53" s="34">
        <v>4100</v>
      </c>
      <c r="R53" s="34"/>
      <c r="S53" s="34"/>
      <c r="T53" s="34"/>
      <c r="U53" s="34"/>
      <c r="V53" s="34"/>
      <c r="W53" s="34"/>
      <c r="X53" s="34"/>
      <c r="Y53" s="34">
        <f t="shared" si="3"/>
        <v>4100</v>
      </c>
      <c r="Z53" s="31">
        <f>8329+38411</f>
        <v>46740</v>
      </c>
      <c r="AA53" s="226" t="s">
        <v>427</v>
      </c>
      <c r="AB53" s="33">
        <v>44209</v>
      </c>
      <c r="AC53" s="36">
        <v>44243</v>
      </c>
      <c r="AD53" s="31">
        <v>3575</v>
      </c>
      <c r="AE53" s="35">
        <v>10</v>
      </c>
      <c r="AF53" s="33">
        <v>44299</v>
      </c>
      <c r="AG53" s="36">
        <v>44316</v>
      </c>
      <c r="AH53" s="31"/>
      <c r="AI53" s="32"/>
      <c r="AJ53" s="27"/>
      <c r="AK53" s="36"/>
      <c r="AL53" s="31"/>
      <c r="AM53" s="32"/>
      <c r="AN53" s="27"/>
      <c r="AO53" s="36"/>
      <c r="AP53" s="31"/>
      <c r="AQ53" s="32"/>
      <c r="AR53" s="27"/>
      <c r="AS53" s="36"/>
      <c r="AT53" s="36"/>
      <c r="AU53" s="36"/>
      <c r="AV53" s="36"/>
      <c r="AW53" s="36"/>
      <c r="AX53" s="37">
        <f t="shared" si="1"/>
        <v>50315</v>
      </c>
      <c r="AY53" s="38">
        <f t="shared" si="2"/>
        <v>46215</v>
      </c>
    </row>
    <row r="54" spans="2:51" s="39" customFormat="1" ht="22.5">
      <c r="B54" s="22">
        <v>39</v>
      </c>
      <c r="C54" s="22" t="s">
        <v>39</v>
      </c>
      <c r="D54" s="23" t="s">
        <v>514</v>
      </c>
      <c r="E54" s="48" t="s">
        <v>515</v>
      </c>
      <c r="F54" s="48" t="s">
        <v>146</v>
      </c>
      <c r="G54" s="26" t="s">
        <v>426</v>
      </c>
      <c r="H54" s="73" t="s">
        <v>516</v>
      </c>
      <c r="I54" s="49" t="s">
        <v>44</v>
      </c>
      <c r="J54" s="216">
        <f>1406025</f>
        <v>1406025</v>
      </c>
      <c r="K54" s="34">
        <f>1359600</f>
        <v>1359600</v>
      </c>
      <c r="L54" s="34">
        <f>1</f>
        <v>1</v>
      </c>
      <c r="M54" s="34">
        <f>0</f>
        <v>0</v>
      </c>
      <c r="N54" s="34">
        <v>409</v>
      </c>
      <c r="O54" s="34">
        <f>0</f>
        <v>0</v>
      </c>
      <c r="P54" s="34"/>
      <c r="Q54" s="34">
        <f>0</f>
        <v>0</v>
      </c>
      <c r="R54" s="34"/>
      <c r="S54" s="34"/>
      <c r="T54" s="34"/>
      <c r="U54" s="34">
        <v>10000</v>
      </c>
      <c r="V54" s="34"/>
      <c r="W54" s="34"/>
      <c r="X54" s="34"/>
      <c r="Y54" s="34">
        <f t="shared" si="3"/>
        <v>10409</v>
      </c>
      <c r="Z54" s="31">
        <f>8329+17244</f>
        <v>25573</v>
      </c>
      <c r="AA54" s="226" t="s">
        <v>427</v>
      </c>
      <c r="AB54" s="33">
        <v>44209</v>
      </c>
      <c r="AC54" s="36">
        <v>44243</v>
      </c>
      <c r="AD54" s="31">
        <f>278</f>
        <v>278</v>
      </c>
      <c r="AE54" s="35">
        <v>10</v>
      </c>
      <c r="AF54" s="33">
        <v>44299</v>
      </c>
      <c r="AG54" s="36">
        <v>44316</v>
      </c>
      <c r="AH54" s="31"/>
      <c r="AI54" s="32"/>
      <c r="AJ54" s="27"/>
      <c r="AK54" s="36"/>
      <c r="AL54" s="31"/>
      <c r="AM54" s="32"/>
      <c r="AN54" s="27"/>
      <c r="AO54" s="36"/>
      <c r="AP54" s="31"/>
      <c r="AQ54" s="32"/>
      <c r="AR54" s="27"/>
      <c r="AS54" s="36"/>
      <c r="AT54" s="36"/>
      <c r="AU54" s="36"/>
      <c r="AV54" s="36"/>
      <c r="AW54" s="36"/>
      <c r="AX54" s="37">
        <f t="shared" si="1"/>
        <v>25851</v>
      </c>
      <c r="AY54" s="38">
        <f t="shared" si="2"/>
        <v>15442</v>
      </c>
    </row>
    <row r="55" spans="2:51" s="39" customFormat="1" ht="22.5">
      <c r="B55" s="22">
        <v>40</v>
      </c>
      <c r="C55" s="22" t="s">
        <v>39</v>
      </c>
      <c r="D55" s="23" t="s">
        <v>517</v>
      </c>
      <c r="E55" s="48" t="s">
        <v>518</v>
      </c>
      <c r="F55" s="48" t="s">
        <v>146</v>
      </c>
      <c r="G55" s="26" t="s">
        <v>426</v>
      </c>
      <c r="H55" s="73" t="s">
        <v>519</v>
      </c>
      <c r="I55" s="49" t="s">
        <v>52</v>
      </c>
      <c r="J55" s="216">
        <f>397120</f>
        <v>397120</v>
      </c>
      <c r="K55" s="34">
        <f>3340</f>
        <v>3340</v>
      </c>
      <c r="L55" s="34">
        <f>940</f>
        <v>940</v>
      </c>
      <c r="M55" s="34">
        <f>0</f>
        <v>0</v>
      </c>
      <c r="N55" s="34">
        <f>1677</f>
        <v>1677</v>
      </c>
      <c r="O55" s="34">
        <v>2000</v>
      </c>
      <c r="P55" s="34">
        <f>3333</f>
        <v>3333</v>
      </c>
      <c r="Q55" s="34">
        <v>2000</v>
      </c>
      <c r="R55" s="225">
        <v>14575</v>
      </c>
      <c r="S55" s="34">
        <v>1733</v>
      </c>
      <c r="T55" s="34">
        <v>15664</v>
      </c>
      <c r="U55" s="34">
        <v>17783</v>
      </c>
      <c r="V55" s="34"/>
      <c r="W55" s="34"/>
      <c r="X55" s="34"/>
      <c r="Y55" s="34">
        <f t="shared" si="3"/>
        <v>58765</v>
      </c>
      <c r="Z55" s="31">
        <f>25000+325519+18938+6333</f>
        <v>375790</v>
      </c>
      <c r="AA55" s="226" t="s">
        <v>427</v>
      </c>
      <c r="AB55" s="33">
        <v>44209</v>
      </c>
      <c r="AC55" s="36">
        <v>44243</v>
      </c>
      <c r="AD55" s="31">
        <v>-5000</v>
      </c>
      <c r="AE55" s="35">
        <v>10</v>
      </c>
      <c r="AF55" s="33">
        <v>44299</v>
      </c>
      <c r="AG55" s="36">
        <v>44316</v>
      </c>
      <c r="AH55" s="31">
        <v>-205271</v>
      </c>
      <c r="AI55" s="32">
        <v>24</v>
      </c>
      <c r="AJ55" s="33">
        <v>44363</v>
      </c>
      <c r="AK55" s="36">
        <v>44372</v>
      </c>
      <c r="AL55" s="31">
        <v>368</v>
      </c>
      <c r="AM55" s="32">
        <v>38</v>
      </c>
      <c r="AN55" s="33">
        <v>44433</v>
      </c>
      <c r="AO55" s="36">
        <v>44449</v>
      </c>
      <c r="AP55" s="31"/>
      <c r="AQ55" s="32"/>
      <c r="AR55" s="27"/>
      <c r="AS55" s="36"/>
      <c r="AT55" s="36"/>
      <c r="AU55" s="36"/>
      <c r="AV55" s="36"/>
      <c r="AW55" s="36"/>
      <c r="AX55" s="37">
        <f t="shared" si="1"/>
        <v>165887</v>
      </c>
      <c r="AY55" s="38">
        <f t="shared" si="2"/>
        <v>107122</v>
      </c>
    </row>
    <row r="56" spans="2:51" s="39" customFormat="1" ht="22.5">
      <c r="B56" s="22">
        <v>41</v>
      </c>
      <c r="C56" s="22" t="s">
        <v>39</v>
      </c>
      <c r="D56" s="23" t="s">
        <v>520</v>
      </c>
      <c r="E56" s="48" t="s">
        <v>521</v>
      </c>
      <c r="F56" s="48" t="s">
        <v>146</v>
      </c>
      <c r="G56" s="26" t="s">
        <v>426</v>
      </c>
      <c r="H56" s="73" t="s">
        <v>452</v>
      </c>
      <c r="I56" s="49" t="s">
        <v>52</v>
      </c>
      <c r="J56" s="216">
        <f>618443</f>
        <v>618443</v>
      </c>
      <c r="K56" s="34">
        <f>2776</f>
        <v>2776</v>
      </c>
      <c r="L56" s="34">
        <f>37432</f>
        <v>37432</v>
      </c>
      <c r="M56" s="34">
        <f>0</f>
        <v>0</v>
      </c>
      <c r="N56" s="34">
        <f>0</f>
        <v>0</v>
      </c>
      <c r="O56" s="34">
        <f>0</f>
        <v>0</v>
      </c>
      <c r="P56" s="34">
        <f>0</f>
        <v>0</v>
      </c>
      <c r="Q56" s="34">
        <f>0</f>
        <v>0</v>
      </c>
      <c r="R56" s="34"/>
      <c r="S56" s="34"/>
      <c r="T56" s="34"/>
      <c r="U56" s="34"/>
      <c r="V56" s="34"/>
      <c r="W56" s="34"/>
      <c r="X56" s="34"/>
      <c r="Y56" s="34">
        <f t="shared" si="3"/>
        <v>0</v>
      </c>
      <c r="Z56" s="31">
        <f>11539+472739</f>
        <v>484278</v>
      </c>
      <c r="AA56" s="226" t="s">
        <v>427</v>
      </c>
      <c r="AB56" s="33">
        <v>44209</v>
      </c>
      <c r="AC56" s="36">
        <v>44243</v>
      </c>
      <c r="AD56" s="31">
        <f>2825+45281+43841</f>
        <v>91947</v>
      </c>
      <c r="AE56" s="35">
        <v>10</v>
      </c>
      <c r="AF56" s="33">
        <v>44299</v>
      </c>
      <c r="AG56" s="36">
        <v>44316</v>
      </c>
      <c r="AH56" s="31">
        <f>-14364-322739-45281-43841</f>
        <v>-426225</v>
      </c>
      <c r="AI56" s="32">
        <v>11</v>
      </c>
      <c r="AJ56" s="33">
        <v>44323</v>
      </c>
      <c r="AK56" s="36">
        <v>44334</v>
      </c>
      <c r="AL56" s="31"/>
      <c r="AM56" s="32"/>
      <c r="AN56" s="27"/>
      <c r="AO56" s="36"/>
      <c r="AP56" s="31"/>
      <c r="AQ56" s="32"/>
      <c r="AR56" s="27"/>
      <c r="AS56" s="36"/>
      <c r="AT56" s="36"/>
      <c r="AU56" s="36"/>
      <c r="AV56" s="36"/>
      <c r="AW56" s="36"/>
      <c r="AX56" s="37">
        <f t="shared" si="1"/>
        <v>150000</v>
      </c>
      <c r="AY56" s="38">
        <f t="shared" si="2"/>
        <v>150000</v>
      </c>
    </row>
    <row r="57" spans="2:51" s="39" customFormat="1" ht="33.75">
      <c r="B57" s="22">
        <v>42</v>
      </c>
      <c r="C57" s="22" t="s">
        <v>39</v>
      </c>
      <c r="D57" s="23" t="s">
        <v>522</v>
      </c>
      <c r="E57" s="48" t="s">
        <v>523</v>
      </c>
      <c r="F57" s="48" t="s">
        <v>146</v>
      </c>
      <c r="G57" s="26" t="s">
        <v>426</v>
      </c>
      <c r="H57" s="73" t="s">
        <v>472</v>
      </c>
      <c r="I57" s="49" t="s">
        <v>44</v>
      </c>
      <c r="J57" s="216">
        <f>1226241</f>
        <v>1226241</v>
      </c>
      <c r="K57" s="34">
        <f>59895</f>
        <v>59895</v>
      </c>
      <c r="L57" s="34">
        <f>240940</f>
        <v>240940</v>
      </c>
      <c r="M57" s="34">
        <f>0</f>
        <v>0</v>
      </c>
      <c r="N57" s="34">
        <v>44684</v>
      </c>
      <c r="O57" s="34">
        <f>62568</f>
        <v>62568</v>
      </c>
      <c r="P57" s="34">
        <f>44811</f>
        <v>44811</v>
      </c>
      <c r="Q57" s="34">
        <f>39141</f>
        <v>39141</v>
      </c>
      <c r="R57" s="34"/>
      <c r="S57" s="34"/>
      <c r="T57" s="34"/>
      <c r="U57" s="34"/>
      <c r="V57" s="34"/>
      <c r="W57" s="34"/>
      <c r="X57" s="34"/>
      <c r="Y57" s="34">
        <f t="shared" si="3"/>
        <v>191204</v>
      </c>
      <c r="Z57" s="31">
        <f>22000+903242</f>
        <v>925242</v>
      </c>
      <c r="AA57" s="226" t="s">
        <v>427</v>
      </c>
      <c r="AB57" s="33">
        <v>44209</v>
      </c>
      <c r="AC57" s="36">
        <v>44243</v>
      </c>
      <c r="AD57" s="31">
        <f>163</f>
        <v>163</v>
      </c>
      <c r="AE57" s="35">
        <v>10</v>
      </c>
      <c r="AF57" s="33">
        <v>44299</v>
      </c>
      <c r="AG57" s="36">
        <v>44316</v>
      </c>
      <c r="AH57" s="31">
        <v>-633782</v>
      </c>
      <c r="AI57" s="32">
        <v>38</v>
      </c>
      <c r="AJ57" s="33">
        <v>44433</v>
      </c>
      <c r="AK57" s="36">
        <v>44449</v>
      </c>
      <c r="AL57" s="31"/>
      <c r="AM57" s="32"/>
      <c r="AN57" s="27"/>
      <c r="AO57" s="36"/>
      <c r="AP57" s="31"/>
      <c r="AQ57" s="32"/>
      <c r="AR57" s="27"/>
      <c r="AS57" s="36"/>
      <c r="AT57" s="36"/>
      <c r="AU57" s="36"/>
      <c r="AV57" s="36"/>
      <c r="AW57" s="36"/>
      <c r="AX57" s="37">
        <f t="shared" si="1"/>
        <v>291623</v>
      </c>
      <c r="AY57" s="38">
        <f t="shared" si="2"/>
        <v>100419</v>
      </c>
    </row>
    <row r="58" spans="2:51" s="39" customFormat="1" ht="33.75">
      <c r="B58" s="22">
        <v>43</v>
      </c>
      <c r="C58" s="22" t="s">
        <v>39</v>
      </c>
      <c r="D58" s="23" t="s">
        <v>524</v>
      </c>
      <c r="E58" s="48" t="s">
        <v>525</v>
      </c>
      <c r="F58" s="48" t="s">
        <v>146</v>
      </c>
      <c r="G58" s="26" t="s">
        <v>426</v>
      </c>
      <c r="H58" s="26" t="s">
        <v>426</v>
      </c>
      <c r="I58" s="49" t="s">
        <v>52</v>
      </c>
      <c r="J58" s="216">
        <f>841354</f>
        <v>841354</v>
      </c>
      <c r="K58" s="34">
        <f>7488</f>
        <v>7488</v>
      </c>
      <c r="L58" s="34">
        <f>0</f>
        <v>0</v>
      </c>
      <c r="M58" s="34">
        <f>0</f>
        <v>0</v>
      </c>
      <c r="N58" s="34">
        <f>0</f>
        <v>0</v>
      </c>
      <c r="O58" s="34">
        <f>75311</f>
        <v>75311</v>
      </c>
      <c r="P58" s="34">
        <f>42069</f>
        <v>42069</v>
      </c>
      <c r="Q58" s="34"/>
      <c r="R58" s="225">
        <v>78857</v>
      </c>
      <c r="S58" s="34"/>
      <c r="T58" s="34">
        <v>158121</v>
      </c>
      <c r="U58" s="34">
        <v>216678</v>
      </c>
      <c r="V58" s="34"/>
      <c r="W58" s="34"/>
      <c r="X58" s="34"/>
      <c r="Y58" s="34">
        <f t="shared" si="3"/>
        <v>571036</v>
      </c>
      <c r="Z58" s="31">
        <f>727133</f>
        <v>727133</v>
      </c>
      <c r="AA58" s="226" t="s">
        <v>427</v>
      </c>
      <c r="AB58" s="33">
        <v>44209</v>
      </c>
      <c r="AC58" s="36">
        <v>44243</v>
      </c>
      <c r="AD58" s="31">
        <v>57653</v>
      </c>
      <c r="AE58" s="35">
        <v>34</v>
      </c>
      <c r="AF58" s="33">
        <v>44411</v>
      </c>
      <c r="AG58" s="36">
        <v>44449</v>
      </c>
      <c r="AH58" s="31"/>
      <c r="AI58" s="32"/>
      <c r="AJ58" s="27"/>
      <c r="AK58" s="36"/>
      <c r="AL58" s="31"/>
      <c r="AM58" s="32"/>
      <c r="AN58" s="27"/>
      <c r="AO58" s="36"/>
      <c r="AP58" s="31"/>
      <c r="AQ58" s="32"/>
      <c r="AR58" s="27"/>
      <c r="AS58" s="36"/>
      <c r="AT58" s="36"/>
      <c r="AU58" s="36"/>
      <c r="AV58" s="36"/>
      <c r="AW58" s="36"/>
      <c r="AX58" s="37">
        <f t="shared" si="1"/>
        <v>784786</v>
      </c>
      <c r="AY58" s="38">
        <f t="shared" si="2"/>
        <v>213750</v>
      </c>
    </row>
    <row r="59" spans="2:51" s="39" customFormat="1" ht="33.75">
      <c r="B59" s="22">
        <v>44</v>
      </c>
      <c r="C59" s="22" t="s">
        <v>39</v>
      </c>
      <c r="D59" s="23" t="s">
        <v>526</v>
      </c>
      <c r="E59" s="48" t="s">
        <v>527</v>
      </c>
      <c r="F59" s="48" t="s">
        <v>146</v>
      </c>
      <c r="G59" s="26" t="s">
        <v>426</v>
      </c>
      <c r="H59" s="73" t="s">
        <v>446</v>
      </c>
      <c r="I59" s="49" t="s">
        <v>44</v>
      </c>
      <c r="J59" s="216">
        <f>632513</f>
        <v>632513</v>
      </c>
      <c r="K59" s="34">
        <f>632293</f>
        <v>632293</v>
      </c>
      <c r="L59" s="34">
        <f>0</f>
        <v>0</v>
      </c>
      <c r="M59" s="34">
        <f>0</f>
        <v>0</v>
      </c>
      <c r="N59" s="34">
        <f>0</f>
        <v>0</v>
      </c>
      <c r="O59" s="34">
        <f>0</f>
        <v>0</v>
      </c>
      <c r="P59" s="34"/>
      <c r="Q59" s="34"/>
      <c r="R59" s="34"/>
      <c r="S59" s="34"/>
      <c r="T59" s="34"/>
      <c r="U59" s="34"/>
      <c r="V59" s="34"/>
      <c r="W59" s="34"/>
      <c r="X59" s="34"/>
      <c r="Y59" s="34">
        <f t="shared" si="3"/>
        <v>0</v>
      </c>
      <c r="Z59" s="31">
        <f>218</f>
        <v>218</v>
      </c>
      <c r="AA59" s="226" t="s">
        <v>427</v>
      </c>
      <c r="AB59" s="33">
        <v>44209</v>
      </c>
      <c r="AC59" s="36">
        <v>44243</v>
      </c>
      <c r="AD59" s="31"/>
      <c r="AE59" s="35"/>
      <c r="AF59" s="27"/>
      <c r="AG59" s="36"/>
      <c r="AH59" s="31"/>
      <c r="AI59" s="32"/>
      <c r="AJ59" s="27"/>
      <c r="AK59" s="36"/>
      <c r="AL59" s="31"/>
      <c r="AM59" s="32"/>
      <c r="AN59" s="27"/>
      <c r="AO59" s="36"/>
      <c r="AP59" s="31"/>
      <c r="AQ59" s="32"/>
      <c r="AR59" s="27"/>
      <c r="AS59" s="36"/>
      <c r="AT59" s="36"/>
      <c r="AU59" s="36"/>
      <c r="AV59" s="36"/>
      <c r="AW59" s="36"/>
      <c r="AX59" s="37">
        <f t="shared" si="1"/>
        <v>218</v>
      </c>
      <c r="AY59" s="38">
        <f t="shared" si="2"/>
        <v>218</v>
      </c>
    </row>
    <row r="60" spans="2:51" s="39" customFormat="1" ht="22.5">
      <c r="B60" s="22">
        <v>45</v>
      </c>
      <c r="C60" s="22" t="s">
        <v>39</v>
      </c>
      <c r="D60" s="23" t="s">
        <v>528</v>
      </c>
      <c r="E60" s="48" t="s">
        <v>529</v>
      </c>
      <c r="F60" s="48" t="s">
        <v>146</v>
      </c>
      <c r="G60" s="26" t="s">
        <v>426</v>
      </c>
      <c r="H60" s="26" t="s">
        <v>426</v>
      </c>
      <c r="I60" s="49" t="s">
        <v>44</v>
      </c>
      <c r="J60" s="216">
        <f>842374</f>
        <v>842374</v>
      </c>
      <c r="K60" s="34">
        <f>794316</f>
        <v>794316</v>
      </c>
      <c r="L60" s="34">
        <f>0</f>
        <v>0</v>
      </c>
      <c r="M60" s="34">
        <f>0</f>
        <v>0</v>
      </c>
      <c r="N60" s="34">
        <f>0</f>
        <v>0</v>
      </c>
      <c r="O60" s="34">
        <f>0</f>
        <v>0</v>
      </c>
      <c r="P60" s="34"/>
      <c r="Q60" s="34"/>
      <c r="R60" s="34"/>
      <c r="S60" s="34"/>
      <c r="T60" s="34"/>
      <c r="U60" s="34"/>
      <c r="V60" s="34"/>
      <c r="W60" s="34"/>
      <c r="X60" s="34"/>
      <c r="Y60" s="34">
        <f t="shared" si="3"/>
        <v>0</v>
      </c>
      <c r="Z60" s="31">
        <f>2412+44589</f>
        <v>47001</v>
      </c>
      <c r="AA60" s="226" t="s">
        <v>427</v>
      </c>
      <c r="AB60" s="33">
        <v>44209</v>
      </c>
      <c r="AC60" s="36">
        <v>44243</v>
      </c>
      <c r="AD60" s="31">
        <v>-45001</v>
      </c>
      <c r="AE60" s="35">
        <v>24</v>
      </c>
      <c r="AF60" s="33">
        <v>44363</v>
      </c>
      <c r="AG60" s="36">
        <v>44372</v>
      </c>
      <c r="AH60" s="31"/>
      <c r="AI60" s="32"/>
      <c r="AJ60" s="27"/>
      <c r="AK60" s="36"/>
      <c r="AL60" s="31"/>
      <c r="AM60" s="32"/>
      <c r="AN60" s="27"/>
      <c r="AO60" s="36"/>
      <c r="AP60" s="31"/>
      <c r="AQ60" s="32"/>
      <c r="AR60" s="27"/>
      <c r="AS60" s="36"/>
      <c r="AT60" s="36"/>
      <c r="AU60" s="36"/>
      <c r="AV60" s="36"/>
      <c r="AW60" s="36"/>
      <c r="AX60" s="37">
        <f t="shared" si="1"/>
        <v>2000</v>
      </c>
      <c r="AY60" s="38">
        <f t="shared" si="2"/>
        <v>2000</v>
      </c>
    </row>
    <row r="61" spans="2:51" s="39" customFormat="1" ht="22.5">
      <c r="B61" s="22">
        <v>46</v>
      </c>
      <c r="C61" s="22" t="s">
        <v>39</v>
      </c>
      <c r="D61" s="23" t="s">
        <v>530</v>
      </c>
      <c r="E61" s="48" t="s">
        <v>531</v>
      </c>
      <c r="F61" s="48" t="s">
        <v>146</v>
      </c>
      <c r="G61" s="26" t="s">
        <v>426</v>
      </c>
      <c r="H61" s="73" t="s">
        <v>495</v>
      </c>
      <c r="I61" s="49" t="s">
        <v>44</v>
      </c>
      <c r="J61" s="216">
        <f>1335341</f>
        <v>1335341</v>
      </c>
      <c r="K61" s="34">
        <f>549947</f>
        <v>549947</v>
      </c>
      <c r="L61" s="34">
        <f>16797</f>
        <v>16797</v>
      </c>
      <c r="M61" s="34">
        <f>0</f>
        <v>0</v>
      </c>
      <c r="N61" s="34">
        <v>187748</v>
      </c>
      <c r="O61" s="34">
        <v>186182</v>
      </c>
      <c r="P61" s="34">
        <f>59872</f>
        <v>59872</v>
      </c>
      <c r="Q61" s="34">
        <f>91687</f>
        <v>91687</v>
      </c>
      <c r="R61" s="225">
        <v>77611</v>
      </c>
      <c r="S61" s="34">
        <v>92063</v>
      </c>
      <c r="T61" s="34"/>
      <c r="U61" s="34"/>
      <c r="V61" s="34"/>
      <c r="W61" s="34"/>
      <c r="X61" s="34"/>
      <c r="Y61" s="34">
        <f t="shared" si="3"/>
        <v>695163</v>
      </c>
      <c r="Z61" s="31">
        <f>763353</f>
        <v>763353</v>
      </c>
      <c r="AA61" s="226" t="s">
        <v>427</v>
      </c>
      <c r="AB61" s="33">
        <v>44209</v>
      </c>
      <c r="AC61" s="36">
        <v>44243</v>
      </c>
      <c r="AD61" s="31"/>
      <c r="AE61" s="35"/>
      <c r="AF61" s="27"/>
      <c r="AG61" s="36"/>
      <c r="AH61" s="31"/>
      <c r="AI61" s="32"/>
      <c r="AJ61" s="27"/>
      <c r="AK61" s="36"/>
      <c r="AL61" s="31"/>
      <c r="AM61" s="32"/>
      <c r="AN61" s="27"/>
      <c r="AO61" s="36"/>
      <c r="AP61" s="31"/>
      <c r="AQ61" s="32"/>
      <c r="AR61" s="27"/>
      <c r="AS61" s="36"/>
      <c r="AT61" s="36"/>
      <c r="AU61" s="36"/>
      <c r="AV61" s="36"/>
      <c r="AW61" s="36"/>
      <c r="AX61" s="37">
        <f t="shared" si="1"/>
        <v>763353</v>
      </c>
      <c r="AY61" s="38">
        <f t="shared" si="2"/>
        <v>68190</v>
      </c>
    </row>
    <row r="62" spans="2:51" s="39" customFormat="1" ht="33.75" customHeight="1">
      <c r="B62" s="22">
        <v>47</v>
      </c>
      <c r="C62" s="22" t="s">
        <v>39</v>
      </c>
      <c r="D62" s="23" t="s">
        <v>532</v>
      </c>
      <c r="E62" s="48" t="s">
        <v>533</v>
      </c>
      <c r="F62" s="48" t="s">
        <v>158</v>
      </c>
      <c r="G62" s="26" t="s">
        <v>426</v>
      </c>
      <c r="H62" s="73" t="s">
        <v>472</v>
      </c>
      <c r="I62" s="49" t="s">
        <v>44</v>
      </c>
      <c r="J62" s="216">
        <f>833063</f>
        <v>833063</v>
      </c>
      <c r="K62" s="34">
        <f>695566</f>
        <v>695566</v>
      </c>
      <c r="L62" s="34">
        <f>1</f>
        <v>1</v>
      </c>
      <c r="M62" s="34">
        <f>0</f>
        <v>0</v>
      </c>
      <c r="N62" s="34">
        <f>0</f>
        <v>0</v>
      </c>
      <c r="O62" s="34">
        <f>0</f>
        <v>0</v>
      </c>
      <c r="P62" s="34"/>
      <c r="Q62" s="34"/>
      <c r="R62" s="34"/>
      <c r="S62" s="34">
        <v>62220</v>
      </c>
      <c r="T62" s="34"/>
      <c r="U62" s="34"/>
      <c r="V62" s="34"/>
      <c r="W62" s="34"/>
      <c r="X62" s="34"/>
      <c r="Y62" s="34">
        <f t="shared" si="3"/>
        <v>62220</v>
      </c>
      <c r="Z62" s="31">
        <f>137496</f>
        <v>137496</v>
      </c>
      <c r="AA62" s="226" t="s">
        <v>427</v>
      </c>
      <c r="AB62" s="33">
        <v>44209</v>
      </c>
      <c r="AC62" s="36">
        <v>44243</v>
      </c>
      <c r="AD62" s="31">
        <v>-36496</v>
      </c>
      <c r="AE62" s="35">
        <v>24</v>
      </c>
      <c r="AF62" s="33">
        <v>44363</v>
      </c>
      <c r="AG62" s="36">
        <v>44372</v>
      </c>
      <c r="AH62" s="31"/>
      <c r="AI62" s="32"/>
      <c r="AJ62" s="27"/>
      <c r="AK62" s="36"/>
      <c r="AL62" s="31"/>
      <c r="AM62" s="32"/>
      <c r="AN62" s="27"/>
      <c r="AO62" s="36"/>
      <c r="AP62" s="31"/>
      <c r="AQ62" s="32"/>
      <c r="AR62" s="27"/>
      <c r="AS62" s="36"/>
      <c r="AT62" s="36"/>
      <c r="AU62" s="36"/>
      <c r="AV62" s="36"/>
      <c r="AW62" s="36"/>
      <c r="AX62" s="37">
        <f t="shared" si="1"/>
        <v>101000</v>
      </c>
      <c r="AY62" s="38">
        <f t="shared" si="2"/>
        <v>38780</v>
      </c>
    </row>
    <row r="63" spans="2:51" s="39" customFormat="1" ht="22.5">
      <c r="B63" s="22">
        <v>48</v>
      </c>
      <c r="C63" s="22" t="s">
        <v>39</v>
      </c>
      <c r="D63" s="23" t="s">
        <v>534</v>
      </c>
      <c r="E63" s="48" t="s">
        <v>535</v>
      </c>
      <c r="F63" s="48" t="s">
        <v>146</v>
      </c>
      <c r="G63" s="26" t="s">
        <v>426</v>
      </c>
      <c r="H63" s="73" t="s">
        <v>457</v>
      </c>
      <c r="I63" s="49" t="s">
        <v>44</v>
      </c>
      <c r="J63" s="216">
        <f>1050903</f>
        <v>1050903</v>
      </c>
      <c r="K63" s="34">
        <f>966909</f>
        <v>966909</v>
      </c>
      <c r="L63" s="34">
        <f>0</f>
        <v>0</v>
      </c>
      <c r="M63" s="34">
        <f>0</f>
        <v>0</v>
      </c>
      <c r="N63" s="34">
        <f>0</f>
        <v>0</v>
      </c>
      <c r="O63" s="34">
        <f>0</f>
        <v>0</v>
      </c>
      <c r="P63" s="34"/>
      <c r="Q63" s="34"/>
      <c r="R63" s="34"/>
      <c r="S63" s="34"/>
      <c r="T63" s="34"/>
      <c r="U63" s="34"/>
      <c r="V63" s="34"/>
      <c r="W63" s="34"/>
      <c r="X63" s="34"/>
      <c r="Y63" s="34">
        <f t="shared" si="3"/>
        <v>0</v>
      </c>
      <c r="Z63" s="31">
        <f>11957+70189</f>
        <v>82146</v>
      </c>
      <c r="AA63" s="226" t="s">
        <v>427</v>
      </c>
      <c r="AB63" s="33">
        <v>44209</v>
      </c>
      <c r="AC63" s="36">
        <v>44243</v>
      </c>
      <c r="AD63" s="31">
        <v>-72146</v>
      </c>
      <c r="AE63" s="35">
        <v>24</v>
      </c>
      <c r="AF63" s="33">
        <v>44363</v>
      </c>
      <c r="AG63" s="36">
        <v>44372</v>
      </c>
      <c r="AH63" s="31"/>
      <c r="AI63" s="32"/>
      <c r="AJ63" s="27"/>
      <c r="AK63" s="36"/>
      <c r="AL63" s="31"/>
      <c r="AM63" s="32"/>
      <c r="AN63" s="27"/>
      <c r="AO63" s="36"/>
      <c r="AP63" s="31"/>
      <c r="AQ63" s="32"/>
      <c r="AR63" s="27"/>
      <c r="AS63" s="36"/>
      <c r="AT63" s="36"/>
      <c r="AU63" s="36"/>
      <c r="AV63" s="36"/>
      <c r="AW63" s="36"/>
      <c r="AX63" s="37">
        <f t="shared" si="1"/>
        <v>10000</v>
      </c>
      <c r="AY63" s="38">
        <f t="shared" si="2"/>
        <v>10000</v>
      </c>
    </row>
    <row r="64" spans="2:51" s="39" customFormat="1" ht="22.5">
      <c r="B64" s="22">
        <v>49</v>
      </c>
      <c r="C64" s="22" t="s">
        <v>39</v>
      </c>
      <c r="D64" s="23" t="s">
        <v>536</v>
      </c>
      <c r="E64" s="48" t="s">
        <v>537</v>
      </c>
      <c r="F64" s="48" t="s">
        <v>158</v>
      </c>
      <c r="G64" s="26" t="s">
        <v>426</v>
      </c>
      <c r="H64" s="73" t="s">
        <v>457</v>
      </c>
      <c r="I64" s="49" t="s">
        <v>44</v>
      </c>
      <c r="J64" s="216">
        <f>62611</f>
        <v>62611</v>
      </c>
      <c r="K64" s="34">
        <f>51011</f>
        <v>51011</v>
      </c>
      <c r="L64" s="34">
        <f>0</f>
        <v>0</v>
      </c>
      <c r="M64" s="34">
        <f>0</f>
        <v>0</v>
      </c>
      <c r="N64" s="34">
        <v>11600</v>
      </c>
      <c r="O64" s="34">
        <f>0</f>
        <v>0</v>
      </c>
      <c r="P64" s="34"/>
      <c r="Q64" s="34"/>
      <c r="R64" s="34"/>
      <c r="S64" s="34"/>
      <c r="T64" s="34"/>
      <c r="U64" s="34"/>
      <c r="V64" s="34"/>
      <c r="W64" s="34"/>
      <c r="X64" s="34"/>
      <c r="Y64" s="34">
        <f t="shared" si="3"/>
        <v>11600</v>
      </c>
      <c r="Z64" s="31">
        <f>11600</f>
        <v>11600</v>
      </c>
      <c r="AA64" s="226" t="s">
        <v>427</v>
      </c>
      <c r="AB64" s="33">
        <v>44209</v>
      </c>
      <c r="AC64" s="36">
        <v>44243</v>
      </c>
      <c r="AD64" s="31"/>
      <c r="AE64" s="35"/>
      <c r="AF64" s="27"/>
      <c r="AG64" s="36"/>
      <c r="AH64" s="31"/>
      <c r="AI64" s="32"/>
      <c r="AJ64" s="27"/>
      <c r="AK64" s="36"/>
      <c r="AL64" s="31"/>
      <c r="AM64" s="32"/>
      <c r="AN64" s="27"/>
      <c r="AO64" s="36"/>
      <c r="AP64" s="31"/>
      <c r="AQ64" s="32"/>
      <c r="AR64" s="27"/>
      <c r="AS64" s="36"/>
      <c r="AT64" s="36"/>
      <c r="AU64" s="36"/>
      <c r="AV64" s="36"/>
      <c r="AW64" s="36"/>
      <c r="AX64" s="37">
        <f t="shared" si="1"/>
        <v>11600</v>
      </c>
      <c r="AY64" s="38">
        <f t="shared" si="2"/>
        <v>0</v>
      </c>
    </row>
    <row r="65" spans="2:51" s="39" customFormat="1" ht="33.75">
      <c r="B65" s="22">
        <v>50</v>
      </c>
      <c r="C65" s="22" t="s">
        <v>39</v>
      </c>
      <c r="D65" s="23" t="s">
        <v>538</v>
      </c>
      <c r="E65" s="48" t="s">
        <v>539</v>
      </c>
      <c r="F65" s="48" t="s">
        <v>146</v>
      </c>
      <c r="G65" s="26" t="s">
        <v>426</v>
      </c>
      <c r="H65" s="73" t="s">
        <v>457</v>
      </c>
      <c r="I65" s="49" t="s">
        <v>44</v>
      </c>
      <c r="J65" s="229">
        <f>1178228</f>
        <v>1178228</v>
      </c>
      <c r="K65" s="34">
        <f>974603</f>
        <v>974603</v>
      </c>
      <c r="L65" s="34">
        <f>0</f>
        <v>0</v>
      </c>
      <c r="M65" s="34">
        <f>0</f>
        <v>0</v>
      </c>
      <c r="N65" s="34">
        <f>0</f>
        <v>0</v>
      </c>
      <c r="O65" s="34">
        <v>149856</v>
      </c>
      <c r="P65" s="34">
        <f>53768</f>
        <v>53768</v>
      </c>
      <c r="Q65" s="34">
        <f>0</f>
        <v>0</v>
      </c>
      <c r="R65" s="34"/>
      <c r="S65" s="34"/>
      <c r="T65" s="34"/>
      <c r="U65" s="34"/>
      <c r="V65" s="34"/>
      <c r="W65" s="34"/>
      <c r="X65" s="34"/>
      <c r="Y65" s="34">
        <f t="shared" si="3"/>
        <v>203624</v>
      </c>
      <c r="Z65" s="31">
        <f>53768+149855</f>
        <v>203623</v>
      </c>
      <c r="AA65" s="226" t="s">
        <v>427</v>
      </c>
      <c r="AB65" s="33">
        <v>44209</v>
      </c>
      <c r="AC65" s="36">
        <v>44243</v>
      </c>
      <c r="AD65" s="31">
        <v>1</v>
      </c>
      <c r="AE65" s="226" t="s">
        <v>440</v>
      </c>
      <c r="AF65" s="33">
        <v>44253</v>
      </c>
      <c r="AG65" s="36">
        <v>44281</v>
      </c>
      <c r="AH65" s="31">
        <v>1</v>
      </c>
      <c r="AI65" s="32">
        <v>10</v>
      </c>
      <c r="AJ65" s="33">
        <v>44299</v>
      </c>
      <c r="AK65" s="36">
        <v>44316</v>
      </c>
      <c r="AL65" s="31"/>
      <c r="AM65" s="32"/>
      <c r="AN65" s="27"/>
      <c r="AO65" s="36"/>
      <c r="AP65" s="31"/>
      <c r="AQ65" s="32"/>
      <c r="AR65" s="27"/>
      <c r="AS65" s="36"/>
      <c r="AT65" s="36"/>
      <c r="AU65" s="36"/>
      <c r="AV65" s="36"/>
      <c r="AW65" s="36"/>
      <c r="AX65" s="37">
        <f t="shared" si="1"/>
        <v>203625</v>
      </c>
      <c r="AY65" s="38">
        <f t="shared" si="2"/>
        <v>1</v>
      </c>
    </row>
    <row r="66" spans="2:51" s="39" customFormat="1" ht="22.5">
      <c r="B66" s="22">
        <v>51</v>
      </c>
      <c r="C66" s="22" t="s">
        <v>39</v>
      </c>
      <c r="D66" s="23" t="s">
        <v>540</v>
      </c>
      <c r="E66" s="48" t="s">
        <v>541</v>
      </c>
      <c r="F66" s="48" t="s">
        <v>146</v>
      </c>
      <c r="G66" s="26" t="s">
        <v>426</v>
      </c>
      <c r="H66" s="73" t="s">
        <v>542</v>
      </c>
      <c r="I66" s="49" t="s">
        <v>44</v>
      </c>
      <c r="J66" s="216">
        <f>257232</f>
        <v>257232</v>
      </c>
      <c r="K66" s="34">
        <f>255732</f>
        <v>255732</v>
      </c>
      <c r="L66" s="34">
        <f>0</f>
        <v>0</v>
      </c>
      <c r="M66" s="34">
        <f>0</f>
        <v>0</v>
      </c>
      <c r="N66" s="34">
        <f>0</f>
        <v>0</v>
      </c>
      <c r="O66" s="34">
        <f>0</f>
        <v>0</v>
      </c>
      <c r="P66" s="34"/>
      <c r="Q66" s="34"/>
      <c r="R66" s="34"/>
      <c r="S66" s="34"/>
      <c r="T66" s="34"/>
      <c r="U66" s="34"/>
      <c r="V66" s="34"/>
      <c r="W66" s="34"/>
      <c r="X66" s="34"/>
      <c r="Y66" s="34">
        <f t="shared" si="3"/>
        <v>0</v>
      </c>
      <c r="Z66" s="31">
        <f>1500</f>
        <v>1500</v>
      </c>
      <c r="AA66" s="226" t="s">
        <v>427</v>
      </c>
      <c r="AB66" s="33">
        <v>44209</v>
      </c>
      <c r="AC66" s="36">
        <v>44243</v>
      </c>
      <c r="AD66" s="31"/>
      <c r="AE66" s="35"/>
      <c r="AF66" s="27"/>
      <c r="AG66" s="36"/>
      <c r="AH66" s="31"/>
      <c r="AI66" s="32"/>
      <c r="AJ66" s="27"/>
      <c r="AK66" s="36"/>
      <c r="AL66" s="31"/>
      <c r="AM66" s="32"/>
      <c r="AN66" s="27"/>
      <c r="AO66" s="36"/>
      <c r="AP66" s="31"/>
      <c r="AQ66" s="32"/>
      <c r="AR66" s="27"/>
      <c r="AS66" s="36"/>
      <c r="AT66" s="36"/>
      <c r="AU66" s="36"/>
      <c r="AV66" s="36"/>
      <c r="AW66" s="36"/>
      <c r="AX66" s="37">
        <f t="shared" si="1"/>
        <v>1500</v>
      </c>
      <c r="AY66" s="38">
        <f t="shared" si="2"/>
        <v>1500</v>
      </c>
    </row>
    <row r="67" spans="2:51" s="39" customFormat="1" ht="22.5">
      <c r="B67" s="22">
        <v>52</v>
      </c>
      <c r="C67" s="22" t="s">
        <v>39</v>
      </c>
      <c r="D67" s="23" t="s">
        <v>543</v>
      </c>
      <c r="E67" s="48" t="s">
        <v>544</v>
      </c>
      <c r="F67" s="48" t="s">
        <v>146</v>
      </c>
      <c r="G67" s="26" t="s">
        <v>426</v>
      </c>
      <c r="H67" s="73" t="s">
        <v>542</v>
      </c>
      <c r="I67" s="49" t="s">
        <v>44</v>
      </c>
      <c r="J67" s="216">
        <f>487018</f>
        <v>487018</v>
      </c>
      <c r="K67" s="34">
        <f>1416</f>
        <v>1416</v>
      </c>
      <c r="L67" s="34">
        <f>49051</f>
        <v>49051</v>
      </c>
      <c r="M67" s="34">
        <f>0</f>
        <v>0</v>
      </c>
      <c r="N67" s="34">
        <f>0</f>
        <v>0</v>
      </c>
      <c r="O67" s="34">
        <f>0</f>
        <v>0</v>
      </c>
      <c r="P67" s="34"/>
      <c r="Q67" s="34">
        <f>0</f>
        <v>0</v>
      </c>
      <c r="R67" s="34"/>
      <c r="S67" s="34"/>
      <c r="T67" s="34"/>
      <c r="U67" s="34"/>
      <c r="V67" s="34"/>
      <c r="W67" s="34"/>
      <c r="X67" s="34"/>
      <c r="Y67" s="34">
        <f t="shared" si="3"/>
        <v>0</v>
      </c>
      <c r="Z67" s="31">
        <f>16000+361136+25000+911</f>
        <v>403047</v>
      </c>
      <c r="AA67" s="226" t="s">
        <v>427</v>
      </c>
      <c r="AB67" s="33">
        <v>44209</v>
      </c>
      <c r="AC67" s="36">
        <v>44243</v>
      </c>
      <c r="AD67" s="31">
        <f>-149018-25000-911</f>
        <v>-174929</v>
      </c>
      <c r="AE67" s="35">
        <v>10</v>
      </c>
      <c r="AF67" s="33">
        <v>44299</v>
      </c>
      <c r="AG67" s="36">
        <v>44316</v>
      </c>
      <c r="AH67" s="31">
        <v>-199848</v>
      </c>
      <c r="AI67" s="32">
        <v>24</v>
      </c>
      <c r="AJ67" s="33">
        <v>44363</v>
      </c>
      <c r="AK67" s="36">
        <v>44372</v>
      </c>
      <c r="AL67" s="31"/>
      <c r="AM67" s="32"/>
      <c r="AN67" s="27"/>
      <c r="AO67" s="36"/>
      <c r="AP67" s="31"/>
      <c r="AQ67" s="32"/>
      <c r="AR67" s="27"/>
      <c r="AS67" s="36"/>
      <c r="AT67" s="36"/>
      <c r="AU67" s="36"/>
      <c r="AV67" s="36"/>
      <c r="AW67" s="36"/>
      <c r="AX67" s="37">
        <f t="shared" si="1"/>
        <v>28270</v>
      </c>
      <c r="AY67" s="38">
        <f t="shared" si="2"/>
        <v>28270</v>
      </c>
    </row>
    <row r="68" spans="2:51" s="39" customFormat="1" ht="22.5">
      <c r="B68" s="22">
        <v>53</v>
      </c>
      <c r="C68" s="22" t="s">
        <v>39</v>
      </c>
      <c r="D68" s="23" t="s">
        <v>545</v>
      </c>
      <c r="E68" s="48" t="s">
        <v>546</v>
      </c>
      <c r="F68" s="48" t="s">
        <v>146</v>
      </c>
      <c r="G68" s="26" t="s">
        <v>426</v>
      </c>
      <c r="H68" s="73" t="s">
        <v>495</v>
      </c>
      <c r="I68" s="49" t="s">
        <v>44</v>
      </c>
      <c r="J68" s="216">
        <f>419437</f>
        <v>419437</v>
      </c>
      <c r="K68" s="34">
        <f>385935</f>
        <v>385935</v>
      </c>
      <c r="L68" s="34">
        <f>0</f>
        <v>0</v>
      </c>
      <c r="M68" s="34">
        <f>0</f>
        <v>0</v>
      </c>
      <c r="N68" s="34">
        <f>0</f>
        <v>0</v>
      </c>
      <c r="O68" s="34">
        <f>1688</f>
        <v>1688</v>
      </c>
      <c r="P68" s="34"/>
      <c r="Q68" s="34">
        <f>0</f>
        <v>0</v>
      </c>
      <c r="R68" s="34"/>
      <c r="S68" s="34"/>
      <c r="T68" s="34"/>
      <c r="U68" s="34">
        <v>29705</v>
      </c>
      <c r="V68" s="34"/>
      <c r="W68" s="34"/>
      <c r="X68" s="34"/>
      <c r="Y68" s="34">
        <f t="shared" si="3"/>
        <v>31393</v>
      </c>
      <c r="Z68" s="31">
        <f>31813</f>
        <v>31813</v>
      </c>
      <c r="AA68" s="226" t="s">
        <v>427</v>
      </c>
      <c r="AB68" s="33">
        <v>44209</v>
      </c>
      <c r="AC68" s="36">
        <v>44243</v>
      </c>
      <c r="AD68" s="31">
        <f>1688-1688</f>
        <v>0</v>
      </c>
      <c r="AE68" s="226" t="s">
        <v>440</v>
      </c>
      <c r="AF68" s="33">
        <v>44253</v>
      </c>
      <c r="AG68" s="36">
        <v>44281</v>
      </c>
      <c r="AH68" s="31">
        <v>-420</v>
      </c>
      <c r="AI68" s="32">
        <v>10</v>
      </c>
      <c r="AJ68" s="33">
        <v>44299</v>
      </c>
      <c r="AK68" s="36">
        <v>44316</v>
      </c>
      <c r="AL68" s="31"/>
      <c r="AM68" s="32"/>
      <c r="AN68" s="27"/>
      <c r="AO68" s="36"/>
      <c r="AP68" s="31"/>
      <c r="AQ68" s="32"/>
      <c r="AR68" s="27"/>
      <c r="AS68" s="36"/>
      <c r="AT68" s="36"/>
      <c r="AU68" s="36"/>
      <c r="AV68" s="36"/>
      <c r="AW68" s="36"/>
      <c r="AX68" s="37">
        <f t="shared" si="1"/>
        <v>31393</v>
      </c>
      <c r="AY68" s="38">
        <f t="shared" si="2"/>
        <v>0</v>
      </c>
    </row>
    <row r="69" spans="2:51" s="39" customFormat="1" ht="22.5">
      <c r="B69" s="22">
        <v>54</v>
      </c>
      <c r="C69" s="22" t="s">
        <v>39</v>
      </c>
      <c r="D69" s="23" t="s">
        <v>547</v>
      </c>
      <c r="E69" s="48" t="s">
        <v>548</v>
      </c>
      <c r="F69" s="48" t="s">
        <v>146</v>
      </c>
      <c r="G69" s="26" t="s">
        <v>426</v>
      </c>
      <c r="H69" s="73" t="s">
        <v>426</v>
      </c>
      <c r="I69" s="49" t="s">
        <v>44</v>
      </c>
      <c r="J69" s="216">
        <f>2934114</f>
        <v>2934114</v>
      </c>
      <c r="K69" s="34">
        <f>18526</f>
        <v>18526</v>
      </c>
      <c r="L69" s="34">
        <f>1309206</f>
        <v>1309206</v>
      </c>
      <c r="M69" s="34">
        <f>0</f>
        <v>0</v>
      </c>
      <c r="N69" s="34">
        <f>194392</f>
        <v>194392</v>
      </c>
      <c r="O69" s="34">
        <f>800</f>
        <v>800</v>
      </c>
      <c r="P69" s="34">
        <f>800+277703</f>
        <v>278503</v>
      </c>
      <c r="Q69" s="34">
        <f>0</f>
        <v>0</v>
      </c>
      <c r="R69" s="225">
        <v>15162</v>
      </c>
      <c r="S69" s="34">
        <v>361814</v>
      </c>
      <c r="T69" s="34"/>
      <c r="U69" s="34">
        <v>138852</v>
      </c>
      <c r="V69" s="34"/>
      <c r="W69" s="34"/>
      <c r="X69" s="34"/>
      <c r="Y69" s="34">
        <f t="shared" si="3"/>
        <v>989523</v>
      </c>
      <c r="Z69" s="31">
        <f>36838+1499599+15162</f>
        <v>1551599</v>
      </c>
      <c r="AA69" s="226" t="s">
        <v>427</v>
      </c>
      <c r="AB69" s="33">
        <v>44209</v>
      </c>
      <c r="AC69" s="36">
        <v>44243</v>
      </c>
      <c r="AD69" s="31">
        <f>-34438-305473</f>
        <v>-339911</v>
      </c>
      <c r="AE69" s="35">
        <v>10</v>
      </c>
      <c r="AF69" s="33">
        <v>44299</v>
      </c>
      <c r="AG69" s="36">
        <v>44316</v>
      </c>
      <c r="AH69" s="31">
        <v>-290540</v>
      </c>
      <c r="AI69" s="32">
        <v>11</v>
      </c>
      <c r="AJ69" s="33">
        <v>44323</v>
      </c>
      <c r="AK69" s="36">
        <v>44334</v>
      </c>
      <c r="AL69" s="31">
        <v>40925</v>
      </c>
      <c r="AM69" s="32">
        <v>24</v>
      </c>
      <c r="AN69" s="33">
        <v>44363</v>
      </c>
      <c r="AO69" s="36">
        <v>44372</v>
      </c>
      <c r="AP69" s="31">
        <v>29787</v>
      </c>
      <c r="AQ69" s="32">
        <v>34</v>
      </c>
      <c r="AR69" s="33">
        <v>44411</v>
      </c>
      <c r="AS69" s="36">
        <v>44449</v>
      </c>
      <c r="AT69" s="36"/>
      <c r="AU69" s="36"/>
      <c r="AV69" s="36"/>
      <c r="AW69" s="36"/>
      <c r="AX69" s="37">
        <f t="shared" si="1"/>
        <v>991860</v>
      </c>
      <c r="AY69" s="38">
        <f t="shared" si="2"/>
        <v>2337</v>
      </c>
    </row>
    <row r="70" spans="2:51" s="39" customFormat="1" ht="22.5" customHeight="1">
      <c r="B70" s="22">
        <v>55</v>
      </c>
      <c r="C70" s="22" t="s">
        <v>39</v>
      </c>
      <c r="D70" s="23" t="s">
        <v>549</v>
      </c>
      <c r="E70" s="48" t="s">
        <v>550</v>
      </c>
      <c r="F70" s="48" t="s">
        <v>146</v>
      </c>
      <c r="G70" s="26" t="s">
        <v>426</v>
      </c>
      <c r="H70" s="73" t="s">
        <v>466</v>
      </c>
      <c r="I70" s="49" t="s">
        <v>44</v>
      </c>
      <c r="J70" s="216">
        <f>3048659</f>
        <v>3048659</v>
      </c>
      <c r="K70" s="34">
        <f>395110</f>
        <v>395110</v>
      </c>
      <c r="L70" s="34">
        <f>1768534</f>
        <v>1768534</v>
      </c>
      <c r="M70" s="34">
        <f>0</f>
        <v>0</v>
      </c>
      <c r="N70" s="34">
        <f>279836</f>
        <v>279836</v>
      </c>
      <c r="O70" s="34">
        <f>83361</f>
        <v>83361</v>
      </c>
      <c r="P70" s="34">
        <f>2296+125939</f>
        <v>128235</v>
      </c>
      <c r="Q70" s="34">
        <f>1468+113098</f>
        <v>114566</v>
      </c>
      <c r="R70" s="225">
        <v>37395</v>
      </c>
      <c r="S70" s="34">
        <v>414</v>
      </c>
      <c r="T70" s="34">
        <v>414</v>
      </c>
      <c r="U70" s="34">
        <v>414</v>
      </c>
      <c r="V70" s="34"/>
      <c r="W70" s="34"/>
      <c r="X70" s="34"/>
      <c r="Y70" s="34">
        <f t="shared" si="3"/>
        <v>644635</v>
      </c>
      <c r="Z70" s="31">
        <f>17390+632319+1000+1000</f>
        <v>651709</v>
      </c>
      <c r="AA70" s="226" t="s">
        <v>427</v>
      </c>
      <c r="AB70" s="33">
        <v>44209</v>
      </c>
      <c r="AC70" s="36">
        <v>44243</v>
      </c>
      <c r="AD70" s="31"/>
      <c r="AE70" s="35"/>
      <c r="AF70" s="27"/>
      <c r="AG70" s="36"/>
      <c r="AH70" s="31"/>
      <c r="AI70" s="32"/>
      <c r="AJ70" s="27"/>
      <c r="AK70" s="36"/>
      <c r="AL70" s="31"/>
      <c r="AM70" s="32"/>
      <c r="AN70" s="27"/>
      <c r="AO70" s="36"/>
      <c r="AP70" s="31"/>
      <c r="AQ70" s="32"/>
      <c r="AR70" s="27"/>
      <c r="AS70" s="36"/>
      <c r="AT70" s="36"/>
      <c r="AU70" s="36"/>
      <c r="AV70" s="36"/>
      <c r="AW70" s="36"/>
      <c r="AX70" s="37">
        <f t="shared" si="1"/>
        <v>651709</v>
      </c>
      <c r="AY70" s="38">
        <f t="shared" si="2"/>
        <v>7074</v>
      </c>
    </row>
    <row r="71" spans="2:51" s="39" customFormat="1" ht="22.5">
      <c r="B71" s="22">
        <v>56</v>
      </c>
      <c r="C71" s="22" t="s">
        <v>39</v>
      </c>
      <c r="D71" s="23" t="s">
        <v>551</v>
      </c>
      <c r="E71" s="48" t="s">
        <v>552</v>
      </c>
      <c r="F71" s="48" t="s">
        <v>158</v>
      </c>
      <c r="G71" s="26" t="s">
        <v>426</v>
      </c>
      <c r="H71" s="73" t="s">
        <v>553</v>
      </c>
      <c r="I71" s="49" t="s">
        <v>44</v>
      </c>
      <c r="J71" s="216">
        <f>22877</f>
        <v>22877</v>
      </c>
      <c r="K71" s="34">
        <f>21377</f>
        <v>21377</v>
      </c>
      <c r="L71" s="34">
        <f>0</f>
        <v>0</v>
      </c>
      <c r="M71" s="34">
        <f>0</f>
        <v>0</v>
      </c>
      <c r="N71" s="34">
        <f>0</f>
        <v>0</v>
      </c>
      <c r="O71" s="34">
        <f>0</f>
        <v>0</v>
      </c>
      <c r="P71" s="34"/>
      <c r="Q71" s="34"/>
      <c r="R71" s="34"/>
      <c r="S71" s="34"/>
      <c r="T71" s="34"/>
      <c r="U71" s="34"/>
      <c r="V71" s="34"/>
      <c r="W71" s="34"/>
      <c r="X71" s="34"/>
      <c r="Y71" s="34">
        <f t="shared" si="3"/>
        <v>0</v>
      </c>
      <c r="Z71" s="31">
        <f>1500</f>
        <v>1500</v>
      </c>
      <c r="AA71" s="226" t="s">
        <v>427</v>
      </c>
      <c r="AB71" s="33">
        <v>44209</v>
      </c>
      <c r="AC71" s="36">
        <v>44243</v>
      </c>
      <c r="AD71" s="31"/>
      <c r="AE71" s="35"/>
      <c r="AF71" s="27"/>
      <c r="AG71" s="36"/>
      <c r="AH71" s="31"/>
      <c r="AI71" s="32"/>
      <c r="AJ71" s="27"/>
      <c r="AK71" s="36"/>
      <c r="AL71" s="31"/>
      <c r="AM71" s="32"/>
      <c r="AN71" s="27"/>
      <c r="AO71" s="36"/>
      <c r="AP71" s="31"/>
      <c r="AQ71" s="32"/>
      <c r="AR71" s="27"/>
      <c r="AS71" s="36"/>
      <c r="AT71" s="36"/>
      <c r="AU71" s="36"/>
      <c r="AV71" s="36"/>
      <c r="AW71" s="36"/>
      <c r="AX71" s="37">
        <f t="shared" si="1"/>
        <v>1500</v>
      </c>
      <c r="AY71" s="38">
        <f t="shared" si="2"/>
        <v>1500</v>
      </c>
    </row>
    <row r="72" spans="2:51" s="39" customFormat="1" ht="22.5">
      <c r="B72" s="22">
        <v>57</v>
      </c>
      <c r="C72" s="22" t="s">
        <v>39</v>
      </c>
      <c r="D72" s="23" t="s">
        <v>554</v>
      </c>
      <c r="E72" s="48" t="s">
        <v>555</v>
      </c>
      <c r="F72" s="48" t="s">
        <v>158</v>
      </c>
      <c r="G72" s="26" t="s">
        <v>426</v>
      </c>
      <c r="H72" s="73" t="s">
        <v>553</v>
      </c>
      <c r="I72" s="49" t="s">
        <v>44</v>
      </c>
      <c r="J72" s="216">
        <f>57030</f>
        <v>57030</v>
      </c>
      <c r="K72" s="34">
        <f>46536</f>
        <v>46536</v>
      </c>
      <c r="L72" s="34">
        <f>0</f>
        <v>0</v>
      </c>
      <c r="M72" s="34">
        <f>0</f>
        <v>0</v>
      </c>
      <c r="N72" s="34">
        <f>0</f>
        <v>0</v>
      </c>
      <c r="O72" s="34">
        <f>0</f>
        <v>0</v>
      </c>
      <c r="P72" s="34"/>
      <c r="Q72" s="34"/>
      <c r="R72" s="34"/>
      <c r="S72" s="34"/>
      <c r="T72" s="34"/>
      <c r="U72" s="34"/>
      <c r="V72" s="34"/>
      <c r="W72" s="34"/>
      <c r="X72" s="34"/>
      <c r="Y72" s="34">
        <f t="shared" si="3"/>
        <v>0</v>
      </c>
      <c r="Z72" s="31">
        <v>10493</v>
      </c>
      <c r="AA72" s="226" t="s">
        <v>427</v>
      </c>
      <c r="AB72" s="33">
        <v>44209</v>
      </c>
      <c r="AC72" s="36">
        <v>44243</v>
      </c>
      <c r="AD72" s="31"/>
      <c r="AE72" s="35"/>
      <c r="AF72" s="27"/>
      <c r="AG72" s="36"/>
      <c r="AH72" s="31"/>
      <c r="AI72" s="32"/>
      <c r="AJ72" s="27"/>
      <c r="AK72" s="36"/>
      <c r="AL72" s="31"/>
      <c r="AM72" s="32"/>
      <c r="AN72" s="27"/>
      <c r="AO72" s="36"/>
      <c r="AP72" s="31"/>
      <c r="AQ72" s="32"/>
      <c r="AR72" s="27"/>
      <c r="AS72" s="36"/>
      <c r="AT72" s="36"/>
      <c r="AU72" s="36"/>
      <c r="AV72" s="36"/>
      <c r="AW72" s="36"/>
      <c r="AX72" s="37">
        <f t="shared" si="1"/>
        <v>10493</v>
      </c>
      <c r="AY72" s="38">
        <f t="shared" si="2"/>
        <v>10493</v>
      </c>
    </row>
    <row r="73" spans="2:51" s="39" customFormat="1" ht="22.5">
      <c r="B73" s="22">
        <v>58</v>
      </c>
      <c r="C73" s="22" t="s">
        <v>39</v>
      </c>
      <c r="D73" s="23" t="s">
        <v>556</v>
      </c>
      <c r="E73" s="48" t="s">
        <v>557</v>
      </c>
      <c r="F73" s="48" t="s">
        <v>158</v>
      </c>
      <c r="G73" s="26" t="s">
        <v>426</v>
      </c>
      <c r="H73" s="73" t="s">
        <v>553</v>
      </c>
      <c r="I73" s="49" t="s">
        <v>44</v>
      </c>
      <c r="J73" s="216">
        <f>22866</f>
        <v>22866</v>
      </c>
      <c r="K73" s="34">
        <f>21366</f>
        <v>21366</v>
      </c>
      <c r="L73" s="34">
        <f>0</f>
        <v>0</v>
      </c>
      <c r="M73" s="34">
        <f>0</f>
        <v>0</v>
      </c>
      <c r="N73" s="34">
        <f>0</f>
        <v>0</v>
      </c>
      <c r="O73" s="34">
        <f>0</f>
        <v>0</v>
      </c>
      <c r="P73" s="34"/>
      <c r="Q73" s="34"/>
      <c r="R73" s="34"/>
      <c r="S73" s="34"/>
      <c r="T73" s="34"/>
      <c r="U73" s="34"/>
      <c r="V73" s="34"/>
      <c r="W73" s="34"/>
      <c r="X73" s="34"/>
      <c r="Y73" s="34">
        <f t="shared" si="3"/>
        <v>0</v>
      </c>
      <c r="Z73" s="31">
        <f>1500</f>
        <v>1500</v>
      </c>
      <c r="AA73" s="226" t="s">
        <v>427</v>
      </c>
      <c r="AB73" s="33">
        <v>44209</v>
      </c>
      <c r="AC73" s="36">
        <v>44243</v>
      </c>
      <c r="AD73" s="31"/>
      <c r="AE73" s="35"/>
      <c r="AF73" s="27"/>
      <c r="AG73" s="36"/>
      <c r="AH73" s="31"/>
      <c r="AI73" s="32"/>
      <c r="AJ73" s="27"/>
      <c r="AK73" s="36"/>
      <c r="AL73" s="31"/>
      <c r="AM73" s="32"/>
      <c r="AN73" s="27"/>
      <c r="AO73" s="36"/>
      <c r="AP73" s="31"/>
      <c r="AQ73" s="32"/>
      <c r="AR73" s="27"/>
      <c r="AS73" s="36"/>
      <c r="AT73" s="36"/>
      <c r="AU73" s="36"/>
      <c r="AV73" s="36"/>
      <c r="AW73" s="36"/>
      <c r="AX73" s="37">
        <f t="shared" si="1"/>
        <v>1500</v>
      </c>
      <c r="AY73" s="38">
        <f t="shared" si="2"/>
        <v>1500</v>
      </c>
    </row>
    <row r="74" spans="2:51" s="39" customFormat="1" ht="22.5" customHeight="1">
      <c r="B74" s="22">
        <v>59</v>
      </c>
      <c r="C74" s="22" t="s">
        <v>39</v>
      </c>
      <c r="D74" s="23" t="s">
        <v>558</v>
      </c>
      <c r="E74" s="48" t="s">
        <v>559</v>
      </c>
      <c r="F74" s="48" t="s">
        <v>146</v>
      </c>
      <c r="G74" s="26" t="s">
        <v>426</v>
      </c>
      <c r="H74" s="73" t="s">
        <v>430</v>
      </c>
      <c r="I74" s="49" t="s">
        <v>44</v>
      </c>
      <c r="J74" s="216">
        <f>166543</f>
        <v>166543</v>
      </c>
      <c r="K74" s="34">
        <f>81425</f>
        <v>81425</v>
      </c>
      <c r="L74" s="34">
        <f>0</f>
        <v>0</v>
      </c>
      <c r="M74" s="34">
        <f>0</f>
        <v>0</v>
      </c>
      <c r="N74" s="34">
        <f>15887</f>
        <v>15887</v>
      </c>
      <c r="O74" s="34">
        <f>2643</f>
        <v>2643</v>
      </c>
      <c r="P74" s="34"/>
      <c r="Q74" s="34"/>
      <c r="R74" s="34"/>
      <c r="S74" s="34"/>
      <c r="T74" s="34">
        <v>13584</v>
      </c>
      <c r="U74" s="34"/>
      <c r="V74" s="34"/>
      <c r="W74" s="34"/>
      <c r="X74" s="34"/>
      <c r="Y74" s="34">
        <f t="shared" si="3"/>
        <v>32114</v>
      </c>
      <c r="Z74" s="31">
        <f>13738+26468+41596</f>
        <v>81802</v>
      </c>
      <c r="AA74" s="226" t="s">
        <v>427</v>
      </c>
      <c r="AB74" s="33">
        <v>44209</v>
      </c>
      <c r="AC74" s="36">
        <v>44243</v>
      </c>
      <c r="AD74" s="31">
        <v>-30738</v>
      </c>
      <c r="AE74" s="32">
        <v>23</v>
      </c>
      <c r="AF74" s="33">
        <v>44355</v>
      </c>
      <c r="AG74" s="36">
        <v>44369</v>
      </c>
      <c r="AH74" s="31"/>
      <c r="AI74" s="32"/>
      <c r="AJ74" s="27"/>
      <c r="AK74" s="36"/>
      <c r="AL74" s="228"/>
      <c r="AM74" s="228"/>
      <c r="AN74" s="228"/>
      <c r="AO74" s="228"/>
      <c r="AP74" s="31"/>
      <c r="AQ74" s="32"/>
      <c r="AR74" s="27"/>
      <c r="AS74" s="36"/>
      <c r="AT74" s="36"/>
      <c r="AU74" s="36"/>
      <c r="AV74" s="36"/>
      <c r="AW74" s="36"/>
      <c r="AX74" s="37">
        <f t="shared" si="1"/>
        <v>51064</v>
      </c>
      <c r="AY74" s="38">
        <f t="shared" si="2"/>
        <v>18950</v>
      </c>
    </row>
    <row r="75" spans="2:51" s="39" customFormat="1" ht="22.5">
      <c r="B75" s="22">
        <v>60</v>
      </c>
      <c r="C75" s="22" t="s">
        <v>39</v>
      </c>
      <c r="D75" s="23" t="s">
        <v>560</v>
      </c>
      <c r="E75" s="48" t="s">
        <v>561</v>
      </c>
      <c r="F75" s="48" t="s">
        <v>146</v>
      </c>
      <c r="G75" s="26" t="s">
        <v>426</v>
      </c>
      <c r="H75" s="73" t="s">
        <v>472</v>
      </c>
      <c r="I75" s="49" t="s">
        <v>44</v>
      </c>
      <c r="J75" s="216">
        <f>9484372</f>
        <v>9484372</v>
      </c>
      <c r="K75" s="34">
        <f>5995901</f>
        <v>5995901</v>
      </c>
      <c r="L75" s="34">
        <v>28935</v>
      </c>
      <c r="M75" s="34">
        <f>0</f>
        <v>0</v>
      </c>
      <c r="N75" s="34">
        <f>468449</f>
        <v>468449</v>
      </c>
      <c r="O75" s="34">
        <f>411024</f>
        <v>411024</v>
      </c>
      <c r="P75" s="34">
        <f>1800+237368</f>
        <v>239168</v>
      </c>
      <c r="Q75" s="34">
        <f>1800+294721</f>
        <v>296521</v>
      </c>
      <c r="R75" s="225">
        <v>66214</v>
      </c>
      <c r="S75" s="34">
        <v>60330</v>
      </c>
      <c r="T75" s="34">
        <v>132346</v>
      </c>
      <c r="U75" s="34">
        <v>222447</v>
      </c>
      <c r="V75" s="34"/>
      <c r="W75" s="34"/>
      <c r="X75" s="34"/>
      <c r="Y75" s="34">
        <f t="shared" si="3"/>
        <v>1896499</v>
      </c>
      <c r="Z75" s="31">
        <f>21600+1200000</f>
        <v>1221600</v>
      </c>
      <c r="AA75" s="226" t="s">
        <v>427</v>
      </c>
      <c r="AB75" s="33">
        <v>44209</v>
      </c>
      <c r="AC75" s="36">
        <v>44243</v>
      </c>
      <c r="AD75" s="31">
        <f>403309</f>
        <v>403309</v>
      </c>
      <c r="AE75" s="35">
        <v>10</v>
      </c>
      <c r="AF75" s="33">
        <v>44299</v>
      </c>
      <c r="AG75" s="36">
        <v>44316</v>
      </c>
      <c r="AH75" s="31">
        <v>528820</v>
      </c>
      <c r="AI75" s="32">
        <v>24</v>
      </c>
      <c r="AJ75" s="33">
        <v>44363</v>
      </c>
      <c r="AK75" s="36">
        <v>44372</v>
      </c>
      <c r="AL75" s="31">
        <v>45000</v>
      </c>
      <c r="AM75" s="32">
        <v>38</v>
      </c>
      <c r="AN75" s="33">
        <v>44433</v>
      </c>
      <c r="AO75" s="36">
        <v>44449</v>
      </c>
      <c r="AP75" s="31"/>
      <c r="AQ75" s="32"/>
      <c r="AR75" s="27"/>
      <c r="AS75" s="36"/>
      <c r="AT75" s="36"/>
      <c r="AU75" s="36"/>
      <c r="AV75" s="36"/>
      <c r="AW75" s="36"/>
      <c r="AX75" s="37">
        <f t="shared" si="1"/>
        <v>2198729</v>
      </c>
      <c r="AY75" s="38">
        <f t="shared" si="2"/>
        <v>302230</v>
      </c>
    </row>
    <row r="76" spans="2:51" s="39" customFormat="1" ht="33.75">
      <c r="B76" s="22">
        <v>61</v>
      </c>
      <c r="C76" s="22" t="s">
        <v>39</v>
      </c>
      <c r="D76" s="23" t="s">
        <v>562</v>
      </c>
      <c r="E76" s="48" t="s">
        <v>563</v>
      </c>
      <c r="F76" s="48" t="s">
        <v>146</v>
      </c>
      <c r="G76" s="26" t="s">
        <v>426</v>
      </c>
      <c r="H76" s="73" t="s">
        <v>519</v>
      </c>
      <c r="I76" s="49" t="s">
        <v>52</v>
      </c>
      <c r="J76" s="216">
        <f>2181514</f>
        <v>2181514</v>
      </c>
      <c r="K76" s="34">
        <f>4196</f>
        <v>4196</v>
      </c>
      <c r="L76" s="34">
        <f>351487</f>
        <v>351487</v>
      </c>
      <c r="M76" s="34">
        <f>0</f>
        <v>0</v>
      </c>
      <c r="N76" s="34">
        <f>513224</f>
        <v>513224</v>
      </c>
      <c r="O76" s="34">
        <f>205656</f>
        <v>205656</v>
      </c>
      <c r="P76" s="34">
        <f>270285</f>
        <v>270285</v>
      </c>
      <c r="Q76" s="34">
        <f>276947</f>
        <v>276947</v>
      </c>
      <c r="R76" s="225">
        <v>293419</v>
      </c>
      <c r="S76" s="34">
        <v>169469</v>
      </c>
      <c r="T76" s="34"/>
      <c r="U76" s="34">
        <v>97779</v>
      </c>
      <c r="V76" s="34"/>
      <c r="W76" s="34"/>
      <c r="X76" s="34"/>
      <c r="Y76" s="34">
        <f t="shared" si="3"/>
        <v>1826779</v>
      </c>
      <c r="Z76" s="31">
        <f>10002+720000</f>
        <v>730002</v>
      </c>
      <c r="AA76" s="226" t="s">
        <v>427</v>
      </c>
      <c r="AB76" s="33">
        <v>44209</v>
      </c>
      <c r="AC76" s="36">
        <v>44243</v>
      </c>
      <c r="AD76" s="31">
        <f>-10002+1095338</f>
        <v>1085336</v>
      </c>
      <c r="AE76" s="35">
        <v>10</v>
      </c>
      <c r="AF76" s="33">
        <v>44299</v>
      </c>
      <c r="AG76" s="36">
        <v>44316</v>
      </c>
      <c r="AH76" s="31">
        <v>75548</v>
      </c>
      <c r="AI76" s="32">
        <v>34</v>
      </c>
      <c r="AJ76" s="33">
        <v>44411</v>
      </c>
      <c r="AK76" s="36">
        <v>44449</v>
      </c>
      <c r="AL76" s="31"/>
      <c r="AM76" s="32"/>
      <c r="AN76" s="27"/>
      <c r="AO76" s="36"/>
      <c r="AP76" s="31"/>
      <c r="AQ76" s="32"/>
      <c r="AR76" s="27"/>
      <c r="AS76" s="36"/>
      <c r="AT76" s="36"/>
      <c r="AU76" s="36"/>
      <c r="AV76" s="36"/>
      <c r="AW76" s="36"/>
      <c r="AX76" s="37">
        <f t="shared" si="1"/>
        <v>1890886</v>
      </c>
      <c r="AY76" s="38">
        <f t="shared" si="2"/>
        <v>64107</v>
      </c>
    </row>
    <row r="77" spans="2:51" s="39" customFormat="1" ht="22.5" customHeight="1">
      <c r="B77" s="22">
        <v>62</v>
      </c>
      <c r="C77" s="22" t="s">
        <v>39</v>
      </c>
      <c r="D77" s="23" t="s">
        <v>564</v>
      </c>
      <c r="E77" s="48" t="s">
        <v>565</v>
      </c>
      <c r="F77" s="48" t="s">
        <v>158</v>
      </c>
      <c r="G77" s="26" t="s">
        <v>426</v>
      </c>
      <c r="H77" s="73" t="s">
        <v>566</v>
      </c>
      <c r="I77" s="49" t="s">
        <v>44</v>
      </c>
      <c r="J77" s="216">
        <f>59864</f>
        <v>59864</v>
      </c>
      <c r="K77" s="34">
        <f>47024</f>
        <v>47024</v>
      </c>
      <c r="L77" s="34">
        <f>0</f>
        <v>0</v>
      </c>
      <c r="M77" s="34">
        <f>0</f>
        <v>0</v>
      </c>
      <c r="N77" s="34">
        <f>0</f>
        <v>0</v>
      </c>
      <c r="O77" s="34">
        <f>0</f>
        <v>0</v>
      </c>
      <c r="P77" s="34"/>
      <c r="Q77" s="34"/>
      <c r="R77" s="225">
        <v>12840</v>
      </c>
      <c r="S77" s="34"/>
      <c r="T77" s="34"/>
      <c r="U77" s="34"/>
      <c r="V77" s="34"/>
      <c r="W77" s="34"/>
      <c r="X77" s="34"/>
      <c r="Y77" s="34">
        <f t="shared" si="3"/>
        <v>12840</v>
      </c>
      <c r="Z77" s="31">
        <f>12840</f>
        <v>12840</v>
      </c>
      <c r="AA77" s="226" t="s">
        <v>427</v>
      </c>
      <c r="AB77" s="33">
        <v>44209</v>
      </c>
      <c r="AC77" s="36">
        <v>44243</v>
      </c>
      <c r="AD77" s="31"/>
      <c r="AE77" s="35"/>
      <c r="AF77" s="27"/>
      <c r="AG77" s="36"/>
      <c r="AH77" s="31"/>
      <c r="AI77" s="32"/>
      <c r="AJ77" s="27"/>
      <c r="AK77" s="36"/>
      <c r="AL77" s="31"/>
      <c r="AM77" s="32"/>
      <c r="AN77" s="27"/>
      <c r="AO77" s="36"/>
      <c r="AP77" s="31"/>
      <c r="AQ77" s="32"/>
      <c r="AR77" s="27"/>
      <c r="AS77" s="36"/>
      <c r="AT77" s="36"/>
      <c r="AU77" s="36"/>
      <c r="AV77" s="36"/>
      <c r="AW77" s="36"/>
      <c r="AX77" s="37">
        <f t="shared" si="1"/>
        <v>12840</v>
      </c>
      <c r="AY77" s="38">
        <f t="shared" si="2"/>
        <v>0</v>
      </c>
    </row>
    <row r="78" spans="2:51" s="39" customFormat="1" ht="22.5">
      <c r="B78" s="22">
        <v>63</v>
      </c>
      <c r="C78" s="22" t="s">
        <v>39</v>
      </c>
      <c r="D78" s="23" t="s">
        <v>567</v>
      </c>
      <c r="E78" s="48" t="s">
        <v>568</v>
      </c>
      <c r="F78" s="48" t="s">
        <v>158</v>
      </c>
      <c r="G78" s="26" t="s">
        <v>426</v>
      </c>
      <c r="H78" s="73" t="s">
        <v>553</v>
      </c>
      <c r="I78" s="49" t="s">
        <v>44</v>
      </c>
      <c r="J78" s="216">
        <f>21809</f>
        <v>21809</v>
      </c>
      <c r="K78" s="34">
        <f>20359</f>
        <v>20359</v>
      </c>
      <c r="L78" s="34">
        <f>0</f>
        <v>0</v>
      </c>
      <c r="M78" s="34">
        <f>0</f>
        <v>0</v>
      </c>
      <c r="N78" s="34">
        <f>0</f>
        <v>0</v>
      </c>
      <c r="O78" s="34">
        <f>0</f>
        <v>0</v>
      </c>
      <c r="P78" s="34"/>
      <c r="Q78" s="34"/>
      <c r="R78" s="34"/>
      <c r="S78" s="34"/>
      <c r="T78" s="34"/>
      <c r="U78" s="34"/>
      <c r="V78" s="34"/>
      <c r="W78" s="34"/>
      <c r="X78" s="34"/>
      <c r="Y78" s="34">
        <f t="shared" si="3"/>
        <v>0</v>
      </c>
      <c r="Z78" s="31">
        <v>1450</v>
      </c>
      <c r="AA78" s="226" t="s">
        <v>427</v>
      </c>
      <c r="AB78" s="33">
        <v>44209</v>
      </c>
      <c r="AC78" s="36">
        <v>44243</v>
      </c>
      <c r="AD78" s="31"/>
      <c r="AE78" s="35"/>
      <c r="AF78" s="27"/>
      <c r="AG78" s="36"/>
      <c r="AH78" s="31"/>
      <c r="AI78" s="32"/>
      <c r="AJ78" s="27"/>
      <c r="AK78" s="36"/>
      <c r="AL78" s="31"/>
      <c r="AM78" s="32"/>
      <c r="AN78" s="27"/>
      <c r="AO78" s="36"/>
      <c r="AP78" s="31"/>
      <c r="AQ78" s="32"/>
      <c r="AR78" s="27"/>
      <c r="AS78" s="36"/>
      <c r="AT78" s="36"/>
      <c r="AU78" s="36"/>
      <c r="AV78" s="36"/>
      <c r="AW78" s="36"/>
      <c r="AX78" s="37">
        <f t="shared" si="1"/>
        <v>1450</v>
      </c>
      <c r="AY78" s="38">
        <f t="shared" si="2"/>
        <v>1450</v>
      </c>
    </row>
    <row r="79" spans="2:51" s="39" customFormat="1" ht="22.5">
      <c r="B79" s="22">
        <v>64</v>
      </c>
      <c r="C79" s="22" t="s">
        <v>39</v>
      </c>
      <c r="D79" s="23" t="s">
        <v>569</v>
      </c>
      <c r="E79" s="48" t="s">
        <v>570</v>
      </c>
      <c r="F79" s="48" t="s">
        <v>146</v>
      </c>
      <c r="G79" s="26" t="s">
        <v>426</v>
      </c>
      <c r="H79" s="73" t="s">
        <v>566</v>
      </c>
      <c r="I79" s="49" t="s">
        <v>52</v>
      </c>
      <c r="J79" s="216">
        <f>1738357</f>
        <v>1738357</v>
      </c>
      <c r="K79" s="34">
        <f>14514</f>
        <v>14514</v>
      </c>
      <c r="L79" s="34">
        <f>990693</f>
        <v>990693</v>
      </c>
      <c r="M79" s="34">
        <f>0</f>
        <v>0</v>
      </c>
      <c r="N79" s="34">
        <f>0</f>
        <v>0</v>
      </c>
      <c r="O79" s="34">
        <f>0</f>
        <v>0</v>
      </c>
      <c r="P79" s="34"/>
      <c r="Q79" s="34"/>
      <c r="R79" s="34"/>
      <c r="S79" s="34">
        <v>132417</v>
      </c>
      <c r="T79" s="34"/>
      <c r="U79" s="34">
        <v>169245</v>
      </c>
      <c r="V79" s="34"/>
      <c r="W79" s="34"/>
      <c r="X79" s="34"/>
      <c r="Y79" s="34">
        <f t="shared" si="3"/>
        <v>301662</v>
      </c>
      <c r="Z79" s="31">
        <f>12600+627098</f>
        <v>639698</v>
      </c>
      <c r="AA79" s="226" t="s">
        <v>427</v>
      </c>
      <c r="AB79" s="33">
        <v>44209</v>
      </c>
      <c r="AC79" s="36">
        <v>44243</v>
      </c>
      <c r="AD79" s="31">
        <v>-492626</v>
      </c>
      <c r="AE79" s="35">
        <v>24</v>
      </c>
      <c r="AF79" s="33">
        <v>44363</v>
      </c>
      <c r="AG79" s="36">
        <v>44372</v>
      </c>
      <c r="AH79" s="31">
        <v>235000</v>
      </c>
      <c r="AI79" s="32">
        <v>38</v>
      </c>
      <c r="AJ79" s="33">
        <v>44433</v>
      </c>
      <c r="AK79" s="36">
        <v>44449</v>
      </c>
      <c r="AL79" s="31"/>
      <c r="AM79" s="32"/>
      <c r="AN79" s="27"/>
      <c r="AO79" s="36"/>
      <c r="AP79" s="31"/>
      <c r="AQ79" s="32"/>
      <c r="AR79" s="27"/>
      <c r="AS79" s="36"/>
      <c r="AT79" s="36"/>
      <c r="AU79" s="36"/>
      <c r="AV79" s="36"/>
      <c r="AW79" s="36"/>
      <c r="AX79" s="37">
        <f t="shared" si="1"/>
        <v>382072</v>
      </c>
      <c r="AY79" s="38">
        <f t="shared" si="2"/>
        <v>80410</v>
      </c>
    </row>
    <row r="80" spans="2:51" s="39" customFormat="1" ht="33.75">
      <c r="B80" s="22">
        <v>65</v>
      </c>
      <c r="C80" s="22" t="s">
        <v>39</v>
      </c>
      <c r="D80" s="23" t="s">
        <v>571</v>
      </c>
      <c r="E80" s="48" t="s">
        <v>572</v>
      </c>
      <c r="F80" s="48" t="s">
        <v>231</v>
      </c>
      <c r="G80" s="26" t="s">
        <v>426</v>
      </c>
      <c r="H80" s="73"/>
      <c r="I80" s="49" t="s">
        <v>44</v>
      </c>
      <c r="J80" s="216">
        <f>160337</f>
        <v>160337</v>
      </c>
      <c r="K80" s="34">
        <f>5266</f>
        <v>5266</v>
      </c>
      <c r="L80" s="34">
        <f>42934</f>
        <v>42934</v>
      </c>
      <c r="M80" s="34">
        <f>0</f>
        <v>0</v>
      </c>
      <c r="N80" s="34">
        <f>7000</f>
        <v>7000</v>
      </c>
      <c r="O80" s="34">
        <v>14000</v>
      </c>
      <c r="P80" s="34">
        <f>14000</f>
        <v>14000</v>
      </c>
      <c r="Q80" s="34">
        <f>14000</f>
        <v>14000</v>
      </c>
      <c r="R80" s="34"/>
      <c r="S80" s="34">
        <v>21000</v>
      </c>
      <c r="T80" s="34"/>
      <c r="U80" s="34">
        <v>28000</v>
      </c>
      <c r="V80" s="34"/>
      <c r="W80" s="34"/>
      <c r="X80" s="34"/>
      <c r="Y80" s="34">
        <f t="shared" ref="Y80:Y111" si="4">SUM(M80:X80)</f>
        <v>98000</v>
      </c>
      <c r="Z80" s="31">
        <f>102400</f>
        <v>102400</v>
      </c>
      <c r="AA80" s="226" t="s">
        <v>427</v>
      </c>
      <c r="AB80" s="33">
        <v>44209</v>
      </c>
      <c r="AC80" s="36">
        <v>44243</v>
      </c>
      <c r="AD80" s="31">
        <v>-4400</v>
      </c>
      <c r="AE80" s="32">
        <v>23</v>
      </c>
      <c r="AF80" s="33">
        <v>44355</v>
      </c>
      <c r="AG80" s="36">
        <v>44369</v>
      </c>
      <c r="AH80" s="31"/>
      <c r="AI80" s="32"/>
      <c r="AJ80" s="27"/>
      <c r="AK80" s="36"/>
      <c r="AL80" s="228"/>
      <c r="AM80" s="228"/>
      <c r="AN80" s="228"/>
      <c r="AO80" s="228"/>
      <c r="AP80" s="31"/>
      <c r="AQ80" s="32"/>
      <c r="AR80" s="27"/>
      <c r="AS80" s="36"/>
      <c r="AT80" s="36"/>
      <c r="AU80" s="36"/>
      <c r="AV80" s="36"/>
      <c r="AW80" s="36"/>
      <c r="AX80" s="37">
        <f t="shared" si="1"/>
        <v>98000</v>
      </c>
      <c r="AY80" s="38">
        <f t="shared" si="2"/>
        <v>0</v>
      </c>
    </row>
    <row r="81" spans="2:51" s="39" customFormat="1" ht="22.5">
      <c r="B81" s="22">
        <v>66</v>
      </c>
      <c r="C81" s="22" t="s">
        <v>39</v>
      </c>
      <c r="D81" s="23" t="s">
        <v>573</v>
      </c>
      <c r="E81" s="48" t="s">
        <v>574</v>
      </c>
      <c r="F81" s="48" t="s">
        <v>146</v>
      </c>
      <c r="G81" s="26" t="s">
        <v>426</v>
      </c>
      <c r="H81" s="73" t="s">
        <v>553</v>
      </c>
      <c r="I81" s="49" t="s">
        <v>44</v>
      </c>
      <c r="J81" s="216">
        <f>787719</f>
        <v>787719</v>
      </c>
      <c r="K81" s="34">
        <f>673509</f>
        <v>673509</v>
      </c>
      <c r="L81" s="34">
        <f>0</f>
        <v>0</v>
      </c>
      <c r="M81" s="34">
        <f>0</f>
        <v>0</v>
      </c>
      <c r="N81" s="34">
        <v>111960</v>
      </c>
      <c r="O81" s="34">
        <f>0</f>
        <v>0</v>
      </c>
      <c r="P81" s="34"/>
      <c r="Q81" s="34"/>
      <c r="R81" s="34"/>
      <c r="S81" s="34"/>
      <c r="T81" s="34"/>
      <c r="U81" s="34"/>
      <c r="V81" s="34"/>
      <c r="W81" s="34"/>
      <c r="X81" s="34"/>
      <c r="Y81" s="34">
        <f t="shared" si="4"/>
        <v>111960</v>
      </c>
      <c r="Z81" s="31">
        <f>111960</f>
        <v>111960</v>
      </c>
      <c r="AA81" s="226" t="s">
        <v>427</v>
      </c>
      <c r="AB81" s="33">
        <v>44209</v>
      </c>
      <c r="AC81" s="36">
        <v>44243</v>
      </c>
      <c r="AD81" s="31"/>
      <c r="AE81" s="35"/>
      <c r="AF81" s="27"/>
      <c r="AG81" s="36"/>
      <c r="AH81" s="31"/>
      <c r="AI81" s="32"/>
      <c r="AJ81" s="27"/>
      <c r="AK81" s="36"/>
      <c r="AL81" s="31"/>
      <c r="AM81" s="32"/>
      <c r="AN81" s="27"/>
      <c r="AO81" s="36"/>
      <c r="AP81" s="31"/>
      <c r="AQ81" s="32"/>
      <c r="AR81" s="27"/>
      <c r="AS81" s="36"/>
      <c r="AT81" s="36"/>
      <c r="AU81" s="36"/>
      <c r="AV81" s="36"/>
      <c r="AW81" s="36"/>
      <c r="AX81" s="37">
        <f t="shared" ref="AX81:AX147" si="5">+Z81+AD81+AH81+AL81+AP81+AT81</f>
        <v>111960</v>
      </c>
      <c r="AY81" s="38">
        <f t="shared" ref="AY81:AY147" si="6">+AX81-Y81</f>
        <v>0</v>
      </c>
    </row>
    <row r="82" spans="2:51" s="39" customFormat="1" ht="33.75">
      <c r="B82" s="22">
        <v>67</v>
      </c>
      <c r="C82" s="22" t="s">
        <v>39</v>
      </c>
      <c r="D82" s="23" t="s">
        <v>575</v>
      </c>
      <c r="E82" s="48" t="s">
        <v>576</v>
      </c>
      <c r="F82" s="48" t="s">
        <v>146</v>
      </c>
      <c r="G82" s="26" t="s">
        <v>426</v>
      </c>
      <c r="H82" s="73" t="s">
        <v>449</v>
      </c>
      <c r="I82" s="49" t="s">
        <v>44</v>
      </c>
      <c r="J82" s="216">
        <f>544402</f>
        <v>544402</v>
      </c>
      <c r="K82" s="34">
        <f>135631</f>
        <v>135631</v>
      </c>
      <c r="L82" s="34">
        <f>1</f>
        <v>1</v>
      </c>
      <c r="M82" s="34">
        <f>0</f>
        <v>0</v>
      </c>
      <c r="N82" s="34">
        <v>300370</v>
      </c>
      <c r="O82" s="34">
        <f>0</f>
        <v>0</v>
      </c>
      <c r="P82" s="34">
        <f>0</f>
        <v>0</v>
      </c>
      <c r="Q82" s="34">
        <f>0</f>
        <v>0</v>
      </c>
      <c r="R82" s="34"/>
      <c r="S82" s="34"/>
      <c r="T82" s="34">
        <v>52060</v>
      </c>
      <c r="U82" s="34"/>
      <c r="V82" s="34"/>
      <c r="W82" s="34"/>
      <c r="X82" s="34"/>
      <c r="Y82" s="34">
        <f t="shared" si="4"/>
        <v>352430</v>
      </c>
      <c r="Z82" s="31">
        <f>8876+352431</f>
        <v>361307</v>
      </c>
      <c r="AA82" s="226" t="s">
        <v>427</v>
      </c>
      <c r="AB82" s="33">
        <v>44209</v>
      </c>
      <c r="AC82" s="36">
        <v>44243</v>
      </c>
      <c r="AD82" s="31">
        <v>-8876</v>
      </c>
      <c r="AE82" s="35">
        <v>10</v>
      </c>
      <c r="AF82" s="33">
        <v>44299</v>
      </c>
      <c r="AG82" s="36">
        <v>44316</v>
      </c>
      <c r="AH82" s="31"/>
      <c r="AI82" s="32"/>
      <c r="AJ82" s="27"/>
      <c r="AK82" s="36"/>
      <c r="AL82" s="31"/>
      <c r="AM82" s="32"/>
      <c r="AN82" s="27"/>
      <c r="AO82" s="36"/>
      <c r="AP82" s="31"/>
      <c r="AQ82" s="32"/>
      <c r="AR82" s="27"/>
      <c r="AS82" s="36"/>
      <c r="AT82" s="36"/>
      <c r="AU82" s="36"/>
      <c r="AV82" s="36"/>
      <c r="AW82" s="36"/>
      <c r="AX82" s="37">
        <f t="shared" si="5"/>
        <v>352431</v>
      </c>
      <c r="AY82" s="38">
        <f t="shared" si="6"/>
        <v>1</v>
      </c>
    </row>
    <row r="83" spans="2:51" s="39" customFormat="1" ht="22.5">
      <c r="B83" s="22">
        <v>68</v>
      </c>
      <c r="C83" s="22" t="s">
        <v>39</v>
      </c>
      <c r="D83" s="23" t="s">
        <v>577</v>
      </c>
      <c r="E83" s="48" t="s">
        <v>578</v>
      </c>
      <c r="F83" s="48" t="s">
        <v>146</v>
      </c>
      <c r="G83" s="26" t="s">
        <v>426</v>
      </c>
      <c r="H83" s="73" t="s">
        <v>553</v>
      </c>
      <c r="I83" s="49" t="s">
        <v>44</v>
      </c>
      <c r="J83" s="216">
        <f>129585</f>
        <v>129585</v>
      </c>
      <c r="K83" s="34">
        <f>0</f>
        <v>0</v>
      </c>
      <c r="L83" s="34">
        <f>0</f>
        <v>0</v>
      </c>
      <c r="M83" s="34">
        <f>0</f>
        <v>0</v>
      </c>
      <c r="N83" s="34">
        <f>0</f>
        <v>0</v>
      </c>
      <c r="O83" s="34">
        <f>0</f>
        <v>0</v>
      </c>
      <c r="P83" s="34"/>
      <c r="Q83" s="34">
        <f>0</f>
        <v>0</v>
      </c>
      <c r="R83" s="225">
        <v>9068</v>
      </c>
      <c r="S83" s="34"/>
      <c r="T83" s="34"/>
      <c r="U83" s="34"/>
      <c r="V83" s="34"/>
      <c r="W83" s="34"/>
      <c r="X83" s="34"/>
      <c r="Y83" s="34">
        <f t="shared" si="4"/>
        <v>9068</v>
      </c>
      <c r="Z83" s="31">
        <f>9071</f>
        <v>9071</v>
      </c>
      <c r="AA83" s="226" t="s">
        <v>427</v>
      </c>
      <c r="AB83" s="33">
        <v>44209</v>
      </c>
      <c r="AC83" s="36">
        <v>44243</v>
      </c>
      <c r="AD83" s="31">
        <v>120514</v>
      </c>
      <c r="AE83" s="35">
        <v>10</v>
      </c>
      <c r="AF83" s="33">
        <v>44299</v>
      </c>
      <c r="AG83" s="36">
        <v>44316</v>
      </c>
      <c r="AH83" s="31"/>
      <c r="AI83" s="32"/>
      <c r="AJ83" s="27"/>
      <c r="AK83" s="36"/>
      <c r="AL83" s="31"/>
      <c r="AM83" s="32"/>
      <c r="AN83" s="27"/>
      <c r="AO83" s="36"/>
      <c r="AP83" s="31"/>
      <c r="AQ83" s="32"/>
      <c r="AR83" s="27"/>
      <c r="AS83" s="36"/>
      <c r="AT83" s="36"/>
      <c r="AU83" s="36"/>
      <c r="AV83" s="36"/>
      <c r="AW83" s="36"/>
      <c r="AX83" s="37">
        <f t="shared" si="5"/>
        <v>129585</v>
      </c>
      <c r="AY83" s="38">
        <f t="shared" si="6"/>
        <v>120517</v>
      </c>
    </row>
    <row r="84" spans="2:51" s="39" customFormat="1" ht="22.5">
      <c r="B84" s="22">
        <v>69</v>
      </c>
      <c r="C84" s="22" t="s">
        <v>39</v>
      </c>
      <c r="D84" s="23" t="s">
        <v>579</v>
      </c>
      <c r="E84" s="48" t="s">
        <v>580</v>
      </c>
      <c r="F84" s="48" t="s">
        <v>146</v>
      </c>
      <c r="G84" s="26" t="s">
        <v>426</v>
      </c>
      <c r="H84" s="73" t="s">
        <v>581</v>
      </c>
      <c r="I84" s="49" t="s">
        <v>44</v>
      </c>
      <c r="J84" s="216">
        <f>714135</f>
        <v>714135</v>
      </c>
      <c r="K84" s="34">
        <f>690353</f>
        <v>690353</v>
      </c>
      <c r="L84" s="34">
        <f>0</f>
        <v>0</v>
      </c>
      <c r="M84" s="34">
        <f>0</f>
        <v>0</v>
      </c>
      <c r="N84" s="34">
        <f>0</f>
        <v>0</v>
      </c>
      <c r="O84" s="34">
        <f>0</f>
        <v>0</v>
      </c>
      <c r="P84" s="34"/>
      <c r="Q84" s="34"/>
      <c r="R84" s="34"/>
      <c r="S84" s="34"/>
      <c r="T84" s="34"/>
      <c r="U84" s="34"/>
      <c r="V84" s="34"/>
      <c r="W84" s="34"/>
      <c r="X84" s="34"/>
      <c r="Y84" s="34">
        <f t="shared" si="4"/>
        <v>0</v>
      </c>
      <c r="Z84" s="31">
        <f>16242+7534</f>
        <v>23776</v>
      </c>
      <c r="AA84" s="226" t="s">
        <v>427</v>
      </c>
      <c r="AB84" s="33">
        <v>44209</v>
      </c>
      <c r="AC84" s="36">
        <v>44243</v>
      </c>
      <c r="AD84" s="31"/>
      <c r="AE84" s="35"/>
      <c r="AF84" s="27"/>
      <c r="AG84" s="36"/>
      <c r="AH84" s="31"/>
      <c r="AI84" s="32"/>
      <c r="AJ84" s="27"/>
      <c r="AK84" s="36"/>
      <c r="AL84" s="31"/>
      <c r="AM84" s="32"/>
      <c r="AN84" s="27"/>
      <c r="AO84" s="36"/>
      <c r="AP84" s="31"/>
      <c r="AQ84" s="32"/>
      <c r="AR84" s="27"/>
      <c r="AS84" s="36"/>
      <c r="AT84" s="36"/>
      <c r="AU84" s="36"/>
      <c r="AV84" s="36"/>
      <c r="AW84" s="36"/>
      <c r="AX84" s="37">
        <f t="shared" si="5"/>
        <v>23776</v>
      </c>
      <c r="AY84" s="38">
        <f t="shared" si="6"/>
        <v>23776</v>
      </c>
    </row>
    <row r="85" spans="2:51" s="39" customFormat="1" ht="22.5" customHeight="1">
      <c r="B85" s="22">
        <v>70</v>
      </c>
      <c r="C85" s="22" t="s">
        <v>39</v>
      </c>
      <c r="D85" s="23" t="s">
        <v>582</v>
      </c>
      <c r="E85" s="48" t="s">
        <v>583</v>
      </c>
      <c r="F85" s="48" t="s">
        <v>146</v>
      </c>
      <c r="G85" s="26" t="s">
        <v>426</v>
      </c>
      <c r="H85" s="73" t="s">
        <v>466</v>
      </c>
      <c r="I85" s="49" t="s">
        <v>44</v>
      </c>
      <c r="J85" s="216">
        <v>1059676</v>
      </c>
      <c r="K85" s="34">
        <f>870941</f>
        <v>870941</v>
      </c>
      <c r="L85" s="34">
        <f>1</f>
        <v>1</v>
      </c>
      <c r="M85" s="34"/>
      <c r="N85" s="34">
        <f>188732</f>
        <v>188732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>
        <f t="shared" si="4"/>
        <v>188732</v>
      </c>
      <c r="Z85" s="31">
        <f>188733</f>
        <v>188733</v>
      </c>
      <c r="AA85" s="226" t="s">
        <v>584</v>
      </c>
      <c r="AB85" s="33">
        <v>44246</v>
      </c>
      <c r="AC85" s="36">
        <v>44253</v>
      </c>
      <c r="AD85" s="31"/>
      <c r="AE85" s="35"/>
      <c r="AF85" s="27"/>
      <c r="AG85" s="36"/>
      <c r="AH85" s="31"/>
      <c r="AI85" s="32"/>
      <c r="AJ85" s="27"/>
      <c r="AK85" s="36"/>
      <c r="AL85" s="31"/>
      <c r="AM85" s="32"/>
      <c r="AN85" s="27"/>
      <c r="AO85" s="36"/>
      <c r="AP85" s="31"/>
      <c r="AQ85" s="32"/>
      <c r="AR85" s="27"/>
      <c r="AS85" s="36"/>
      <c r="AT85" s="36"/>
      <c r="AU85" s="36"/>
      <c r="AV85" s="36"/>
      <c r="AW85" s="36"/>
      <c r="AX85" s="37">
        <f t="shared" si="5"/>
        <v>188733</v>
      </c>
      <c r="AY85" s="38">
        <f t="shared" si="6"/>
        <v>1</v>
      </c>
    </row>
    <row r="86" spans="2:51" s="39" customFormat="1" ht="22.5">
      <c r="B86" s="22">
        <v>71</v>
      </c>
      <c r="C86" s="22" t="s">
        <v>65</v>
      </c>
      <c r="D86" s="23" t="s">
        <v>585</v>
      </c>
      <c r="E86" s="48" t="s">
        <v>586</v>
      </c>
      <c r="F86" s="48" t="s">
        <v>146</v>
      </c>
      <c r="G86" s="26" t="s">
        <v>426</v>
      </c>
      <c r="H86" s="73" t="s">
        <v>587</v>
      </c>
      <c r="I86" s="49" t="s">
        <v>52</v>
      </c>
      <c r="J86" s="216">
        <v>314725</v>
      </c>
      <c r="K86" s="34">
        <f>0</f>
        <v>0</v>
      </c>
      <c r="L86" s="34">
        <f>222385</f>
        <v>222385</v>
      </c>
      <c r="M86" s="34"/>
      <c r="N86" s="34"/>
      <c r="O86" s="34">
        <f>0</f>
        <v>0</v>
      </c>
      <c r="P86" s="34"/>
      <c r="Q86" s="34"/>
      <c r="R86" s="34"/>
      <c r="S86" s="34"/>
      <c r="T86" s="34"/>
      <c r="U86" s="34"/>
      <c r="V86" s="34"/>
      <c r="W86" s="34"/>
      <c r="X86" s="34"/>
      <c r="Y86" s="34">
        <f t="shared" si="4"/>
        <v>0</v>
      </c>
      <c r="Z86" s="31">
        <f>92340</f>
        <v>92340</v>
      </c>
      <c r="AA86" s="226" t="s">
        <v>440</v>
      </c>
      <c r="AB86" s="33">
        <v>44253</v>
      </c>
      <c r="AC86" s="36">
        <v>44281</v>
      </c>
      <c r="AD86" s="31"/>
      <c r="AE86" s="35"/>
      <c r="AF86" s="27"/>
      <c r="AG86" s="36"/>
      <c r="AH86" s="31"/>
      <c r="AI86" s="32"/>
      <c r="AJ86" s="27"/>
      <c r="AK86" s="36"/>
      <c r="AL86" s="31"/>
      <c r="AM86" s="32"/>
      <c r="AN86" s="27"/>
      <c r="AO86" s="36"/>
      <c r="AP86" s="31"/>
      <c r="AQ86" s="32"/>
      <c r="AR86" s="27"/>
      <c r="AS86" s="36"/>
      <c r="AT86" s="36"/>
      <c r="AU86" s="36"/>
      <c r="AV86" s="36"/>
      <c r="AW86" s="36"/>
      <c r="AX86" s="37">
        <f t="shared" si="5"/>
        <v>92340</v>
      </c>
      <c r="AY86" s="38">
        <f t="shared" si="6"/>
        <v>92340</v>
      </c>
    </row>
    <row r="87" spans="2:51" s="39" customFormat="1" ht="22.5">
      <c r="B87" s="22">
        <v>72</v>
      </c>
      <c r="C87" s="22" t="s">
        <v>39</v>
      </c>
      <c r="D87" s="23" t="s">
        <v>588</v>
      </c>
      <c r="E87" s="48" t="s">
        <v>589</v>
      </c>
      <c r="F87" s="48" t="s">
        <v>231</v>
      </c>
      <c r="G87" s="26" t="s">
        <v>426</v>
      </c>
      <c r="H87" s="73" t="s">
        <v>590</v>
      </c>
      <c r="I87" s="49" t="s">
        <v>44</v>
      </c>
      <c r="J87" s="216">
        <f>603780+538</f>
        <v>604318</v>
      </c>
      <c r="K87" s="34">
        <f>257383</f>
        <v>257383</v>
      </c>
      <c r="L87" s="34">
        <f>0</f>
        <v>0</v>
      </c>
      <c r="M87" s="34"/>
      <c r="N87" s="34">
        <f>0</f>
        <v>0</v>
      </c>
      <c r="O87" s="34">
        <f>0</f>
        <v>0</v>
      </c>
      <c r="P87" s="34"/>
      <c r="Q87" s="34">
        <f>0</f>
        <v>0</v>
      </c>
      <c r="R87" s="34"/>
      <c r="S87" s="34"/>
      <c r="T87" s="34"/>
      <c r="U87" s="34"/>
      <c r="V87" s="34"/>
      <c r="W87" s="34"/>
      <c r="X87" s="34"/>
      <c r="Y87" s="34">
        <f t="shared" si="4"/>
        <v>0</v>
      </c>
      <c r="Z87" s="31">
        <f>346930</f>
        <v>346930</v>
      </c>
      <c r="AA87" s="226" t="s">
        <v>440</v>
      </c>
      <c r="AB87" s="33">
        <v>44253</v>
      </c>
      <c r="AC87" s="36">
        <v>44281</v>
      </c>
      <c r="AD87" s="31">
        <v>-346930</v>
      </c>
      <c r="AE87" s="35">
        <v>10</v>
      </c>
      <c r="AF87" s="33">
        <v>44299</v>
      </c>
      <c r="AG87" s="36">
        <v>44316</v>
      </c>
      <c r="AH87" s="31"/>
      <c r="AI87" s="32"/>
      <c r="AJ87" s="27"/>
      <c r="AK87" s="36"/>
      <c r="AL87" s="31"/>
      <c r="AM87" s="32"/>
      <c r="AN87" s="27"/>
      <c r="AO87" s="36"/>
      <c r="AP87" s="31"/>
      <c r="AQ87" s="32"/>
      <c r="AR87" s="27"/>
      <c r="AS87" s="36"/>
      <c r="AT87" s="36"/>
      <c r="AU87" s="36"/>
      <c r="AV87" s="36"/>
      <c r="AW87" s="36"/>
      <c r="AX87" s="37">
        <f t="shared" si="5"/>
        <v>0</v>
      </c>
      <c r="AY87" s="38">
        <f t="shared" si="6"/>
        <v>0</v>
      </c>
    </row>
    <row r="88" spans="2:51" s="39" customFormat="1" ht="22.5">
      <c r="B88" s="22">
        <v>73</v>
      </c>
      <c r="C88" s="22" t="s">
        <v>39</v>
      </c>
      <c r="D88" s="23" t="s">
        <v>591</v>
      </c>
      <c r="E88" s="48" t="s">
        <v>592</v>
      </c>
      <c r="F88" s="48" t="s">
        <v>146</v>
      </c>
      <c r="G88" s="26" t="s">
        <v>426</v>
      </c>
      <c r="H88" s="73" t="s">
        <v>443</v>
      </c>
      <c r="I88" s="49" t="s">
        <v>52</v>
      </c>
      <c r="J88" s="216">
        <f>1339361</f>
        <v>1339361</v>
      </c>
      <c r="K88" s="34">
        <f>0</f>
        <v>0</v>
      </c>
      <c r="L88" s="34">
        <f>737473</f>
        <v>737473</v>
      </c>
      <c r="M88" s="34"/>
      <c r="N88" s="34"/>
      <c r="O88" s="34">
        <f>0</f>
        <v>0</v>
      </c>
      <c r="P88" s="34"/>
      <c r="Q88" s="34"/>
      <c r="R88" s="34"/>
      <c r="S88" s="34"/>
      <c r="T88" s="34">
        <v>50093</v>
      </c>
      <c r="U88" s="34">
        <v>40149</v>
      </c>
      <c r="V88" s="34"/>
      <c r="W88" s="34"/>
      <c r="X88" s="34"/>
      <c r="Y88" s="34">
        <f t="shared" si="4"/>
        <v>90242</v>
      </c>
      <c r="Z88" s="31">
        <f>1846+20000+120000</f>
        <v>141846</v>
      </c>
      <c r="AA88" s="226" t="s">
        <v>440</v>
      </c>
      <c r="AB88" s="33">
        <v>44253</v>
      </c>
      <c r="AC88" s="36">
        <v>44281</v>
      </c>
      <c r="AD88" s="31"/>
      <c r="AE88" s="35"/>
      <c r="AF88" s="27"/>
      <c r="AG88" s="36"/>
      <c r="AH88" s="31"/>
      <c r="AI88" s="32"/>
      <c r="AJ88" s="27"/>
      <c r="AK88" s="36"/>
      <c r="AL88" s="31"/>
      <c r="AM88" s="32"/>
      <c r="AN88" s="27"/>
      <c r="AO88" s="36"/>
      <c r="AP88" s="31"/>
      <c r="AQ88" s="32"/>
      <c r="AR88" s="27"/>
      <c r="AS88" s="36"/>
      <c r="AT88" s="36"/>
      <c r="AU88" s="36"/>
      <c r="AV88" s="36"/>
      <c r="AW88" s="36"/>
      <c r="AX88" s="37">
        <f t="shared" si="5"/>
        <v>141846</v>
      </c>
      <c r="AY88" s="38">
        <f t="shared" si="6"/>
        <v>51604</v>
      </c>
    </row>
    <row r="89" spans="2:51" s="39" customFormat="1" ht="22.5">
      <c r="B89" s="22">
        <v>74</v>
      </c>
      <c r="C89" s="22" t="s">
        <v>39</v>
      </c>
      <c r="D89" s="23" t="s">
        <v>593</v>
      </c>
      <c r="E89" s="48" t="s">
        <v>594</v>
      </c>
      <c r="F89" s="48" t="s">
        <v>146</v>
      </c>
      <c r="G89" s="26" t="s">
        <v>426</v>
      </c>
      <c r="H89" s="73" t="s">
        <v>443</v>
      </c>
      <c r="I89" s="49" t="s">
        <v>52</v>
      </c>
      <c r="J89" s="216">
        <f>628737</f>
        <v>628737</v>
      </c>
      <c r="K89" s="34">
        <f>0</f>
        <v>0</v>
      </c>
      <c r="L89" s="34">
        <f>334429</f>
        <v>334429</v>
      </c>
      <c r="M89" s="34"/>
      <c r="N89" s="34"/>
      <c r="O89" s="34">
        <f>0</f>
        <v>0</v>
      </c>
      <c r="P89" s="34"/>
      <c r="Q89" s="34"/>
      <c r="R89" s="34"/>
      <c r="S89" s="34"/>
      <c r="T89" s="34"/>
      <c r="U89" s="34"/>
      <c r="V89" s="34"/>
      <c r="W89" s="34"/>
      <c r="X89" s="34"/>
      <c r="Y89" s="34">
        <f t="shared" si="4"/>
        <v>0</v>
      </c>
      <c r="Z89" s="31">
        <f>2257+12000+280000</f>
        <v>294257</v>
      </c>
      <c r="AA89" s="226" t="s">
        <v>440</v>
      </c>
      <c r="AB89" s="33">
        <v>44253</v>
      </c>
      <c r="AC89" s="36">
        <v>44281</v>
      </c>
      <c r="AD89" s="31"/>
      <c r="AE89" s="35"/>
      <c r="AF89" s="27"/>
      <c r="AG89" s="36"/>
      <c r="AH89" s="31"/>
      <c r="AI89" s="32"/>
      <c r="AJ89" s="27"/>
      <c r="AK89" s="36"/>
      <c r="AL89" s="31"/>
      <c r="AM89" s="32"/>
      <c r="AN89" s="27"/>
      <c r="AO89" s="36"/>
      <c r="AP89" s="31"/>
      <c r="AQ89" s="32"/>
      <c r="AR89" s="27"/>
      <c r="AS89" s="36"/>
      <c r="AT89" s="36"/>
      <c r="AU89" s="36"/>
      <c r="AV89" s="36"/>
      <c r="AW89" s="36"/>
      <c r="AX89" s="37">
        <f t="shared" si="5"/>
        <v>294257</v>
      </c>
      <c r="AY89" s="38">
        <f t="shared" si="6"/>
        <v>294257</v>
      </c>
    </row>
    <row r="90" spans="2:51" s="39" customFormat="1" ht="22.5">
      <c r="B90" s="22">
        <v>75</v>
      </c>
      <c r="C90" s="22" t="s">
        <v>39</v>
      </c>
      <c r="D90" s="23" t="s">
        <v>595</v>
      </c>
      <c r="E90" s="48" t="s">
        <v>596</v>
      </c>
      <c r="F90" s="48" t="s">
        <v>146</v>
      </c>
      <c r="G90" s="26" t="s">
        <v>426</v>
      </c>
      <c r="H90" s="73" t="s">
        <v>430</v>
      </c>
      <c r="I90" s="49" t="s">
        <v>44</v>
      </c>
      <c r="J90" s="216">
        <f>3008865</f>
        <v>3008865</v>
      </c>
      <c r="K90" s="34">
        <f>2790066</f>
        <v>2790066</v>
      </c>
      <c r="L90" s="34">
        <f>0</f>
        <v>0</v>
      </c>
      <c r="M90" s="34"/>
      <c r="N90" s="34"/>
      <c r="O90" s="34">
        <f>0</f>
        <v>0</v>
      </c>
      <c r="P90" s="34"/>
      <c r="Q90" s="34"/>
      <c r="R90" s="34"/>
      <c r="S90" s="34"/>
      <c r="T90" s="34"/>
      <c r="U90" s="34"/>
      <c r="V90" s="34"/>
      <c r="W90" s="34"/>
      <c r="X90" s="34"/>
      <c r="Y90" s="34">
        <f t="shared" si="4"/>
        <v>0</v>
      </c>
      <c r="Z90" s="31">
        <f>17787+201011</f>
        <v>218798</v>
      </c>
      <c r="AA90" s="226" t="s">
        <v>440</v>
      </c>
      <c r="AB90" s="33">
        <v>44253</v>
      </c>
      <c r="AC90" s="36">
        <v>44281</v>
      </c>
      <c r="AD90" s="31">
        <v>-196918</v>
      </c>
      <c r="AE90" s="32">
        <v>23</v>
      </c>
      <c r="AF90" s="33">
        <v>44355</v>
      </c>
      <c r="AG90" s="36">
        <v>44369</v>
      </c>
      <c r="AH90" s="31"/>
      <c r="AI90" s="32"/>
      <c r="AJ90" s="27"/>
      <c r="AK90" s="36"/>
      <c r="AL90" s="228"/>
      <c r="AM90" s="228"/>
      <c r="AN90" s="228"/>
      <c r="AO90" s="228"/>
      <c r="AP90" s="31"/>
      <c r="AQ90" s="32"/>
      <c r="AR90" s="27"/>
      <c r="AS90" s="36"/>
      <c r="AT90" s="36"/>
      <c r="AU90" s="36"/>
      <c r="AV90" s="36"/>
      <c r="AW90" s="36"/>
      <c r="AX90" s="37">
        <f t="shared" si="5"/>
        <v>21880</v>
      </c>
      <c r="AY90" s="38">
        <f t="shared" si="6"/>
        <v>21880</v>
      </c>
    </row>
    <row r="91" spans="2:51" s="39" customFormat="1" ht="33.75">
      <c r="B91" s="22">
        <v>76</v>
      </c>
      <c r="C91" s="22" t="s">
        <v>39</v>
      </c>
      <c r="D91" s="23" t="s">
        <v>597</v>
      </c>
      <c r="E91" s="48" t="s">
        <v>598</v>
      </c>
      <c r="F91" s="48" t="s">
        <v>599</v>
      </c>
      <c r="G91" s="26" t="s">
        <v>426</v>
      </c>
      <c r="H91" s="73" t="s">
        <v>457</v>
      </c>
      <c r="I91" s="49" t="s">
        <v>44</v>
      </c>
      <c r="J91" s="216">
        <f>67823</f>
        <v>67823</v>
      </c>
      <c r="K91" s="34">
        <f>47791</f>
        <v>47791</v>
      </c>
      <c r="L91" s="34">
        <f>0</f>
        <v>0</v>
      </c>
      <c r="M91" s="34"/>
      <c r="N91" s="34"/>
      <c r="O91" s="34">
        <f>0</f>
        <v>0</v>
      </c>
      <c r="P91" s="34"/>
      <c r="Q91" s="34"/>
      <c r="R91" s="34"/>
      <c r="S91" s="34"/>
      <c r="T91" s="34"/>
      <c r="U91" s="34"/>
      <c r="V91" s="34"/>
      <c r="W91" s="34"/>
      <c r="X91" s="34"/>
      <c r="Y91" s="34">
        <f t="shared" si="4"/>
        <v>0</v>
      </c>
      <c r="Z91" s="31">
        <f>20031</f>
        <v>20031</v>
      </c>
      <c r="AA91" s="226" t="s">
        <v>440</v>
      </c>
      <c r="AB91" s="33">
        <v>44253</v>
      </c>
      <c r="AC91" s="36">
        <v>44281</v>
      </c>
      <c r="AD91" s="31"/>
      <c r="AE91" s="35"/>
      <c r="AF91" s="27"/>
      <c r="AG91" s="36"/>
      <c r="AH91" s="31"/>
      <c r="AI91" s="32"/>
      <c r="AJ91" s="27"/>
      <c r="AK91" s="36"/>
      <c r="AL91" s="31"/>
      <c r="AM91" s="32"/>
      <c r="AN91" s="27"/>
      <c r="AO91" s="36"/>
      <c r="AP91" s="31"/>
      <c r="AQ91" s="32"/>
      <c r="AR91" s="27"/>
      <c r="AS91" s="36"/>
      <c r="AT91" s="36"/>
      <c r="AU91" s="36"/>
      <c r="AV91" s="36"/>
      <c r="AW91" s="36"/>
      <c r="AX91" s="37">
        <f t="shared" si="5"/>
        <v>20031</v>
      </c>
      <c r="AY91" s="38">
        <f t="shared" si="6"/>
        <v>20031</v>
      </c>
    </row>
    <row r="92" spans="2:51" s="39" customFormat="1" ht="33.75">
      <c r="B92" s="22">
        <v>77</v>
      </c>
      <c r="C92" s="22" t="s">
        <v>39</v>
      </c>
      <c r="D92" s="23" t="s">
        <v>600</v>
      </c>
      <c r="E92" s="48" t="s">
        <v>601</v>
      </c>
      <c r="F92" s="48" t="s">
        <v>599</v>
      </c>
      <c r="G92" s="26" t="s">
        <v>426</v>
      </c>
      <c r="H92" s="73" t="s">
        <v>457</v>
      </c>
      <c r="I92" s="49" t="s">
        <v>44</v>
      </c>
      <c r="J92" s="216">
        <f>69772</f>
        <v>69772</v>
      </c>
      <c r="K92" s="34">
        <f>48077</f>
        <v>48077</v>
      </c>
      <c r="L92" s="34">
        <f>0</f>
        <v>0</v>
      </c>
      <c r="M92" s="34"/>
      <c r="N92" s="34"/>
      <c r="O92" s="34">
        <f>0</f>
        <v>0</v>
      </c>
      <c r="P92" s="34"/>
      <c r="Q92" s="34"/>
      <c r="R92" s="34"/>
      <c r="S92" s="34"/>
      <c r="T92" s="34"/>
      <c r="U92" s="34"/>
      <c r="V92" s="34"/>
      <c r="W92" s="34"/>
      <c r="X92" s="34"/>
      <c r="Y92" s="34">
        <f t="shared" si="4"/>
        <v>0</v>
      </c>
      <c r="Z92" s="31">
        <f>19751</f>
        <v>19751</v>
      </c>
      <c r="AA92" s="226" t="s">
        <v>440</v>
      </c>
      <c r="AB92" s="33">
        <v>44253</v>
      </c>
      <c r="AC92" s="36">
        <v>44281</v>
      </c>
      <c r="AD92" s="31"/>
      <c r="AE92" s="35"/>
      <c r="AF92" s="27"/>
      <c r="AG92" s="36"/>
      <c r="AH92" s="31"/>
      <c r="AI92" s="32"/>
      <c r="AJ92" s="27"/>
      <c r="AK92" s="36"/>
      <c r="AL92" s="31"/>
      <c r="AM92" s="32"/>
      <c r="AN92" s="27"/>
      <c r="AO92" s="36"/>
      <c r="AP92" s="31"/>
      <c r="AQ92" s="32"/>
      <c r="AR92" s="27"/>
      <c r="AS92" s="36"/>
      <c r="AT92" s="36"/>
      <c r="AU92" s="36"/>
      <c r="AV92" s="36"/>
      <c r="AW92" s="36"/>
      <c r="AX92" s="37">
        <f t="shared" si="5"/>
        <v>19751</v>
      </c>
      <c r="AY92" s="38">
        <f t="shared" si="6"/>
        <v>19751</v>
      </c>
    </row>
    <row r="93" spans="2:51" s="39" customFormat="1" ht="33.75">
      <c r="B93" s="22">
        <v>78</v>
      </c>
      <c r="C93" s="22" t="s">
        <v>39</v>
      </c>
      <c r="D93" s="23" t="s">
        <v>602</v>
      </c>
      <c r="E93" s="48" t="s">
        <v>603</v>
      </c>
      <c r="F93" s="48" t="s">
        <v>599</v>
      </c>
      <c r="G93" s="26" t="s">
        <v>426</v>
      </c>
      <c r="H93" s="73" t="s">
        <v>457</v>
      </c>
      <c r="I93" s="49" t="s">
        <v>44</v>
      </c>
      <c r="J93" s="216">
        <f>69461</f>
        <v>69461</v>
      </c>
      <c r="K93" s="34">
        <f>47576</f>
        <v>47576</v>
      </c>
      <c r="L93" s="34">
        <f>0</f>
        <v>0</v>
      </c>
      <c r="M93" s="34"/>
      <c r="N93" s="34"/>
      <c r="O93" s="34">
        <f>0</f>
        <v>0</v>
      </c>
      <c r="P93" s="34"/>
      <c r="Q93" s="34"/>
      <c r="R93" s="34"/>
      <c r="S93" s="34"/>
      <c r="T93" s="34"/>
      <c r="U93" s="34"/>
      <c r="V93" s="34"/>
      <c r="W93" s="34"/>
      <c r="X93" s="34"/>
      <c r="Y93" s="34">
        <f t="shared" si="4"/>
        <v>0</v>
      </c>
      <c r="Z93" s="31">
        <f>19941</f>
        <v>19941</v>
      </c>
      <c r="AA93" s="226" t="s">
        <v>440</v>
      </c>
      <c r="AB93" s="33">
        <v>44253</v>
      </c>
      <c r="AC93" s="36">
        <v>44281</v>
      </c>
      <c r="AD93" s="31"/>
      <c r="AE93" s="35"/>
      <c r="AF93" s="27"/>
      <c r="AG93" s="36"/>
      <c r="AH93" s="31"/>
      <c r="AI93" s="32"/>
      <c r="AJ93" s="27"/>
      <c r="AK93" s="36"/>
      <c r="AL93" s="31"/>
      <c r="AM93" s="32"/>
      <c r="AN93" s="27"/>
      <c r="AO93" s="36"/>
      <c r="AP93" s="31"/>
      <c r="AQ93" s="32"/>
      <c r="AR93" s="27"/>
      <c r="AS93" s="36"/>
      <c r="AT93" s="36"/>
      <c r="AU93" s="36"/>
      <c r="AV93" s="36"/>
      <c r="AW93" s="36"/>
      <c r="AX93" s="37">
        <f t="shared" si="5"/>
        <v>19941</v>
      </c>
      <c r="AY93" s="38">
        <f t="shared" si="6"/>
        <v>19941</v>
      </c>
    </row>
    <row r="94" spans="2:51" s="39" customFormat="1" ht="22.5">
      <c r="B94" s="22">
        <v>79</v>
      </c>
      <c r="C94" s="22" t="s">
        <v>39</v>
      </c>
      <c r="D94" s="23" t="s">
        <v>604</v>
      </c>
      <c r="E94" s="48" t="s">
        <v>605</v>
      </c>
      <c r="F94" s="48" t="s">
        <v>146</v>
      </c>
      <c r="G94" s="26" t="s">
        <v>426</v>
      </c>
      <c r="H94" s="73" t="s">
        <v>449</v>
      </c>
      <c r="I94" s="49" t="s">
        <v>44</v>
      </c>
      <c r="J94" s="216">
        <f>201561</f>
        <v>201561</v>
      </c>
      <c r="K94" s="34">
        <f>0</f>
        <v>0</v>
      </c>
      <c r="L94" s="34">
        <f>0</f>
        <v>0</v>
      </c>
      <c r="M94" s="34"/>
      <c r="N94" s="34"/>
      <c r="O94" s="34">
        <f>0</f>
        <v>0</v>
      </c>
      <c r="P94" s="34"/>
      <c r="Q94" s="34"/>
      <c r="R94" s="34"/>
      <c r="S94" s="34"/>
      <c r="T94" s="34"/>
      <c r="U94" s="34"/>
      <c r="V94" s="34"/>
      <c r="W94" s="34"/>
      <c r="X94" s="34"/>
      <c r="Y94" s="34">
        <f t="shared" si="4"/>
        <v>0</v>
      </c>
      <c r="Z94" s="31">
        <f>197126</f>
        <v>197126</v>
      </c>
      <c r="AA94" s="226" t="s">
        <v>440</v>
      </c>
      <c r="AB94" s="33">
        <v>44253</v>
      </c>
      <c r="AC94" s="36">
        <v>44281</v>
      </c>
      <c r="AD94" s="31">
        <v>-186232</v>
      </c>
      <c r="AE94" s="35">
        <v>24</v>
      </c>
      <c r="AF94" s="33">
        <v>44363</v>
      </c>
      <c r="AG94" s="36">
        <v>44372</v>
      </c>
      <c r="AH94" s="31">
        <v>186232</v>
      </c>
      <c r="AI94" s="32">
        <v>38</v>
      </c>
      <c r="AJ94" s="33">
        <v>44433</v>
      </c>
      <c r="AK94" s="36">
        <v>44449</v>
      </c>
      <c r="AL94" s="31"/>
      <c r="AM94" s="32"/>
      <c r="AN94" s="27"/>
      <c r="AO94" s="36"/>
      <c r="AP94" s="31"/>
      <c r="AQ94" s="32"/>
      <c r="AR94" s="27"/>
      <c r="AS94" s="36"/>
      <c r="AT94" s="36"/>
      <c r="AU94" s="36"/>
      <c r="AV94" s="36"/>
      <c r="AW94" s="36"/>
      <c r="AX94" s="37">
        <f t="shared" si="5"/>
        <v>197126</v>
      </c>
      <c r="AY94" s="38">
        <f t="shared" si="6"/>
        <v>197126</v>
      </c>
    </row>
    <row r="95" spans="2:51" s="39" customFormat="1" ht="22.5" customHeight="1">
      <c r="B95" s="22"/>
      <c r="C95" s="22"/>
      <c r="D95" s="23"/>
      <c r="E95" s="48"/>
      <c r="F95" s="48"/>
      <c r="G95" s="26"/>
      <c r="H95" s="73"/>
      <c r="I95" s="49"/>
      <c r="J95" s="216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>
        <f t="shared" si="4"/>
        <v>0</v>
      </c>
      <c r="Z95" s="31"/>
      <c r="AA95" s="226"/>
      <c r="AB95" s="33"/>
      <c r="AC95" s="36"/>
      <c r="AD95" s="31"/>
      <c r="AE95" s="35"/>
      <c r="AF95" s="27"/>
      <c r="AG95" s="36"/>
      <c r="AH95" s="31"/>
      <c r="AI95" s="32"/>
      <c r="AJ95" s="27"/>
      <c r="AK95" s="36"/>
      <c r="AL95" s="31"/>
      <c r="AM95" s="32"/>
      <c r="AN95" s="27"/>
      <c r="AO95" s="36"/>
      <c r="AP95" s="31"/>
      <c r="AQ95" s="32"/>
      <c r="AR95" s="27"/>
      <c r="AS95" s="36"/>
      <c r="AT95" s="36"/>
      <c r="AU95" s="36"/>
      <c r="AV95" s="36"/>
      <c r="AW95" s="36"/>
      <c r="AX95" s="37">
        <f t="shared" si="5"/>
        <v>0</v>
      </c>
      <c r="AY95" s="38">
        <f t="shared" si="6"/>
        <v>0</v>
      </c>
    </row>
    <row r="96" spans="2:51" s="39" customFormat="1" ht="22.5" customHeight="1">
      <c r="B96" s="22">
        <v>80</v>
      </c>
      <c r="C96" s="22" t="s">
        <v>39</v>
      </c>
      <c r="D96" s="23" t="s">
        <v>606</v>
      </c>
      <c r="E96" s="48" t="s">
        <v>607</v>
      </c>
      <c r="F96" s="48" t="s">
        <v>158</v>
      </c>
      <c r="G96" s="26" t="s">
        <v>426</v>
      </c>
      <c r="H96" s="73" t="s">
        <v>449</v>
      </c>
      <c r="I96" s="49" t="s">
        <v>44</v>
      </c>
      <c r="J96" s="216">
        <v>87737</v>
      </c>
      <c r="K96" s="34">
        <v>3146</v>
      </c>
      <c r="L96" s="34">
        <f>0</f>
        <v>0</v>
      </c>
      <c r="M96" s="34"/>
      <c r="N96" s="34"/>
      <c r="O96" s="34">
        <f>0</f>
        <v>0</v>
      </c>
      <c r="P96" s="34">
        <f>0</f>
        <v>0</v>
      </c>
      <c r="Q96" s="34">
        <f>0</f>
        <v>0</v>
      </c>
      <c r="R96" s="34"/>
      <c r="S96" s="34">
        <v>15300</v>
      </c>
      <c r="T96" s="34"/>
      <c r="U96" s="34"/>
      <c r="V96" s="34"/>
      <c r="W96" s="34"/>
      <c r="X96" s="34"/>
      <c r="Y96" s="34">
        <f t="shared" si="4"/>
        <v>15300</v>
      </c>
      <c r="Z96" s="31">
        <f>75940</f>
        <v>75940</v>
      </c>
      <c r="AA96" s="226" t="s">
        <v>608</v>
      </c>
      <c r="AB96" s="33">
        <v>44300</v>
      </c>
      <c r="AC96" s="36">
        <v>44316</v>
      </c>
      <c r="AD96" s="31"/>
      <c r="AE96" s="35"/>
      <c r="AF96" s="27"/>
      <c r="AG96" s="36"/>
      <c r="AH96" s="31"/>
      <c r="AI96" s="32"/>
      <c r="AJ96" s="27"/>
      <c r="AK96" s="36"/>
      <c r="AL96" s="31"/>
      <c r="AM96" s="32"/>
      <c r="AN96" s="27"/>
      <c r="AO96" s="36"/>
      <c r="AP96" s="31"/>
      <c r="AQ96" s="32"/>
      <c r="AR96" s="27"/>
      <c r="AS96" s="36"/>
      <c r="AT96" s="36"/>
      <c r="AU96" s="36"/>
      <c r="AV96" s="36"/>
      <c r="AW96" s="36"/>
      <c r="AX96" s="37">
        <f t="shared" si="5"/>
        <v>75940</v>
      </c>
      <c r="AY96" s="38">
        <f t="shared" si="6"/>
        <v>60640</v>
      </c>
    </row>
    <row r="97" spans="2:51" s="39" customFormat="1" ht="22.5" customHeight="1">
      <c r="B97" s="22">
        <v>81</v>
      </c>
      <c r="C97" s="22" t="s">
        <v>39</v>
      </c>
      <c r="D97" s="23" t="s">
        <v>609</v>
      </c>
      <c r="E97" s="48" t="s">
        <v>610</v>
      </c>
      <c r="F97" s="48" t="s">
        <v>146</v>
      </c>
      <c r="G97" s="26" t="s">
        <v>426</v>
      </c>
      <c r="H97" s="26" t="s">
        <v>426</v>
      </c>
      <c r="I97" s="49" t="s">
        <v>52</v>
      </c>
      <c r="J97" s="216">
        <v>318306</v>
      </c>
      <c r="K97" s="34">
        <f>0</f>
        <v>0</v>
      </c>
      <c r="L97" s="34">
        <f>25561</f>
        <v>25561</v>
      </c>
      <c r="M97" s="34"/>
      <c r="N97" s="34"/>
      <c r="O97" s="34"/>
      <c r="P97" s="34">
        <f>25160</f>
        <v>25160</v>
      </c>
      <c r="Q97" s="34">
        <v>17164</v>
      </c>
      <c r="R97" s="225">
        <v>21951</v>
      </c>
      <c r="S97" s="34">
        <v>25411</v>
      </c>
      <c r="T97" s="34">
        <v>45783</v>
      </c>
      <c r="U97" s="34">
        <v>29751</v>
      </c>
      <c r="V97" s="34"/>
      <c r="W97" s="34"/>
      <c r="X97" s="34"/>
      <c r="Y97" s="34">
        <f t="shared" si="4"/>
        <v>165220</v>
      </c>
      <c r="Z97" s="31">
        <f>190000</f>
        <v>190000</v>
      </c>
      <c r="AA97" s="226" t="s">
        <v>608</v>
      </c>
      <c r="AB97" s="33">
        <v>44300</v>
      </c>
      <c r="AC97" s="36">
        <v>44316</v>
      </c>
      <c r="AD97" s="31"/>
      <c r="AE97" s="35"/>
      <c r="AF97" s="27"/>
      <c r="AG97" s="36"/>
      <c r="AH97" s="31"/>
      <c r="AI97" s="32"/>
      <c r="AJ97" s="27"/>
      <c r="AK97" s="36"/>
      <c r="AL97" s="31"/>
      <c r="AM97" s="32"/>
      <c r="AN97" s="27"/>
      <c r="AO97" s="36"/>
      <c r="AP97" s="31"/>
      <c r="AQ97" s="32"/>
      <c r="AR97" s="27"/>
      <c r="AS97" s="36"/>
      <c r="AT97" s="36"/>
      <c r="AU97" s="36"/>
      <c r="AV97" s="36"/>
      <c r="AW97" s="36"/>
      <c r="AX97" s="37">
        <f t="shared" si="5"/>
        <v>190000</v>
      </c>
      <c r="AY97" s="38">
        <f t="shared" si="6"/>
        <v>24780</v>
      </c>
    </row>
    <row r="98" spans="2:51" s="39" customFormat="1" ht="22.5" customHeight="1">
      <c r="B98" s="22">
        <v>82</v>
      </c>
      <c r="C98" s="22" t="s">
        <v>39</v>
      </c>
      <c r="D98" s="23" t="s">
        <v>611</v>
      </c>
      <c r="E98" s="48" t="s">
        <v>612</v>
      </c>
      <c r="F98" s="48" t="s">
        <v>146</v>
      </c>
      <c r="G98" s="26" t="s">
        <v>426</v>
      </c>
      <c r="H98" s="73" t="s">
        <v>495</v>
      </c>
      <c r="I98" s="49" t="s">
        <v>52</v>
      </c>
      <c r="J98" s="216">
        <f>606859</f>
        <v>606859</v>
      </c>
      <c r="K98" s="34">
        <f>0</f>
        <v>0</v>
      </c>
      <c r="L98" s="34">
        <f>13353</f>
        <v>13353</v>
      </c>
      <c r="M98" s="34"/>
      <c r="N98" s="34"/>
      <c r="O98" s="34"/>
      <c r="P98" s="34"/>
      <c r="Q98" s="34">
        <f>0</f>
        <v>0</v>
      </c>
      <c r="R98" s="34"/>
      <c r="S98" s="34"/>
      <c r="T98" s="34"/>
      <c r="U98" s="34"/>
      <c r="V98" s="34"/>
      <c r="W98" s="34"/>
      <c r="X98" s="34"/>
      <c r="Y98" s="34">
        <f t="shared" si="4"/>
        <v>0</v>
      </c>
      <c r="Z98" s="31">
        <f>73143</f>
        <v>73143</v>
      </c>
      <c r="AA98" s="226" t="s">
        <v>608</v>
      </c>
      <c r="AB98" s="33">
        <v>44300</v>
      </c>
      <c r="AC98" s="36">
        <v>44316</v>
      </c>
      <c r="AD98" s="31"/>
      <c r="AE98" s="35"/>
      <c r="AF98" s="27"/>
      <c r="AG98" s="36"/>
      <c r="AH98" s="31"/>
      <c r="AI98" s="32"/>
      <c r="AJ98" s="27"/>
      <c r="AK98" s="36"/>
      <c r="AL98" s="31"/>
      <c r="AM98" s="32"/>
      <c r="AN98" s="27"/>
      <c r="AO98" s="36"/>
      <c r="AP98" s="31"/>
      <c r="AQ98" s="32"/>
      <c r="AR98" s="27"/>
      <c r="AS98" s="36"/>
      <c r="AT98" s="36"/>
      <c r="AU98" s="36"/>
      <c r="AV98" s="36"/>
      <c r="AW98" s="36"/>
      <c r="AX98" s="37">
        <f t="shared" si="5"/>
        <v>73143</v>
      </c>
      <c r="AY98" s="38">
        <f t="shared" si="6"/>
        <v>73143</v>
      </c>
    </row>
    <row r="99" spans="2:51" s="39" customFormat="1" ht="22.5" customHeight="1">
      <c r="B99" s="22">
        <v>83</v>
      </c>
      <c r="C99" s="22" t="s">
        <v>39</v>
      </c>
      <c r="D99" s="23" t="s">
        <v>613</v>
      </c>
      <c r="E99" s="48" t="s">
        <v>614</v>
      </c>
      <c r="F99" s="48" t="s">
        <v>146</v>
      </c>
      <c r="G99" s="26" t="s">
        <v>426</v>
      </c>
      <c r="H99" s="73" t="s">
        <v>516</v>
      </c>
      <c r="I99" s="49" t="s">
        <v>52</v>
      </c>
      <c r="J99" s="216">
        <f>290679</f>
        <v>290679</v>
      </c>
      <c r="K99" s="34">
        <f>0</f>
        <v>0</v>
      </c>
      <c r="L99" s="34">
        <f>6396</f>
        <v>6396</v>
      </c>
      <c r="M99" s="34"/>
      <c r="N99" s="34"/>
      <c r="O99" s="34"/>
      <c r="P99" s="34"/>
      <c r="Q99" s="34">
        <f>0</f>
        <v>0</v>
      </c>
      <c r="R99" s="34"/>
      <c r="S99" s="34"/>
      <c r="T99" s="34"/>
      <c r="U99" s="34"/>
      <c r="V99" s="34"/>
      <c r="W99" s="34"/>
      <c r="X99" s="34"/>
      <c r="Y99" s="34">
        <f t="shared" si="4"/>
        <v>0</v>
      </c>
      <c r="Z99" s="31">
        <v>59347</v>
      </c>
      <c r="AA99" s="226" t="s">
        <v>608</v>
      </c>
      <c r="AB99" s="33">
        <v>44300</v>
      </c>
      <c r="AC99" s="36">
        <v>44316</v>
      </c>
      <c r="AD99" s="31"/>
      <c r="AE99" s="35"/>
      <c r="AF99" s="27"/>
      <c r="AG99" s="36"/>
      <c r="AH99" s="31"/>
      <c r="AI99" s="32"/>
      <c r="AJ99" s="27"/>
      <c r="AK99" s="36"/>
      <c r="AL99" s="31"/>
      <c r="AM99" s="32"/>
      <c r="AN99" s="27"/>
      <c r="AO99" s="36"/>
      <c r="AP99" s="31"/>
      <c r="AQ99" s="32"/>
      <c r="AR99" s="27"/>
      <c r="AS99" s="36"/>
      <c r="AT99" s="36"/>
      <c r="AU99" s="36"/>
      <c r="AV99" s="36"/>
      <c r="AW99" s="36"/>
      <c r="AX99" s="37">
        <f t="shared" si="5"/>
        <v>59347</v>
      </c>
      <c r="AY99" s="38">
        <f t="shared" si="6"/>
        <v>59347</v>
      </c>
    </row>
    <row r="100" spans="2:51" s="39" customFormat="1" ht="22.5" customHeight="1">
      <c r="B100" s="22">
        <v>84</v>
      </c>
      <c r="C100" s="22" t="s">
        <v>39</v>
      </c>
      <c r="D100" s="23" t="s">
        <v>615</v>
      </c>
      <c r="E100" s="48" t="s">
        <v>616</v>
      </c>
      <c r="F100" s="48" t="s">
        <v>146</v>
      </c>
      <c r="G100" s="26" t="s">
        <v>426</v>
      </c>
      <c r="H100" s="73" t="s">
        <v>466</v>
      </c>
      <c r="I100" s="49" t="s">
        <v>52</v>
      </c>
      <c r="J100" s="216">
        <f>120491</f>
        <v>120491</v>
      </c>
      <c r="K100" s="34">
        <f>0</f>
        <v>0</v>
      </c>
      <c r="L100" s="34">
        <f>1</f>
        <v>1</v>
      </c>
      <c r="M100" s="34"/>
      <c r="N100" s="34"/>
      <c r="O100" s="34"/>
      <c r="P100" s="34"/>
      <c r="Q100" s="34">
        <f>0</f>
        <v>0</v>
      </c>
      <c r="R100" s="34"/>
      <c r="S100" s="34"/>
      <c r="T100" s="34"/>
      <c r="U100" s="34"/>
      <c r="V100" s="34"/>
      <c r="W100" s="34"/>
      <c r="X100" s="34"/>
      <c r="Y100" s="34">
        <f t="shared" si="4"/>
        <v>0</v>
      </c>
      <c r="Z100" s="31">
        <v>117839</v>
      </c>
      <c r="AA100" s="226" t="s">
        <v>608</v>
      </c>
      <c r="AB100" s="33">
        <v>44300</v>
      </c>
      <c r="AC100" s="36">
        <v>44316</v>
      </c>
      <c r="AD100" s="31"/>
      <c r="AE100" s="35"/>
      <c r="AF100" s="27"/>
      <c r="AG100" s="36"/>
      <c r="AH100" s="31"/>
      <c r="AI100" s="32"/>
      <c r="AJ100" s="27"/>
      <c r="AK100" s="36"/>
      <c r="AL100" s="31"/>
      <c r="AM100" s="32"/>
      <c r="AN100" s="27"/>
      <c r="AO100" s="36"/>
      <c r="AP100" s="31"/>
      <c r="AQ100" s="32"/>
      <c r="AR100" s="27"/>
      <c r="AS100" s="36"/>
      <c r="AT100" s="36"/>
      <c r="AU100" s="36"/>
      <c r="AV100" s="36"/>
      <c r="AW100" s="36"/>
      <c r="AX100" s="37">
        <f t="shared" si="5"/>
        <v>117839</v>
      </c>
      <c r="AY100" s="38">
        <f t="shared" si="6"/>
        <v>117839</v>
      </c>
    </row>
    <row r="101" spans="2:51" s="39" customFormat="1" ht="22.5" customHeight="1">
      <c r="B101" s="22">
        <v>85</v>
      </c>
      <c r="C101" s="22" t="s">
        <v>39</v>
      </c>
      <c r="D101" s="23" t="s">
        <v>617</v>
      </c>
      <c r="E101" s="48" t="s">
        <v>618</v>
      </c>
      <c r="F101" s="48" t="s">
        <v>146</v>
      </c>
      <c r="G101" s="26" t="s">
        <v>426</v>
      </c>
      <c r="H101" s="73" t="s">
        <v>466</v>
      </c>
      <c r="I101" s="49" t="s">
        <v>44</v>
      </c>
      <c r="J101" s="216">
        <v>51491</v>
      </c>
      <c r="K101" s="34">
        <f>0</f>
        <v>0</v>
      </c>
      <c r="L101" s="34">
        <f>0</f>
        <v>0</v>
      </c>
      <c r="M101" s="34"/>
      <c r="N101" s="34"/>
      <c r="O101" s="34"/>
      <c r="P101" s="34"/>
      <c r="Q101" s="34">
        <f>0</f>
        <v>0</v>
      </c>
      <c r="R101" s="34"/>
      <c r="S101" s="34"/>
      <c r="T101" s="34"/>
      <c r="U101" s="34">
        <v>51490</v>
      </c>
      <c r="V101" s="34"/>
      <c r="W101" s="34"/>
      <c r="X101" s="34"/>
      <c r="Y101" s="34">
        <f t="shared" si="4"/>
        <v>51490</v>
      </c>
      <c r="Z101" s="31">
        <f>51491</f>
        <v>51491</v>
      </c>
      <c r="AA101" s="226" t="s">
        <v>608</v>
      </c>
      <c r="AB101" s="33">
        <v>44300</v>
      </c>
      <c r="AC101" s="36">
        <v>44316</v>
      </c>
      <c r="AD101" s="31"/>
      <c r="AE101" s="35"/>
      <c r="AF101" s="27"/>
      <c r="AG101" s="36"/>
      <c r="AH101" s="31"/>
      <c r="AI101" s="32"/>
      <c r="AJ101" s="27"/>
      <c r="AK101" s="36"/>
      <c r="AL101" s="31"/>
      <c r="AM101" s="32"/>
      <c r="AN101" s="27"/>
      <c r="AO101" s="36"/>
      <c r="AP101" s="31"/>
      <c r="AQ101" s="32"/>
      <c r="AR101" s="27"/>
      <c r="AS101" s="36"/>
      <c r="AT101" s="36"/>
      <c r="AU101" s="36"/>
      <c r="AV101" s="36"/>
      <c r="AW101" s="36"/>
      <c r="AX101" s="37">
        <f t="shared" si="5"/>
        <v>51491</v>
      </c>
      <c r="AY101" s="38">
        <f t="shared" si="6"/>
        <v>1</v>
      </c>
    </row>
    <row r="102" spans="2:51" s="39" customFormat="1" ht="22.5" customHeight="1">
      <c r="B102" s="22">
        <v>86</v>
      </c>
      <c r="C102" s="22" t="s">
        <v>39</v>
      </c>
      <c r="D102" s="23" t="s">
        <v>619</v>
      </c>
      <c r="E102" s="48" t="s">
        <v>620</v>
      </c>
      <c r="F102" s="48" t="s">
        <v>599</v>
      </c>
      <c r="G102" s="26" t="s">
        <v>426</v>
      </c>
      <c r="H102" s="73" t="s">
        <v>457</v>
      </c>
      <c r="I102" s="49" t="s">
        <v>52</v>
      </c>
      <c r="J102" s="216">
        <f>75924</f>
        <v>75924</v>
      </c>
      <c r="K102" s="34">
        <f>0</f>
        <v>0</v>
      </c>
      <c r="L102" s="34">
        <f>1</f>
        <v>1</v>
      </c>
      <c r="M102" s="34"/>
      <c r="N102" s="34"/>
      <c r="O102" s="34"/>
      <c r="P102" s="34"/>
      <c r="Q102" s="34">
        <f>0</f>
        <v>0</v>
      </c>
      <c r="R102" s="34"/>
      <c r="S102" s="34"/>
      <c r="T102" s="34"/>
      <c r="U102" s="34"/>
      <c r="V102" s="34"/>
      <c r="W102" s="34"/>
      <c r="X102" s="34"/>
      <c r="Y102" s="34">
        <f t="shared" si="4"/>
        <v>0</v>
      </c>
      <c r="Z102" s="31">
        <f>1831+71400</f>
        <v>73231</v>
      </c>
      <c r="AA102" s="226" t="s">
        <v>608</v>
      </c>
      <c r="AB102" s="33">
        <v>44300</v>
      </c>
      <c r="AC102" s="36">
        <v>44316</v>
      </c>
      <c r="AD102" s="31"/>
      <c r="AE102" s="35"/>
      <c r="AF102" s="27"/>
      <c r="AG102" s="36"/>
      <c r="AH102" s="31"/>
      <c r="AI102" s="32"/>
      <c r="AJ102" s="27"/>
      <c r="AK102" s="36"/>
      <c r="AL102" s="31"/>
      <c r="AM102" s="32"/>
      <c r="AN102" s="27"/>
      <c r="AO102" s="36"/>
      <c r="AP102" s="31"/>
      <c r="AQ102" s="32"/>
      <c r="AR102" s="27"/>
      <c r="AS102" s="36"/>
      <c r="AT102" s="36"/>
      <c r="AU102" s="36"/>
      <c r="AV102" s="36"/>
      <c r="AW102" s="36"/>
      <c r="AX102" s="37">
        <f t="shared" si="5"/>
        <v>73231</v>
      </c>
      <c r="AY102" s="38">
        <f t="shared" si="6"/>
        <v>73231</v>
      </c>
    </row>
    <row r="103" spans="2:51" s="39" customFormat="1" ht="22.5" customHeight="1">
      <c r="B103" s="22">
        <v>87</v>
      </c>
      <c r="C103" s="22" t="s">
        <v>39</v>
      </c>
      <c r="D103" s="23" t="s">
        <v>621</v>
      </c>
      <c r="E103" s="48" t="s">
        <v>622</v>
      </c>
      <c r="F103" s="48" t="s">
        <v>599</v>
      </c>
      <c r="G103" s="26" t="s">
        <v>426</v>
      </c>
      <c r="H103" s="73" t="s">
        <v>457</v>
      </c>
      <c r="I103" s="49" t="s">
        <v>52</v>
      </c>
      <c r="J103" s="216">
        <v>93799</v>
      </c>
      <c r="K103" s="34">
        <f>0</f>
        <v>0</v>
      </c>
      <c r="L103" s="34">
        <f>1</f>
        <v>1</v>
      </c>
      <c r="M103" s="34"/>
      <c r="N103" s="34"/>
      <c r="O103" s="34"/>
      <c r="P103" s="34"/>
      <c r="Q103" s="34">
        <f>0</f>
        <v>0</v>
      </c>
      <c r="R103" s="34"/>
      <c r="S103" s="34"/>
      <c r="T103" s="34"/>
      <c r="U103" s="34"/>
      <c r="V103" s="34"/>
      <c r="W103" s="34"/>
      <c r="X103" s="34"/>
      <c r="Y103" s="34">
        <f t="shared" si="4"/>
        <v>0</v>
      </c>
      <c r="Z103" s="31">
        <f>2075+89657</f>
        <v>91732</v>
      </c>
      <c r="AA103" s="226" t="s">
        <v>608</v>
      </c>
      <c r="AB103" s="33">
        <v>44300</v>
      </c>
      <c r="AC103" s="36">
        <v>44316</v>
      </c>
      <c r="AD103" s="31"/>
      <c r="AE103" s="35"/>
      <c r="AF103" s="27"/>
      <c r="AG103" s="36"/>
      <c r="AH103" s="31"/>
      <c r="AI103" s="32"/>
      <c r="AJ103" s="27"/>
      <c r="AK103" s="36"/>
      <c r="AL103" s="31"/>
      <c r="AM103" s="32"/>
      <c r="AN103" s="27"/>
      <c r="AO103" s="36"/>
      <c r="AP103" s="31"/>
      <c r="AQ103" s="32"/>
      <c r="AR103" s="27"/>
      <c r="AS103" s="36"/>
      <c r="AT103" s="36"/>
      <c r="AU103" s="36"/>
      <c r="AV103" s="36"/>
      <c r="AW103" s="36"/>
      <c r="AX103" s="37">
        <f t="shared" si="5"/>
        <v>91732</v>
      </c>
      <c r="AY103" s="38">
        <f t="shared" si="6"/>
        <v>91732</v>
      </c>
    </row>
    <row r="104" spans="2:51" s="39" customFormat="1" ht="22.5" customHeight="1">
      <c r="B104" s="22">
        <v>88</v>
      </c>
      <c r="C104" s="22" t="s">
        <v>39</v>
      </c>
      <c r="D104" s="23" t="s">
        <v>623</v>
      </c>
      <c r="E104" s="48" t="s">
        <v>624</v>
      </c>
      <c r="F104" s="48" t="s">
        <v>146</v>
      </c>
      <c r="G104" s="26" t="s">
        <v>426</v>
      </c>
      <c r="H104" s="73" t="s">
        <v>495</v>
      </c>
      <c r="I104" s="49" t="s">
        <v>52</v>
      </c>
      <c r="J104" s="216">
        <f>826325</f>
        <v>826325</v>
      </c>
      <c r="K104" s="34">
        <f>5010</f>
        <v>5010</v>
      </c>
      <c r="L104" s="34">
        <f>686984</f>
        <v>686984</v>
      </c>
      <c r="M104" s="34"/>
      <c r="N104" s="34"/>
      <c r="O104" s="34"/>
      <c r="P104" s="34"/>
      <c r="Q104" s="34">
        <v>36384</v>
      </c>
      <c r="R104" s="225">
        <v>60053</v>
      </c>
      <c r="S104" s="34">
        <v>51660</v>
      </c>
      <c r="T104" s="34">
        <v>71137</v>
      </c>
      <c r="U104" s="34"/>
      <c r="V104" s="34"/>
      <c r="W104" s="34"/>
      <c r="X104" s="34"/>
      <c r="Y104" s="34">
        <f t="shared" si="4"/>
        <v>219234</v>
      </c>
      <c r="Z104" s="31">
        <f>1000+36386</f>
        <v>37386</v>
      </c>
      <c r="AA104" s="226" t="s">
        <v>608</v>
      </c>
      <c r="AB104" s="33">
        <v>44300</v>
      </c>
      <c r="AC104" s="36">
        <v>44316</v>
      </c>
      <c r="AD104" s="31">
        <v>189086</v>
      </c>
      <c r="AE104" s="35">
        <v>24</v>
      </c>
      <c r="AF104" s="33">
        <v>44363</v>
      </c>
      <c r="AG104" s="36">
        <v>44372</v>
      </c>
      <c r="AH104" s="31"/>
      <c r="AI104" s="32"/>
      <c r="AJ104" s="27"/>
      <c r="AK104" s="36"/>
      <c r="AL104" s="31"/>
      <c r="AM104" s="32"/>
      <c r="AN104" s="27"/>
      <c r="AO104" s="36"/>
      <c r="AP104" s="31"/>
      <c r="AQ104" s="32"/>
      <c r="AR104" s="27"/>
      <c r="AS104" s="36"/>
      <c r="AT104" s="36"/>
      <c r="AU104" s="36"/>
      <c r="AV104" s="36"/>
      <c r="AW104" s="36"/>
      <c r="AX104" s="37">
        <f t="shared" si="5"/>
        <v>226472</v>
      </c>
      <c r="AY104" s="38">
        <f t="shared" si="6"/>
        <v>7238</v>
      </c>
    </row>
    <row r="105" spans="2:51" s="39" customFormat="1" ht="22.5" customHeight="1">
      <c r="B105" s="22">
        <v>89</v>
      </c>
      <c r="C105" s="22" t="s">
        <v>39</v>
      </c>
      <c r="D105" s="23" t="s">
        <v>625</v>
      </c>
      <c r="E105" s="48" t="s">
        <v>626</v>
      </c>
      <c r="F105" s="48" t="s">
        <v>146</v>
      </c>
      <c r="G105" s="26" t="s">
        <v>426</v>
      </c>
      <c r="H105" s="73" t="s">
        <v>495</v>
      </c>
      <c r="I105" s="49" t="s">
        <v>52</v>
      </c>
      <c r="J105" s="216">
        <f>1443611</f>
        <v>1443611</v>
      </c>
      <c r="K105" s="34">
        <f>5112</f>
        <v>5112</v>
      </c>
      <c r="L105" s="34">
        <f>699483</f>
        <v>699483</v>
      </c>
      <c r="M105" s="34"/>
      <c r="N105" s="34"/>
      <c r="O105" s="34"/>
      <c r="P105" s="34"/>
      <c r="Q105" s="34">
        <f>0</f>
        <v>0</v>
      </c>
      <c r="R105" s="34"/>
      <c r="S105" s="34"/>
      <c r="T105" s="34"/>
      <c r="U105" s="34"/>
      <c r="V105" s="34"/>
      <c r="W105" s="34"/>
      <c r="X105" s="34"/>
      <c r="Y105" s="34">
        <f t="shared" si="4"/>
        <v>0</v>
      </c>
      <c r="Z105" s="31">
        <f>1200+167353</f>
        <v>168553</v>
      </c>
      <c r="AA105" s="226" t="s">
        <v>608</v>
      </c>
      <c r="AB105" s="33">
        <v>44300</v>
      </c>
      <c r="AC105" s="36">
        <v>44316</v>
      </c>
      <c r="AD105" s="31"/>
      <c r="AE105" s="35"/>
      <c r="AF105" s="27"/>
      <c r="AG105" s="36"/>
      <c r="AH105" s="31"/>
      <c r="AI105" s="32"/>
      <c r="AJ105" s="27"/>
      <c r="AK105" s="36"/>
      <c r="AL105" s="31"/>
      <c r="AM105" s="32"/>
      <c r="AN105" s="27"/>
      <c r="AO105" s="36"/>
      <c r="AP105" s="31"/>
      <c r="AQ105" s="32"/>
      <c r="AR105" s="27"/>
      <c r="AS105" s="36"/>
      <c r="AT105" s="36"/>
      <c r="AU105" s="36"/>
      <c r="AV105" s="36"/>
      <c r="AW105" s="36"/>
      <c r="AX105" s="37">
        <f t="shared" si="5"/>
        <v>168553</v>
      </c>
      <c r="AY105" s="38">
        <f t="shared" si="6"/>
        <v>168553</v>
      </c>
    </row>
    <row r="106" spans="2:51" s="39" customFormat="1" ht="22.5" customHeight="1">
      <c r="B106" s="22">
        <v>90</v>
      </c>
      <c r="C106" s="22" t="s">
        <v>39</v>
      </c>
      <c r="D106" s="23" t="s">
        <v>627</v>
      </c>
      <c r="E106" s="48" t="s">
        <v>628</v>
      </c>
      <c r="F106" s="48" t="s">
        <v>146</v>
      </c>
      <c r="G106" s="26" t="s">
        <v>426</v>
      </c>
      <c r="H106" s="73" t="s">
        <v>629</v>
      </c>
      <c r="I106" s="49" t="s">
        <v>44</v>
      </c>
      <c r="J106" s="216">
        <f>1707075</f>
        <v>1707075</v>
      </c>
      <c r="K106" s="34">
        <f>1697197</f>
        <v>1697197</v>
      </c>
      <c r="L106" s="34">
        <f>0</f>
        <v>0</v>
      </c>
      <c r="M106" s="34"/>
      <c r="N106" s="34"/>
      <c r="O106" s="34"/>
      <c r="P106" s="34"/>
      <c r="Q106" s="34">
        <f>0</f>
        <v>0</v>
      </c>
      <c r="R106" s="34"/>
      <c r="S106" s="34"/>
      <c r="T106" s="34"/>
      <c r="U106" s="34"/>
      <c r="V106" s="34"/>
      <c r="W106" s="34"/>
      <c r="X106" s="34"/>
      <c r="Y106" s="34">
        <f t="shared" si="4"/>
        <v>0</v>
      </c>
      <c r="Z106" s="31">
        <f>4915</f>
        <v>4915</v>
      </c>
      <c r="AA106" s="226" t="s">
        <v>608</v>
      </c>
      <c r="AB106" s="33">
        <v>44300</v>
      </c>
      <c r="AC106" s="36">
        <v>44316</v>
      </c>
      <c r="AD106" s="31"/>
      <c r="AE106" s="35"/>
      <c r="AF106" s="27"/>
      <c r="AG106" s="36"/>
      <c r="AH106" s="31"/>
      <c r="AI106" s="32"/>
      <c r="AJ106" s="27"/>
      <c r="AK106" s="36"/>
      <c r="AL106" s="31"/>
      <c r="AM106" s="32"/>
      <c r="AN106" s="27"/>
      <c r="AO106" s="36"/>
      <c r="AP106" s="31"/>
      <c r="AQ106" s="32"/>
      <c r="AR106" s="27"/>
      <c r="AS106" s="36"/>
      <c r="AT106" s="36"/>
      <c r="AU106" s="36"/>
      <c r="AV106" s="36"/>
      <c r="AW106" s="36"/>
      <c r="AX106" s="37">
        <f t="shared" si="5"/>
        <v>4915</v>
      </c>
      <c r="AY106" s="38">
        <f t="shared" si="6"/>
        <v>4915</v>
      </c>
    </row>
    <row r="107" spans="2:51" s="39" customFormat="1" ht="22.5" customHeight="1">
      <c r="B107" s="22">
        <v>91</v>
      </c>
      <c r="C107" s="22" t="s">
        <v>39</v>
      </c>
      <c r="D107" s="23" t="s">
        <v>630</v>
      </c>
      <c r="E107" s="48" t="s">
        <v>631</v>
      </c>
      <c r="F107" s="48" t="s">
        <v>146</v>
      </c>
      <c r="G107" s="26" t="s">
        <v>426</v>
      </c>
      <c r="H107" s="73" t="s">
        <v>472</v>
      </c>
      <c r="I107" s="49" t="s">
        <v>44</v>
      </c>
      <c r="J107" s="216">
        <f>787690</f>
        <v>787690</v>
      </c>
      <c r="K107" s="34">
        <f>2140</f>
        <v>2140</v>
      </c>
      <c r="L107" s="34">
        <f>34753</f>
        <v>34753</v>
      </c>
      <c r="M107" s="34"/>
      <c r="N107" s="34"/>
      <c r="O107" s="34"/>
      <c r="P107" s="34">
        <f>0</f>
        <v>0</v>
      </c>
      <c r="Q107" s="34">
        <v>77097</v>
      </c>
      <c r="R107" s="225">
        <v>53516</v>
      </c>
      <c r="S107" s="34">
        <v>61010</v>
      </c>
      <c r="T107" s="34">
        <v>101794</v>
      </c>
      <c r="U107" s="34"/>
      <c r="V107" s="34"/>
      <c r="W107" s="34"/>
      <c r="X107" s="34"/>
      <c r="Y107" s="34">
        <f t="shared" si="4"/>
        <v>293417</v>
      </c>
      <c r="Z107" s="31">
        <f>24000+126000</f>
        <v>150000</v>
      </c>
      <c r="AA107" s="226" t="s">
        <v>608</v>
      </c>
      <c r="AB107" s="33">
        <v>44300</v>
      </c>
      <c r="AC107" s="36">
        <v>44316</v>
      </c>
      <c r="AD107" s="31">
        <f>20000-20000</f>
        <v>0</v>
      </c>
      <c r="AE107" s="35">
        <v>16</v>
      </c>
      <c r="AF107" s="33">
        <v>44330</v>
      </c>
      <c r="AG107" s="36">
        <v>44347</v>
      </c>
      <c r="AH107" s="31">
        <v>155930</v>
      </c>
      <c r="AI107" s="32">
        <v>24</v>
      </c>
      <c r="AJ107" s="33">
        <v>44363</v>
      </c>
      <c r="AK107" s="36">
        <v>44372</v>
      </c>
      <c r="AL107" s="31">
        <v>540</v>
      </c>
      <c r="AM107" s="32">
        <v>38</v>
      </c>
      <c r="AN107" s="33">
        <v>44433</v>
      </c>
      <c r="AO107" s="36">
        <v>44449</v>
      </c>
      <c r="AP107" s="31"/>
      <c r="AQ107" s="32"/>
      <c r="AR107" s="27"/>
      <c r="AS107" s="36"/>
      <c r="AT107" s="36"/>
      <c r="AU107" s="36"/>
      <c r="AV107" s="36"/>
      <c r="AW107" s="36"/>
      <c r="AX107" s="37">
        <f t="shared" si="5"/>
        <v>306470</v>
      </c>
      <c r="AY107" s="38">
        <f t="shared" si="6"/>
        <v>13053</v>
      </c>
    </row>
    <row r="108" spans="2:51" s="39" customFormat="1" ht="22.5" customHeight="1">
      <c r="B108" s="22">
        <v>92</v>
      </c>
      <c r="C108" s="22" t="s">
        <v>39</v>
      </c>
      <c r="D108" s="23" t="s">
        <v>632</v>
      </c>
      <c r="E108" s="48" t="s">
        <v>633</v>
      </c>
      <c r="F108" s="48" t="s">
        <v>146</v>
      </c>
      <c r="G108" s="26" t="s">
        <v>426</v>
      </c>
      <c r="H108" s="73" t="s">
        <v>469</v>
      </c>
      <c r="I108" s="49" t="s">
        <v>44</v>
      </c>
      <c r="J108" s="216">
        <f>969521</f>
        <v>969521</v>
      </c>
      <c r="K108" s="34">
        <f>851126</f>
        <v>851126</v>
      </c>
      <c r="L108" s="34">
        <f>1</f>
        <v>1</v>
      </c>
      <c r="M108" s="34"/>
      <c r="N108" s="34"/>
      <c r="O108" s="34"/>
      <c r="P108" s="34"/>
      <c r="Q108" s="34">
        <f>0</f>
        <v>0</v>
      </c>
      <c r="R108" s="34"/>
      <c r="S108" s="34"/>
      <c r="T108" s="34"/>
      <c r="U108" s="34"/>
      <c r="V108" s="34"/>
      <c r="W108" s="34"/>
      <c r="X108" s="34"/>
      <c r="Y108" s="34">
        <f t="shared" si="4"/>
        <v>0</v>
      </c>
      <c r="Z108" s="31">
        <f>108734+367</f>
        <v>109101</v>
      </c>
      <c r="AA108" s="226" t="s">
        <v>608</v>
      </c>
      <c r="AB108" s="33">
        <v>44300</v>
      </c>
      <c r="AC108" s="36">
        <v>44316</v>
      </c>
      <c r="AD108" s="31"/>
      <c r="AE108" s="35"/>
      <c r="AF108" s="27"/>
      <c r="AG108" s="36"/>
      <c r="AH108" s="31"/>
      <c r="AI108" s="32"/>
      <c r="AJ108" s="27"/>
      <c r="AK108" s="36"/>
      <c r="AL108" s="31"/>
      <c r="AM108" s="32"/>
      <c r="AN108" s="27"/>
      <c r="AO108" s="36"/>
      <c r="AP108" s="31"/>
      <c r="AQ108" s="32"/>
      <c r="AR108" s="27"/>
      <c r="AS108" s="36"/>
      <c r="AT108" s="36"/>
      <c r="AU108" s="36"/>
      <c r="AV108" s="36"/>
      <c r="AW108" s="36"/>
      <c r="AX108" s="37">
        <f t="shared" si="5"/>
        <v>109101</v>
      </c>
      <c r="AY108" s="38">
        <f t="shared" si="6"/>
        <v>109101</v>
      </c>
    </row>
    <row r="109" spans="2:51" s="39" customFormat="1" ht="22.5" customHeight="1">
      <c r="B109" s="22">
        <v>93</v>
      </c>
      <c r="C109" s="22" t="s">
        <v>39</v>
      </c>
      <c r="D109" s="23" t="s">
        <v>634</v>
      </c>
      <c r="E109" s="48" t="s">
        <v>635</v>
      </c>
      <c r="F109" s="48" t="s">
        <v>146</v>
      </c>
      <c r="G109" s="26" t="s">
        <v>426</v>
      </c>
      <c r="H109" s="73" t="s">
        <v>469</v>
      </c>
      <c r="I109" s="49" t="s">
        <v>44</v>
      </c>
      <c r="J109" s="216">
        <f>592430</f>
        <v>592430</v>
      </c>
      <c r="K109" s="34">
        <f>409536</f>
        <v>409536</v>
      </c>
      <c r="L109" s="34">
        <f>0</f>
        <v>0</v>
      </c>
      <c r="M109" s="34"/>
      <c r="N109" s="34"/>
      <c r="O109" s="34"/>
      <c r="P109" s="34"/>
      <c r="Q109" s="34">
        <f>0</f>
        <v>0</v>
      </c>
      <c r="R109" s="34"/>
      <c r="S109" s="34"/>
      <c r="T109" s="34"/>
      <c r="U109" s="34"/>
      <c r="V109" s="34"/>
      <c r="W109" s="34"/>
      <c r="X109" s="34"/>
      <c r="Y109" s="34">
        <f t="shared" si="4"/>
        <v>0</v>
      </c>
      <c r="Z109" s="31">
        <f>119978+8211</f>
        <v>128189</v>
      </c>
      <c r="AA109" s="226" t="s">
        <v>608</v>
      </c>
      <c r="AB109" s="33">
        <v>44300</v>
      </c>
      <c r="AC109" s="36">
        <v>44316</v>
      </c>
      <c r="AD109" s="31"/>
      <c r="AE109" s="35"/>
      <c r="AF109" s="27"/>
      <c r="AG109" s="36"/>
      <c r="AH109" s="31"/>
      <c r="AI109" s="32"/>
      <c r="AJ109" s="27"/>
      <c r="AK109" s="36"/>
      <c r="AL109" s="31"/>
      <c r="AM109" s="32"/>
      <c r="AN109" s="27"/>
      <c r="AO109" s="36"/>
      <c r="AP109" s="31"/>
      <c r="AQ109" s="32"/>
      <c r="AR109" s="27"/>
      <c r="AS109" s="36"/>
      <c r="AT109" s="36"/>
      <c r="AU109" s="36"/>
      <c r="AV109" s="36"/>
      <c r="AW109" s="36"/>
      <c r="AX109" s="37">
        <f t="shared" si="5"/>
        <v>128189</v>
      </c>
      <c r="AY109" s="38">
        <f t="shared" si="6"/>
        <v>128189</v>
      </c>
    </row>
    <row r="110" spans="2:51" s="39" customFormat="1" ht="22.5" customHeight="1">
      <c r="B110" s="22">
        <v>94</v>
      </c>
      <c r="C110" s="22" t="s">
        <v>39</v>
      </c>
      <c r="D110" s="23" t="s">
        <v>636</v>
      </c>
      <c r="E110" s="48" t="s">
        <v>637</v>
      </c>
      <c r="F110" s="48" t="s">
        <v>146</v>
      </c>
      <c r="G110" s="26" t="s">
        <v>426</v>
      </c>
      <c r="H110" s="73" t="s">
        <v>469</v>
      </c>
      <c r="I110" s="49" t="s">
        <v>44</v>
      </c>
      <c r="J110" s="216">
        <f>712703</f>
        <v>712703</v>
      </c>
      <c r="K110" s="34">
        <f>418980</f>
        <v>418980</v>
      </c>
      <c r="L110" s="34">
        <f>71</f>
        <v>71</v>
      </c>
      <c r="M110" s="34"/>
      <c r="N110" s="34"/>
      <c r="O110" s="34"/>
      <c r="P110" s="34"/>
      <c r="Q110" s="34">
        <f>0</f>
        <v>0</v>
      </c>
      <c r="R110" s="34"/>
      <c r="S110" s="34"/>
      <c r="T110" s="34"/>
      <c r="U110" s="34"/>
      <c r="V110" s="34"/>
      <c r="W110" s="34"/>
      <c r="X110" s="34"/>
      <c r="Y110" s="34">
        <f t="shared" si="4"/>
        <v>0</v>
      </c>
      <c r="Z110" s="31">
        <f>53196+107</f>
        <v>53303</v>
      </c>
      <c r="AA110" s="226" t="s">
        <v>608</v>
      </c>
      <c r="AB110" s="33">
        <v>44300</v>
      </c>
      <c r="AC110" s="36">
        <v>44316</v>
      </c>
      <c r="AD110" s="31">
        <v>2000</v>
      </c>
      <c r="AE110" s="35">
        <v>38</v>
      </c>
      <c r="AF110" s="33">
        <v>44433</v>
      </c>
      <c r="AG110" s="36">
        <v>44449</v>
      </c>
      <c r="AH110" s="31"/>
      <c r="AI110" s="32"/>
      <c r="AJ110" s="27"/>
      <c r="AK110" s="36"/>
      <c r="AL110" s="31"/>
      <c r="AM110" s="32"/>
      <c r="AN110" s="27"/>
      <c r="AO110" s="36"/>
      <c r="AP110" s="31"/>
      <c r="AQ110" s="32"/>
      <c r="AR110" s="27"/>
      <c r="AS110" s="36"/>
      <c r="AT110" s="36"/>
      <c r="AU110" s="36"/>
      <c r="AV110" s="36"/>
      <c r="AW110" s="36"/>
      <c r="AX110" s="37">
        <f t="shared" si="5"/>
        <v>55303</v>
      </c>
      <c r="AY110" s="38">
        <f t="shared" si="6"/>
        <v>55303</v>
      </c>
    </row>
    <row r="111" spans="2:51" s="39" customFormat="1" ht="22.5" customHeight="1">
      <c r="B111" s="22">
        <v>95</v>
      </c>
      <c r="C111" s="22"/>
      <c r="D111" s="23"/>
      <c r="E111" s="48"/>
      <c r="F111" s="48"/>
      <c r="G111" s="26"/>
      <c r="H111" s="73"/>
      <c r="I111" s="49"/>
      <c r="J111" s="216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>
        <f t="shared" si="4"/>
        <v>0</v>
      </c>
      <c r="Z111" s="31"/>
      <c r="AA111" s="226"/>
      <c r="AB111" s="27"/>
      <c r="AC111" s="36"/>
      <c r="AD111" s="31"/>
      <c r="AE111" s="35"/>
      <c r="AF111" s="27"/>
      <c r="AG111" s="36"/>
      <c r="AH111" s="31"/>
      <c r="AI111" s="32"/>
      <c r="AJ111" s="27"/>
      <c r="AK111" s="36"/>
      <c r="AL111" s="31"/>
      <c r="AM111" s="32"/>
      <c r="AN111" s="27"/>
      <c r="AO111" s="36"/>
      <c r="AP111" s="31"/>
      <c r="AQ111" s="32"/>
      <c r="AR111" s="27"/>
      <c r="AS111" s="36"/>
      <c r="AT111" s="36"/>
      <c r="AU111" s="36"/>
      <c r="AV111" s="36"/>
      <c r="AW111" s="36"/>
      <c r="AX111" s="37">
        <f t="shared" si="5"/>
        <v>0</v>
      </c>
      <c r="AY111" s="38">
        <f t="shared" si="6"/>
        <v>0</v>
      </c>
    </row>
    <row r="112" spans="2:51" s="39" customFormat="1" ht="33" customHeight="1">
      <c r="B112" s="22">
        <v>96</v>
      </c>
      <c r="C112" s="22" t="s">
        <v>39</v>
      </c>
      <c r="D112" s="23" t="s">
        <v>638</v>
      </c>
      <c r="E112" s="48" t="s">
        <v>639</v>
      </c>
      <c r="F112" s="48" t="s">
        <v>146</v>
      </c>
      <c r="G112" s="26" t="s">
        <v>426</v>
      </c>
      <c r="H112" s="26" t="s">
        <v>426</v>
      </c>
      <c r="I112" s="49" t="s">
        <v>52</v>
      </c>
      <c r="J112" s="216">
        <f>2046055</f>
        <v>2046055</v>
      </c>
      <c r="K112" s="34">
        <f>0</f>
        <v>0</v>
      </c>
      <c r="L112" s="34">
        <f>1863328</f>
        <v>1863328</v>
      </c>
      <c r="M112" s="34"/>
      <c r="N112" s="34"/>
      <c r="O112" s="34"/>
      <c r="P112" s="34">
        <f>0</f>
        <v>0</v>
      </c>
      <c r="Q112" s="34">
        <f>0</f>
        <v>0</v>
      </c>
      <c r="R112" s="34"/>
      <c r="S112" s="34"/>
      <c r="T112" s="34"/>
      <c r="U112" s="34"/>
      <c r="V112" s="34"/>
      <c r="W112" s="34"/>
      <c r="X112" s="34"/>
      <c r="Y112" s="34">
        <f t="shared" ref="Y112:Y115" si="7">SUM(M112:X112)</f>
        <v>0</v>
      </c>
      <c r="Z112" s="31">
        <f>180000+2727</f>
        <v>182727</v>
      </c>
      <c r="AA112" s="226" t="s">
        <v>640</v>
      </c>
      <c r="AB112" s="33">
        <v>44326</v>
      </c>
      <c r="AC112" s="36">
        <v>44334</v>
      </c>
      <c r="AD112" s="31"/>
      <c r="AE112" s="35"/>
      <c r="AF112" s="27"/>
      <c r="AG112" s="36"/>
      <c r="AH112" s="31"/>
      <c r="AI112" s="32"/>
      <c r="AJ112" s="27"/>
      <c r="AK112" s="36"/>
      <c r="AL112" s="31"/>
      <c r="AM112" s="32"/>
      <c r="AN112" s="27"/>
      <c r="AO112" s="36"/>
      <c r="AP112" s="31"/>
      <c r="AQ112" s="32"/>
      <c r="AR112" s="27"/>
      <c r="AS112" s="36"/>
      <c r="AT112" s="36"/>
      <c r="AU112" s="36"/>
      <c r="AV112" s="36"/>
      <c r="AW112" s="36"/>
      <c r="AX112" s="37">
        <f t="shared" si="5"/>
        <v>182727</v>
      </c>
      <c r="AY112" s="38">
        <f t="shared" si="6"/>
        <v>182727</v>
      </c>
    </row>
    <row r="113" spans="2:51" s="39" customFormat="1" ht="22.5" customHeight="1">
      <c r="B113" s="22">
        <v>97</v>
      </c>
      <c r="C113" s="22" t="s">
        <v>39</v>
      </c>
      <c r="D113" s="23" t="s">
        <v>641</v>
      </c>
      <c r="E113" s="48" t="s">
        <v>642</v>
      </c>
      <c r="F113" s="48" t="s">
        <v>146</v>
      </c>
      <c r="G113" s="26" t="s">
        <v>426</v>
      </c>
      <c r="H113" s="73" t="s">
        <v>449</v>
      </c>
      <c r="I113" s="49" t="s">
        <v>44</v>
      </c>
      <c r="J113" s="216">
        <f>920010</f>
        <v>920010</v>
      </c>
      <c r="K113" s="34">
        <f>282</f>
        <v>282</v>
      </c>
      <c r="L113" s="34">
        <f>849572</f>
        <v>849572</v>
      </c>
      <c r="M113" s="34"/>
      <c r="N113" s="34"/>
      <c r="O113" s="34"/>
      <c r="P113" s="34">
        <f>0</f>
        <v>0</v>
      </c>
      <c r="Q113" s="34">
        <f>0</f>
        <v>0</v>
      </c>
      <c r="R113" s="34"/>
      <c r="S113" s="34"/>
      <c r="T113" s="34"/>
      <c r="U113" s="34"/>
      <c r="V113" s="34"/>
      <c r="W113" s="34"/>
      <c r="X113" s="34"/>
      <c r="Y113" s="34">
        <f t="shared" si="7"/>
        <v>0</v>
      </c>
      <c r="Z113" s="31">
        <v>45000</v>
      </c>
      <c r="AA113" s="226" t="s">
        <v>640</v>
      </c>
      <c r="AB113" s="33">
        <v>44326</v>
      </c>
      <c r="AC113" s="36">
        <v>44334</v>
      </c>
      <c r="AD113" s="31"/>
      <c r="AE113" s="35"/>
      <c r="AF113" s="27"/>
      <c r="AG113" s="36"/>
      <c r="AH113" s="31"/>
      <c r="AI113" s="32"/>
      <c r="AJ113" s="27"/>
      <c r="AK113" s="36"/>
      <c r="AL113" s="31"/>
      <c r="AM113" s="32"/>
      <c r="AN113" s="27"/>
      <c r="AO113" s="36"/>
      <c r="AP113" s="31"/>
      <c r="AQ113" s="32"/>
      <c r="AR113" s="27"/>
      <c r="AS113" s="36"/>
      <c r="AT113" s="36"/>
      <c r="AU113" s="36"/>
      <c r="AV113" s="36"/>
      <c r="AW113" s="36"/>
      <c r="AX113" s="37">
        <f t="shared" si="5"/>
        <v>45000</v>
      </c>
      <c r="AY113" s="38">
        <f t="shared" si="6"/>
        <v>45000</v>
      </c>
    </row>
    <row r="114" spans="2:51" s="39" customFormat="1" ht="22.5" customHeight="1">
      <c r="B114" s="22">
        <v>98</v>
      </c>
      <c r="C114" s="22" t="s">
        <v>39</v>
      </c>
      <c r="D114" s="23" t="s">
        <v>643</v>
      </c>
      <c r="E114" s="48" t="s">
        <v>644</v>
      </c>
      <c r="F114" s="48" t="s">
        <v>146</v>
      </c>
      <c r="G114" s="26" t="s">
        <v>426</v>
      </c>
      <c r="H114" s="26" t="s">
        <v>426</v>
      </c>
      <c r="I114" s="49" t="s">
        <v>52</v>
      </c>
      <c r="J114" s="216">
        <f>45594</f>
        <v>45594</v>
      </c>
      <c r="K114" s="34">
        <f>0</f>
        <v>0</v>
      </c>
      <c r="L114" s="34">
        <f>1</f>
        <v>1</v>
      </c>
      <c r="M114" s="34"/>
      <c r="N114" s="34"/>
      <c r="O114" s="34"/>
      <c r="P114" s="34">
        <f>0</f>
        <v>0</v>
      </c>
      <c r="Q114" s="34">
        <f>3029+1618</f>
        <v>4647</v>
      </c>
      <c r="R114" s="225">
        <v>737</v>
      </c>
      <c r="S114" s="34"/>
      <c r="T114" s="34"/>
      <c r="U114" s="34">
        <v>39096</v>
      </c>
      <c r="V114" s="34"/>
      <c r="W114" s="34"/>
      <c r="X114" s="34"/>
      <c r="Y114" s="34">
        <f t="shared" si="7"/>
        <v>44480</v>
      </c>
      <c r="Z114" s="31">
        <f>37645+5284+1981</f>
        <v>44910</v>
      </c>
      <c r="AA114" s="226" t="s">
        <v>640</v>
      </c>
      <c r="AB114" s="33">
        <v>44326</v>
      </c>
      <c r="AC114" s="36">
        <v>44334</v>
      </c>
      <c r="AD114" s="31">
        <v>0</v>
      </c>
      <c r="AE114" s="32">
        <v>23</v>
      </c>
      <c r="AF114" s="33">
        <v>44355</v>
      </c>
      <c r="AG114" s="36">
        <v>44369</v>
      </c>
      <c r="AH114" s="31"/>
      <c r="AI114" s="32"/>
      <c r="AJ114" s="27"/>
      <c r="AK114" s="36"/>
      <c r="AL114" s="228"/>
      <c r="AM114" s="228"/>
      <c r="AN114" s="228"/>
      <c r="AO114" s="228"/>
      <c r="AP114" s="31"/>
      <c r="AQ114" s="32"/>
      <c r="AR114" s="27"/>
      <c r="AS114" s="36"/>
      <c r="AT114" s="36"/>
      <c r="AU114" s="36"/>
      <c r="AV114" s="36"/>
      <c r="AW114" s="36"/>
      <c r="AX114" s="37">
        <f t="shared" si="5"/>
        <v>44910</v>
      </c>
      <c r="AY114" s="38">
        <f t="shared" si="6"/>
        <v>430</v>
      </c>
    </row>
    <row r="115" spans="2:51" s="39" customFormat="1" ht="22.5" customHeight="1">
      <c r="B115" s="22">
        <v>99</v>
      </c>
      <c r="C115" s="22" t="s">
        <v>39</v>
      </c>
      <c r="D115" s="23" t="s">
        <v>645</v>
      </c>
      <c r="E115" s="48" t="s">
        <v>646</v>
      </c>
      <c r="F115" s="48" t="s">
        <v>158</v>
      </c>
      <c r="G115" s="26" t="s">
        <v>426</v>
      </c>
      <c r="H115" s="73" t="s">
        <v>472</v>
      </c>
      <c r="I115" s="49" t="s">
        <v>52</v>
      </c>
      <c r="J115" s="216">
        <f>105559</f>
        <v>105559</v>
      </c>
      <c r="K115" s="34">
        <f>0</f>
        <v>0</v>
      </c>
      <c r="L115" s="34">
        <f>77559</f>
        <v>77559</v>
      </c>
      <c r="M115" s="34"/>
      <c r="N115" s="34"/>
      <c r="O115" s="34"/>
      <c r="P115" s="34">
        <f>0</f>
        <v>0</v>
      </c>
      <c r="Q115" s="34">
        <f>0</f>
        <v>0</v>
      </c>
      <c r="R115" s="34"/>
      <c r="S115" s="34"/>
      <c r="T115" s="34"/>
      <c r="U115" s="34"/>
      <c r="V115" s="34"/>
      <c r="W115" s="34"/>
      <c r="X115" s="34"/>
      <c r="Y115" s="34">
        <f t="shared" si="7"/>
        <v>0</v>
      </c>
      <c r="Z115" s="31">
        <f>28000</f>
        <v>28000</v>
      </c>
      <c r="AA115" s="226" t="s">
        <v>640</v>
      </c>
      <c r="AB115" s="33">
        <v>44326</v>
      </c>
      <c r="AC115" s="36">
        <v>44334</v>
      </c>
      <c r="AD115" s="31"/>
      <c r="AE115" s="35"/>
      <c r="AF115" s="27"/>
      <c r="AG115" s="36"/>
      <c r="AH115" s="31"/>
      <c r="AI115" s="32"/>
      <c r="AJ115" s="27"/>
      <c r="AK115" s="36"/>
      <c r="AL115" s="31"/>
      <c r="AM115" s="32"/>
      <c r="AN115" s="27"/>
      <c r="AO115" s="36"/>
      <c r="AP115" s="31"/>
      <c r="AQ115" s="32"/>
      <c r="AR115" s="27"/>
      <c r="AS115" s="36"/>
      <c r="AT115" s="36"/>
      <c r="AU115" s="36"/>
      <c r="AV115" s="36"/>
      <c r="AW115" s="36"/>
      <c r="AX115" s="37">
        <f t="shared" si="5"/>
        <v>28000</v>
      </c>
      <c r="AY115" s="38">
        <f t="shared" si="6"/>
        <v>28000</v>
      </c>
    </row>
    <row r="116" spans="2:51" s="39" customFormat="1" ht="22.5" customHeight="1">
      <c r="B116" s="22">
        <v>100</v>
      </c>
      <c r="C116" s="22" t="s">
        <v>39</v>
      </c>
      <c r="D116" s="23" t="s">
        <v>647</v>
      </c>
      <c r="E116" s="48" t="s">
        <v>648</v>
      </c>
      <c r="F116" s="48" t="s">
        <v>146</v>
      </c>
      <c r="G116" s="26" t="s">
        <v>426</v>
      </c>
      <c r="H116" s="73" t="s">
        <v>649</v>
      </c>
      <c r="I116" s="49" t="s">
        <v>44</v>
      </c>
      <c r="J116" s="216">
        <v>2788359</v>
      </c>
      <c r="K116" s="34">
        <v>2699577</v>
      </c>
      <c r="L116" s="34">
        <v>88782</v>
      </c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>
        <f t="shared" ref="Y116:Y117" si="8">SUM(M116:X116)</f>
        <v>0</v>
      </c>
      <c r="Z116" s="31">
        <v>79828</v>
      </c>
      <c r="AA116" s="226" t="s">
        <v>650</v>
      </c>
      <c r="AB116" s="33">
        <v>44363</v>
      </c>
      <c r="AC116" s="36">
        <v>44372</v>
      </c>
      <c r="AD116" s="31">
        <v>7000</v>
      </c>
      <c r="AE116" s="35">
        <v>38</v>
      </c>
      <c r="AF116" s="33">
        <v>44433</v>
      </c>
      <c r="AG116" s="36">
        <v>44449</v>
      </c>
      <c r="AH116" s="31"/>
      <c r="AI116" s="32"/>
      <c r="AJ116" s="27"/>
      <c r="AK116" s="36"/>
      <c r="AL116" s="31"/>
      <c r="AM116" s="32"/>
      <c r="AN116" s="27"/>
      <c r="AO116" s="36"/>
      <c r="AP116" s="31"/>
      <c r="AQ116" s="32"/>
      <c r="AR116" s="27"/>
      <c r="AS116" s="36"/>
      <c r="AT116" s="36"/>
      <c r="AU116" s="36"/>
      <c r="AV116" s="36"/>
      <c r="AW116" s="36"/>
      <c r="AX116" s="37">
        <f t="shared" si="5"/>
        <v>86828</v>
      </c>
      <c r="AY116" s="38">
        <f t="shared" si="6"/>
        <v>86828</v>
      </c>
    </row>
    <row r="117" spans="2:51" s="39" customFormat="1" ht="22.5">
      <c r="B117" s="22">
        <v>101</v>
      </c>
      <c r="C117" s="22" t="s">
        <v>39</v>
      </c>
      <c r="D117" s="23" t="s">
        <v>651</v>
      </c>
      <c r="E117" s="48" t="s">
        <v>652</v>
      </c>
      <c r="F117" s="48" t="s">
        <v>146</v>
      </c>
      <c r="G117" s="26" t="s">
        <v>426</v>
      </c>
      <c r="H117" s="73" t="s">
        <v>469</v>
      </c>
      <c r="I117" s="49" t="s">
        <v>44</v>
      </c>
      <c r="J117" s="216">
        <v>1106378</v>
      </c>
      <c r="K117" s="34">
        <v>600189</v>
      </c>
      <c r="L117" s="34">
        <v>506189</v>
      </c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>
        <f t="shared" si="8"/>
        <v>0</v>
      </c>
      <c r="Z117" s="31">
        <v>195000</v>
      </c>
      <c r="AA117" s="226" t="s">
        <v>650</v>
      </c>
      <c r="AB117" s="33">
        <v>44363</v>
      </c>
      <c r="AC117" s="36">
        <v>44372</v>
      </c>
      <c r="AD117" s="31"/>
      <c r="AE117" s="35"/>
      <c r="AF117" s="27"/>
      <c r="AG117" s="36"/>
      <c r="AH117" s="31"/>
      <c r="AI117" s="32"/>
      <c r="AJ117" s="27"/>
      <c r="AK117" s="36"/>
      <c r="AL117" s="31"/>
      <c r="AM117" s="32"/>
      <c r="AN117" s="27"/>
      <c r="AO117" s="36"/>
      <c r="AP117" s="31"/>
      <c r="AQ117" s="32"/>
      <c r="AR117" s="27"/>
      <c r="AS117" s="36"/>
      <c r="AT117" s="36"/>
      <c r="AU117" s="36"/>
      <c r="AV117" s="36"/>
      <c r="AW117" s="36"/>
      <c r="AX117" s="37">
        <f t="shared" si="5"/>
        <v>195000</v>
      </c>
      <c r="AY117" s="38">
        <f t="shared" si="6"/>
        <v>195000</v>
      </c>
    </row>
    <row r="118" spans="2:51" s="39" customFormat="1" ht="22.5">
      <c r="B118" s="22">
        <v>102</v>
      </c>
      <c r="C118" s="22" t="s">
        <v>39</v>
      </c>
      <c r="D118" s="23" t="s">
        <v>491</v>
      </c>
      <c r="E118" s="48" t="s">
        <v>492</v>
      </c>
      <c r="F118" s="48" t="s">
        <v>146</v>
      </c>
      <c r="G118" s="26" t="s">
        <v>426</v>
      </c>
      <c r="H118" s="73" t="s">
        <v>446</v>
      </c>
      <c r="I118" s="49" t="s">
        <v>52</v>
      </c>
      <c r="J118" s="216">
        <v>21501860</v>
      </c>
      <c r="K118" s="34">
        <v>0</v>
      </c>
      <c r="L118" s="34">
        <v>21394351</v>
      </c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1">
        <v>3323</v>
      </c>
      <c r="AA118" s="226" t="s">
        <v>653</v>
      </c>
      <c r="AB118" s="33">
        <v>44369</v>
      </c>
      <c r="AC118" s="36">
        <v>44385</v>
      </c>
      <c r="AD118" s="31"/>
      <c r="AE118" s="35"/>
      <c r="AF118" s="27"/>
      <c r="AG118" s="36"/>
      <c r="AH118" s="31"/>
      <c r="AI118" s="32"/>
      <c r="AJ118" s="27"/>
      <c r="AK118" s="36"/>
      <c r="AL118" s="31"/>
      <c r="AM118" s="32"/>
      <c r="AN118" s="27"/>
      <c r="AO118" s="36"/>
      <c r="AP118" s="31"/>
      <c r="AQ118" s="32"/>
      <c r="AR118" s="27"/>
      <c r="AS118" s="36"/>
      <c r="AT118" s="36"/>
      <c r="AU118" s="36"/>
      <c r="AV118" s="36"/>
      <c r="AW118" s="36"/>
      <c r="AX118" s="37">
        <f t="shared" si="5"/>
        <v>3323</v>
      </c>
      <c r="AY118" s="38">
        <f t="shared" si="6"/>
        <v>3323</v>
      </c>
    </row>
    <row r="119" spans="2:51" s="39" customFormat="1" ht="22.5">
      <c r="B119" s="22">
        <v>103</v>
      </c>
      <c r="C119" s="22" t="s">
        <v>39</v>
      </c>
      <c r="D119" s="23" t="s">
        <v>654</v>
      </c>
      <c r="E119" s="48" t="s">
        <v>655</v>
      </c>
      <c r="F119" s="48" t="s">
        <v>146</v>
      </c>
      <c r="G119" s="26" t="s">
        <v>426</v>
      </c>
      <c r="H119" s="73" t="s">
        <v>516</v>
      </c>
      <c r="I119" s="49" t="s">
        <v>52</v>
      </c>
      <c r="J119" s="216">
        <v>4313747</v>
      </c>
      <c r="K119" s="34">
        <v>0</v>
      </c>
      <c r="L119" s="34">
        <v>2356729</v>
      </c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1">
        <v>1176</v>
      </c>
      <c r="AA119" s="226" t="s">
        <v>653</v>
      </c>
      <c r="AB119" s="33">
        <v>44369</v>
      </c>
      <c r="AC119" s="36">
        <v>44385</v>
      </c>
      <c r="AD119" s="31"/>
      <c r="AE119" s="35"/>
      <c r="AF119" s="27"/>
      <c r="AG119" s="36"/>
      <c r="AH119" s="31"/>
      <c r="AI119" s="32"/>
      <c r="AJ119" s="27"/>
      <c r="AK119" s="36"/>
      <c r="AL119" s="31"/>
      <c r="AM119" s="32"/>
      <c r="AN119" s="27"/>
      <c r="AO119" s="36"/>
      <c r="AP119" s="31"/>
      <c r="AQ119" s="32"/>
      <c r="AR119" s="27"/>
      <c r="AS119" s="36"/>
      <c r="AT119" s="36"/>
      <c r="AU119" s="36"/>
      <c r="AV119" s="36"/>
      <c r="AW119" s="36"/>
      <c r="AX119" s="37">
        <f t="shared" si="5"/>
        <v>1176</v>
      </c>
      <c r="AY119" s="38">
        <f t="shared" si="6"/>
        <v>1176</v>
      </c>
    </row>
    <row r="120" spans="2:51" s="39" customFormat="1" ht="22.5">
      <c r="B120" s="22">
        <v>104</v>
      </c>
      <c r="C120" s="22" t="s">
        <v>39</v>
      </c>
      <c r="D120" s="23" t="s">
        <v>656</v>
      </c>
      <c r="E120" s="48" t="s">
        <v>657</v>
      </c>
      <c r="F120" s="48" t="s">
        <v>146</v>
      </c>
      <c r="G120" s="26" t="s">
        <v>426</v>
      </c>
      <c r="H120" s="73" t="s">
        <v>472</v>
      </c>
      <c r="I120" s="49" t="s">
        <v>52</v>
      </c>
      <c r="J120" s="216">
        <v>3968161</v>
      </c>
      <c r="K120" s="34">
        <v>0</v>
      </c>
      <c r="L120" s="34">
        <v>3940945</v>
      </c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1">
        <v>6766</v>
      </c>
      <c r="AA120" s="226" t="s">
        <v>653</v>
      </c>
      <c r="AB120" s="33">
        <v>44369</v>
      </c>
      <c r="AC120" s="36">
        <v>44385</v>
      </c>
      <c r="AD120" s="31"/>
      <c r="AE120" s="35"/>
      <c r="AF120" s="27"/>
      <c r="AG120" s="36"/>
      <c r="AH120" s="31"/>
      <c r="AI120" s="32"/>
      <c r="AJ120" s="27"/>
      <c r="AK120" s="36"/>
      <c r="AL120" s="31"/>
      <c r="AM120" s="32"/>
      <c r="AN120" s="27"/>
      <c r="AO120" s="36"/>
      <c r="AP120" s="31"/>
      <c r="AQ120" s="32"/>
      <c r="AR120" s="27"/>
      <c r="AS120" s="36"/>
      <c r="AT120" s="36"/>
      <c r="AU120" s="36"/>
      <c r="AV120" s="36"/>
      <c r="AW120" s="36"/>
      <c r="AX120" s="37">
        <f t="shared" si="5"/>
        <v>6766</v>
      </c>
      <c r="AY120" s="38">
        <f t="shared" si="6"/>
        <v>6766</v>
      </c>
    </row>
    <row r="121" spans="2:51" s="39" customFormat="1" ht="22.5">
      <c r="B121" s="22">
        <v>105</v>
      </c>
      <c r="C121" s="22" t="s">
        <v>39</v>
      </c>
      <c r="D121" s="23" t="s">
        <v>658</v>
      </c>
      <c r="E121" s="48" t="s">
        <v>659</v>
      </c>
      <c r="F121" s="48" t="s">
        <v>146</v>
      </c>
      <c r="G121" s="26" t="s">
        <v>426</v>
      </c>
      <c r="H121" s="73" t="s">
        <v>553</v>
      </c>
      <c r="I121" s="49" t="s">
        <v>52</v>
      </c>
      <c r="J121" s="216">
        <v>688342</v>
      </c>
      <c r="K121" s="34">
        <v>0</v>
      </c>
      <c r="L121" s="34">
        <v>674209</v>
      </c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1">
        <v>3907</v>
      </c>
      <c r="AA121" s="226" t="s">
        <v>653</v>
      </c>
      <c r="AB121" s="33">
        <v>44369</v>
      </c>
      <c r="AC121" s="36">
        <v>44385</v>
      </c>
      <c r="AD121" s="31"/>
      <c r="AE121" s="35"/>
      <c r="AF121" s="27"/>
      <c r="AG121" s="36"/>
      <c r="AH121" s="31"/>
      <c r="AI121" s="32"/>
      <c r="AJ121" s="27"/>
      <c r="AK121" s="36"/>
      <c r="AL121" s="31"/>
      <c r="AM121" s="32"/>
      <c r="AN121" s="27"/>
      <c r="AO121" s="36"/>
      <c r="AP121" s="31"/>
      <c r="AQ121" s="32"/>
      <c r="AR121" s="27"/>
      <c r="AS121" s="36"/>
      <c r="AT121" s="36"/>
      <c r="AU121" s="36"/>
      <c r="AV121" s="36"/>
      <c r="AW121" s="36"/>
      <c r="AX121" s="37">
        <f t="shared" si="5"/>
        <v>3907</v>
      </c>
      <c r="AY121" s="38">
        <f t="shared" si="6"/>
        <v>3907</v>
      </c>
    </row>
    <row r="122" spans="2:51" s="39" customFormat="1" ht="22.5">
      <c r="B122" s="22">
        <v>106</v>
      </c>
      <c r="C122" s="22" t="s">
        <v>39</v>
      </c>
      <c r="D122" s="23" t="s">
        <v>660</v>
      </c>
      <c r="E122" s="48" t="s">
        <v>661</v>
      </c>
      <c r="F122" s="48" t="s">
        <v>146</v>
      </c>
      <c r="G122" s="26" t="s">
        <v>426</v>
      </c>
      <c r="H122" s="73" t="s">
        <v>649</v>
      </c>
      <c r="I122" s="49" t="s">
        <v>52</v>
      </c>
      <c r="J122" s="216">
        <v>400015</v>
      </c>
      <c r="K122" s="34">
        <v>0</v>
      </c>
      <c r="L122" s="34">
        <v>379565</v>
      </c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1">
        <v>20450</v>
      </c>
      <c r="AA122" s="226" t="s">
        <v>653</v>
      </c>
      <c r="AB122" s="33">
        <v>44369</v>
      </c>
      <c r="AC122" s="36">
        <v>44385</v>
      </c>
      <c r="AD122" s="31"/>
      <c r="AE122" s="35"/>
      <c r="AF122" s="27"/>
      <c r="AG122" s="36"/>
      <c r="AH122" s="31"/>
      <c r="AI122" s="32"/>
      <c r="AJ122" s="27"/>
      <c r="AK122" s="36"/>
      <c r="AL122" s="31"/>
      <c r="AM122" s="32"/>
      <c r="AN122" s="27"/>
      <c r="AO122" s="36"/>
      <c r="AP122" s="31"/>
      <c r="AQ122" s="32"/>
      <c r="AR122" s="27"/>
      <c r="AS122" s="36"/>
      <c r="AT122" s="36"/>
      <c r="AU122" s="36"/>
      <c r="AV122" s="36"/>
      <c r="AW122" s="36"/>
      <c r="AX122" s="37">
        <f t="shared" si="5"/>
        <v>20450</v>
      </c>
      <c r="AY122" s="38">
        <f t="shared" si="6"/>
        <v>20450</v>
      </c>
    </row>
    <row r="123" spans="2:51" s="39" customFormat="1" ht="22.5">
      <c r="B123" s="22">
        <v>107</v>
      </c>
      <c r="C123" s="22" t="s">
        <v>39</v>
      </c>
      <c r="D123" s="23" t="s">
        <v>662</v>
      </c>
      <c r="E123" s="48" t="s">
        <v>663</v>
      </c>
      <c r="F123" s="48" t="s">
        <v>146</v>
      </c>
      <c r="G123" s="26" t="s">
        <v>426</v>
      </c>
      <c r="H123" s="73" t="s">
        <v>649</v>
      </c>
      <c r="I123" s="49" t="s">
        <v>52</v>
      </c>
      <c r="J123" s="216">
        <v>302708</v>
      </c>
      <c r="K123" s="34">
        <v>0</v>
      </c>
      <c r="L123" s="34">
        <v>286172</v>
      </c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1">
        <v>16536</v>
      </c>
      <c r="AA123" s="226" t="s">
        <v>653</v>
      </c>
      <c r="AB123" s="33">
        <v>44369</v>
      </c>
      <c r="AC123" s="36">
        <v>44385</v>
      </c>
      <c r="AD123" s="31"/>
      <c r="AE123" s="35"/>
      <c r="AF123" s="27"/>
      <c r="AG123" s="36"/>
      <c r="AH123" s="31"/>
      <c r="AI123" s="32"/>
      <c r="AJ123" s="27"/>
      <c r="AK123" s="36"/>
      <c r="AL123" s="31"/>
      <c r="AM123" s="32"/>
      <c r="AN123" s="27"/>
      <c r="AO123" s="36"/>
      <c r="AP123" s="31"/>
      <c r="AQ123" s="32"/>
      <c r="AR123" s="27"/>
      <c r="AS123" s="36"/>
      <c r="AT123" s="36"/>
      <c r="AU123" s="36"/>
      <c r="AV123" s="36"/>
      <c r="AW123" s="36"/>
      <c r="AX123" s="37">
        <f t="shared" si="5"/>
        <v>16536</v>
      </c>
      <c r="AY123" s="38">
        <f t="shared" si="6"/>
        <v>16536</v>
      </c>
    </row>
    <row r="124" spans="2:51" s="39" customFormat="1" ht="22.5">
      <c r="B124" s="22">
        <v>108</v>
      </c>
      <c r="C124" s="22" t="s">
        <v>39</v>
      </c>
      <c r="D124" s="23" t="s">
        <v>664</v>
      </c>
      <c r="E124" s="48" t="s">
        <v>665</v>
      </c>
      <c r="F124" s="48" t="s">
        <v>599</v>
      </c>
      <c r="G124" s="26" t="s">
        <v>426</v>
      </c>
      <c r="H124" s="73" t="s">
        <v>457</v>
      </c>
      <c r="I124" s="49" t="s">
        <v>52</v>
      </c>
      <c r="J124" s="216">
        <v>73302</v>
      </c>
      <c r="K124" s="34">
        <v>0</v>
      </c>
      <c r="L124" s="34">
        <v>63179</v>
      </c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1">
        <v>1872</v>
      </c>
      <c r="AA124" s="226" t="s">
        <v>653</v>
      </c>
      <c r="AB124" s="33">
        <v>44369</v>
      </c>
      <c r="AC124" s="36">
        <v>44385</v>
      </c>
      <c r="AD124" s="31"/>
      <c r="AE124" s="35"/>
      <c r="AF124" s="27"/>
      <c r="AG124" s="36"/>
      <c r="AH124" s="31"/>
      <c r="AI124" s="32"/>
      <c r="AJ124" s="27"/>
      <c r="AK124" s="36"/>
      <c r="AL124" s="31"/>
      <c r="AM124" s="32"/>
      <c r="AN124" s="27"/>
      <c r="AO124" s="36"/>
      <c r="AP124" s="31"/>
      <c r="AQ124" s="32"/>
      <c r="AR124" s="27"/>
      <c r="AS124" s="36"/>
      <c r="AT124" s="36"/>
      <c r="AU124" s="36"/>
      <c r="AV124" s="36"/>
      <c r="AW124" s="36"/>
      <c r="AX124" s="37">
        <f t="shared" si="5"/>
        <v>1872</v>
      </c>
      <c r="AY124" s="38">
        <f t="shared" si="6"/>
        <v>1872</v>
      </c>
    </row>
    <row r="125" spans="2:51" s="39" customFormat="1" ht="22.5">
      <c r="B125" s="22">
        <v>109</v>
      </c>
      <c r="C125" s="22" t="s">
        <v>39</v>
      </c>
      <c r="D125" s="23" t="s">
        <v>666</v>
      </c>
      <c r="E125" s="48" t="s">
        <v>667</v>
      </c>
      <c r="F125" s="48" t="s">
        <v>146</v>
      </c>
      <c r="G125" s="26" t="s">
        <v>426</v>
      </c>
      <c r="H125" s="73" t="s">
        <v>553</v>
      </c>
      <c r="I125" s="49" t="s">
        <v>52</v>
      </c>
      <c r="J125" s="216">
        <v>419457</v>
      </c>
      <c r="K125" s="34">
        <v>0</v>
      </c>
      <c r="L125" s="34">
        <v>334858</v>
      </c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1">
        <f>525+59475</f>
        <v>60000</v>
      </c>
      <c r="AA125" s="226" t="s">
        <v>653</v>
      </c>
      <c r="AB125" s="33">
        <v>44369</v>
      </c>
      <c r="AC125" s="36">
        <v>44385</v>
      </c>
      <c r="AD125" s="31"/>
      <c r="AE125" s="35"/>
      <c r="AF125" s="27"/>
      <c r="AG125" s="36"/>
      <c r="AH125" s="31"/>
      <c r="AI125" s="32"/>
      <c r="AJ125" s="27"/>
      <c r="AK125" s="36"/>
      <c r="AL125" s="31"/>
      <c r="AM125" s="32"/>
      <c r="AN125" s="27"/>
      <c r="AO125" s="36"/>
      <c r="AP125" s="31"/>
      <c r="AQ125" s="32"/>
      <c r="AR125" s="27"/>
      <c r="AS125" s="36"/>
      <c r="AT125" s="36"/>
      <c r="AU125" s="36"/>
      <c r="AV125" s="36"/>
      <c r="AW125" s="36"/>
      <c r="AX125" s="37">
        <f t="shared" si="5"/>
        <v>60000</v>
      </c>
      <c r="AY125" s="38">
        <f t="shared" si="6"/>
        <v>60000</v>
      </c>
    </row>
    <row r="126" spans="2:51" s="39" customFormat="1" ht="22.5">
      <c r="B126" s="22">
        <v>110</v>
      </c>
      <c r="C126" s="22" t="s">
        <v>39</v>
      </c>
      <c r="D126" s="23" t="s">
        <v>668</v>
      </c>
      <c r="E126" s="48" t="s">
        <v>669</v>
      </c>
      <c r="F126" s="48" t="s">
        <v>146</v>
      </c>
      <c r="G126" s="26" t="s">
        <v>426</v>
      </c>
      <c r="H126" s="73" t="s">
        <v>516</v>
      </c>
      <c r="I126" s="49" t="s">
        <v>52</v>
      </c>
      <c r="J126" s="216">
        <v>688343</v>
      </c>
      <c r="K126" s="34">
        <v>0</v>
      </c>
      <c r="L126" s="34">
        <v>408343</v>
      </c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1">
        <v>60000</v>
      </c>
      <c r="AA126" s="226" t="s">
        <v>653</v>
      </c>
      <c r="AB126" s="33">
        <v>44369</v>
      </c>
      <c r="AC126" s="36">
        <v>44385</v>
      </c>
      <c r="AD126" s="31"/>
      <c r="AE126" s="35"/>
      <c r="AF126" s="27"/>
      <c r="AG126" s="36"/>
      <c r="AH126" s="31"/>
      <c r="AI126" s="32"/>
      <c r="AJ126" s="27"/>
      <c r="AK126" s="36"/>
      <c r="AL126" s="31"/>
      <c r="AM126" s="32"/>
      <c r="AN126" s="27"/>
      <c r="AO126" s="36"/>
      <c r="AP126" s="31"/>
      <c r="AQ126" s="32"/>
      <c r="AR126" s="27"/>
      <c r="AS126" s="36"/>
      <c r="AT126" s="36"/>
      <c r="AU126" s="36"/>
      <c r="AV126" s="36"/>
      <c r="AW126" s="36"/>
      <c r="AX126" s="37">
        <f t="shared" si="5"/>
        <v>60000</v>
      </c>
      <c r="AY126" s="38">
        <f t="shared" si="6"/>
        <v>60000</v>
      </c>
    </row>
    <row r="127" spans="2:51" s="39" customFormat="1" ht="22.5">
      <c r="B127" s="22">
        <v>111</v>
      </c>
      <c r="C127" s="22" t="s">
        <v>39</v>
      </c>
      <c r="D127" s="23" t="s">
        <v>670</v>
      </c>
      <c r="E127" s="230" t="s">
        <v>671</v>
      </c>
      <c r="F127" s="48" t="s">
        <v>146</v>
      </c>
      <c r="G127" s="26" t="s">
        <v>426</v>
      </c>
      <c r="H127" s="73" t="s">
        <v>457</v>
      </c>
      <c r="I127" s="49" t="s">
        <v>44</v>
      </c>
      <c r="J127" s="216">
        <v>2710884</v>
      </c>
      <c r="K127" s="34">
        <v>1031811</v>
      </c>
      <c r="L127" s="34">
        <v>2</v>
      </c>
      <c r="M127" s="34"/>
      <c r="N127" s="34"/>
      <c r="O127" s="34"/>
      <c r="P127" s="34"/>
      <c r="Q127" s="34"/>
      <c r="R127" s="34"/>
      <c r="S127" s="34"/>
      <c r="T127" s="34"/>
      <c r="U127" s="34">
        <v>21008</v>
      </c>
      <c r="V127" s="34"/>
      <c r="W127" s="34"/>
      <c r="X127" s="34"/>
      <c r="Y127" s="34">
        <f t="shared" ref="Y127:Y147" si="9">SUM(M127:X127)</f>
        <v>21008</v>
      </c>
      <c r="Z127" s="31">
        <f>9864+426072</f>
        <v>435936</v>
      </c>
      <c r="AA127" s="226" t="s">
        <v>672</v>
      </c>
      <c r="AB127" s="33">
        <v>44411</v>
      </c>
      <c r="AC127" s="36">
        <v>44449</v>
      </c>
      <c r="AD127" s="31"/>
      <c r="AE127" s="35"/>
      <c r="AF127" s="27"/>
      <c r="AG127" s="36"/>
      <c r="AH127" s="31"/>
      <c r="AI127" s="32"/>
      <c r="AJ127" s="27"/>
      <c r="AK127" s="36"/>
      <c r="AL127" s="31"/>
      <c r="AM127" s="32"/>
      <c r="AN127" s="27"/>
      <c r="AO127" s="36"/>
      <c r="AP127" s="31"/>
      <c r="AQ127" s="32"/>
      <c r="AR127" s="27"/>
      <c r="AS127" s="36"/>
      <c r="AT127" s="36"/>
      <c r="AU127" s="36"/>
      <c r="AV127" s="36"/>
      <c r="AW127" s="36"/>
      <c r="AX127" s="37">
        <f t="shared" si="5"/>
        <v>435936</v>
      </c>
      <c r="AY127" s="38">
        <f t="shared" si="6"/>
        <v>414928</v>
      </c>
    </row>
    <row r="128" spans="2:51" s="39" customFormat="1" ht="22.5">
      <c r="B128" s="22">
        <v>112</v>
      </c>
      <c r="C128" s="22" t="s">
        <v>39</v>
      </c>
      <c r="D128" s="23" t="s">
        <v>673</v>
      </c>
      <c r="E128" s="223" t="str">
        <f>+VLOOKUP(D128,[4]Iniciativas!$A$3:$M$205,3,FALSE)</f>
        <v>CONST. CENTRO DE DIALISIS HOSPITAL DE VICUÑA</v>
      </c>
      <c r="F128" s="48" t="s">
        <v>146</v>
      </c>
      <c r="G128" s="26" t="s">
        <v>426</v>
      </c>
      <c r="H128" s="73" t="s">
        <v>649</v>
      </c>
      <c r="I128" s="49" t="s">
        <v>52</v>
      </c>
      <c r="J128" s="216">
        <v>1736512</v>
      </c>
      <c r="K128" s="34">
        <v>0</v>
      </c>
      <c r="L128" s="34">
        <v>1707614</v>
      </c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>
        <f t="shared" si="9"/>
        <v>0</v>
      </c>
      <c r="Z128" s="31">
        <f>736+4543+23619</f>
        <v>28898</v>
      </c>
      <c r="AA128" s="226" t="s">
        <v>672</v>
      </c>
      <c r="AB128" s="33">
        <v>44411</v>
      </c>
      <c r="AC128" s="36">
        <v>44449</v>
      </c>
      <c r="AD128" s="31"/>
      <c r="AE128" s="35"/>
      <c r="AF128" s="27"/>
      <c r="AG128" s="36"/>
      <c r="AH128" s="31"/>
      <c r="AI128" s="32"/>
      <c r="AJ128" s="27"/>
      <c r="AK128" s="36"/>
      <c r="AL128" s="31"/>
      <c r="AM128" s="32"/>
      <c r="AN128" s="27"/>
      <c r="AO128" s="36"/>
      <c r="AP128" s="31"/>
      <c r="AQ128" s="32"/>
      <c r="AR128" s="27"/>
      <c r="AS128" s="36"/>
      <c r="AT128" s="36"/>
      <c r="AU128" s="36"/>
      <c r="AV128" s="36"/>
      <c r="AW128" s="36"/>
      <c r="AX128" s="37">
        <f t="shared" si="5"/>
        <v>28898</v>
      </c>
      <c r="AY128" s="38">
        <f t="shared" si="6"/>
        <v>28898</v>
      </c>
    </row>
    <row r="129" spans="2:51" s="39" customFormat="1">
      <c r="B129" s="22">
        <v>113</v>
      </c>
      <c r="C129" s="22" t="s">
        <v>39</v>
      </c>
      <c r="D129" s="23" t="s">
        <v>674</v>
      </c>
      <c r="E129" s="231" t="s">
        <v>675</v>
      </c>
      <c r="F129" s="48" t="s">
        <v>146</v>
      </c>
      <c r="G129" s="26" t="s">
        <v>426</v>
      </c>
      <c r="H129" s="73" t="s">
        <v>430</v>
      </c>
      <c r="I129" s="49" t="s">
        <v>52</v>
      </c>
      <c r="J129" s="216">
        <v>166616</v>
      </c>
      <c r="K129" s="34">
        <v>0</v>
      </c>
      <c r="L129" s="34">
        <v>116615</v>
      </c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>
        <f t="shared" si="9"/>
        <v>0</v>
      </c>
      <c r="Z129" s="31">
        <f>2908+47092</f>
        <v>50000</v>
      </c>
      <c r="AA129" s="226" t="s">
        <v>672</v>
      </c>
      <c r="AB129" s="33">
        <v>44411</v>
      </c>
      <c r="AC129" s="36">
        <v>44449</v>
      </c>
      <c r="AD129" s="31"/>
      <c r="AE129" s="35"/>
      <c r="AF129" s="27"/>
      <c r="AG129" s="36"/>
      <c r="AH129" s="31"/>
      <c r="AI129" s="32"/>
      <c r="AJ129" s="27"/>
      <c r="AK129" s="36"/>
      <c r="AL129" s="31"/>
      <c r="AM129" s="32"/>
      <c r="AN129" s="27"/>
      <c r="AO129" s="36"/>
      <c r="AP129" s="31"/>
      <c r="AQ129" s="32"/>
      <c r="AR129" s="27"/>
      <c r="AS129" s="36"/>
      <c r="AT129" s="36"/>
      <c r="AU129" s="36"/>
      <c r="AV129" s="36"/>
      <c r="AW129" s="36"/>
      <c r="AX129" s="37">
        <f t="shared" si="5"/>
        <v>50000</v>
      </c>
      <c r="AY129" s="38">
        <f t="shared" si="6"/>
        <v>50000</v>
      </c>
    </row>
    <row r="130" spans="2:51" s="39" customFormat="1">
      <c r="B130" s="22">
        <v>114</v>
      </c>
      <c r="C130" s="22" t="s">
        <v>39</v>
      </c>
      <c r="D130" s="23" t="s">
        <v>676</v>
      </c>
      <c r="E130" s="230" t="s">
        <v>677</v>
      </c>
      <c r="F130" s="48" t="s">
        <v>146</v>
      </c>
      <c r="G130" s="26" t="s">
        <v>426</v>
      </c>
      <c r="H130" s="73" t="s">
        <v>649</v>
      </c>
      <c r="I130" s="49" t="s">
        <v>44</v>
      </c>
      <c r="J130" s="216">
        <v>5972502</v>
      </c>
      <c r="K130" s="34">
        <v>37362</v>
      </c>
      <c r="L130" s="34">
        <v>4490782</v>
      </c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>
        <f t="shared" si="9"/>
        <v>0</v>
      </c>
      <c r="Z130" s="31">
        <v>67000</v>
      </c>
      <c r="AA130" s="226" t="s">
        <v>672</v>
      </c>
      <c r="AB130" s="33">
        <v>44411</v>
      </c>
      <c r="AC130" s="36">
        <v>44449</v>
      </c>
      <c r="AD130" s="31"/>
      <c r="AE130" s="35"/>
      <c r="AF130" s="27"/>
      <c r="AG130" s="36"/>
      <c r="AH130" s="31"/>
      <c r="AI130" s="32"/>
      <c r="AJ130" s="27"/>
      <c r="AK130" s="36"/>
      <c r="AL130" s="31"/>
      <c r="AM130" s="32"/>
      <c r="AN130" s="27"/>
      <c r="AO130" s="36"/>
      <c r="AP130" s="31"/>
      <c r="AQ130" s="32"/>
      <c r="AR130" s="27"/>
      <c r="AS130" s="36"/>
      <c r="AT130" s="36"/>
      <c r="AU130" s="36"/>
      <c r="AV130" s="36"/>
      <c r="AW130" s="36"/>
      <c r="AX130" s="37">
        <f t="shared" si="5"/>
        <v>67000</v>
      </c>
      <c r="AY130" s="38">
        <f t="shared" si="6"/>
        <v>67000</v>
      </c>
    </row>
    <row r="131" spans="2:51" s="39" customFormat="1" ht="22.5">
      <c r="B131" s="22">
        <v>115</v>
      </c>
      <c r="C131" s="22" t="s">
        <v>39</v>
      </c>
      <c r="D131" s="23" t="s">
        <v>678</v>
      </c>
      <c r="E131" s="48" t="s">
        <v>679</v>
      </c>
      <c r="F131" s="48" t="s">
        <v>146</v>
      </c>
      <c r="G131" s="26" t="s">
        <v>426</v>
      </c>
      <c r="H131" s="73" t="s">
        <v>495</v>
      </c>
      <c r="I131" s="49" t="s">
        <v>44</v>
      </c>
      <c r="J131" s="216">
        <v>531634</v>
      </c>
      <c r="K131" s="34">
        <v>531621</v>
      </c>
      <c r="L131" s="34">
        <v>0</v>
      </c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>
        <f t="shared" si="9"/>
        <v>0</v>
      </c>
      <c r="Z131" s="31">
        <v>1</v>
      </c>
      <c r="AA131" s="226" t="s">
        <v>680</v>
      </c>
      <c r="AB131" s="33">
        <v>44436</v>
      </c>
      <c r="AC131" s="36">
        <v>44449</v>
      </c>
      <c r="AD131" s="31"/>
      <c r="AE131" s="35"/>
      <c r="AF131" s="27"/>
      <c r="AG131" s="36"/>
      <c r="AH131" s="31"/>
      <c r="AI131" s="32"/>
      <c r="AJ131" s="27"/>
      <c r="AK131" s="36"/>
      <c r="AL131" s="31"/>
      <c r="AM131" s="32"/>
      <c r="AN131" s="27"/>
      <c r="AO131" s="36"/>
      <c r="AP131" s="31"/>
      <c r="AQ131" s="32"/>
      <c r="AR131" s="27"/>
      <c r="AS131" s="36"/>
      <c r="AT131" s="36"/>
      <c r="AU131" s="36"/>
      <c r="AV131" s="36"/>
      <c r="AW131" s="36"/>
      <c r="AX131" s="37">
        <f t="shared" si="5"/>
        <v>1</v>
      </c>
      <c r="AY131" s="38">
        <f t="shared" si="6"/>
        <v>1</v>
      </c>
    </row>
    <row r="132" spans="2:51" s="39" customFormat="1">
      <c r="B132" s="22"/>
      <c r="C132" s="22"/>
      <c r="D132" s="23"/>
      <c r="E132" s="48"/>
      <c r="F132" s="48"/>
      <c r="G132" s="26"/>
      <c r="H132" s="73"/>
      <c r="I132" s="49"/>
      <c r="J132" s="216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>
        <f t="shared" si="9"/>
        <v>0</v>
      </c>
      <c r="Z132" s="31"/>
      <c r="AA132" s="226"/>
      <c r="AB132" s="27"/>
      <c r="AC132" s="36"/>
      <c r="AD132" s="31"/>
      <c r="AE132" s="35"/>
      <c r="AF132" s="27"/>
      <c r="AG132" s="36"/>
      <c r="AH132" s="31"/>
      <c r="AI132" s="32"/>
      <c r="AJ132" s="27"/>
      <c r="AK132" s="36"/>
      <c r="AL132" s="31"/>
      <c r="AM132" s="32"/>
      <c r="AN132" s="27"/>
      <c r="AO132" s="36"/>
      <c r="AP132" s="31"/>
      <c r="AQ132" s="32"/>
      <c r="AR132" s="27"/>
      <c r="AS132" s="36"/>
      <c r="AT132" s="36"/>
      <c r="AU132" s="36"/>
      <c r="AV132" s="36"/>
      <c r="AW132" s="36"/>
      <c r="AX132" s="37">
        <f t="shared" si="5"/>
        <v>0</v>
      </c>
      <c r="AY132" s="38">
        <f t="shared" si="6"/>
        <v>0</v>
      </c>
    </row>
    <row r="133" spans="2:51" s="39" customFormat="1">
      <c r="B133" s="22"/>
      <c r="C133" s="22"/>
      <c r="D133" s="23"/>
      <c r="E133" s="48"/>
      <c r="F133" s="48"/>
      <c r="G133" s="26"/>
      <c r="H133" s="73"/>
      <c r="I133" s="49"/>
      <c r="J133" s="216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>
        <f t="shared" si="9"/>
        <v>0</v>
      </c>
      <c r="Z133" s="31"/>
      <c r="AA133" s="226"/>
      <c r="AB133" s="27"/>
      <c r="AC133" s="36"/>
      <c r="AD133" s="31"/>
      <c r="AE133" s="35"/>
      <c r="AF133" s="27"/>
      <c r="AG133" s="36"/>
      <c r="AH133" s="31"/>
      <c r="AI133" s="32"/>
      <c r="AJ133" s="27"/>
      <c r="AK133" s="36"/>
      <c r="AL133" s="31"/>
      <c r="AM133" s="32"/>
      <c r="AN133" s="27"/>
      <c r="AO133" s="36"/>
      <c r="AP133" s="31"/>
      <c r="AQ133" s="32"/>
      <c r="AR133" s="27"/>
      <c r="AS133" s="36"/>
      <c r="AT133" s="36"/>
      <c r="AU133" s="36"/>
      <c r="AV133" s="36"/>
      <c r="AW133" s="36"/>
      <c r="AX133" s="37">
        <f t="shared" si="5"/>
        <v>0</v>
      </c>
      <c r="AY133" s="38">
        <f t="shared" si="6"/>
        <v>0</v>
      </c>
    </row>
    <row r="134" spans="2:51" s="39" customFormat="1">
      <c r="B134" s="22"/>
      <c r="C134" s="22"/>
      <c r="D134" s="23"/>
      <c r="E134" s="48"/>
      <c r="F134" s="48"/>
      <c r="G134" s="26"/>
      <c r="H134" s="73"/>
      <c r="I134" s="49"/>
      <c r="J134" s="216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>
        <f t="shared" si="9"/>
        <v>0</v>
      </c>
      <c r="Z134" s="31"/>
      <c r="AA134" s="226"/>
      <c r="AB134" s="27"/>
      <c r="AC134" s="36"/>
      <c r="AD134" s="31"/>
      <c r="AE134" s="35"/>
      <c r="AF134" s="27"/>
      <c r="AG134" s="36"/>
      <c r="AH134" s="31"/>
      <c r="AI134" s="32"/>
      <c r="AJ134" s="27"/>
      <c r="AK134" s="36"/>
      <c r="AL134" s="31"/>
      <c r="AM134" s="32"/>
      <c r="AN134" s="27"/>
      <c r="AO134" s="36"/>
      <c r="AP134" s="31"/>
      <c r="AQ134" s="32"/>
      <c r="AR134" s="27"/>
      <c r="AS134" s="36"/>
      <c r="AT134" s="36"/>
      <c r="AU134" s="36"/>
      <c r="AV134" s="36"/>
      <c r="AW134" s="36"/>
      <c r="AX134" s="37">
        <f t="shared" si="5"/>
        <v>0</v>
      </c>
      <c r="AY134" s="38">
        <f t="shared" si="6"/>
        <v>0</v>
      </c>
    </row>
    <row r="135" spans="2:51" s="39" customFormat="1">
      <c r="B135" s="22"/>
      <c r="C135" s="22"/>
      <c r="D135" s="23"/>
      <c r="E135" s="48"/>
      <c r="F135" s="48"/>
      <c r="G135" s="26"/>
      <c r="H135" s="73"/>
      <c r="I135" s="49"/>
      <c r="J135" s="216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>
        <f t="shared" si="9"/>
        <v>0</v>
      </c>
      <c r="Z135" s="31"/>
      <c r="AA135" s="226"/>
      <c r="AB135" s="27"/>
      <c r="AC135" s="36"/>
      <c r="AD135" s="31"/>
      <c r="AE135" s="35"/>
      <c r="AF135" s="27"/>
      <c r="AG135" s="36"/>
      <c r="AH135" s="31"/>
      <c r="AI135" s="32"/>
      <c r="AJ135" s="27"/>
      <c r="AK135" s="36"/>
      <c r="AL135" s="31"/>
      <c r="AM135" s="32"/>
      <c r="AN135" s="27"/>
      <c r="AO135" s="36"/>
      <c r="AP135" s="31"/>
      <c r="AQ135" s="32"/>
      <c r="AR135" s="27"/>
      <c r="AS135" s="36"/>
      <c r="AT135" s="36"/>
      <c r="AU135" s="36"/>
      <c r="AV135" s="36"/>
      <c r="AW135" s="36"/>
      <c r="AX135" s="37">
        <f t="shared" si="5"/>
        <v>0</v>
      </c>
      <c r="AY135" s="38">
        <f t="shared" si="6"/>
        <v>0</v>
      </c>
    </row>
    <row r="136" spans="2:51" s="39" customFormat="1">
      <c r="B136" s="22"/>
      <c r="C136" s="22"/>
      <c r="D136" s="23"/>
      <c r="E136" s="48"/>
      <c r="F136" s="48"/>
      <c r="G136" s="26"/>
      <c r="H136" s="73"/>
      <c r="I136" s="49"/>
      <c r="J136" s="216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>
        <f t="shared" si="9"/>
        <v>0</v>
      </c>
      <c r="Z136" s="31"/>
      <c r="AA136" s="226"/>
      <c r="AB136" s="27"/>
      <c r="AC136" s="36"/>
      <c r="AD136" s="31"/>
      <c r="AE136" s="35"/>
      <c r="AF136" s="27"/>
      <c r="AG136" s="36"/>
      <c r="AH136" s="31"/>
      <c r="AI136" s="32"/>
      <c r="AJ136" s="27"/>
      <c r="AK136" s="36"/>
      <c r="AL136" s="31"/>
      <c r="AM136" s="32"/>
      <c r="AN136" s="27"/>
      <c r="AO136" s="36"/>
      <c r="AP136" s="31"/>
      <c r="AQ136" s="32"/>
      <c r="AR136" s="27"/>
      <c r="AS136" s="36"/>
      <c r="AT136" s="36"/>
      <c r="AU136" s="36"/>
      <c r="AV136" s="36"/>
      <c r="AW136" s="36"/>
      <c r="AX136" s="37">
        <f t="shared" si="5"/>
        <v>0</v>
      </c>
      <c r="AY136" s="38">
        <f t="shared" si="6"/>
        <v>0</v>
      </c>
    </row>
    <row r="137" spans="2:51" s="39" customFormat="1">
      <c r="B137" s="22"/>
      <c r="C137" s="22"/>
      <c r="D137" s="23"/>
      <c r="E137" s="48"/>
      <c r="F137" s="48"/>
      <c r="G137" s="26"/>
      <c r="H137" s="73"/>
      <c r="I137" s="49"/>
      <c r="J137" s="216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>
        <f t="shared" si="9"/>
        <v>0</v>
      </c>
      <c r="Z137" s="31"/>
      <c r="AA137" s="226"/>
      <c r="AB137" s="27"/>
      <c r="AC137" s="36"/>
      <c r="AD137" s="31"/>
      <c r="AE137" s="35"/>
      <c r="AF137" s="27"/>
      <c r="AG137" s="36"/>
      <c r="AH137" s="31"/>
      <c r="AI137" s="32"/>
      <c r="AJ137" s="27"/>
      <c r="AK137" s="36"/>
      <c r="AL137" s="31"/>
      <c r="AM137" s="32"/>
      <c r="AN137" s="27"/>
      <c r="AO137" s="36"/>
      <c r="AP137" s="31"/>
      <c r="AQ137" s="32"/>
      <c r="AR137" s="27"/>
      <c r="AS137" s="36"/>
      <c r="AT137" s="36"/>
      <c r="AU137" s="36"/>
      <c r="AV137" s="36"/>
      <c r="AW137" s="36"/>
      <c r="AX137" s="37">
        <f t="shared" si="5"/>
        <v>0</v>
      </c>
      <c r="AY137" s="38">
        <f t="shared" si="6"/>
        <v>0</v>
      </c>
    </row>
    <row r="138" spans="2:51" s="39" customFormat="1">
      <c r="B138" s="22"/>
      <c r="C138" s="22"/>
      <c r="D138" s="23"/>
      <c r="E138" s="48"/>
      <c r="F138" s="48"/>
      <c r="G138" s="26"/>
      <c r="H138" s="73"/>
      <c r="I138" s="49"/>
      <c r="J138" s="216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>
        <f t="shared" si="9"/>
        <v>0</v>
      </c>
      <c r="Z138" s="31"/>
      <c r="AA138" s="226"/>
      <c r="AB138" s="27"/>
      <c r="AC138" s="36"/>
      <c r="AD138" s="31"/>
      <c r="AE138" s="35"/>
      <c r="AF138" s="27"/>
      <c r="AG138" s="36"/>
      <c r="AH138" s="31"/>
      <c r="AI138" s="32"/>
      <c r="AJ138" s="27"/>
      <c r="AK138" s="36"/>
      <c r="AL138" s="31"/>
      <c r="AM138" s="32"/>
      <c r="AN138" s="27"/>
      <c r="AO138" s="36"/>
      <c r="AP138" s="31"/>
      <c r="AQ138" s="32"/>
      <c r="AR138" s="27"/>
      <c r="AS138" s="36"/>
      <c r="AT138" s="36"/>
      <c r="AU138" s="36"/>
      <c r="AV138" s="36"/>
      <c r="AW138" s="36"/>
      <c r="AX138" s="37">
        <f t="shared" si="5"/>
        <v>0</v>
      </c>
      <c r="AY138" s="38">
        <f t="shared" si="6"/>
        <v>0</v>
      </c>
    </row>
    <row r="139" spans="2:51" s="39" customFormat="1">
      <c r="B139" s="22"/>
      <c r="C139" s="22"/>
      <c r="D139" s="23"/>
      <c r="E139" s="48"/>
      <c r="F139" s="48"/>
      <c r="G139" s="26"/>
      <c r="H139" s="73"/>
      <c r="I139" s="49"/>
      <c r="J139" s="216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>
        <f t="shared" si="9"/>
        <v>0</v>
      </c>
      <c r="Z139" s="31"/>
      <c r="AA139" s="226"/>
      <c r="AB139" s="27"/>
      <c r="AC139" s="36"/>
      <c r="AD139" s="31"/>
      <c r="AE139" s="35"/>
      <c r="AF139" s="27"/>
      <c r="AG139" s="36"/>
      <c r="AH139" s="31"/>
      <c r="AI139" s="32"/>
      <c r="AJ139" s="27"/>
      <c r="AK139" s="36"/>
      <c r="AL139" s="31"/>
      <c r="AM139" s="32"/>
      <c r="AN139" s="27"/>
      <c r="AO139" s="36"/>
      <c r="AP139" s="31"/>
      <c r="AQ139" s="32"/>
      <c r="AR139" s="27"/>
      <c r="AS139" s="36"/>
      <c r="AT139" s="36"/>
      <c r="AU139" s="36"/>
      <c r="AV139" s="36"/>
      <c r="AW139" s="36"/>
      <c r="AX139" s="37">
        <f t="shared" si="5"/>
        <v>0</v>
      </c>
      <c r="AY139" s="38">
        <f t="shared" si="6"/>
        <v>0</v>
      </c>
    </row>
    <row r="140" spans="2:51" s="39" customFormat="1">
      <c r="B140" s="22"/>
      <c r="C140" s="22"/>
      <c r="D140" s="23"/>
      <c r="E140" s="48"/>
      <c r="F140" s="48"/>
      <c r="G140" s="26"/>
      <c r="H140" s="73"/>
      <c r="I140" s="49"/>
      <c r="J140" s="216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>
        <f t="shared" si="9"/>
        <v>0</v>
      </c>
      <c r="Z140" s="31"/>
      <c r="AA140" s="226"/>
      <c r="AB140" s="27"/>
      <c r="AC140" s="36"/>
      <c r="AD140" s="31"/>
      <c r="AE140" s="35"/>
      <c r="AF140" s="27"/>
      <c r="AG140" s="36"/>
      <c r="AH140" s="31"/>
      <c r="AI140" s="32"/>
      <c r="AJ140" s="27"/>
      <c r="AK140" s="36"/>
      <c r="AL140" s="31"/>
      <c r="AM140" s="32"/>
      <c r="AN140" s="27"/>
      <c r="AO140" s="36"/>
      <c r="AP140" s="31"/>
      <c r="AQ140" s="32"/>
      <c r="AR140" s="27"/>
      <c r="AS140" s="36"/>
      <c r="AT140" s="36"/>
      <c r="AU140" s="36"/>
      <c r="AV140" s="36"/>
      <c r="AW140" s="36"/>
      <c r="AX140" s="37">
        <f t="shared" si="5"/>
        <v>0</v>
      </c>
      <c r="AY140" s="38">
        <f t="shared" si="6"/>
        <v>0</v>
      </c>
    </row>
    <row r="141" spans="2:51" s="39" customFormat="1">
      <c r="B141" s="22"/>
      <c r="C141" s="22"/>
      <c r="D141" s="23"/>
      <c r="E141" s="48"/>
      <c r="F141" s="48"/>
      <c r="G141" s="26"/>
      <c r="H141" s="73"/>
      <c r="I141" s="49"/>
      <c r="J141" s="216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>
        <f t="shared" si="9"/>
        <v>0</v>
      </c>
      <c r="Z141" s="31"/>
      <c r="AA141" s="226"/>
      <c r="AB141" s="27"/>
      <c r="AC141" s="36"/>
      <c r="AD141" s="31"/>
      <c r="AE141" s="35"/>
      <c r="AF141" s="27"/>
      <c r="AG141" s="36"/>
      <c r="AH141" s="31"/>
      <c r="AI141" s="32"/>
      <c r="AJ141" s="27"/>
      <c r="AK141" s="36"/>
      <c r="AL141" s="31"/>
      <c r="AM141" s="32"/>
      <c r="AN141" s="27"/>
      <c r="AO141" s="36"/>
      <c r="AP141" s="31"/>
      <c r="AQ141" s="32"/>
      <c r="AR141" s="27"/>
      <c r="AS141" s="36"/>
      <c r="AT141" s="36"/>
      <c r="AU141" s="36"/>
      <c r="AV141" s="36"/>
      <c r="AW141" s="36"/>
      <c r="AX141" s="37">
        <f t="shared" si="5"/>
        <v>0</v>
      </c>
      <c r="AY141" s="38">
        <f t="shared" si="6"/>
        <v>0</v>
      </c>
    </row>
    <row r="142" spans="2:51" s="39" customFormat="1">
      <c r="B142" s="22"/>
      <c r="C142" s="22"/>
      <c r="D142" s="23"/>
      <c r="E142" s="48"/>
      <c r="F142" s="48"/>
      <c r="G142" s="26"/>
      <c r="H142" s="73"/>
      <c r="I142" s="49"/>
      <c r="J142" s="216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>
        <f t="shared" si="9"/>
        <v>0</v>
      </c>
      <c r="Z142" s="31"/>
      <c r="AA142" s="226"/>
      <c r="AB142" s="27"/>
      <c r="AC142" s="36"/>
      <c r="AD142" s="31"/>
      <c r="AE142" s="35"/>
      <c r="AF142" s="27"/>
      <c r="AG142" s="36"/>
      <c r="AH142" s="31"/>
      <c r="AI142" s="32"/>
      <c r="AJ142" s="27"/>
      <c r="AK142" s="36"/>
      <c r="AL142" s="31"/>
      <c r="AM142" s="32"/>
      <c r="AN142" s="27"/>
      <c r="AO142" s="36"/>
      <c r="AP142" s="31"/>
      <c r="AQ142" s="32"/>
      <c r="AR142" s="27"/>
      <c r="AS142" s="36"/>
      <c r="AT142" s="36"/>
      <c r="AU142" s="36"/>
      <c r="AV142" s="36"/>
      <c r="AW142" s="36"/>
      <c r="AX142" s="37">
        <f t="shared" si="5"/>
        <v>0</v>
      </c>
      <c r="AY142" s="38">
        <f t="shared" si="6"/>
        <v>0</v>
      </c>
    </row>
    <row r="143" spans="2:51" s="39" customFormat="1">
      <c r="B143" s="22"/>
      <c r="C143" s="22"/>
      <c r="D143" s="23"/>
      <c r="E143" s="48"/>
      <c r="F143" s="48"/>
      <c r="G143" s="26"/>
      <c r="H143" s="73"/>
      <c r="I143" s="49"/>
      <c r="J143" s="216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>
        <f t="shared" si="9"/>
        <v>0</v>
      </c>
      <c r="Z143" s="31"/>
      <c r="AA143" s="226"/>
      <c r="AB143" s="27"/>
      <c r="AC143" s="36"/>
      <c r="AD143" s="31"/>
      <c r="AE143" s="35"/>
      <c r="AF143" s="27"/>
      <c r="AG143" s="36"/>
      <c r="AH143" s="31"/>
      <c r="AI143" s="32"/>
      <c r="AJ143" s="27"/>
      <c r="AK143" s="36"/>
      <c r="AL143" s="31"/>
      <c r="AM143" s="32"/>
      <c r="AN143" s="27"/>
      <c r="AO143" s="36"/>
      <c r="AP143" s="31"/>
      <c r="AQ143" s="32"/>
      <c r="AR143" s="27"/>
      <c r="AS143" s="36"/>
      <c r="AT143" s="36"/>
      <c r="AU143" s="36"/>
      <c r="AV143" s="36"/>
      <c r="AW143" s="36"/>
      <c r="AX143" s="37">
        <f t="shared" si="5"/>
        <v>0</v>
      </c>
      <c r="AY143" s="38">
        <f t="shared" si="6"/>
        <v>0</v>
      </c>
    </row>
    <row r="144" spans="2:51" s="39" customFormat="1">
      <c r="B144" s="22"/>
      <c r="C144" s="22"/>
      <c r="D144" s="23"/>
      <c r="E144" s="48"/>
      <c r="F144" s="48"/>
      <c r="G144" s="26"/>
      <c r="H144" s="73"/>
      <c r="I144" s="49"/>
      <c r="J144" s="216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>
        <f t="shared" si="9"/>
        <v>0</v>
      </c>
      <c r="Z144" s="31"/>
      <c r="AA144" s="226"/>
      <c r="AB144" s="27"/>
      <c r="AC144" s="36"/>
      <c r="AD144" s="31"/>
      <c r="AE144" s="35"/>
      <c r="AF144" s="27"/>
      <c r="AG144" s="36"/>
      <c r="AH144" s="31"/>
      <c r="AI144" s="32"/>
      <c r="AJ144" s="27"/>
      <c r="AK144" s="36"/>
      <c r="AL144" s="31"/>
      <c r="AM144" s="32"/>
      <c r="AN144" s="27"/>
      <c r="AO144" s="36"/>
      <c r="AP144" s="31"/>
      <c r="AQ144" s="32"/>
      <c r="AR144" s="27"/>
      <c r="AS144" s="36"/>
      <c r="AT144" s="36"/>
      <c r="AU144" s="36"/>
      <c r="AV144" s="36"/>
      <c r="AW144" s="36"/>
      <c r="AX144" s="37">
        <f t="shared" si="5"/>
        <v>0</v>
      </c>
      <c r="AY144" s="38">
        <f t="shared" si="6"/>
        <v>0</v>
      </c>
    </row>
    <row r="145" spans="2:51" s="39" customFormat="1">
      <c r="B145" s="22"/>
      <c r="C145" s="22"/>
      <c r="D145" s="23"/>
      <c r="E145" s="48"/>
      <c r="F145" s="48"/>
      <c r="G145" s="26"/>
      <c r="H145" s="73"/>
      <c r="I145" s="49"/>
      <c r="J145" s="216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>
        <f t="shared" si="9"/>
        <v>0</v>
      </c>
      <c r="Z145" s="31"/>
      <c r="AA145" s="226"/>
      <c r="AB145" s="27"/>
      <c r="AC145" s="36"/>
      <c r="AD145" s="31"/>
      <c r="AE145" s="35"/>
      <c r="AF145" s="27"/>
      <c r="AG145" s="36"/>
      <c r="AH145" s="31"/>
      <c r="AI145" s="32"/>
      <c r="AJ145" s="27"/>
      <c r="AK145" s="36"/>
      <c r="AL145" s="31"/>
      <c r="AM145" s="32"/>
      <c r="AN145" s="27"/>
      <c r="AO145" s="36"/>
      <c r="AP145" s="31"/>
      <c r="AQ145" s="32"/>
      <c r="AR145" s="27"/>
      <c r="AS145" s="36"/>
      <c r="AT145" s="36"/>
      <c r="AU145" s="36"/>
      <c r="AV145" s="36"/>
      <c r="AW145" s="36"/>
      <c r="AX145" s="37">
        <f t="shared" si="5"/>
        <v>0</v>
      </c>
      <c r="AY145" s="38">
        <f t="shared" si="6"/>
        <v>0</v>
      </c>
    </row>
    <row r="146" spans="2:51" s="39" customFormat="1">
      <c r="B146" s="22"/>
      <c r="C146" s="22"/>
      <c r="D146" s="23"/>
      <c r="E146" s="48"/>
      <c r="F146" s="48"/>
      <c r="G146" s="26"/>
      <c r="H146" s="73"/>
      <c r="I146" s="49"/>
      <c r="J146" s="216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>
        <f t="shared" si="9"/>
        <v>0</v>
      </c>
      <c r="Z146" s="31"/>
      <c r="AA146" s="226"/>
      <c r="AB146" s="27"/>
      <c r="AC146" s="36"/>
      <c r="AD146" s="31"/>
      <c r="AE146" s="35"/>
      <c r="AF146" s="27"/>
      <c r="AG146" s="36"/>
      <c r="AH146" s="31"/>
      <c r="AI146" s="32"/>
      <c r="AJ146" s="27"/>
      <c r="AK146" s="36"/>
      <c r="AL146" s="31"/>
      <c r="AM146" s="32"/>
      <c r="AN146" s="27"/>
      <c r="AO146" s="36"/>
      <c r="AP146" s="31"/>
      <c r="AQ146" s="32"/>
      <c r="AR146" s="27"/>
      <c r="AS146" s="36"/>
      <c r="AT146" s="36"/>
      <c r="AU146" s="36"/>
      <c r="AV146" s="36"/>
      <c r="AW146" s="36"/>
      <c r="AX146" s="37">
        <f t="shared" si="5"/>
        <v>0</v>
      </c>
      <c r="AY146" s="38">
        <f t="shared" si="6"/>
        <v>0</v>
      </c>
    </row>
    <row r="147" spans="2:51" s="39" customFormat="1">
      <c r="B147" s="22"/>
      <c r="C147" s="22"/>
      <c r="D147" s="23"/>
      <c r="E147" s="48"/>
      <c r="F147" s="48"/>
      <c r="G147" s="26"/>
      <c r="H147" s="73"/>
      <c r="I147" s="217"/>
      <c r="J147" s="216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>
        <f t="shared" si="9"/>
        <v>0</v>
      </c>
      <c r="Z147" s="31"/>
      <c r="AA147" s="226"/>
      <c r="AB147" s="27"/>
      <c r="AC147" s="36"/>
      <c r="AD147" s="31"/>
      <c r="AE147" s="35"/>
      <c r="AF147" s="27"/>
      <c r="AG147" s="36"/>
      <c r="AH147" s="31"/>
      <c r="AI147" s="32"/>
      <c r="AJ147" s="27"/>
      <c r="AK147" s="36"/>
      <c r="AL147" s="31"/>
      <c r="AM147" s="32"/>
      <c r="AN147" s="27"/>
      <c r="AO147" s="36"/>
      <c r="AP147" s="31"/>
      <c r="AQ147" s="32"/>
      <c r="AR147" s="27"/>
      <c r="AS147" s="36"/>
      <c r="AT147" s="36"/>
      <c r="AU147" s="36"/>
      <c r="AV147" s="36"/>
      <c r="AW147" s="36"/>
      <c r="AX147" s="37">
        <f t="shared" si="5"/>
        <v>0</v>
      </c>
      <c r="AY147" s="38">
        <f t="shared" si="6"/>
        <v>0</v>
      </c>
    </row>
    <row r="148" spans="2:51" ht="15" customHeight="1">
      <c r="B148" s="749" t="s">
        <v>134</v>
      </c>
      <c r="C148" s="750"/>
      <c r="D148" s="750"/>
      <c r="E148" s="750"/>
      <c r="F148" s="750"/>
      <c r="G148" s="750"/>
      <c r="H148" s="750"/>
      <c r="I148" s="751"/>
      <c r="J148" s="224"/>
      <c r="K148" s="59">
        <f>SUBTOTAL(9,K16:K138)</f>
        <v>97998308</v>
      </c>
      <c r="L148" s="59">
        <f t="shared" ref="L148:Z148" si="10">SUBTOTAL(9,L16:L138)</f>
        <v>51671992</v>
      </c>
      <c r="M148" s="59">
        <f t="shared" si="10"/>
        <v>0</v>
      </c>
      <c r="N148" s="59">
        <f t="shared" si="10"/>
        <v>9168843</v>
      </c>
      <c r="O148" s="59">
        <f t="shared" si="10"/>
        <v>2817710</v>
      </c>
      <c r="P148" s="59">
        <f t="shared" si="10"/>
        <v>2353730</v>
      </c>
      <c r="Q148" s="59">
        <f t="shared" si="10"/>
        <v>3088889</v>
      </c>
      <c r="R148" s="59">
        <f t="shared" si="10"/>
        <v>3012449</v>
      </c>
      <c r="S148" s="59">
        <f t="shared" si="10"/>
        <v>2530028</v>
      </c>
      <c r="T148" s="59">
        <f t="shared" si="10"/>
        <v>1270693</v>
      </c>
      <c r="U148" s="59">
        <f t="shared" si="10"/>
        <v>2066664</v>
      </c>
      <c r="V148" s="59">
        <f t="shared" si="10"/>
        <v>0</v>
      </c>
      <c r="W148" s="59">
        <f t="shared" si="10"/>
        <v>0</v>
      </c>
      <c r="X148" s="59">
        <f t="shared" si="10"/>
        <v>0</v>
      </c>
      <c r="Y148" s="59">
        <f t="shared" si="10"/>
        <v>26309006</v>
      </c>
      <c r="Z148" s="59">
        <f t="shared" si="10"/>
        <v>35237583</v>
      </c>
      <c r="AA148" s="59"/>
      <c r="AB148" s="59"/>
      <c r="AC148" s="59"/>
      <c r="AD148" s="59">
        <f t="shared" ref="AD148" si="11">SUBTOTAL(9,AD16:AD138)</f>
        <v>1287701</v>
      </c>
      <c r="AE148" s="59"/>
      <c r="AF148" s="59"/>
      <c r="AG148" s="59"/>
      <c r="AH148" s="59">
        <f t="shared" ref="AH148" si="12">SUBTOTAL(9,AH16:AH138)</f>
        <v>73702</v>
      </c>
      <c r="AI148" s="59"/>
      <c r="AJ148" s="59"/>
      <c r="AK148" s="59"/>
      <c r="AL148" s="59">
        <f t="shared" ref="AL148" si="13">SUBTOTAL(9,AL16:AL138)</f>
        <v>190184</v>
      </c>
      <c r="AM148" s="59"/>
      <c r="AN148" s="59"/>
      <c r="AO148" s="59"/>
      <c r="AP148" s="59">
        <f t="shared" ref="AP148" si="14">SUBTOTAL(9,AP16:AP138)</f>
        <v>199787</v>
      </c>
      <c r="AQ148" s="59"/>
      <c r="AR148" s="59"/>
      <c r="AS148" s="59"/>
      <c r="AT148" s="59">
        <f t="shared" ref="AT148" si="15">SUBTOTAL(9,AT16:AT138)</f>
        <v>0</v>
      </c>
      <c r="AU148" s="59"/>
      <c r="AV148" s="59"/>
      <c r="AW148" s="59"/>
      <c r="AX148" s="59">
        <f t="shared" ref="AX148:AY148" si="16">SUBTOTAL(9,AX16:AX138)</f>
        <v>36988957</v>
      </c>
      <c r="AY148" s="59">
        <f t="shared" si="16"/>
        <v>10679951</v>
      </c>
    </row>
    <row r="149" spans="2:51" s="123" customFormat="1">
      <c r="B149" s="125"/>
      <c r="D149" s="125"/>
      <c r="J149" s="124"/>
      <c r="AA149" s="74"/>
      <c r="AE149" s="124"/>
      <c r="AI149" s="74"/>
      <c r="AM149" s="74"/>
      <c r="AQ149" s="74"/>
    </row>
    <row r="150" spans="2:51" s="123" customFormat="1">
      <c r="B150" s="125"/>
      <c r="D150" s="125"/>
      <c r="J150" s="124"/>
      <c r="AA150" s="74"/>
      <c r="AE150" s="124"/>
      <c r="AI150" s="74"/>
      <c r="AM150" s="74"/>
      <c r="AQ150" s="74"/>
    </row>
    <row r="151" spans="2:51" s="123" customFormat="1">
      <c r="B151" s="125"/>
      <c r="D151" s="125"/>
      <c r="J151" s="124"/>
      <c r="AA151" s="74"/>
      <c r="AE151" s="124"/>
      <c r="AI151" s="74"/>
      <c r="AM151" s="74"/>
      <c r="AQ151" s="74"/>
    </row>
    <row r="152" spans="2:51" s="123" customFormat="1">
      <c r="B152" s="125"/>
      <c r="D152" s="125"/>
      <c r="J152" s="124"/>
      <c r="AA152" s="74"/>
      <c r="AE152" s="124"/>
      <c r="AI152" s="74"/>
      <c r="AM152" s="74"/>
      <c r="AQ152" s="74"/>
    </row>
    <row r="153" spans="2:51" s="123" customFormat="1">
      <c r="B153" s="125"/>
      <c r="D153" s="125"/>
      <c r="J153" s="124"/>
      <c r="AA153" s="74"/>
      <c r="AE153" s="124"/>
      <c r="AI153" s="74"/>
      <c r="AM153" s="74"/>
      <c r="AQ153" s="74"/>
    </row>
    <row r="154" spans="2:51" s="123" customFormat="1">
      <c r="B154" s="125"/>
      <c r="D154" s="125"/>
      <c r="J154" s="124"/>
      <c r="AA154" s="74"/>
      <c r="AE154" s="124"/>
      <c r="AI154" s="74"/>
      <c r="AM154" s="74"/>
      <c r="AQ154" s="74"/>
    </row>
    <row r="155" spans="2:51" s="123" customFormat="1">
      <c r="B155" s="125"/>
      <c r="D155" s="125"/>
      <c r="J155" s="124"/>
      <c r="AA155" s="74"/>
      <c r="AE155" s="124"/>
      <c r="AI155" s="74"/>
      <c r="AM155" s="74"/>
      <c r="AQ155" s="74"/>
    </row>
    <row r="156" spans="2:51" s="123" customFormat="1">
      <c r="B156" s="125"/>
      <c r="D156" s="125"/>
      <c r="J156" s="124"/>
      <c r="AA156" s="74"/>
      <c r="AE156" s="124"/>
      <c r="AI156" s="74"/>
      <c r="AM156" s="74"/>
      <c r="AQ156" s="74"/>
    </row>
    <row r="157" spans="2:51" s="123" customFormat="1">
      <c r="B157" s="125"/>
      <c r="D157" s="125"/>
      <c r="J157" s="124"/>
      <c r="AA157" s="74"/>
      <c r="AE157" s="124"/>
      <c r="AI157" s="74"/>
      <c r="AM157" s="74"/>
      <c r="AQ157" s="74"/>
    </row>
    <row r="158" spans="2:51" s="123" customFormat="1">
      <c r="B158" s="125"/>
      <c r="D158" s="125"/>
      <c r="J158" s="124"/>
      <c r="AA158" s="74"/>
      <c r="AE158" s="124"/>
      <c r="AI158" s="74"/>
      <c r="AM158" s="74"/>
      <c r="AQ158" s="74"/>
    </row>
    <row r="159" spans="2:51" s="123" customFormat="1">
      <c r="B159" s="125"/>
      <c r="D159" s="125"/>
      <c r="J159" s="124"/>
      <c r="AA159" s="74"/>
      <c r="AE159" s="124"/>
      <c r="AI159" s="74"/>
      <c r="AM159" s="74"/>
      <c r="AQ159" s="74"/>
    </row>
    <row r="160" spans="2:51" s="123" customFormat="1">
      <c r="B160" s="125"/>
      <c r="D160" s="125"/>
      <c r="J160" s="124"/>
      <c r="AA160" s="74"/>
      <c r="AE160" s="124"/>
      <c r="AI160" s="74"/>
      <c r="AM160" s="74"/>
      <c r="AQ160" s="74"/>
    </row>
    <row r="161" spans="2:43" s="123" customFormat="1">
      <c r="B161" s="125"/>
      <c r="D161" s="125"/>
      <c r="J161" s="124"/>
      <c r="AA161" s="74"/>
      <c r="AE161" s="124"/>
      <c r="AI161" s="74"/>
      <c r="AM161" s="74"/>
      <c r="AQ161" s="74"/>
    </row>
    <row r="162" spans="2:43" s="123" customFormat="1">
      <c r="B162" s="125"/>
      <c r="D162" s="125"/>
      <c r="J162" s="124"/>
      <c r="AA162" s="74"/>
      <c r="AE162" s="124"/>
      <c r="AI162" s="74"/>
      <c r="AM162" s="74"/>
      <c r="AQ162" s="74"/>
    </row>
    <row r="163" spans="2:43" s="123" customFormat="1">
      <c r="B163" s="125"/>
      <c r="D163" s="125"/>
      <c r="J163" s="124"/>
      <c r="AA163" s="74"/>
      <c r="AE163" s="124"/>
      <c r="AI163" s="74"/>
      <c r="AM163" s="74"/>
      <c r="AQ163" s="74"/>
    </row>
    <row r="164" spans="2:43" s="123" customFormat="1">
      <c r="B164" s="125"/>
      <c r="D164" s="125"/>
      <c r="J164" s="124"/>
      <c r="AA164" s="74"/>
      <c r="AE164" s="124"/>
      <c r="AI164" s="74"/>
      <c r="AM164" s="74"/>
      <c r="AQ164" s="74"/>
    </row>
    <row r="165" spans="2:43" s="123" customFormat="1">
      <c r="B165" s="125"/>
      <c r="D165" s="125"/>
      <c r="J165" s="124"/>
      <c r="AA165" s="74"/>
      <c r="AE165" s="124"/>
      <c r="AI165" s="74"/>
      <c r="AM165" s="74"/>
      <c r="AQ165" s="74"/>
    </row>
    <row r="166" spans="2:43" s="123" customFormat="1">
      <c r="B166" s="125"/>
      <c r="D166" s="125"/>
      <c r="J166" s="124"/>
      <c r="AA166" s="74"/>
      <c r="AE166" s="124"/>
      <c r="AI166" s="74"/>
      <c r="AM166" s="74"/>
      <c r="AQ166" s="74"/>
    </row>
    <row r="167" spans="2:43" s="123" customFormat="1">
      <c r="B167" s="125"/>
      <c r="D167" s="125"/>
      <c r="J167" s="124"/>
      <c r="AA167" s="74"/>
      <c r="AE167" s="124"/>
      <c r="AI167" s="74"/>
      <c r="AM167" s="74"/>
      <c r="AQ167" s="74"/>
    </row>
    <row r="168" spans="2:43" s="123" customFormat="1">
      <c r="B168" s="125"/>
      <c r="D168" s="125"/>
      <c r="J168" s="124"/>
      <c r="AA168" s="74"/>
      <c r="AE168" s="124"/>
      <c r="AI168" s="74"/>
      <c r="AM168" s="74"/>
      <c r="AQ168" s="74"/>
    </row>
    <row r="169" spans="2:43" s="123" customFormat="1">
      <c r="B169" s="125"/>
      <c r="D169" s="125"/>
      <c r="J169" s="124"/>
      <c r="AA169" s="74"/>
      <c r="AE169" s="124"/>
      <c r="AI169" s="74"/>
      <c r="AM169" s="74"/>
      <c r="AQ169" s="74"/>
    </row>
    <row r="170" spans="2:43" s="123" customFormat="1">
      <c r="B170" s="125"/>
      <c r="D170" s="125"/>
      <c r="J170" s="124"/>
      <c r="AA170" s="74"/>
      <c r="AE170" s="124"/>
      <c r="AI170" s="74"/>
      <c r="AM170" s="74"/>
      <c r="AQ170" s="74"/>
    </row>
    <row r="171" spans="2:43" s="123" customFormat="1">
      <c r="B171" s="125"/>
      <c r="D171" s="125"/>
      <c r="J171" s="124"/>
      <c r="AA171" s="74"/>
      <c r="AE171" s="124"/>
      <c r="AI171" s="74"/>
      <c r="AM171" s="74"/>
      <c r="AQ171" s="74"/>
    </row>
    <row r="172" spans="2:43" s="123" customFormat="1">
      <c r="B172" s="125"/>
      <c r="D172" s="125"/>
      <c r="J172" s="124"/>
      <c r="AA172" s="74"/>
      <c r="AE172" s="124"/>
      <c r="AI172" s="74"/>
      <c r="AM172" s="74"/>
      <c r="AQ172" s="74"/>
    </row>
    <row r="173" spans="2:43" s="123" customFormat="1">
      <c r="B173" s="125"/>
      <c r="D173" s="125"/>
      <c r="J173" s="124"/>
      <c r="AA173" s="74"/>
      <c r="AE173" s="124"/>
      <c r="AI173" s="74"/>
      <c r="AM173" s="74"/>
      <c r="AQ173" s="74"/>
    </row>
    <row r="174" spans="2:43" s="123" customFormat="1">
      <c r="B174" s="125"/>
      <c r="D174" s="125"/>
      <c r="J174" s="124"/>
      <c r="AA174" s="74"/>
      <c r="AE174" s="124"/>
      <c r="AI174" s="74"/>
      <c r="AM174" s="74"/>
      <c r="AQ174" s="74"/>
    </row>
    <row r="175" spans="2:43" s="123" customFormat="1">
      <c r="B175" s="125"/>
      <c r="D175" s="125"/>
      <c r="J175" s="124"/>
      <c r="AA175" s="74"/>
      <c r="AE175" s="124"/>
      <c r="AI175" s="74"/>
      <c r="AM175" s="74"/>
      <c r="AQ175" s="74"/>
    </row>
    <row r="176" spans="2:43" s="123" customFormat="1">
      <c r="B176" s="125"/>
      <c r="D176" s="125"/>
      <c r="J176" s="124"/>
      <c r="AA176" s="74"/>
      <c r="AE176" s="124"/>
      <c r="AI176" s="74"/>
      <c r="AM176" s="74"/>
      <c r="AQ176" s="74"/>
    </row>
    <row r="177" spans="2:43" s="123" customFormat="1">
      <c r="B177" s="125"/>
      <c r="D177" s="125"/>
      <c r="J177" s="124"/>
      <c r="AA177" s="74"/>
      <c r="AE177" s="124"/>
      <c r="AI177" s="74"/>
      <c r="AM177" s="74"/>
      <c r="AQ177" s="74"/>
    </row>
    <row r="178" spans="2:43" s="123" customFormat="1">
      <c r="B178" s="125"/>
      <c r="D178" s="125"/>
      <c r="J178" s="124"/>
      <c r="AA178" s="74"/>
      <c r="AE178" s="124"/>
      <c r="AI178" s="74"/>
      <c r="AM178" s="74"/>
      <c r="AQ178" s="74"/>
    </row>
    <row r="179" spans="2:43" s="123" customFormat="1">
      <c r="B179" s="125"/>
      <c r="D179" s="125"/>
      <c r="J179" s="124"/>
      <c r="AA179" s="74"/>
      <c r="AE179" s="124"/>
      <c r="AI179" s="74"/>
      <c r="AM179" s="74"/>
      <c r="AQ179" s="74"/>
    </row>
    <row r="180" spans="2:43" s="123" customFormat="1">
      <c r="B180" s="125"/>
      <c r="D180" s="125"/>
      <c r="J180" s="124"/>
      <c r="AA180" s="74"/>
      <c r="AE180" s="124"/>
      <c r="AI180" s="74"/>
      <c r="AM180" s="74"/>
      <c r="AQ180" s="74"/>
    </row>
    <row r="181" spans="2:43" s="123" customFormat="1">
      <c r="B181" s="125"/>
      <c r="D181" s="125"/>
      <c r="J181" s="124"/>
      <c r="AA181" s="74"/>
      <c r="AE181" s="124"/>
      <c r="AI181" s="74"/>
      <c r="AM181" s="74"/>
      <c r="AQ181" s="74"/>
    </row>
    <row r="182" spans="2:43" s="123" customFormat="1">
      <c r="B182" s="125"/>
      <c r="D182" s="125"/>
      <c r="J182" s="124"/>
      <c r="AA182" s="74"/>
      <c r="AE182" s="124"/>
      <c r="AI182" s="74"/>
      <c r="AM182" s="74"/>
      <c r="AQ182" s="74"/>
    </row>
    <row r="183" spans="2:43" s="123" customFormat="1">
      <c r="B183" s="125"/>
      <c r="D183" s="125"/>
      <c r="J183" s="124"/>
      <c r="AA183" s="74"/>
      <c r="AE183" s="124"/>
      <c r="AI183" s="74"/>
      <c r="AM183" s="74"/>
      <c r="AQ183" s="74"/>
    </row>
    <row r="184" spans="2:43" s="123" customFormat="1">
      <c r="B184" s="125"/>
      <c r="D184" s="125"/>
      <c r="J184" s="124"/>
      <c r="AA184" s="74"/>
      <c r="AE184" s="124"/>
      <c r="AI184" s="74"/>
      <c r="AM184" s="74"/>
      <c r="AQ184" s="74"/>
    </row>
    <row r="185" spans="2:43" s="123" customFormat="1">
      <c r="B185" s="125"/>
      <c r="D185" s="125"/>
      <c r="J185" s="124"/>
      <c r="AA185" s="74"/>
      <c r="AE185" s="124"/>
      <c r="AI185" s="74"/>
      <c r="AM185" s="74"/>
      <c r="AQ185" s="74"/>
    </row>
    <row r="186" spans="2:43" s="123" customFormat="1">
      <c r="B186" s="125"/>
      <c r="D186" s="125"/>
      <c r="J186" s="124"/>
      <c r="AA186" s="74"/>
      <c r="AE186" s="124"/>
      <c r="AI186" s="74"/>
      <c r="AM186" s="74"/>
      <c r="AQ186" s="74"/>
    </row>
    <row r="187" spans="2:43" s="123" customFormat="1">
      <c r="B187" s="125"/>
      <c r="D187" s="125"/>
      <c r="J187" s="124"/>
      <c r="AA187" s="74"/>
      <c r="AE187" s="124"/>
      <c r="AI187" s="74"/>
      <c r="AM187" s="74"/>
      <c r="AQ187" s="74"/>
    </row>
    <row r="188" spans="2:43" s="123" customFormat="1">
      <c r="B188" s="125"/>
      <c r="D188" s="125"/>
      <c r="J188" s="124"/>
      <c r="AA188" s="74"/>
      <c r="AE188" s="124"/>
      <c r="AI188" s="74"/>
      <c r="AM188" s="74"/>
      <c r="AQ188" s="74"/>
    </row>
    <row r="189" spans="2:43" s="123" customFormat="1">
      <c r="B189" s="125"/>
      <c r="D189" s="125"/>
      <c r="J189" s="124"/>
      <c r="AA189" s="74"/>
      <c r="AE189" s="124"/>
      <c r="AI189" s="74"/>
      <c r="AM189" s="74"/>
      <c r="AQ189" s="74"/>
    </row>
    <row r="190" spans="2:43" s="123" customFormat="1">
      <c r="B190" s="125"/>
      <c r="D190" s="125"/>
      <c r="J190" s="124"/>
      <c r="AA190" s="74"/>
      <c r="AE190" s="124"/>
      <c r="AI190" s="74"/>
      <c r="AM190" s="74"/>
      <c r="AQ190" s="74"/>
    </row>
    <row r="191" spans="2:43" s="123" customFormat="1">
      <c r="B191" s="125"/>
      <c r="D191" s="125"/>
      <c r="J191" s="124"/>
      <c r="AA191" s="74"/>
      <c r="AE191" s="124"/>
      <c r="AI191" s="74"/>
      <c r="AM191" s="74"/>
      <c r="AQ191" s="74"/>
    </row>
    <row r="192" spans="2:43" s="123" customFormat="1">
      <c r="B192" s="125"/>
      <c r="D192" s="125"/>
      <c r="J192" s="124"/>
      <c r="AA192" s="74"/>
      <c r="AE192" s="124"/>
      <c r="AI192" s="74"/>
      <c r="AM192" s="74"/>
      <c r="AQ192" s="74"/>
    </row>
    <row r="193" spans="2:43" s="123" customFormat="1">
      <c r="B193" s="125"/>
      <c r="D193" s="125"/>
      <c r="J193" s="124"/>
      <c r="AA193" s="74"/>
      <c r="AE193" s="124"/>
      <c r="AI193" s="74"/>
      <c r="AM193" s="74"/>
      <c r="AQ193" s="74"/>
    </row>
    <row r="194" spans="2:43" s="123" customFormat="1">
      <c r="B194" s="125"/>
      <c r="D194" s="125"/>
      <c r="J194" s="124"/>
      <c r="AA194" s="74"/>
      <c r="AE194" s="124"/>
      <c r="AI194" s="74"/>
      <c r="AM194" s="74"/>
      <c r="AQ194" s="74"/>
    </row>
    <row r="195" spans="2:43" s="123" customFormat="1">
      <c r="B195" s="125"/>
      <c r="D195" s="125"/>
      <c r="J195" s="124"/>
      <c r="AA195" s="74"/>
      <c r="AE195" s="124"/>
      <c r="AI195" s="74"/>
      <c r="AM195" s="74"/>
      <c r="AQ195" s="74"/>
    </row>
    <row r="196" spans="2:43" s="123" customFormat="1">
      <c r="B196" s="125"/>
      <c r="D196" s="125"/>
      <c r="J196" s="124"/>
      <c r="AA196" s="74"/>
      <c r="AE196" s="124"/>
      <c r="AI196" s="74"/>
      <c r="AM196" s="74"/>
      <c r="AQ196" s="74"/>
    </row>
    <row r="197" spans="2:43" s="123" customFormat="1">
      <c r="B197" s="125"/>
      <c r="D197" s="125"/>
      <c r="J197" s="124"/>
      <c r="AA197" s="74"/>
      <c r="AE197" s="124"/>
      <c r="AI197" s="74"/>
      <c r="AM197" s="74"/>
      <c r="AQ197" s="74"/>
    </row>
    <row r="198" spans="2:43" s="123" customFormat="1">
      <c r="B198" s="125"/>
      <c r="D198" s="125"/>
      <c r="J198" s="124"/>
      <c r="AA198" s="74"/>
      <c r="AE198" s="124"/>
      <c r="AI198" s="74"/>
      <c r="AM198" s="74"/>
      <c r="AQ198" s="74"/>
    </row>
    <row r="199" spans="2:43" s="123" customFormat="1">
      <c r="B199" s="125"/>
      <c r="D199" s="125"/>
      <c r="J199" s="124"/>
      <c r="AA199" s="74"/>
      <c r="AE199" s="124"/>
      <c r="AI199" s="74"/>
      <c r="AM199" s="74"/>
      <c r="AQ199" s="74"/>
    </row>
    <row r="200" spans="2:43" s="123" customFormat="1">
      <c r="B200" s="125"/>
      <c r="D200" s="125"/>
      <c r="J200" s="124"/>
      <c r="AA200" s="74"/>
      <c r="AE200" s="124"/>
      <c r="AI200" s="74"/>
      <c r="AM200" s="74"/>
      <c r="AQ200" s="74"/>
    </row>
    <row r="201" spans="2:43" s="123" customFormat="1">
      <c r="B201" s="125"/>
      <c r="D201" s="125"/>
      <c r="J201" s="124"/>
      <c r="AA201" s="74"/>
      <c r="AE201" s="124"/>
      <c r="AI201" s="74"/>
      <c r="AM201" s="74"/>
      <c r="AQ201" s="74"/>
    </row>
    <row r="202" spans="2:43" s="123" customFormat="1">
      <c r="B202" s="125"/>
      <c r="D202" s="125"/>
      <c r="J202" s="124"/>
      <c r="AA202" s="74"/>
      <c r="AE202" s="124"/>
      <c r="AI202" s="74"/>
      <c r="AM202" s="74"/>
      <c r="AQ202" s="74"/>
    </row>
    <row r="203" spans="2:43" s="123" customFormat="1">
      <c r="B203" s="125"/>
      <c r="D203" s="125"/>
      <c r="J203" s="124"/>
      <c r="AA203" s="74"/>
      <c r="AE203" s="124"/>
      <c r="AI203" s="74"/>
      <c r="AM203" s="74"/>
      <c r="AQ203" s="74"/>
    </row>
    <row r="204" spans="2:43" s="123" customFormat="1">
      <c r="B204" s="125"/>
      <c r="D204" s="125"/>
      <c r="J204" s="124"/>
      <c r="AA204" s="74"/>
      <c r="AE204" s="124"/>
      <c r="AI204" s="74"/>
      <c r="AM204" s="74"/>
      <c r="AQ204" s="74"/>
    </row>
    <row r="205" spans="2:43" s="123" customFormat="1">
      <c r="B205" s="125"/>
      <c r="D205" s="125"/>
      <c r="J205" s="124"/>
      <c r="AA205" s="74"/>
      <c r="AE205" s="124"/>
      <c r="AI205" s="74"/>
      <c r="AM205" s="74"/>
      <c r="AQ205" s="74"/>
    </row>
    <row r="206" spans="2:43" s="123" customFormat="1">
      <c r="B206" s="125"/>
      <c r="D206" s="125"/>
      <c r="J206" s="124"/>
      <c r="AA206" s="74"/>
      <c r="AE206" s="124"/>
      <c r="AI206" s="74"/>
      <c r="AM206" s="74"/>
      <c r="AQ206" s="74"/>
    </row>
    <row r="207" spans="2:43" s="123" customFormat="1">
      <c r="B207" s="125"/>
      <c r="D207" s="125"/>
      <c r="J207" s="124"/>
      <c r="AA207" s="74"/>
      <c r="AE207" s="124"/>
      <c r="AI207" s="74"/>
      <c r="AM207" s="74"/>
      <c r="AQ207" s="74"/>
    </row>
    <row r="208" spans="2:43" s="123" customFormat="1">
      <c r="B208" s="125"/>
      <c r="D208" s="125"/>
      <c r="J208" s="124"/>
      <c r="AA208" s="74"/>
      <c r="AE208" s="124"/>
      <c r="AI208" s="74"/>
      <c r="AM208" s="74"/>
      <c r="AQ208" s="74"/>
    </row>
    <row r="209" spans="2:43" s="123" customFormat="1">
      <c r="B209" s="125"/>
      <c r="D209" s="125"/>
      <c r="J209" s="124"/>
      <c r="AA209" s="74"/>
      <c r="AE209" s="124"/>
      <c r="AI209" s="74"/>
      <c r="AM209" s="74"/>
      <c r="AQ209" s="74"/>
    </row>
    <row r="210" spans="2:43" s="123" customFormat="1">
      <c r="B210" s="125"/>
      <c r="D210" s="125"/>
      <c r="J210" s="124"/>
      <c r="AA210" s="74"/>
      <c r="AE210" s="124"/>
      <c r="AI210" s="74"/>
      <c r="AM210" s="74"/>
      <c r="AQ210" s="74"/>
    </row>
    <row r="211" spans="2:43" s="123" customFormat="1">
      <c r="B211" s="125"/>
      <c r="D211" s="125"/>
      <c r="J211" s="124"/>
      <c r="AA211" s="74"/>
      <c r="AE211" s="124"/>
      <c r="AI211" s="74"/>
      <c r="AM211" s="74"/>
      <c r="AQ211" s="74"/>
    </row>
    <row r="212" spans="2:43" s="123" customFormat="1">
      <c r="B212" s="125"/>
      <c r="D212" s="125"/>
      <c r="J212" s="124"/>
      <c r="AA212" s="74"/>
      <c r="AE212" s="124"/>
      <c r="AI212" s="74"/>
      <c r="AM212" s="74"/>
      <c r="AQ212" s="74"/>
    </row>
    <row r="213" spans="2:43" s="123" customFormat="1">
      <c r="B213" s="125"/>
      <c r="D213" s="125"/>
      <c r="J213" s="124"/>
      <c r="AA213" s="74"/>
      <c r="AE213" s="124"/>
      <c r="AI213" s="74"/>
      <c r="AM213" s="74"/>
      <c r="AQ213" s="74"/>
    </row>
    <row r="214" spans="2:43" s="123" customFormat="1">
      <c r="B214" s="125"/>
      <c r="D214" s="125"/>
      <c r="J214" s="124"/>
      <c r="AA214" s="74"/>
      <c r="AE214" s="124"/>
      <c r="AI214" s="74"/>
      <c r="AM214" s="74"/>
      <c r="AQ214" s="74"/>
    </row>
    <row r="215" spans="2:43" s="123" customFormat="1">
      <c r="B215" s="125"/>
      <c r="D215" s="125"/>
      <c r="J215" s="124"/>
      <c r="AA215" s="74"/>
      <c r="AE215" s="124"/>
      <c r="AI215" s="74"/>
      <c r="AM215" s="74"/>
      <c r="AQ215" s="74"/>
    </row>
    <row r="216" spans="2:43" s="123" customFormat="1">
      <c r="B216" s="125"/>
      <c r="D216" s="125"/>
      <c r="J216" s="124"/>
      <c r="AA216" s="74"/>
      <c r="AE216" s="124"/>
      <c r="AI216" s="74"/>
      <c r="AM216" s="74"/>
      <c r="AQ216" s="74"/>
    </row>
    <row r="217" spans="2:43" s="123" customFormat="1">
      <c r="B217" s="125"/>
      <c r="D217" s="125"/>
      <c r="J217" s="124"/>
      <c r="AA217" s="74"/>
      <c r="AE217" s="124"/>
      <c r="AI217" s="74"/>
      <c r="AM217" s="74"/>
      <c r="AQ217" s="74"/>
    </row>
    <row r="218" spans="2:43" s="123" customFormat="1">
      <c r="B218" s="125"/>
      <c r="D218" s="125"/>
      <c r="J218" s="124"/>
      <c r="AA218" s="74"/>
      <c r="AE218" s="124"/>
      <c r="AI218" s="74"/>
      <c r="AM218" s="74"/>
      <c r="AQ218" s="74"/>
    </row>
    <row r="219" spans="2:43" s="123" customFormat="1">
      <c r="B219" s="125"/>
      <c r="D219" s="125"/>
      <c r="J219" s="124"/>
      <c r="AA219" s="74"/>
      <c r="AE219" s="124"/>
      <c r="AI219" s="74"/>
      <c r="AM219" s="74"/>
      <c r="AQ219" s="74"/>
    </row>
    <row r="220" spans="2:43" s="123" customFormat="1">
      <c r="B220" s="125"/>
      <c r="D220" s="125"/>
      <c r="J220" s="124"/>
      <c r="AA220" s="74"/>
      <c r="AE220" s="124"/>
      <c r="AI220" s="74"/>
      <c r="AM220" s="74"/>
      <c r="AQ220" s="74"/>
    </row>
    <row r="221" spans="2:43" s="123" customFormat="1">
      <c r="B221" s="125"/>
      <c r="D221" s="125"/>
      <c r="J221" s="124"/>
      <c r="AA221" s="74"/>
      <c r="AE221" s="124"/>
      <c r="AI221" s="74"/>
      <c r="AM221" s="74"/>
      <c r="AQ221" s="74"/>
    </row>
    <row r="222" spans="2:43" s="123" customFormat="1">
      <c r="B222" s="125"/>
      <c r="D222" s="125"/>
      <c r="J222" s="124"/>
      <c r="AA222" s="74"/>
      <c r="AE222" s="124"/>
      <c r="AI222" s="74"/>
      <c r="AM222" s="74"/>
      <c r="AQ222" s="74"/>
    </row>
    <row r="223" spans="2:43" s="123" customFormat="1">
      <c r="B223" s="125"/>
      <c r="D223" s="125"/>
      <c r="J223" s="124"/>
      <c r="AA223" s="74"/>
      <c r="AE223" s="124"/>
      <c r="AI223" s="74"/>
      <c r="AM223" s="74"/>
      <c r="AQ223" s="74"/>
    </row>
    <row r="224" spans="2:43" s="123" customFormat="1">
      <c r="B224" s="125"/>
      <c r="D224" s="125"/>
      <c r="J224" s="124"/>
      <c r="AA224" s="74"/>
      <c r="AE224" s="124"/>
      <c r="AI224" s="74"/>
      <c r="AM224" s="74"/>
      <c r="AQ224" s="74"/>
    </row>
    <row r="225" spans="2:43" s="123" customFormat="1">
      <c r="B225" s="125"/>
      <c r="D225" s="125"/>
      <c r="J225" s="124"/>
      <c r="AA225" s="74"/>
      <c r="AE225" s="124"/>
      <c r="AI225" s="74"/>
      <c r="AM225" s="74"/>
      <c r="AQ225" s="74"/>
    </row>
    <row r="226" spans="2:43" s="123" customFormat="1">
      <c r="B226" s="125"/>
      <c r="D226" s="125"/>
      <c r="J226" s="124"/>
      <c r="AA226" s="74"/>
      <c r="AE226" s="124"/>
      <c r="AI226" s="74"/>
      <c r="AM226" s="74"/>
      <c r="AQ226" s="74"/>
    </row>
    <row r="227" spans="2:43" s="123" customFormat="1">
      <c r="B227" s="125"/>
      <c r="D227" s="125"/>
      <c r="J227" s="124"/>
      <c r="AA227" s="74"/>
      <c r="AE227" s="124"/>
      <c r="AI227" s="74"/>
      <c r="AM227" s="74"/>
      <c r="AQ227" s="74"/>
    </row>
    <row r="228" spans="2:43" s="123" customFormat="1">
      <c r="B228" s="125"/>
      <c r="D228" s="125"/>
      <c r="J228" s="124"/>
      <c r="AA228" s="74"/>
      <c r="AE228" s="124"/>
      <c r="AI228" s="74"/>
      <c r="AM228" s="74"/>
      <c r="AQ228" s="74"/>
    </row>
    <row r="229" spans="2:43" s="123" customFormat="1">
      <c r="B229" s="125"/>
      <c r="D229" s="125"/>
      <c r="J229" s="124"/>
      <c r="AA229" s="74"/>
      <c r="AE229" s="124"/>
      <c r="AI229" s="74"/>
      <c r="AM229" s="74"/>
      <c r="AQ229" s="74"/>
    </row>
    <row r="230" spans="2:43" s="123" customFormat="1">
      <c r="B230" s="125"/>
      <c r="D230" s="125"/>
      <c r="J230" s="124"/>
      <c r="AA230" s="74"/>
      <c r="AE230" s="124"/>
      <c r="AI230" s="74"/>
      <c r="AM230" s="74"/>
      <c r="AQ230" s="74"/>
    </row>
    <row r="231" spans="2:43" s="123" customFormat="1">
      <c r="B231" s="125"/>
      <c r="D231" s="125"/>
      <c r="J231" s="124"/>
      <c r="AA231" s="74"/>
      <c r="AE231" s="124"/>
      <c r="AI231" s="74"/>
      <c r="AM231" s="74"/>
      <c r="AQ231" s="74"/>
    </row>
    <row r="232" spans="2:43" s="123" customFormat="1">
      <c r="B232" s="125"/>
      <c r="D232" s="125"/>
      <c r="J232" s="124"/>
      <c r="AA232" s="74"/>
      <c r="AE232" s="124"/>
      <c r="AI232" s="74"/>
      <c r="AM232" s="74"/>
      <c r="AQ232" s="74"/>
    </row>
    <row r="233" spans="2:43" s="123" customFormat="1">
      <c r="B233" s="125"/>
      <c r="D233" s="125"/>
      <c r="J233" s="124"/>
      <c r="AA233" s="74"/>
      <c r="AE233" s="124"/>
      <c r="AI233" s="74"/>
      <c r="AM233" s="74"/>
      <c r="AQ233" s="74"/>
    </row>
    <row r="234" spans="2:43" s="123" customFormat="1">
      <c r="B234" s="125"/>
      <c r="D234" s="125"/>
      <c r="J234" s="124"/>
      <c r="AA234" s="74"/>
      <c r="AE234" s="124"/>
      <c r="AI234" s="74"/>
      <c r="AM234" s="74"/>
      <c r="AQ234" s="74"/>
    </row>
    <row r="235" spans="2:43" s="123" customFormat="1">
      <c r="B235" s="125"/>
      <c r="D235" s="125"/>
      <c r="J235" s="124"/>
      <c r="AA235" s="74"/>
      <c r="AE235" s="124"/>
      <c r="AI235" s="74"/>
      <c r="AM235" s="74"/>
      <c r="AQ235" s="74"/>
    </row>
    <row r="236" spans="2:43" s="123" customFormat="1">
      <c r="B236" s="125"/>
      <c r="D236" s="125"/>
      <c r="J236" s="124"/>
      <c r="AA236" s="74"/>
      <c r="AE236" s="124"/>
      <c r="AI236" s="74"/>
      <c r="AM236" s="74"/>
      <c r="AQ236" s="74"/>
    </row>
    <row r="237" spans="2:43" s="123" customFormat="1">
      <c r="B237" s="125"/>
      <c r="D237" s="125"/>
      <c r="J237" s="124"/>
      <c r="AA237" s="74"/>
      <c r="AE237" s="124"/>
      <c r="AI237" s="74"/>
      <c r="AM237" s="74"/>
      <c r="AQ237" s="74"/>
    </row>
    <row r="238" spans="2:43" s="123" customFormat="1">
      <c r="B238" s="125"/>
      <c r="D238" s="125"/>
      <c r="J238" s="124"/>
      <c r="AA238" s="74"/>
      <c r="AE238" s="124"/>
      <c r="AI238" s="74"/>
      <c r="AM238" s="74"/>
      <c r="AQ238" s="74"/>
    </row>
    <row r="239" spans="2:43" s="123" customFormat="1">
      <c r="B239" s="125"/>
      <c r="D239" s="125"/>
      <c r="J239" s="124"/>
      <c r="AA239" s="74"/>
      <c r="AE239" s="124"/>
      <c r="AI239" s="74"/>
      <c r="AM239" s="74"/>
      <c r="AQ239" s="74"/>
    </row>
    <row r="240" spans="2:43" s="123" customFormat="1">
      <c r="B240" s="125"/>
      <c r="D240" s="125"/>
      <c r="J240" s="124"/>
      <c r="AA240" s="74"/>
      <c r="AE240" s="124"/>
      <c r="AI240" s="74"/>
      <c r="AM240" s="74"/>
      <c r="AQ240" s="74"/>
    </row>
    <row r="241" spans="2:43" s="123" customFormat="1">
      <c r="B241" s="125"/>
      <c r="D241" s="125"/>
      <c r="J241" s="124"/>
      <c r="AA241" s="74"/>
      <c r="AE241" s="124"/>
      <c r="AI241" s="74"/>
      <c r="AM241" s="74"/>
      <c r="AQ241" s="74"/>
    </row>
    <row r="242" spans="2:43" s="123" customFormat="1">
      <c r="B242" s="125"/>
      <c r="D242" s="125"/>
      <c r="J242" s="124"/>
      <c r="AA242" s="74"/>
      <c r="AE242" s="124"/>
      <c r="AI242" s="74"/>
      <c r="AM242" s="74"/>
      <c r="AQ242" s="74"/>
    </row>
    <row r="243" spans="2:43" s="123" customFormat="1">
      <c r="B243" s="125"/>
      <c r="D243" s="125"/>
      <c r="J243" s="124"/>
      <c r="AA243" s="74"/>
      <c r="AE243" s="124"/>
      <c r="AI243" s="74"/>
      <c r="AM243" s="74"/>
      <c r="AQ243" s="74"/>
    </row>
    <row r="244" spans="2:43" s="123" customFormat="1">
      <c r="B244" s="125"/>
      <c r="D244" s="125"/>
      <c r="J244" s="124"/>
      <c r="AA244" s="74"/>
      <c r="AE244" s="124"/>
      <c r="AI244" s="74"/>
      <c r="AM244" s="74"/>
      <c r="AQ244" s="74"/>
    </row>
    <row r="245" spans="2:43" s="123" customFormat="1">
      <c r="B245" s="125"/>
      <c r="D245" s="125"/>
      <c r="J245" s="124"/>
      <c r="AA245" s="74"/>
      <c r="AE245" s="124"/>
      <c r="AI245" s="74"/>
      <c r="AM245" s="74"/>
      <c r="AQ245" s="74"/>
    </row>
    <row r="246" spans="2:43" s="123" customFormat="1">
      <c r="B246" s="125"/>
      <c r="D246" s="125"/>
      <c r="J246" s="124"/>
      <c r="AA246" s="74"/>
      <c r="AE246" s="124"/>
      <c r="AI246" s="74"/>
      <c r="AM246" s="74"/>
      <c r="AQ246" s="74"/>
    </row>
    <row r="247" spans="2:43" s="123" customFormat="1">
      <c r="B247" s="125"/>
      <c r="D247" s="125"/>
      <c r="J247" s="124"/>
      <c r="AA247" s="74"/>
      <c r="AE247" s="124"/>
      <c r="AI247" s="74"/>
      <c r="AM247" s="74"/>
      <c r="AQ247" s="74"/>
    </row>
    <row r="248" spans="2:43" s="123" customFormat="1">
      <c r="B248" s="125"/>
      <c r="D248" s="125"/>
      <c r="J248" s="124"/>
      <c r="AA248" s="74"/>
      <c r="AE248" s="124"/>
      <c r="AI248" s="74"/>
      <c r="AM248" s="74"/>
      <c r="AQ248" s="74"/>
    </row>
    <row r="249" spans="2:43" s="123" customFormat="1">
      <c r="B249" s="125"/>
      <c r="D249" s="125"/>
      <c r="J249" s="124"/>
      <c r="AA249" s="74"/>
      <c r="AE249" s="124"/>
      <c r="AI249" s="74"/>
      <c r="AM249" s="74"/>
      <c r="AQ249" s="74"/>
    </row>
    <row r="250" spans="2:43" s="123" customFormat="1">
      <c r="B250" s="125"/>
      <c r="D250" s="125"/>
      <c r="J250" s="124"/>
      <c r="AA250" s="74"/>
      <c r="AE250" s="124"/>
      <c r="AI250" s="74"/>
      <c r="AM250" s="74"/>
      <c r="AQ250" s="74"/>
    </row>
    <row r="251" spans="2:43" s="123" customFormat="1">
      <c r="B251" s="125"/>
      <c r="D251" s="125"/>
      <c r="J251" s="124"/>
      <c r="AA251" s="74"/>
      <c r="AE251" s="124"/>
      <c r="AI251" s="74"/>
      <c r="AM251" s="74"/>
      <c r="AQ251" s="74"/>
    </row>
    <row r="252" spans="2:43" s="123" customFormat="1">
      <c r="B252" s="125"/>
      <c r="D252" s="125"/>
      <c r="J252" s="124"/>
      <c r="AA252" s="74"/>
      <c r="AE252" s="124"/>
      <c r="AI252" s="74"/>
      <c r="AM252" s="74"/>
      <c r="AQ252" s="74"/>
    </row>
    <row r="253" spans="2:43" s="123" customFormat="1">
      <c r="B253" s="125"/>
      <c r="D253" s="125"/>
      <c r="J253" s="124"/>
      <c r="AA253" s="74"/>
      <c r="AE253" s="124"/>
      <c r="AI253" s="74"/>
      <c r="AM253" s="74"/>
      <c r="AQ253" s="74"/>
    </row>
    <row r="254" spans="2:43" s="123" customFormat="1">
      <c r="B254" s="125"/>
      <c r="D254" s="125"/>
      <c r="J254" s="124"/>
      <c r="AA254" s="74"/>
      <c r="AE254" s="124"/>
      <c r="AI254" s="74"/>
      <c r="AM254" s="74"/>
      <c r="AQ254" s="74"/>
    </row>
    <row r="255" spans="2:43" s="123" customFormat="1">
      <c r="B255" s="125"/>
      <c r="D255" s="125"/>
      <c r="J255" s="124"/>
      <c r="AA255" s="74"/>
      <c r="AE255" s="124"/>
      <c r="AI255" s="74"/>
      <c r="AM255" s="74"/>
      <c r="AQ255" s="74"/>
    </row>
    <row r="256" spans="2:43" s="123" customFormat="1">
      <c r="B256" s="125"/>
      <c r="D256" s="125"/>
      <c r="J256" s="124"/>
      <c r="AA256" s="74"/>
      <c r="AE256" s="124"/>
      <c r="AI256" s="74"/>
      <c r="AM256" s="74"/>
      <c r="AQ256" s="74"/>
    </row>
    <row r="257" spans="2:43" s="123" customFormat="1">
      <c r="B257" s="125"/>
      <c r="D257" s="125"/>
      <c r="J257" s="124"/>
      <c r="AA257" s="74"/>
      <c r="AE257" s="124"/>
      <c r="AI257" s="74"/>
      <c r="AM257" s="74"/>
      <c r="AQ257" s="74"/>
    </row>
    <row r="258" spans="2:43" s="123" customFormat="1">
      <c r="B258" s="125"/>
      <c r="D258" s="125"/>
      <c r="J258" s="124"/>
      <c r="AA258" s="74"/>
      <c r="AE258" s="124"/>
      <c r="AI258" s="74"/>
      <c r="AM258" s="74"/>
      <c r="AQ258" s="74"/>
    </row>
    <row r="259" spans="2:43" s="123" customFormat="1">
      <c r="B259" s="125"/>
      <c r="D259" s="125"/>
      <c r="J259" s="124"/>
      <c r="AA259" s="74"/>
      <c r="AE259" s="124"/>
      <c r="AI259" s="74"/>
      <c r="AM259" s="74"/>
      <c r="AQ259" s="74"/>
    </row>
    <row r="260" spans="2:43" s="123" customFormat="1">
      <c r="B260" s="125"/>
      <c r="D260" s="125"/>
      <c r="J260" s="124"/>
      <c r="AA260" s="74"/>
      <c r="AE260" s="124"/>
      <c r="AI260" s="74"/>
      <c r="AM260" s="74"/>
      <c r="AQ260" s="74"/>
    </row>
    <row r="261" spans="2:43" s="123" customFormat="1">
      <c r="B261" s="125"/>
      <c r="D261" s="125"/>
      <c r="J261" s="124"/>
      <c r="AA261" s="74"/>
      <c r="AE261" s="124"/>
      <c r="AI261" s="74"/>
      <c r="AM261" s="74"/>
      <c r="AQ261" s="74"/>
    </row>
    <row r="262" spans="2:43" s="123" customFormat="1">
      <c r="B262" s="125"/>
      <c r="D262" s="125"/>
      <c r="J262" s="124"/>
      <c r="AA262" s="74"/>
      <c r="AE262" s="124"/>
      <c r="AI262" s="74"/>
      <c r="AM262" s="74"/>
      <c r="AQ262" s="74"/>
    </row>
    <row r="263" spans="2:43" s="123" customFormat="1">
      <c r="B263" s="125"/>
      <c r="D263" s="125"/>
      <c r="J263" s="124"/>
      <c r="AA263" s="74"/>
      <c r="AE263" s="124"/>
      <c r="AI263" s="74"/>
      <c r="AM263" s="74"/>
      <c r="AQ263" s="74"/>
    </row>
    <row r="264" spans="2:43" s="123" customFormat="1">
      <c r="B264" s="125"/>
      <c r="D264" s="125"/>
      <c r="J264" s="124"/>
      <c r="AA264" s="74"/>
      <c r="AE264" s="124"/>
      <c r="AI264" s="74"/>
      <c r="AM264" s="74"/>
      <c r="AQ264" s="74"/>
    </row>
    <row r="265" spans="2:43" s="123" customFormat="1">
      <c r="B265" s="125"/>
      <c r="D265" s="125"/>
      <c r="J265" s="124"/>
      <c r="AA265" s="74"/>
      <c r="AE265" s="124"/>
      <c r="AI265" s="74"/>
      <c r="AM265" s="74"/>
      <c r="AQ265" s="74"/>
    </row>
    <row r="266" spans="2:43" s="123" customFormat="1">
      <c r="B266" s="125"/>
      <c r="D266" s="125"/>
      <c r="J266" s="124"/>
      <c r="AA266" s="74"/>
      <c r="AE266" s="124"/>
      <c r="AI266" s="74"/>
      <c r="AM266" s="74"/>
      <c r="AQ266" s="74"/>
    </row>
    <row r="267" spans="2:43" s="123" customFormat="1">
      <c r="B267" s="125"/>
      <c r="D267" s="125"/>
      <c r="J267" s="124"/>
      <c r="AA267" s="74"/>
      <c r="AE267" s="124"/>
      <c r="AI267" s="74"/>
      <c r="AM267" s="74"/>
      <c r="AQ267" s="74"/>
    </row>
    <row r="268" spans="2:43" s="123" customFormat="1">
      <c r="B268" s="125"/>
      <c r="D268" s="125"/>
      <c r="J268" s="124"/>
      <c r="AA268" s="74"/>
      <c r="AE268" s="124"/>
      <c r="AI268" s="74"/>
      <c r="AM268" s="74"/>
      <c r="AQ268" s="74"/>
    </row>
    <row r="269" spans="2:43" s="123" customFormat="1">
      <c r="B269" s="125"/>
      <c r="D269" s="125"/>
      <c r="J269" s="124"/>
      <c r="AA269" s="74"/>
      <c r="AE269" s="124"/>
      <c r="AI269" s="74"/>
      <c r="AM269" s="74"/>
      <c r="AQ269" s="74"/>
    </row>
    <row r="270" spans="2:43" s="123" customFormat="1">
      <c r="B270" s="125"/>
      <c r="D270" s="125"/>
      <c r="J270" s="124"/>
      <c r="AA270" s="74"/>
      <c r="AE270" s="124"/>
      <c r="AI270" s="74"/>
      <c r="AM270" s="74"/>
      <c r="AQ270" s="74"/>
    </row>
    <row r="271" spans="2:43" s="123" customFormat="1">
      <c r="B271" s="125"/>
      <c r="D271" s="125"/>
      <c r="J271" s="124"/>
      <c r="AA271" s="74"/>
      <c r="AE271" s="124"/>
      <c r="AI271" s="74"/>
      <c r="AM271" s="74"/>
      <c r="AQ271" s="74"/>
    </row>
    <row r="272" spans="2:43" s="123" customFormat="1">
      <c r="B272" s="125"/>
      <c r="D272" s="125"/>
      <c r="J272" s="124"/>
      <c r="AA272" s="74"/>
      <c r="AE272" s="124"/>
      <c r="AI272" s="74"/>
      <c r="AM272" s="74"/>
      <c r="AQ272" s="74"/>
    </row>
    <row r="273" spans="2:43" s="123" customFormat="1">
      <c r="B273" s="125"/>
      <c r="D273" s="125"/>
      <c r="J273" s="124"/>
      <c r="AA273" s="74"/>
      <c r="AE273" s="124"/>
      <c r="AI273" s="74"/>
      <c r="AM273" s="74"/>
      <c r="AQ273" s="74"/>
    </row>
    <row r="274" spans="2:43" s="123" customFormat="1">
      <c r="B274" s="125"/>
      <c r="D274" s="125"/>
      <c r="J274" s="124"/>
      <c r="AA274" s="74"/>
      <c r="AE274" s="124"/>
      <c r="AI274" s="74"/>
      <c r="AM274" s="74"/>
      <c r="AQ274" s="74"/>
    </row>
    <row r="275" spans="2:43" s="123" customFormat="1">
      <c r="B275" s="125"/>
      <c r="D275" s="125"/>
      <c r="J275" s="124"/>
      <c r="AA275" s="74"/>
      <c r="AE275" s="124"/>
      <c r="AI275" s="74"/>
      <c r="AM275" s="74"/>
      <c r="AQ275" s="74"/>
    </row>
    <row r="276" spans="2:43" s="123" customFormat="1">
      <c r="B276" s="125"/>
      <c r="D276" s="125"/>
      <c r="J276" s="124"/>
      <c r="AA276" s="74"/>
      <c r="AE276" s="124"/>
      <c r="AI276" s="74"/>
      <c r="AM276" s="74"/>
      <c r="AQ276" s="74"/>
    </row>
    <row r="277" spans="2:43" s="123" customFormat="1">
      <c r="B277" s="125"/>
      <c r="D277" s="125"/>
      <c r="J277" s="124"/>
      <c r="AA277" s="74"/>
      <c r="AE277" s="124"/>
      <c r="AI277" s="74"/>
      <c r="AM277" s="74"/>
      <c r="AQ277" s="74"/>
    </row>
    <row r="278" spans="2:43" s="123" customFormat="1">
      <c r="B278" s="125"/>
      <c r="D278" s="125"/>
      <c r="J278" s="124"/>
      <c r="AA278" s="74"/>
      <c r="AE278" s="124"/>
      <c r="AI278" s="74"/>
      <c r="AM278" s="74"/>
      <c r="AQ278" s="74"/>
    </row>
    <row r="279" spans="2:43" s="123" customFormat="1">
      <c r="B279" s="125"/>
      <c r="D279" s="125"/>
      <c r="J279" s="124"/>
      <c r="AA279" s="74"/>
      <c r="AE279" s="124"/>
      <c r="AI279" s="74"/>
      <c r="AM279" s="74"/>
      <c r="AQ279" s="74"/>
    </row>
    <row r="280" spans="2:43" s="123" customFormat="1">
      <c r="B280" s="125"/>
      <c r="D280" s="125"/>
      <c r="J280" s="124"/>
      <c r="AA280" s="74"/>
      <c r="AE280" s="124"/>
      <c r="AI280" s="74"/>
      <c r="AM280" s="74"/>
      <c r="AQ280" s="74"/>
    </row>
    <row r="281" spans="2:43" s="123" customFormat="1">
      <c r="B281" s="125"/>
      <c r="D281" s="125"/>
      <c r="J281" s="124"/>
      <c r="AA281" s="74"/>
      <c r="AE281" s="124"/>
      <c r="AI281" s="74"/>
      <c r="AM281" s="74"/>
      <c r="AQ281" s="74"/>
    </row>
    <row r="282" spans="2:43" s="123" customFormat="1">
      <c r="B282" s="125"/>
      <c r="D282" s="125"/>
      <c r="J282" s="124"/>
      <c r="AA282" s="74"/>
      <c r="AE282" s="124"/>
      <c r="AI282" s="74"/>
      <c r="AM282" s="74"/>
      <c r="AQ282" s="74"/>
    </row>
    <row r="283" spans="2:43" s="123" customFormat="1">
      <c r="B283" s="125"/>
      <c r="D283" s="125"/>
      <c r="J283" s="124"/>
      <c r="AA283" s="74"/>
      <c r="AE283" s="124"/>
      <c r="AI283" s="74"/>
      <c r="AM283" s="74"/>
      <c r="AQ283" s="74"/>
    </row>
    <row r="284" spans="2:43" s="123" customFormat="1">
      <c r="B284" s="125"/>
      <c r="D284" s="125"/>
      <c r="J284" s="124"/>
      <c r="AA284" s="74"/>
      <c r="AE284" s="124"/>
      <c r="AI284" s="74"/>
      <c r="AM284" s="74"/>
      <c r="AQ284" s="74"/>
    </row>
    <row r="285" spans="2:43" s="123" customFormat="1">
      <c r="B285" s="125"/>
      <c r="D285" s="125"/>
      <c r="J285" s="124"/>
      <c r="AA285" s="74"/>
      <c r="AE285" s="124"/>
      <c r="AI285" s="74"/>
      <c r="AM285" s="74"/>
      <c r="AQ285" s="74"/>
    </row>
    <row r="286" spans="2:43" s="123" customFormat="1">
      <c r="B286" s="125"/>
      <c r="D286" s="125"/>
      <c r="J286" s="124"/>
      <c r="AA286" s="74"/>
      <c r="AE286" s="124"/>
      <c r="AI286" s="74"/>
      <c r="AM286" s="74"/>
      <c r="AQ286" s="74"/>
    </row>
    <row r="287" spans="2:43" s="123" customFormat="1">
      <c r="B287" s="125"/>
      <c r="D287" s="125"/>
      <c r="J287" s="124"/>
      <c r="AA287" s="74"/>
      <c r="AE287" s="124"/>
      <c r="AI287" s="74"/>
      <c r="AM287" s="74"/>
      <c r="AQ287" s="74"/>
    </row>
    <row r="288" spans="2:43" s="123" customFormat="1">
      <c r="B288" s="125"/>
      <c r="D288" s="125"/>
      <c r="J288" s="124"/>
      <c r="AA288" s="74"/>
      <c r="AE288" s="124"/>
      <c r="AI288" s="74"/>
      <c r="AM288" s="74"/>
      <c r="AQ288" s="74"/>
    </row>
    <row r="289" spans="2:43" s="123" customFormat="1">
      <c r="B289" s="125"/>
      <c r="D289" s="125"/>
      <c r="J289" s="124"/>
      <c r="AA289" s="74"/>
      <c r="AE289" s="124"/>
      <c r="AI289" s="74"/>
      <c r="AM289" s="74"/>
      <c r="AQ289" s="74"/>
    </row>
    <row r="290" spans="2:43" s="123" customFormat="1">
      <c r="B290" s="125"/>
      <c r="D290" s="125"/>
      <c r="J290" s="124"/>
      <c r="AA290" s="74"/>
      <c r="AE290" s="124"/>
      <c r="AI290" s="74"/>
      <c r="AM290" s="74"/>
      <c r="AQ290" s="74"/>
    </row>
    <row r="291" spans="2:43" s="123" customFormat="1">
      <c r="B291" s="125"/>
      <c r="D291" s="125"/>
      <c r="J291" s="124"/>
      <c r="AA291" s="74"/>
      <c r="AE291" s="124"/>
      <c r="AI291" s="74"/>
      <c r="AM291" s="74"/>
      <c r="AQ291" s="74"/>
    </row>
    <row r="292" spans="2:43" s="123" customFormat="1">
      <c r="B292" s="125"/>
      <c r="D292" s="125"/>
      <c r="J292" s="124"/>
      <c r="AA292" s="74"/>
      <c r="AE292" s="124"/>
      <c r="AI292" s="74"/>
      <c r="AM292" s="74"/>
      <c r="AQ292" s="74"/>
    </row>
    <row r="293" spans="2:43" s="123" customFormat="1">
      <c r="B293" s="125"/>
      <c r="D293" s="125"/>
      <c r="J293" s="124"/>
      <c r="AA293" s="74"/>
      <c r="AE293" s="124"/>
      <c r="AI293" s="74"/>
      <c r="AM293" s="74"/>
      <c r="AQ293" s="74"/>
    </row>
    <row r="294" spans="2:43" s="123" customFormat="1">
      <c r="B294" s="125"/>
      <c r="D294" s="125"/>
      <c r="J294" s="124"/>
      <c r="AA294" s="74"/>
      <c r="AE294" s="124"/>
      <c r="AI294" s="74"/>
      <c r="AM294" s="74"/>
      <c r="AQ294" s="74"/>
    </row>
    <row r="295" spans="2:43" s="123" customFormat="1">
      <c r="B295" s="125"/>
      <c r="D295" s="125"/>
      <c r="J295" s="124"/>
      <c r="AA295" s="74"/>
      <c r="AE295" s="124"/>
      <c r="AI295" s="74"/>
      <c r="AM295" s="74"/>
      <c r="AQ295" s="74"/>
    </row>
    <row r="296" spans="2:43" s="123" customFormat="1">
      <c r="B296" s="125"/>
      <c r="D296" s="125"/>
      <c r="J296" s="124"/>
      <c r="AA296" s="74"/>
      <c r="AE296" s="124"/>
      <c r="AI296" s="74"/>
      <c r="AM296" s="74"/>
      <c r="AQ296" s="74"/>
    </row>
    <row r="297" spans="2:43" s="123" customFormat="1">
      <c r="B297" s="125"/>
      <c r="D297" s="125"/>
      <c r="J297" s="124"/>
      <c r="AA297" s="74"/>
      <c r="AE297" s="124"/>
      <c r="AI297" s="74"/>
      <c r="AM297" s="74"/>
      <c r="AQ297" s="74"/>
    </row>
    <row r="298" spans="2:43" s="123" customFormat="1">
      <c r="B298" s="125"/>
      <c r="D298" s="125"/>
      <c r="J298" s="124"/>
      <c r="AA298" s="74"/>
      <c r="AE298" s="124"/>
      <c r="AI298" s="74"/>
      <c r="AM298" s="74"/>
      <c r="AQ298" s="74"/>
    </row>
    <row r="299" spans="2:43" s="123" customFormat="1">
      <c r="B299" s="125"/>
      <c r="D299" s="125"/>
      <c r="J299" s="124"/>
      <c r="AA299" s="74"/>
      <c r="AE299" s="124"/>
      <c r="AI299" s="74"/>
      <c r="AM299" s="74"/>
      <c r="AQ299" s="74"/>
    </row>
    <row r="300" spans="2:43" s="123" customFormat="1">
      <c r="B300" s="125"/>
      <c r="D300" s="125"/>
      <c r="J300" s="124"/>
      <c r="AA300" s="74"/>
      <c r="AE300" s="124"/>
      <c r="AI300" s="74"/>
      <c r="AM300" s="74"/>
      <c r="AQ300" s="74"/>
    </row>
    <row r="301" spans="2:43" s="123" customFormat="1">
      <c r="B301" s="125"/>
      <c r="D301" s="125"/>
      <c r="J301" s="124"/>
      <c r="AA301" s="74"/>
      <c r="AE301" s="124"/>
      <c r="AI301" s="74"/>
      <c r="AM301" s="74"/>
      <c r="AQ301" s="74"/>
    </row>
    <row r="302" spans="2:43" s="123" customFormat="1">
      <c r="B302" s="125"/>
      <c r="D302" s="125"/>
      <c r="J302" s="124"/>
      <c r="AA302" s="74"/>
      <c r="AE302" s="124"/>
      <c r="AI302" s="74"/>
      <c r="AM302" s="74"/>
      <c r="AQ302" s="74"/>
    </row>
    <row r="303" spans="2:43" s="123" customFormat="1">
      <c r="B303" s="125"/>
      <c r="D303" s="125"/>
      <c r="J303" s="124"/>
      <c r="AA303" s="74"/>
      <c r="AE303" s="124"/>
      <c r="AI303" s="74"/>
      <c r="AM303" s="74"/>
      <c r="AQ303" s="74"/>
    </row>
    <row r="304" spans="2:43" s="123" customFormat="1">
      <c r="B304" s="125"/>
      <c r="D304" s="125"/>
      <c r="J304" s="124"/>
      <c r="AA304" s="74"/>
      <c r="AE304" s="124"/>
      <c r="AI304" s="74"/>
      <c r="AM304" s="74"/>
      <c r="AQ304" s="74"/>
    </row>
    <row r="305" spans="2:43" s="123" customFormat="1">
      <c r="B305" s="125"/>
      <c r="D305" s="125"/>
      <c r="J305" s="124"/>
      <c r="AA305" s="74"/>
      <c r="AE305" s="124"/>
      <c r="AI305" s="74"/>
      <c r="AM305" s="74"/>
      <c r="AQ305" s="74"/>
    </row>
    <row r="306" spans="2:43" s="123" customFormat="1">
      <c r="B306" s="125"/>
      <c r="D306" s="125"/>
      <c r="J306" s="124"/>
      <c r="AA306" s="74"/>
      <c r="AE306" s="124"/>
      <c r="AI306" s="74"/>
      <c r="AM306" s="74"/>
      <c r="AQ306" s="74"/>
    </row>
    <row r="307" spans="2:43" s="123" customFormat="1">
      <c r="B307" s="125"/>
      <c r="D307" s="125"/>
      <c r="J307" s="124"/>
      <c r="AA307" s="74"/>
      <c r="AE307" s="124"/>
      <c r="AI307" s="74"/>
      <c r="AM307" s="74"/>
      <c r="AQ307" s="74"/>
    </row>
    <row r="308" spans="2:43" s="123" customFormat="1">
      <c r="B308" s="125"/>
      <c r="D308" s="125"/>
      <c r="J308" s="124"/>
      <c r="AA308" s="74"/>
      <c r="AE308" s="124"/>
      <c r="AI308" s="74"/>
      <c r="AM308" s="74"/>
      <c r="AQ308" s="74"/>
    </row>
    <row r="309" spans="2:43" s="123" customFormat="1">
      <c r="B309" s="125"/>
      <c r="D309" s="125"/>
      <c r="J309" s="124"/>
      <c r="AA309" s="74"/>
      <c r="AE309" s="124"/>
      <c r="AI309" s="74"/>
      <c r="AM309" s="74"/>
      <c r="AQ309" s="74"/>
    </row>
    <row r="310" spans="2:43" s="123" customFormat="1">
      <c r="B310" s="125"/>
      <c r="D310" s="125"/>
      <c r="J310" s="124"/>
      <c r="AA310" s="74"/>
      <c r="AE310" s="124"/>
      <c r="AI310" s="74"/>
      <c r="AM310" s="74"/>
      <c r="AQ310" s="74"/>
    </row>
    <row r="311" spans="2:43" s="123" customFormat="1">
      <c r="B311" s="125"/>
      <c r="D311" s="125"/>
      <c r="J311" s="124"/>
      <c r="AA311" s="74"/>
      <c r="AE311" s="124"/>
      <c r="AI311" s="74"/>
      <c r="AM311" s="74"/>
      <c r="AQ311" s="74"/>
    </row>
    <row r="312" spans="2:43" s="123" customFormat="1">
      <c r="B312" s="125"/>
      <c r="D312" s="125"/>
      <c r="J312" s="124"/>
      <c r="AA312" s="74"/>
      <c r="AE312" s="124"/>
      <c r="AI312" s="74"/>
      <c r="AM312" s="74"/>
      <c r="AQ312" s="74"/>
    </row>
    <row r="313" spans="2:43" s="123" customFormat="1">
      <c r="B313" s="125"/>
      <c r="D313" s="125"/>
      <c r="J313" s="124"/>
      <c r="AA313" s="74"/>
      <c r="AE313" s="124"/>
      <c r="AI313" s="74"/>
      <c r="AM313" s="74"/>
      <c r="AQ313" s="74"/>
    </row>
    <row r="314" spans="2:43" s="123" customFormat="1">
      <c r="B314" s="125"/>
      <c r="D314" s="125"/>
      <c r="J314" s="124"/>
      <c r="AA314" s="74"/>
      <c r="AE314" s="124"/>
      <c r="AI314" s="74"/>
      <c r="AM314" s="74"/>
      <c r="AQ314" s="74"/>
    </row>
    <row r="315" spans="2:43" s="123" customFormat="1">
      <c r="B315" s="125"/>
      <c r="D315" s="125"/>
      <c r="J315" s="124"/>
      <c r="AA315" s="74"/>
      <c r="AE315" s="124"/>
      <c r="AI315" s="74"/>
      <c r="AM315" s="74"/>
      <c r="AQ315" s="74"/>
    </row>
    <row r="316" spans="2:43" s="123" customFormat="1">
      <c r="B316" s="125"/>
      <c r="D316" s="125"/>
      <c r="J316" s="124"/>
      <c r="AA316" s="74"/>
      <c r="AE316" s="124"/>
      <c r="AI316" s="74"/>
      <c r="AM316" s="74"/>
      <c r="AQ316" s="74"/>
    </row>
    <row r="317" spans="2:43" s="123" customFormat="1">
      <c r="B317" s="125"/>
      <c r="D317" s="125"/>
      <c r="J317" s="124"/>
      <c r="AA317" s="74"/>
      <c r="AE317" s="124"/>
      <c r="AI317" s="74"/>
      <c r="AM317" s="74"/>
      <c r="AQ317" s="74"/>
    </row>
    <row r="318" spans="2:43" s="123" customFormat="1">
      <c r="B318" s="125"/>
      <c r="D318" s="125"/>
      <c r="J318" s="124"/>
      <c r="AA318" s="74"/>
      <c r="AE318" s="124"/>
      <c r="AI318" s="74"/>
      <c r="AM318" s="74"/>
      <c r="AQ318" s="74"/>
    </row>
    <row r="319" spans="2:43" s="123" customFormat="1">
      <c r="B319" s="125"/>
      <c r="D319" s="125"/>
      <c r="J319" s="124"/>
      <c r="AA319" s="74"/>
      <c r="AE319" s="124"/>
      <c r="AI319" s="74"/>
      <c r="AM319" s="74"/>
      <c r="AQ319" s="74"/>
    </row>
    <row r="320" spans="2:43" s="123" customFormat="1">
      <c r="B320" s="125"/>
      <c r="D320" s="125"/>
      <c r="J320" s="124"/>
      <c r="AA320" s="74"/>
      <c r="AE320" s="124"/>
      <c r="AI320" s="74"/>
      <c r="AM320" s="74"/>
      <c r="AQ320" s="74"/>
    </row>
    <row r="321" spans="2:43" s="123" customFormat="1">
      <c r="B321" s="125"/>
      <c r="D321" s="125"/>
      <c r="J321" s="124"/>
      <c r="AA321" s="74"/>
      <c r="AE321" s="124"/>
      <c r="AI321" s="74"/>
      <c r="AM321" s="74"/>
      <c r="AQ321" s="74"/>
    </row>
    <row r="322" spans="2:43" s="123" customFormat="1">
      <c r="B322" s="125"/>
      <c r="D322" s="125"/>
      <c r="J322" s="124"/>
      <c r="AA322" s="74"/>
      <c r="AE322" s="124"/>
      <c r="AI322" s="74"/>
      <c r="AM322" s="74"/>
      <c r="AQ322" s="74"/>
    </row>
    <row r="323" spans="2:43" s="123" customFormat="1">
      <c r="B323" s="125"/>
      <c r="D323" s="125"/>
      <c r="J323" s="124"/>
      <c r="AA323" s="74"/>
      <c r="AE323" s="124"/>
      <c r="AI323" s="74"/>
      <c r="AM323" s="74"/>
      <c r="AQ323" s="74"/>
    </row>
    <row r="324" spans="2:43" s="123" customFormat="1">
      <c r="B324" s="125"/>
      <c r="D324" s="125"/>
      <c r="J324" s="124"/>
      <c r="AA324" s="74"/>
      <c r="AE324" s="124"/>
      <c r="AI324" s="74"/>
      <c r="AM324" s="74"/>
      <c r="AQ324" s="74"/>
    </row>
    <row r="325" spans="2:43" s="123" customFormat="1">
      <c r="B325" s="125"/>
      <c r="D325" s="125"/>
      <c r="J325" s="124"/>
      <c r="AA325" s="74"/>
      <c r="AE325" s="124"/>
      <c r="AI325" s="74"/>
      <c r="AM325" s="74"/>
      <c r="AQ325" s="74"/>
    </row>
    <row r="326" spans="2:43" s="123" customFormat="1">
      <c r="B326" s="125"/>
      <c r="D326" s="125"/>
      <c r="J326" s="124"/>
      <c r="AA326" s="74"/>
      <c r="AE326" s="124"/>
      <c r="AI326" s="74"/>
      <c r="AM326" s="74"/>
      <c r="AQ326" s="74"/>
    </row>
    <row r="327" spans="2:43" s="123" customFormat="1">
      <c r="B327" s="125"/>
      <c r="D327" s="125"/>
      <c r="J327" s="124"/>
      <c r="AA327" s="74"/>
      <c r="AE327" s="124"/>
      <c r="AI327" s="74"/>
      <c r="AM327" s="74"/>
      <c r="AQ327" s="74"/>
    </row>
    <row r="328" spans="2:43" s="123" customFormat="1">
      <c r="B328" s="125"/>
      <c r="D328" s="125"/>
      <c r="J328" s="124"/>
      <c r="AA328" s="74"/>
      <c r="AE328" s="124"/>
      <c r="AI328" s="74"/>
      <c r="AM328" s="74"/>
      <c r="AQ328" s="74"/>
    </row>
    <row r="329" spans="2:43" s="123" customFormat="1">
      <c r="B329" s="125"/>
      <c r="D329" s="125"/>
      <c r="J329" s="124"/>
      <c r="AA329" s="74"/>
      <c r="AE329" s="124"/>
      <c r="AI329" s="74"/>
      <c r="AM329" s="74"/>
      <c r="AQ329" s="74"/>
    </row>
    <row r="330" spans="2:43" s="123" customFormat="1">
      <c r="B330" s="125"/>
      <c r="D330" s="125"/>
      <c r="J330" s="124"/>
      <c r="AA330" s="74"/>
      <c r="AE330" s="124"/>
      <c r="AI330" s="74"/>
      <c r="AM330" s="74"/>
      <c r="AQ330" s="74"/>
    </row>
    <row r="331" spans="2:43" s="123" customFormat="1">
      <c r="B331" s="125"/>
      <c r="D331" s="125"/>
      <c r="J331" s="124"/>
      <c r="AA331" s="74"/>
      <c r="AE331" s="124"/>
      <c r="AI331" s="74"/>
      <c r="AM331" s="74"/>
      <c r="AQ331" s="74"/>
    </row>
    <row r="332" spans="2:43" s="123" customFormat="1">
      <c r="B332" s="125"/>
      <c r="D332" s="125"/>
      <c r="J332" s="124"/>
      <c r="AA332" s="74"/>
      <c r="AE332" s="124"/>
      <c r="AI332" s="74"/>
      <c r="AM332" s="74"/>
      <c r="AQ332" s="74"/>
    </row>
    <row r="333" spans="2:43" s="123" customFormat="1">
      <c r="B333" s="125"/>
      <c r="D333" s="125"/>
      <c r="J333" s="124"/>
      <c r="AA333" s="74"/>
      <c r="AE333" s="124"/>
      <c r="AI333" s="74"/>
      <c r="AM333" s="74"/>
      <c r="AQ333" s="74"/>
    </row>
    <row r="334" spans="2:43" s="123" customFormat="1">
      <c r="B334" s="125"/>
      <c r="D334" s="125"/>
      <c r="J334" s="124"/>
      <c r="AA334" s="74"/>
      <c r="AE334" s="124"/>
      <c r="AI334" s="74"/>
      <c r="AM334" s="74"/>
      <c r="AQ334" s="74"/>
    </row>
    <row r="335" spans="2:43" s="123" customFormat="1">
      <c r="B335" s="125"/>
      <c r="D335" s="125"/>
      <c r="J335" s="124"/>
      <c r="AA335" s="74"/>
      <c r="AE335" s="124"/>
      <c r="AI335" s="74"/>
      <c r="AM335" s="74"/>
      <c r="AQ335" s="74"/>
    </row>
    <row r="336" spans="2:43" s="123" customFormat="1">
      <c r="B336" s="125"/>
      <c r="D336" s="125"/>
      <c r="J336" s="124"/>
      <c r="AA336" s="74"/>
      <c r="AE336" s="124"/>
      <c r="AI336" s="74"/>
      <c r="AM336" s="74"/>
      <c r="AQ336" s="74"/>
    </row>
    <row r="337" spans="2:43" s="123" customFormat="1">
      <c r="B337" s="125"/>
      <c r="D337" s="125"/>
      <c r="J337" s="124"/>
      <c r="AA337" s="74"/>
      <c r="AE337" s="124"/>
      <c r="AI337" s="74"/>
      <c r="AM337" s="74"/>
      <c r="AQ337" s="74"/>
    </row>
    <row r="338" spans="2:43" s="123" customFormat="1">
      <c r="B338" s="125"/>
      <c r="D338" s="125"/>
      <c r="J338" s="124"/>
      <c r="AA338" s="74"/>
      <c r="AE338" s="124"/>
      <c r="AI338" s="74"/>
      <c r="AM338" s="74"/>
      <c r="AQ338" s="74"/>
    </row>
    <row r="339" spans="2:43" s="123" customFormat="1">
      <c r="B339" s="125"/>
      <c r="D339" s="125"/>
      <c r="J339" s="124"/>
      <c r="AA339" s="74"/>
      <c r="AE339" s="124"/>
      <c r="AI339" s="74"/>
      <c r="AM339" s="74"/>
      <c r="AQ339" s="74"/>
    </row>
    <row r="340" spans="2:43" s="123" customFormat="1">
      <c r="B340" s="125"/>
      <c r="D340" s="125"/>
      <c r="J340" s="124"/>
      <c r="AA340" s="74"/>
      <c r="AE340" s="124"/>
      <c r="AI340" s="74"/>
      <c r="AM340" s="74"/>
      <c r="AQ340" s="74"/>
    </row>
    <row r="341" spans="2:43" s="123" customFormat="1">
      <c r="B341" s="125"/>
      <c r="D341" s="125"/>
      <c r="J341" s="124"/>
      <c r="AA341" s="74"/>
      <c r="AE341" s="124"/>
      <c r="AI341" s="74"/>
      <c r="AM341" s="74"/>
      <c r="AQ341" s="74"/>
    </row>
    <row r="342" spans="2:43" s="123" customFormat="1">
      <c r="B342" s="125"/>
      <c r="D342" s="125"/>
      <c r="J342" s="124"/>
      <c r="AA342" s="74"/>
      <c r="AE342" s="124"/>
      <c r="AI342" s="74"/>
      <c r="AM342" s="74"/>
      <c r="AQ342" s="74"/>
    </row>
    <row r="343" spans="2:43" s="123" customFormat="1">
      <c r="B343" s="125"/>
      <c r="D343" s="125"/>
      <c r="J343" s="124"/>
      <c r="AA343" s="74"/>
      <c r="AE343" s="124"/>
      <c r="AI343" s="74"/>
      <c r="AM343" s="74"/>
      <c r="AQ343" s="74"/>
    </row>
    <row r="344" spans="2:43" s="123" customFormat="1">
      <c r="B344" s="125"/>
      <c r="D344" s="125"/>
      <c r="J344" s="124"/>
      <c r="AA344" s="74"/>
      <c r="AE344" s="124"/>
      <c r="AI344" s="74"/>
      <c r="AM344" s="74"/>
      <c r="AQ344" s="74"/>
    </row>
    <row r="345" spans="2:43" s="123" customFormat="1">
      <c r="B345" s="125"/>
      <c r="D345" s="125"/>
      <c r="J345" s="124"/>
      <c r="AA345" s="74"/>
      <c r="AE345" s="124"/>
      <c r="AI345" s="74"/>
      <c r="AM345" s="74"/>
      <c r="AQ345" s="74"/>
    </row>
    <row r="346" spans="2:43" s="123" customFormat="1">
      <c r="B346" s="125"/>
      <c r="D346" s="125"/>
      <c r="J346" s="124"/>
      <c r="AA346" s="74"/>
      <c r="AE346" s="124"/>
      <c r="AI346" s="74"/>
      <c r="AM346" s="74"/>
      <c r="AQ346" s="74"/>
    </row>
    <row r="347" spans="2:43" s="123" customFormat="1">
      <c r="B347" s="125"/>
      <c r="D347" s="125"/>
      <c r="J347" s="124"/>
      <c r="AA347" s="74"/>
      <c r="AE347" s="124"/>
      <c r="AI347" s="74"/>
      <c r="AM347" s="74"/>
      <c r="AQ347" s="74"/>
    </row>
    <row r="348" spans="2:43" s="123" customFormat="1">
      <c r="B348" s="125"/>
      <c r="D348" s="125"/>
      <c r="J348" s="124"/>
      <c r="AA348" s="74"/>
      <c r="AE348" s="124"/>
      <c r="AI348" s="74"/>
      <c r="AM348" s="74"/>
      <c r="AQ348" s="74"/>
    </row>
    <row r="349" spans="2:43" s="123" customFormat="1">
      <c r="B349" s="125"/>
      <c r="D349" s="125"/>
      <c r="J349" s="124"/>
      <c r="AA349" s="74"/>
      <c r="AE349" s="124"/>
      <c r="AI349" s="74"/>
      <c r="AM349" s="74"/>
      <c r="AQ349" s="74"/>
    </row>
    <row r="350" spans="2:43" s="123" customFormat="1">
      <c r="B350" s="125"/>
      <c r="D350" s="125"/>
      <c r="J350" s="124"/>
      <c r="AA350" s="74"/>
      <c r="AE350" s="124"/>
      <c r="AI350" s="74"/>
      <c r="AM350" s="74"/>
      <c r="AQ350" s="74"/>
    </row>
    <row r="351" spans="2:43" s="123" customFormat="1">
      <c r="B351" s="125"/>
      <c r="D351" s="125"/>
      <c r="J351" s="124"/>
      <c r="AA351" s="74"/>
      <c r="AE351" s="124"/>
      <c r="AI351" s="74"/>
      <c r="AM351" s="74"/>
      <c r="AQ351" s="74"/>
    </row>
    <row r="352" spans="2:43" s="123" customFormat="1">
      <c r="B352" s="125"/>
      <c r="D352" s="125"/>
      <c r="J352" s="124"/>
      <c r="AA352" s="74"/>
      <c r="AE352" s="124"/>
      <c r="AI352" s="74"/>
      <c r="AM352" s="74"/>
      <c r="AQ352" s="74"/>
    </row>
    <row r="353" spans="2:43" s="123" customFormat="1">
      <c r="B353" s="125"/>
      <c r="D353" s="125"/>
      <c r="J353" s="124"/>
      <c r="AA353" s="74"/>
      <c r="AE353" s="124"/>
      <c r="AI353" s="74"/>
      <c r="AM353" s="74"/>
      <c r="AQ353" s="74"/>
    </row>
    <row r="354" spans="2:43" s="123" customFormat="1">
      <c r="B354" s="125"/>
      <c r="D354" s="125"/>
      <c r="J354" s="124"/>
      <c r="AA354" s="74"/>
      <c r="AE354" s="124"/>
      <c r="AI354" s="74"/>
      <c r="AM354" s="74"/>
      <c r="AQ354" s="74"/>
    </row>
    <row r="355" spans="2:43" s="123" customFormat="1">
      <c r="B355" s="125"/>
      <c r="D355" s="125"/>
      <c r="J355" s="124"/>
      <c r="AA355" s="74"/>
      <c r="AE355" s="124"/>
      <c r="AI355" s="74"/>
      <c r="AM355" s="74"/>
      <c r="AQ355" s="74"/>
    </row>
    <row r="356" spans="2:43" s="123" customFormat="1">
      <c r="B356" s="125"/>
      <c r="D356" s="125"/>
      <c r="J356" s="124"/>
      <c r="AA356" s="74"/>
      <c r="AE356" s="124"/>
      <c r="AI356" s="74"/>
      <c r="AM356" s="74"/>
      <c r="AQ356" s="74"/>
    </row>
    <row r="357" spans="2:43" s="123" customFormat="1">
      <c r="B357" s="125"/>
      <c r="D357" s="125"/>
      <c r="J357" s="124"/>
      <c r="AA357" s="74"/>
      <c r="AE357" s="124"/>
      <c r="AI357" s="74"/>
      <c r="AM357" s="74"/>
      <c r="AQ357" s="74"/>
    </row>
    <row r="358" spans="2:43" s="123" customFormat="1">
      <c r="B358" s="125"/>
      <c r="D358" s="125"/>
      <c r="J358" s="124"/>
      <c r="AA358" s="74"/>
      <c r="AE358" s="124"/>
      <c r="AI358" s="74"/>
      <c r="AM358" s="74"/>
      <c r="AQ358" s="74"/>
    </row>
    <row r="359" spans="2:43" s="123" customFormat="1">
      <c r="B359" s="125"/>
      <c r="D359" s="125"/>
      <c r="J359" s="124"/>
      <c r="AA359" s="74"/>
      <c r="AE359" s="124"/>
      <c r="AI359" s="74"/>
      <c r="AM359" s="74"/>
      <c r="AQ359" s="74"/>
    </row>
    <row r="360" spans="2:43" s="123" customFormat="1">
      <c r="B360" s="125"/>
      <c r="D360" s="125"/>
      <c r="J360" s="124"/>
      <c r="AA360" s="74"/>
      <c r="AE360" s="124"/>
      <c r="AI360" s="74"/>
      <c r="AM360" s="74"/>
      <c r="AQ360" s="74"/>
    </row>
    <row r="361" spans="2:43" s="123" customFormat="1">
      <c r="B361" s="125"/>
      <c r="D361" s="125"/>
      <c r="J361" s="124"/>
      <c r="AA361" s="74"/>
      <c r="AE361" s="124"/>
      <c r="AI361" s="74"/>
      <c r="AM361" s="74"/>
      <c r="AQ361" s="74"/>
    </row>
    <row r="362" spans="2:43" s="123" customFormat="1">
      <c r="B362" s="125"/>
      <c r="D362" s="125"/>
      <c r="J362" s="124"/>
      <c r="AA362" s="74"/>
      <c r="AE362" s="124"/>
      <c r="AI362" s="74"/>
      <c r="AM362" s="74"/>
      <c r="AQ362" s="74"/>
    </row>
    <row r="363" spans="2:43" s="123" customFormat="1">
      <c r="B363" s="125"/>
      <c r="D363" s="125"/>
      <c r="J363" s="124"/>
      <c r="AA363" s="74"/>
      <c r="AE363" s="124"/>
      <c r="AI363" s="74"/>
      <c r="AM363" s="74"/>
      <c r="AQ363" s="74"/>
    </row>
    <row r="364" spans="2:43" s="123" customFormat="1">
      <c r="B364" s="125"/>
      <c r="D364" s="125"/>
      <c r="J364" s="124"/>
      <c r="AA364" s="74"/>
      <c r="AE364" s="124"/>
      <c r="AI364" s="74"/>
      <c r="AM364" s="74"/>
      <c r="AQ364" s="74"/>
    </row>
    <row r="365" spans="2:43" s="123" customFormat="1">
      <c r="B365" s="125"/>
      <c r="D365" s="125"/>
      <c r="J365" s="124"/>
      <c r="AA365" s="74"/>
      <c r="AE365" s="124"/>
      <c r="AI365" s="74"/>
      <c r="AM365" s="74"/>
      <c r="AQ365" s="74"/>
    </row>
    <row r="366" spans="2:43" s="123" customFormat="1">
      <c r="B366" s="125"/>
      <c r="D366" s="125"/>
      <c r="J366" s="124"/>
      <c r="AA366" s="74"/>
      <c r="AE366" s="124"/>
      <c r="AI366" s="74"/>
      <c r="AM366" s="74"/>
      <c r="AQ366" s="74"/>
    </row>
    <row r="367" spans="2:43" s="123" customFormat="1">
      <c r="B367" s="125"/>
      <c r="D367" s="125"/>
      <c r="J367" s="124"/>
      <c r="AA367" s="74"/>
      <c r="AE367" s="124"/>
      <c r="AI367" s="74"/>
      <c r="AM367" s="74"/>
      <c r="AQ367" s="74"/>
    </row>
    <row r="368" spans="2:43" s="123" customFormat="1">
      <c r="B368" s="125"/>
      <c r="D368" s="125"/>
      <c r="J368" s="124"/>
      <c r="AA368" s="74"/>
      <c r="AE368" s="124"/>
      <c r="AI368" s="74"/>
      <c r="AM368" s="74"/>
      <c r="AQ368" s="74"/>
    </row>
    <row r="369" spans="2:43" s="123" customFormat="1">
      <c r="B369" s="125"/>
      <c r="D369" s="125"/>
      <c r="J369" s="124"/>
      <c r="AA369" s="74"/>
      <c r="AE369" s="124"/>
      <c r="AI369" s="74"/>
      <c r="AM369" s="74"/>
      <c r="AQ369" s="74"/>
    </row>
    <row r="370" spans="2:43" s="123" customFormat="1">
      <c r="B370" s="125"/>
      <c r="D370" s="125"/>
      <c r="J370" s="124"/>
      <c r="AA370" s="74"/>
      <c r="AE370" s="124"/>
      <c r="AI370" s="74"/>
      <c r="AM370" s="74"/>
      <c r="AQ370" s="74"/>
    </row>
    <row r="371" spans="2:43" s="123" customFormat="1">
      <c r="B371" s="125"/>
      <c r="D371" s="125"/>
      <c r="J371" s="124"/>
      <c r="AA371" s="74"/>
      <c r="AE371" s="124"/>
      <c r="AI371" s="74"/>
      <c r="AM371" s="74"/>
      <c r="AQ371" s="74"/>
    </row>
    <row r="372" spans="2:43" s="123" customFormat="1">
      <c r="B372" s="125"/>
      <c r="D372" s="125"/>
      <c r="J372" s="124"/>
      <c r="AA372" s="74"/>
      <c r="AE372" s="124"/>
      <c r="AI372" s="74"/>
      <c r="AM372" s="74"/>
      <c r="AQ372" s="74"/>
    </row>
    <row r="373" spans="2:43" s="123" customFormat="1">
      <c r="B373" s="125"/>
      <c r="D373" s="125"/>
      <c r="J373" s="124"/>
      <c r="AA373" s="74"/>
      <c r="AE373" s="124"/>
      <c r="AI373" s="74"/>
      <c r="AM373" s="74"/>
      <c r="AQ373" s="74"/>
    </row>
    <row r="374" spans="2:43" s="123" customFormat="1">
      <c r="B374" s="125"/>
      <c r="D374" s="125"/>
      <c r="J374" s="124"/>
      <c r="AA374" s="74"/>
      <c r="AE374" s="124"/>
      <c r="AI374" s="74"/>
      <c r="AM374" s="74"/>
      <c r="AQ374" s="74"/>
    </row>
    <row r="375" spans="2:43" s="123" customFormat="1">
      <c r="B375" s="125"/>
      <c r="D375" s="125"/>
      <c r="J375" s="124"/>
      <c r="AA375" s="74"/>
      <c r="AE375" s="124"/>
      <c r="AI375" s="74"/>
      <c r="AM375" s="74"/>
      <c r="AQ375" s="74"/>
    </row>
    <row r="376" spans="2:43" s="123" customFormat="1">
      <c r="B376" s="125"/>
      <c r="D376" s="125"/>
      <c r="J376" s="124"/>
      <c r="AA376" s="74"/>
      <c r="AE376" s="124"/>
      <c r="AI376" s="74"/>
      <c r="AM376" s="74"/>
      <c r="AQ376" s="74"/>
    </row>
    <row r="377" spans="2:43" s="123" customFormat="1">
      <c r="B377" s="125"/>
      <c r="D377" s="125"/>
      <c r="J377" s="124"/>
      <c r="AA377" s="74"/>
      <c r="AE377" s="124"/>
      <c r="AI377" s="74"/>
      <c r="AM377" s="74"/>
      <c r="AQ377" s="74"/>
    </row>
    <row r="378" spans="2:43" s="123" customFormat="1">
      <c r="B378" s="125"/>
      <c r="D378" s="125"/>
      <c r="J378" s="124"/>
      <c r="AA378" s="74"/>
      <c r="AE378" s="124"/>
      <c r="AI378" s="74"/>
      <c r="AM378" s="74"/>
      <c r="AQ378" s="74"/>
    </row>
    <row r="379" spans="2:43" s="123" customFormat="1">
      <c r="B379" s="125"/>
      <c r="D379" s="125"/>
      <c r="J379" s="124"/>
      <c r="AA379" s="74"/>
      <c r="AE379" s="124"/>
      <c r="AI379" s="74"/>
      <c r="AM379" s="74"/>
      <c r="AQ379" s="74"/>
    </row>
    <row r="380" spans="2:43" s="123" customFormat="1">
      <c r="B380" s="125"/>
      <c r="D380" s="125"/>
      <c r="J380" s="124"/>
      <c r="AA380" s="74"/>
      <c r="AE380" s="124"/>
      <c r="AI380" s="74"/>
      <c r="AM380" s="74"/>
      <c r="AQ380" s="74"/>
    </row>
    <row r="381" spans="2:43" s="123" customFormat="1">
      <c r="B381" s="125"/>
      <c r="D381" s="125"/>
      <c r="J381" s="124"/>
      <c r="AA381" s="74"/>
      <c r="AE381" s="124"/>
      <c r="AI381" s="74"/>
      <c r="AM381" s="74"/>
      <c r="AQ381" s="74"/>
    </row>
    <row r="382" spans="2:43" s="123" customFormat="1">
      <c r="B382" s="125"/>
      <c r="D382" s="125"/>
      <c r="J382" s="124"/>
      <c r="AA382" s="74"/>
      <c r="AE382" s="124"/>
      <c r="AI382" s="74"/>
      <c r="AM382" s="74"/>
      <c r="AQ382" s="74"/>
    </row>
    <row r="383" spans="2:43" s="123" customFormat="1">
      <c r="B383" s="125"/>
      <c r="D383" s="125"/>
      <c r="J383" s="124"/>
      <c r="AA383" s="74"/>
      <c r="AE383" s="124"/>
      <c r="AI383" s="74"/>
      <c r="AM383" s="74"/>
      <c r="AQ383" s="74"/>
    </row>
    <row r="384" spans="2:43" s="123" customFormat="1">
      <c r="B384" s="125"/>
      <c r="D384" s="125"/>
      <c r="J384" s="124"/>
      <c r="AA384" s="74"/>
      <c r="AE384" s="124"/>
      <c r="AI384" s="74"/>
      <c r="AM384" s="74"/>
      <c r="AQ384" s="74"/>
    </row>
    <row r="385" spans="2:43" s="123" customFormat="1">
      <c r="B385" s="125"/>
      <c r="D385" s="125"/>
      <c r="J385" s="124"/>
      <c r="AA385" s="74"/>
      <c r="AE385" s="124"/>
      <c r="AI385" s="74"/>
      <c r="AM385" s="74"/>
      <c r="AQ385" s="74"/>
    </row>
    <row r="386" spans="2:43" s="123" customFormat="1">
      <c r="B386" s="125"/>
      <c r="D386" s="125"/>
      <c r="J386" s="124"/>
      <c r="AA386" s="74"/>
      <c r="AE386" s="124"/>
      <c r="AI386" s="74"/>
      <c r="AM386" s="74"/>
      <c r="AQ386" s="74"/>
    </row>
    <row r="387" spans="2:43" s="123" customFormat="1">
      <c r="B387" s="125"/>
      <c r="D387" s="125"/>
      <c r="J387" s="124"/>
      <c r="AA387" s="74"/>
      <c r="AE387" s="124"/>
      <c r="AI387" s="74"/>
      <c r="AM387" s="74"/>
      <c r="AQ387" s="74"/>
    </row>
    <row r="388" spans="2:43" s="123" customFormat="1">
      <c r="B388" s="125"/>
      <c r="D388" s="125"/>
      <c r="J388" s="124"/>
      <c r="AA388" s="74"/>
      <c r="AE388" s="124"/>
      <c r="AI388" s="74"/>
      <c r="AM388" s="74"/>
      <c r="AQ388" s="74"/>
    </row>
    <row r="389" spans="2:43" s="123" customFormat="1">
      <c r="B389" s="125"/>
      <c r="D389" s="125"/>
      <c r="J389" s="124"/>
      <c r="AA389" s="74"/>
      <c r="AE389" s="124"/>
      <c r="AI389" s="74"/>
      <c r="AM389" s="74"/>
      <c r="AQ389" s="74"/>
    </row>
    <row r="390" spans="2:43" s="123" customFormat="1">
      <c r="B390" s="125"/>
      <c r="D390" s="125"/>
      <c r="J390" s="124"/>
      <c r="AA390" s="74"/>
      <c r="AE390" s="124"/>
      <c r="AI390" s="74"/>
      <c r="AM390" s="74"/>
      <c r="AQ390" s="74"/>
    </row>
    <row r="391" spans="2:43" s="123" customFormat="1">
      <c r="B391" s="125"/>
      <c r="D391" s="125"/>
      <c r="J391" s="124"/>
      <c r="AA391" s="74"/>
      <c r="AE391" s="124"/>
      <c r="AI391" s="74"/>
      <c r="AM391" s="74"/>
      <c r="AQ391" s="74"/>
    </row>
    <row r="392" spans="2:43" s="123" customFormat="1">
      <c r="B392" s="125"/>
      <c r="D392" s="125"/>
      <c r="J392" s="124"/>
      <c r="AA392" s="74"/>
      <c r="AE392" s="124"/>
      <c r="AI392" s="74"/>
      <c r="AM392" s="74"/>
      <c r="AQ392" s="74"/>
    </row>
    <row r="393" spans="2:43" s="123" customFormat="1">
      <c r="B393" s="125"/>
      <c r="D393" s="125"/>
      <c r="J393" s="124"/>
      <c r="AA393" s="74"/>
      <c r="AE393" s="124"/>
      <c r="AI393" s="74"/>
      <c r="AM393" s="74"/>
      <c r="AQ393" s="74"/>
    </row>
    <row r="394" spans="2:43" s="123" customFormat="1">
      <c r="B394" s="125"/>
      <c r="D394" s="125"/>
      <c r="J394" s="124"/>
      <c r="AA394" s="74"/>
      <c r="AE394" s="124"/>
      <c r="AI394" s="74"/>
      <c r="AM394" s="74"/>
      <c r="AQ394" s="74"/>
    </row>
    <row r="395" spans="2:43" s="123" customFormat="1">
      <c r="B395" s="125"/>
      <c r="D395" s="125"/>
      <c r="J395" s="124"/>
      <c r="AA395" s="74"/>
      <c r="AE395" s="124"/>
      <c r="AI395" s="74"/>
      <c r="AM395" s="74"/>
      <c r="AQ395" s="74"/>
    </row>
    <row r="396" spans="2:43" s="123" customFormat="1">
      <c r="B396" s="125"/>
      <c r="D396" s="125"/>
      <c r="J396" s="124"/>
      <c r="AA396" s="74"/>
      <c r="AE396" s="124"/>
      <c r="AI396" s="74"/>
      <c r="AM396" s="74"/>
      <c r="AQ396" s="74"/>
    </row>
    <row r="397" spans="2:43" s="123" customFormat="1">
      <c r="B397" s="125"/>
      <c r="D397" s="125"/>
      <c r="J397" s="124"/>
      <c r="AA397" s="74"/>
      <c r="AE397" s="124"/>
      <c r="AI397" s="74"/>
      <c r="AM397" s="74"/>
      <c r="AQ397" s="74"/>
    </row>
    <row r="398" spans="2:43" s="123" customFormat="1">
      <c r="B398" s="125"/>
      <c r="D398" s="125"/>
      <c r="J398" s="124"/>
      <c r="AA398" s="74"/>
      <c r="AE398" s="124"/>
      <c r="AI398" s="74"/>
      <c r="AM398" s="74"/>
      <c r="AQ398" s="74"/>
    </row>
    <row r="399" spans="2:43" s="123" customFormat="1">
      <c r="B399" s="125"/>
      <c r="D399" s="125"/>
      <c r="J399" s="124"/>
      <c r="AA399" s="74"/>
      <c r="AE399" s="124"/>
      <c r="AI399" s="74"/>
      <c r="AM399" s="74"/>
      <c r="AQ399" s="74"/>
    </row>
    <row r="400" spans="2:43" s="123" customFormat="1">
      <c r="B400" s="125"/>
      <c r="D400" s="125"/>
      <c r="J400" s="124"/>
      <c r="AA400" s="74"/>
      <c r="AE400" s="124"/>
      <c r="AI400" s="74"/>
      <c r="AM400" s="74"/>
      <c r="AQ400" s="74"/>
    </row>
    <row r="401" spans="2:43" s="123" customFormat="1">
      <c r="B401" s="125"/>
      <c r="D401" s="125"/>
      <c r="J401" s="124"/>
      <c r="AA401" s="74"/>
      <c r="AE401" s="124"/>
      <c r="AI401" s="74"/>
      <c r="AM401" s="74"/>
      <c r="AQ401" s="74"/>
    </row>
    <row r="402" spans="2:43" s="123" customFormat="1">
      <c r="B402" s="125"/>
      <c r="D402" s="125"/>
      <c r="J402" s="124"/>
      <c r="AA402" s="74"/>
      <c r="AE402" s="124"/>
      <c r="AI402" s="74"/>
      <c r="AM402" s="74"/>
      <c r="AQ402" s="74"/>
    </row>
    <row r="403" spans="2:43" s="123" customFormat="1">
      <c r="B403" s="125"/>
      <c r="D403" s="125"/>
      <c r="J403" s="124"/>
      <c r="AA403" s="74"/>
      <c r="AE403" s="124"/>
      <c r="AI403" s="74"/>
      <c r="AM403" s="74"/>
      <c r="AQ403" s="74"/>
    </row>
    <row r="404" spans="2:43" s="123" customFormat="1">
      <c r="B404" s="125"/>
      <c r="D404" s="125"/>
      <c r="J404" s="124"/>
      <c r="AA404" s="74"/>
      <c r="AE404" s="124"/>
      <c r="AI404" s="74"/>
      <c r="AM404" s="74"/>
      <c r="AQ404" s="74"/>
    </row>
    <row r="405" spans="2:43" s="123" customFormat="1">
      <c r="B405" s="125"/>
      <c r="D405" s="125"/>
      <c r="J405" s="124"/>
      <c r="AA405" s="74"/>
      <c r="AE405" s="124"/>
      <c r="AI405" s="74"/>
      <c r="AM405" s="74"/>
      <c r="AQ405" s="74"/>
    </row>
    <row r="406" spans="2:43" s="123" customFormat="1">
      <c r="B406" s="125"/>
      <c r="D406" s="125"/>
      <c r="J406" s="124"/>
      <c r="AA406" s="74"/>
      <c r="AE406" s="124"/>
      <c r="AI406" s="74"/>
      <c r="AM406" s="74"/>
      <c r="AQ406" s="74"/>
    </row>
    <row r="407" spans="2:43" s="123" customFormat="1">
      <c r="B407" s="125"/>
      <c r="D407" s="125"/>
      <c r="J407" s="124"/>
      <c r="AA407" s="74"/>
      <c r="AE407" s="124"/>
      <c r="AI407" s="74"/>
      <c r="AM407" s="74"/>
      <c r="AQ407" s="74"/>
    </row>
    <row r="408" spans="2:43" s="123" customFormat="1">
      <c r="B408" s="125"/>
      <c r="D408" s="125"/>
      <c r="J408" s="124"/>
      <c r="AA408" s="74"/>
      <c r="AE408" s="124"/>
      <c r="AI408" s="74"/>
      <c r="AM408" s="74"/>
      <c r="AQ408" s="74"/>
    </row>
    <row r="409" spans="2:43" s="123" customFormat="1">
      <c r="B409" s="125"/>
      <c r="D409" s="125"/>
      <c r="J409" s="124"/>
      <c r="AA409" s="74"/>
      <c r="AE409" s="124"/>
      <c r="AI409" s="74"/>
      <c r="AM409" s="74"/>
      <c r="AQ409" s="74"/>
    </row>
    <row r="410" spans="2:43" s="123" customFormat="1">
      <c r="B410" s="125"/>
      <c r="D410" s="125"/>
      <c r="J410" s="124"/>
      <c r="AA410" s="74"/>
      <c r="AE410" s="124"/>
      <c r="AI410" s="74"/>
      <c r="AM410" s="74"/>
      <c r="AQ410" s="74"/>
    </row>
    <row r="411" spans="2:43" s="123" customFormat="1">
      <c r="B411" s="125"/>
      <c r="D411" s="125"/>
      <c r="J411" s="124"/>
      <c r="AA411" s="74"/>
      <c r="AE411" s="124"/>
      <c r="AI411" s="74"/>
      <c r="AM411" s="74"/>
      <c r="AQ411" s="74"/>
    </row>
    <row r="412" spans="2:43" s="123" customFormat="1">
      <c r="B412" s="125"/>
      <c r="D412" s="125"/>
      <c r="J412" s="124"/>
      <c r="AA412" s="74"/>
      <c r="AE412" s="124"/>
      <c r="AI412" s="74"/>
      <c r="AM412" s="74"/>
      <c r="AQ412" s="74"/>
    </row>
    <row r="413" spans="2:43" s="123" customFormat="1">
      <c r="B413" s="125"/>
      <c r="D413" s="125"/>
      <c r="J413" s="124"/>
      <c r="AA413" s="74"/>
      <c r="AE413" s="124"/>
      <c r="AI413" s="74"/>
      <c r="AM413" s="74"/>
      <c r="AQ413" s="74"/>
    </row>
    <row r="414" spans="2:43" s="123" customFormat="1">
      <c r="B414" s="125"/>
      <c r="D414" s="125"/>
      <c r="J414" s="124"/>
      <c r="AA414" s="74"/>
      <c r="AE414" s="124"/>
      <c r="AI414" s="74"/>
      <c r="AM414" s="74"/>
      <c r="AQ414" s="74"/>
    </row>
    <row r="415" spans="2:43" s="123" customFormat="1">
      <c r="B415" s="125"/>
      <c r="D415" s="125"/>
      <c r="J415" s="124"/>
      <c r="AA415" s="74"/>
      <c r="AE415" s="124"/>
      <c r="AI415" s="74"/>
      <c r="AM415" s="74"/>
      <c r="AQ415" s="74"/>
    </row>
    <row r="416" spans="2:43" s="123" customFormat="1">
      <c r="B416" s="125"/>
      <c r="D416" s="125"/>
      <c r="J416" s="124"/>
      <c r="AA416" s="74"/>
      <c r="AE416" s="124"/>
      <c r="AI416" s="74"/>
      <c r="AM416" s="74"/>
      <c r="AQ416" s="74"/>
    </row>
    <row r="417" spans="2:43" s="123" customFormat="1">
      <c r="B417" s="125"/>
      <c r="D417" s="125"/>
      <c r="J417" s="124"/>
      <c r="AA417" s="74"/>
      <c r="AE417" s="124"/>
      <c r="AI417" s="74"/>
      <c r="AM417" s="74"/>
      <c r="AQ417" s="74"/>
    </row>
    <row r="418" spans="2:43" s="123" customFormat="1">
      <c r="B418" s="125"/>
      <c r="D418" s="125"/>
      <c r="J418" s="124"/>
      <c r="AA418" s="74"/>
      <c r="AE418" s="124"/>
      <c r="AI418" s="74"/>
      <c r="AM418" s="74"/>
      <c r="AQ418" s="74"/>
    </row>
    <row r="419" spans="2:43" s="123" customFormat="1">
      <c r="B419" s="125"/>
      <c r="D419" s="125"/>
      <c r="J419" s="124"/>
      <c r="AA419" s="74"/>
      <c r="AE419" s="124"/>
      <c r="AI419" s="74"/>
      <c r="AM419" s="74"/>
      <c r="AQ419" s="74"/>
    </row>
    <row r="420" spans="2:43" s="123" customFormat="1">
      <c r="B420" s="125"/>
      <c r="D420" s="125"/>
      <c r="J420" s="124"/>
      <c r="AA420" s="74"/>
      <c r="AE420" s="124"/>
      <c r="AI420" s="74"/>
      <c r="AM420" s="74"/>
      <c r="AQ420" s="74"/>
    </row>
    <row r="421" spans="2:43" s="123" customFormat="1">
      <c r="B421" s="125"/>
      <c r="D421" s="125"/>
      <c r="J421" s="124"/>
      <c r="AA421" s="74"/>
      <c r="AE421" s="124"/>
      <c r="AI421" s="74"/>
      <c r="AM421" s="74"/>
      <c r="AQ421" s="74"/>
    </row>
    <row r="422" spans="2:43" s="123" customFormat="1">
      <c r="B422" s="125"/>
      <c r="D422" s="125"/>
      <c r="J422" s="124"/>
      <c r="AA422" s="74"/>
      <c r="AE422" s="124"/>
      <c r="AI422" s="74"/>
      <c r="AM422" s="74"/>
      <c r="AQ422" s="74"/>
    </row>
    <row r="423" spans="2:43" s="123" customFormat="1">
      <c r="B423" s="125"/>
      <c r="D423" s="125"/>
      <c r="J423" s="124"/>
      <c r="AA423" s="74"/>
      <c r="AE423" s="124"/>
      <c r="AI423" s="74"/>
      <c r="AM423" s="74"/>
      <c r="AQ423" s="74"/>
    </row>
    <row r="424" spans="2:43" s="123" customFormat="1">
      <c r="B424" s="125"/>
      <c r="D424" s="125"/>
      <c r="J424" s="124"/>
      <c r="AA424" s="74"/>
      <c r="AE424" s="124"/>
      <c r="AI424" s="74"/>
      <c r="AM424" s="74"/>
      <c r="AQ424" s="74"/>
    </row>
    <row r="425" spans="2:43" s="123" customFormat="1">
      <c r="B425" s="125"/>
      <c r="D425" s="125"/>
      <c r="J425" s="124"/>
      <c r="AA425" s="74"/>
      <c r="AE425" s="124"/>
      <c r="AI425" s="74"/>
      <c r="AM425" s="74"/>
      <c r="AQ425" s="74"/>
    </row>
    <row r="426" spans="2:43" s="123" customFormat="1">
      <c r="B426" s="125"/>
      <c r="D426" s="125"/>
      <c r="J426" s="124"/>
      <c r="AA426" s="74"/>
      <c r="AE426" s="124"/>
      <c r="AI426" s="74"/>
      <c r="AM426" s="74"/>
      <c r="AQ426" s="74"/>
    </row>
    <row r="427" spans="2:43" s="123" customFormat="1">
      <c r="B427" s="125"/>
      <c r="D427" s="125"/>
      <c r="J427" s="124"/>
      <c r="AA427" s="74"/>
      <c r="AE427" s="124"/>
      <c r="AI427" s="74"/>
      <c r="AM427" s="74"/>
      <c r="AQ427" s="74"/>
    </row>
    <row r="428" spans="2:43" s="123" customFormat="1">
      <c r="B428" s="125"/>
      <c r="D428" s="125"/>
      <c r="J428" s="124"/>
      <c r="AA428" s="74"/>
      <c r="AE428" s="124"/>
      <c r="AI428" s="74"/>
      <c r="AM428" s="74"/>
      <c r="AQ428" s="74"/>
    </row>
    <row r="429" spans="2:43" s="123" customFormat="1">
      <c r="B429" s="125"/>
      <c r="D429" s="125"/>
      <c r="J429" s="124"/>
      <c r="AA429" s="74"/>
      <c r="AE429" s="124"/>
      <c r="AI429" s="74"/>
      <c r="AM429" s="74"/>
      <c r="AQ429" s="74"/>
    </row>
    <row r="430" spans="2:43" s="123" customFormat="1">
      <c r="B430" s="125"/>
      <c r="D430" s="125"/>
      <c r="J430" s="124"/>
      <c r="AA430" s="74"/>
      <c r="AE430" s="124"/>
      <c r="AI430" s="74"/>
      <c r="AM430" s="74"/>
      <c r="AQ430" s="74"/>
    </row>
    <row r="431" spans="2:43" s="123" customFormat="1">
      <c r="B431" s="125"/>
      <c r="D431" s="125"/>
      <c r="J431" s="124"/>
      <c r="AA431" s="74"/>
      <c r="AE431" s="124"/>
      <c r="AI431" s="74"/>
      <c r="AM431" s="74"/>
      <c r="AQ431" s="74"/>
    </row>
    <row r="432" spans="2:43" s="123" customFormat="1">
      <c r="B432" s="125"/>
      <c r="D432" s="125"/>
      <c r="J432" s="124"/>
      <c r="AA432" s="74"/>
      <c r="AE432" s="124"/>
      <c r="AI432" s="74"/>
      <c r="AM432" s="74"/>
      <c r="AQ432" s="74"/>
    </row>
    <row r="433" spans="2:43" s="123" customFormat="1">
      <c r="B433" s="125"/>
      <c r="D433" s="125"/>
      <c r="J433" s="124"/>
      <c r="AA433" s="74"/>
      <c r="AE433" s="124"/>
      <c r="AI433" s="74"/>
      <c r="AM433" s="74"/>
      <c r="AQ433" s="74"/>
    </row>
    <row r="434" spans="2:43" s="123" customFormat="1">
      <c r="B434" s="125"/>
      <c r="D434" s="125"/>
      <c r="J434" s="124"/>
      <c r="AA434" s="74"/>
      <c r="AE434" s="124"/>
      <c r="AI434" s="74"/>
      <c r="AM434" s="74"/>
      <c r="AQ434" s="74"/>
    </row>
    <row r="435" spans="2:43" s="123" customFormat="1">
      <c r="B435" s="125"/>
      <c r="D435" s="125"/>
      <c r="J435" s="124"/>
      <c r="AA435" s="74"/>
      <c r="AE435" s="124"/>
      <c r="AI435" s="74"/>
      <c r="AM435" s="74"/>
      <c r="AQ435" s="74"/>
    </row>
    <row r="436" spans="2:43" s="123" customFormat="1">
      <c r="B436" s="125"/>
      <c r="D436" s="125"/>
      <c r="J436" s="124"/>
      <c r="AA436" s="74"/>
      <c r="AE436" s="124"/>
      <c r="AI436" s="74"/>
      <c r="AM436" s="74"/>
      <c r="AQ436" s="74"/>
    </row>
    <row r="437" spans="2:43" s="123" customFormat="1">
      <c r="B437" s="125"/>
      <c r="D437" s="125"/>
      <c r="J437" s="124"/>
      <c r="AA437" s="74"/>
      <c r="AE437" s="124"/>
      <c r="AI437" s="74"/>
      <c r="AM437" s="74"/>
      <c r="AQ437" s="74"/>
    </row>
    <row r="438" spans="2:43" s="123" customFormat="1">
      <c r="B438" s="125"/>
      <c r="D438" s="125"/>
      <c r="J438" s="124"/>
      <c r="AA438" s="74"/>
      <c r="AE438" s="124"/>
      <c r="AI438" s="74"/>
      <c r="AM438" s="74"/>
      <c r="AQ438" s="74"/>
    </row>
    <row r="439" spans="2:43" s="123" customFormat="1">
      <c r="B439" s="125"/>
      <c r="D439" s="125"/>
      <c r="J439" s="124"/>
      <c r="AA439" s="74"/>
      <c r="AE439" s="124"/>
      <c r="AI439" s="74"/>
      <c r="AM439" s="74"/>
      <c r="AQ439" s="74"/>
    </row>
    <row r="440" spans="2:43" s="123" customFormat="1">
      <c r="B440" s="125"/>
      <c r="D440" s="125"/>
      <c r="J440" s="124"/>
      <c r="AA440" s="74"/>
      <c r="AE440" s="124"/>
      <c r="AI440" s="74"/>
      <c r="AM440" s="74"/>
      <c r="AQ440" s="74"/>
    </row>
    <row r="441" spans="2:43" s="123" customFormat="1">
      <c r="B441" s="125"/>
      <c r="D441" s="125"/>
      <c r="J441" s="124"/>
      <c r="AA441" s="74"/>
      <c r="AE441" s="124"/>
      <c r="AI441" s="74"/>
      <c r="AM441" s="74"/>
      <c r="AQ441" s="74"/>
    </row>
    <row r="442" spans="2:43" s="123" customFormat="1">
      <c r="B442" s="125"/>
      <c r="D442" s="125"/>
      <c r="J442" s="124"/>
      <c r="AA442" s="74"/>
      <c r="AE442" s="124"/>
      <c r="AI442" s="74"/>
      <c r="AM442" s="74"/>
      <c r="AQ442" s="74"/>
    </row>
    <row r="443" spans="2:43" s="123" customFormat="1">
      <c r="B443" s="125"/>
      <c r="D443" s="125"/>
      <c r="J443" s="124"/>
      <c r="AA443" s="74"/>
      <c r="AE443" s="124"/>
      <c r="AI443" s="74"/>
      <c r="AM443" s="74"/>
      <c r="AQ443" s="74"/>
    </row>
    <row r="444" spans="2:43" s="123" customFormat="1">
      <c r="B444" s="125"/>
      <c r="D444" s="125"/>
      <c r="J444" s="124"/>
      <c r="AA444" s="74"/>
      <c r="AE444" s="124"/>
      <c r="AI444" s="74"/>
      <c r="AM444" s="74"/>
      <c r="AQ444" s="74"/>
    </row>
    <row r="445" spans="2:43" s="123" customFormat="1">
      <c r="B445" s="125"/>
      <c r="D445" s="125"/>
      <c r="J445" s="124"/>
      <c r="AA445" s="74"/>
      <c r="AE445" s="124"/>
      <c r="AI445" s="74"/>
      <c r="AM445" s="74"/>
      <c r="AQ445" s="74"/>
    </row>
    <row r="446" spans="2:43" s="123" customFormat="1">
      <c r="B446" s="125"/>
      <c r="D446" s="125"/>
      <c r="J446" s="124"/>
      <c r="AA446" s="74"/>
      <c r="AE446" s="124"/>
      <c r="AI446" s="74"/>
      <c r="AM446" s="74"/>
      <c r="AQ446" s="74"/>
    </row>
    <row r="447" spans="2:43" s="123" customFormat="1">
      <c r="B447" s="125"/>
      <c r="D447" s="125"/>
      <c r="J447" s="124"/>
      <c r="AA447" s="74"/>
      <c r="AE447" s="124"/>
      <c r="AI447" s="74"/>
      <c r="AM447" s="74"/>
      <c r="AQ447" s="74"/>
    </row>
    <row r="448" spans="2:43" s="123" customFormat="1">
      <c r="B448" s="125"/>
      <c r="D448" s="125"/>
      <c r="J448" s="124"/>
      <c r="AA448" s="74"/>
      <c r="AE448" s="124"/>
      <c r="AI448" s="74"/>
      <c r="AM448" s="74"/>
      <c r="AQ448" s="74"/>
    </row>
    <row r="449" spans="2:43" s="123" customFormat="1">
      <c r="B449" s="125"/>
      <c r="D449" s="125"/>
      <c r="J449" s="124"/>
      <c r="AA449" s="74"/>
      <c r="AE449" s="124"/>
      <c r="AI449" s="74"/>
      <c r="AM449" s="74"/>
      <c r="AQ449" s="74"/>
    </row>
    <row r="450" spans="2:43" s="123" customFormat="1">
      <c r="B450" s="125"/>
      <c r="D450" s="125"/>
      <c r="J450" s="124"/>
      <c r="AA450" s="74"/>
      <c r="AE450" s="124"/>
      <c r="AI450" s="74"/>
      <c r="AM450" s="74"/>
      <c r="AQ450" s="74"/>
    </row>
    <row r="451" spans="2:43" s="123" customFormat="1">
      <c r="B451" s="125"/>
      <c r="D451" s="125"/>
      <c r="J451" s="124"/>
      <c r="AA451" s="74"/>
      <c r="AE451" s="124"/>
      <c r="AI451" s="74"/>
      <c r="AM451" s="74"/>
      <c r="AQ451" s="74"/>
    </row>
    <row r="452" spans="2:43" s="123" customFormat="1">
      <c r="B452" s="125"/>
      <c r="D452" s="125"/>
      <c r="J452" s="124"/>
      <c r="AA452" s="74"/>
      <c r="AE452" s="124"/>
      <c r="AI452" s="74"/>
      <c r="AM452" s="74"/>
      <c r="AQ452" s="74"/>
    </row>
    <row r="453" spans="2:43" s="123" customFormat="1">
      <c r="B453" s="125"/>
      <c r="D453" s="125"/>
      <c r="J453" s="124"/>
      <c r="AA453" s="74"/>
      <c r="AE453" s="124"/>
      <c r="AI453" s="74"/>
      <c r="AM453" s="74"/>
      <c r="AQ453" s="74"/>
    </row>
    <row r="454" spans="2:43" s="123" customFormat="1">
      <c r="B454" s="125"/>
      <c r="D454" s="125"/>
      <c r="J454" s="124"/>
      <c r="AA454" s="74"/>
      <c r="AE454" s="124"/>
      <c r="AI454" s="74"/>
      <c r="AM454" s="74"/>
      <c r="AQ454" s="74"/>
    </row>
    <row r="455" spans="2:43" s="123" customFormat="1">
      <c r="B455" s="125"/>
      <c r="D455" s="125"/>
      <c r="J455" s="124"/>
      <c r="AA455" s="74"/>
      <c r="AE455" s="124"/>
      <c r="AI455" s="74"/>
      <c r="AM455" s="74"/>
      <c r="AQ455" s="74"/>
    </row>
    <row r="456" spans="2:43" s="123" customFormat="1">
      <c r="B456" s="125"/>
      <c r="D456" s="125"/>
      <c r="J456" s="124"/>
      <c r="AA456" s="74"/>
      <c r="AE456" s="124"/>
      <c r="AI456" s="74"/>
      <c r="AM456" s="74"/>
      <c r="AQ456" s="74"/>
    </row>
    <row r="457" spans="2:43" s="123" customFormat="1">
      <c r="B457" s="125"/>
      <c r="D457" s="125"/>
      <c r="J457" s="124"/>
      <c r="AA457" s="74"/>
      <c r="AE457" s="124"/>
      <c r="AI457" s="74"/>
      <c r="AM457" s="74"/>
      <c r="AQ457" s="74"/>
    </row>
    <row r="458" spans="2:43" s="123" customFormat="1">
      <c r="B458" s="125"/>
      <c r="D458" s="125"/>
      <c r="J458" s="124"/>
      <c r="AA458" s="74"/>
      <c r="AE458" s="124"/>
      <c r="AI458" s="74"/>
      <c r="AM458" s="74"/>
      <c r="AQ458" s="74"/>
    </row>
    <row r="459" spans="2:43" s="123" customFormat="1">
      <c r="B459" s="125"/>
      <c r="D459" s="125"/>
      <c r="J459" s="124"/>
      <c r="AA459" s="74"/>
      <c r="AE459" s="124"/>
      <c r="AI459" s="74"/>
      <c r="AM459" s="74"/>
      <c r="AQ459" s="74"/>
    </row>
    <row r="460" spans="2:43" s="123" customFormat="1">
      <c r="B460" s="125"/>
      <c r="D460" s="125"/>
      <c r="J460" s="124"/>
      <c r="AA460" s="74"/>
      <c r="AE460" s="124"/>
      <c r="AI460" s="74"/>
      <c r="AM460" s="74"/>
      <c r="AQ460" s="74"/>
    </row>
    <row r="461" spans="2:43" s="123" customFormat="1">
      <c r="B461" s="125"/>
      <c r="D461" s="125"/>
      <c r="J461" s="124"/>
      <c r="AA461" s="74"/>
      <c r="AE461" s="124"/>
      <c r="AI461" s="74"/>
      <c r="AM461" s="74"/>
      <c r="AQ461" s="74"/>
    </row>
    <row r="462" spans="2:43" s="123" customFormat="1">
      <c r="B462" s="125"/>
      <c r="D462" s="125"/>
      <c r="J462" s="124"/>
      <c r="AA462" s="74"/>
      <c r="AE462" s="124"/>
      <c r="AI462" s="74"/>
      <c r="AM462" s="74"/>
      <c r="AQ462" s="74"/>
    </row>
    <row r="463" spans="2:43" s="123" customFormat="1">
      <c r="B463" s="125"/>
      <c r="D463" s="125"/>
      <c r="J463" s="124"/>
      <c r="AA463" s="74"/>
      <c r="AE463" s="124"/>
      <c r="AI463" s="74"/>
      <c r="AM463" s="74"/>
      <c r="AQ463" s="74"/>
    </row>
    <row r="464" spans="2:43" s="123" customFormat="1">
      <c r="B464" s="125"/>
      <c r="D464" s="125"/>
      <c r="J464" s="124"/>
      <c r="AA464" s="74"/>
      <c r="AE464" s="124"/>
      <c r="AI464" s="74"/>
      <c r="AM464" s="74"/>
      <c r="AQ464" s="74"/>
    </row>
    <row r="465" spans="2:43" s="123" customFormat="1">
      <c r="B465" s="125"/>
      <c r="D465" s="125"/>
      <c r="J465" s="124"/>
      <c r="AA465" s="74"/>
      <c r="AE465" s="124"/>
      <c r="AI465" s="74"/>
      <c r="AM465" s="74"/>
      <c r="AQ465" s="74"/>
    </row>
    <row r="466" spans="2:43" s="123" customFormat="1">
      <c r="B466" s="125"/>
      <c r="D466" s="125"/>
      <c r="J466" s="124"/>
      <c r="AA466" s="74"/>
      <c r="AE466" s="124"/>
      <c r="AI466" s="74"/>
      <c r="AM466" s="74"/>
      <c r="AQ466" s="74"/>
    </row>
    <row r="467" spans="2:43" s="123" customFormat="1">
      <c r="B467" s="125"/>
      <c r="D467" s="125"/>
      <c r="J467" s="124"/>
      <c r="AA467" s="74"/>
      <c r="AE467" s="124"/>
      <c r="AI467" s="74"/>
      <c r="AM467" s="74"/>
      <c r="AQ467" s="74"/>
    </row>
    <row r="468" spans="2:43" s="123" customFormat="1">
      <c r="B468" s="125"/>
      <c r="D468" s="125"/>
      <c r="J468" s="124"/>
      <c r="AA468" s="74"/>
      <c r="AE468" s="124"/>
      <c r="AI468" s="74"/>
      <c r="AM468" s="74"/>
      <c r="AQ468" s="74"/>
    </row>
    <row r="469" spans="2:43" s="123" customFormat="1">
      <c r="B469" s="125"/>
      <c r="D469" s="125"/>
      <c r="J469" s="124"/>
      <c r="AA469" s="74"/>
      <c r="AE469" s="124"/>
      <c r="AI469" s="74"/>
      <c r="AM469" s="74"/>
      <c r="AQ469" s="74"/>
    </row>
    <row r="470" spans="2:43" s="123" customFormat="1">
      <c r="B470" s="125"/>
      <c r="D470" s="125"/>
      <c r="J470" s="124"/>
      <c r="AA470" s="74"/>
      <c r="AE470" s="124"/>
      <c r="AI470" s="74"/>
      <c r="AM470" s="74"/>
      <c r="AQ470" s="74"/>
    </row>
    <row r="471" spans="2:43" s="123" customFormat="1">
      <c r="B471" s="125"/>
      <c r="D471" s="125"/>
      <c r="J471" s="124"/>
      <c r="AA471" s="74"/>
      <c r="AE471" s="124"/>
      <c r="AI471" s="74"/>
      <c r="AM471" s="74"/>
      <c r="AQ471" s="74"/>
    </row>
    <row r="472" spans="2:43" s="123" customFormat="1">
      <c r="B472" s="125"/>
      <c r="D472" s="125"/>
      <c r="J472" s="124"/>
      <c r="AA472" s="74"/>
      <c r="AE472" s="124"/>
      <c r="AI472" s="74"/>
      <c r="AM472" s="74"/>
      <c r="AQ472" s="74"/>
    </row>
    <row r="473" spans="2:43" s="123" customFormat="1">
      <c r="B473" s="125"/>
      <c r="D473" s="125"/>
      <c r="J473" s="124"/>
      <c r="AA473" s="74"/>
      <c r="AE473" s="124"/>
      <c r="AI473" s="74"/>
      <c r="AM473" s="74"/>
      <c r="AQ473" s="74"/>
    </row>
    <row r="474" spans="2:43" s="123" customFormat="1">
      <c r="B474" s="125"/>
      <c r="D474" s="125"/>
      <c r="J474" s="124"/>
      <c r="AA474" s="74"/>
      <c r="AE474" s="124"/>
      <c r="AI474" s="74"/>
      <c r="AM474" s="74"/>
      <c r="AQ474" s="74"/>
    </row>
    <row r="475" spans="2:43" s="123" customFormat="1">
      <c r="B475" s="125"/>
      <c r="D475" s="125"/>
      <c r="J475" s="124"/>
      <c r="AA475" s="74"/>
      <c r="AE475" s="124"/>
      <c r="AI475" s="74"/>
      <c r="AM475" s="74"/>
      <c r="AQ475" s="74"/>
    </row>
    <row r="476" spans="2:43" s="123" customFormat="1">
      <c r="B476" s="125"/>
      <c r="D476" s="125"/>
      <c r="J476" s="124"/>
      <c r="AA476" s="74"/>
      <c r="AE476" s="124"/>
      <c r="AI476" s="74"/>
      <c r="AM476" s="74"/>
      <c r="AQ476" s="74"/>
    </row>
    <row r="477" spans="2:43" s="123" customFormat="1">
      <c r="B477" s="125"/>
      <c r="D477" s="125"/>
      <c r="J477" s="124"/>
      <c r="AA477" s="74"/>
      <c r="AE477" s="124"/>
      <c r="AI477" s="74"/>
      <c r="AM477" s="74"/>
      <c r="AQ477" s="74"/>
    </row>
    <row r="478" spans="2:43" s="123" customFormat="1">
      <c r="B478" s="125"/>
      <c r="D478" s="125"/>
      <c r="J478" s="124"/>
      <c r="AA478" s="74"/>
      <c r="AE478" s="124"/>
      <c r="AI478" s="74"/>
      <c r="AM478" s="74"/>
      <c r="AQ478" s="74"/>
    </row>
    <row r="479" spans="2:43" s="123" customFormat="1">
      <c r="B479" s="125"/>
      <c r="D479" s="125"/>
      <c r="J479" s="124"/>
      <c r="AA479" s="74"/>
      <c r="AE479" s="124"/>
      <c r="AI479" s="74"/>
      <c r="AM479" s="74"/>
      <c r="AQ479" s="74"/>
    </row>
    <row r="480" spans="2:43" s="123" customFormat="1">
      <c r="B480" s="125"/>
      <c r="D480" s="125"/>
      <c r="J480" s="124"/>
      <c r="AA480" s="74"/>
      <c r="AE480" s="124"/>
      <c r="AI480" s="74"/>
      <c r="AM480" s="74"/>
      <c r="AQ480" s="74"/>
    </row>
    <row r="481" spans="2:43" s="123" customFormat="1">
      <c r="B481" s="125"/>
      <c r="D481" s="125"/>
      <c r="J481" s="124"/>
      <c r="AA481" s="74"/>
      <c r="AE481" s="124"/>
      <c r="AI481" s="74"/>
      <c r="AM481" s="74"/>
      <c r="AQ481" s="74"/>
    </row>
    <row r="482" spans="2:43" s="123" customFormat="1">
      <c r="B482" s="125"/>
      <c r="D482" s="125"/>
      <c r="J482" s="124"/>
      <c r="AA482" s="74"/>
      <c r="AE482" s="124"/>
      <c r="AI482" s="74"/>
      <c r="AM482" s="74"/>
      <c r="AQ482" s="74"/>
    </row>
    <row r="483" spans="2:43" s="123" customFormat="1">
      <c r="B483" s="125"/>
      <c r="D483" s="125"/>
      <c r="J483" s="124"/>
      <c r="AA483" s="74"/>
      <c r="AE483" s="124"/>
      <c r="AI483" s="74"/>
      <c r="AM483" s="74"/>
      <c r="AQ483" s="74"/>
    </row>
    <row r="484" spans="2:43" s="123" customFormat="1">
      <c r="B484" s="125"/>
      <c r="D484" s="125"/>
      <c r="J484" s="124"/>
      <c r="AA484" s="74"/>
      <c r="AE484" s="124"/>
      <c r="AI484" s="74"/>
      <c r="AM484" s="74"/>
      <c r="AQ484" s="74"/>
    </row>
    <row r="485" spans="2:43" s="123" customFormat="1">
      <c r="B485" s="125"/>
      <c r="D485" s="125"/>
      <c r="J485" s="124"/>
      <c r="AA485" s="74"/>
      <c r="AE485" s="124"/>
      <c r="AI485" s="74"/>
      <c r="AM485" s="74"/>
      <c r="AQ485" s="74"/>
    </row>
    <row r="486" spans="2:43" s="123" customFormat="1">
      <c r="B486" s="125"/>
      <c r="D486" s="125"/>
      <c r="J486" s="124"/>
      <c r="AA486" s="74"/>
      <c r="AE486" s="124"/>
      <c r="AI486" s="74"/>
      <c r="AM486" s="74"/>
      <c r="AQ486" s="74"/>
    </row>
    <row r="487" spans="2:43" s="123" customFormat="1">
      <c r="B487" s="125"/>
      <c r="D487" s="125"/>
      <c r="J487" s="124"/>
      <c r="AA487" s="74"/>
      <c r="AE487" s="124"/>
      <c r="AI487" s="74"/>
      <c r="AM487" s="74"/>
      <c r="AQ487" s="74"/>
    </row>
    <row r="488" spans="2:43" s="123" customFormat="1">
      <c r="B488" s="125"/>
      <c r="D488" s="125"/>
      <c r="J488" s="124"/>
      <c r="AA488" s="74"/>
      <c r="AE488" s="124"/>
      <c r="AI488" s="74"/>
      <c r="AM488" s="74"/>
      <c r="AQ488" s="74"/>
    </row>
    <row r="489" spans="2:43" s="123" customFormat="1">
      <c r="B489" s="125"/>
      <c r="D489" s="125"/>
      <c r="J489" s="124"/>
      <c r="AA489" s="74"/>
      <c r="AE489" s="124"/>
      <c r="AI489" s="74"/>
      <c r="AM489" s="74"/>
      <c r="AQ489" s="74"/>
    </row>
    <row r="490" spans="2:43" s="123" customFormat="1">
      <c r="B490" s="125"/>
      <c r="D490" s="125"/>
      <c r="J490" s="124"/>
      <c r="AA490" s="74"/>
      <c r="AE490" s="124"/>
      <c r="AI490" s="74"/>
      <c r="AM490" s="74"/>
      <c r="AQ490" s="74"/>
    </row>
    <row r="491" spans="2:43" s="123" customFormat="1">
      <c r="B491" s="125"/>
      <c r="D491" s="125"/>
      <c r="J491" s="124"/>
      <c r="AA491" s="74"/>
      <c r="AE491" s="124"/>
      <c r="AI491" s="74"/>
      <c r="AM491" s="74"/>
      <c r="AQ491" s="74"/>
    </row>
    <row r="492" spans="2:43" s="123" customFormat="1">
      <c r="B492" s="125"/>
      <c r="D492" s="125"/>
      <c r="J492" s="124"/>
      <c r="AA492" s="74"/>
      <c r="AE492" s="124"/>
      <c r="AI492" s="74"/>
      <c r="AM492" s="74"/>
      <c r="AQ492" s="74"/>
    </row>
    <row r="493" spans="2:43" s="123" customFormat="1">
      <c r="B493" s="125"/>
      <c r="D493" s="125"/>
      <c r="J493" s="124"/>
      <c r="AA493" s="74"/>
      <c r="AE493" s="124"/>
      <c r="AI493" s="74"/>
      <c r="AM493" s="74"/>
      <c r="AQ493" s="74"/>
    </row>
    <row r="494" spans="2:43" s="123" customFormat="1">
      <c r="B494" s="125"/>
      <c r="D494" s="125"/>
      <c r="J494" s="124"/>
      <c r="AA494" s="74"/>
      <c r="AE494" s="124"/>
      <c r="AI494" s="74"/>
      <c r="AM494" s="74"/>
      <c r="AQ494" s="74"/>
    </row>
    <row r="495" spans="2:43" s="123" customFormat="1">
      <c r="B495" s="125"/>
      <c r="D495" s="125"/>
      <c r="J495" s="124"/>
      <c r="AA495" s="74"/>
      <c r="AE495" s="124"/>
      <c r="AI495" s="74"/>
      <c r="AM495" s="74"/>
      <c r="AQ495" s="74"/>
    </row>
    <row r="496" spans="2:43" s="123" customFormat="1">
      <c r="B496" s="125"/>
      <c r="D496" s="125"/>
      <c r="J496" s="124"/>
      <c r="AA496" s="74"/>
      <c r="AE496" s="124"/>
      <c r="AI496" s="74"/>
      <c r="AM496" s="74"/>
      <c r="AQ496" s="74"/>
    </row>
    <row r="497" spans="2:43" s="123" customFormat="1">
      <c r="B497" s="125"/>
      <c r="D497" s="125"/>
      <c r="J497" s="124"/>
      <c r="AA497" s="74"/>
      <c r="AE497" s="124"/>
      <c r="AI497" s="74"/>
      <c r="AM497" s="74"/>
      <c r="AQ497" s="74"/>
    </row>
    <row r="498" spans="2:43" s="123" customFormat="1">
      <c r="B498" s="125"/>
      <c r="D498" s="125"/>
      <c r="J498" s="124"/>
      <c r="AA498" s="74"/>
      <c r="AE498" s="124"/>
      <c r="AI498" s="74"/>
      <c r="AM498" s="74"/>
      <c r="AQ498" s="74"/>
    </row>
    <row r="499" spans="2:43" s="123" customFormat="1">
      <c r="B499" s="125"/>
      <c r="D499" s="125"/>
      <c r="J499" s="124"/>
      <c r="AA499" s="74"/>
      <c r="AE499" s="124"/>
      <c r="AI499" s="74"/>
      <c r="AM499" s="74"/>
      <c r="AQ499" s="74"/>
    </row>
    <row r="500" spans="2:43" s="123" customFormat="1">
      <c r="B500" s="125"/>
      <c r="D500" s="125"/>
      <c r="J500" s="124"/>
      <c r="AA500" s="74"/>
      <c r="AE500" s="124"/>
      <c r="AI500" s="74"/>
      <c r="AM500" s="74"/>
      <c r="AQ500" s="74"/>
    </row>
    <row r="501" spans="2:43" s="123" customFormat="1">
      <c r="B501" s="125"/>
      <c r="D501" s="125"/>
      <c r="J501" s="124"/>
      <c r="AA501" s="74"/>
      <c r="AE501" s="124"/>
      <c r="AI501" s="74"/>
      <c r="AM501" s="74"/>
      <c r="AQ501" s="74"/>
    </row>
    <row r="502" spans="2:43" s="123" customFormat="1">
      <c r="B502" s="125"/>
      <c r="D502" s="125"/>
      <c r="J502" s="124"/>
      <c r="AA502" s="74"/>
      <c r="AE502" s="124"/>
      <c r="AI502" s="74"/>
      <c r="AM502" s="74"/>
      <c r="AQ502" s="74"/>
    </row>
    <row r="503" spans="2:43" s="123" customFormat="1">
      <c r="B503" s="125"/>
      <c r="D503" s="125"/>
      <c r="J503" s="124"/>
      <c r="AA503" s="74"/>
      <c r="AE503" s="124"/>
      <c r="AI503" s="74"/>
      <c r="AM503" s="74"/>
      <c r="AQ503" s="74"/>
    </row>
    <row r="504" spans="2:43" s="123" customFormat="1">
      <c r="B504" s="125"/>
      <c r="D504" s="125"/>
      <c r="J504" s="124"/>
      <c r="AA504" s="74"/>
      <c r="AE504" s="124"/>
      <c r="AI504" s="74"/>
      <c r="AM504" s="74"/>
      <c r="AQ504" s="74"/>
    </row>
    <row r="505" spans="2:43" s="123" customFormat="1">
      <c r="B505" s="125"/>
      <c r="D505" s="125"/>
      <c r="J505" s="124"/>
      <c r="AA505" s="74"/>
      <c r="AE505" s="124"/>
      <c r="AI505" s="74"/>
      <c r="AM505" s="74"/>
      <c r="AQ505" s="74"/>
    </row>
    <row r="506" spans="2:43" s="123" customFormat="1">
      <c r="B506" s="125"/>
      <c r="D506" s="125"/>
      <c r="J506" s="124"/>
      <c r="AA506" s="74"/>
      <c r="AE506" s="124"/>
      <c r="AI506" s="74"/>
      <c r="AM506" s="74"/>
      <c r="AQ506" s="74"/>
    </row>
    <row r="507" spans="2:43" s="123" customFormat="1">
      <c r="B507" s="125"/>
      <c r="D507" s="125"/>
      <c r="J507" s="124"/>
      <c r="AA507" s="74"/>
      <c r="AE507" s="124"/>
      <c r="AI507" s="74"/>
      <c r="AM507" s="74"/>
      <c r="AQ507" s="74"/>
    </row>
    <row r="508" spans="2:43" s="123" customFormat="1">
      <c r="B508" s="125"/>
      <c r="D508" s="125"/>
      <c r="J508" s="124"/>
      <c r="AA508" s="74"/>
      <c r="AE508" s="124"/>
      <c r="AI508" s="74"/>
      <c r="AM508" s="74"/>
      <c r="AQ508" s="74"/>
    </row>
    <row r="509" spans="2:43" s="123" customFormat="1">
      <c r="B509" s="125"/>
      <c r="D509" s="125"/>
      <c r="J509" s="124"/>
      <c r="AA509" s="74"/>
      <c r="AE509" s="124"/>
      <c r="AI509" s="74"/>
      <c r="AM509" s="74"/>
      <c r="AQ509" s="74"/>
    </row>
    <row r="510" spans="2:43" s="123" customFormat="1">
      <c r="B510" s="125"/>
      <c r="D510" s="125"/>
      <c r="J510" s="124"/>
      <c r="AA510" s="74"/>
      <c r="AE510" s="124"/>
      <c r="AI510" s="74"/>
      <c r="AM510" s="74"/>
      <c r="AQ510" s="74"/>
    </row>
    <row r="511" spans="2:43" s="123" customFormat="1">
      <c r="B511" s="125"/>
      <c r="D511" s="125"/>
      <c r="J511" s="124"/>
      <c r="AA511" s="74"/>
      <c r="AE511" s="124"/>
      <c r="AI511" s="74"/>
      <c r="AM511" s="74"/>
      <c r="AQ511" s="74"/>
    </row>
    <row r="512" spans="2:43" s="123" customFormat="1">
      <c r="B512" s="125"/>
      <c r="D512" s="125"/>
      <c r="J512" s="124"/>
      <c r="AA512" s="74"/>
      <c r="AE512" s="124"/>
      <c r="AI512" s="74"/>
      <c r="AM512" s="74"/>
      <c r="AQ512" s="74"/>
    </row>
    <row r="513" spans="2:43" s="123" customFormat="1">
      <c r="B513" s="125"/>
      <c r="D513" s="125"/>
      <c r="J513" s="124"/>
      <c r="AA513" s="74"/>
      <c r="AE513" s="124"/>
      <c r="AI513" s="74"/>
      <c r="AM513" s="74"/>
      <c r="AQ513" s="74"/>
    </row>
    <row r="514" spans="2:43" s="123" customFormat="1">
      <c r="B514" s="125"/>
      <c r="D514" s="125"/>
      <c r="J514" s="124"/>
      <c r="AA514" s="74"/>
      <c r="AE514" s="124"/>
      <c r="AI514" s="74"/>
      <c r="AM514" s="74"/>
      <c r="AQ514" s="74"/>
    </row>
    <row r="515" spans="2:43" s="123" customFormat="1">
      <c r="B515" s="125"/>
      <c r="D515" s="125"/>
      <c r="J515" s="124"/>
      <c r="AA515" s="74"/>
      <c r="AE515" s="124"/>
      <c r="AI515" s="74"/>
      <c r="AM515" s="74"/>
      <c r="AQ515" s="74"/>
    </row>
    <row r="516" spans="2:43" s="123" customFormat="1">
      <c r="B516" s="125"/>
      <c r="D516" s="125"/>
      <c r="J516" s="124"/>
      <c r="AA516" s="74"/>
      <c r="AE516" s="124"/>
      <c r="AI516" s="74"/>
      <c r="AM516" s="74"/>
      <c r="AQ516" s="74"/>
    </row>
    <row r="517" spans="2:43" s="123" customFormat="1">
      <c r="B517" s="125"/>
      <c r="D517" s="125"/>
      <c r="J517" s="124"/>
      <c r="AA517" s="74"/>
      <c r="AE517" s="124"/>
      <c r="AI517" s="74"/>
      <c r="AM517" s="74"/>
      <c r="AQ517" s="74"/>
    </row>
    <row r="518" spans="2:43" s="123" customFormat="1">
      <c r="B518" s="125"/>
      <c r="D518" s="125"/>
      <c r="J518" s="124"/>
      <c r="AA518" s="74"/>
      <c r="AE518" s="124"/>
      <c r="AI518" s="74"/>
      <c r="AM518" s="74"/>
      <c r="AQ518" s="74"/>
    </row>
    <row r="519" spans="2:43" s="123" customFormat="1">
      <c r="B519" s="125"/>
      <c r="D519" s="125"/>
      <c r="J519" s="124"/>
      <c r="AA519" s="74"/>
      <c r="AE519" s="124"/>
      <c r="AI519" s="74"/>
      <c r="AM519" s="74"/>
      <c r="AQ519" s="74"/>
    </row>
    <row r="520" spans="2:43" s="123" customFormat="1">
      <c r="B520" s="125"/>
      <c r="D520" s="125"/>
      <c r="J520" s="124"/>
      <c r="AA520" s="74"/>
      <c r="AE520" s="124"/>
      <c r="AI520" s="74"/>
      <c r="AM520" s="74"/>
      <c r="AQ520" s="74"/>
    </row>
    <row r="521" spans="2:43" s="123" customFormat="1">
      <c r="B521" s="125"/>
      <c r="D521" s="125"/>
      <c r="J521" s="124"/>
      <c r="AA521" s="74"/>
      <c r="AE521" s="124"/>
      <c r="AI521" s="74"/>
      <c r="AM521" s="74"/>
      <c r="AQ521" s="74"/>
    </row>
    <row r="522" spans="2:43" s="123" customFormat="1">
      <c r="B522" s="125"/>
      <c r="D522" s="125"/>
      <c r="J522" s="124"/>
      <c r="AA522" s="74"/>
      <c r="AE522" s="124"/>
      <c r="AI522" s="74"/>
      <c r="AM522" s="74"/>
      <c r="AQ522" s="74"/>
    </row>
    <row r="523" spans="2:43" s="123" customFormat="1">
      <c r="B523" s="125"/>
      <c r="D523" s="125"/>
      <c r="J523" s="124"/>
      <c r="AA523" s="74"/>
      <c r="AE523" s="124"/>
      <c r="AI523" s="74"/>
      <c r="AM523" s="74"/>
      <c r="AQ523" s="74"/>
    </row>
    <row r="524" spans="2:43" s="123" customFormat="1">
      <c r="B524" s="125"/>
      <c r="D524" s="125"/>
      <c r="J524" s="124"/>
      <c r="AA524" s="74"/>
      <c r="AE524" s="124"/>
      <c r="AI524" s="74"/>
      <c r="AM524" s="74"/>
      <c r="AQ524" s="74"/>
    </row>
    <row r="525" spans="2:43" s="123" customFormat="1">
      <c r="B525" s="125"/>
      <c r="D525" s="125"/>
      <c r="J525" s="124"/>
      <c r="AA525" s="74"/>
      <c r="AE525" s="124"/>
      <c r="AI525" s="74"/>
      <c r="AM525" s="74"/>
      <c r="AQ525" s="74"/>
    </row>
    <row r="526" spans="2:43" s="123" customFormat="1">
      <c r="B526" s="125"/>
      <c r="D526" s="125"/>
      <c r="J526" s="124"/>
      <c r="AA526" s="74"/>
      <c r="AE526" s="124"/>
      <c r="AI526" s="74"/>
      <c r="AM526" s="74"/>
      <c r="AQ526" s="74"/>
    </row>
    <row r="527" spans="2:43" s="123" customFormat="1">
      <c r="B527" s="125"/>
      <c r="D527" s="125"/>
      <c r="J527" s="124"/>
      <c r="AA527" s="74"/>
      <c r="AE527" s="124"/>
      <c r="AI527" s="74"/>
      <c r="AM527" s="74"/>
      <c r="AQ527" s="74"/>
    </row>
    <row r="528" spans="2:43" s="123" customFormat="1">
      <c r="B528" s="125"/>
      <c r="D528" s="125"/>
      <c r="J528" s="124"/>
      <c r="AA528" s="74"/>
      <c r="AE528" s="124"/>
      <c r="AI528" s="74"/>
      <c r="AM528" s="74"/>
      <c r="AQ528" s="74"/>
    </row>
    <row r="529" spans="2:43" s="123" customFormat="1">
      <c r="B529" s="125"/>
      <c r="D529" s="125"/>
      <c r="J529" s="124"/>
      <c r="AA529" s="74"/>
      <c r="AE529" s="124"/>
      <c r="AI529" s="74"/>
      <c r="AM529" s="74"/>
      <c r="AQ529" s="74"/>
    </row>
    <row r="530" spans="2:43" s="123" customFormat="1">
      <c r="B530" s="125"/>
      <c r="D530" s="125"/>
      <c r="J530" s="124"/>
      <c r="AA530" s="74"/>
      <c r="AE530" s="124"/>
      <c r="AI530" s="74"/>
      <c r="AM530" s="74"/>
      <c r="AQ530" s="74"/>
    </row>
    <row r="531" spans="2:43" s="123" customFormat="1">
      <c r="B531" s="125"/>
      <c r="D531" s="125"/>
      <c r="J531" s="124"/>
      <c r="AA531" s="74"/>
      <c r="AE531" s="124"/>
      <c r="AI531" s="74"/>
      <c r="AM531" s="74"/>
      <c r="AQ531" s="74"/>
    </row>
    <row r="532" spans="2:43" s="123" customFormat="1">
      <c r="B532" s="125"/>
      <c r="D532" s="125"/>
      <c r="J532" s="124"/>
      <c r="AA532" s="74"/>
      <c r="AE532" s="124"/>
      <c r="AI532" s="74"/>
      <c r="AM532" s="74"/>
      <c r="AQ532" s="74"/>
    </row>
    <row r="533" spans="2:43" s="123" customFormat="1">
      <c r="B533" s="125"/>
      <c r="D533" s="125"/>
      <c r="J533" s="124"/>
      <c r="AA533" s="74"/>
      <c r="AE533" s="124"/>
      <c r="AI533" s="74"/>
      <c r="AM533" s="74"/>
      <c r="AQ533" s="74"/>
    </row>
    <row r="534" spans="2:43" s="123" customFormat="1">
      <c r="B534" s="125"/>
      <c r="D534" s="125"/>
      <c r="J534" s="124"/>
      <c r="AA534" s="74"/>
      <c r="AE534" s="124"/>
      <c r="AI534" s="74"/>
      <c r="AM534" s="74"/>
      <c r="AQ534" s="74"/>
    </row>
    <row r="535" spans="2:43" s="123" customFormat="1">
      <c r="B535" s="125"/>
      <c r="D535" s="125"/>
      <c r="J535" s="124"/>
      <c r="AA535" s="74"/>
      <c r="AE535" s="124"/>
      <c r="AI535" s="74"/>
      <c r="AM535" s="74"/>
      <c r="AQ535" s="74"/>
    </row>
    <row r="536" spans="2:43" s="123" customFormat="1">
      <c r="B536" s="125"/>
      <c r="D536" s="125"/>
      <c r="J536" s="124"/>
      <c r="AA536" s="74"/>
      <c r="AE536" s="124"/>
      <c r="AI536" s="74"/>
      <c r="AM536" s="74"/>
      <c r="AQ536" s="74"/>
    </row>
    <row r="537" spans="2:43" s="123" customFormat="1">
      <c r="B537" s="125"/>
      <c r="D537" s="125"/>
      <c r="J537" s="124"/>
      <c r="AA537" s="74"/>
      <c r="AE537" s="124"/>
      <c r="AI537" s="74"/>
      <c r="AM537" s="74"/>
      <c r="AQ537" s="74"/>
    </row>
    <row r="538" spans="2:43" s="123" customFormat="1">
      <c r="B538" s="125"/>
      <c r="D538" s="125"/>
      <c r="J538" s="124"/>
      <c r="AA538" s="74"/>
      <c r="AE538" s="124"/>
      <c r="AI538" s="74"/>
      <c r="AM538" s="74"/>
      <c r="AQ538" s="74"/>
    </row>
    <row r="539" spans="2:43" s="123" customFormat="1">
      <c r="B539" s="125"/>
      <c r="D539" s="125"/>
      <c r="J539" s="124"/>
      <c r="AA539" s="74"/>
      <c r="AE539" s="124"/>
      <c r="AI539" s="74"/>
      <c r="AM539" s="74"/>
      <c r="AQ539" s="74"/>
    </row>
    <row r="540" spans="2:43" s="123" customFormat="1">
      <c r="B540" s="125"/>
      <c r="D540" s="125"/>
      <c r="J540" s="124"/>
      <c r="AA540" s="74"/>
      <c r="AE540" s="124"/>
      <c r="AI540" s="74"/>
      <c r="AM540" s="74"/>
      <c r="AQ540" s="74"/>
    </row>
    <row r="541" spans="2:43" s="123" customFormat="1">
      <c r="B541" s="125"/>
      <c r="D541" s="125"/>
      <c r="J541" s="124"/>
      <c r="AA541" s="74"/>
      <c r="AE541" s="124"/>
      <c r="AI541" s="74"/>
      <c r="AM541" s="74"/>
      <c r="AQ541" s="74"/>
    </row>
    <row r="542" spans="2:43" s="123" customFormat="1">
      <c r="B542" s="125"/>
      <c r="D542" s="125"/>
      <c r="J542" s="124"/>
      <c r="AA542" s="74"/>
      <c r="AE542" s="124"/>
      <c r="AI542" s="74"/>
      <c r="AM542" s="74"/>
      <c r="AQ542" s="74"/>
    </row>
    <row r="543" spans="2:43" s="123" customFormat="1">
      <c r="B543" s="125"/>
      <c r="D543" s="125"/>
      <c r="J543" s="124"/>
      <c r="AA543" s="74"/>
      <c r="AE543" s="124"/>
      <c r="AI543" s="74"/>
      <c r="AM543" s="74"/>
      <c r="AQ543" s="74"/>
    </row>
    <row r="544" spans="2:43" s="123" customFormat="1">
      <c r="B544" s="125"/>
      <c r="D544" s="125"/>
      <c r="J544" s="124"/>
      <c r="AA544" s="74"/>
      <c r="AE544" s="124"/>
      <c r="AI544" s="74"/>
      <c r="AM544" s="74"/>
      <c r="AQ544" s="74"/>
    </row>
    <row r="545" spans="2:43" s="123" customFormat="1">
      <c r="B545" s="125"/>
      <c r="D545" s="125"/>
      <c r="J545" s="124"/>
      <c r="AA545" s="74"/>
      <c r="AE545" s="124"/>
      <c r="AI545" s="74"/>
      <c r="AM545" s="74"/>
      <c r="AQ545" s="74"/>
    </row>
    <row r="546" spans="2:43" s="123" customFormat="1">
      <c r="B546" s="125"/>
      <c r="D546" s="125"/>
      <c r="J546" s="124"/>
      <c r="AA546" s="74"/>
      <c r="AE546" s="124"/>
      <c r="AI546" s="74"/>
      <c r="AM546" s="74"/>
      <c r="AQ546" s="74"/>
    </row>
    <row r="547" spans="2:43" s="123" customFormat="1">
      <c r="B547" s="125"/>
      <c r="D547" s="125"/>
      <c r="J547" s="124"/>
      <c r="AA547" s="74"/>
      <c r="AE547" s="124"/>
      <c r="AI547" s="74"/>
      <c r="AM547" s="74"/>
      <c r="AQ547" s="74"/>
    </row>
    <row r="548" spans="2:43" s="123" customFormat="1">
      <c r="B548" s="125"/>
      <c r="D548" s="125"/>
      <c r="J548" s="124"/>
      <c r="AA548" s="74"/>
      <c r="AE548" s="124"/>
      <c r="AI548" s="74"/>
      <c r="AM548" s="74"/>
      <c r="AQ548" s="74"/>
    </row>
    <row r="549" spans="2:43" s="123" customFormat="1">
      <c r="B549" s="125"/>
      <c r="D549" s="125"/>
      <c r="J549" s="124"/>
      <c r="AA549" s="74"/>
      <c r="AE549" s="124"/>
      <c r="AI549" s="74"/>
      <c r="AM549" s="74"/>
      <c r="AQ549" s="74"/>
    </row>
    <row r="550" spans="2:43" s="123" customFormat="1">
      <c r="B550" s="125"/>
      <c r="D550" s="125"/>
      <c r="J550" s="124"/>
      <c r="AA550" s="74"/>
      <c r="AE550" s="124"/>
      <c r="AI550" s="74"/>
      <c r="AM550" s="74"/>
      <c r="AQ550" s="74"/>
    </row>
    <row r="551" spans="2:43" s="123" customFormat="1">
      <c r="B551" s="125"/>
      <c r="D551" s="125"/>
      <c r="J551" s="124"/>
      <c r="AA551" s="74"/>
      <c r="AE551" s="124"/>
      <c r="AI551" s="74"/>
      <c r="AM551" s="74"/>
      <c r="AQ551" s="74"/>
    </row>
    <row r="552" spans="2:43" s="123" customFormat="1">
      <c r="B552" s="125"/>
      <c r="D552" s="125"/>
      <c r="J552" s="124"/>
      <c r="AA552" s="74"/>
      <c r="AE552" s="124"/>
      <c r="AI552" s="74"/>
      <c r="AM552" s="74"/>
      <c r="AQ552" s="74"/>
    </row>
    <row r="553" spans="2:43" s="123" customFormat="1">
      <c r="B553" s="125"/>
      <c r="D553" s="125"/>
      <c r="J553" s="124"/>
      <c r="AA553" s="74"/>
      <c r="AE553" s="124"/>
      <c r="AI553" s="74"/>
      <c r="AM553" s="74"/>
      <c r="AQ553" s="74"/>
    </row>
    <row r="554" spans="2:43" s="123" customFormat="1">
      <c r="B554" s="125"/>
      <c r="D554" s="125"/>
      <c r="J554" s="124"/>
      <c r="AA554" s="74"/>
      <c r="AE554" s="124"/>
      <c r="AI554" s="74"/>
      <c r="AM554" s="74"/>
      <c r="AQ554" s="74"/>
    </row>
    <row r="555" spans="2:43" s="123" customFormat="1">
      <c r="B555" s="125"/>
      <c r="D555" s="125"/>
      <c r="J555" s="124"/>
      <c r="AA555" s="74"/>
      <c r="AE555" s="124"/>
      <c r="AI555" s="74"/>
      <c r="AM555" s="74"/>
      <c r="AQ555" s="74"/>
    </row>
    <row r="556" spans="2:43" s="123" customFormat="1">
      <c r="B556" s="125"/>
      <c r="D556" s="125"/>
      <c r="J556" s="124"/>
      <c r="AA556" s="74"/>
      <c r="AE556" s="124"/>
      <c r="AI556" s="74"/>
      <c r="AM556" s="74"/>
      <c r="AQ556" s="74"/>
    </row>
    <row r="557" spans="2:43" s="123" customFormat="1">
      <c r="B557" s="125"/>
      <c r="D557" s="125"/>
      <c r="J557" s="124"/>
      <c r="AA557" s="74"/>
      <c r="AE557" s="124"/>
      <c r="AI557" s="74"/>
      <c r="AM557" s="74"/>
      <c r="AQ557" s="74"/>
    </row>
    <row r="558" spans="2:43" s="123" customFormat="1">
      <c r="B558" s="125"/>
      <c r="D558" s="125"/>
      <c r="J558" s="124"/>
      <c r="AA558" s="74"/>
      <c r="AE558" s="124"/>
      <c r="AI558" s="74"/>
      <c r="AM558" s="74"/>
      <c r="AQ558" s="74"/>
    </row>
    <row r="559" spans="2:43" s="123" customFormat="1">
      <c r="B559" s="125"/>
      <c r="D559" s="125"/>
      <c r="J559" s="124"/>
      <c r="AA559" s="74"/>
      <c r="AE559" s="124"/>
      <c r="AI559" s="74"/>
      <c r="AM559" s="74"/>
      <c r="AQ559" s="74"/>
    </row>
    <row r="560" spans="2:43" s="123" customFormat="1">
      <c r="B560" s="125"/>
      <c r="D560" s="125"/>
      <c r="J560" s="124"/>
      <c r="AA560" s="74"/>
      <c r="AE560" s="124"/>
      <c r="AI560" s="74"/>
      <c r="AM560" s="74"/>
      <c r="AQ560" s="74"/>
    </row>
    <row r="561" spans="2:43" s="123" customFormat="1">
      <c r="B561" s="125"/>
      <c r="D561" s="125"/>
      <c r="J561" s="124"/>
      <c r="AA561" s="74"/>
      <c r="AE561" s="124"/>
      <c r="AI561" s="74"/>
      <c r="AM561" s="74"/>
      <c r="AQ561" s="74"/>
    </row>
    <row r="562" spans="2:43" s="123" customFormat="1">
      <c r="B562" s="125"/>
      <c r="D562" s="125"/>
      <c r="J562" s="124"/>
      <c r="AA562" s="74"/>
      <c r="AE562" s="124"/>
      <c r="AI562" s="74"/>
      <c r="AM562" s="74"/>
      <c r="AQ562" s="74"/>
    </row>
    <row r="563" spans="2:43" s="123" customFormat="1">
      <c r="B563" s="125"/>
      <c r="D563" s="125"/>
      <c r="J563" s="124"/>
      <c r="AA563" s="74"/>
      <c r="AE563" s="124"/>
      <c r="AI563" s="74"/>
      <c r="AM563" s="74"/>
      <c r="AQ563" s="74"/>
    </row>
    <row r="564" spans="2:43" s="123" customFormat="1">
      <c r="B564" s="125"/>
      <c r="D564" s="125"/>
      <c r="J564" s="124"/>
      <c r="AA564" s="74"/>
      <c r="AE564" s="124"/>
      <c r="AI564" s="74"/>
      <c r="AM564" s="74"/>
      <c r="AQ564" s="74"/>
    </row>
    <row r="565" spans="2:43" s="123" customFormat="1">
      <c r="B565" s="125"/>
      <c r="D565" s="125"/>
      <c r="J565" s="124"/>
      <c r="AA565" s="74"/>
      <c r="AE565" s="124"/>
      <c r="AI565" s="74"/>
      <c r="AM565" s="74"/>
      <c r="AQ565" s="74"/>
    </row>
    <row r="566" spans="2:43" s="123" customFormat="1">
      <c r="B566" s="125"/>
      <c r="D566" s="125"/>
      <c r="J566" s="124"/>
      <c r="AA566" s="74"/>
      <c r="AE566" s="124"/>
      <c r="AI566" s="74"/>
      <c r="AM566" s="74"/>
      <c r="AQ566" s="74"/>
    </row>
    <row r="567" spans="2:43" s="123" customFormat="1">
      <c r="B567" s="125"/>
      <c r="D567" s="125"/>
      <c r="J567" s="124"/>
      <c r="AA567" s="74"/>
      <c r="AE567" s="124"/>
      <c r="AI567" s="74"/>
      <c r="AM567" s="74"/>
      <c r="AQ567" s="74"/>
    </row>
    <row r="568" spans="2:43" s="123" customFormat="1">
      <c r="B568" s="125"/>
      <c r="D568" s="125"/>
      <c r="J568" s="124"/>
      <c r="AA568" s="74"/>
      <c r="AE568" s="124"/>
      <c r="AI568" s="74"/>
      <c r="AM568" s="74"/>
      <c r="AQ568" s="74"/>
    </row>
    <row r="569" spans="2:43" s="123" customFormat="1">
      <c r="B569" s="125"/>
      <c r="D569" s="125"/>
      <c r="J569" s="124"/>
      <c r="AA569" s="74"/>
      <c r="AE569" s="124"/>
      <c r="AI569" s="74"/>
      <c r="AM569" s="74"/>
      <c r="AQ569" s="74"/>
    </row>
    <row r="570" spans="2:43" s="123" customFormat="1">
      <c r="B570" s="125"/>
      <c r="D570" s="125"/>
      <c r="J570" s="124"/>
      <c r="AA570" s="74"/>
      <c r="AE570" s="124"/>
      <c r="AI570" s="74"/>
      <c r="AM570" s="74"/>
      <c r="AQ570" s="74"/>
    </row>
    <row r="571" spans="2:43" s="123" customFormat="1">
      <c r="B571" s="125"/>
      <c r="D571" s="125"/>
      <c r="J571" s="124"/>
      <c r="AA571" s="74"/>
      <c r="AE571" s="124"/>
      <c r="AI571" s="74"/>
      <c r="AM571" s="74"/>
      <c r="AQ571" s="74"/>
    </row>
    <row r="572" spans="2:43" s="123" customFormat="1">
      <c r="B572" s="125"/>
      <c r="D572" s="125"/>
      <c r="J572" s="124"/>
      <c r="AA572" s="74"/>
      <c r="AE572" s="124"/>
      <c r="AI572" s="74"/>
      <c r="AM572" s="74"/>
      <c r="AQ572" s="74"/>
    </row>
    <row r="573" spans="2:43" s="123" customFormat="1">
      <c r="B573" s="125"/>
      <c r="D573" s="125"/>
      <c r="J573" s="124"/>
      <c r="AA573" s="74"/>
      <c r="AE573" s="124"/>
      <c r="AI573" s="74"/>
      <c r="AM573" s="74"/>
      <c r="AQ573" s="74"/>
    </row>
    <row r="574" spans="2:43" s="123" customFormat="1">
      <c r="B574" s="125"/>
      <c r="D574" s="125"/>
      <c r="J574" s="124"/>
      <c r="AA574" s="74"/>
      <c r="AE574" s="124"/>
      <c r="AI574" s="74"/>
      <c r="AM574" s="74"/>
      <c r="AQ574" s="74"/>
    </row>
    <row r="575" spans="2:43" s="123" customFormat="1">
      <c r="B575" s="125"/>
      <c r="D575" s="125"/>
      <c r="J575" s="124"/>
      <c r="AA575" s="74"/>
      <c r="AE575" s="124"/>
      <c r="AI575" s="74"/>
      <c r="AM575" s="74"/>
      <c r="AQ575" s="74"/>
    </row>
    <row r="576" spans="2:43" s="123" customFormat="1">
      <c r="B576" s="125"/>
      <c r="D576" s="125"/>
      <c r="J576" s="124"/>
      <c r="AA576" s="74"/>
      <c r="AE576" s="124"/>
      <c r="AI576" s="74"/>
      <c r="AM576" s="74"/>
      <c r="AQ576" s="74"/>
    </row>
    <row r="577" spans="2:43" s="123" customFormat="1">
      <c r="B577" s="125"/>
      <c r="D577" s="125"/>
      <c r="J577" s="124"/>
      <c r="AA577" s="74"/>
      <c r="AE577" s="124"/>
      <c r="AI577" s="74"/>
      <c r="AM577" s="74"/>
      <c r="AQ577" s="74"/>
    </row>
    <row r="578" spans="2:43" s="123" customFormat="1">
      <c r="B578" s="125"/>
      <c r="D578" s="125"/>
      <c r="J578" s="124"/>
      <c r="AA578" s="74"/>
      <c r="AE578" s="124"/>
      <c r="AI578" s="74"/>
      <c r="AM578" s="74"/>
      <c r="AQ578" s="74"/>
    </row>
    <row r="579" spans="2:43" s="123" customFormat="1">
      <c r="B579" s="125"/>
      <c r="D579" s="125"/>
      <c r="J579" s="124"/>
      <c r="AA579" s="74"/>
      <c r="AE579" s="124"/>
      <c r="AI579" s="74"/>
      <c r="AM579" s="74"/>
      <c r="AQ579" s="74"/>
    </row>
    <row r="580" spans="2:43" s="123" customFormat="1">
      <c r="B580" s="125"/>
      <c r="D580" s="125"/>
      <c r="J580" s="124"/>
      <c r="AA580" s="74"/>
      <c r="AE580" s="124"/>
      <c r="AI580" s="74"/>
      <c r="AM580" s="74"/>
      <c r="AQ580" s="74"/>
    </row>
    <row r="581" spans="2:43" s="123" customFormat="1">
      <c r="B581" s="125"/>
      <c r="D581" s="125"/>
      <c r="J581" s="124"/>
      <c r="AA581" s="74"/>
      <c r="AE581" s="124"/>
      <c r="AI581" s="74"/>
      <c r="AM581" s="74"/>
      <c r="AQ581" s="74"/>
    </row>
    <row r="582" spans="2:43" s="123" customFormat="1">
      <c r="B582" s="125"/>
      <c r="D582" s="125"/>
      <c r="J582" s="124"/>
      <c r="AA582" s="74"/>
      <c r="AE582" s="124"/>
      <c r="AI582" s="74"/>
      <c r="AM582" s="74"/>
      <c r="AQ582" s="74"/>
    </row>
    <row r="583" spans="2:43" s="123" customFormat="1">
      <c r="B583" s="125"/>
      <c r="D583" s="125"/>
      <c r="J583" s="124"/>
      <c r="AA583" s="74"/>
      <c r="AE583" s="124"/>
      <c r="AI583" s="74"/>
      <c r="AM583" s="74"/>
      <c r="AQ583" s="74"/>
    </row>
    <row r="584" spans="2:43" s="123" customFormat="1">
      <c r="B584" s="125"/>
      <c r="D584" s="125"/>
      <c r="J584" s="124"/>
      <c r="AA584" s="74"/>
      <c r="AE584" s="124"/>
      <c r="AI584" s="74"/>
      <c r="AM584" s="74"/>
      <c r="AQ584" s="74"/>
    </row>
    <row r="585" spans="2:43" s="123" customFormat="1">
      <c r="B585" s="125"/>
      <c r="D585" s="125"/>
      <c r="J585" s="124"/>
      <c r="AA585" s="74"/>
      <c r="AE585" s="124"/>
      <c r="AI585" s="74"/>
      <c r="AM585" s="74"/>
      <c r="AQ585" s="74"/>
    </row>
    <row r="586" spans="2:43" s="123" customFormat="1">
      <c r="B586" s="125"/>
      <c r="D586" s="125"/>
      <c r="J586" s="124"/>
      <c r="AA586" s="74"/>
      <c r="AE586" s="124"/>
      <c r="AI586" s="74"/>
      <c r="AM586" s="74"/>
      <c r="AQ586" s="74"/>
    </row>
    <row r="587" spans="2:43" s="123" customFormat="1">
      <c r="B587" s="125"/>
      <c r="D587" s="125"/>
      <c r="J587" s="124"/>
      <c r="AA587" s="74"/>
      <c r="AE587" s="124"/>
      <c r="AI587" s="74"/>
      <c r="AM587" s="74"/>
      <c r="AQ587" s="74"/>
    </row>
    <row r="588" spans="2:43" s="123" customFormat="1">
      <c r="B588" s="125"/>
      <c r="D588" s="125"/>
      <c r="J588" s="124"/>
      <c r="AA588" s="74"/>
      <c r="AE588" s="124"/>
      <c r="AI588" s="74"/>
      <c r="AM588" s="74"/>
      <c r="AQ588" s="74"/>
    </row>
    <row r="589" spans="2:43" s="123" customFormat="1">
      <c r="B589" s="125"/>
      <c r="D589" s="125"/>
      <c r="J589" s="124"/>
      <c r="AA589" s="74"/>
      <c r="AE589" s="124"/>
      <c r="AI589" s="74"/>
      <c r="AM589" s="74"/>
      <c r="AQ589" s="74"/>
    </row>
    <row r="590" spans="2:43" s="123" customFormat="1">
      <c r="B590" s="125"/>
      <c r="D590" s="125"/>
      <c r="J590" s="124"/>
      <c r="AA590" s="74"/>
      <c r="AE590" s="124"/>
      <c r="AI590" s="74"/>
      <c r="AM590" s="74"/>
      <c r="AQ590" s="74"/>
    </row>
    <row r="591" spans="2:43" s="123" customFormat="1">
      <c r="B591" s="125"/>
      <c r="D591" s="125"/>
      <c r="J591" s="124"/>
      <c r="AA591" s="74"/>
      <c r="AE591" s="124"/>
      <c r="AI591" s="74"/>
      <c r="AM591" s="74"/>
      <c r="AQ591" s="74"/>
    </row>
    <row r="592" spans="2:43" s="123" customFormat="1">
      <c r="B592" s="125"/>
      <c r="D592" s="125"/>
      <c r="J592" s="124"/>
      <c r="AA592" s="74"/>
      <c r="AE592" s="124"/>
      <c r="AI592" s="74"/>
      <c r="AM592" s="74"/>
      <c r="AQ592" s="74"/>
    </row>
    <row r="593" spans="2:43" s="123" customFormat="1">
      <c r="B593" s="125"/>
      <c r="D593" s="125"/>
      <c r="J593" s="124"/>
      <c r="AA593" s="74"/>
      <c r="AE593" s="124"/>
      <c r="AI593" s="74"/>
      <c r="AM593" s="74"/>
      <c r="AQ593" s="74"/>
    </row>
    <row r="594" spans="2:43" s="123" customFormat="1">
      <c r="B594" s="125"/>
      <c r="D594" s="125"/>
      <c r="J594" s="124"/>
      <c r="AA594" s="74"/>
      <c r="AE594" s="124"/>
      <c r="AI594" s="74"/>
      <c r="AM594" s="74"/>
      <c r="AQ594" s="74"/>
    </row>
    <row r="595" spans="2:43" s="123" customFormat="1">
      <c r="B595" s="125"/>
      <c r="D595" s="125"/>
      <c r="J595" s="124"/>
      <c r="AA595" s="74"/>
      <c r="AE595" s="124"/>
      <c r="AI595" s="74"/>
      <c r="AM595" s="74"/>
      <c r="AQ595" s="74"/>
    </row>
    <row r="596" spans="2:43" s="123" customFormat="1">
      <c r="B596" s="125"/>
      <c r="D596" s="125"/>
      <c r="J596" s="124"/>
      <c r="AA596" s="74"/>
      <c r="AE596" s="124"/>
      <c r="AI596" s="74"/>
      <c r="AM596" s="74"/>
      <c r="AQ596" s="74"/>
    </row>
    <row r="597" spans="2:43" s="123" customFormat="1">
      <c r="B597" s="125"/>
      <c r="D597" s="125"/>
      <c r="J597" s="124"/>
      <c r="AA597" s="74"/>
      <c r="AE597" s="124"/>
      <c r="AI597" s="74"/>
      <c r="AM597" s="74"/>
      <c r="AQ597" s="74"/>
    </row>
    <row r="598" spans="2:43" s="123" customFormat="1">
      <c r="B598" s="125"/>
      <c r="D598" s="125"/>
      <c r="J598" s="124"/>
      <c r="AA598" s="74"/>
      <c r="AE598" s="124"/>
      <c r="AI598" s="74"/>
      <c r="AM598" s="74"/>
      <c r="AQ598" s="74"/>
    </row>
    <row r="599" spans="2:43" s="123" customFormat="1">
      <c r="B599" s="125"/>
      <c r="D599" s="125"/>
      <c r="J599" s="124"/>
      <c r="AA599" s="74"/>
      <c r="AE599" s="124"/>
      <c r="AI599" s="74"/>
      <c r="AM599" s="74"/>
      <c r="AQ599" s="74"/>
    </row>
    <row r="600" spans="2:43" s="123" customFormat="1">
      <c r="B600" s="125"/>
      <c r="D600" s="125"/>
      <c r="J600" s="124"/>
      <c r="AA600" s="74"/>
      <c r="AE600" s="124"/>
      <c r="AI600" s="74"/>
      <c r="AM600" s="74"/>
      <c r="AQ600" s="74"/>
    </row>
    <row r="601" spans="2:43" s="123" customFormat="1">
      <c r="B601" s="125"/>
      <c r="D601" s="125"/>
      <c r="J601" s="124"/>
      <c r="AA601" s="74"/>
      <c r="AE601" s="124"/>
      <c r="AI601" s="74"/>
      <c r="AM601" s="74"/>
      <c r="AQ601" s="74"/>
    </row>
    <row r="602" spans="2:43" s="123" customFormat="1">
      <c r="B602" s="125"/>
      <c r="D602" s="125"/>
      <c r="J602" s="124"/>
      <c r="AA602" s="74"/>
      <c r="AE602" s="124"/>
      <c r="AI602" s="74"/>
      <c r="AM602" s="74"/>
      <c r="AQ602" s="74"/>
    </row>
    <row r="603" spans="2:43" s="123" customFormat="1">
      <c r="B603" s="125"/>
      <c r="D603" s="125"/>
      <c r="J603" s="124"/>
      <c r="AA603" s="74"/>
      <c r="AE603" s="124"/>
      <c r="AI603" s="74"/>
      <c r="AM603" s="74"/>
      <c r="AQ603" s="74"/>
    </row>
    <row r="604" spans="2:43" s="123" customFormat="1">
      <c r="B604" s="125"/>
      <c r="D604" s="125"/>
      <c r="J604" s="124"/>
      <c r="AA604" s="74"/>
      <c r="AE604" s="124"/>
      <c r="AI604" s="74"/>
      <c r="AM604" s="74"/>
      <c r="AQ604" s="74"/>
    </row>
    <row r="605" spans="2:43" s="123" customFormat="1">
      <c r="B605" s="125"/>
      <c r="D605" s="125"/>
      <c r="J605" s="124"/>
      <c r="AA605" s="74"/>
      <c r="AE605" s="124"/>
      <c r="AI605" s="74"/>
      <c r="AM605" s="74"/>
      <c r="AQ605" s="74"/>
    </row>
    <row r="606" spans="2:43" s="123" customFormat="1">
      <c r="B606" s="125"/>
      <c r="D606" s="125"/>
      <c r="J606" s="124"/>
      <c r="AA606" s="74"/>
      <c r="AE606" s="124"/>
      <c r="AI606" s="74"/>
      <c r="AM606" s="74"/>
      <c r="AQ606" s="74"/>
    </row>
    <row r="607" spans="2:43" s="123" customFormat="1">
      <c r="B607" s="125"/>
      <c r="D607" s="125"/>
      <c r="J607" s="124"/>
      <c r="AA607" s="74"/>
      <c r="AE607" s="124"/>
      <c r="AI607" s="74"/>
      <c r="AM607" s="74"/>
      <c r="AQ607" s="74"/>
    </row>
    <row r="608" spans="2:43" s="123" customFormat="1">
      <c r="B608" s="125"/>
      <c r="D608" s="125"/>
      <c r="J608" s="124"/>
      <c r="AA608" s="74"/>
      <c r="AE608" s="124"/>
      <c r="AI608" s="74"/>
      <c r="AM608" s="74"/>
      <c r="AQ608" s="74"/>
    </row>
    <row r="609" spans="2:43" s="123" customFormat="1">
      <c r="B609" s="125"/>
      <c r="D609" s="125"/>
      <c r="J609" s="124"/>
      <c r="AA609" s="74"/>
      <c r="AE609" s="124"/>
      <c r="AI609" s="74"/>
      <c r="AM609" s="74"/>
      <c r="AQ609" s="74"/>
    </row>
    <row r="610" spans="2:43" s="123" customFormat="1">
      <c r="B610" s="125"/>
      <c r="D610" s="125"/>
      <c r="J610" s="124"/>
      <c r="AA610" s="74"/>
      <c r="AE610" s="124"/>
      <c r="AI610" s="74"/>
      <c r="AM610" s="74"/>
      <c r="AQ610" s="74"/>
    </row>
    <row r="611" spans="2:43" s="123" customFormat="1">
      <c r="B611" s="125"/>
      <c r="D611" s="125"/>
      <c r="J611" s="124"/>
      <c r="AA611" s="74"/>
      <c r="AE611" s="124"/>
      <c r="AI611" s="74"/>
      <c r="AM611" s="74"/>
      <c r="AQ611" s="74"/>
    </row>
    <row r="612" spans="2:43" s="123" customFormat="1">
      <c r="B612" s="125"/>
      <c r="D612" s="125"/>
      <c r="J612" s="124"/>
      <c r="AA612" s="74"/>
      <c r="AE612" s="124"/>
      <c r="AI612" s="74"/>
      <c r="AM612" s="74"/>
      <c r="AQ612" s="74"/>
    </row>
    <row r="613" spans="2:43" s="123" customFormat="1">
      <c r="B613" s="125"/>
      <c r="D613" s="125"/>
      <c r="J613" s="124"/>
      <c r="AA613" s="74"/>
      <c r="AE613" s="124"/>
      <c r="AI613" s="74"/>
      <c r="AM613" s="74"/>
      <c r="AQ613" s="74"/>
    </row>
    <row r="614" spans="2:43" s="123" customFormat="1">
      <c r="B614" s="125"/>
      <c r="D614" s="125"/>
      <c r="J614" s="124"/>
      <c r="AA614" s="74"/>
      <c r="AE614" s="124"/>
      <c r="AI614" s="74"/>
      <c r="AM614" s="74"/>
      <c r="AQ614" s="74"/>
    </row>
    <row r="615" spans="2:43" s="123" customFormat="1">
      <c r="B615" s="125"/>
      <c r="D615" s="125"/>
      <c r="J615" s="124"/>
      <c r="AA615" s="74"/>
      <c r="AE615" s="124"/>
      <c r="AI615" s="74"/>
      <c r="AM615" s="74"/>
      <c r="AQ615" s="74"/>
    </row>
    <row r="616" spans="2:43" s="123" customFormat="1">
      <c r="B616" s="125"/>
      <c r="D616" s="125"/>
      <c r="J616" s="124"/>
      <c r="AA616" s="74"/>
      <c r="AE616" s="124"/>
      <c r="AI616" s="74"/>
      <c r="AM616" s="74"/>
      <c r="AQ616" s="74"/>
    </row>
    <row r="617" spans="2:43" s="123" customFormat="1">
      <c r="B617" s="125"/>
      <c r="D617" s="125"/>
      <c r="J617" s="124"/>
      <c r="AA617" s="74"/>
      <c r="AE617" s="124"/>
      <c r="AI617" s="74"/>
      <c r="AM617" s="74"/>
      <c r="AQ617" s="74"/>
    </row>
    <row r="618" spans="2:43" s="123" customFormat="1">
      <c r="B618" s="125"/>
      <c r="D618" s="125"/>
      <c r="J618" s="124"/>
      <c r="AA618" s="74"/>
      <c r="AE618" s="124"/>
      <c r="AI618" s="74"/>
      <c r="AM618" s="74"/>
      <c r="AQ618" s="74"/>
    </row>
    <row r="619" spans="2:43" s="123" customFormat="1">
      <c r="B619" s="125"/>
      <c r="D619" s="125"/>
      <c r="J619" s="124"/>
      <c r="AA619" s="74"/>
      <c r="AE619" s="124"/>
      <c r="AI619" s="74"/>
      <c r="AM619" s="74"/>
      <c r="AQ619" s="74"/>
    </row>
    <row r="620" spans="2:43" s="123" customFormat="1">
      <c r="B620" s="125"/>
      <c r="D620" s="125"/>
      <c r="J620" s="124"/>
      <c r="AA620" s="74"/>
      <c r="AE620" s="124"/>
      <c r="AI620" s="74"/>
      <c r="AM620" s="74"/>
      <c r="AQ620" s="74"/>
    </row>
    <row r="621" spans="2:43" s="123" customFormat="1">
      <c r="B621" s="125"/>
      <c r="D621" s="125"/>
      <c r="J621" s="124"/>
      <c r="AA621" s="74"/>
      <c r="AE621" s="124"/>
      <c r="AI621" s="74"/>
      <c r="AM621" s="74"/>
      <c r="AQ621" s="74"/>
    </row>
    <row r="622" spans="2:43" s="123" customFormat="1">
      <c r="B622" s="125"/>
      <c r="D622" s="125"/>
      <c r="J622" s="124"/>
      <c r="AA622" s="74"/>
      <c r="AE622" s="124"/>
      <c r="AI622" s="74"/>
      <c r="AM622" s="74"/>
      <c r="AQ622" s="74"/>
    </row>
    <row r="623" spans="2:43" s="123" customFormat="1">
      <c r="B623" s="125"/>
      <c r="D623" s="125"/>
      <c r="J623" s="124"/>
      <c r="AA623" s="74"/>
      <c r="AE623" s="124"/>
      <c r="AI623" s="74"/>
      <c r="AM623" s="74"/>
      <c r="AQ623" s="74"/>
    </row>
    <row r="624" spans="2:43" s="123" customFormat="1">
      <c r="B624" s="125"/>
      <c r="D624" s="125"/>
      <c r="J624" s="124"/>
      <c r="AA624" s="74"/>
      <c r="AE624" s="124"/>
      <c r="AI624" s="74"/>
      <c r="AM624" s="74"/>
      <c r="AQ624" s="74"/>
    </row>
    <row r="625" spans="2:43" s="123" customFormat="1">
      <c r="B625" s="125"/>
      <c r="D625" s="125"/>
      <c r="J625" s="124"/>
      <c r="AA625" s="74"/>
      <c r="AE625" s="124"/>
      <c r="AI625" s="74"/>
      <c r="AM625" s="74"/>
      <c r="AQ625" s="74"/>
    </row>
    <row r="626" spans="2:43" s="123" customFormat="1">
      <c r="B626" s="125"/>
      <c r="D626" s="125"/>
      <c r="J626" s="124"/>
      <c r="AA626" s="74"/>
      <c r="AE626" s="124"/>
      <c r="AI626" s="74"/>
      <c r="AM626" s="74"/>
      <c r="AQ626" s="74"/>
    </row>
    <row r="627" spans="2:43" s="123" customFormat="1">
      <c r="B627" s="125"/>
      <c r="D627" s="125"/>
      <c r="J627" s="124"/>
      <c r="AA627" s="74"/>
      <c r="AE627" s="124"/>
      <c r="AI627" s="74"/>
      <c r="AM627" s="74"/>
      <c r="AQ627" s="74"/>
    </row>
    <row r="628" spans="2:43" s="123" customFormat="1">
      <c r="B628" s="125"/>
      <c r="D628" s="125"/>
      <c r="J628" s="124"/>
      <c r="AA628" s="74"/>
      <c r="AE628" s="124"/>
      <c r="AI628" s="74"/>
      <c r="AM628" s="74"/>
      <c r="AQ628" s="74"/>
    </row>
    <row r="629" spans="2:43" s="123" customFormat="1">
      <c r="B629" s="125"/>
      <c r="D629" s="125"/>
      <c r="J629" s="124"/>
      <c r="AA629" s="74"/>
      <c r="AE629" s="124"/>
      <c r="AI629" s="74"/>
      <c r="AM629" s="74"/>
      <c r="AQ629" s="74"/>
    </row>
    <row r="630" spans="2:43" s="123" customFormat="1">
      <c r="B630" s="125"/>
      <c r="D630" s="125"/>
      <c r="J630" s="124"/>
      <c r="AA630" s="74"/>
      <c r="AE630" s="124"/>
      <c r="AI630" s="74"/>
      <c r="AM630" s="74"/>
      <c r="AQ630" s="74"/>
    </row>
    <row r="631" spans="2:43" s="123" customFormat="1">
      <c r="B631" s="125"/>
      <c r="D631" s="125"/>
      <c r="J631" s="124"/>
      <c r="AA631" s="74"/>
      <c r="AE631" s="124"/>
      <c r="AI631" s="74"/>
      <c r="AM631" s="74"/>
      <c r="AQ631" s="74"/>
    </row>
    <row r="632" spans="2:43" s="123" customFormat="1">
      <c r="B632" s="125"/>
      <c r="D632" s="125"/>
      <c r="J632" s="124"/>
      <c r="AA632" s="74"/>
      <c r="AE632" s="124"/>
      <c r="AI632" s="74"/>
      <c r="AM632" s="74"/>
      <c r="AQ632" s="74"/>
    </row>
    <row r="633" spans="2:43" s="123" customFormat="1">
      <c r="B633" s="125"/>
      <c r="D633" s="125"/>
      <c r="J633" s="124"/>
      <c r="AA633" s="74"/>
      <c r="AE633" s="124"/>
      <c r="AI633" s="74"/>
      <c r="AM633" s="74"/>
      <c r="AQ633" s="74"/>
    </row>
    <row r="634" spans="2:43" s="123" customFormat="1">
      <c r="B634" s="125"/>
      <c r="D634" s="125"/>
      <c r="J634" s="124"/>
      <c r="AA634" s="74"/>
      <c r="AE634" s="124"/>
      <c r="AI634" s="74"/>
      <c r="AM634" s="74"/>
      <c r="AQ634" s="74"/>
    </row>
    <row r="635" spans="2:43" s="123" customFormat="1">
      <c r="B635" s="125"/>
      <c r="D635" s="125"/>
      <c r="J635" s="124"/>
      <c r="AA635" s="74"/>
      <c r="AE635" s="124"/>
      <c r="AI635" s="74"/>
      <c r="AM635" s="74"/>
      <c r="AQ635" s="74"/>
    </row>
    <row r="636" spans="2:43" s="123" customFormat="1">
      <c r="B636" s="125"/>
      <c r="D636" s="125"/>
      <c r="J636" s="124"/>
      <c r="AA636" s="74"/>
      <c r="AE636" s="124"/>
      <c r="AI636" s="74"/>
      <c r="AM636" s="74"/>
      <c r="AQ636" s="74"/>
    </row>
    <row r="637" spans="2:43" s="123" customFormat="1">
      <c r="B637" s="125"/>
      <c r="D637" s="125"/>
      <c r="J637" s="124"/>
      <c r="AA637" s="74"/>
      <c r="AE637" s="124"/>
      <c r="AI637" s="74"/>
      <c r="AM637" s="74"/>
      <c r="AQ637" s="74"/>
    </row>
    <row r="638" spans="2:43" s="123" customFormat="1">
      <c r="B638" s="125"/>
      <c r="D638" s="125"/>
      <c r="J638" s="124"/>
      <c r="AA638" s="74"/>
      <c r="AE638" s="124"/>
      <c r="AI638" s="74"/>
      <c r="AM638" s="74"/>
      <c r="AQ638" s="74"/>
    </row>
    <row r="639" spans="2:43" s="123" customFormat="1">
      <c r="B639" s="125"/>
      <c r="D639" s="125"/>
      <c r="J639" s="124"/>
      <c r="AA639" s="74"/>
      <c r="AE639" s="124"/>
      <c r="AI639" s="74"/>
      <c r="AM639" s="74"/>
      <c r="AQ639" s="74"/>
    </row>
    <row r="640" spans="2:43" s="123" customFormat="1">
      <c r="B640" s="125"/>
      <c r="D640" s="125"/>
      <c r="J640" s="124"/>
      <c r="AA640" s="74"/>
      <c r="AE640" s="124"/>
      <c r="AI640" s="74"/>
      <c r="AM640" s="74"/>
      <c r="AQ640" s="74"/>
    </row>
    <row r="641" spans="2:43" s="123" customFormat="1">
      <c r="B641" s="125"/>
      <c r="D641" s="125"/>
      <c r="J641" s="124"/>
      <c r="AA641" s="74"/>
      <c r="AE641" s="124"/>
      <c r="AI641" s="74"/>
      <c r="AM641" s="74"/>
      <c r="AQ641" s="74"/>
    </row>
    <row r="642" spans="2:43" s="123" customFormat="1">
      <c r="B642" s="125"/>
      <c r="D642" s="125"/>
      <c r="J642" s="124"/>
      <c r="AA642" s="74"/>
      <c r="AE642" s="124"/>
      <c r="AI642" s="74"/>
      <c r="AM642" s="74"/>
      <c r="AQ642" s="74"/>
    </row>
    <row r="643" spans="2:43" s="123" customFormat="1">
      <c r="B643" s="125"/>
      <c r="D643" s="125"/>
      <c r="J643" s="124"/>
      <c r="AA643" s="74"/>
      <c r="AE643" s="124"/>
      <c r="AI643" s="74"/>
      <c r="AM643" s="74"/>
      <c r="AQ643" s="74"/>
    </row>
    <row r="644" spans="2:43" s="123" customFormat="1">
      <c r="B644" s="125"/>
      <c r="D644" s="125"/>
      <c r="J644" s="124"/>
      <c r="AA644" s="74"/>
      <c r="AE644" s="124"/>
      <c r="AI644" s="74"/>
      <c r="AM644" s="74"/>
      <c r="AQ644" s="74"/>
    </row>
    <row r="645" spans="2:43" s="123" customFormat="1">
      <c r="B645" s="125"/>
      <c r="D645" s="125"/>
      <c r="J645" s="124"/>
      <c r="AA645" s="74"/>
      <c r="AE645" s="124"/>
      <c r="AI645" s="74"/>
      <c r="AM645" s="74"/>
      <c r="AQ645" s="74"/>
    </row>
    <row r="646" spans="2:43" s="123" customFormat="1">
      <c r="B646" s="125"/>
      <c r="D646" s="125"/>
      <c r="J646" s="124"/>
      <c r="AA646" s="74"/>
      <c r="AE646" s="124"/>
      <c r="AI646" s="74"/>
      <c r="AM646" s="74"/>
      <c r="AQ646" s="74"/>
    </row>
    <row r="647" spans="2:43" s="123" customFormat="1">
      <c r="B647" s="125"/>
      <c r="D647" s="125"/>
      <c r="J647" s="124"/>
      <c r="AA647" s="74"/>
      <c r="AE647" s="124"/>
      <c r="AI647" s="74"/>
      <c r="AM647" s="74"/>
      <c r="AQ647" s="74"/>
    </row>
    <row r="648" spans="2:43" s="123" customFormat="1">
      <c r="B648" s="125"/>
      <c r="D648" s="125"/>
      <c r="J648" s="124"/>
      <c r="AA648" s="74"/>
      <c r="AE648" s="124"/>
      <c r="AI648" s="74"/>
      <c r="AM648" s="74"/>
      <c r="AQ648" s="74"/>
    </row>
    <row r="649" spans="2:43" s="123" customFormat="1">
      <c r="B649" s="125"/>
      <c r="D649" s="125"/>
      <c r="J649" s="124"/>
      <c r="AA649" s="74"/>
      <c r="AE649" s="124"/>
      <c r="AI649" s="74"/>
      <c r="AM649" s="74"/>
      <c r="AQ649" s="74"/>
    </row>
    <row r="650" spans="2:43" s="123" customFormat="1">
      <c r="B650" s="125"/>
      <c r="D650" s="125"/>
      <c r="J650" s="124"/>
      <c r="AA650" s="74"/>
      <c r="AE650" s="124"/>
      <c r="AI650" s="74"/>
      <c r="AM650" s="74"/>
      <c r="AQ650" s="74"/>
    </row>
    <row r="651" spans="2:43" s="123" customFormat="1">
      <c r="B651" s="125"/>
      <c r="D651" s="125"/>
      <c r="J651" s="124"/>
      <c r="AA651" s="74"/>
      <c r="AE651" s="124"/>
      <c r="AI651" s="74"/>
      <c r="AM651" s="74"/>
      <c r="AQ651" s="74"/>
    </row>
    <row r="652" spans="2:43" s="123" customFormat="1">
      <c r="B652" s="125"/>
      <c r="D652" s="125"/>
      <c r="J652" s="124"/>
      <c r="AA652" s="74"/>
      <c r="AE652" s="124"/>
      <c r="AI652" s="74"/>
      <c r="AM652" s="74"/>
      <c r="AQ652" s="74"/>
    </row>
    <row r="653" spans="2:43" s="123" customFormat="1">
      <c r="B653" s="125"/>
      <c r="D653" s="125"/>
      <c r="J653" s="124"/>
      <c r="AA653" s="74"/>
      <c r="AE653" s="124"/>
      <c r="AI653" s="74"/>
      <c r="AM653" s="74"/>
      <c r="AQ653" s="74"/>
    </row>
    <row r="654" spans="2:43" s="123" customFormat="1">
      <c r="B654" s="125"/>
      <c r="D654" s="125"/>
      <c r="J654" s="124"/>
      <c r="AA654" s="74"/>
      <c r="AE654" s="124"/>
      <c r="AI654" s="74"/>
      <c r="AM654" s="74"/>
      <c r="AQ654" s="74"/>
    </row>
    <row r="655" spans="2:43" s="123" customFormat="1">
      <c r="B655" s="125"/>
      <c r="D655" s="125"/>
      <c r="J655" s="124"/>
      <c r="AA655" s="74"/>
      <c r="AE655" s="124"/>
      <c r="AI655" s="74"/>
      <c r="AM655" s="74"/>
      <c r="AQ655" s="74"/>
    </row>
    <row r="656" spans="2:43" s="123" customFormat="1">
      <c r="B656" s="125"/>
      <c r="D656" s="125"/>
      <c r="J656" s="124"/>
      <c r="AA656" s="74"/>
      <c r="AE656" s="124"/>
      <c r="AI656" s="74"/>
      <c r="AM656" s="74"/>
      <c r="AQ656" s="74"/>
    </row>
    <row r="657" spans="2:43" s="123" customFormat="1">
      <c r="B657" s="125"/>
      <c r="D657" s="125"/>
      <c r="J657" s="124"/>
      <c r="AA657" s="74"/>
      <c r="AE657" s="124"/>
      <c r="AI657" s="74"/>
      <c r="AM657" s="74"/>
      <c r="AQ657" s="74"/>
    </row>
    <row r="658" spans="2:43" s="123" customFormat="1">
      <c r="B658" s="125"/>
      <c r="D658" s="125"/>
      <c r="J658" s="124"/>
      <c r="AA658" s="74"/>
      <c r="AE658" s="124"/>
      <c r="AI658" s="74"/>
      <c r="AM658" s="74"/>
      <c r="AQ658" s="74"/>
    </row>
    <row r="659" spans="2:43" s="123" customFormat="1">
      <c r="B659" s="125"/>
      <c r="D659" s="125"/>
      <c r="J659" s="124"/>
      <c r="AA659" s="74"/>
      <c r="AE659" s="124"/>
      <c r="AI659" s="74"/>
      <c r="AM659" s="74"/>
      <c r="AQ659" s="74"/>
    </row>
    <row r="660" spans="2:43" s="123" customFormat="1">
      <c r="B660" s="125"/>
      <c r="D660" s="125"/>
      <c r="J660" s="124"/>
      <c r="AA660" s="74"/>
      <c r="AE660" s="124"/>
      <c r="AI660" s="74"/>
      <c r="AM660" s="74"/>
      <c r="AQ660" s="74"/>
    </row>
    <row r="661" spans="2:43" s="123" customFormat="1">
      <c r="B661" s="125"/>
      <c r="D661" s="125"/>
      <c r="J661" s="124"/>
      <c r="AA661" s="74"/>
      <c r="AE661" s="124"/>
      <c r="AI661" s="74"/>
      <c r="AM661" s="74"/>
      <c r="AQ661" s="74"/>
    </row>
    <row r="662" spans="2:43" s="123" customFormat="1">
      <c r="B662" s="125"/>
      <c r="D662" s="125"/>
      <c r="J662" s="124"/>
      <c r="AA662" s="74"/>
      <c r="AE662" s="124"/>
      <c r="AI662" s="74"/>
      <c r="AM662" s="74"/>
      <c r="AQ662" s="74"/>
    </row>
    <row r="663" spans="2:43" s="123" customFormat="1">
      <c r="B663" s="125"/>
      <c r="D663" s="125"/>
      <c r="J663" s="124"/>
      <c r="AA663" s="74"/>
      <c r="AE663" s="124"/>
      <c r="AI663" s="74"/>
      <c r="AM663" s="74"/>
      <c r="AQ663" s="74"/>
    </row>
    <row r="664" spans="2:43" s="123" customFormat="1">
      <c r="B664" s="125"/>
      <c r="D664" s="125"/>
      <c r="J664" s="124"/>
      <c r="AA664" s="74"/>
      <c r="AE664" s="124"/>
      <c r="AI664" s="74"/>
      <c r="AM664" s="74"/>
      <c r="AQ664" s="74"/>
    </row>
    <row r="665" spans="2:43" s="123" customFormat="1">
      <c r="B665" s="125"/>
      <c r="D665" s="125"/>
      <c r="J665" s="124"/>
      <c r="AA665" s="74"/>
      <c r="AE665" s="124"/>
      <c r="AI665" s="74"/>
      <c r="AM665" s="74"/>
      <c r="AQ665" s="74"/>
    </row>
    <row r="666" spans="2:43" s="123" customFormat="1">
      <c r="B666" s="125"/>
      <c r="D666" s="125"/>
      <c r="J666" s="124"/>
      <c r="AA666" s="74"/>
      <c r="AE666" s="124"/>
      <c r="AI666" s="74"/>
      <c r="AM666" s="74"/>
      <c r="AQ666" s="74"/>
    </row>
    <row r="667" spans="2:43" s="123" customFormat="1">
      <c r="B667" s="125"/>
      <c r="D667" s="125"/>
      <c r="J667" s="124"/>
      <c r="AA667" s="74"/>
      <c r="AE667" s="124"/>
      <c r="AI667" s="74"/>
      <c r="AM667" s="74"/>
      <c r="AQ667" s="74"/>
    </row>
    <row r="668" spans="2:43" s="123" customFormat="1">
      <c r="B668" s="125"/>
      <c r="D668" s="125"/>
      <c r="J668" s="124"/>
      <c r="AA668" s="74"/>
      <c r="AE668" s="124"/>
      <c r="AI668" s="74"/>
      <c r="AM668" s="74"/>
      <c r="AQ668" s="74"/>
    </row>
    <row r="669" spans="2:43" s="123" customFormat="1">
      <c r="B669" s="125"/>
      <c r="D669" s="125"/>
      <c r="J669" s="124"/>
      <c r="AA669" s="74"/>
      <c r="AE669" s="124"/>
      <c r="AI669" s="74"/>
      <c r="AM669" s="74"/>
      <c r="AQ669" s="74"/>
    </row>
    <row r="670" spans="2:43" s="123" customFormat="1">
      <c r="B670" s="125"/>
      <c r="D670" s="125"/>
      <c r="J670" s="124"/>
      <c r="AA670" s="74"/>
      <c r="AE670" s="124"/>
      <c r="AI670" s="74"/>
      <c r="AM670" s="74"/>
      <c r="AQ670" s="74"/>
    </row>
    <row r="671" spans="2:43" s="123" customFormat="1">
      <c r="B671" s="125"/>
      <c r="D671" s="125"/>
      <c r="J671" s="124"/>
      <c r="AA671" s="74"/>
      <c r="AE671" s="124"/>
      <c r="AI671" s="74"/>
      <c r="AM671" s="74"/>
      <c r="AQ671" s="74"/>
    </row>
    <row r="672" spans="2:43" s="123" customFormat="1">
      <c r="B672" s="125"/>
      <c r="D672" s="125"/>
      <c r="J672" s="124"/>
      <c r="AA672" s="74"/>
      <c r="AE672" s="124"/>
      <c r="AI672" s="74"/>
      <c r="AM672" s="74"/>
      <c r="AQ672" s="74"/>
    </row>
    <row r="673" spans="2:43" s="123" customFormat="1">
      <c r="B673" s="125"/>
      <c r="D673" s="125"/>
      <c r="J673" s="124"/>
      <c r="AA673" s="74"/>
      <c r="AE673" s="124"/>
      <c r="AI673" s="74"/>
      <c r="AM673" s="74"/>
      <c r="AQ673" s="74"/>
    </row>
    <row r="674" spans="2:43" s="123" customFormat="1">
      <c r="B674" s="125"/>
      <c r="D674" s="125"/>
      <c r="J674" s="124"/>
      <c r="AA674" s="74"/>
      <c r="AE674" s="124"/>
      <c r="AI674" s="74"/>
      <c r="AM674" s="74"/>
      <c r="AQ674" s="74"/>
    </row>
    <row r="675" spans="2:43" s="123" customFormat="1">
      <c r="B675" s="125"/>
      <c r="D675" s="125"/>
      <c r="J675" s="124"/>
      <c r="AA675" s="74"/>
      <c r="AE675" s="124"/>
      <c r="AI675" s="74"/>
      <c r="AM675" s="74"/>
      <c r="AQ675" s="74"/>
    </row>
    <row r="676" spans="2:43" s="123" customFormat="1">
      <c r="B676" s="125"/>
      <c r="D676" s="125"/>
      <c r="J676" s="124"/>
      <c r="AA676" s="74"/>
      <c r="AE676" s="124"/>
      <c r="AI676" s="74"/>
      <c r="AM676" s="74"/>
      <c r="AQ676" s="74"/>
    </row>
    <row r="677" spans="2:43" s="123" customFormat="1">
      <c r="B677" s="125"/>
      <c r="D677" s="125"/>
      <c r="J677" s="124"/>
      <c r="AA677" s="74"/>
      <c r="AE677" s="124"/>
      <c r="AI677" s="74"/>
      <c r="AM677" s="74"/>
      <c r="AQ677" s="74"/>
    </row>
    <row r="678" spans="2:43" s="123" customFormat="1">
      <c r="B678" s="125"/>
      <c r="D678" s="125"/>
      <c r="J678" s="124"/>
      <c r="AA678" s="74"/>
      <c r="AE678" s="124"/>
      <c r="AI678" s="74"/>
      <c r="AM678" s="74"/>
      <c r="AQ678" s="74"/>
    </row>
    <row r="679" spans="2:43" s="123" customFormat="1">
      <c r="B679" s="125"/>
      <c r="D679" s="125"/>
      <c r="J679" s="124"/>
      <c r="AA679" s="74"/>
      <c r="AE679" s="124"/>
      <c r="AI679" s="74"/>
      <c r="AM679" s="74"/>
      <c r="AQ679" s="74"/>
    </row>
    <row r="680" spans="2:43" s="123" customFormat="1">
      <c r="B680" s="125"/>
      <c r="D680" s="125"/>
      <c r="J680" s="124"/>
      <c r="AA680" s="74"/>
      <c r="AE680" s="124"/>
      <c r="AI680" s="74"/>
      <c r="AM680" s="74"/>
      <c r="AQ680" s="74"/>
    </row>
    <row r="681" spans="2:43" s="123" customFormat="1">
      <c r="B681" s="125"/>
      <c r="D681" s="125"/>
      <c r="J681" s="124"/>
      <c r="AA681" s="74"/>
      <c r="AE681" s="124"/>
      <c r="AI681" s="74"/>
      <c r="AM681" s="74"/>
      <c r="AQ681" s="74"/>
    </row>
    <row r="682" spans="2:43" s="123" customFormat="1">
      <c r="B682" s="125"/>
      <c r="D682" s="125"/>
      <c r="J682" s="124"/>
      <c r="AA682" s="74"/>
      <c r="AE682" s="124"/>
      <c r="AI682" s="74"/>
      <c r="AM682" s="74"/>
      <c r="AQ682" s="74"/>
    </row>
    <row r="683" spans="2:43" s="123" customFormat="1">
      <c r="B683" s="125"/>
      <c r="D683" s="125"/>
      <c r="J683" s="124"/>
      <c r="AA683" s="74"/>
      <c r="AE683" s="124"/>
      <c r="AI683" s="74"/>
      <c r="AM683" s="74"/>
      <c r="AQ683" s="74"/>
    </row>
    <row r="684" spans="2:43" s="123" customFormat="1">
      <c r="B684" s="125"/>
      <c r="D684" s="125"/>
      <c r="J684" s="124"/>
      <c r="AA684" s="74"/>
      <c r="AE684" s="124"/>
      <c r="AI684" s="74"/>
      <c r="AM684" s="74"/>
      <c r="AQ684" s="74"/>
    </row>
    <row r="685" spans="2:43" s="123" customFormat="1">
      <c r="B685" s="125"/>
      <c r="D685" s="125"/>
      <c r="J685" s="124"/>
      <c r="AA685" s="74"/>
      <c r="AE685" s="124"/>
      <c r="AI685" s="74"/>
      <c r="AM685" s="74"/>
      <c r="AQ685" s="74"/>
    </row>
    <row r="686" spans="2:43" s="123" customFormat="1">
      <c r="B686" s="125"/>
      <c r="D686" s="125"/>
      <c r="J686" s="124"/>
      <c r="AA686" s="74"/>
      <c r="AE686" s="124"/>
      <c r="AI686" s="74"/>
      <c r="AM686" s="74"/>
      <c r="AQ686" s="74"/>
    </row>
    <row r="687" spans="2:43" s="123" customFormat="1">
      <c r="B687" s="125"/>
      <c r="D687" s="125"/>
      <c r="J687" s="124"/>
      <c r="AA687" s="74"/>
      <c r="AE687" s="124"/>
      <c r="AI687" s="74"/>
      <c r="AM687" s="74"/>
      <c r="AQ687" s="74"/>
    </row>
    <row r="688" spans="2:43" s="123" customFormat="1">
      <c r="B688" s="125"/>
      <c r="D688" s="125"/>
      <c r="J688" s="124"/>
      <c r="AA688" s="74"/>
      <c r="AE688" s="124"/>
      <c r="AI688" s="74"/>
      <c r="AM688" s="74"/>
      <c r="AQ688" s="74"/>
    </row>
    <row r="689" spans="2:43" s="123" customFormat="1">
      <c r="B689" s="125"/>
      <c r="D689" s="125"/>
      <c r="J689" s="124"/>
      <c r="AA689" s="74"/>
      <c r="AE689" s="124"/>
      <c r="AI689" s="74"/>
      <c r="AM689" s="74"/>
      <c r="AQ689" s="74"/>
    </row>
    <row r="690" spans="2:43" s="123" customFormat="1">
      <c r="B690" s="125"/>
      <c r="D690" s="125"/>
      <c r="J690" s="124"/>
      <c r="AA690" s="74"/>
      <c r="AE690" s="124"/>
      <c r="AI690" s="74"/>
      <c r="AM690" s="74"/>
      <c r="AQ690" s="74"/>
    </row>
    <row r="691" spans="2:43" s="123" customFormat="1">
      <c r="B691" s="125"/>
      <c r="D691" s="125"/>
      <c r="J691" s="124"/>
      <c r="AA691" s="74"/>
      <c r="AE691" s="124"/>
      <c r="AI691" s="74"/>
      <c r="AM691" s="74"/>
      <c r="AQ691" s="74"/>
    </row>
    <row r="692" spans="2:43" s="123" customFormat="1">
      <c r="B692" s="125"/>
      <c r="D692" s="125"/>
      <c r="J692" s="124"/>
      <c r="AA692" s="74"/>
      <c r="AE692" s="124"/>
      <c r="AI692" s="74"/>
      <c r="AM692" s="74"/>
      <c r="AQ692" s="74"/>
    </row>
    <row r="693" spans="2:43" s="123" customFormat="1">
      <c r="B693" s="125"/>
      <c r="D693" s="125"/>
      <c r="J693" s="124"/>
      <c r="AA693" s="74"/>
      <c r="AE693" s="124"/>
      <c r="AI693" s="74"/>
      <c r="AM693" s="74"/>
      <c r="AQ693" s="74"/>
    </row>
    <row r="694" spans="2:43" s="123" customFormat="1">
      <c r="B694" s="125"/>
      <c r="D694" s="125"/>
      <c r="J694" s="124"/>
      <c r="AA694" s="74"/>
      <c r="AE694" s="124"/>
      <c r="AI694" s="74"/>
      <c r="AM694" s="74"/>
      <c r="AQ694" s="74"/>
    </row>
    <row r="695" spans="2:43" s="123" customFormat="1">
      <c r="B695" s="125"/>
      <c r="D695" s="125"/>
      <c r="J695" s="124"/>
      <c r="AA695" s="74"/>
      <c r="AE695" s="124"/>
      <c r="AI695" s="74"/>
      <c r="AM695" s="74"/>
      <c r="AQ695" s="74"/>
    </row>
    <row r="696" spans="2:43" s="123" customFormat="1">
      <c r="B696" s="125"/>
      <c r="D696" s="125"/>
      <c r="J696" s="124"/>
      <c r="AA696" s="74"/>
      <c r="AE696" s="124"/>
      <c r="AI696" s="74"/>
      <c r="AM696" s="74"/>
      <c r="AQ696" s="74"/>
    </row>
    <row r="697" spans="2:43" s="123" customFormat="1">
      <c r="B697" s="125"/>
      <c r="D697" s="125"/>
      <c r="J697" s="124"/>
      <c r="AA697" s="74"/>
      <c r="AE697" s="124"/>
      <c r="AI697" s="74"/>
      <c r="AM697" s="74"/>
      <c r="AQ697" s="74"/>
    </row>
    <row r="698" spans="2:43" s="123" customFormat="1">
      <c r="B698" s="125"/>
      <c r="D698" s="125"/>
      <c r="J698" s="124"/>
      <c r="AA698" s="74"/>
      <c r="AE698" s="124"/>
      <c r="AI698" s="74"/>
      <c r="AM698" s="74"/>
      <c r="AQ698" s="74"/>
    </row>
    <row r="699" spans="2:43" s="123" customFormat="1">
      <c r="B699" s="125"/>
      <c r="D699" s="125"/>
      <c r="J699" s="124"/>
      <c r="AA699" s="74"/>
      <c r="AE699" s="124"/>
      <c r="AI699" s="74"/>
      <c r="AM699" s="74"/>
      <c r="AQ699" s="74"/>
    </row>
    <row r="700" spans="2:43" s="123" customFormat="1">
      <c r="B700" s="125"/>
      <c r="D700" s="125"/>
      <c r="J700" s="124"/>
      <c r="AA700" s="74"/>
      <c r="AE700" s="124"/>
      <c r="AI700" s="74"/>
      <c r="AM700" s="74"/>
      <c r="AQ700" s="74"/>
    </row>
    <row r="701" spans="2:43" s="123" customFormat="1">
      <c r="B701" s="125"/>
      <c r="D701" s="125"/>
      <c r="J701" s="124"/>
      <c r="AA701" s="74"/>
      <c r="AE701" s="124"/>
      <c r="AI701" s="74"/>
      <c r="AM701" s="74"/>
      <c r="AQ701" s="74"/>
    </row>
    <row r="702" spans="2:43" s="123" customFormat="1">
      <c r="B702" s="125"/>
      <c r="D702" s="125"/>
      <c r="J702" s="124"/>
      <c r="AA702" s="74"/>
      <c r="AE702" s="124"/>
      <c r="AI702" s="74"/>
      <c r="AM702" s="74"/>
      <c r="AQ702" s="74"/>
    </row>
    <row r="703" spans="2:43" s="123" customFormat="1">
      <c r="B703" s="125"/>
      <c r="D703" s="125"/>
      <c r="J703" s="124"/>
      <c r="AA703" s="74"/>
      <c r="AE703" s="124"/>
      <c r="AI703" s="74"/>
      <c r="AM703" s="74"/>
      <c r="AQ703" s="74"/>
    </row>
    <row r="704" spans="2:43" s="123" customFormat="1">
      <c r="B704" s="125"/>
      <c r="D704" s="125"/>
      <c r="J704" s="124"/>
      <c r="AA704" s="74"/>
      <c r="AE704" s="124"/>
      <c r="AI704" s="74"/>
      <c r="AM704" s="74"/>
      <c r="AQ704" s="74"/>
    </row>
    <row r="705" spans="2:43" s="123" customFormat="1">
      <c r="B705" s="125"/>
      <c r="D705" s="125"/>
      <c r="J705" s="124"/>
      <c r="AA705" s="74"/>
      <c r="AE705" s="124"/>
      <c r="AI705" s="74"/>
      <c r="AM705" s="74"/>
      <c r="AQ705" s="74"/>
    </row>
    <row r="706" spans="2:43" s="123" customFormat="1">
      <c r="B706" s="125"/>
      <c r="D706" s="125"/>
      <c r="J706" s="124"/>
      <c r="AA706" s="74"/>
      <c r="AE706" s="124"/>
      <c r="AI706" s="74"/>
      <c r="AM706" s="74"/>
      <c r="AQ706" s="74"/>
    </row>
    <row r="707" spans="2:43" s="123" customFormat="1">
      <c r="B707" s="125"/>
      <c r="D707" s="125"/>
      <c r="J707" s="124"/>
      <c r="AA707" s="74"/>
      <c r="AE707" s="124"/>
      <c r="AI707" s="74"/>
      <c r="AM707" s="74"/>
      <c r="AQ707" s="74"/>
    </row>
    <row r="708" spans="2:43" s="123" customFormat="1">
      <c r="B708" s="125"/>
      <c r="D708" s="125"/>
      <c r="J708" s="124"/>
      <c r="AA708" s="74"/>
      <c r="AE708" s="124"/>
      <c r="AI708" s="74"/>
      <c r="AM708" s="74"/>
      <c r="AQ708" s="74"/>
    </row>
    <row r="709" spans="2:43" s="123" customFormat="1">
      <c r="B709" s="125"/>
      <c r="D709" s="125"/>
      <c r="J709" s="124"/>
      <c r="AA709" s="74"/>
      <c r="AE709" s="124"/>
      <c r="AI709" s="74"/>
      <c r="AM709" s="74"/>
      <c r="AQ709" s="74"/>
    </row>
    <row r="710" spans="2:43" s="123" customFormat="1">
      <c r="B710" s="125"/>
      <c r="D710" s="125"/>
      <c r="J710" s="124"/>
      <c r="AA710" s="74"/>
      <c r="AE710" s="124"/>
      <c r="AI710" s="74"/>
      <c r="AM710" s="74"/>
      <c r="AQ710" s="74"/>
    </row>
    <row r="711" spans="2:43" s="123" customFormat="1">
      <c r="B711" s="125"/>
      <c r="D711" s="125"/>
      <c r="J711" s="124"/>
      <c r="AA711" s="74"/>
      <c r="AE711" s="124"/>
      <c r="AI711" s="74"/>
      <c r="AM711" s="74"/>
      <c r="AQ711" s="74"/>
    </row>
    <row r="712" spans="2:43" s="123" customFormat="1">
      <c r="B712" s="125"/>
      <c r="D712" s="125"/>
      <c r="J712" s="124"/>
      <c r="AA712" s="74"/>
      <c r="AE712" s="124"/>
      <c r="AI712" s="74"/>
      <c r="AM712" s="74"/>
      <c r="AQ712" s="74"/>
    </row>
    <row r="713" spans="2:43" s="123" customFormat="1">
      <c r="B713" s="125"/>
      <c r="D713" s="125"/>
      <c r="J713" s="124"/>
      <c r="AA713" s="74"/>
      <c r="AE713" s="124"/>
      <c r="AI713" s="74"/>
      <c r="AM713" s="74"/>
      <c r="AQ713" s="74"/>
    </row>
    <row r="714" spans="2:43" s="123" customFormat="1">
      <c r="B714" s="125"/>
      <c r="D714" s="125"/>
      <c r="J714" s="124"/>
      <c r="AA714" s="74"/>
      <c r="AE714" s="124"/>
      <c r="AI714" s="74"/>
      <c r="AM714" s="74"/>
      <c r="AQ714" s="74"/>
    </row>
    <row r="715" spans="2:43" s="123" customFormat="1">
      <c r="B715" s="125"/>
      <c r="D715" s="125"/>
      <c r="J715" s="124"/>
      <c r="AA715" s="74"/>
      <c r="AE715" s="124"/>
      <c r="AI715" s="74"/>
      <c r="AM715" s="74"/>
      <c r="AQ715" s="74"/>
    </row>
    <row r="716" spans="2:43" s="123" customFormat="1">
      <c r="B716" s="125"/>
      <c r="D716" s="125"/>
      <c r="J716" s="124"/>
      <c r="AA716" s="74"/>
      <c r="AE716" s="124"/>
      <c r="AI716" s="74"/>
      <c r="AM716" s="74"/>
      <c r="AQ716" s="74"/>
    </row>
    <row r="717" spans="2:43" s="123" customFormat="1">
      <c r="B717" s="125"/>
      <c r="D717" s="125"/>
      <c r="J717" s="124"/>
      <c r="AA717" s="74"/>
      <c r="AE717" s="124"/>
      <c r="AI717" s="74"/>
      <c r="AM717" s="74"/>
      <c r="AQ717" s="74"/>
    </row>
    <row r="718" spans="2:43" s="123" customFormat="1">
      <c r="B718" s="125"/>
      <c r="D718" s="125"/>
      <c r="J718" s="124"/>
      <c r="AA718" s="74"/>
      <c r="AE718" s="124"/>
      <c r="AI718" s="74"/>
      <c r="AM718" s="74"/>
      <c r="AQ718" s="74"/>
    </row>
    <row r="719" spans="2:43" s="123" customFormat="1">
      <c r="B719" s="125"/>
      <c r="D719" s="125"/>
      <c r="J719" s="124"/>
      <c r="AA719" s="74"/>
      <c r="AE719" s="124"/>
      <c r="AI719" s="74"/>
      <c r="AM719" s="74"/>
      <c r="AQ719" s="74"/>
    </row>
    <row r="720" spans="2:43" s="123" customFormat="1">
      <c r="B720" s="125"/>
      <c r="D720" s="125"/>
      <c r="J720" s="124"/>
      <c r="AA720" s="74"/>
      <c r="AE720" s="124"/>
      <c r="AI720" s="74"/>
      <c r="AM720" s="74"/>
      <c r="AQ720" s="74"/>
    </row>
    <row r="721" spans="2:43" s="123" customFormat="1">
      <c r="B721" s="125"/>
      <c r="D721" s="125"/>
      <c r="J721" s="124"/>
      <c r="AA721" s="74"/>
      <c r="AE721" s="124"/>
      <c r="AI721" s="74"/>
      <c r="AM721" s="74"/>
      <c r="AQ721" s="74"/>
    </row>
    <row r="722" spans="2:43" s="123" customFormat="1">
      <c r="B722" s="125"/>
      <c r="D722" s="125"/>
      <c r="J722" s="124"/>
      <c r="AA722" s="74"/>
      <c r="AE722" s="124"/>
      <c r="AI722" s="74"/>
      <c r="AM722" s="74"/>
      <c r="AQ722" s="74"/>
    </row>
    <row r="723" spans="2:43" s="123" customFormat="1">
      <c r="B723" s="125"/>
      <c r="D723" s="125"/>
      <c r="J723" s="124"/>
      <c r="AA723" s="74"/>
      <c r="AE723" s="124"/>
      <c r="AI723" s="74"/>
      <c r="AM723" s="74"/>
      <c r="AQ723" s="74"/>
    </row>
    <row r="724" spans="2:43" s="123" customFormat="1">
      <c r="B724" s="125"/>
      <c r="D724" s="125"/>
      <c r="J724" s="124"/>
      <c r="AA724" s="74"/>
      <c r="AE724" s="124"/>
      <c r="AI724" s="74"/>
      <c r="AM724" s="74"/>
      <c r="AQ724" s="74"/>
    </row>
    <row r="725" spans="2:43" s="123" customFormat="1">
      <c r="B725" s="125"/>
      <c r="D725" s="125"/>
      <c r="J725" s="124"/>
      <c r="AA725" s="74"/>
      <c r="AE725" s="124"/>
      <c r="AI725" s="74"/>
      <c r="AM725" s="74"/>
      <c r="AQ725" s="74"/>
    </row>
    <row r="726" spans="2:43" s="123" customFormat="1">
      <c r="B726" s="125"/>
      <c r="D726" s="125"/>
      <c r="J726" s="124"/>
      <c r="AA726" s="74"/>
      <c r="AE726" s="124"/>
      <c r="AI726" s="74"/>
      <c r="AM726" s="74"/>
      <c r="AQ726" s="74"/>
    </row>
    <row r="727" spans="2:43" s="123" customFormat="1">
      <c r="B727" s="125"/>
      <c r="D727" s="125"/>
      <c r="J727" s="124"/>
      <c r="AA727" s="74"/>
      <c r="AE727" s="124"/>
      <c r="AI727" s="74"/>
      <c r="AM727" s="74"/>
      <c r="AQ727" s="74"/>
    </row>
    <row r="728" spans="2:43" s="123" customFormat="1">
      <c r="B728" s="125"/>
      <c r="D728" s="125"/>
      <c r="J728" s="124"/>
      <c r="AA728" s="74"/>
      <c r="AE728" s="124"/>
      <c r="AI728" s="74"/>
      <c r="AM728" s="74"/>
      <c r="AQ728" s="74"/>
    </row>
    <row r="729" spans="2:43" s="123" customFormat="1">
      <c r="B729" s="125"/>
      <c r="D729" s="125"/>
      <c r="J729" s="124"/>
      <c r="AA729" s="74"/>
      <c r="AE729" s="124"/>
      <c r="AI729" s="74"/>
      <c r="AM729" s="74"/>
      <c r="AQ729" s="74"/>
    </row>
    <row r="730" spans="2:43" s="123" customFormat="1">
      <c r="B730" s="125"/>
      <c r="D730" s="125"/>
      <c r="J730" s="124"/>
      <c r="AA730" s="74"/>
      <c r="AE730" s="124"/>
      <c r="AI730" s="74"/>
      <c r="AM730" s="74"/>
      <c r="AQ730" s="74"/>
    </row>
    <row r="731" spans="2:43" s="123" customFormat="1">
      <c r="B731" s="125"/>
      <c r="D731" s="125"/>
      <c r="J731" s="124"/>
      <c r="AA731" s="74"/>
      <c r="AE731" s="124"/>
      <c r="AI731" s="74"/>
      <c r="AM731" s="74"/>
      <c r="AQ731" s="74"/>
    </row>
    <row r="732" spans="2:43" s="123" customFormat="1">
      <c r="B732" s="125"/>
      <c r="D732" s="125"/>
      <c r="J732" s="124"/>
      <c r="AA732" s="74"/>
      <c r="AE732" s="124"/>
      <c r="AI732" s="74"/>
      <c r="AM732" s="74"/>
      <c r="AQ732" s="74"/>
    </row>
    <row r="733" spans="2:43" s="123" customFormat="1">
      <c r="B733" s="125"/>
      <c r="D733" s="125"/>
      <c r="J733" s="124"/>
      <c r="AA733" s="74"/>
      <c r="AE733" s="124"/>
      <c r="AI733" s="74"/>
      <c r="AM733" s="74"/>
      <c r="AQ733" s="74"/>
    </row>
    <row r="734" spans="2:43" s="123" customFormat="1">
      <c r="B734" s="125"/>
      <c r="D734" s="125"/>
      <c r="J734" s="124"/>
      <c r="AA734" s="74"/>
      <c r="AE734" s="124"/>
      <c r="AI734" s="74"/>
      <c r="AM734" s="74"/>
      <c r="AQ734" s="74"/>
    </row>
    <row r="735" spans="2:43" s="123" customFormat="1">
      <c r="B735" s="125"/>
      <c r="D735" s="125"/>
      <c r="J735" s="124"/>
      <c r="AA735" s="74"/>
      <c r="AE735" s="124"/>
      <c r="AI735" s="74"/>
      <c r="AM735" s="74"/>
      <c r="AQ735" s="74"/>
    </row>
    <row r="736" spans="2:43" s="123" customFormat="1">
      <c r="B736" s="125"/>
      <c r="D736" s="125"/>
      <c r="J736" s="124"/>
      <c r="AA736" s="74"/>
      <c r="AE736" s="124"/>
      <c r="AI736" s="74"/>
      <c r="AM736" s="74"/>
      <c r="AQ736" s="74"/>
    </row>
    <row r="737" spans="2:43" s="123" customFormat="1">
      <c r="B737" s="125"/>
      <c r="D737" s="125"/>
      <c r="J737" s="124"/>
      <c r="AA737" s="74"/>
      <c r="AE737" s="124"/>
      <c r="AI737" s="74"/>
      <c r="AM737" s="74"/>
      <c r="AQ737" s="74"/>
    </row>
    <row r="738" spans="2:43" s="123" customFormat="1">
      <c r="B738" s="125"/>
      <c r="D738" s="125"/>
      <c r="J738" s="124"/>
      <c r="AA738" s="74"/>
      <c r="AE738" s="124"/>
      <c r="AI738" s="74"/>
      <c r="AM738" s="74"/>
      <c r="AQ738" s="74"/>
    </row>
    <row r="739" spans="2:43" s="123" customFormat="1">
      <c r="B739" s="125"/>
      <c r="D739" s="125"/>
      <c r="J739" s="124"/>
      <c r="AA739" s="74"/>
      <c r="AE739" s="124"/>
      <c r="AI739" s="74"/>
      <c r="AM739" s="74"/>
      <c r="AQ739" s="74"/>
    </row>
    <row r="740" spans="2:43" s="123" customFormat="1">
      <c r="B740" s="125"/>
      <c r="D740" s="125"/>
      <c r="J740" s="124"/>
      <c r="AA740" s="74"/>
      <c r="AE740" s="124"/>
      <c r="AI740" s="74"/>
      <c r="AM740" s="74"/>
      <c r="AQ740" s="74"/>
    </row>
    <row r="741" spans="2:43" s="123" customFormat="1">
      <c r="B741" s="125"/>
      <c r="D741" s="125"/>
      <c r="J741" s="124"/>
      <c r="AA741" s="74"/>
      <c r="AE741" s="124"/>
      <c r="AI741" s="74"/>
      <c r="AM741" s="74"/>
      <c r="AQ741" s="74"/>
    </row>
    <row r="742" spans="2:43" s="123" customFormat="1">
      <c r="B742" s="125"/>
      <c r="D742" s="125"/>
      <c r="J742" s="124"/>
      <c r="AA742" s="74"/>
      <c r="AE742" s="124"/>
      <c r="AI742" s="74"/>
      <c r="AM742" s="74"/>
      <c r="AQ742" s="74"/>
    </row>
    <row r="743" spans="2:43" s="123" customFormat="1">
      <c r="B743" s="125"/>
      <c r="D743" s="125"/>
      <c r="J743" s="124"/>
      <c r="AA743" s="74"/>
      <c r="AE743" s="124"/>
      <c r="AI743" s="74"/>
      <c r="AM743" s="74"/>
      <c r="AQ743" s="74"/>
    </row>
    <row r="744" spans="2:43" s="123" customFormat="1">
      <c r="B744" s="125"/>
      <c r="D744" s="125"/>
      <c r="J744" s="124"/>
      <c r="AA744" s="74"/>
      <c r="AE744" s="124"/>
      <c r="AI744" s="74"/>
      <c r="AM744" s="74"/>
      <c r="AQ744" s="74"/>
    </row>
    <row r="745" spans="2:43" s="123" customFormat="1">
      <c r="B745" s="125"/>
      <c r="D745" s="125"/>
      <c r="J745" s="124"/>
      <c r="AA745" s="74"/>
      <c r="AE745" s="124"/>
      <c r="AI745" s="74"/>
      <c r="AM745" s="74"/>
      <c r="AQ745" s="74"/>
    </row>
    <row r="746" spans="2:43" s="123" customFormat="1">
      <c r="B746" s="125"/>
      <c r="D746" s="125"/>
      <c r="J746" s="124"/>
      <c r="AA746" s="74"/>
      <c r="AE746" s="124"/>
      <c r="AI746" s="74"/>
      <c r="AM746" s="74"/>
      <c r="AQ746" s="74"/>
    </row>
    <row r="747" spans="2:43" s="123" customFormat="1">
      <c r="B747" s="125"/>
      <c r="D747" s="125"/>
      <c r="J747" s="124"/>
      <c r="AA747" s="74"/>
      <c r="AE747" s="124"/>
      <c r="AI747" s="74"/>
      <c r="AM747" s="74"/>
      <c r="AQ747" s="74"/>
    </row>
    <row r="748" spans="2:43" s="123" customFormat="1">
      <c r="B748" s="125"/>
      <c r="D748" s="125"/>
      <c r="J748" s="124"/>
      <c r="AA748" s="74"/>
      <c r="AE748" s="124"/>
      <c r="AI748" s="74"/>
      <c r="AM748" s="74"/>
      <c r="AQ748" s="74"/>
    </row>
    <row r="749" spans="2:43" s="123" customFormat="1">
      <c r="B749" s="125"/>
      <c r="D749" s="125"/>
      <c r="J749" s="124"/>
      <c r="AA749" s="74"/>
      <c r="AE749" s="124"/>
      <c r="AI749" s="74"/>
      <c r="AM749" s="74"/>
      <c r="AQ749" s="74"/>
    </row>
    <row r="750" spans="2:43" s="123" customFormat="1">
      <c r="B750" s="125"/>
      <c r="D750" s="125"/>
      <c r="J750" s="124"/>
      <c r="AA750" s="74"/>
      <c r="AE750" s="124"/>
      <c r="AI750" s="74"/>
      <c r="AM750" s="74"/>
      <c r="AQ750" s="74"/>
    </row>
    <row r="751" spans="2:43" s="123" customFormat="1">
      <c r="B751" s="125"/>
      <c r="D751" s="125"/>
      <c r="J751" s="124"/>
      <c r="AA751" s="74"/>
      <c r="AE751" s="124"/>
      <c r="AI751" s="74"/>
      <c r="AM751" s="74"/>
      <c r="AQ751" s="74"/>
    </row>
    <row r="752" spans="2:43" s="123" customFormat="1">
      <c r="B752" s="125"/>
      <c r="D752" s="125"/>
      <c r="J752" s="124"/>
      <c r="AA752" s="74"/>
      <c r="AE752" s="124"/>
      <c r="AI752" s="74"/>
      <c r="AM752" s="74"/>
      <c r="AQ752" s="74"/>
    </row>
    <row r="753" spans="2:43" s="123" customFormat="1">
      <c r="B753" s="125"/>
      <c r="D753" s="125"/>
      <c r="J753" s="124"/>
      <c r="AA753" s="74"/>
      <c r="AE753" s="124"/>
      <c r="AI753" s="74"/>
      <c r="AM753" s="74"/>
      <c r="AQ753" s="74"/>
    </row>
    <row r="754" spans="2:43" s="123" customFormat="1">
      <c r="B754" s="125"/>
      <c r="D754" s="125"/>
      <c r="J754" s="124"/>
      <c r="AA754" s="74"/>
      <c r="AE754" s="124"/>
      <c r="AI754" s="74"/>
      <c r="AM754" s="74"/>
      <c r="AQ754" s="74"/>
    </row>
    <row r="755" spans="2:43" s="123" customFormat="1">
      <c r="B755" s="125"/>
      <c r="D755" s="125"/>
      <c r="J755" s="124"/>
      <c r="AA755" s="74"/>
      <c r="AE755" s="124"/>
      <c r="AI755" s="74"/>
      <c r="AM755" s="74"/>
      <c r="AQ755" s="74"/>
    </row>
    <row r="756" spans="2:43" s="123" customFormat="1">
      <c r="B756" s="125"/>
      <c r="D756" s="125"/>
      <c r="J756" s="124"/>
      <c r="AA756" s="74"/>
      <c r="AE756" s="124"/>
      <c r="AI756" s="74"/>
      <c r="AM756" s="74"/>
      <c r="AQ756" s="74"/>
    </row>
    <row r="757" spans="2:43" s="123" customFormat="1">
      <c r="B757" s="125"/>
      <c r="D757" s="125"/>
      <c r="J757" s="124"/>
      <c r="AA757" s="74"/>
      <c r="AE757" s="124"/>
      <c r="AI757" s="74"/>
      <c r="AM757" s="74"/>
      <c r="AQ757" s="74"/>
    </row>
    <row r="758" spans="2:43" s="123" customFormat="1">
      <c r="B758" s="125"/>
      <c r="D758" s="125"/>
      <c r="J758" s="124"/>
      <c r="AA758" s="74"/>
      <c r="AE758" s="124"/>
      <c r="AI758" s="74"/>
      <c r="AM758" s="74"/>
      <c r="AQ758" s="74"/>
    </row>
    <row r="759" spans="2:43" s="123" customFormat="1">
      <c r="B759" s="125"/>
      <c r="D759" s="125"/>
      <c r="J759" s="124"/>
      <c r="AA759" s="74"/>
      <c r="AE759" s="124"/>
      <c r="AI759" s="74"/>
      <c r="AM759" s="74"/>
      <c r="AQ759" s="74"/>
    </row>
    <row r="760" spans="2:43" s="123" customFormat="1">
      <c r="B760" s="125"/>
      <c r="D760" s="125"/>
      <c r="J760" s="124"/>
      <c r="AA760" s="74"/>
      <c r="AE760" s="124"/>
      <c r="AI760" s="74"/>
      <c r="AM760" s="74"/>
      <c r="AQ760" s="74"/>
    </row>
    <row r="761" spans="2:43" s="123" customFormat="1">
      <c r="B761" s="125"/>
      <c r="D761" s="125"/>
      <c r="J761" s="124"/>
      <c r="AA761" s="74"/>
      <c r="AE761" s="124"/>
      <c r="AI761" s="74"/>
      <c r="AM761" s="74"/>
      <c r="AQ761" s="74"/>
    </row>
    <row r="762" spans="2:43" s="123" customFormat="1">
      <c r="B762" s="125"/>
      <c r="D762" s="125"/>
      <c r="J762" s="124"/>
      <c r="AA762" s="74"/>
      <c r="AE762" s="124"/>
      <c r="AI762" s="74"/>
      <c r="AM762" s="74"/>
      <c r="AQ762" s="74"/>
    </row>
    <row r="763" spans="2:43" s="123" customFormat="1">
      <c r="B763" s="125"/>
      <c r="D763" s="125"/>
      <c r="J763" s="124"/>
      <c r="AA763" s="74"/>
      <c r="AE763" s="124"/>
      <c r="AI763" s="74"/>
      <c r="AM763" s="74"/>
      <c r="AQ763" s="74"/>
    </row>
    <row r="764" spans="2:43" s="123" customFormat="1">
      <c r="B764" s="125"/>
      <c r="D764" s="125"/>
      <c r="J764" s="124"/>
      <c r="AA764" s="74"/>
      <c r="AE764" s="124"/>
      <c r="AI764" s="74"/>
      <c r="AM764" s="74"/>
      <c r="AQ764" s="74"/>
    </row>
    <row r="765" spans="2:43" s="123" customFormat="1">
      <c r="B765" s="125"/>
      <c r="D765" s="125"/>
      <c r="J765" s="124"/>
      <c r="AA765" s="74"/>
      <c r="AE765" s="124"/>
      <c r="AI765" s="74"/>
      <c r="AM765" s="74"/>
      <c r="AQ765" s="74"/>
    </row>
    <row r="766" spans="2:43" s="123" customFormat="1">
      <c r="B766" s="125"/>
      <c r="D766" s="125"/>
      <c r="J766" s="124"/>
      <c r="AA766" s="74"/>
      <c r="AE766" s="124"/>
      <c r="AI766" s="74"/>
      <c r="AM766" s="74"/>
      <c r="AQ766" s="74"/>
    </row>
    <row r="767" spans="2:43" s="123" customFormat="1">
      <c r="B767" s="125"/>
      <c r="D767" s="125"/>
      <c r="J767" s="124"/>
      <c r="AA767" s="74"/>
      <c r="AE767" s="124"/>
      <c r="AI767" s="74"/>
      <c r="AM767" s="74"/>
      <c r="AQ767" s="74"/>
    </row>
    <row r="768" spans="2:43" s="123" customFormat="1">
      <c r="B768" s="125"/>
      <c r="D768" s="125"/>
      <c r="J768" s="124"/>
      <c r="AA768" s="74"/>
      <c r="AE768" s="124"/>
      <c r="AI768" s="74"/>
      <c r="AM768" s="74"/>
      <c r="AQ768" s="74"/>
    </row>
    <row r="769" spans="2:43" s="123" customFormat="1">
      <c r="B769" s="125"/>
      <c r="D769" s="125"/>
      <c r="J769" s="124"/>
      <c r="AA769" s="74"/>
      <c r="AE769" s="124"/>
      <c r="AI769" s="74"/>
      <c r="AM769" s="74"/>
      <c r="AQ769" s="74"/>
    </row>
    <row r="770" spans="2:43" s="123" customFormat="1">
      <c r="B770" s="125"/>
      <c r="D770" s="125"/>
      <c r="J770" s="124"/>
      <c r="AA770" s="74"/>
      <c r="AE770" s="124"/>
      <c r="AI770" s="74"/>
      <c r="AM770" s="74"/>
      <c r="AQ770" s="74"/>
    </row>
    <row r="771" spans="2:43" s="123" customFormat="1">
      <c r="B771" s="125"/>
      <c r="D771" s="125"/>
      <c r="J771" s="124"/>
      <c r="AA771" s="74"/>
      <c r="AE771" s="124"/>
      <c r="AI771" s="74"/>
      <c r="AM771" s="74"/>
      <c r="AQ771" s="74"/>
    </row>
    <row r="772" spans="2:43" s="123" customFormat="1">
      <c r="B772" s="125"/>
      <c r="D772" s="125"/>
      <c r="J772" s="124"/>
      <c r="AA772" s="74"/>
      <c r="AE772" s="124"/>
      <c r="AI772" s="74"/>
      <c r="AM772" s="74"/>
      <c r="AQ772" s="74"/>
    </row>
    <row r="773" spans="2:43" s="123" customFormat="1">
      <c r="B773" s="125"/>
      <c r="D773" s="125"/>
      <c r="J773" s="124"/>
      <c r="AA773" s="74"/>
      <c r="AE773" s="124"/>
      <c r="AI773" s="74"/>
      <c r="AM773" s="74"/>
      <c r="AQ773" s="74"/>
    </row>
    <row r="774" spans="2:43" s="123" customFormat="1">
      <c r="B774" s="125"/>
      <c r="D774" s="125"/>
      <c r="J774" s="124"/>
      <c r="AA774" s="74"/>
      <c r="AE774" s="124"/>
      <c r="AI774" s="74"/>
      <c r="AM774" s="74"/>
      <c r="AQ774" s="74"/>
    </row>
    <row r="775" spans="2:43" s="123" customFormat="1">
      <c r="B775" s="125"/>
      <c r="D775" s="125"/>
      <c r="J775" s="124"/>
      <c r="AA775" s="74"/>
      <c r="AE775" s="124"/>
      <c r="AI775" s="74"/>
      <c r="AM775" s="74"/>
      <c r="AQ775" s="74"/>
    </row>
    <row r="776" spans="2:43" s="123" customFormat="1">
      <c r="B776" s="125"/>
      <c r="D776" s="125"/>
      <c r="J776" s="124"/>
      <c r="AA776" s="74"/>
      <c r="AE776" s="124"/>
      <c r="AI776" s="74"/>
      <c r="AM776" s="74"/>
      <c r="AQ776" s="74"/>
    </row>
    <row r="777" spans="2:43" s="123" customFormat="1">
      <c r="B777" s="125"/>
      <c r="D777" s="125"/>
      <c r="J777" s="124"/>
      <c r="AA777" s="74"/>
      <c r="AE777" s="124"/>
      <c r="AI777" s="74"/>
      <c r="AM777" s="74"/>
      <c r="AQ777" s="74"/>
    </row>
    <row r="778" spans="2:43" s="123" customFormat="1">
      <c r="B778" s="125"/>
      <c r="D778" s="125"/>
      <c r="J778" s="124"/>
      <c r="AA778" s="74"/>
      <c r="AE778" s="124"/>
      <c r="AI778" s="74"/>
      <c r="AM778" s="74"/>
      <c r="AQ778" s="74"/>
    </row>
    <row r="779" spans="2:43" s="123" customFormat="1">
      <c r="B779" s="125"/>
      <c r="D779" s="125"/>
      <c r="J779" s="124"/>
      <c r="AA779" s="74"/>
      <c r="AE779" s="124"/>
      <c r="AI779" s="74"/>
      <c r="AM779" s="74"/>
      <c r="AQ779" s="74"/>
    </row>
    <row r="780" spans="2:43" s="123" customFormat="1">
      <c r="B780" s="125"/>
      <c r="D780" s="125"/>
      <c r="J780" s="124"/>
      <c r="AA780" s="74"/>
      <c r="AE780" s="124"/>
      <c r="AI780" s="74"/>
      <c r="AM780" s="74"/>
      <c r="AQ780" s="74"/>
    </row>
    <row r="781" spans="2:43" s="123" customFormat="1">
      <c r="B781" s="125"/>
      <c r="D781" s="125"/>
      <c r="J781" s="124"/>
      <c r="AA781" s="74"/>
      <c r="AE781" s="124"/>
      <c r="AI781" s="74"/>
      <c r="AM781" s="74"/>
      <c r="AQ781" s="74"/>
    </row>
    <row r="782" spans="2:43" s="123" customFormat="1">
      <c r="B782" s="125"/>
      <c r="D782" s="125"/>
      <c r="J782" s="124"/>
      <c r="AA782" s="74"/>
      <c r="AE782" s="124"/>
      <c r="AI782" s="74"/>
      <c r="AM782" s="74"/>
      <c r="AQ782" s="74"/>
    </row>
    <row r="783" spans="2:43" s="123" customFormat="1">
      <c r="B783" s="125"/>
      <c r="D783" s="125"/>
      <c r="J783" s="124"/>
      <c r="AA783" s="74"/>
      <c r="AE783" s="124"/>
      <c r="AI783" s="74"/>
      <c r="AM783" s="74"/>
      <c r="AQ783" s="74"/>
    </row>
    <row r="784" spans="2:43" s="123" customFormat="1">
      <c r="B784" s="125"/>
      <c r="D784" s="125"/>
      <c r="J784" s="124"/>
      <c r="AA784" s="74"/>
      <c r="AE784" s="124"/>
      <c r="AI784" s="74"/>
      <c r="AM784" s="74"/>
      <c r="AQ784" s="74"/>
    </row>
    <row r="785" spans="2:43" s="123" customFormat="1">
      <c r="B785" s="125"/>
      <c r="D785" s="125"/>
      <c r="J785" s="124"/>
      <c r="AA785" s="74"/>
      <c r="AE785" s="124"/>
      <c r="AI785" s="74"/>
      <c r="AM785" s="74"/>
      <c r="AQ785" s="74"/>
    </row>
    <row r="786" spans="2:43" s="123" customFormat="1">
      <c r="B786" s="125"/>
      <c r="D786" s="125"/>
      <c r="J786" s="124"/>
      <c r="AA786" s="74"/>
      <c r="AE786" s="124"/>
      <c r="AI786" s="74"/>
      <c r="AM786" s="74"/>
      <c r="AQ786" s="74"/>
    </row>
    <row r="787" spans="2:43" s="123" customFormat="1">
      <c r="B787" s="125"/>
      <c r="D787" s="125"/>
      <c r="J787" s="124"/>
      <c r="AA787" s="74"/>
      <c r="AE787" s="124"/>
      <c r="AI787" s="74"/>
      <c r="AM787" s="74"/>
      <c r="AQ787" s="74"/>
    </row>
    <row r="788" spans="2:43" s="123" customFormat="1">
      <c r="B788" s="125"/>
      <c r="D788" s="125"/>
      <c r="J788" s="124"/>
      <c r="AA788" s="74"/>
      <c r="AE788" s="124"/>
      <c r="AI788" s="74"/>
      <c r="AM788" s="74"/>
      <c r="AQ788" s="74"/>
    </row>
    <row r="789" spans="2:43" s="123" customFormat="1">
      <c r="B789" s="125"/>
      <c r="D789" s="125"/>
      <c r="J789" s="124"/>
      <c r="AA789" s="74"/>
      <c r="AE789" s="124"/>
      <c r="AI789" s="74"/>
      <c r="AM789" s="74"/>
      <c r="AQ789" s="74"/>
    </row>
    <row r="790" spans="2:43" s="123" customFormat="1">
      <c r="B790" s="125"/>
      <c r="D790" s="125"/>
      <c r="J790" s="124"/>
      <c r="AA790" s="74"/>
      <c r="AE790" s="124"/>
      <c r="AI790" s="74"/>
      <c r="AM790" s="74"/>
      <c r="AQ790" s="74"/>
    </row>
    <row r="791" spans="2:43" s="123" customFormat="1">
      <c r="B791" s="125"/>
      <c r="D791" s="125"/>
      <c r="J791" s="124"/>
      <c r="AA791" s="74"/>
      <c r="AE791" s="124"/>
      <c r="AI791" s="74"/>
      <c r="AM791" s="74"/>
      <c r="AQ791" s="74"/>
    </row>
    <row r="792" spans="2:43" s="123" customFormat="1">
      <c r="B792" s="125"/>
      <c r="D792" s="125"/>
      <c r="J792" s="124"/>
      <c r="AA792" s="74"/>
      <c r="AE792" s="124"/>
      <c r="AI792" s="74"/>
      <c r="AM792" s="74"/>
      <c r="AQ792" s="74"/>
    </row>
    <row r="793" spans="2:43" s="123" customFormat="1">
      <c r="B793" s="125"/>
      <c r="D793" s="125"/>
      <c r="J793" s="124"/>
      <c r="AA793" s="74"/>
      <c r="AE793" s="124"/>
      <c r="AI793" s="74"/>
      <c r="AM793" s="74"/>
      <c r="AQ793" s="74"/>
    </row>
    <row r="794" spans="2:43" s="123" customFormat="1">
      <c r="B794" s="125"/>
      <c r="D794" s="125"/>
      <c r="J794" s="124"/>
      <c r="AA794" s="74"/>
      <c r="AE794" s="124"/>
      <c r="AI794" s="74"/>
      <c r="AM794" s="74"/>
      <c r="AQ794" s="74"/>
    </row>
    <row r="795" spans="2:43" s="123" customFormat="1">
      <c r="B795" s="125"/>
      <c r="D795" s="125"/>
      <c r="J795" s="124"/>
      <c r="AA795" s="74"/>
      <c r="AE795" s="124"/>
      <c r="AI795" s="74"/>
      <c r="AM795" s="74"/>
      <c r="AQ795" s="74"/>
    </row>
    <row r="796" spans="2:43" s="123" customFormat="1">
      <c r="B796" s="125"/>
      <c r="D796" s="125"/>
      <c r="J796" s="124"/>
      <c r="AA796" s="74"/>
      <c r="AE796" s="124"/>
      <c r="AI796" s="74"/>
      <c r="AM796" s="74"/>
      <c r="AQ796" s="74"/>
    </row>
    <row r="797" spans="2:43" s="123" customFormat="1">
      <c r="B797" s="125"/>
      <c r="D797" s="125"/>
      <c r="J797" s="124"/>
      <c r="AA797" s="74"/>
      <c r="AE797" s="124"/>
      <c r="AI797" s="74"/>
      <c r="AM797" s="74"/>
      <c r="AQ797" s="74"/>
    </row>
    <row r="798" spans="2:43" s="123" customFormat="1">
      <c r="B798" s="125"/>
      <c r="D798" s="125"/>
      <c r="J798" s="124"/>
      <c r="AA798" s="74"/>
      <c r="AE798" s="124"/>
      <c r="AI798" s="74"/>
      <c r="AM798" s="74"/>
      <c r="AQ798" s="74"/>
    </row>
    <row r="799" spans="2:43" s="123" customFormat="1">
      <c r="B799" s="125"/>
      <c r="D799" s="125"/>
      <c r="J799" s="124"/>
      <c r="AA799" s="74"/>
      <c r="AE799" s="124"/>
      <c r="AI799" s="74"/>
      <c r="AM799" s="74"/>
      <c r="AQ799" s="74"/>
    </row>
    <row r="800" spans="2:43" s="123" customFormat="1">
      <c r="B800" s="125"/>
      <c r="D800" s="125"/>
      <c r="J800" s="124"/>
      <c r="AA800" s="74"/>
      <c r="AE800" s="124"/>
      <c r="AI800" s="74"/>
      <c r="AM800" s="74"/>
      <c r="AQ800" s="74"/>
    </row>
    <row r="801" spans="2:43" s="123" customFormat="1">
      <c r="B801" s="125"/>
      <c r="D801" s="125"/>
      <c r="J801" s="124"/>
      <c r="AA801" s="74"/>
      <c r="AE801" s="124"/>
      <c r="AI801" s="74"/>
      <c r="AM801" s="74"/>
      <c r="AQ801" s="74"/>
    </row>
    <row r="802" spans="2:43" s="123" customFormat="1">
      <c r="B802" s="125"/>
      <c r="D802" s="125"/>
      <c r="J802" s="124"/>
      <c r="AA802" s="74"/>
      <c r="AE802" s="124"/>
      <c r="AI802" s="74"/>
      <c r="AM802" s="74"/>
      <c r="AQ802" s="74"/>
    </row>
    <row r="803" spans="2:43" s="123" customFormat="1">
      <c r="B803" s="125"/>
      <c r="D803" s="125"/>
      <c r="J803" s="124"/>
      <c r="AA803" s="74"/>
      <c r="AE803" s="124"/>
      <c r="AI803" s="74"/>
      <c r="AM803" s="74"/>
      <c r="AQ803" s="74"/>
    </row>
    <row r="804" spans="2:43" s="123" customFormat="1">
      <c r="B804" s="125"/>
      <c r="D804" s="125"/>
      <c r="J804" s="124"/>
      <c r="AA804" s="74"/>
      <c r="AE804" s="124"/>
      <c r="AI804" s="74"/>
      <c r="AM804" s="74"/>
      <c r="AQ804" s="74"/>
    </row>
    <row r="805" spans="2:43" s="123" customFormat="1">
      <c r="B805" s="125"/>
      <c r="D805" s="125"/>
      <c r="J805" s="124"/>
      <c r="AA805" s="74"/>
      <c r="AE805" s="124"/>
      <c r="AI805" s="74"/>
      <c r="AM805" s="74"/>
      <c r="AQ805" s="74"/>
    </row>
    <row r="806" spans="2:43" s="123" customFormat="1">
      <c r="B806" s="125"/>
      <c r="D806" s="125"/>
      <c r="J806" s="124"/>
      <c r="AA806" s="74"/>
      <c r="AE806" s="124"/>
      <c r="AI806" s="74"/>
      <c r="AM806" s="74"/>
      <c r="AQ806" s="74"/>
    </row>
    <row r="807" spans="2:43" s="123" customFormat="1">
      <c r="B807" s="125"/>
      <c r="D807" s="125"/>
      <c r="J807" s="124"/>
      <c r="AA807" s="74"/>
      <c r="AE807" s="124"/>
      <c r="AI807" s="74"/>
      <c r="AM807" s="74"/>
      <c r="AQ807" s="74"/>
    </row>
    <row r="808" spans="2:43" s="123" customFormat="1">
      <c r="B808" s="125"/>
      <c r="D808" s="125"/>
      <c r="J808" s="124"/>
      <c r="AA808" s="74"/>
      <c r="AE808" s="124"/>
      <c r="AI808" s="74"/>
      <c r="AM808" s="74"/>
      <c r="AQ808" s="74"/>
    </row>
    <row r="809" spans="2:43" s="123" customFormat="1">
      <c r="B809" s="125"/>
      <c r="D809" s="125"/>
      <c r="J809" s="124"/>
      <c r="AA809" s="74"/>
      <c r="AE809" s="124"/>
      <c r="AI809" s="74"/>
      <c r="AM809" s="74"/>
      <c r="AQ809" s="74"/>
    </row>
    <row r="810" spans="2:43" s="123" customFormat="1">
      <c r="B810" s="125"/>
      <c r="D810" s="125"/>
      <c r="J810" s="124"/>
      <c r="AA810" s="74"/>
      <c r="AE810" s="124"/>
      <c r="AI810" s="74"/>
      <c r="AM810" s="74"/>
      <c r="AQ810" s="74"/>
    </row>
    <row r="811" spans="2:43" s="123" customFormat="1">
      <c r="B811" s="125"/>
      <c r="D811" s="125"/>
      <c r="J811" s="124"/>
      <c r="AA811" s="74"/>
      <c r="AE811" s="124"/>
      <c r="AI811" s="74"/>
      <c r="AM811" s="74"/>
      <c r="AQ811" s="74"/>
    </row>
    <row r="812" spans="2:43" s="123" customFormat="1">
      <c r="B812" s="125"/>
      <c r="D812" s="125"/>
      <c r="J812" s="124"/>
      <c r="AA812" s="74"/>
      <c r="AE812" s="124"/>
      <c r="AI812" s="74"/>
      <c r="AM812" s="74"/>
      <c r="AQ812" s="74"/>
    </row>
    <row r="813" spans="2:43" s="123" customFormat="1">
      <c r="B813" s="125"/>
      <c r="D813" s="125"/>
      <c r="J813" s="124"/>
      <c r="AA813" s="74"/>
      <c r="AE813" s="124"/>
      <c r="AI813" s="74"/>
      <c r="AM813" s="74"/>
      <c r="AQ813" s="74"/>
    </row>
    <row r="814" spans="2:43" s="123" customFormat="1">
      <c r="B814" s="125"/>
      <c r="D814" s="125"/>
      <c r="J814" s="124"/>
      <c r="AA814" s="74"/>
      <c r="AE814" s="124"/>
      <c r="AI814" s="74"/>
      <c r="AM814" s="74"/>
      <c r="AQ814" s="74"/>
    </row>
    <row r="815" spans="2:43" s="123" customFormat="1">
      <c r="B815" s="125"/>
      <c r="D815" s="125"/>
      <c r="J815" s="124"/>
      <c r="AA815" s="74"/>
      <c r="AE815" s="124"/>
      <c r="AI815" s="74"/>
      <c r="AM815" s="74"/>
      <c r="AQ815" s="74"/>
    </row>
    <row r="816" spans="2:43" s="123" customFormat="1">
      <c r="B816" s="125"/>
      <c r="D816" s="125"/>
      <c r="J816" s="124"/>
      <c r="AA816" s="74"/>
      <c r="AE816" s="124"/>
      <c r="AI816" s="74"/>
      <c r="AM816" s="74"/>
      <c r="AQ816" s="74"/>
    </row>
    <row r="817" spans="2:43" s="123" customFormat="1">
      <c r="B817" s="125"/>
      <c r="D817" s="125"/>
      <c r="J817" s="124"/>
      <c r="AA817" s="74"/>
      <c r="AE817" s="124"/>
      <c r="AI817" s="74"/>
      <c r="AM817" s="74"/>
      <c r="AQ817" s="74"/>
    </row>
    <row r="818" spans="2:43" s="123" customFormat="1">
      <c r="B818" s="125"/>
      <c r="D818" s="125"/>
      <c r="J818" s="124"/>
      <c r="AA818" s="74"/>
      <c r="AE818" s="124"/>
      <c r="AI818" s="74"/>
      <c r="AM818" s="74"/>
      <c r="AQ818" s="74"/>
    </row>
    <row r="819" spans="2:43" s="123" customFormat="1">
      <c r="B819" s="125"/>
      <c r="D819" s="125"/>
      <c r="J819" s="124"/>
      <c r="AA819" s="74"/>
      <c r="AE819" s="124"/>
      <c r="AI819" s="74"/>
      <c r="AM819" s="74"/>
      <c r="AQ819" s="74"/>
    </row>
    <row r="820" spans="2:43" s="123" customFormat="1">
      <c r="B820" s="125"/>
      <c r="D820" s="125"/>
      <c r="J820" s="124"/>
      <c r="AA820" s="74"/>
      <c r="AE820" s="124"/>
      <c r="AI820" s="74"/>
      <c r="AM820" s="74"/>
      <c r="AQ820" s="74"/>
    </row>
    <row r="821" spans="2:43" s="123" customFormat="1">
      <c r="B821" s="125"/>
      <c r="D821" s="125"/>
      <c r="J821" s="124"/>
      <c r="AA821" s="74"/>
      <c r="AE821" s="124"/>
      <c r="AI821" s="74"/>
      <c r="AM821" s="74"/>
      <c r="AQ821" s="74"/>
    </row>
    <row r="822" spans="2:43" s="123" customFormat="1">
      <c r="B822" s="125"/>
      <c r="D822" s="125"/>
      <c r="J822" s="124"/>
      <c r="AA822" s="74"/>
      <c r="AE822" s="124"/>
      <c r="AI822" s="74"/>
      <c r="AM822" s="74"/>
      <c r="AQ822" s="74"/>
    </row>
    <row r="823" spans="2:43" s="123" customFormat="1">
      <c r="B823" s="125"/>
      <c r="D823" s="125"/>
      <c r="J823" s="124"/>
      <c r="AA823" s="74"/>
      <c r="AE823" s="124"/>
      <c r="AI823" s="74"/>
      <c r="AM823" s="74"/>
      <c r="AQ823" s="74"/>
    </row>
    <row r="824" spans="2:43" s="123" customFormat="1">
      <c r="B824" s="125"/>
      <c r="D824" s="125"/>
      <c r="J824" s="124"/>
      <c r="AA824" s="74"/>
      <c r="AE824" s="124"/>
      <c r="AI824" s="74"/>
      <c r="AM824" s="74"/>
      <c r="AQ824" s="74"/>
    </row>
    <row r="825" spans="2:43" s="123" customFormat="1">
      <c r="B825" s="125"/>
      <c r="D825" s="125"/>
      <c r="J825" s="124"/>
      <c r="AA825" s="74"/>
      <c r="AE825" s="124"/>
      <c r="AI825" s="74"/>
      <c r="AM825" s="74"/>
      <c r="AQ825" s="74"/>
    </row>
    <row r="826" spans="2:43" s="123" customFormat="1">
      <c r="B826" s="125"/>
      <c r="D826" s="125"/>
      <c r="J826" s="124"/>
      <c r="AA826" s="74"/>
      <c r="AE826" s="124"/>
      <c r="AI826" s="74"/>
      <c r="AM826" s="74"/>
      <c r="AQ826" s="74"/>
    </row>
    <row r="827" spans="2:43" s="123" customFormat="1">
      <c r="B827" s="125"/>
      <c r="D827" s="125"/>
      <c r="J827" s="124"/>
      <c r="AA827" s="74"/>
      <c r="AE827" s="124"/>
      <c r="AI827" s="74"/>
      <c r="AM827" s="74"/>
      <c r="AQ827" s="74"/>
    </row>
    <row r="828" spans="2:43" s="123" customFormat="1">
      <c r="B828" s="125"/>
      <c r="D828" s="125"/>
      <c r="J828" s="124"/>
      <c r="AA828" s="74"/>
      <c r="AE828" s="124"/>
      <c r="AI828" s="74"/>
      <c r="AM828" s="74"/>
      <c r="AQ828" s="74"/>
    </row>
    <row r="829" spans="2:43" s="123" customFormat="1">
      <c r="B829" s="125"/>
      <c r="D829" s="125"/>
      <c r="J829" s="124"/>
      <c r="AA829" s="74"/>
      <c r="AE829" s="124"/>
      <c r="AI829" s="74"/>
      <c r="AM829" s="74"/>
      <c r="AQ829" s="74"/>
    </row>
    <row r="830" spans="2:43" s="123" customFormat="1">
      <c r="B830" s="125"/>
      <c r="D830" s="125"/>
      <c r="J830" s="124"/>
      <c r="AA830" s="74"/>
      <c r="AE830" s="124"/>
      <c r="AI830" s="74"/>
      <c r="AM830" s="74"/>
      <c r="AQ830" s="74"/>
    </row>
    <row r="831" spans="2:43" s="123" customFormat="1">
      <c r="B831" s="125"/>
      <c r="D831" s="125"/>
      <c r="J831" s="124"/>
      <c r="AA831" s="74"/>
      <c r="AE831" s="124"/>
      <c r="AI831" s="74"/>
      <c r="AM831" s="74"/>
      <c r="AQ831" s="74"/>
    </row>
    <row r="832" spans="2:43" s="123" customFormat="1">
      <c r="B832" s="125"/>
      <c r="D832" s="125"/>
      <c r="J832" s="124"/>
      <c r="AA832" s="74"/>
      <c r="AE832" s="124"/>
      <c r="AI832" s="74"/>
      <c r="AM832" s="74"/>
      <c r="AQ832" s="74"/>
    </row>
    <row r="833" spans="2:43" s="123" customFormat="1">
      <c r="B833" s="125"/>
      <c r="D833" s="125"/>
      <c r="J833" s="124"/>
      <c r="AA833" s="74"/>
      <c r="AE833" s="124"/>
      <c r="AI833" s="74"/>
      <c r="AM833" s="74"/>
      <c r="AQ833" s="74"/>
    </row>
    <row r="834" spans="2:43" s="123" customFormat="1">
      <c r="B834" s="125"/>
      <c r="D834" s="125"/>
      <c r="J834" s="124"/>
      <c r="AA834" s="74"/>
      <c r="AE834" s="124"/>
      <c r="AI834" s="74"/>
      <c r="AM834" s="74"/>
      <c r="AQ834" s="74"/>
    </row>
    <row r="835" spans="2:43" s="123" customFormat="1">
      <c r="B835" s="125"/>
      <c r="D835" s="125"/>
      <c r="J835" s="124"/>
      <c r="AA835" s="74"/>
      <c r="AE835" s="124"/>
      <c r="AI835" s="74"/>
      <c r="AM835" s="74"/>
      <c r="AQ835" s="74"/>
    </row>
    <row r="836" spans="2:43" s="123" customFormat="1">
      <c r="B836" s="125"/>
      <c r="D836" s="125"/>
      <c r="J836" s="124"/>
      <c r="AA836" s="74"/>
      <c r="AE836" s="124"/>
      <c r="AI836" s="74"/>
      <c r="AM836" s="74"/>
      <c r="AQ836" s="74"/>
    </row>
    <row r="837" spans="2:43" s="123" customFormat="1">
      <c r="B837" s="125"/>
      <c r="D837" s="125"/>
      <c r="J837" s="124"/>
      <c r="AA837" s="74"/>
      <c r="AE837" s="124"/>
      <c r="AI837" s="74"/>
      <c r="AM837" s="74"/>
      <c r="AQ837" s="74"/>
    </row>
    <row r="838" spans="2:43" s="123" customFormat="1">
      <c r="B838" s="125"/>
      <c r="D838" s="125"/>
      <c r="J838" s="124"/>
      <c r="AA838" s="74"/>
      <c r="AE838" s="124"/>
      <c r="AI838" s="74"/>
      <c r="AM838" s="74"/>
      <c r="AQ838" s="74"/>
    </row>
    <row r="839" spans="2:43" s="123" customFormat="1">
      <c r="B839" s="125"/>
      <c r="D839" s="125"/>
      <c r="J839" s="124"/>
      <c r="AA839" s="74"/>
      <c r="AE839" s="124"/>
      <c r="AI839" s="74"/>
      <c r="AM839" s="74"/>
      <c r="AQ839" s="74"/>
    </row>
    <row r="840" spans="2:43" s="123" customFormat="1">
      <c r="B840" s="125"/>
      <c r="D840" s="125"/>
      <c r="J840" s="124"/>
      <c r="AA840" s="74"/>
      <c r="AE840" s="124"/>
      <c r="AI840" s="74"/>
      <c r="AM840" s="74"/>
      <c r="AQ840" s="74"/>
    </row>
    <row r="841" spans="2:43" s="123" customFormat="1">
      <c r="B841" s="125"/>
      <c r="D841" s="125"/>
      <c r="J841" s="124"/>
      <c r="AA841" s="74"/>
      <c r="AE841" s="124"/>
      <c r="AI841" s="74"/>
      <c r="AM841" s="74"/>
      <c r="AQ841" s="74"/>
    </row>
    <row r="842" spans="2:43" s="123" customFormat="1">
      <c r="B842" s="125"/>
      <c r="D842" s="125"/>
      <c r="J842" s="124"/>
      <c r="AA842" s="74"/>
      <c r="AE842" s="124"/>
      <c r="AI842" s="74"/>
      <c r="AM842" s="74"/>
      <c r="AQ842" s="74"/>
    </row>
    <row r="843" spans="2:43" s="123" customFormat="1">
      <c r="B843" s="125"/>
      <c r="D843" s="125"/>
      <c r="J843" s="124"/>
      <c r="AA843" s="74"/>
      <c r="AE843" s="124"/>
      <c r="AI843" s="74"/>
      <c r="AM843" s="74"/>
      <c r="AQ843" s="74"/>
    </row>
    <row r="844" spans="2:43" s="123" customFormat="1">
      <c r="B844" s="125"/>
      <c r="D844" s="125"/>
      <c r="J844" s="124"/>
      <c r="AA844" s="74"/>
      <c r="AE844" s="124"/>
      <c r="AI844" s="74"/>
      <c r="AM844" s="74"/>
      <c r="AQ844" s="74"/>
    </row>
    <row r="845" spans="2:43" s="123" customFormat="1">
      <c r="B845" s="125"/>
      <c r="D845" s="125"/>
      <c r="J845" s="124"/>
      <c r="AA845" s="74"/>
      <c r="AE845" s="124"/>
      <c r="AI845" s="74"/>
      <c r="AM845" s="74"/>
      <c r="AQ845" s="74"/>
    </row>
    <row r="846" spans="2:43" s="123" customFormat="1">
      <c r="B846" s="125"/>
      <c r="D846" s="125"/>
      <c r="J846" s="124"/>
      <c r="AA846" s="74"/>
      <c r="AE846" s="124"/>
      <c r="AI846" s="74"/>
      <c r="AM846" s="74"/>
      <c r="AQ846" s="74"/>
    </row>
    <row r="847" spans="2:43" s="123" customFormat="1">
      <c r="B847" s="125"/>
      <c r="D847" s="125"/>
      <c r="J847" s="124"/>
      <c r="AA847" s="74"/>
      <c r="AE847" s="124"/>
      <c r="AI847" s="74"/>
      <c r="AM847" s="74"/>
      <c r="AQ847" s="74"/>
    </row>
    <row r="848" spans="2:43" s="123" customFormat="1">
      <c r="B848" s="125"/>
      <c r="D848" s="125"/>
      <c r="J848" s="124"/>
      <c r="AA848" s="74"/>
      <c r="AE848" s="124"/>
      <c r="AI848" s="74"/>
      <c r="AM848" s="74"/>
      <c r="AQ848" s="74"/>
    </row>
    <row r="849" spans="2:43" s="123" customFormat="1">
      <c r="B849" s="125"/>
      <c r="D849" s="125"/>
      <c r="J849" s="124"/>
      <c r="AA849" s="74"/>
      <c r="AE849" s="124"/>
      <c r="AI849" s="74"/>
      <c r="AM849" s="74"/>
      <c r="AQ849" s="74"/>
    </row>
    <row r="850" spans="2:43" s="123" customFormat="1">
      <c r="B850" s="125"/>
      <c r="D850" s="125"/>
      <c r="J850" s="124"/>
      <c r="AA850" s="74"/>
      <c r="AE850" s="124"/>
      <c r="AI850" s="74"/>
      <c r="AM850" s="74"/>
      <c r="AQ850" s="74"/>
    </row>
    <row r="851" spans="2:43" s="123" customFormat="1">
      <c r="B851" s="125"/>
      <c r="D851" s="125"/>
      <c r="J851" s="124"/>
      <c r="AA851" s="74"/>
      <c r="AE851" s="124"/>
      <c r="AI851" s="74"/>
      <c r="AM851" s="74"/>
      <c r="AQ851" s="74"/>
    </row>
    <row r="852" spans="2:43" s="123" customFormat="1">
      <c r="B852" s="125"/>
      <c r="D852" s="125"/>
      <c r="J852" s="124"/>
      <c r="AA852" s="74"/>
      <c r="AE852" s="124"/>
      <c r="AI852" s="74"/>
      <c r="AM852" s="74"/>
      <c r="AQ852" s="74"/>
    </row>
    <row r="853" spans="2:43" s="123" customFormat="1">
      <c r="B853" s="125"/>
      <c r="D853" s="125"/>
      <c r="J853" s="124"/>
      <c r="AA853" s="74"/>
      <c r="AE853" s="124"/>
      <c r="AI853" s="74"/>
      <c r="AM853" s="74"/>
      <c r="AQ853" s="74"/>
    </row>
    <row r="854" spans="2:43" s="123" customFormat="1">
      <c r="B854" s="125"/>
      <c r="D854" s="125"/>
      <c r="J854" s="124"/>
      <c r="AA854" s="74"/>
      <c r="AE854" s="124"/>
      <c r="AI854" s="74"/>
      <c r="AM854" s="74"/>
      <c r="AQ854" s="74"/>
    </row>
    <row r="855" spans="2:43" s="123" customFormat="1">
      <c r="B855" s="125"/>
      <c r="D855" s="125"/>
      <c r="J855" s="124"/>
      <c r="AA855" s="74"/>
      <c r="AE855" s="124"/>
      <c r="AI855" s="74"/>
      <c r="AM855" s="74"/>
      <c r="AQ855" s="74"/>
    </row>
    <row r="856" spans="2:43" s="123" customFormat="1">
      <c r="B856" s="125"/>
      <c r="D856" s="125"/>
      <c r="J856" s="124"/>
      <c r="AA856" s="74"/>
      <c r="AE856" s="124"/>
      <c r="AI856" s="74"/>
      <c r="AM856" s="74"/>
      <c r="AQ856" s="74"/>
    </row>
    <row r="857" spans="2:43" s="123" customFormat="1">
      <c r="B857" s="125"/>
      <c r="D857" s="125"/>
      <c r="J857" s="124"/>
      <c r="AA857" s="74"/>
      <c r="AE857" s="124"/>
      <c r="AI857" s="74"/>
      <c r="AM857" s="74"/>
      <c r="AQ857" s="74"/>
    </row>
    <row r="858" spans="2:43" s="123" customFormat="1">
      <c r="B858" s="125"/>
      <c r="D858" s="125"/>
      <c r="J858" s="124"/>
      <c r="AA858" s="74"/>
      <c r="AE858" s="124"/>
      <c r="AI858" s="74"/>
      <c r="AM858" s="74"/>
      <c r="AQ858" s="74"/>
    </row>
    <row r="859" spans="2:43" s="123" customFormat="1">
      <c r="B859" s="125"/>
      <c r="D859" s="125"/>
      <c r="J859" s="124"/>
      <c r="AA859" s="74"/>
      <c r="AE859" s="124"/>
      <c r="AI859" s="74"/>
      <c r="AM859" s="74"/>
      <c r="AQ859" s="74"/>
    </row>
    <row r="860" spans="2:43" s="123" customFormat="1">
      <c r="B860" s="125"/>
      <c r="D860" s="125"/>
      <c r="J860" s="124"/>
      <c r="AA860" s="74"/>
      <c r="AE860" s="124"/>
      <c r="AI860" s="74"/>
      <c r="AM860" s="74"/>
      <c r="AQ860" s="74"/>
    </row>
    <row r="861" spans="2:43" s="123" customFormat="1">
      <c r="B861" s="125"/>
      <c r="D861" s="125"/>
      <c r="J861" s="124"/>
      <c r="AA861" s="74"/>
      <c r="AE861" s="124"/>
      <c r="AI861" s="74"/>
      <c r="AM861" s="74"/>
      <c r="AQ861" s="74"/>
    </row>
    <row r="862" spans="2:43" s="123" customFormat="1">
      <c r="B862" s="125"/>
      <c r="D862" s="125"/>
      <c r="J862" s="124"/>
      <c r="AA862" s="74"/>
      <c r="AE862" s="124"/>
      <c r="AI862" s="74"/>
      <c r="AM862" s="74"/>
      <c r="AQ862" s="74"/>
    </row>
    <row r="863" spans="2:43" s="123" customFormat="1">
      <c r="B863" s="125"/>
      <c r="D863" s="125"/>
      <c r="J863" s="124"/>
      <c r="AA863" s="74"/>
      <c r="AE863" s="124"/>
      <c r="AI863" s="74"/>
      <c r="AM863" s="74"/>
      <c r="AQ863" s="74"/>
    </row>
    <row r="864" spans="2:43" s="123" customFormat="1">
      <c r="B864" s="125"/>
      <c r="D864" s="125"/>
      <c r="J864" s="124"/>
      <c r="AA864" s="74"/>
      <c r="AE864" s="124"/>
      <c r="AI864" s="74"/>
      <c r="AM864" s="74"/>
      <c r="AQ864" s="74"/>
    </row>
    <row r="865" spans="2:43" s="123" customFormat="1">
      <c r="B865" s="125"/>
      <c r="D865" s="125"/>
      <c r="J865" s="124"/>
      <c r="AA865" s="74"/>
      <c r="AE865" s="124"/>
      <c r="AI865" s="74"/>
      <c r="AM865" s="74"/>
      <c r="AQ865" s="74"/>
    </row>
    <row r="866" spans="2:43" s="123" customFormat="1">
      <c r="B866" s="125"/>
      <c r="D866" s="125"/>
      <c r="J866" s="124"/>
      <c r="AA866" s="74"/>
      <c r="AE866" s="124"/>
      <c r="AI866" s="74"/>
      <c r="AM866" s="74"/>
      <c r="AQ866" s="74"/>
    </row>
    <row r="867" spans="2:43" s="123" customFormat="1">
      <c r="B867" s="125"/>
      <c r="D867" s="125"/>
      <c r="J867" s="124"/>
      <c r="AA867" s="74"/>
      <c r="AE867" s="124"/>
      <c r="AI867" s="74"/>
      <c r="AM867" s="74"/>
      <c r="AQ867" s="74"/>
    </row>
    <row r="868" spans="2:43" s="123" customFormat="1">
      <c r="B868" s="125"/>
      <c r="D868" s="125"/>
      <c r="J868" s="124"/>
      <c r="AA868" s="74"/>
      <c r="AE868" s="124"/>
      <c r="AI868" s="74"/>
      <c r="AM868" s="74"/>
      <c r="AQ868" s="74"/>
    </row>
    <row r="869" spans="2:43" s="123" customFormat="1">
      <c r="B869" s="125"/>
      <c r="D869" s="125"/>
      <c r="J869" s="124"/>
      <c r="AA869" s="74"/>
      <c r="AE869" s="124"/>
      <c r="AI869" s="74"/>
      <c r="AM869" s="74"/>
      <c r="AQ869" s="74"/>
    </row>
    <row r="870" spans="2:43" s="123" customFormat="1">
      <c r="B870" s="125"/>
      <c r="D870" s="125"/>
      <c r="J870" s="124"/>
      <c r="AA870" s="74"/>
      <c r="AE870" s="124"/>
      <c r="AI870" s="74"/>
      <c r="AM870" s="74"/>
      <c r="AQ870" s="74"/>
    </row>
    <row r="871" spans="2:43" s="123" customFormat="1">
      <c r="B871" s="125"/>
      <c r="D871" s="125"/>
      <c r="J871" s="124"/>
      <c r="AA871" s="74"/>
      <c r="AE871" s="124"/>
      <c r="AI871" s="74"/>
      <c r="AM871" s="74"/>
      <c r="AQ871" s="74"/>
    </row>
    <row r="872" spans="2:43" s="123" customFormat="1">
      <c r="B872" s="125"/>
      <c r="D872" s="125"/>
      <c r="J872" s="124"/>
      <c r="AA872" s="74"/>
      <c r="AE872" s="124"/>
      <c r="AI872" s="74"/>
      <c r="AM872" s="74"/>
      <c r="AQ872" s="74"/>
    </row>
    <row r="873" spans="2:43" s="123" customFormat="1">
      <c r="B873" s="125"/>
      <c r="D873" s="125"/>
      <c r="J873" s="124"/>
      <c r="AA873" s="74"/>
      <c r="AE873" s="124"/>
      <c r="AI873" s="74"/>
      <c r="AM873" s="74"/>
      <c r="AQ873" s="74"/>
    </row>
    <row r="874" spans="2:43" s="123" customFormat="1">
      <c r="B874" s="125"/>
      <c r="D874" s="125"/>
      <c r="J874" s="124"/>
      <c r="AA874" s="74"/>
      <c r="AE874" s="124"/>
      <c r="AI874" s="74"/>
      <c r="AM874" s="74"/>
      <c r="AQ874" s="74"/>
    </row>
    <row r="875" spans="2:43" s="123" customFormat="1">
      <c r="B875" s="125"/>
      <c r="D875" s="125"/>
      <c r="J875" s="124"/>
      <c r="AA875" s="74"/>
      <c r="AE875" s="124"/>
      <c r="AI875" s="74"/>
      <c r="AM875" s="74"/>
      <c r="AQ875" s="74"/>
    </row>
    <row r="876" spans="2:43" s="123" customFormat="1">
      <c r="B876" s="125"/>
      <c r="D876" s="125"/>
      <c r="J876" s="124"/>
      <c r="AA876" s="74"/>
      <c r="AE876" s="124"/>
      <c r="AI876" s="74"/>
      <c r="AM876" s="74"/>
      <c r="AQ876" s="74"/>
    </row>
    <row r="877" spans="2:43" s="123" customFormat="1">
      <c r="B877" s="125"/>
      <c r="D877" s="125"/>
      <c r="J877" s="124"/>
      <c r="AA877" s="74"/>
      <c r="AE877" s="124"/>
      <c r="AI877" s="74"/>
      <c r="AM877" s="74"/>
      <c r="AQ877" s="74"/>
    </row>
    <row r="878" spans="2:43" s="123" customFormat="1">
      <c r="B878" s="125"/>
      <c r="D878" s="125"/>
      <c r="J878" s="124"/>
      <c r="AA878" s="74"/>
      <c r="AE878" s="124"/>
      <c r="AI878" s="74"/>
      <c r="AM878" s="74"/>
      <c r="AQ878" s="74"/>
    </row>
    <row r="879" spans="2:43" s="123" customFormat="1">
      <c r="B879" s="125"/>
      <c r="D879" s="125"/>
      <c r="J879" s="124"/>
      <c r="AA879" s="74"/>
      <c r="AE879" s="124"/>
      <c r="AI879" s="74"/>
      <c r="AM879" s="74"/>
      <c r="AQ879" s="74"/>
    </row>
    <row r="880" spans="2:43" s="123" customFormat="1">
      <c r="B880" s="125"/>
      <c r="D880" s="125"/>
      <c r="J880" s="124"/>
      <c r="AA880" s="74"/>
      <c r="AE880" s="124"/>
      <c r="AI880" s="74"/>
      <c r="AM880" s="74"/>
      <c r="AQ880" s="74"/>
    </row>
    <row r="881" spans="2:43" s="123" customFormat="1">
      <c r="B881" s="125"/>
      <c r="D881" s="125"/>
      <c r="J881" s="124"/>
      <c r="AA881" s="74"/>
      <c r="AE881" s="124"/>
      <c r="AI881" s="74"/>
      <c r="AM881" s="74"/>
      <c r="AQ881" s="74"/>
    </row>
    <row r="882" spans="2:43" s="123" customFormat="1">
      <c r="B882" s="125"/>
      <c r="D882" s="125"/>
      <c r="J882" s="124"/>
      <c r="AA882" s="74"/>
      <c r="AE882" s="124"/>
      <c r="AI882" s="74"/>
      <c r="AM882" s="74"/>
      <c r="AQ882" s="74"/>
    </row>
    <row r="883" spans="2:43" s="123" customFormat="1">
      <c r="B883" s="125"/>
      <c r="D883" s="125"/>
      <c r="J883" s="124"/>
      <c r="AA883" s="74"/>
      <c r="AE883" s="124"/>
      <c r="AI883" s="74"/>
      <c r="AM883" s="74"/>
      <c r="AQ883" s="74"/>
    </row>
    <row r="884" spans="2:43" s="123" customFormat="1">
      <c r="B884" s="125"/>
      <c r="D884" s="125"/>
      <c r="J884" s="124"/>
      <c r="AA884" s="74"/>
      <c r="AE884" s="124"/>
      <c r="AI884" s="74"/>
      <c r="AM884" s="74"/>
      <c r="AQ884" s="74"/>
    </row>
    <row r="885" spans="2:43" s="123" customFormat="1">
      <c r="B885" s="125"/>
      <c r="D885" s="125"/>
      <c r="J885" s="124"/>
      <c r="AA885" s="74"/>
      <c r="AE885" s="124"/>
      <c r="AI885" s="74"/>
      <c r="AM885" s="74"/>
      <c r="AQ885" s="74"/>
    </row>
    <row r="886" spans="2:43" s="123" customFormat="1">
      <c r="B886" s="125"/>
      <c r="D886" s="125"/>
      <c r="J886" s="124"/>
      <c r="AA886" s="74"/>
      <c r="AE886" s="124"/>
      <c r="AI886" s="74"/>
      <c r="AM886" s="74"/>
      <c r="AQ886" s="74"/>
    </row>
    <row r="887" spans="2:43" s="123" customFormat="1">
      <c r="B887" s="125"/>
      <c r="D887" s="125"/>
      <c r="J887" s="124"/>
      <c r="AA887" s="74"/>
      <c r="AE887" s="124"/>
      <c r="AI887" s="74"/>
      <c r="AM887" s="74"/>
      <c r="AQ887" s="74"/>
    </row>
    <row r="888" spans="2:43" s="123" customFormat="1">
      <c r="B888" s="125"/>
      <c r="D888" s="125"/>
      <c r="J888" s="124"/>
      <c r="AA888" s="74"/>
      <c r="AE888" s="124"/>
      <c r="AI888" s="74"/>
      <c r="AM888" s="74"/>
      <c r="AQ888" s="74"/>
    </row>
    <row r="889" spans="2:43" s="123" customFormat="1">
      <c r="B889" s="125"/>
      <c r="D889" s="125"/>
      <c r="J889" s="124"/>
      <c r="AA889" s="74"/>
      <c r="AE889" s="124"/>
      <c r="AI889" s="74"/>
      <c r="AM889" s="74"/>
      <c r="AQ889" s="74"/>
    </row>
    <row r="890" spans="2:43" s="123" customFormat="1">
      <c r="B890" s="125"/>
      <c r="D890" s="125"/>
      <c r="J890" s="124"/>
      <c r="AA890" s="74"/>
      <c r="AE890" s="124"/>
      <c r="AI890" s="74"/>
      <c r="AM890" s="74"/>
      <c r="AQ890" s="74"/>
    </row>
    <row r="891" spans="2:43" s="123" customFormat="1">
      <c r="B891" s="125"/>
      <c r="D891" s="125"/>
      <c r="J891" s="124"/>
      <c r="AA891" s="74"/>
      <c r="AE891" s="124"/>
      <c r="AI891" s="74"/>
      <c r="AM891" s="74"/>
      <c r="AQ891" s="74"/>
    </row>
    <row r="892" spans="2:43" s="123" customFormat="1">
      <c r="B892" s="125"/>
      <c r="D892" s="125"/>
      <c r="J892" s="124"/>
      <c r="AA892" s="74"/>
      <c r="AE892" s="124"/>
      <c r="AI892" s="74"/>
      <c r="AM892" s="74"/>
      <c r="AQ892" s="74"/>
    </row>
    <row r="893" spans="2:43" s="123" customFormat="1">
      <c r="B893" s="125"/>
      <c r="D893" s="125"/>
      <c r="J893" s="124"/>
      <c r="AA893" s="74"/>
      <c r="AE893" s="124"/>
      <c r="AI893" s="74"/>
      <c r="AM893" s="74"/>
      <c r="AQ893" s="74"/>
    </row>
    <row r="894" spans="2:43" s="123" customFormat="1">
      <c r="B894" s="125"/>
      <c r="D894" s="125"/>
      <c r="J894" s="124"/>
      <c r="AA894" s="74"/>
      <c r="AE894" s="124"/>
      <c r="AI894" s="74"/>
      <c r="AM894" s="74"/>
      <c r="AQ894" s="74"/>
    </row>
    <row r="895" spans="2:43" s="123" customFormat="1">
      <c r="B895" s="125"/>
      <c r="D895" s="125"/>
      <c r="J895" s="124"/>
      <c r="AA895" s="74"/>
      <c r="AE895" s="124"/>
      <c r="AI895" s="74"/>
      <c r="AM895" s="74"/>
      <c r="AQ895" s="74"/>
    </row>
    <row r="896" spans="2:43" s="123" customFormat="1">
      <c r="B896" s="125"/>
      <c r="D896" s="125"/>
      <c r="J896" s="124"/>
      <c r="AA896" s="74"/>
      <c r="AE896" s="124"/>
      <c r="AI896" s="74"/>
      <c r="AM896" s="74"/>
      <c r="AQ896" s="74"/>
    </row>
    <row r="897" spans="2:43" s="123" customFormat="1">
      <c r="B897" s="125"/>
      <c r="D897" s="125"/>
      <c r="J897" s="124"/>
      <c r="AA897" s="74"/>
      <c r="AE897" s="124"/>
      <c r="AI897" s="74"/>
      <c r="AM897" s="74"/>
      <c r="AQ897" s="74"/>
    </row>
    <row r="898" spans="2:43" s="123" customFormat="1">
      <c r="B898" s="125"/>
      <c r="D898" s="125"/>
      <c r="J898" s="124"/>
      <c r="AA898" s="74"/>
      <c r="AE898" s="124"/>
      <c r="AI898" s="74"/>
      <c r="AM898" s="74"/>
      <c r="AQ898" s="74"/>
    </row>
    <row r="899" spans="2:43" s="123" customFormat="1">
      <c r="B899" s="125"/>
      <c r="D899" s="125"/>
      <c r="J899" s="124"/>
      <c r="AA899" s="74"/>
      <c r="AE899" s="124"/>
      <c r="AI899" s="74"/>
      <c r="AM899" s="74"/>
      <c r="AQ899" s="74"/>
    </row>
    <row r="900" spans="2:43" s="123" customFormat="1">
      <c r="B900" s="125"/>
      <c r="D900" s="125"/>
      <c r="J900" s="124"/>
      <c r="AA900" s="74"/>
      <c r="AE900" s="124"/>
      <c r="AI900" s="74"/>
      <c r="AM900" s="74"/>
      <c r="AQ900" s="74"/>
    </row>
    <row r="901" spans="2:43" s="123" customFormat="1">
      <c r="B901" s="125"/>
      <c r="D901" s="125"/>
      <c r="J901" s="124"/>
      <c r="AA901" s="74"/>
      <c r="AE901" s="124"/>
      <c r="AI901" s="74"/>
      <c r="AM901" s="74"/>
      <c r="AQ901" s="74"/>
    </row>
    <row r="902" spans="2:43" s="123" customFormat="1">
      <c r="B902" s="125"/>
      <c r="D902" s="125"/>
      <c r="J902" s="124"/>
      <c r="AA902" s="74"/>
      <c r="AE902" s="124"/>
      <c r="AI902" s="74"/>
      <c r="AM902" s="74"/>
      <c r="AQ902" s="74"/>
    </row>
    <row r="903" spans="2:43" s="123" customFormat="1">
      <c r="B903" s="125"/>
      <c r="D903" s="125"/>
      <c r="J903" s="124"/>
      <c r="AA903" s="74"/>
      <c r="AE903" s="124"/>
      <c r="AI903" s="74"/>
      <c r="AM903" s="74"/>
      <c r="AQ903" s="74"/>
    </row>
    <row r="904" spans="2:43" s="123" customFormat="1">
      <c r="B904" s="125"/>
      <c r="D904" s="125"/>
      <c r="J904" s="124"/>
      <c r="AA904" s="74"/>
      <c r="AE904" s="124"/>
      <c r="AI904" s="74"/>
      <c r="AM904" s="74"/>
      <c r="AQ904" s="74"/>
    </row>
    <row r="905" spans="2:43" s="123" customFormat="1">
      <c r="B905" s="125"/>
      <c r="D905" s="125"/>
      <c r="J905" s="124"/>
      <c r="AA905" s="74"/>
      <c r="AE905" s="124"/>
      <c r="AI905" s="74"/>
      <c r="AM905" s="74"/>
      <c r="AQ905" s="74"/>
    </row>
    <row r="906" spans="2:43" s="123" customFormat="1">
      <c r="B906" s="125"/>
      <c r="D906" s="125"/>
      <c r="J906" s="124"/>
      <c r="AA906" s="74"/>
      <c r="AE906" s="124"/>
      <c r="AI906" s="74"/>
      <c r="AM906" s="74"/>
      <c r="AQ906" s="74"/>
    </row>
    <row r="907" spans="2:43" s="123" customFormat="1">
      <c r="B907" s="125"/>
      <c r="D907" s="125"/>
      <c r="J907" s="124"/>
      <c r="AA907" s="74"/>
      <c r="AE907" s="124"/>
      <c r="AI907" s="74"/>
      <c r="AM907" s="74"/>
      <c r="AQ907" s="74"/>
    </row>
    <row r="908" spans="2:43" s="123" customFormat="1">
      <c r="B908" s="125"/>
      <c r="D908" s="125"/>
      <c r="J908" s="124"/>
      <c r="AA908" s="74"/>
      <c r="AE908" s="124"/>
      <c r="AI908" s="74"/>
      <c r="AM908" s="74"/>
      <c r="AQ908" s="74"/>
    </row>
    <row r="909" spans="2:43" s="123" customFormat="1">
      <c r="B909" s="125"/>
      <c r="D909" s="125"/>
      <c r="J909" s="124"/>
      <c r="AA909" s="74"/>
      <c r="AE909" s="124"/>
      <c r="AI909" s="74"/>
      <c r="AM909" s="74"/>
      <c r="AQ909" s="74"/>
    </row>
    <row r="910" spans="2:43" s="123" customFormat="1">
      <c r="B910" s="125"/>
      <c r="D910" s="125"/>
      <c r="J910" s="124"/>
      <c r="AA910" s="74"/>
      <c r="AE910" s="124"/>
      <c r="AI910" s="74"/>
      <c r="AM910" s="74"/>
      <c r="AQ910" s="74"/>
    </row>
    <row r="911" spans="2:43" s="123" customFormat="1">
      <c r="B911" s="125"/>
      <c r="D911" s="125"/>
      <c r="J911" s="124"/>
      <c r="AA911" s="74"/>
      <c r="AE911" s="124"/>
      <c r="AI911" s="74"/>
      <c r="AM911" s="74"/>
      <c r="AQ911" s="74"/>
    </row>
    <row r="912" spans="2:43" s="123" customFormat="1">
      <c r="B912" s="125"/>
      <c r="D912" s="125"/>
      <c r="J912" s="124"/>
      <c r="AA912" s="74"/>
      <c r="AE912" s="124"/>
      <c r="AI912" s="74"/>
      <c r="AM912" s="74"/>
      <c r="AQ912" s="74"/>
    </row>
    <row r="913" spans="2:43" s="123" customFormat="1">
      <c r="B913" s="125"/>
      <c r="D913" s="125"/>
      <c r="J913" s="124"/>
      <c r="AA913" s="74"/>
      <c r="AE913" s="124"/>
      <c r="AI913" s="74"/>
      <c r="AM913" s="74"/>
      <c r="AQ913" s="74"/>
    </row>
    <row r="914" spans="2:43" s="123" customFormat="1">
      <c r="B914" s="125"/>
      <c r="D914" s="125"/>
      <c r="J914" s="124"/>
      <c r="AA914" s="74"/>
      <c r="AE914" s="124"/>
      <c r="AI914" s="74"/>
      <c r="AM914" s="74"/>
      <c r="AQ914" s="74"/>
    </row>
    <row r="915" spans="2:43" s="123" customFormat="1">
      <c r="B915" s="125"/>
      <c r="D915" s="125"/>
      <c r="J915" s="124"/>
      <c r="AA915" s="74"/>
      <c r="AE915" s="124"/>
      <c r="AI915" s="74"/>
      <c r="AM915" s="74"/>
      <c r="AQ915" s="74"/>
    </row>
    <row r="916" spans="2:43" s="123" customFormat="1">
      <c r="B916" s="125"/>
      <c r="D916" s="125"/>
      <c r="J916" s="124"/>
      <c r="AA916" s="74"/>
      <c r="AE916" s="124"/>
      <c r="AI916" s="74"/>
      <c r="AM916" s="74"/>
      <c r="AQ916" s="74"/>
    </row>
    <row r="917" spans="2:43" s="123" customFormat="1">
      <c r="B917" s="125"/>
      <c r="D917" s="125"/>
      <c r="J917" s="124"/>
      <c r="AA917" s="74"/>
      <c r="AE917" s="124"/>
      <c r="AI917" s="74"/>
      <c r="AM917" s="74"/>
      <c r="AQ917" s="74"/>
    </row>
    <row r="918" spans="2:43" s="123" customFormat="1">
      <c r="B918" s="125"/>
      <c r="D918" s="125"/>
      <c r="J918" s="124"/>
      <c r="AA918" s="74"/>
      <c r="AE918" s="124"/>
      <c r="AI918" s="74"/>
      <c r="AM918" s="74"/>
      <c r="AQ918" s="74"/>
    </row>
  </sheetData>
  <mergeCells count="15">
    <mergeCell ref="B8:AC8"/>
    <mergeCell ref="B1:AC2"/>
    <mergeCell ref="B3:AC4"/>
    <mergeCell ref="B5:AC5"/>
    <mergeCell ref="B6:AC6"/>
    <mergeCell ref="B7:AC7"/>
    <mergeCell ref="AT14:AW14"/>
    <mergeCell ref="AX14:AY14"/>
    <mergeCell ref="B148:I148"/>
    <mergeCell ref="B9:AC10"/>
    <mergeCell ref="Z14:AC14"/>
    <mergeCell ref="AD14:AG14"/>
    <mergeCell ref="AH14:AK14"/>
    <mergeCell ref="AL14:AO14"/>
    <mergeCell ref="AP14:AS14"/>
  </mergeCells>
  <conditionalFormatting sqref="D126">
    <cfRule type="duplicateValues" dxfId="142" priority="1"/>
  </conditionalFormatting>
  <conditionalFormatting sqref="D16:D37">
    <cfRule type="duplicateValues" dxfId="141" priority="10"/>
  </conditionalFormatting>
  <conditionalFormatting sqref="D16:D37">
    <cfRule type="duplicateValues" dxfId="140" priority="11"/>
  </conditionalFormatting>
  <conditionalFormatting sqref="D147">
    <cfRule type="duplicateValues" dxfId="139" priority="12"/>
  </conditionalFormatting>
  <conditionalFormatting sqref="D116">
    <cfRule type="duplicateValues" dxfId="138" priority="9"/>
  </conditionalFormatting>
  <conditionalFormatting sqref="D118">
    <cfRule type="duplicateValues" dxfId="137" priority="8"/>
  </conditionalFormatting>
  <conditionalFormatting sqref="D119">
    <cfRule type="duplicateValues" dxfId="136" priority="7"/>
  </conditionalFormatting>
  <conditionalFormatting sqref="D121">
    <cfRule type="duplicateValues" dxfId="135" priority="6"/>
  </conditionalFormatting>
  <conditionalFormatting sqref="D122">
    <cfRule type="duplicateValues" dxfId="134" priority="5"/>
  </conditionalFormatting>
  <conditionalFormatting sqref="D38:D115 D117 D120 D127:D146">
    <cfRule type="duplicateValues" dxfId="133" priority="13"/>
  </conditionalFormatting>
  <conditionalFormatting sqref="D123">
    <cfRule type="duplicateValues" dxfId="132" priority="4"/>
  </conditionalFormatting>
  <conditionalFormatting sqref="D124">
    <cfRule type="duplicateValues" dxfId="131" priority="3"/>
  </conditionalFormatting>
  <conditionalFormatting sqref="D125">
    <cfRule type="duplicateValues" dxfId="130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531"/>
  <sheetViews>
    <sheetView topLeftCell="A9" workbookViewId="0">
      <selection activeCell="B11" sqref="B11:AC11"/>
    </sheetView>
  </sheetViews>
  <sheetFormatPr baseColWidth="10" defaultRowHeight="11.25"/>
  <cols>
    <col min="1" max="1" width="6" style="123" bestFit="1" customWidth="1"/>
    <col min="2" max="2" width="10.140625" style="86" customWidth="1"/>
    <col min="3" max="3" width="9.85546875" style="83" customWidth="1"/>
    <col min="4" max="4" width="11.42578125" style="86" customWidth="1"/>
    <col min="5" max="5" width="37" style="83" customWidth="1"/>
    <col min="6" max="6" width="13.140625" style="83" customWidth="1"/>
    <col min="7" max="7" width="11.28515625" style="83" customWidth="1"/>
    <col min="8" max="8" width="18.85546875" style="83" customWidth="1"/>
    <col min="9" max="9" width="9.7109375" style="86" customWidth="1"/>
    <col min="10" max="10" width="15.140625" style="83" customWidth="1"/>
    <col min="11" max="25" width="12" style="83" customWidth="1"/>
    <col min="26" max="26" width="12" style="84" customWidth="1"/>
    <col min="27" max="27" width="10.140625" style="60" customWidth="1"/>
    <col min="28" max="28" width="15.5703125" style="267" customWidth="1"/>
    <col min="29" max="29" width="10.140625" style="83" customWidth="1"/>
    <col min="30" max="30" width="13" style="84" customWidth="1"/>
    <col min="31" max="31" width="10.140625" style="268" customWidth="1"/>
    <col min="32" max="32" width="10.140625" style="269" customWidth="1"/>
    <col min="33" max="33" width="10.140625" style="239" customWidth="1"/>
    <col min="34" max="34" width="10.140625" style="84" customWidth="1"/>
    <col min="35" max="35" width="10.140625" style="60" customWidth="1"/>
    <col min="36" max="36" width="10.140625" style="267" customWidth="1"/>
    <col min="37" max="37" width="10.140625" style="123" customWidth="1"/>
    <col min="38" max="38" width="10.140625" style="84" customWidth="1"/>
    <col min="39" max="39" width="10.140625" style="60" customWidth="1"/>
    <col min="40" max="40" width="10.140625" style="83" customWidth="1"/>
    <col min="41" max="41" width="10.140625" style="123" customWidth="1"/>
    <col min="42" max="42" width="10.140625" style="86" customWidth="1"/>
    <col min="43" max="43" width="10.140625" style="270" customWidth="1"/>
    <col min="44" max="44" width="10.140625" style="86" customWidth="1"/>
    <col min="45" max="45" width="10.140625" style="125" customWidth="1"/>
    <col min="46" max="46" width="10.140625" style="268" customWidth="1"/>
    <col min="47" max="48" width="10.140625" style="86" customWidth="1"/>
    <col min="49" max="49" width="10.140625" style="125" customWidth="1"/>
    <col min="50" max="50" width="10.140625" style="268" customWidth="1"/>
    <col min="51" max="53" width="10.140625" style="86" customWidth="1"/>
    <col min="54" max="55" width="11.42578125" style="83"/>
    <col min="56" max="89" width="11.42578125" style="123"/>
    <col min="90" max="16384" width="11.42578125" style="83"/>
  </cols>
  <sheetData>
    <row r="1" spans="1:89" hidden="1">
      <c r="B1" s="755"/>
      <c r="C1" s="755"/>
      <c r="D1" s="756"/>
      <c r="E1" s="756"/>
      <c r="F1" s="756"/>
      <c r="G1" s="756"/>
      <c r="H1" s="756"/>
      <c r="I1" s="756"/>
      <c r="J1" s="756"/>
      <c r="K1" s="756"/>
      <c r="L1" s="756"/>
      <c r="M1" s="756"/>
      <c r="N1" s="756"/>
      <c r="O1" s="756"/>
      <c r="P1" s="756"/>
      <c r="Q1" s="756"/>
      <c r="R1" s="756"/>
      <c r="S1" s="756"/>
      <c r="T1" s="756"/>
      <c r="U1" s="756"/>
      <c r="V1" s="756"/>
      <c r="W1" s="756"/>
      <c r="X1" s="756"/>
      <c r="Y1" s="756"/>
      <c r="Z1" s="756"/>
      <c r="AA1" s="756"/>
      <c r="AB1" s="756"/>
      <c r="AC1" s="756"/>
      <c r="AD1" s="127"/>
      <c r="AE1" s="127"/>
      <c r="AF1" s="232"/>
      <c r="AG1" s="232"/>
      <c r="AH1" s="127"/>
      <c r="AI1" s="129"/>
      <c r="AJ1" s="232"/>
      <c r="AK1" s="128"/>
      <c r="AL1" s="127"/>
      <c r="AM1" s="129"/>
      <c r="AN1" s="128"/>
      <c r="AO1" s="128"/>
      <c r="AP1" s="128"/>
      <c r="AQ1" s="129"/>
      <c r="AR1" s="128"/>
      <c r="AS1" s="128"/>
      <c r="AT1" s="127"/>
      <c r="AU1" s="128"/>
      <c r="AV1" s="128"/>
      <c r="AW1" s="128"/>
      <c r="AX1" s="127"/>
      <c r="AY1" s="128"/>
      <c r="AZ1" s="128"/>
      <c r="BA1" s="128"/>
      <c r="BB1" s="123"/>
      <c r="BC1" s="123"/>
    </row>
    <row r="2" spans="1:89" hidden="1"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56"/>
      <c r="AB2" s="756"/>
      <c r="AC2" s="756"/>
      <c r="AD2" s="127"/>
      <c r="AE2" s="127"/>
      <c r="AF2" s="232"/>
      <c r="AG2" s="232"/>
      <c r="AH2" s="127"/>
      <c r="AI2" s="129"/>
      <c r="AJ2" s="232"/>
      <c r="AK2" s="128"/>
      <c r="AL2" s="127"/>
      <c r="AM2" s="129"/>
      <c r="AN2" s="128"/>
      <c r="AO2" s="128"/>
      <c r="AP2" s="128"/>
      <c r="AQ2" s="129"/>
      <c r="AR2" s="128"/>
      <c r="AS2" s="128"/>
      <c r="AT2" s="127"/>
      <c r="AU2" s="128"/>
      <c r="AV2" s="128"/>
      <c r="AW2" s="128"/>
      <c r="AX2" s="127"/>
      <c r="AY2" s="128"/>
      <c r="AZ2" s="128"/>
      <c r="BA2" s="128"/>
      <c r="BB2" s="123"/>
      <c r="BC2" s="123"/>
    </row>
    <row r="3" spans="1:89" hidden="1"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7"/>
      <c r="S3" s="757"/>
      <c r="T3" s="757"/>
      <c r="U3" s="757"/>
      <c r="V3" s="757"/>
      <c r="W3" s="757"/>
      <c r="X3" s="757"/>
      <c r="Y3" s="757"/>
      <c r="Z3" s="757"/>
      <c r="AA3" s="757"/>
      <c r="AB3" s="757"/>
      <c r="AC3" s="757"/>
      <c r="AD3" s="62"/>
      <c r="AE3" s="233"/>
      <c r="AF3" s="234"/>
      <c r="AG3" s="234"/>
      <c r="AH3" s="62"/>
      <c r="AI3" s="63"/>
      <c r="AJ3" s="234"/>
      <c r="AK3" s="61"/>
      <c r="AL3" s="62"/>
      <c r="AM3" s="63"/>
      <c r="AN3" s="61"/>
      <c r="AO3" s="61"/>
      <c r="AP3" s="61"/>
      <c r="AQ3" s="63"/>
      <c r="AR3" s="61"/>
      <c r="AS3" s="61"/>
      <c r="AT3" s="62"/>
      <c r="AU3" s="61"/>
      <c r="AV3" s="61"/>
      <c r="AW3" s="61"/>
      <c r="AX3" s="62"/>
      <c r="AY3" s="61"/>
      <c r="AZ3" s="61"/>
      <c r="BA3" s="61"/>
      <c r="BB3" s="123"/>
      <c r="BC3" s="123"/>
    </row>
    <row r="4" spans="1:89" hidden="1"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57"/>
      <c r="S4" s="757"/>
      <c r="T4" s="757"/>
      <c r="U4" s="757"/>
      <c r="V4" s="757"/>
      <c r="W4" s="757"/>
      <c r="X4" s="757"/>
      <c r="Y4" s="757"/>
      <c r="Z4" s="757"/>
      <c r="AA4" s="757"/>
      <c r="AB4" s="757"/>
      <c r="AC4" s="757"/>
      <c r="AD4" s="62"/>
      <c r="AE4" s="233"/>
      <c r="AF4" s="234"/>
      <c r="AG4" s="234"/>
      <c r="AH4" s="62"/>
      <c r="AI4" s="63"/>
      <c r="AJ4" s="234"/>
      <c r="AK4" s="61"/>
      <c r="AL4" s="62"/>
      <c r="AM4" s="63"/>
      <c r="AN4" s="61"/>
      <c r="AO4" s="61"/>
      <c r="AP4" s="61"/>
      <c r="AQ4" s="63"/>
      <c r="AR4" s="61"/>
      <c r="AS4" s="61"/>
      <c r="AT4" s="62"/>
      <c r="AU4" s="61"/>
      <c r="AV4" s="61"/>
      <c r="AW4" s="61"/>
      <c r="AX4" s="62"/>
      <c r="AY4" s="61"/>
      <c r="AZ4" s="61"/>
      <c r="BA4" s="61"/>
      <c r="BB4" s="123"/>
      <c r="BC4" s="123"/>
    </row>
    <row r="5" spans="1:89" hidden="1"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757"/>
      <c r="O5" s="757"/>
      <c r="P5" s="757"/>
      <c r="Q5" s="757"/>
      <c r="R5" s="757"/>
      <c r="S5" s="757"/>
      <c r="T5" s="757"/>
      <c r="U5" s="757"/>
      <c r="V5" s="757"/>
      <c r="W5" s="757"/>
      <c r="X5" s="757"/>
      <c r="Y5" s="757"/>
      <c r="Z5" s="757"/>
      <c r="AA5" s="757"/>
      <c r="AB5" s="757"/>
      <c r="AC5" s="757"/>
      <c r="AD5" s="62"/>
      <c r="AE5" s="233"/>
      <c r="AF5" s="234"/>
      <c r="AG5" s="234"/>
      <c r="AH5" s="62"/>
      <c r="AI5" s="63"/>
      <c r="AJ5" s="234"/>
      <c r="AK5" s="61"/>
      <c r="AL5" s="62"/>
      <c r="AM5" s="63"/>
      <c r="AN5" s="61"/>
      <c r="AO5" s="61"/>
      <c r="AP5" s="61"/>
      <c r="AQ5" s="63"/>
      <c r="AR5" s="61"/>
      <c r="AS5" s="61"/>
      <c r="AT5" s="62"/>
      <c r="AU5" s="61"/>
      <c r="AV5" s="61"/>
      <c r="AW5" s="61"/>
      <c r="AX5" s="62"/>
      <c r="AY5" s="61"/>
      <c r="AZ5" s="61"/>
      <c r="BA5" s="61"/>
      <c r="BB5" s="123"/>
      <c r="BC5" s="123"/>
    </row>
    <row r="6" spans="1:89" hidden="1"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757"/>
      <c r="O6" s="757"/>
      <c r="P6" s="757"/>
      <c r="Q6" s="757"/>
      <c r="R6" s="757"/>
      <c r="S6" s="757"/>
      <c r="T6" s="757"/>
      <c r="U6" s="757"/>
      <c r="V6" s="757"/>
      <c r="W6" s="757"/>
      <c r="X6" s="757"/>
      <c r="Y6" s="757"/>
      <c r="Z6" s="757"/>
      <c r="AA6" s="757"/>
      <c r="AB6" s="757"/>
      <c r="AC6" s="757"/>
      <c r="AD6" s="62"/>
      <c r="AE6" s="233"/>
      <c r="AF6" s="234"/>
      <c r="AG6" s="234"/>
      <c r="AH6" s="62"/>
      <c r="AI6" s="63"/>
      <c r="AJ6" s="234"/>
      <c r="AK6" s="61"/>
      <c r="AL6" s="62"/>
      <c r="AM6" s="63"/>
      <c r="AN6" s="61"/>
      <c r="AO6" s="61"/>
      <c r="AP6" s="61"/>
      <c r="AQ6" s="63"/>
      <c r="AR6" s="61"/>
      <c r="AS6" s="61"/>
      <c r="AT6" s="62"/>
      <c r="AU6" s="61"/>
      <c r="AV6" s="61"/>
      <c r="AW6" s="61"/>
      <c r="AX6" s="62"/>
      <c r="AY6" s="61"/>
      <c r="AZ6" s="61"/>
      <c r="BA6" s="61"/>
      <c r="BB6" s="123"/>
      <c r="BC6" s="123"/>
    </row>
    <row r="7" spans="1:89" hidden="1"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7"/>
      <c r="Y7" s="757"/>
      <c r="Z7" s="757"/>
      <c r="AA7" s="757"/>
      <c r="AB7" s="757"/>
      <c r="AC7" s="757"/>
      <c r="AD7" s="62"/>
      <c r="AE7" s="233"/>
      <c r="AF7" s="234"/>
      <c r="AG7" s="234"/>
      <c r="AH7" s="62"/>
      <c r="AI7" s="63"/>
      <c r="AJ7" s="234"/>
      <c r="AK7" s="61"/>
      <c r="AL7" s="62"/>
      <c r="AM7" s="63"/>
      <c r="AN7" s="61"/>
      <c r="AO7" s="61"/>
      <c r="AP7" s="61"/>
      <c r="AQ7" s="63"/>
      <c r="AR7" s="61"/>
      <c r="AS7" s="61"/>
      <c r="AT7" s="62"/>
      <c r="AU7" s="61"/>
      <c r="AV7" s="61"/>
      <c r="AW7" s="61"/>
      <c r="AX7" s="62"/>
      <c r="AY7" s="61"/>
      <c r="AZ7" s="61"/>
      <c r="BA7" s="61"/>
      <c r="BB7" s="123"/>
      <c r="BC7" s="123"/>
    </row>
    <row r="8" spans="1:89" hidden="1"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  <c r="T8" s="757"/>
      <c r="U8" s="757"/>
      <c r="V8" s="757"/>
      <c r="W8" s="757"/>
      <c r="X8" s="757"/>
      <c r="Y8" s="757"/>
      <c r="Z8" s="757"/>
      <c r="AA8" s="757"/>
      <c r="AB8" s="757"/>
      <c r="AC8" s="757"/>
      <c r="AD8" s="62"/>
      <c r="AE8" s="233"/>
      <c r="AF8" s="234"/>
      <c r="AG8" s="234"/>
      <c r="AH8" s="62"/>
      <c r="AI8" s="63"/>
      <c r="AJ8" s="234"/>
      <c r="AK8" s="61"/>
      <c r="AL8" s="62"/>
      <c r="AM8" s="63"/>
      <c r="AN8" s="61"/>
      <c r="AO8" s="61"/>
      <c r="AP8" s="61"/>
      <c r="AQ8" s="63"/>
      <c r="AR8" s="61"/>
      <c r="AS8" s="61"/>
      <c r="AT8" s="62"/>
      <c r="AU8" s="61"/>
      <c r="AV8" s="61"/>
      <c r="AW8" s="61"/>
      <c r="AX8" s="62"/>
      <c r="AY8" s="61"/>
      <c r="AZ8" s="61"/>
      <c r="BA8" s="61"/>
      <c r="BB8" s="123"/>
      <c r="BC8" s="123"/>
    </row>
    <row r="9" spans="1:89" ht="11.2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62"/>
      <c r="AE9" s="233"/>
      <c r="AF9" s="235"/>
      <c r="AG9" s="235"/>
      <c r="AH9" s="62"/>
      <c r="AI9" s="63"/>
      <c r="AJ9" s="234"/>
      <c r="AK9" s="61"/>
      <c r="AL9" s="62"/>
      <c r="AM9" s="63"/>
      <c r="AN9" s="61"/>
      <c r="AO9" s="61"/>
      <c r="AP9" s="236"/>
      <c r="AQ9" s="237"/>
      <c r="AR9" s="236"/>
      <c r="AS9" s="236"/>
      <c r="AT9" s="233"/>
      <c r="AU9" s="236"/>
      <c r="AV9" s="236"/>
      <c r="AW9" s="236"/>
      <c r="AX9" s="233"/>
      <c r="AY9" s="236"/>
      <c r="AZ9" s="236"/>
      <c r="BA9" s="236"/>
      <c r="BB9" s="123"/>
      <c r="BC9" s="123"/>
    </row>
    <row r="10" spans="1:89" ht="11.25" customHeight="1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D10" s="124"/>
      <c r="AE10" s="238"/>
      <c r="AF10" s="239"/>
      <c r="AH10" s="124"/>
      <c r="AI10" s="74"/>
      <c r="AJ10" s="240"/>
      <c r="AL10" s="124"/>
      <c r="AM10" s="74"/>
      <c r="AN10" s="123"/>
      <c r="AP10" s="125"/>
      <c r="AQ10" s="241"/>
      <c r="AR10" s="125"/>
      <c r="AT10" s="238"/>
      <c r="AU10" s="125"/>
      <c r="AV10" s="125"/>
      <c r="AX10" s="238"/>
      <c r="AY10" s="125"/>
      <c r="AZ10" s="125"/>
      <c r="BA10" s="125"/>
      <c r="BB10" s="123"/>
      <c r="BC10" s="123"/>
    </row>
    <row r="11" spans="1:89" ht="18.75">
      <c r="B11" s="754"/>
      <c r="C11" s="754"/>
      <c r="D11" s="754"/>
      <c r="E11" s="754"/>
      <c r="F11" s="754"/>
      <c r="G11" s="754"/>
      <c r="H11" s="754"/>
      <c r="I11" s="754"/>
      <c r="J11" s="754"/>
      <c r="K11" s="754"/>
      <c r="L11" s="754"/>
      <c r="M11" s="754"/>
      <c r="N11" s="754"/>
      <c r="O11" s="754"/>
      <c r="P11" s="754"/>
      <c r="Q11" s="754"/>
      <c r="R11" s="754"/>
      <c r="S11" s="754"/>
      <c r="T11" s="754"/>
      <c r="U11" s="754"/>
      <c r="V11" s="754"/>
      <c r="W11" s="754"/>
      <c r="X11" s="754"/>
      <c r="Y11" s="754"/>
      <c r="Z11" s="754"/>
      <c r="AA11" s="754"/>
      <c r="AB11" s="754"/>
      <c r="AC11" s="754"/>
      <c r="AD11" s="124"/>
      <c r="AE11" s="238"/>
      <c r="AF11" s="239"/>
      <c r="AH11" s="124"/>
      <c r="AI11" s="74"/>
      <c r="AJ11" s="240"/>
      <c r="AL11" s="124"/>
      <c r="AM11" s="74"/>
      <c r="AN11" s="123"/>
      <c r="AP11" s="125"/>
      <c r="AQ11" s="241"/>
      <c r="AR11" s="125"/>
      <c r="AT11" s="238"/>
      <c r="AU11" s="125"/>
      <c r="AV11" s="125"/>
      <c r="AX11" s="238"/>
      <c r="AY11" s="125"/>
      <c r="AZ11" s="125"/>
      <c r="BA11" s="125"/>
      <c r="BB11" s="123"/>
      <c r="BC11" s="123"/>
    </row>
    <row r="12" spans="1:89" ht="18.75"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122"/>
      <c r="AA12" s="64"/>
      <c r="AB12" s="242"/>
      <c r="AC12" s="65"/>
      <c r="AD12" s="124"/>
      <c r="AE12" s="238"/>
      <c r="AF12" s="239"/>
      <c r="AH12" s="124"/>
      <c r="AI12" s="74"/>
      <c r="AJ12" s="240"/>
      <c r="AL12" s="124"/>
      <c r="AM12" s="74"/>
      <c r="AN12" s="123"/>
      <c r="AP12" s="125"/>
      <c r="AQ12" s="241"/>
      <c r="AR12" s="125"/>
      <c r="AT12" s="238"/>
      <c r="AU12" s="125"/>
      <c r="AV12" s="125"/>
      <c r="AX12" s="238"/>
      <c r="AY12" s="125"/>
      <c r="AZ12" s="125"/>
      <c r="BA12" s="125"/>
      <c r="BB12" s="123"/>
      <c r="BC12" s="123"/>
    </row>
    <row r="13" spans="1:89" ht="22.5">
      <c r="B13" s="12" t="s">
        <v>1</v>
      </c>
      <c r="C13" s="12" t="s">
        <v>2</v>
      </c>
      <c r="D13" s="12" t="s">
        <v>3</v>
      </c>
      <c r="E13" s="12" t="s">
        <v>681</v>
      </c>
      <c r="F13" s="7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122"/>
      <c r="AA13" s="64"/>
      <c r="AB13" s="242"/>
      <c r="AC13" s="65"/>
      <c r="AD13" s="124"/>
      <c r="AE13" s="238"/>
      <c r="AF13" s="239"/>
      <c r="AH13" s="124"/>
      <c r="AI13" s="74"/>
      <c r="AJ13" s="240"/>
      <c r="AL13" s="124"/>
      <c r="AM13" s="74"/>
      <c r="AN13" s="123"/>
      <c r="AP13" s="125"/>
      <c r="AQ13" s="241"/>
      <c r="AR13" s="125"/>
      <c r="AT13" s="238"/>
      <c r="AU13" s="125"/>
      <c r="AV13" s="125"/>
      <c r="AX13" s="238"/>
      <c r="AY13" s="125"/>
      <c r="AZ13" s="125"/>
      <c r="BA13" s="125"/>
      <c r="BB13" s="123"/>
      <c r="BC13" s="123"/>
    </row>
    <row r="14" spans="1:89" ht="18.75">
      <c r="B14" s="8">
        <v>57190327</v>
      </c>
      <c r="C14" s="66">
        <v>45702878</v>
      </c>
      <c r="D14" s="66">
        <f>C14</f>
        <v>45702878</v>
      </c>
      <c r="E14" s="66">
        <v>27094313</v>
      </c>
      <c r="F14" s="67"/>
      <c r="G14" s="138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122"/>
      <c r="AA14" s="64"/>
      <c r="AB14" s="242"/>
      <c r="AC14" s="65"/>
      <c r="AD14" s="124"/>
      <c r="AE14" s="238"/>
      <c r="AF14" s="239"/>
      <c r="AH14" s="124"/>
      <c r="AI14" s="74"/>
      <c r="AJ14" s="240"/>
      <c r="AL14" s="124"/>
      <c r="AM14" s="74"/>
      <c r="AN14" s="123"/>
      <c r="AP14" s="125"/>
      <c r="AQ14" s="241"/>
      <c r="AR14" s="125"/>
      <c r="AT14" s="238"/>
      <c r="AU14" s="125"/>
      <c r="AV14" s="125"/>
      <c r="AX14" s="238"/>
      <c r="AY14" s="125"/>
      <c r="AZ14" s="125"/>
      <c r="BA14" s="125"/>
      <c r="BB14" s="123"/>
      <c r="BC14" s="123"/>
    </row>
    <row r="15" spans="1:89" ht="15" customHeight="1">
      <c r="C15" s="9"/>
      <c r="D15" s="10"/>
      <c r="E15" s="9"/>
      <c r="F15" s="68"/>
      <c r="G15" s="123"/>
      <c r="H15" s="123"/>
      <c r="I15" s="125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742" t="s">
        <v>5</v>
      </c>
      <c r="AA15" s="743"/>
      <c r="AB15" s="743"/>
      <c r="AC15" s="744"/>
      <c r="AD15" s="745" t="s">
        <v>6</v>
      </c>
      <c r="AE15" s="746"/>
      <c r="AF15" s="746"/>
      <c r="AG15" s="747"/>
      <c r="AH15" s="745" t="s">
        <v>6</v>
      </c>
      <c r="AI15" s="746"/>
      <c r="AJ15" s="746"/>
      <c r="AK15" s="747"/>
      <c r="AL15" s="745" t="s">
        <v>6</v>
      </c>
      <c r="AM15" s="746"/>
      <c r="AN15" s="746"/>
      <c r="AO15" s="747"/>
      <c r="AP15" s="745" t="s">
        <v>6</v>
      </c>
      <c r="AQ15" s="746"/>
      <c r="AR15" s="746"/>
      <c r="AS15" s="746"/>
      <c r="AT15" s="745" t="s">
        <v>6</v>
      </c>
      <c r="AU15" s="746"/>
      <c r="AV15" s="746"/>
      <c r="AW15" s="747"/>
      <c r="AX15" s="745" t="s">
        <v>6</v>
      </c>
      <c r="AY15" s="746"/>
      <c r="AZ15" s="746"/>
      <c r="BA15" s="747"/>
      <c r="BB15" s="747" t="s">
        <v>7</v>
      </c>
      <c r="BC15" s="729"/>
    </row>
    <row r="16" spans="1:89" s="96" customFormat="1" ht="60">
      <c r="A16" s="39"/>
      <c r="B16" s="11" t="s">
        <v>8</v>
      </c>
      <c r="C16" s="11" t="s">
        <v>9</v>
      </c>
      <c r="D16" s="11" t="s">
        <v>10</v>
      </c>
      <c r="E16" s="12" t="s">
        <v>11</v>
      </c>
      <c r="F16" s="12" t="s">
        <v>12</v>
      </c>
      <c r="G16" s="12" t="s">
        <v>13</v>
      </c>
      <c r="H16" s="12" t="s">
        <v>14</v>
      </c>
      <c r="I16" s="12" t="s">
        <v>15</v>
      </c>
      <c r="J16" s="12" t="s">
        <v>16</v>
      </c>
      <c r="K16" s="12" t="s">
        <v>17</v>
      </c>
      <c r="L16" s="12" t="s">
        <v>18</v>
      </c>
      <c r="M16" s="13" t="s">
        <v>19</v>
      </c>
      <c r="N16" s="13" t="s">
        <v>20</v>
      </c>
      <c r="O16" s="13" t="s">
        <v>21</v>
      </c>
      <c r="P16" s="13" t="s">
        <v>22</v>
      </c>
      <c r="Q16" s="13" t="s">
        <v>23</v>
      </c>
      <c r="R16" s="14" t="s">
        <v>24</v>
      </c>
      <c r="S16" s="14" t="s">
        <v>25</v>
      </c>
      <c r="T16" s="14" t="s">
        <v>26</v>
      </c>
      <c r="U16" s="14" t="s">
        <v>27</v>
      </c>
      <c r="V16" s="14" t="s">
        <v>28</v>
      </c>
      <c r="W16" s="14" t="s">
        <v>29</v>
      </c>
      <c r="X16" s="14" t="s">
        <v>30</v>
      </c>
      <c r="Y16" s="15" t="s">
        <v>31</v>
      </c>
      <c r="Z16" s="243" t="s">
        <v>32</v>
      </c>
      <c r="AA16" s="244" t="s">
        <v>33</v>
      </c>
      <c r="AB16" s="245" t="s">
        <v>34</v>
      </c>
      <c r="AC16" s="16" t="s">
        <v>35</v>
      </c>
      <c r="AD16" s="19" t="s">
        <v>36</v>
      </c>
      <c r="AE16" s="19" t="s">
        <v>33</v>
      </c>
      <c r="AF16" s="198" t="s">
        <v>34</v>
      </c>
      <c r="AG16" s="198" t="s">
        <v>35</v>
      </c>
      <c r="AH16" s="19" t="s">
        <v>36</v>
      </c>
      <c r="AI16" s="19" t="s">
        <v>33</v>
      </c>
      <c r="AJ16" s="198" t="s">
        <v>34</v>
      </c>
      <c r="AK16" s="198" t="s">
        <v>35</v>
      </c>
      <c r="AL16" s="19" t="s">
        <v>36</v>
      </c>
      <c r="AM16" s="19" t="s">
        <v>33</v>
      </c>
      <c r="AN16" s="18" t="s">
        <v>34</v>
      </c>
      <c r="AO16" s="18" t="s">
        <v>35</v>
      </c>
      <c r="AP16" s="18" t="s">
        <v>36</v>
      </c>
      <c r="AQ16" s="19" t="s">
        <v>33</v>
      </c>
      <c r="AR16" s="18" t="s">
        <v>34</v>
      </c>
      <c r="AS16" s="18" t="s">
        <v>35</v>
      </c>
      <c r="AT16" s="19" t="s">
        <v>36</v>
      </c>
      <c r="AU16" s="19" t="s">
        <v>33</v>
      </c>
      <c r="AV16" s="18" t="s">
        <v>34</v>
      </c>
      <c r="AW16" s="18" t="s">
        <v>35</v>
      </c>
      <c r="AX16" s="19" t="s">
        <v>36</v>
      </c>
      <c r="AY16" s="19" t="s">
        <v>33</v>
      </c>
      <c r="AZ16" s="18" t="s">
        <v>34</v>
      </c>
      <c r="BA16" s="18" t="s">
        <v>35</v>
      </c>
      <c r="BB16" s="20" t="s">
        <v>37</v>
      </c>
      <c r="BC16" s="20" t="s">
        <v>38</v>
      </c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</row>
    <row r="17" spans="1:55" s="39" customFormat="1" ht="23.25" customHeight="1">
      <c r="A17" s="246"/>
      <c r="B17" s="22">
        <v>1</v>
      </c>
      <c r="C17" s="22" t="s">
        <v>39</v>
      </c>
      <c r="D17" s="23">
        <v>30464945</v>
      </c>
      <c r="E17" s="48" t="s">
        <v>682</v>
      </c>
      <c r="F17" s="48" t="s">
        <v>317</v>
      </c>
      <c r="G17" s="26" t="s">
        <v>683</v>
      </c>
      <c r="H17" s="48" t="s">
        <v>684</v>
      </c>
      <c r="I17" s="25" t="s">
        <v>44</v>
      </c>
      <c r="J17" s="247">
        <v>3753377</v>
      </c>
      <c r="K17" s="247">
        <v>3048174</v>
      </c>
      <c r="L17" s="247">
        <f>J17-K17</f>
        <v>705203</v>
      </c>
      <c r="M17" s="248"/>
      <c r="N17" s="248"/>
      <c r="O17" s="248"/>
      <c r="P17" s="248"/>
      <c r="Q17" s="248"/>
      <c r="R17" s="248"/>
      <c r="S17" s="248">
        <v>0</v>
      </c>
      <c r="T17" s="248">
        <v>0</v>
      </c>
      <c r="U17" s="248">
        <v>0</v>
      </c>
      <c r="V17" s="248"/>
      <c r="W17" s="248"/>
      <c r="X17" s="248"/>
      <c r="Y17" s="248">
        <v>0</v>
      </c>
      <c r="Z17" s="249">
        <v>522100</v>
      </c>
      <c r="AA17" s="250">
        <v>5</v>
      </c>
      <c r="AB17" s="251">
        <v>44216</v>
      </c>
      <c r="AC17" s="252">
        <v>44225</v>
      </c>
      <c r="AD17" s="249">
        <v>7230</v>
      </c>
      <c r="AE17" s="248">
        <v>27</v>
      </c>
      <c r="AF17" s="251">
        <v>44274</v>
      </c>
      <c r="AG17" s="251">
        <v>44279</v>
      </c>
      <c r="AH17" s="249"/>
      <c r="AI17" s="248"/>
      <c r="AJ17" s="251"/>
      <c r="AK17" s="248"/>
      <c r="AL17" s="249"/>
      <c r="AM17" s="248"/>
      <c r="AN17" s="248"/>
      <c r="AO17" s="248"/>
      <c r="AP17" s="248"/>
      <c r="AQ17" s="248"/>
      <c r="AR17" s="248"/>
      <c r="AS17" s="248"/>
      <c r="AT17" s="249"/>
      <c r="AU17" s="248"/>
      <c r="AV17" s="248"/>
      <c r="AW17" s="248"/>
      <c r="AX17" s="249"/>
      <c r="AY17" s="248"/>
      <c r="AZ17" s="248"/>
      <c r="BA17" s="248"/>
      <c r="BB17" s="248">
        <f>Z17+AD17+AH17+AL17+AP17+AT17+AX17</f>
        <v>529330</v>
      </c>
      <c r="BC17" s="248">
        <f t="shared" ref="BC17:BC80" si="0">BB17-Y17</f>
        <v>529330</v>
      </c>
    </row>
    <row r="18" spans="1:55" s="39" customFormat="1" ht="23.25" customHeight="1">
      <c r="B18" s="22">
        <f>B17+1</f>
        <v>2</v>
      </c>
      <c r="C18" s="22" t="s">
        <v>39</v>
      </c>
      <c r="D18" s="23">
        <v>30444822</v>
      </c>
      <c r="E18" s="48" t="s">
        <v>685</v>
      </c>
      <c r="F18" s="48" t="s">
        <v>317</v>
      </c>
      <c r="G18" s="26" t="s">
        <v>683</v>
      </c>
      <c r="H18" s="48" t="s">
        <v>686</v>
      </c>
      <c r="I18" s="25" t="s">
        <v>44</v>
      </c>
      <c r="J18" s="247">
        <v>2598725</v>
      </c>
      <c r="K18" s="247">
        <v>2463382</v>
      </c>
      <c r="L18" s="247">
        <f t="shared" ref="L18:L81" si="1">J18-K18</f>
        <v>135343</v>
      </c>
      <c r="M18" s="248">
        <v>126474.239</v>
      </c>
      <c r="N18" s="248"/>
      <c r="O18" s="248"/>
      <c r="P18" s="248">
        <v>0</v>
      </c>
      <c r="Q18" s="248">
        <v>0</v>
      </c>
      <c r="R18" s="248">
        <v>0</v>
      </c>
      <c r="S18" s="248">
        <v>0</v>
      </c>
      <c r="T18" s="248">
        <v>0</v>
      </c>
      <c r="U18" s="248">
        <v>0</v>
      </c>
      <c r="V18" s="248"/>
      <c r="W18" s="248"/>
      <c r="X18" s="248"/>
      <c r="Y18" s="248">
        <v>126474.239</v>
      </c>
      <c r="Z18" s="249">
        <v>133520</v>
      </c>
      <c r="AA18" s="250">
        <v>5</v>
      </c>
      <c r="AB18" s="251">
        <v>44216</v>
      </c>
      <c r="AC18" s="252">
        <v>44225</v>
      </c>
      <c r="AD18" s="249"/>
      <c r="AE18" s="248"/>
      <c r="AF18" s="251"/>
      <c r="AG18" s="251"/>
      <c r="AH18" s="249"/>
      <c r="AI18" s="248"/>
      <c r="AJ18" s="251"/>
      <c r="AK18" s="248"/>
      <c r="AL18" s="249"/>
      <c r="AM18" s="248"/>
      <c r="AN18" s="248"/>
      <c r="AO18" s="248"/>
      <c r="AP18" s="248"/>
      <c r="AQ18" s="248"/>
      <c r="AR18" s="248"/>
      <c r="AS18" s="248"/>
      <c r="AT18" s="249"/>
      <c r="AU18" s="248"/>
      <c r="AV18" s="248"/>
      <c r="AW18" s="248"/>
      <c r="AX18" s="249"/>
      <c r="AY18" s="248"/>
      <c r="AZ18" s="248"/>
      <c r="BA18" s="248"/>
      <c r="BB18" s="248">
        <f t="shared" ref="BB18:BB81" si="2">Z18+AD18+AH18+AL18+AP18+AT18+AX18</f>
        <v>133520</v>
      </c>
      <c r="BC18" s="248">
        <f t="shared" si="0"/>
        <v>7045.7609999999986</v>
      </c>
    </row>
    <row r="19" spans="1:55" s="39" customFormat="1" ht="23.25" customHeight="1">
      <c r="B19" s="22">
        <f t="shared" ref="B19:B82" si="3">B18+1</f>
        <v>3</v>
      </c>
      <c r="C19" s="22" t="s">
        <v>39</v>
      </c>
      <c r="D19" s="23">
        <v>20039270</v>
      </c>
      <c r="E19" s="48" t="s">
        <v>687</v>
      </c>
      <c r="F19" s="48" t="s">
        <v>317</v>
      </c>
      <c r="G19" s="26" t="s">
        <v>683</v>
      </c>
      <c r="H19" s="48" t="s">
        <v>688</v>
      </c>
      <c r="I19" s="25" t="s">
        <v>44</v>
      </c>
      <c r="J19" s="247">
        <v>2466772</v>
      </c>
      <c r="K19" s="247">
        <v>2293335</v>
      </c>
      <c r="L19" s="247">
        <f t="shared" si="1"/>
        <v>173437</v>
      </c>
      <c r="M19" s="248"/>
      <c r="N19" s="248"/>
      <c r="O19" s="248">
        <v>7019.3029999999999</v>
      </c>
      <c r="P19" s="248">
        <v>90542.225999999995</v>
      </c>
      <c r="Q19" s="248">
        <v>4258.1659999999993</v>
      </c>
      <c r="R19" s="248">
        <v>21372.521000000001</v>
      </c>
      <c r="S19" s="248">
        <v>1655.4090000000001</v>
      </c>
      <c r="T19" s="248">
        <v>261.8</v>
      </c>
      <c r="U19" s="248">
        <v>0</v>
      </c>
      <c r="V19" s="248"/>
      <c r="W19" s="248"/>
      <c r="X19" s="248"/>
      <c r="Y19" s="248">
        <v>125109.42499999999</v>
      </c>
      <c r="Z19" s="249">
        <v>173437</v>
      </c>
      <c r="AA19" s="250">
        <v>5</v>
      </c>
      <c r="AB19" s="251">
        <v>44216</v>
      </c>
      <c r="AC19" s="252">
        <v>44225</v>
      </c>
      <c r="AD19" s="249"/>
      <c r="AE19" s="248"/>
      <c r="AF19" s="251"/>
      <c r="AG19" s="251"/>
      <c r="AH19" s="249"/>
      <c r="AI19" s="248"/>
      <c r="AJ19" s="251"/>
      <c r="AK19" s="248"/>
      <c r="AL19" s="249"/>
      <c r="AM19" s="248"/>
      <c r="AN19" s="248"/>
      <c r="AO19" s="248"/>
      <c r="AP19" s="248"/>
      <c r="AQ19" s="248"/>
      <c r="AR19" s="248"/>
      <c r="AS19" s="248"/>
      <c r="AT19" s="249"/>
      <c r="AU19" s="248"/>
      <c r="AV19" s="248"/>
      <c r="AW19" s="248"/>
      <c r="AX19" s="249"/>
      <c r="AY19" s="248"/>
      <c r="AZ19" s="248"/>
      <c r="BA19" s="248"/>
      <c r="BB19" s="248">
        <f t="shared" si="2"/>
        <v>173437</v>
      </c>
      <c r="BC19" s="248">
        <f t="shared" si="0"/>
        <v>48327.575000000012</v>
      </c>
    </row>
    <row r="20" spans="1:55" s="39" customFormat="1" ht="23.25" customHeight="1">
      <c r="B20" s="22">
        <f t="shared" si="3"/>
        <v>4</v>
      </c>
      <c r="C20" s="22" t="s">
        <v>39</v>
      </c>
      <c r="D20" s="23">
        <v>30102811</v>
      </c>
      <c r="E20" s="48" t="s">
        <v>689</v>
      </c>
      <c r="F20" s="48" t="s">
        <v>317</v>
      </c>
      <c r="G20" s="26" t="s">
        <v>683</v>
      </c>
      <c r="H20" s="48" t="s">
        <v>688</v>
      </c>
      <c r="I20" s="25" t="s">
        <v>44</v>
      </c>
      <c r="J20" s="247">
        <v>1014086</v>
      </c>
      <c r="K20" s="247">
        <v>983851</v>
      </c>
      <c r="L20" s="247">
        <f t="shared" si="1"/>
        <v>30235</v>
      </c>
      <c r="M20" s="248">
        <v>482</v>
      </c>
      <c r="N20" s="248">
        <v>29752.972000000002</v>
      </c>
      <c r="O20" s="248"/>
      <c r="P20" s="248">
        <v>0</v>
      </c>
      <c r="Q20" s="248">
        <v>0</v>
      </c>
      <c r="R20" s="248">
        <v>0</v>
      </c>
      <c r="S20" s="248">
        <v>0</v>
      </c>
      <c r="T20" s="248">
        <v>0</v>
      </c>
      <c r="U20" s="248">
        <v>0</v>
      </c>
      <c r="V20" s="248"/>
      <c r="W20" s="248"/>
      <c r="X20" s="248"/>
      <c r="Y20" s="248">
        <v>30234.972000000002</v>
      </c>
      <c r="Z20" s="249">
        <v>30235</v>
      </c>
      <c r="AA20" s="250">
        <v>5</v>
      </c>
      <c r="AB20" s="251">
        <v>44216</v>
      </c>
      <c r="AC20" s="252">
        <v>44225</v>
      </c>
      <c r="AD20" s="249"/>
      <c r="AE20" s="248"/>
      <c r="AF20" s="251"/>
      <c r="AG20" s="251"/>
      <c r="AH20" s="249"/>
      <c r="AI20" s="248"/>
      <c r="AJ20" s="251"/>
      <c r="AK20" s="248"/>
      <c r="AL20" s="249"/>
      <c r="AM20" s="248"/>
      <c r="AN20" s="248"/>
      <c r="AO20" s="248"/>
      <c r="AP20" s="248"/>
      <c r="AQ20" s="248"/>
      <c r="AR20" s="248"/>
      <c r="AS20" s="248"/>
      <c r="AT20" s="249"/>
      <c r="AU20" s="248"/>
      <c r="AV20" s="248"/>
      <c r="AW20" s="248"/>
      <c r="AX20" s="249"/>
      <c r="AY20" s="248"/>
      <c r="AZ20" s="248"/>
      <c r="BA20" s="248"/>
      <c r="BB20" s="248">
        <f t="shared" si="2"/>
        <v>30235</v>
      </c>
      <c r="BC20" s="248">
        <f t="shared" si="0"/>
        <v>2.7999999998428393E-2</v>
      </c>
    </row>
    <row r="21" spans="1:55" s="39" customFormat="1" ht="23.25" customHeight="1">
      <c r="B21" s="22">
        <f t="shared" si="3"/>
        <v>5</v>
      </c>
      <c r="C21" s="22" t="s">
        <v>65</v>
      </c>
      <c r="D21" s="23">
        <v>30132855</v>
      </c>
      <c r="E21" s="48" t="s">
        <v>690</v>
      </c>
      <c r="F21" s="48" t="s">
        <v>317</v>
      </c>
      <c r="G21" s="26" t="s">
        <v>683</v>
      </c>
      <c r="H21" s="48" t="s">
        <v>691</v>
      </c>
      <c r="I21" s="25" t="s">
        <v>44</v>
      </c>
      <c r="J21" s="247">
        <v>138089</v>
      </c>
      <c r="K21" s="247">
        <v>69274</v>
      </c>
      <c r="L21" s="247">
        <f t="shared" si="1"/>
        <v>68815</v>
      </c>
      <c r="M21" s="248"/>
      <c r="N21" s="248"/>
      <c r="O21" s="248"/>
      <c r="P21" s="248">
        <v>19500</v>
      </c>
      <c r="Q21" s="248">
        <v>0</v>
      </c>
      <c r="R21" s="248">
        <v>0</v>
      </c>
      <c r="S21" s="248">
        <v>45500</v>
      </c>
      <c r="T21" s="248">
        <v>0</v>
      </c>
      <c r="U21" s="248">
        <v>0</v>
      </c>
      <c r="V21" s="248"/>
      <c r="W21" s="248"/>
      <c r="X21" s="248"/>
      <c r="Y21" s="248">
        <v>65000</v>
      </c>
      <c r="Z21" s="249">
        <v>65001</v>
      </c>
      <c r="AA21" s="250">
        <v>5</v>
      </c>
      <c r="AB21" s="251">
        <v>44216</v>
      </c>
      <c r="AC21" s="252">
        <v>44225</v>
      </c>
      <c r="AD21" s="249"/>
      <c r="AE21" s="248"/>
      <c r="AF21" s="251"/>
      <c r="AG21" s="251"/>
      <c r="AH21" s="249"/>
      <c r="AI21" s="248"/>
      <c r="AJ21" s="251"/>
      <c r="AK21" s="248"/>
      <c r="AL21" s="249"/>
      <c r="AM21" s="248"/>
      <c r="AN21" s="248"/>
      <c r="AO21" s="248"/>
      <c r="AP21" s="248"/>
      <c r="AQ21" s="248"/>
      <c r="AR21" s="248"/>
      <c r="AS21" s="248"/>
      <c r="AT21" s="249"/>
      <c r="AU21" s="248"/>
      <c r="AV21" s="248"/>
      <c r="AW21" s="248"/>
      <c r="AX21" s="249"/>
      <c r="AY21" s="248"/>
      <c r="AZ21" s="248"/>
      <c r="BA21" s="248"/>
      <c r="BB21" s="248">
        <f t="shared" si="2"/>
        <v>65001</v>
      </c>
      <c r="BC21" s="248">
        <f t="shared" si="0"/>
        <v>1</v>
      </c>
    </row>
    <row r="22" spans="1:55" s="39" customFormat="1" ht="23.25" customHeight="1">
      <c r="B22" s="22">
        <f t="shared" si="3"/>
        <v>6</v>
      </c>
      <c r="C22" s="22" t="s">
        <v>39</v>
      </c>
      <c r="D22" s="23">
        <v>30134987</v>
      </c>
      <c r="E22" s="48" t="s">
        <v>692</v>
      </c>
      <c r="F22" s="48" t="s">
        <v>317</v>
      </c>
      <c r="G22" s="26" t="s">
        <v>683</v>
      </c>
      <c r="H22" s="48" t="s">
        <v>693</v>
      </c>
      <c r="I22" s="25" t="s">
        <v>44</v>
      </c>
      <c r="J22" s="247">
        <v>238414</v>
      </c>
      <c r="K22" s="247">
        <v>226120</v>
      </c>
      <c r="L22" s="247">
        <f t="shared" si="1"/>
        <v>12294</v>
      </c>
      <c r="M22" s="248">
        <v>820.89099999999996</v>
      </c>
      <c r="N22" s="248">
        <v>5082.7629999999999</v>
      </c>
      <c r="O22" s="248"/>
      <c r="P22" s="248">
        <v>4577.3149999999996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/>
      <c r="W22" s="248"/>
      <c r="X22" s="248"/>
      <c r="Y22" s="248">
        <v>10480.968999999999</v>
      </c>
      <c r="Z22" s="249">
        <v>12294</v>
      </c>
      <c r="AA22" s="250">
        <v>5</v>
      </c>
      <c r="AB22" s="251">
        <v>44216</v>
      </c>
      <c r="AC22" s="252">
        <v>44225</v>
      </c>
      <c r="AD22" s="249"/>
      <c r="AE22" s="248"/>
      <c r="AF22" s="251"/>
      <c r="AG22" s="251"/>
      <c r="AH22" s="249"/>
      <c r="AI22" s="248"/>
      <c r="AJ22" s="251"/>
      <c r="AK22" s="248"/>
      <c r="AL22" s="249"/>
      <c r="AM22" s="248"/>
      <c r="AN22" s="248"/>
      <c r="AO22" s="248"/>
      <c r="AP22" s="248"/>
      <c r="AQ22" s="248"/>
      <c r="AR22" s="248"/>
      <c r="AS22" s="248"/>
      <c r="AT22" s="249"/>
      <c r="AU22" s="248"/>
      <c r="AV22" s="248"/>
      <c r="AW22" s="248"/>
      <c r="AX22" s="249"/>
      <c r="AY22" s="248"/>
      <c r="AZ22" s="248"/>
      <c r="BA22" s="248"/>
      <c r="BB22" s="248">
        <f t="shared" si="2"/>
        <v>12294</v>
      </c>
      <c r="BC22" s="248">
        <f t="shared" si="0"/>
        <v>1813.0310000000009</v>
      </c>
    </row>
    <row r="23" spans="1:55" s="39" customFormat="1" ht="23.25" customHeight="1">
      <c r="B23" s="22">
        <f t="shared" si="3"/>
        <v>7</v>
      </c>
      <c r="C23" s="22" t="s">
        <v>39</v>
      </c>
      <c r="D23" s="23">
        <v>30129952</v>
      </c>
      <c r="E23" s="48" t="s">
        <v>694</v>
      </c>
      <c r="F23" s="48" t="s">
        <v>317</v>
      </c>
      <c r="G23" s="26" t="s">
        <v>683</v>
      </c>
      <c r="H23" s="48" t="s">
        <v>695</v>
      </c>
      <c r="I23" s="25" t="s">
        <v>44</v>
      </c>
      <c r="J23" s="247">
        <v>2525528</v>
      </c>
      <c r="K23" s="247">
        <v>2225816</v>
      </c>
      <c r="L23" s="247">
        <f t="shared" si="1"/>
        <v>299712</v>
      </c>
      <c r="M23" s="248"/>
      <c r="N23" s="248">
        <v>164006.09000000003</v>
      </c>
      <c r="O23" s="248"/>
      <c r="P23" s="248">
        <v>24328.36</v>
      </c>
      <c r="Q23" s="248">
        <v>35234.561000000002</v>
      </c>
      <c r="R23" s="248">
        <v>7053.7250000000004</v>
      </c>
      <c r="S23" s="248">
        <v>0</v>
      </c>
      <c r="T23" s="248">
        <v>0</v>
      </c>
      <c r="U23" s="248">
        <v>0</v>
      </c>
      <c r="V23" s="248"/>
      <c r="W23" s="248"/>
      <c r="X23" s="248"/>
      <c r="Y23" s="248">
        <v>230622.736</v>
      </c>
      <c r="Z23" s="249">
        <v>299712</v>
      </c>
      <c r="AA23" s="250">
        <v>5</v>
      </c>
      <c r="AB23" s="251">
        <v>44216</v>
      </c>
      <c r="AC23" s="252">
        <v>44225</v>
      </c>
      <c r="AD23" s="249"/>
      <c r="AE23" s="248"/>
      <c r="AF23" s="251"/>
      <c r="AG23" s="251"/>
      <c r="AH23" s="249"/>
      <c r="AI23" s="248"/>
      <c r="AJ23" s="251"/>
      <c r="AK23" s="248"/>
      <c r="AL23" s="249"/>
      <c r="AM23" s="248"/>
      <c r="AN23" s="248"/>
      <c r="AO23" s="248"/>
      <c r="AP23" s="248"/>
      <c r="AQ23" s="248"/>
      <c r="AR23" s="248"/>
      <c r="AS23" s="248"/>
      <c r="AT23" s="249"/>
      <c r="AU23" s="248"/>
      <c r="AV23" s="248"/>
      <c r="AW23" s="248"/>
      <c r="AX23" s="249"/>
      <c r="AY23" s="248"/>
      <c r="AZ23" s="248"/>
      <c r="BA23" s="248"/>
      <c r="BB23" s="248">
        <f t="shared" si="2"/>
        <v>299712</v>
      </c>
      <c r="BC23" s="248">
        <f t="shared" si="0"/>
        <v>69089.263999999996</v>
      </c>
    </row>
    <row r="24" spans="1:55" s="39" customFormat="1" ht="33.75">
      <c r="B24" s="22">
        <f t="shared" si="3"/>
        <v>8</v>
      </c>
      <c r="C24" s="22" t="s">
        <v>39</v>
      </c>
      <c r="D24" s="23">
        <v>30480266</v>
      </c>
      <c r="E24" s="48" t="s">
        <v>696</v>
      </c>
      <c r="F24" s="48" t="s">
        <v>83</v>
      </c>
      <c r="G24" s="26" t="s">
        <v>683</v>
      </c>
      <c r="H24" s="48" t="s">
        <v>150</v>
      </c>
      <c r="I24" s="25" t="s">
        <v>44</v>
      </c>
      <c r="J24" s="247">
        <v>182653</v>
      </c>
      <c r="K24" s="247">
        <v>156178</v>
      </c>
      <c r="L24" s="247">
        <f t="shared" si="1"/>
        <v>26475</v>
      </c>
      <c r="M24" s="248"/>
      <c r="N24" s="248">
        <v>26475</v>
      </c>
      <c r="O24" s="248"/>
      <c r="P24" s="248">
        <v>0</v>
      </c>
      <c r="Q24" s="248">
        <v>0</v>
      </c>
      <c r="R24" s="248">
        <v>0</v>
      </c>
      <c r="S24" s="248">
        <v>0</v>
      </c>
      <c r="T24" s="248">
        <v>0</v>
      </c>
      <c r="U24" s="248">
        <v>0</v>
      </c>
      <c r="V24" s="248"/>
      <c r="W24" s="248"/>
      <c r="X24" s="248"/>
      <c r="Y24" s="248">
        <v>26475</v>
      </c>
      <c r="Z24" s="249">
        <v>26475</v>
      </c>
      <c r="AA24" s="250">
        <v>5</v>
      </c>
      <c r="AB24" s="251">
        <v>44216</v>
      </c>
      <c r="AC24" s="252">
        <v>44225</v>
      </c>
      <c r="AD24" s="249"/>
      <c r="AE24" s="248"/>
      <c r="AF24" s="251"/>
      <c r="AG24" s="251"/>
      <c r="AH24" s="249"/>
      <c r="AI24" s="248"/>
      <c r="AJ24" s="251"/>
      <c r="AK24" s="248"/>
      <c r="AL24" s="249"/>
      <c r="AM24" s="248"/>
      <c r="AN24" s="248"/>
      <c r="AO24" s="248"/>
      <c r="AP24" s="248"/>
      <c r="AQ24" s="248"/>
      <c r="AR24" s="248"/>
      <c r="AS24" s="248"/>
      <c r="AT24" s="249"/>
      <c r="AU24" s="248"/>
      <c r="AV24" s="248"/>
      <c r="AW24" s="248"/>
      <c r="AX24" s="249"/>
      <c r="AY24" s="248"/>
      <c r="AZ24" s="248"/>
      <c r="BA24" s="248"/>
      <c r="BB24" s="248">
        <f t="shared" si="2"/>
        <v>26475</v>
      </c>
      <c r="BC24" s="248">
        <f t="shared" si="0"/>
        <v>0</v>
      </c>
    </row>
    <row r="25" spans="1:55" s="39" customFormat="1" ht="23.25" customHeight="1">
      <c r="B25" s="22">
        <f t="shared" si="3"/>
        <v>9</v>
      </c>
      <c r="C25" s="22" t="s">
        <v>39</v>
      </c>
      <c r="D25" s="23">
        <v>30453472</v>
      </c>
      <c r="E25" s="48" t="s">
        <v>697</v>
      </c>
      <c r="F25" s="48" t="s">
        <v>317</v>
      </c>
      <c r="G25" s="26" t="s">
        <v>683</v>
      </c>
      <c r="H25" s="48" t="s">
        <v>698</v>
      </c>
      <c r="I25" s="25" t="s">
        <v>44</v>
      </c>
      <c r="J25" s="247">
        <v>3425131</v>
      </c>
      <c r="K25" s="247">
        <v>2672181</v>
      </c>
      <c r="L25" s="247">
        <f t="shared" si="1"/>
        <v>752950</v>
      </c>
      <c r="M25" s="248">
        <v>2052</v>
      </c>
      <c r="N25" s="248"/>
      <c r="O25" s="248"/>
      <c r="P25" s="248">
        <v>0</v>
      </c>
      <c r="Q25" s="248">
        <v>0</v>
      </c>
      <c r="R25" s="248">
        <v>0</v>
      </c>
      <c r="S25" s="248">
        <v>0</v>
      </c>
      <c r="T25" s="248">
        <v>67436.745999999999</v>
      </c>
      <c r="U25" s="248">
        <v>30251.198</v>
      </c>
      <c r="V25" s="248"/>
      <c r="W25" s="248"/>
      <c r="X25" s="248"/>
      <c r="Y25" s="248">
        <v>99739.944000000003</v>
      </c>
      <c r="Z25" s="249">
        <v>751843</v>
      </c>
      <c r="AA25" s="250">
        <v>5</v>
      </c>
      <c r="AB25" s="251">
        <v>44216</v>
      </c>
      <c r="AC25" s="252">
        <v>44225</v>
      </c>
      <c r="AD25" s="249"/>
      <c r="AE25" s="248"/>
      <c r="AF25" s="251"/>
      <c r="AG25" s="251"/>
      <c r="AH25" s="249"/>
      <c r="AI25" s="248"/>
      <c r="AJ25" s="251"/>
      <c r="AK25" s="248"/>
      <c r="AL25" s="249"/>
      <c r="AM25" s="248"/>
      <c r="AN25" s="248"/>
      <c r="AO25" s="248"/>
      <c r="AP25" s="248"/>
      <c r="AQ25" s="248"/>
      <c r="AR25" s="248"/>
      <c r="AS25" s="248"/>
      <c r="AT25" s="249"/>
      <c r="AU25" s="248"/>
      <c r="AV25" s="248"/>
      <c r="AW25" s="248"/>
      <c r="AX25" s="249"/>
      <c r="AY25" s="248"/>
      <c r="AZ25" s="248"/>
      <c r="BA25" s="248"/>
      <c r="BB25" s="248">
        <f t="shared" si="2"/>
        <v>751843</v>
      </c>
      <c r="BC25" s="248">
        <f t="shared" si="0"/>
        <v>652103.05599999998</v>
      </c>
    </row>
    <row r="26" spans="1:55" s="39" customFormat="1" ht="23.25" customHeight="1">
      <c r="B26" s="22">
        <f t="shared" si="3"/>
        <v>10</v>
      </c>
      <c r="C26" s="22" t="s">
        <v>39</v>
      </c>
      <c r="D26" s="23">
        <v>40000834</v>
      </c>
      <c r="E26" s="48" t="s">
        <v>699</v>
      </c>
      <c r="F26" s="48" t="s">
        <v>700</v>
      </c>
      <c r="G26" s="26" t="s">
        <v>683</v>
      </c>
      <c r="H26" s="48" t="s">
        <v>701</v>
      </c>
      <c r="I26" s="25" t="s">
        <v>44</v>
      </c>
      <c r="J26" s="247">
        <v>98881</v>
      </c>
      <c r="K26" s="247">
        <v>79861</v>
      </c>
      <c r="L26" s="247">
        <f t="shared" si="1"/>
        <v>19020</v>
      </c>
      <c r="M26" s="248"/>
      <c r="N26" s="248"/>
      <c r="O26" s="248"/>
      <c r="P26" s="248"/>
      <c r="Q26" s="248"/>
      <c r="R26" s="248"/>
      <c r="S26" s="248">
        <v>0</v>
      </c>
      <c r="T26" s="248">
        <v>0</v>
      </c>
      <c r="U26" s="248">
        <v>19020</v>
      </c>
      <c r="V26" s="248"/>
      <c r="W26" s="248"/>
      <c r="X26" s="248"/>
      <c r="Y26" s="248">
        <v>19020</v>
      </c>
      <c r="Z26" s="249">
        <v>19020</v>
      </c>
      <c r="AA26" s="250">
        <v>5</v>
      </c>
      <c r="AB26" s="251">
        <v>44216</v>
      </c>
      <c r="AC26" s="252">
        <v>44225</v>
      </c>
      <c r="AD26" s="249"/>
      <c r="AE26" s="248"/>
      <c r="AF26" s="251"/>
      <c r="AG26" s="251"/>
      <c r="AH26" s="249"/>
      <c r="AI26" s="248"/>
      <c r="AJ26" s="251"/>
      <c r="AK26" s="248"/>
      <c r="AL26" s="249"/>
      <c r="AM26" s="248"/>
      <c r="AN26" s="248"/>
      <c r="AO26" s="248"/>
      <c r="AP26" s="248"/>
      <c r="AQ26" s="248"/>
      <c r="AR26" s="248"/>
      <c r="AS26" s="248"/>
      <c r="AT26" s="249"/>
      <c r="AU26" s="248"/>
      <c r="AV26" s="248"/>
      <c r="AW26" s="248"/>
      <c r="AX26" s="249"/>
      <c r="AY26" s="248"/>
      <c r="AZ26" s="248"/>
      <c r="BA26" s="248"/>
      <c r="BB26" s="248">
        <f t="shared" si="2"/>
        <v>19020</v>
      </c>
      <c r="BC26" s="248">
        <f t="shared" si="0"/>
        <v>0</v>
      </c>
    </row>
    <row r="27" spans="1:55" s="39" customFormat="1" ht="23.25" customHeight="1">
      <c r="B27" s="22">
        <f t="shared" si="3"/>
        <v>11</v>
      </c>
      <c r="C27" s="22" t="s">
        <v>39</v>
      </c>
      <c r="D27" s="23">
        <v>40001982</v>
      </c>
      <c r="E27" s="48" t="s">
        <v>702</v>
      </c>
      <c r="F27" s="48" t="s">
        <v>317</v>
      </c>
      <c r="G27" s="26" t="s">
        <v>683</v>
      </c>
      <c r="H27" s="48" t="s">
        <v>683</v>
      </c>
      <c r="I27" s="25" t="s">
        <v>44</v>
      </c>
      <c r="J27" s="247">
        <v>2997357</v>
      </c>
      <c r="K27" s="247">
        <v>1257402</v>
      </c>
      <c r="L27" s="247">
        <f t="shared" si="1"/>
        <v>1739955</v>
      </c>
      <c r="M27" s="248">
        <v>17634.953000000001</v>
      </c>
      <c r="N27" s="248">
        <v>530913.59100000001</v>
      </c>
      <c r="O27" s="248"/>
      <c r="P27" s="248">
        <v>233917.745</v>
      </c>
      <c r="Q27" s="248">
        <v>14667.119000000001</v>
      </c>
      <c r="R27" s="248">
        <v>645481.03999999992</v>
      </c>
      <c r="S27" s="248">
        <v>0</v>
      </c>
      <c r="T27" s="248">
        <v>0</v>
      </c>
      <c r="U27" s="248">
        <v>0</v>
      </c>
      <c r="V27" s="248"/>
      <c r="W27" s="248"/>
      <c r="X27" s="248"/>
      <c r="Y27" s="248">
        <v>1442614.4479999999</v>
      </c>
      <c r="Z27" s="249">
        <v>1739955</v>
      </c>
      <c r="AA27" s="250">
        <v>5</v>
      </c>
      <c r="AB27" s="251">
        <v>44216</v>
      </c>
      <c r="AC27" s="252">
        <v>44225</v>
      </c>
      <c r="AD27" s="249">
        <v>250000</v>
      </c>
      <c r="AE27" s="248">
        <v>71</v>
      </c>
      <c r="AF27" s="251">
        <v>44400</v>
      </c>
      <c r="AG27" s="251">
        <v>44405</v>
      </c>
      <c r="AH27" s="249"/>
      <c r="AI27" s="248"/>
      <c r="AJ27" s="251"/>
      <c r="AK27" s="248"/>
      <c r="AL27" s="249"/>
      <c r="AM27" s="248"/>
      <c r="AN27" s="248"/>
      <c r="AO27" s="248"/>
      <c r="AP27" s="248"/>
      <c r="AQ27" s="248"/>
      <c r="AR27" s="248"/>
      <c r="AS27" s="248"/>
      <c r="AT27" s="249"/>
      <c r="AU27" s="248"/>
      <c r="AV27" s="248"/>
      <c r="AW27" s="248"/>
      <c r="AX27" s="249"/>
      <c r="AY27" s="248"/>
      <c r="AZ27" s="248"/>
      <c r="BA27" s="248"/>
      <c r="BB27" s="248">
        <f t="shared" si="2"/>
        <v>1989955</v>
      </c>
      <c r="BC27" s="248">
        <f t="shared" si="0"/>
        <v>547340.55200000014</v>
      </c>
    </row>
    <row r="28" spans="1:55" s="39" customFormat="1" ht="23.25" customHeight="1">
      <c r="B28" s="22">
        <f t="shared" si="3"/>
        <v>12</v>
      </c>
      <c r="C28" s="22" t="s">
        <v>39</v>
      </c>
      <c r="D28" s="23">
        <v>30244322</v>
      </c>
      <c r="E28" s="48" t="s">
        <v>703</v>
      </c>
      <c r="F28" s="48" t="s">
        <v>317</v>
      </c>
      <c r="G28" s="26" t="s">
        <v>683</v>
      </c>
      <c r="H28" s="48" t="s">
        <v>704</v>
      </c>
      <c r="I28" s="25" t="s">
        <v>44</v>
      </c>
      <c r="J28" s="247">
        <v>675648</v>
      </c>
      <c r="K28" s="247">
        <v>288606</v>
      </c>
      <c r="L28" s="247">
        <f t="shared" si="1"/>
        <v>387042</v>
      </c>
      <c r="M28" s="248">
        <v>64741.338000000003</v>
      </c>
      <c r="N28" s="248">
        <v>1759.5840000000001</v>
      </c>
      <c r="O28" s="248"/>
      <c r="P28" s="248">
        <v>0</v>
      </c>
      <c r="Q28" s="248">
        <v>0</v>
      </c>
      <c r="R28" s="248">
        <v>0</v>
      </c>
      <c r="S28" s="248">
        <v>0</v>
      </c>
      <c r="T28" s="248">
        <v>0</v>
      </c>
      <c r="U28" s="248">
        <v>0</v>
      </c>
      <c r="V28" s="248"/>
      <c r="W28" s="248"/>
      <c r="X28" s="248"/>
      <c r="Y28" s="248">
        <v>66500.922000000006</v>
      </c>
      <c r="Z28" s="249">
        <v>385963</v>
      </c>
      <c r="AA28" s="250">
        <v>5</v>
      </c>
      <c r="AB28" s="251">
        <v>44216</v>
      </c>
      <c r="AC28" s="252">
        <v>44225</v>
      </c>
      <c r="AD28" s="249"/>
      <c r="AE28" s="248"/>
      <c r="AF28" s="251"/>
      <c r="AG28" s="251"/>
      <c r="AH28" s="249"/>
      <c r="AI28" s="248"/>
      <c r="AJ28" s="251"/>
      <c r="AK28" s="248"/>
      <c r="AL28" s="249"/>
      <c r="AM28" s="248"/>
      <c r="AN28" s="248"/>
      <c r="AO28" s="248"/>
      <c r="AP28" s="248"/>
      <c r="AQ28" s="248"/>
      <c r="AR28" s="248"/>
      <c r="AS28" s="248"/>
      <c r="AT28" s="249"/>
      <c r="AU28" s="248"/>
      <c r="AV28" s="248"/>
      <c r="AW28" s="248"/>
      <c r="AX28" s="249"/>
      <c r="AY28" s="248"/>
      <c r="AZ28" s="248"/>
      <c r="BA28" s="248"/>
      <c r="BB28" s="248">
        <f t="shared" si="2"/>
        <v>385963</v>
      </c>
      <c r="BC28" s="248">
        <f t="shared" si="0"/>
        <v>319462.07799999998</v>
      </c>
    </row>
    <row r="29" spans="1:55" s="39" customFormat="1" ht="23.25" customHeight="1">
      <c r="B29" s="22">
        <f t="shared" si="3"/>
        <v>13</v>
      </c>
      <c r="C29" s="22" t="s">
        <v>39</v>
      </c>
      <c r="D29" s="23">
        <v>40000335</v>
      </c>
      <c r="E29" s="48" t="s">
        <v>705</v>
      </c>
      <c r="F29" s="48" t="s">
        <v>317</v>
      </c>
      <c r="G29" s="26" t="s">
        <v>683</v>
      </c>
      <c r="H29" s="48" t="s">
        <v>706</v>
      </c>
      <c r="I29" s="25" t="s">
        <v>44</v>
      </c>
      <c r="J29" s="247">
        <v>627082</v>
      </c>
      <c r="K29" s="247">
        <v>421822</v>
      </c>
      <c r="L29" s="247">
        <f t="shared" si="1"/>
        <v>205260</v>
      </c>
      <c r="M29" s="248"/>
      <c r="N29" s="248"/>
      <c r="O29" s="248">
        <v>44475.321000000004</v>
      </c>
      <c r="P29" s="248">
        <v>0</v>
      </c>
      <c r="Q29" s="248">
        <v>51648.957999999999</v>
      </c>
      <c r="R29" s="248">
        <v>0</v>
      </c>
      <c r="S29" s="248">
        <v>0</v>
      </c>
      <c r="T29" s="248">
        <v>27361.921000000002</v>
      </c>
      <c r="U29" s="248">
        <v>0</v>
      </c>
      <c r="V29" s="248"/>
      <c r="W29" s="248"/>
      <c r="X29" s="248"/>
      <c r="Y29" s="248">
        <v>123486.20000000001</v>
      </c>
      <c r="Z29" s="249">
        <v>202560</v>
      </c>
      <c r="AA29" s="250">
        <v>5</v>
      </c>
      <c r="AB29" s="251">
        <v>44216</v>
      </c>
      <c r="AC29" s="252">
        <v>44225</v>
      </c>
      <c r="AD29" s="249"/>
      <c r="AE29" s="248"/>
      <c r="AF29" s="251"/>
      <c r="AG29" s="251"/>
      <c r="AH29" s="249"/>
      <c r="AI29" s="248"/>
      <c r="AJ29" s="251"/>
      <c r="AK29" s="248"/>
      <c r="AL29" s="249"/>
      <c r="AM29" s="248"/>
      <c r="AN29" s="248"/>
      <c r="AO29" s="248"/>
      <c r="AP29" s="248"/>
      <c r="AQ29" s="248"/>
      <c r="AR29" s="248"/>
      <c r="AS29" s="248"/>
      <c r="AT29" s="249"/>
      <c r="AU29" s="248"/>
      <c r="AV29" s="248"/>
      <c r="AW29" s="248"/>
      <c r="AX29" s="249"/>
      <c r="AY29" s="248"/>
      <c r="AZ29" s="248"/>
      <c r="BA29" s="248"/>
      <c r="BB29" s="248">
        <f t="shared" si="2"/>
        <v>202560</v>
      </c>
      <c r="BC29" s="248">
        <f t="shared" si="0"/>
        <v>79073.799999999988</v>
      </c>
    </row>
    <row r="30" spans="1:55" s="39" customFormat="1" ht="23.25" customHeight="1">
      <c r="B30" s="22">
        <f t="shared" si="3"/>
        <v>14</v>
      </c>
      <c r="C30" s="22" t="s">
        <v>39</v>
      </c>
      <c r="D30" s="23">
        <v>30134815</v>
      </c>
      <c r="E30" s="48" t="s">
        <v>707</v>
      </c>
      <c r="F30" s="48" t="s">
        <v>317</v>
      </c>
      <c r="G30" s="26" t="s">
        <v>683</v>
      </c>
      <c r="H30" s="48" t="s">
        <v>686</v>
      </c>
      <c r="I30" s="25" t="s">
        <v>44</v>
      </c>
      <c r="J30" s="247">
        <v>306300</v>
      </c>
      <c r="K30" s="247">
        <v>160531</v>
      </c>
      <c r="L30" s="247">
        <f t="shared" si="1"/>
        <v>145769</v>
      </c>
      <c r="M30" s="248">
        <v>79379.148000000001</v>
      </c>
      <c r="N30" s="248">
        <v>30023.366999999998</v>
      </c>
      <c r="O30" s="248"/>
      <c r="P30" s="248">
        <v>29742.573</v>
      </c>
      <c r="Q30" s="248">
        <v>0</v>
      </c>
      <c r="R30" s="248">
        <v>0</v>
      </c>
      <c r="S30" s="248">
        <v>0</v>
      </c>
      <c r="T30" s="248">
        <v>0</v>
      </c>
      <c r="U30" s="248">
        <v>0</v>
      </c>
      <c r="V30" s="248"/>
      <c r="W30" s="248"/>
      <c r="X30" s="248"/>
      <c r="Y30" s="248">
        <v>139145.08799999999</v>
      </c>
      <c r="Z30" s="249">
        <v>145769</v>
      </c>
      <c r="AA30" s="250">
        <v>5</v>
      </c>
      <c r="AB30" s="251">
        <v>44216</v>
      </c>
      <c r="AC30" s="252">
        <v>44225</v>
      </c>
      <c r="AD30" s="249"/>
      <c r="AE30" s="248"/>
      <c r="AF30" s="251"/>
      <c r="AG30" s="251"/>
      <c r="AH30" s="249"/>
      <c r="AI30" s="248"/>
      <c r="AJ30" s="251"/>
      <c r="AK30" s="248"/>
      <c r="AL30" s="249"/>
      <c r="AM30" s="248"/>
      <c r="AN30" s="248"/>
      <c r="AO30" s="248"/>
      <c r="AP30" s="248"/>
      <c r="AQ30" s="248"/>
      <c r="AR30" s="248"/>
      <c r="AS30" s="248"/>
      <c r="AT30" s="249"/>
      <c r="AU30" s="248"/>
      <c r="AV30" s="248"/>
      <c r="AW30" s="248"/>
      <c r="AX30" s="249"/>
      <c r="AY30" s="248"/>
      <c r="AZ30" s="248"/>
      <c r="BA30" s="248"/>
      <c r="BB30" s="248">
        <f t="shared" si="2"/>
        <v>145769</v>
      </c>
      <c r="BC30" s="248">
        <f t="shared" si="0"/>
        <v>6623.9120000000112</v>
      </c>
    </row>
    <row r="31" spans="1:55" s="39" customFormat="1" ht="23.25" customHeight="1">
      <c r="B31" s="22">
        <f t="shared" si="3"/>
        <v>15</v>
      </c>
      <c r="C31" s="22" t="s">
        <v>39</v>
      </c>
      <c r="D31" s="23">
        <v>40000111</v>
      </c>
      <c r="E31" s="48" t="s">
        <v>708</v>
      </c>
      <c r="F31" s="48" t="s">
        <v>317</v>
      </c>
      <c r="G31" s="26" t="s">
        <v>683</v>
      </c>
      <c r="H31" s="48" t="s">
        <v>686</v>
      </c>
      <c r="I31" s="25" t="s">
        <v>44</v>
      </c>
      <c r="J31" s="247">
        <v>199839</v>
      </c>
      <c r="K31" s="247">
        <v>104264</v>
      </c>
      <c r="L31" s="247">
        <f t="shared" si="1"/>
        <v>95575</v>
      </c>
      <c r="M31" s="248"/>
      <c r="N31" s="248"/>
      <c r="O31" s="248"/>
      <c r="P31" s="248">
        <v>33891.112999999998</v>
      </c>
      <c r="Q31" s="248">
        <v>41214.481</v>
      </c>
      <c r="R31" s="248">
        <v>0</v>
      </c>
      <c r="S31" s="248">
        <v>0</v>
      </c>
      <c r="T31" s="248">
        <v>0</v>
      </c>
      <c r="U31" s="248">
        <v>0</v>
      </c>
      <c r="V31" s="248"/>
      <c r="W31" s="248"/>
      <c r="X31" s="248"/>
      <c r="Y31" s="248">
        <v>75105.593999999997</v>
      </c>
      <c r="Z31" s="249">
        <v>88409</v>
      </c>
      <c r="AA31" s="250">
        <v>5</v>
      </c>
      <c r="AB31" s="251">
        <v>44216</v>
      </c>
      <c r="AC31" s="252">
        <v>44225</v>
      </c>
      <c r="AD31" s="249"/>
      <c r="AE31" s="248"/>
      <c r="AF31" s="251"/>
      <c r="AG31" s="251"/>
      <c r="AH31" s="249"/>
      <c r="AI31" s="248"/>
      <c r="AJ31" s="251"/>
      <c r="AK31" s="248"/>
      <c r="AL31" s="249"/>
      <c r="AM31" s="248"/>
      <c r="AN31" s="248"/>
      <c r="AO31" s="248"/>
      <c r="AP31" s="248"/>
      <c r="AQ31" s="248"/>
      <c r="AR31" s="248"/>
      <c r="AS31" s="248"/>
      <c r="AT31" s="249"/>
      <c r="AU31" s="248"/>
      <c r="AV31" s="248"/>
      <c r="AW31" s="248"/>
      <c r="AX31" s="249"/>
      <c r="AY31" s="248"/>
      <c r="AZ31" s="248"/>
      <c r="BA31" s="248"/>
      <c r="BB31" s="248">
        <f t="shared" si="2"/>
        <v>88409</v>
      </c>
      <c r="BC31" s="248">
        <f t="shared" si="0"/>
        <v>13303.406000000003</v>
      </c>
    </row>
    <row r="32" spans="1:55" s="39" customFormat="1" ht="23.25" customHeight="1">
      <c r="B32" s="22">
        <f t="shared" si="3"/>
        <v>16</v>
      </c>
      <c r="C32" s="22" t="s">
        <v>39</v>
      </c>
      <c r="D32" s="23">
        <v>30473436</v>
      </c>
      <c r="E32" s="48" t="s">
        <v>709</v>
      </c>
      <c r="F32" s="48" t="s">
        <v>317</v>
      </c>
      <c r="G32" s="26" t="s">
        <v>683</v>
      </c>
      <c r="H32" s="48" t="s">
        <v>686</v>
      </c>
      <c r="I32" s="25" t="s">
        <v>44</v>
      </c>
      <c r="J32" s="247">
        <v>63498</v>
      </c>
      <c r="K32" s="247">
        <v>46485</v>
      </c>
      <c r="L32" s="247">
        <f t="shared" si="1"/>
        <v>17013</v>
      </c>
      <c r="M32" s="248"/>
      <c r="N32" s="248"/>
      <c r="O32" s="248">
        <v>17012.834999999999</v>
      </c>
      <c r="P32" s="248">
        <v>0</v>
      </c>
      <c r="Q32" s="248">
        <v>0</v>
      </c>
      <c r="R32" s="248">
        <v>0</v>
      </c>
      <c r="S32" s="248">
        <v>0</v>
      </c>
      <c r="T32" s="248">
        <v>0</v>
      </c>
      <c r="U32" s="248">
        <v>0</v>
      </c>
      <c r="V32" s="248"/>
      <c r="W32" s="248"/>
      <c r="X32" s="248"/>
      <c r="Y32" s="248">
        <v>17012.834999999999</v>
      </c>
      <c r="Z32" s="249">
        <v>17013</v>
      </c>
      <c r="AA32" s="250">
        <v>5</v>
      </c>
      <c r="AB32" s="251">
        <v>44216</v>
      </c>
      <c r="AC32" s="252">
        <v>44225</v>
      </c>
      <c r="AD32" s="249"/>
      <c r="AE32" s="248"/>
      <c r="AF32" s="251"/>
      <c r="AG32" s="251"/>
      <c r="AH32" s="249"/>
      <c r="AI32" s="248"/>
      <c r="AJ32" s="251"/>
      <c r="AK32" s="248"/>
      <c r="AL32" s="249"/>
      <c r="AM32" s="248"/>
      <c r="AN32" s="248"/>
      <c r="AO32" s="248"/>
      <c r="AP32" s="248"/>
      <c r="AQ32" s="248"/>
      <c r="AR32" s="248"/>
      <c r="AS32" s="248"/>
      <c r="AT32" s="249"/>
      <c r="AU32" s="248"/>
      <c r="AV32" s="248"/>
      <c r="AW32" s="248"/>
      <c r="AX32" s="249"/>
      <c r="AY32" s="248"/>
      <c r="AZ32" s="248"/>
      <c r="BA32" s="248"/>
      <c r="BB32" s="248">
        <f t="shared" si="2"/>
        <v>17013</v>
      </c>
      <c r="BC32" s="248">
        <f t="shared" si="0"/>
        <v>0.16500000000087311</v>
      </c>
    </row>
    <row r="33" spans="1:55" s="39" customFormat="1" ht="23.25" customHeight="1">
      <c r="B33" s="22">
        <f t="shared" si="3"/>
        <v>17</v>
      </c>
      <c r="C33" s="22" t="s">
        <v>39</v>
      </c>
      <c r="D33" s="23">
        <v>30484334</v>
      </c>
      <c r="E33" s="48" t="s">
        <v>710</v>
      </c>
      <c r="F33" s="48" t="s">
        <v>317</v>
      </c>
      <c r="G33" s="26" t="s">
        <v>683</v>
      </c>
      <c r="H33" s="48" t="s">
        <v>706</v>
      </c>
      <c r="I33" s="25" t="s">
        <v>44</v>
      </c>
      <c r="J33" s="247">
        <v>1486168</v>
      </c>
      <c r="K33" s="247">
        <v>1228192</v>
      </c>
      <c r="L33" s="247">
        <f t="shared" si="1"/>
        <v>257976</v>
      </c>
      <c r="M33" s="248"/>
      <c r="N33" s="248">
        <v>37847.01</v>
      </c>
      <c r="O33" s="248"/>
      <c r="P33" s="248">
        <v>160243.50599999999</v>
      </c>
      <c r="Q33" s="248">
        <v>0</v>
      </c>
      <c r="R33" s="248">
        <v>0</v>
      </c>
      <c r="S33" s="248">
        <v>0</v>
      </c>
      <c r="T33" s="248">
        <v>0</v>
      </c>
      <c r="U33" s="248">
        <v>0</v>
      </c>
      <c r="V33" s="248"/>
      <c r="W33" s="248"/>
      <c r="X33" s="248"/>
      <c r="Y33" s="248">
        <v>198090.516</v>
      </c>
      <c r="Z33" s="249">
        <v>256869</v>
      </c>
      <c r="AA33" s="250">
        <v>5</v>
      </c>
      <c r="AB33" s="251">
        <v>44216</v>
      </c>
      <c r="AC33" s="252">
        <v>44225</v>
      </c>
      <c r="AD33" s="249"/>
      <c r="AE33" s="248"/>
      <c r="AF33" s="251"/>
      <c r="AG33" s="251"/>
      <c r="AH33" s="249"/>
      <c r="AI33" s="248"/>
      <c r="AJ33" s="251"/>
      <c r="AK33" s="248"/>
      <c r="AL33" s="249"/>
      <c r="AM33" s="248"/>
      <c r="AN33" s="248"/>
      <c r="AO33" s="248"/>
      <c r="AP33" s="248"/>
      <c r="AQ33" s="248"/>
      <c r="AR33" s="248"/>
      <c r="AS33" s="248"/>
      <c r="AT33" s="249"/>
      <c r="AU33" s="248"/>
      <c r="AV33" s="248"/>
      <c r="AW33" s="248"/>
      <c r="AX33" s="249"/>
      <c r="AY33" s="248"/>
      <c r="AZ33" s="248"/>
      <c r="BA33" s="248"/>
      <c r="BB33" s="248">
        <f t="shared" si="2"/>
        <v>256869</v>
      </c>
      <c r="BC33" s="248">
        <f t="shared" si="0"/>
        <v>58778.483999999997</v>
      </c>
    </row>
    <row r="34" spans="1:55" s="39" customFormat="1" ht="23.25" customHeight="1">
      <c r="B34" s="22">
        <f t="shared" si="3"/>
        <v>18</v>
      </c>
      <c r="C34" s="22" t="s">
        <v>39</v>
      </c>
      <c r="D34" s="23">
        <v>30477089</v>
      </c>
      <c r="E34" s="48" t="s">
        <v>711</v>
      </c>
      <c r="F34" s="48" t="s">
        <v>317</v>
      </c>
      <c r="G34" s="26" t="s">
        <v>683</v>
      </c>
      <c r="H34" s="48" t="s">
        <v>691</v>
      </c>
      <c r="I34" s="25" t="s">
        <v>44</v>
      </c>
      <c r="J34" s="247">
        <v>946374</v>
      </c>
      <c r="K34" s="247">
        <v>851976</v>
      </c>
      <c r="L34" s="247">
        <f t="shared" si="1"/>
        <v>94398</v>
      </c>
      <c r="M34" s="248"/>
      <c r="N34" s="248"/>
      <c r="O34" s="248"/>
      <c r="P34" s="248"/>
      <c r="Q34" s="248"/>
      <c r="R34" s="248"/>
      <c r="S34" s="248">
        <v>0</v>
      </c>
      <c r="T34" s="248">
        <v>0</v>
      </c>
      <c r="U34" s="248">
        <v>0</v>
      </c>
      <c r="V34" s="248"/>
      <c r="W34" s="248"/>
      <c r="X34" s="248"/>
      <c r="Y34" s="248">
        <v>0</v>
      </c>
      <c r="Z34" s="249">
        <v>93351</v>
      </c>
      <c r="AA34" s="250">
        <v>5</v>
      </c>
      <c r="AB34" s="251">
        <v>44216</v>
      </c>
      <c r="AC34" s="252">
        <v>44225</v>
      </c>
      <c r="AD34" s="249"/>
      <c r="AE34" s="248"/>
      <c r="AF34" s="251"/>
      <c r="AG34" s="251"/>
      <c r="AH34" s="249"/>
      <c r="AI34" s="248"/>
      <c r="AJ34" s="251"/>
      <c r="AK34" s="248"/>
      <c r="AL34" s="249"/>
      <c r="AM34" s="248"/>
      <c r="AN34" s="248"/>
      <c r="AO34" s="248"/>
      <c r="AP34" s="248"/>
      <c r="AQ34" s="248"/>
      <c r="AR34" s="248"/>
      <c r="AS34" s="248"/>
      <c r="AT34" s="249"/>
      <c r="AU34" s="248"/>
      <c r="AV34" s="248"/>
      <c r="AW34" s="248"/>
      <c r="AX34" s="249"/>
      <c r="AY34" s="248"/>
      <c r="AZ34" s="248"/>
      <c r="BA34" s="248"/>
      <c r="BB34" s="248">
        <f t="shared" si="2"/>
        <v>93351</v>
      </c>
      <c r="BC34" s="248">
        <f t="shared" si="0"/>
        <v>93351</v>
      </c>
    </row>
    <row r="35" spans="1:55" s="39" customFormat="1" ht="23.25" customHeight="1">
      <c r="B35" s="22">
        <f t="shared" si="3"/>
        <v>19</v>
      </c>
      <c r="C35" s="22" t="s">
        <v>39</v>
      </c>
      <c r="D35" s="23">
        <v>40009356</v>
      </c>
      <c r="E35" s="48" t="s">
        <v>712</v>
      </c>
      <c r="F35" s="48" t="s">
        <v>317</v>
      </c>
      <c r="G35" s="26" t="s">
        <v>683</v>
      </c>
      <c r="H35" s="48" t="s">
        <v>686</v>
      </c>
      <c r="I35" s="25" t="s">
        <v>44</v>
      </c>
      <c r="J35" s="247">
        <v>984084</v>
      </c>
      <c r="K35" s="247">
        <v>203999</v>
      </c>
      <c r="L35" s="247">
        <f t="shared" si="1"/>
        <v>780085</v>
      </c>
      <c r="M35" s="248"/>
      <c r="N35" s="248">
        <v>78003.323000000004</v>
      </c>
      <c r="O35" s="248"/>
      <c r="P35" s="248">
        <v>197029.28899999999</v>
      </c>
      <c r="Q35" s="248">
        <v>119430.04800000001</v>
      </c>
      <c r="R35" s="248">
        <v>28750.508999999998</v>
      </c>
      <c r="S35" s="248">
        <v>39817.316999999995</v>
      </c>
      <c r="T35" s="248">
        <v>0</v>
      </c>
      <c r="U35" s="248">
        <v>0</v>
      </c>
      <c r="V35" s="248"/>
      <c r="W35" s="248"/>
      <c r="X35" s="248"/>
      <c r="Y35" s="248">
        <v>463030.48599999998</v>
      </c>
      <c r="Z35" s="249">
        <v>763825</v>
      </c>
      <c r="AA35" s="250">
        <v>5</v>
      </c>
      <c r="AB35" s="251">
        <v>44216</v>
      </c>
      <c r="AC35" s="252">
        <v>44225</v>
      </c>
      <c r="AD35" s="249">
        <v>10000</v>
      </c>
      <c r="AE35" s="248">
        <v>71</v>
      </c>
      <c r="AF35" s="251">
        <v>44400</v>
      </c>
      <c r="AG35" s="251">
        <v>44405</v>
      </c>
      <c r="AH35" s="249"/>
      <c r="AI35" s="248"/>
      <c r="AJ35" s="251"/>
      <c r="AK35" s="248"/>
      <c r="AL35" s="249"/>
      <c r="AM35" s="248"/>
      <c r="AN35" s="248"/>
      <c r="AO35" s="248"/>
      <c r="AP35" s="248"/>
      <c r="AQ35" s="248"/>
      <c r="AR35" s="248"/>
      <c r="AS35" s="248"/>
      <c r="AT35" s="249"/>
      <c r="AU35" s="248"/>
      <c r="AV35" s="248"/>
      <c r="AW35" s="248"/>
      <c r="AX35" s="249"/>
      <c r="AY35" s="248"/>
      <c r="AZ35" s="248"/>
      <c r="BA35" s="248"/>
      <c r="BB35" s="248">
        <f t="shared" si="2"/>
        <v>773825</v>
      </c>
      <c r="BC35" s="248">
        <f t="shared" si="0"/>
        <v>310794.51400000002</v>
      </c>
    </row>
    <row r="36" spans="1:55" s="39" customFormat="1" ht="23.25" customHeight="1">
      <c r="B36" s="22">
        <f t="shared" si="3"/>
        <v>20</v>
      </c>
      <c r="C36" s="22" t="s">
        <v>39</v>
      </c>
      <c r="D36" s="23">
        <v>40006121</v>
      </c>
      <c r="E36" s="48" t="s">
        <v>713</v>
      </c>
      <c r="F36" s="48" t="s">
        <v>317</v>
      </c>
      <c r="G36" s="26" t="s">
        <v>683</v>
      </c>
      <c r="H36" s="48" t="s">
        <v>686</v>
      </c>
      <c r="I36" s="25" t="s">
        <v>44</v>
      </c>
      <c r="J36" s="247">
        <v>120780</v>
      </c>
      <c r="K36" s="247">
        <v>109394</v>
      </c>
      <c r="L36" s="247">
        <f t="shared" si="1"/>
        <v>11386</v>
      </c>
      <c r="M36" s="248"/>
      <c r="N36" s="248"/>
      <c r="O36" s="248"/>
      <c r="P36" s="248">
        <v>0</v>
      </c>
      <c r="Q36" s="248">
        <v>2554.5300000000002</v>
      </c>
      <c r="R36" s="248">
        <v>0</v>
      </c>
      <c r="S36" s="248">
        <v>0</v>
      </c>
      <c r="T36" s="248">
        <v>0</v>
      </c>
      <c r="U36" s="248">
        <v>0</v>
      </c>
      <c r="V36" s="248"/>
      <c r="W36" s="248"/>
      <c r="X36" s="248"/>
      <c r="Y36" s="248">
        <v>2554.5300000000002</v>
      </c>
      <c r="Z36" s="249">
        <v>10739</v>
      </c>
      <c r="AA36" s="250">
        <v>5</v>
      </c>
      <c r="AB36" s="251">
        <v>44216</v>
      </c>
      <c r="AC36" s="252">
        <v>44225</v>
      </c>
      <c r="AD36" s="249"/>
      <c r="AE36" s="248"/>
      <c r="AF36" s="251"/>
      <c r="AG36" s="251"/>
      <c r="AH36" s="249"/>
      <c r="AI36" s="248"/>
      <c r="AJ36" s="251"/>
      <c r="AK36" s="248"/>
      <c r="AL36" s="249"/>
      <c r="AM36" s="248"/>
      <c r="AN36" s="248"/>
      <c r="AO36" s="248"/>
      <c r="AP36" s="248"/>
      <c r="AQ36" s="248"/>
      <c r="AR36" s="248"/>
      <c r="AS36" s="248"/>
      <c r="AT36" s="249"/>
      <c r="AU36" s="248"/>
      <c r="AV36" s="248"/>
      <c r="AW36" s="248"/>
      <c r="AX36" s="249"/>
      <c r="AY36" s="248"/>
      <c r="AZ36" s="248"/>
      <c r="BA36" s="248"/>
      <c r="BB36" s="248">
        <f t="shared" si="2"/>
        <v>10739</v>
      </c>
      <c r="BC36" s="248">
        <f t="shared" si="0"/>
        <v>8184.4699999999993</v>
      </c>
    </row>
    <row r="37" spans="1:55" s="39" customFormat="1" ht="23.25" customHeight="1">
      <c r="B37" s="22">
        <f t="shared" si="3"/>
        <v>21</v>
      </c>
      <c r="C37" s="22" t="s">
        <v>39</v>
      </c>
      <c r="D37" s="23">
        <v>40008126</v>
      </c>
      <c r="E37" s="48" t="s">
        <v>714</v>
      </c>
      <c r="F37" s="48" t="s">
        <v>317</v>
      </c>
      <c r="G37" s="26" t="s">
        <v>683</v>
      </c>
      <c r="H37" s="48" t="s">
        <v>686</v>
      </c>
      <c r="I37" s="25" t="s">
        <v>44</v>
      </c>
      <c r="J37" s="247">
        <v>687849</v>
      </c>
      <c r="K37" s="247">
        <v>85081</v>
      </c>
      <c r="L37" s="247">
        <f t="shared" si="1"/>
        <v>602768</v>
      </c>
      <c r="M37" s="248"/>
      <c r="N37" s="248">
        <v>52877.677000000003</v>
      </c>
      <c r="O37" s="248">
        <v>103672.681</v>
      </c>
      <c r="P37" s="248">
        <v>133421.40900000001</v>
      </c>
      <c r="Q37" s="248">
        <v>76717.784</v>
      </c>
      <c r="R37" s="248">
        <v>68620.269</v>
      </c>
      <c r="S37" s="248">
        <v>83854.231</v>
      </c>
      <c r="T37" s="248">
        <v>53302.544000000002</v>
      </c>
      <c r="U37" s="248">
        <v>0</v>
      </c>
      <c r="V37" s="248"/>
      <c r="W37" s="248"/>
      <c r="X37" s="248"/>
      <c r="Y37" s="248">
        <v>572466.59499999997</v>
      </c>
      <c r="Z37" s="249">
        <v>601041</v>
      </c>
      <c r="AA37" s="250">
        <v>5</v>
      </c>
      <c r="AB37" s="251">
        <v>44216</v>
      </c>
      <c r="AC37" s="252">
        <v>44225</v>
      </c>
      <c r="AD37" s="249"/>
      <c r="AE37" s="248"/>
      <c r="AF37" s="251"/>
      <c r="AG37" s="251"/>
      <c r="AH37" s="249"/>
      <c r="AI37" s="248"/>
      <c r="AJ37" s="251"/>
      <c r="AK37" s="248"/>
      <c r="AL37" s="249"/>
      <c r="AM37" s="248"/>
      <c r="AN37" s="248"/>
      <c r="AO37" s="248"/>
      <c r="AP37" s="248"/>
      <c r="AQ37" s="248"/>
      <c r="AR37" s="248"/>
      <c r="AS37" s="248"/>
      <c r="AT37" s="249"/>
      <c r="AU37" s="248"/>
      <c r="AV37" s="248"/>
      <c r="AW37" s="248"/>
      <c r="AX37" s="249"/>
      <c r="AY37" s="248"/>
      <c r="AZ37" s="248"/>
      <c r="BA37" s="248"/>
      <c r="BB37" s="248">
        <f t="shared" si="2"/>
        <v>601041</v>
      </c>
      <c r="BC37" s="248">
        <f t="shared" si="0"/>
        <v>28574.405000000028</v>
      </c>
    </row>
    <row r="38" spans="1:55" s="39" customFormat="1" ht="23.25" customHeight="1">
      <c r="B38" s="22">
        <f t="shared" si="3"/>
        <v>22</v>
      </c>
      <c r="C38" s="22" t="s">
        <v>39</v>
      </c>
      <c r="D38" s="23">
        <v>40008092</v>
      </c>
      <c r="E38" s="48" t="s">
        <v>715</v>
      </c>
      <c r="F38" s="48" t="s">
        <v>317</v>
      </c>
      <c r="G38" s="26" t="s">
        <v>683</v>
      </c>
      <c r="H38" s="48" t="s">
        <v>716</v>
      </c>
      <c r="I38" s="25" t="s">
        <v>44</v>
      </c>
      <c r="J38" s="247">
        <v>248578</v>
      </c>
      <c r="K38" s="247">
        <v>77824</v>
      </c>
      <c r="L38" s="247">
        <f t="shared" si="1"/>
        <v>170754</v>
      </c>
      <c r="M38" s="248"/>
      <c r="N38" s="248"/>
      <c r="O38" s="248"/>
      <c r="P38" s="248">
        <v>0</v>
      </c>
      <c r="Q38" s="248">
        <v>122070.942</v>
      </c>
      <c r="R38" s="248">
        <v>0</v>
      </c>
      <c r="S38" s="248">
        <v>0</v>
      </c>
      <c r="T38" s="248">
        <v>0</v>
      </c>
      <c r="U38" s="248">
        <v>40691.831999999995</v>
      </c>
      <c r="V38" s="248"/>
      <c r="W38" s="248"/>
      <c r="X38" s="248"/>
      <c r="Y38" s="248">
        <v>162762.77399999998</v>
      </c>
      <c r="Z38" s="249">
        <v>170754</v>
      </c>
      <c r="AA38" s="250">
        <v>5</v>
      </c>
      <c r="AB38" s="251">
        <v>44216</v>
      </c>
      <c r="AC38" s="252">
        <v>44225</v>
      </c>
      <c r="AD38" s="249"/>
      <c r="AE38" s="248"/>
      <c r="AF38" s="251"/>
      <c r="AG38" s="251"/>
      <c r="AH38" s="249"/>
      <c r="AI38" s="248"/>
      <c r="AJ38" s="251"/>
      <c r="AK38" s="248"/>
      <c r="AL38" s="249"/>
      <c r="AM38" s="248"/>
      <c r="AN38" s="248"/>
      <c r="AO38" s="248"/>
      <c r="AP38" s="248"/>
      <c r="AQ38" s="248"/>
      <c r="AR38" s="248"/>
      <c r="AS38" s="248"/>
      <c r="AT38" s="249"/>
      <c r="AU38" s="248"/>
      <c r="AV38" s="248"/>
      <c r="AW38" s="248"/>
      <c r="AX38" s="249"/>
      <c r="AY38" s="248"/>
      <c r="AZ38" s="248"/>
      <c r="BA38" s="248"/>
      <c r="BB38" s="248">
        <f t="shared" si="2"/>
        <v>170754</v>
      </c>
      <c r="BC38" s="248">
        <f t="shared" si="0"/>
        <v>7991.2260000000242</v>
      </c>
    </row>
    <row r="39" spans="1:55" s="39" customFormat="1" ht="23.25" customHeight="1">
      <c r="B39" s="22">
        <f t="shared" si="3"/>
        <v>23</v>
      </c>
      <c r="C39" s="22" t="s">
        <v>39</v>
      </c>
      <c r="D39" s="23">
        <v>30291122</v>
      </c>
      <c r="E39" s="48" t="s">
        <v>717</v>
      </c>
      <c r="F39" s="48" t="s">
        <v>317</v>
      </c>
      <c r="G39" s="26" t="s">
        <v>683</v>
      </c>
      <c r="H39" s="48" t="s">
        <v>718</v>
      </c>
      <c r="I39" s="25" t="s">
        <v>44</v>
      </c>
      <c r="J39" s="247">
        <v>306739</v>
      </c>
      <c r="K39" s="247">
        <v>75270</v>
      </c>
      <c r="L39" s="247">
        <f t="shared" si="1"/>
        <v>231469</v>
      </c>
      <c r="M39" s="248">
        <v>22006.146000000001</v>
      </c>
      <c r="N39" s="248">
        <v>37886.618999999999</v>
      </c>
      <c r="O39" s="248"/>
      <c r="P39" s="248">
        <v>0</v>
      </c>
      <c r="Q39" s="248">
        <v>37060.678999999996</v>
      </c>
      <c r="R39" s="248">
        <v>1800</v>
      </c>
      <c r="S39" s="248">
        <v>43345.673000000003</v>
      </c>
      <c r="T39" s="248">
        <v>0</v>
      </c>
      <c r="U39" s="248">
        <v>0</v>
      </c>
      <c r="V39" s="248"/>
      <c r="W39" s="248"/>
      <c r="X39" s="248"/>
      <c r="Y39" s="248">
        <v>142099.117</v>
      </c>
      <c r="Z39" s="249">
        <v>229162</v>
      </c>
      <c r="AA39" s="250">
        <v>5</v>
      </c>
      <c r="AB39" s="251">
        <v>44216</v>
      </c>
      <c r="AC39" s="252">
        <v>44225</v>
      </c>
      <c r="AD39" s="249"/>
      <c r="AE39" s="248"/>
      <c r="AF39" s="251"/>
      <c r="AG39" s="251"/>
      <c r="AH39" s="249"/>
      <c r="AI39" s="248"/>
      <c r="AJ39" s="251"/>
      <c r="AK39" s="248"/>
      <c r="AL39" s="249"/>
      <c r="AM39" s="248"/>
      <c r="AN39" s="248"/>
      <c r="AO39" s="248"/>
      <c r="AP39" s="248"/>
      <c r="AQ39" s="248"/>
      <c r="AR39" s="248"/>
      <c r="AS39" s="248"/>
      <c r="AT39" s="249"/>
      <c r="AU39" s="248"/>
      <c r="AV39" s="248"/>
      <c r="AW39" s="248"/>
      <c r="AX39" s="249"/>
      <c r="AY39" s="248"/>
      <c r="AZ39" s="248"/>
      <c r="BA39" s="248"/>
      <c r="BB39" s="248">
        <f t="shared" si="2"/>
        <v>229162</v>
      </c>
      <c r="BC39" s="248">
        <f t="shared" si="0"/>
        <v>87062.883000000002</v>
      </c>
    </row>
    <row r="40" spans="1:55" s="39" customFormat="1" ht="23.25" customHeight="1">
      <c r="B40" s="22">
        <f t="shared" si="3"/>
        <v>24</v>
      </c>
      <c r="C40" s="22" t="s">
        <v>39</v>
      </c>
      <c r="D40" s="23">
        <v>40008090</v>
      </c>
      <c r="E40" s="48" t="s">
        <v>719</v>
      </c>
      <c r="F40" s="48" t="s">
        <v>317</v>
      </c>
      <c r="G40" s="26" t="s">
        <v>683</v>
      </c>
      <c r="H40" s="48" t="s">
        <v>716</v>
      </c>
      <c r="I40" s="25" t="s">
        <v>44</v>
      </c>
      <c r="J40" s="247">
        <v>173927</v>
      </c>
      <c r="K40" s="247">
        <v>41778</v>
      </c>
      <c r="L40" s="247">
        <f t="shared" si="1"/>
        <v>132149</v>
      </c>
      <c r="M40" s="248">
        <v>13812.052</v>
      </c>
      <c r="N40" s="248"/>
      <c r="O40" s="248"/>
      <c r="P40" s="248">
        <v>0</v>
      </c>
      <c r="Q40" s="248">
        <v>63441.036</v>
      </c>
      <c r="R40" s="248">
        <v>0</v>
      </c>
      <c r="S40" s="248">
        <v>0</v>
      </c>
      <c r="T40" s="248">
        <v>0</v>
      </c>
      <c r="U40" s="248">
        <v>0</v>
      </c>
      <c r="V40" s="248"/>
      <c r="W40" s="248"/>
      <c r="X40" s="248"/>
      <c r="Y40" s="248">
        <v>77253.088000000003</v>
      </c>
      <c r="Z40" s="249">
        <v>132149</v>
      </c>
      <c r="AA40" s="250">
        <v>5</v>
      </c>
      <c r="AB40" s="251">
        <v>44216</v>
      </c>
      <c r="AC40" s="252">
        <v>44225</v>
      </c>
      <c r="AD40" s="249"/>
      <c r="AE40" s="248"/>
      <c r="AF40" s="251"/>
      <c r="AG40" s="251"/>
      <c r="AH40" s="249"/>
      <c r="AI40" s="248"/>
      <c r="AJ40" s="251"/>
      <c r="AK40" s="248"/>
      <c r="AL40" s="249"/>
      <c r="AM40" s="248"/>
      <c r="AN40" s="248"/>
      <c r="AO40" s="248"/>
      <c r="AP40" s="248"/>
      <c r="AQ40" s="248"/>
      <c r="AR40" s="248"/>
      <c r="AS40" s="248"/>
      <c r="AT40" s="249"/>
      <c r="AU40" s="248"/>
      <c r="AV40" s="248"/>
      <c r="AW40" s="248"/>
      <c r="AX40" s="249"/>
      <c r="AY40" s="248"/>
      <c r="AZ40" s="248"/>
      <c r="BA40" s="248"/>
      <c r="BB40" s="248">
        <f t="shared" si="2"/>
        <v>132149</v>
      </c>
      <c r="BC40" s="248">
        <f t="shared" si="0"/>
        <v>54895.911999999997</v>
      </c>
    </row>
    <row r="41" spans="1:55" s="39" customFormat="1" ht="23.25" customHeight="1">
      <c r="B41" s="22">
        <f t="shared" si="3"/>
        <v>25</v>
      </c>
      <c r="C41" s="22" t="s">
        <v>39</v>
      </c>
      <c r="D41" s="23">
        <v>30285272</v>
      </c>
      <c r="E41" s="48" t="s">
        <v>720</v>
      </c>
      <c r="F41" s="48" t="s">
        <v>700</v>
      </c>
      <c r="G41" s="26" t="s">
        <v>683</v>
      </c>
      <c r="H41" s="48" t="s">
        <v>698</v>
      </c>
      <c r="I41" s="25" t="s">
        <v>44</v>
      </c>
      <c r="J41" s="247">
        <v>200900</v>
      </c>
      <c r="K41" s="247">
        <v>40900</v>
      </c>
      <c r="L41" s="247">
        <f t="shared" si="1"/>
        <v>160000</v>
      </c>
      <c r="M41" s="248"/>
      <c r="N41" s="248"/>
      <c r="O41" s="248">
        <v>40000</v>
      </c>
      <c r="P41" s="248">
        <v>0</v>
      </c>
      <c r="Q41" s="248">
        <v>0</v>
      </c>
      <c r="R41" s="248">
        <v>0</v>
      </c>
      <c r="S41" s="248">
        <v>0</v>
      </c>
      <c r="T41" s="248">
        <v>0</v>
      </c>
      <c r="U41" s="248">
        <v>0</v>
      </c>
      <c r="V41" s="248"/>
      <c r="W41" s="248"/>
      <c r="X41" s="248"/>
      <c r="Y41" s="248">
        <v>40000</v>
      </c>
      <c r="Z41" s="249">
        <v>160000</v>
      </c>
      <c r="AA41" s="250">
        <v>5</v>
      </c>
      <c r="AB41" s="251">
        <v>44216</v>
      </c>
      <c r="AC41" s="252">
        <v>44225</v>
      </c>
      <c r="AD41" s="249"/>
      <c r="AE41" s="248"/>
      <c r="AF41" s="251"/>
      <c r="AG41" s="251"/>
      <c r="AH41" s="249"/>
      <c r="AI41" s="248"/>
      <c r="AJ41" s="251"/>
      <c r="AK41" s="248"/>
      <c r="AL41" s="249"/>
      <c r="AM41" s="248"/>
      <c r="AN41" s="248"/>
      <c r="AO41" s="248"/>
      <c r="AP41" s="248"/>
      <c r="AQ41" s="248"/>
      <c r="AR41" s="248"/>
      <c r="AS41" s="248"/>
      <c r="AT41" s="249"/>
      <c r="AU41" s="248"/>
      <c r="AV41" s="248"/>
      <c r="AW41" s="248"/>
      <c r="AX41" s="249"/>
      <c r="AY41" s="248"/>
      <c r="AZ41" s="248"/>
      <c r="BA41" s="248"/>
      <c r="BB41" s="248">
        <f t="shared" si="2"/>
        <v>160000</v>
      </c>
      <c r="BC41" s="248">
        <f t="shared" si="0"/>
        <v>120000</v>
      </c>
    </row>
    <row r="42" spans="1:55" s="39" customFormat="1" ht="23.25" customHeight="1">
      <c r="B42" s="22">
        <f t="shared" si="3"/>
        <v>26</v>
      </c>
      <c r="C42" s="22" t="s">
        <v>39</v>
      </c>
      <c r="D42" s="23">
        <v>40008952</v>
      </c>
      <c r="E42" s="48" t="s">
        <v>721</v>
      </c>
      <c r="F42" s="48" t="s">
        <v>317</v>
      </c>
      <c r="G42" s="26" t="s">
        <v>683</v>
      </c>
      <c r="H42" s="48" t="s">
        <v>718</v>
      </c>
      <c r="I42" s="25" t="s">
        <v>52</v>
      </c>
      <c r="J42" s="247">
        <v>1126260</v>
      </c>
      <c r="K42" s="247"/>
      <c r="L42" s="247">
        <f t="shared" si="1"/>
        <v>1126260</v>
      </c>
      <c r="M42" s="248"/>
      <c r="N42" s="248">
        <v>27144.548999999999</v>
      </c>
      <c r="O42" s="248"/>
      <c r="P42" s="248">
        <v>0</v>
      </c>
      <c r="Q42" s="248">
        <v>4250</v>
      </c>
      <c r="R42" s="248">
        <v>45624.141000000003</v>
      </c>
      <c r="S42" s="248">
        <v>40212.614000000001</v>
      </c>
      <c r="T42" s="248">
        <v>53538.472000000002</v>
      </c>
      <c r="U42" s="248">
        <v>0</v>
      </c>
      <c r="V42" s="248"/>
      <c r="W42" s="248"/>
      <c r="X42" s="248"/>
      <c r="Y42" s="248">
        <v>170769.77600000001</v>
      </c>
      <c r="Z42" s="249">
        <v>523512</v>
      </c>
      <c r="AA42" s="250">
        <v>5</v>
      </c>
      <c r="AB42" s="251">
        <v>44216</v>
      </c>
      <c r="AC42" s="252">
        <v>44225</v>
      </c>
      <c r="AD42" s="249"/>
      <c r="AE42" s="248"/>
      <c r="AF42" s="251"/>
      <c r="AG42" s="251"/>
      <c r="AH42" s="249"/>
      <c r="AI42" s="248"/>
      <c r="AJ42" s="251"/>
      <c r="AK42" s="248"/>
      <c r="AL42" s="249"/>
      <c r="AM42" s="248"/>
      <c r="AN42" s="248"/>
      <c r="AO42" s="248"/>
      <c r="AP42" s="248"/>
      <c r="AQ42" s="248"/>
      <c r="AR42" s="248"/>
      <c r="AS42" s="248"/>
      <c r="AT42" s="249"/>
      <c r="AU42" s="248"/>
      <c r="AV42" s="248"/>
      <c r="AW42" s="248"/>
      <c r="AX42" s="249"/>
      <c r="AY42" s="248"/>
      <c r="AZ42" s="248"/>
      <c r="BA42" s="248"/>
      <c r="BB42" s="248">
        <f t="shared" si="2"/>
        <v>523512</v>
      </c>
      <c r="BC42" s="248">
        <f t="shared" si="0"/>
        <v>352742.22399999999</v>
      </c>
    </row>
    <row r="43" spans="1:55" s="39" customFormat="1" ht="23.25" customHeight="1">
      <c r="B43" s="22">
        <f t="shared" si="3"/>
        <v>27</v>
      </c>
      <c r="C43" s="22" t="s">
        <v>39</v>
      </c>
      <c r="D43" s="23">
        <v>40002873</v>
      </c>
      <c r="E43" s="48" t="s">
        <v>722</v>
      </c>
      <c r="F43" s="48" t="s">
        <v>317</v>
      </c>
      <c r="G43" s="26" t="s">
        <v>683</v>
      </c>
      <c r="H43" s="48" t="s">
        <v>698</v>
      </c>
      <c r="I43" s="25" t="s">
        <v>52</v>
      </c>
      <c r="J43" s="247">
        <v>599354</v>
      </c>
      <c r="K43" s="247"/>
      <c r="L43" s="247">
        <f t="shared" si="1"/>
        <v>599354</v>
      </c>
      <c r="M43" s="248"/>
      <c r="N43" s="248">
        <v>6075</v>
      </c>
      <c r="O43" s="248"/>
      <c r="P43" s="248">
        <v>382490.70600000001</v>
      </c>
      <c r="Q43" s="248">
        <v>76401.539000000004</v>
      </c>
      <c r="R43" s="248">
        <v>54934.504999999997</v>
      </c>
      <c r="S43" s="248">
        <v>0</v>
      </c>
      <c r="T43" s="248">
        <v>0</v>
      </c>
      <c r="U43" s="248">
        <v>0</v>
      </c>
      <c r="V43" s="248"/>
      <c r="W43" s="248"/>
      <c r="X43" s="248"/>
      <c r="Y43" s="248">
        <v>519901.75</v>
      </c>
      <c r="Z43" s="249">
        <v>598306</v>
      </c>
      <c r="AA43" s="250">
        <v>5</v>
      </c>
      <c r="AB43" s="251">
        <v>44216</v>
      </c>
      <c r="AC43" s="252">
        <v>44225</v>
      </c>
      <c r="AD43" s="249"/>
      <c r="AE43" s="248"/>
      <c r="AF43" s="251"/>
      <c r="AG43" s="251"/>
      <c r="AH43" s="249"/>
      <c r="AI43" s="248"/>
      <c r="AJ43" s="251"/>
      <c r="AK43" s="248"/>
      <c r="AL43" s="249"/>
      <c r="AM43" s="248"/>
      <c r="AN43" s="248"/>
      <c r="AO43" s="248"/>
      <c r="AP43" s="248"/>
      <c r="AQ43" s="248"/>
      <c r="AR43" s="248"/>
      <c r="AS43" s="248"/>
      <c r="AT43" s="249"/>
      <c r="AU43" s="248"/>
      <c r="AV43" s="248"/>
      <c r="AW43" s="248"/>
      <c r="AX43" s="249"/>
      <c r="AY43" s="248"/>
      <c r="AZ43" s="248"/>
      <c r="BA43" s="248"/>
      <c r="BB43" s="248">
        <f t="shared" si="2"/>
        <v>598306</v>
      </c>
      <c r="BC43" s="248">
        <f t="shared" si="0"/>
        <v>78404.25</v>
      </c>
    </row>
    <row r="44" spans="1:55" s="39" customFormat="1" ht="23.25" customHeight="1">
      <c r="B44" s="22">
        <f t="shared" si="3"/>
        <v>28</v>
      </c>
      <c r="C44" s="22" t="s">
        <v>65</v>
      </c>
      <c r="D44" s="23">
        <v>40013035</v>
      </c>
      <c r="E44" s="48" t="s">
        <v>723</v>
      </c>
      <c r="F44" s="48" t="s">
        <v>317</v>
      </c>
      <c r="G44" s="26" t="s">
        <v>683</v>
      </c>
      <c r="H44" s="48" t="s">
        <v>683</v>
      </c>
      <c r="I44" s="25" t="s">
        <v>44</v>
      </c>
      <c r="J44" s="247">
        <v>35668</v>
      </c>
      <c r="K44" s="247">
        <v>14458</v>
      </c>
      <c r="L44" s="247">
        <f t="shared" si="1"/>
        <v>21210</v>
      </c>
      <c r="M44" s="248"/>
      <c r="N44" s="248"/>
      <c r="O44" s="248">
        <v>5302.5</v>
      </c>
      <c r="P44" s="248">
        <v>0</v>
      </c>
      <c r="Q44" s="248">
        <v>0</v>
      </c>
      <c r="R44" s="248">
        <v>10605</v>
      </c>
      <c r="S44" s="248">
        <v>0</v>
      </c>
      <c r="T44" s="248">
        <v>0</v>
      </c>
      <c r="U44" s="248">
        <v>5302.5</v>
      </c>
      <c r="V44" s="248"/>
      <c r="W44" s="248"/>
      <c r="X44" s="248"/>
      <c r="Y44" s="248">
        <v>21210</v>
      </c>
      <c r="Z44" s="249">
        <v>21210</v>
      </c>
      <c r="AA44" s="250">
        <v>5</v>
      </c>
      <c r="AB44" s="251">
        <v>44216</v>
      </c>
      <c r="AC44" s="252">
        <v>44225</v>
      </c>
      <c r="AD44" s="249"/>
      <c r="AE44" s="248"/>
      <c r="AF44" s="251"/>
      <c r="AG44" s="251"/>
      <c r="AH44" s="249"/>
      <c r="AI44" s="248"/>
      <c r="AJ44" s="251"/>
      <c r="AK44" s="248"/>
      <c r="AL44" s="249"/>
      <c r="AM44" s="248"/>
      <c r="AN44" s="248"/>
      <c r="AO44" s="248"/>
      <c r="AP44" s="248"/>
      <c r="AQ44" s="248"/>
      <c r="AR44" s="248"/>
      <c r="AS44" s="248"/>
      <c r="AT44" s="249"/>
      <c r="AU44" s="248"/>
      <c r="AV44" s="248"/>
      <c r="AW44" s="248"/>
      <c r="AX44" s="249"/>
      <c r="AY44" s="248"/>
      <c r="AZ44" s="248"/>
      <c r="BA44" s="248"/>
      <c r="BB44" s="248">
        <f t="shared" si="2"/>
        <v>21210</v>
      </c>
      <c r="BC44" s="248">
        <f t="shared" si="0"/>
        <v>0</v>
      </c>
    </row>
    <row r="45" spans="1:55" s="39" customFormat="1" ht="23.25" customHeight="1">
      <c r="B45" s="22">
        <f t="shared" si="3"/>
        <v>29</v>
      </c>
      <c r="C45" s="22" t="s">
        <v>39</v>
      </c>
      <c r="D45" s="23">
        <v>40015828</v>
      </c>
      <c r="E45" s="48" t="s">
        <v>724</v>
      </c>
      <c r="F45" s="48" t="s">
        <v>317</v>
      </c>
      <c r="G45" s="26" t="s">
        <v>683</v>
      </c>
      <c r="H45" s="48" t="s">
        <v>688</v>
      </c>
      <c r="I45" s="25" t="s">
        <v>44</v>
      </c>
      <c r="J45" s="247">
        <v>210512</v>
      </c>
      <c r="K45" s="247">
        <v>136833</v>
      </c>
      <c r="L45" s="247">
        <f t="shared" si="1"/>
        <v>73679</v>
      </c>
      <c r="M45" s="248">
        <v>2655</v>
      </c>
      <c r="N45" s="248">
        <v>35137.949000000001</v>
      </c>
      <c r="O45" s="248"/>
      <c r="P45" s="248">
        <v>2655</v>
      </c>
      <c r="Q45" s="248">
        <v>11255.726000000001</v>
      </c>
      <c r="R45" s="248">
        <v>0</v>
      </c>
      <c r="S45" s="248">
        <v>0</v>
      </c>
      <c r="T45" s="248">
        <v>0</v>
      </c>
      <c r="U45" s="248">
        <v>0</v>
      </c>
      <c r="V45" s="248"/>
      <c r="W45" s="248"/>
      <c r="X45" s="248"/>
      <c r="Y45" s="248">
        <v>51703.675000000003</v>
      </c>
      <c r="Z45" s="249">
        <v>73679</v>
      </c>
      <c r="AA45" s="250">
        <v>5</v>
      </c>
      <c r="AB45" s="251">
        <v>44216</v>
      </c>
      <c r="AC45" s="252">
        <v>44225</v>
      </c>
      <c r="AD45" s="249"/>
      <c r="AE45" s="248"/>
      <c r="AF45" s="251"/>
      <c r="AG45" s="251"/>
      <c r="AH45" s="249"/>
      <c r="AI45" s="248"/>
      <c r="AJ45" s="251"/>
      <c r="AK45" s="248"/>
      <c r="AL45" s="249"/>
      <c r="AM45" s="248"/>
      <c r="AN45" s="248"/>
      <c r="AO45" s="248"/>
      <c r="AP45" s="248"/>
      <c r="AQ45" s="248"/>
      <c r="AR45" s="248"/>
      <c r="AS45" s="248"/>
      <c r="AT45" s="249"/>
      <c r="AU45" s="248"/>
      <c r="AV45" s="248"/>
      <c r="AW45" s="248"/>
      <c r="AX45" s="249"/>
      <c r="AY45" s="248"/>
      <c r="AZ45" s="248"/>
      <c r="BA45" s="248"/>
      <c r="BB45" s="248">
        <f t="shared" si="2"/>
        <v>73679</v>
      </c>
      <c r="BC45" s="248">
        <f t="shared" si="0"/>
        <v>21975.324999999997</v>
      </c>
    </row>
    <row r="46" spans="1:55" s="39" customFormat="1" ht="23.25" customHeight="1">
      <c r="A46" s="246"/>
      <c r="B46" s="22">
        <f t="shared" si="3"/>
        <v>30</v>
      </c>
      <c r="C46" s="22" t="s">
        <v>39</v>
      </c>
      <c r="D46" s="23">
        <v>40009610</v>
      </c>
      <c r="E46" s="48" t="s">
        <v>725</v>
      </c>
      <c r="F46" s="48" t="s">
        <v>317</v>
      </c>
      <c r="G46" s="26" t="s">
        <v>683</v>
      </c>
      <c r="H46" s="48" t="s">
        <v>706</v>
      </c>
      <c r="I46" s="25" t="s">
        <v>44</v>
      </c>
      <c r="J46" s="247">
        <v>1199735</v>
      </c>
      <c r="K46" s="247">
        <v>3076</v>
      </c>
      <c r="L46" s="247">
        <f t="shared" si="1"/>
        <v>1196659</v>
      </c>
      <c r="M46" s="248">
        <v>3008</v>
      </c>
      <c r="N46" s="248">
        <v>3008</v>
      </c>
      <c r="O46" s="248">
        <v>21200.99</v>
      </c>
      <c r="P46" s="248">
        <v>11402.099</v>
      </c>
      <c r="Q46" s="248">
        <v>39873.275999999998</v>
      </c>
      <c r="R46" s="248">
        <v>39863.025000000001</v>
      </c>
      <c r="S46" s="248">
        <v>44570.847000000002</v>
      </c>
      <c r="T46" s="248">
        <v>86567.536999999997</v>
      </c>
      <c r="U46" s="248">
        <v>127922.086</v>
      </c>
      <c r="V46" s="248"/>
      <c r="W46" s="248"/>
      <c r="X46" s="248"/>
      <c r="Y46" s="248">
        <v>377415.86</v>
      </c>
      <c r="Z46" s="249">
        <v>1177043</v>
      </c>
      <c r="AA46" s="250">
        <v>5</v>
      </c>
      <c r="AB46" s="251">
        <v>44216</v>
      </c>
      <c r="AC46" s="252">
        <v>44225</v>
      </c>
      <c r="AD46" s="249">
        <v>-500000</v>
      </c>
      <c r="AE46" s="248">
        <v>38</v>
      </c>
      <c r="AF46" s="251">
        <v>44316</v>
      </c>
      <c r="AG46" s="251">
        <v>44328</v>
      </c>
      <c r="AH46" s="249"/>
      <c r="AI46" s="248"/>
      <c r="AJ46" s="251"/>
      <c r="AK46" s="248"/>
      <c r="AL46" s="249"/>
      <c r="AM46" s="248"/>
      <c r="AN46" s="248"/>
      <c r="AO46" s="248"/>
      <c r="AP46" s="248"/>
      <c r="AQ46" s="248"/>
      <c r="AR46" s="248"/>
      <c r="AS46" s="248"/>
      <c r="AT46" s="249"/>
      <c r="AU46" s="248"/>
      <c r="AV46" s="248"/>
      <c r="AW46" s="248"/>
      <c r="AX46" s="249"/>
      <c r="AY46" s="248"/>
      <c r="AZ46" s="248"/>
      <c r="BA46" s="248"/>
      <c r="BB46" s="248">
        <f t="shared" si="2"/>
        <v>677043</v>
      </c>
      <c r="BC46" s="248">
        <f t="shared" si="0"/>
        <v>299627.14</v>
      </c>
    </row>
    <row r="47" spans="1:55" s="39" customFormat="1" ht="23.25" customHeight="1">
      <c r="B47" s="22">
        <f t="shared" si="3"/>
        <v>31</v>
      </c>
      <c r="C47" s="22" t="s">
        <v>65</v>
      </c>
      <c r="D47" s="23">
        <v>40016456</v>
      </c>
      <c r="E47" s="48" t="s">
        <v>726</v>
      </c>
      <c r="F47" s="48" t="s">
        <v>317</v>
      </c>
      <c r="G47" s="26" t="s">
        <v>683</v>
      </c>
      <c r="H47" s="48" t="s">
        <v>698</v>
      </c>
      <c r="I47" s="25" t="s">
        <v>52</v>
      </c>
      <c r="J47" s="247">
        <v>55182</v>
      </c>
      <c r="K47" s="247"/>
      <c r="L47" s="247">
        <f t="shared" si="1"/>
        <v>55182</v>
      </c>
      <c r="M47" s="248"/>
      <c r="N47" s="248"/>
      <c r="O47" s="248"/>
      <c r="P47" s="248">
        <v>0</v>
      </c>
      <c r="Q47" s="248">
        <v>4857</v>
      </c>
      <c r="R47" s="248">
        <v>0</v>
      </c>
      <c r="S47" s="248">
        <v>7285.5</v>
      </c>
      <c r="T47" s="248">
        <v>0</v>
      </c>
      <c r="U47" s="248">
        <v>0</v>
      </c>
      <c r="V47" s="248"/>
      <c r="W47" s="248"/>
      <c r="X47" s="248"/>
      <c r="Y47" s="248">
        <v>12142.5</v>
      </c>
      <c r="Z47" s="249">
        <v>41386</v>
      </c>
      <c r="AA47" s="250">
        <v>5</v>
      </c>
      <c r="AB47" s="251">
        <v>44216</v>
      </c>
      <c r="AC47" s="252">
        <v>44225</v>
      </c>
      <c r="AD47" s="249"/>
      <c r="AE47" s="248"/>
      <c r="AF47" s="251"/>
      <c r="AG47" s="251"/>
      <c r="AH47" s="249"/>
      <c r="AI47" s="248"/>
      <c r="AJ47" s="251"/>
      <c r="AK47" s="248"/>
      <c r="AL47" s="249"/>
      <c r="AM47" s="248"/>
      <c r="AN47" s="248"/>
      <c r="AO47" s="248"/>
      <c r="AP47" s="248"/>
      <c r="AQ47" s="248"/>
      <c r="AR47" s="248"/>
      <c r="AS47" s="248"/>
      <c r="AT47" s="249"/>
      <c r="AU47" s="248"/>
      <c r="AV47" s="248"/>
      <c r="AW47" s="248"/>
      <c r="AX47" s="249"/>
      <c r="AY47" s="248"/>
      <c r="AZ47" s="248"/>
      <c r="BA47" s="248"/>
      <c r="BB47" s="248">
        <f t="shared" si="2"/>
        <v>41386</v>
      </c>
      <c r="BC47" s="248">
        <f t="shared" si="0"/>
        <v>29243.5</v>
      </c>
    </row>
    <row r="48" spans="1:55" s="39" customFormat="1" ht="23.25" customHeight="1">
      <c r="B48" s="22">
        <f t="shared" si="3"/>
        <v>32</v>
      </c>
      <c r="C48" s="22" t="s">
        <v>39</v>
      </c>
      <c r="D48" s="23">
        <v>30409472</v>
      </c>
      <c r="E48" s="48" t="s">
        <v>727</v>
      </c>
      <c r="F48" s="48" t="s">
        <v>317</v>
      </c>
      <c r="G48" s="26" t="s">
        <v>683</v>
      </c>
      <c r="H48" s="48" t="s">
        <v>701</v>
      </c>
      <c r="I48" s="25" t="s">
        <v>44</v>
      </c>
      <c r="J48" s="247">
        <v>4236502</v>
      </c>
      <c r="K48" s="247">
        <v>2705185</v>
      </c>
      <c r="L48" s="247">
        <f t="shared" si="1"/>
        <v>1531317</v>
      </c>
      <c r="M48" s="248"/>
      <c r="N48" s="248">
        <v>181849.37100000001</v>
      </c>
      <c r="O48" s="248">
        <v>263443.66800000001</v>
      </c>
      <c r="P48" s="248">
        <v>268670.75399999996</v>
      </c>
      <c r="Q48" s="248">
        <v>290850.02999999997</v>
      </c>
      <c r="R48" s="248">
        <v>145280.72899999999</v>
      </c>
      <c r="S48" s="248">
        <v>97161.005000000005</v>
      </c>
      <c r="T48" s="248">
        <v>143485.48699999999</v>
      </c>
      <c r="U48" s="248">
        <v>44920.514999999999</v>
      </c>
      <c r="V48" s="248"/>
      <c r="W48" s="248"/>
      <c r="X48" s="248"/>
      <c r="Y48" s="248">
        <v>1435661.5589999999</v>
      </c>
      <c r="Z48" s="249">
        <v>1398914</v>
      </c>
      <c r="AA48" s="250">
        <v>5</v>
      </c>
      <c r="AB48" s="251">
        <v>44216</v>
      </c>
      <c r="AC48" s="252">
        <v>44225</v>
      </c>
      <c r="AD48" s="249">
        <v>126208</v>
      </c>
      <c r="AE48" s="248">
        <v>35</v>
      </c>
      <c r="AF48" s="251">
        <v>44314</v>
      </c>
      <c r="AG48" s="251">
        <v>44327</v>
      </c>
      <c r="AH48" s="249"/>
      <c r="AI48" s="248"/>
      <c r="AJ48" s="251"/>
      <c r="AK48" s="248"/>
      <c r="AL48" s="249"/>
      <c r="AM48" s="248"/>
      <c r="AN48" s="248"/>
      <c r="AO48" s="248"/>
      <c r="AP48" s="248"/>
      <c r="AQ48" s="248"/>
      <c r="AR48" s="248"/>
      <c r="AS48" s="248"/>
      <c r="AT48" s="249"/>
      <c r="AU48" s="248"/>
      <c r="AV48" s="248"/>
      <c r="AW48" s="248"/>
      <c r="AX48" s="249"/>
      <c r="AY48" s="248"/>
      <c r="AZ48" s="248"/>
      <c r="BA48" s="248"/>
      <c r="BB48" s="248">
        <f t="shared" si="2"/>
        <v>1525122</v>
      </c>
      <c r="BC48" s="248">
        <f t="shared" si="0"/>
        <v>89460.441000000108</v>
      </c>
    </row>
    <row r="49" spans="2:55" s="39" customFormat="1" ht="23.25" customHeight="1">
      <c r="B49" s="22">
        <f t="shared" si="3"/>
        <v>33</v>
      </c>
      <c r="C49" s="22" t="s">
        <v>39</v>
      </c>
      <c r="D49" s="23">
        <v>30467193</v>
      </c>
      <c r="E49" s="48" t="s">
        <v>728</v>
      </c>
      <c r="F49" s="48" t="s">
        <v>317</v>
      </c>
      <c r="G49" s="26" t="s">
        <v>683</v>
      </c>
      <c r="H49" s="48" t="s">
        <v>683</v>
      </c>
      <c r="I49" s="25" t="s">
        <v>44</v>
      </c>
      <c r="J49" s="247">
        <v>2268765</v>
      </c>
      <c r="K49" s="247">
        <v>1140003</v>
      </c>
      <c r="L49" s="247">
        <f t="shared" si="1"/>
        <v>1128762</v>
      </c>
      <c r="M49" s="248">
        <v>106653.28</v>
      </c>
      <c r="N49" s="248">
        <v>4827.6450000000004</v>
      </c>
      <c r="O49" s="248"/>
      <c r="P49" s="248">
        <v>75377.843999999997</v>
      </c>
      <c r="Q49" s="248">
        <v>198160.649</v>
      </c>
      <c r="R49" s="248">
        <v>160222.62899999999</v>
      </c>
      <c r="S49" s="248">
        <v>357438.91200000001</v>
      </c>
      <c r="T49" s="248">
        <v>140177.87300000002</v>
      </c>
      <c r="U49" s="248">
        <v>230546.68400000001</v>
      </c>
      <c r="V49" s="248"/>
      <c r="W49" s="248"/>
      <c r="X49" s="248"/>
      <c r="Y49" s="248">
        <v>1273405.5160000001</v>
      </c>
      <c r="Z49" s="249">
        <v>1128761</v>
      </c>
      <c r="AA49" s="250">
        <v>6</v>
      </c>
      <c r="AB49" s="251">
        <v>44221</v>
      </c>
      <c r="AC49" s="252">
        <v>44225</v>
      </c>
      <c r="AD49" s="214">
        <v>265000</v>
      </c>
      <c r="AE49" s="27">
        <v>69</v>
      </c>
      <c r="AF49" s="253">
        <v>44386</v>
      </c>
      <c r="AG49" s="251">
        <v>44390</v>
      </c>
      <c r="AH49" s="249">
        <v>30000</v>
      </c>
      <c r="AI49" s="254">
        <v>72</v>
      </c>
      <c r="AJ49" s="251">
        <v>44406</v>
      </c>
      <c r="AK49" s="252">
        <v>44410</v>
      </c>
      <c r="AL49" s="249">
        <v>-150000</v>
      </c>
      <c r="AM49" s="248">
        <v>84</v>
      </c>
      <c r="AN49" s="252">
        <v>44431</v>
      </c>
      <c r="AO49" s="252">
        <v>44433</v>
      </c>
      <c r="AP49" s="248">
        <v>131000</v>
      </c>
      <c r="AQ49" s="248">
        <v>95</v>
      </c>
      <c r="AR49" s="248" t="s">
        <v>729</v>
      </c>
      <c r="AS49" s="252">
        <v>44466</v>
      </c>
      <c r="AT49" s="249"/>
      <c r="AU49" s="248"/>
      <c r="AV49" s="248"/>
      <c r="AW49" s="248"/>
      <c r="AX49" s="249"/>
      <c r="AY49" s="248"/>
      <c r="AZ49" s="248"/>
      <c r="BA49" s="248"/>
      <c r="BB49" s="248">
        <f t="shared" si="2"/>
        <v>1404761</v>
      </c>
      <c r="BC49" s="248">
        <f t="shared" si="0"/>
        <v>131355.48399999994</v>
      </c>
    </row>
    <row r="50" spans="2:55" s="39" customFormat="1" ht="23.25" customHeight="1">
      <c r="B50" s="22">
        <f t="shared" si="3"/>
        <v>34</v>
      </c>
      <c r="C50" s="22" t="s">
        <v>39</v>
      </c>
      <c r="D50" s="23">
        <v>30482595</v>
      </c>
      <c r="E50" s="48" t="s">
        <v>730</v>
      </c>
      <c r="F50" s="48" t="s">
        <v>317</v>
      </c>
      <c r="G50" s="26" t="s">
        <v>683</v>
      </c>
      <c r="H50" s="48" t="s">
        <v>704</v>
      </c>
      <c r="I50" s="25" t="s">
        <v>44</v>
      </c>
      <c r="J50" s="247">
        <v>1834771</v>
      </c>
      <c r="K50" s="247">
        <v>1044720</v>
      </c>
      <c r="L50" s="247">
        <f t="shared" si="1"/>
        <v>790051</v>
      </c>
      <c r="M50" s="248"/>
      <c r="N50" s="248">
        <v>105071.382</v>
      </c>
      <c r="O50" s="248"/>
      <c r="P50" s="248">
        <v>100329.83900000001</v>
      </c>
      <c r="Q50" s="248">
        <v>166547.872</v>
      </c>
      <c r="R50" s="248">
        <v>0</v>
      </c>
      <c r="S50" s="248">
        <v>9416.5040000000008</v>
      </c>
      <c r="T50" s="248">
        <v>0</v>
      </c>
      <c r="U50" s="248">
        <v>0</v>
      </c>
      <c r="V50" s="248"/>
      <c r="W50" s="248"/>
      <c r="X50" s="248"/>
      <c r="Y50" s="248">
        <v>381365.59700000001</v>
      </c>
      <c r="Z50" s="249">
        <v>790051</v>
      </c>
      <c r="AA50" s="250">
        <v>6</v>
      </c>
      <c r="AB50" s="251">
        <v>44221</v>
      </c>
      <c r="AC50" s="252">
        <v>44225</v>
      </c>
      <c r="AD50" s="35">
        <v>-150000</v>
      </c>
      <c r="AE50" s="27">
        <v>84</v>
      </c>
      <c r="AF50" s="255">
        <v>44431</v>
      </c>
      <c r="AG50" s="251">
        <v>44433</v>
      </c>
      <c r="AH50" s="249"/>
      <c r="AI50" s="248"/>
      <c r="AJ50" s="251"/>
      <c r="AK50" s="248"/>
      <c r="AL50" s="249"/>
      <c r="AM50" s="248"/>
      <c r="AN50" s="248"/>
      <c r="AO50" s="248"/>
      <c r="AP50" s="248"/>
      <c r="AQ50" s="248"/>
      <c r="AR50" s="248"/>
      <c r="AS50" s="248"/>
      <c r="AT50" s="249"/>
      <c r="AU50" s="248"/>
      <c r="AV50" s="248"/>
      <c r="AW50" s="248"/>
      <c r="AX50" s="249"/>
      <c r="AY50" s="248"/>
      <c r="AZ50" s="248"/>
      <c r="BA50" s="248"/>
      <c r="BB50" s="248">
        <f t="shared" si="2"/>
        <v>640051</v>
      </c>
      <c r="BC50" s="248">
        <f t="shared" si="0"/>
        <v>258685.40299999999</v>
      </c>
    </row>
    <row r="51" spans="2:55" s="39" customFormat="1" ht="23.25" customHeight="1">
      <c r="B51" s="22">
        <f t="shared" si="3"/>
        <v>35</v>
      </c>
      <c r="C51" s="22" t="s">
        <v>39</v>
      </c>
      <c r="D51" s="23">
        <v>30405274</v>
      </c>
      <c r="E51" s="48" t="s">
        <v>731</v>
      </c>
      <c r="F51" s="48" t="s">
        <v>317</v>
      </c>
      <c r="G51" s="26" t="s">
        <v>683</v>
      </c>
      <c r="H51" s="48" t="s">
        <v>732</v>
      </c>
      <c r="I51" s="25" t="s">
        <v>44</v>
      </c>
      <c r="J51" s="247">
        <v>1280709</v>
      </c>
      <c r="K51" s="247">
        <v>1001865</v>
      </c>
      <c r="L51" s="247">
        <f t="shared" si="1"/>
        <v>278844</v>
      </c>
      <c r="M51" s="248">
        <v>39760.423000000003</v>
      </c>
      <c r="N51" s="248"/>
      <c r="O51" s="248">
        <v>25437.598000000002</v>
      </c>
      <c r="P51" s="248">
        <v>0</v>
      </c>
      <c r="Q51" s="248">
        <v>0</v>
      </c>
      <c r="R51" s="248">
        <v>0</v>
      </c>
      <c r="S51" s="248">
        <v>0</v>
      </c>
      <c r="T51" s="248">
        <v>0</v>
      </c>
      <c r="U51" s="248">
        <v>0</v>
      </c>
      <c r="V51" s="248"/>
      <c r="W51" s="248"/>
      <c r="X51" s="248"/>
      <c r="Y51" s="248">
        <v>65198.021000000008</v>
      </c>
      <c r="Z51" s="249">
        <v>278844</v>
      </c>
      <c r="AA51" s="250">
        <v>6</v>
      </c>
      <c r="AB51" s="251">
        <v>44221</v>
      </c>
      <c r="AC51" s="252">
        <v>44225</v>
      </c>
      <c r="AD51" s="249"/>
      <c r="AE51" s="248"/>
      <c r="AF51" s="251"/>
      <c r="AG51" s="251"/>
      <c r="AH51" s="249"/>
      <c r="AI51" s="248"/>
      <c r="AJ51" s="251"/>
      <c r="AK51" s="248"/>
      <c r="AL51" s="249"/>
      <c r="AM51" s="248"/>
      <c r="AN51" s="248"/>
      <c r="AO51" s="248"/>
      <c r="AP51" s="248"/>
      <c r="AQ51" s="248"/>
      <c r="AR51" s="248"/>
      <c r="AS51" s="248"/>
      <c r="AT51" s="249"/>
      <c r="AU51" s="248"/>
      <c r="AV51" s="248"/>
      <c r="AW51" s="248"/>
      <c r="AX51" s="249"/>
      <c r="AY51" s="248"/>
      <c r="AZ51" s="248"/>
      <c r="BA51" s="248"/>
      <c r="BB51" s="248">
        <f t="shared" si="2"/>
        <v>278844</v>
      </c>
      <c r="BC51" s="248">
        <f t="shared" si="0"/>
        <v>213645.97899999999</v>
      </c>
    </row>
    <row r="52" spans="2:55" s="39" customFormat="1" ht="23.25" customHeight="1">
      <c r="B52" s="22">
        <f t="shared" si="3"/>
        <v>36</v>
      </c>
      <c r="C52" s="22" t="s">
        <v>39</v>
      </c>
      <c r="D52" s="23">
        <v>40002424</v>
      </c>
      <c r="E52" s="48" t="s">
        <v>733</v>
      </c>
      <c r="F52" s="48" t="s">
        <v>317</v>
      </c>
      <c r="G52" s="26" t="s">
        <v>683</v>
      </c>
      <c r="H52" s="48" t="s">
        <v>732</v>
      </c>
      <c r="I52" s="25" t="s">
        <v>44</v>
      </c>
      <c r="J52" s="247">
        <v>1546910</v>
      </c>
      <c r="K52" s="247">
        <v>879185</v>
      </c>
      <c r="L52" s="247">
        <f t="shared" si="1"/>
        <v>667725</v>
      </c>
      <c r="M52" s="248"/>
      <c r="N52" s="248">
        <v>210431.47</v>
      </c>
      <c r="O52" s="248"/>
      <c r="P52" s="248">
        <v>311475.36700000003</v>
      </c>
      <c r="Q52" s="248">
        <v>140252.40299999999</v>
      </c>
      <c r="R52" s="248">
        <v>0</v>
      </c>
      <c r="S52" s="248">
        <v>120679.712</v>
      </c>
      <c r="T52" s="248">
        <v>0</v>
      </c>
      <c r="U52" s="248">
        <v>0</v>
      </c>
      <c r="V52" s="248"/>
      <c r="W52" s="248"/>
      <c r="X52" s="248"/>
      <c r="Y52" s="248">
        <v>782838.95200000005</v>
      </c>
      <c r="Z52" s="249">
        <v>667136</v>
      </c>
      <c r="AA52" s="250">
        <v>6</v>
      </c>
      <c r="AB52" s="251">
        <v>44221</v>
      </c>
      <c r="AC52" s="252">
        <v>44225</v>
      </c>
      <c r="AD52" s="249">
        <v>8089</v>
      </c>
      <c r="AE52" s="248">
        <v>38</v>
      </c>
      <c r="AF52" s="251">
        <v>44316</v>
      </c>
      <c r="AG52" s="251">
        <v>44328</v>
      </c>
      <c r="AH52" s="249">
        <v>120680</v>
      </c>
      <c r="AI52" s="248">
        <v>65</v>
      </c>
      <c r="AJ52" s="251">
        <v>44377</v>
      </c>
      <c r="AK52" s="252">
        <v>44382</v>
      </c>
      <c r="AL52" s="249"/>
      <c r="AM52" s="248"/>
      <c r="AN52" s="248"/>
      <c r="AO52" s="248"/>
      <c r="AP52" s="248"/>
      <c r="AQ52" s="248"/>
      <c r="AR52" s="248"/>
      <c r="AS52" s="248"/>
      <c r="AT52" s="249"/>
      <c r="AU52" s="248"/>
      <c r="AV52" s="248"/>
      <c r="AW52" s="248"/>
      <c r="AX52" s="249"/>
      <c r="AY52" s="248"/>
      <c r="AZ52" s="248"/>
      <c r="BA52" s="248"/>
      <c r="BB52" s="248">
        <f t="shared" si="2"/>
        <v>795905</v>
      </c>
      <c r="BC52" s="248">
        <f t="shared" si="0"/>
        <v>13066.047999999952</v>
      </c>
    </row>
    <row r="53" spans="2:55" s="39" customFormat="1" ht="23.25" customHeight="1">
      <c r="B53" s="22">
        <f t="shared" si="3"/>
        <v>37</v>
      </c>
      <c r="C53" s="22" t="s">
        <v>39</v>
      </c>
      <c r="D53" s="23">
        <v>40004162</v>
      </c>
      <c r="E53" s="48" t="s">
        <v>734</v>
      </c>
      <c r="F53" s="48" t="s">
        <v>317</v>
      </c>
      <c r="G53" s="26" t="s">
        <v>683</v>
      </c>
      <c r="H53" s="48" t="s">
        <v>686</v>
      </c>
      <c r="I53" s="25" t="s">
        <v>44</v>
      </c>
      <c r="J53" s="247">
        <v>949615</v>
      </c>
      <c r="K53" s="247">
        <v>790296</v>
      </c>
      <c r="L53" s="247">
        <f t="shared" si="1"/>
        <v>159319</v>
      </c>
      <c r="M53" s="248"/>
      <c r="N53" s="248"/>
      <c r="O53" s="248"/>
      <c r="P53" s="248"/>
      <c r="Q53" s="248"/>
      <c r="R53" s="248"/>
      <c r="S53" s="248">
        <v>0</v>
      </c>
      <c r="T53" s="248">
        <v>0</v>
      </c>
      <c r="U53" s="248">
        <v>0</v>
      </c>
      <c r="V53" s="248"/>
      <c r="W53" s="248"/>
      <c r="X53" s="248"/>
      <c r="Y53" s="248">
        <v>0</v>
      </c>
      <c r="Z53" s="249">
        <v>159319</v>
      </c>
      <c r="AA53" s="250">
        <v>6</v>
      </c>
      <c r="AB53" s="251">
        <v>44221</v>
      </c>
      <c r="AC53" s="252">
        <v>44225</v>
      </c>
      <c r="AD53" s="41"/>
      <c r="AE53" s="128"/>
      <c r="AF53" s="256"/>
      <c r="AG53" s="251"/>
      <c r="AH53" s="249"/>
      <c r="AI53" s="248"/>
      <c r="AJ53" s="251"/>
      <c r="AK53" s="248"/>
      <c r="AL53" s="249"/>
      <c r="AM53" s="248"/>
      <c r="AN53" s="248"/>
      <c r="AO53" s="248"/>
      <c r="AP53" s="248"/>
      <c r="AQ53" s="248"/>
      <c r="AR53" s="248"/>
      <c r="AS53" s="248"/>
      <c r="AT53" s="249"/>
      <c r="AU53" s="248"/>
      <c r="AV53" s="248"/>
      <c r="AW53" s="248"/>
      <c r="AX53" s="249"/>
      <c r="AY53" s="248"/>
      <c r="AZ53" s="248"/>
      <c r="BA53" s="248"/>
      <c r="BB53" s="248">
        <f t="shared" si="2"/>
        <v>159319</v>
      </c>
      <c r="BC53" s="248">
        <f t="shared" si="0"/>
        <v>159319</v>
      </c>
    </row>
    <row r="54" spans="2:55" s="39" customFormat="1" ht="23.25" customHeight="1">
      <c r="B54" s="22">
        <f t="shared" si="3"/>
        <v>38</v>
      </c>
      <c r="C54" s="22" t="s">
        <v>39</v>
      </c>
      <c r="D54" s="23">
        <v>40000095</v>
      </c>
      <c r="E54" s="48" t="s">
        <v>735</v>
      </c>
      <c r="F54" s="48" t="s">
        <v>317</v>
      </c>
      <c r="G54" s="26" t="s">
        <v>683</v>
      </c>
      <c r="H54" s="48" t="s">
        <v>701</v>
      </c>
      <c r="I54" s="25" t="s">
        <v>44</v>
      </c>
      <c r="J54" s="247">
        <v>847589</v>
      </c>
      <c r="K54" s="247">
        <v>756066</v>
      </c>
      <c r="L54" s="247">
        <f t="shared" si="1"/>
        <v>91523</v>
      </c>
      <c r="M54" s="248"/>
      <c r="N54" s="248"/>
      <c r="O54" s="248">
        <v>3328</v>
      </c>
      <c r="P54" s="248">
        <v>65045.133000000002</v>
      </c>
      <c r="Q54" s="248">
        <v>0</v>
      </c>
      <c r="R54" s="248">
        <v>0</v>
      </c>
      <c r="S54" s="248">
        <v>0</v>
      </c>
      <c r="T54" s="248">
        <v>0</v>
      </c>
      <c r="U54" s="248">
        <v>0</v>
      </c>
      <c r="V54" s="248"/>
      <c r="W54" s="248"/>
      <c r="X54" s="248"/>
      <c r="Y54" s="248">
        <v>68373.133000000002</v>
      </c>
      <c r="Z54" s="249">
        <v>89525</v>
      </c>
      <c r="AA54" s="250">
        <v>6</v>
      </c>
      <c r="AB54" s="251">
        <v>44221</v>
      </c>
      <c r="AC54" s="252">
        <v>44225</v>
      </c>
      <c r="AD54" s="249">
        <v>1997</v>
      </c>
      <c r="AE54" s="248">
        <v>28</v>
      </c>
      <c r="AF54" s="251">
        <v>44295</v>
      </c>
      <c r="AG54" s="252">
        <v>44301</v>
      </c>
      <c r="AH54" s="249"/>
      <c r="AI54" s="248"/>
      <c r="AJ54" s="251"/>
      <c r="AK54" s="248"/>
      <c r="AL54" s="249"/>
      <c r="AM54" s="248"/>
      <c r="AN54" s="248"/>
      <c r="AO54" s="248"/>
      <c r="AP54" s="248"/>
      <c r="AQ54" s="248"/>
      <c r="AR54" s="248"/>
      <c r="AS54" s="248"/>
      <c r="AT54" s="249"/>
      <c r="AU54" s="248"/>
      <c r="AV54" s="248"/>
      <c r="AW54" s="248"/>
      <c r="AX54" s="249"/>
      <c r="AY54" s="248"/>
      <c r="AZ54" s="248"/>
      <c r="BA54" s="248"/>
      <c r="BB54" s="248">
        <f t="shared" si="2"/>
        <v>91522</v>
      </c>
      <c r="BC54" s="248">
        <f t="shared" si="0"/>
        <v>23148.866999999998</v>
      </c>
    </row>
    <row r="55" spans="2:55" s="39" customFormat="1" ht="23.25" customHeight="1">
      <c r="B55" s="22">
        <f t="shared" si="3"/>
        <v>39</v>
      </c>
      <c r="C55" s="22" t="s">
        <v>39</v>
      </c>
      <c r="D55" s="23">
        <v>40003136</v>
      </c>
      <c r="E55" s="48" t="s">
        <v>736</v>
      </c>
      <c r="F55" s="48" t="s">
        <v>317</v>
      </c>
      <c r="G55" s="26" t="s">
        <v>683</v>
      </c>
      <c r="H55" s="48" t="s">
        <v>737</v>
      </c>
      <c r="I55" s="25" t="s">
        <v>44</v>
      </c>
      <c r="J55" s="247">
        <v>802952</v>
      </c>
      <c r="K55" s="247">
        <v>702606</v>
      </c>
      <c r="L55" s="247">
        <f t="shared" si="1"/>
        <v>100346</v>
      </c>
      <c r="M55" s="248"/>
      <c r="N55" s="248"/>
      <c r="O55" s="248"/>
      <c r="P55" s="248">
        <v>0</v>
      </c>
      <c r="Q55" s="248">
        <v>75295.123999999996</v>
      </c>
      <c r="R55" s="248">
        <v>0</v>
      </c>
      <c r="S55" s="248">
        <v>0</v>
      </c>
      <c r="T55" s="248">
        <v>0</v>
      </c>
      <c r="U55" s="248">
        <v>0</v>
      </c>
      <c r="V55" s="248"/>
      <c r="W55" s="248"/>
      <c r="X55" s="248"/>
      <c r="Y55" s="248">
        <v>75295.123999999996</v>
      </c>
      <c r="Z55" s="249">
        <v>75296</v>
      </c>
      <c r="AA55" s="250">
        <v>6</v>
      </c>
      <c r="AB55" s="251">
        <v>44221</v>
      </c>
      <c r="AC55" s="252">
        <v>44225</v>
      </c>
      <c r="AD55" s="249">
        <v>185</v>
      </c>
      <c r="AE55" s="248">
        <v>33</v>
      </c>
      <c r="AF55" s="251">
        <v>44307</v>
      </c>
      <c r="AG55" s="251"/>
      <c r="AH55" s="249"/>
      <c r="AI55" s="248"/>
      <c r="AJ55" s="251"/>
      <c r="AK55" s="248"/>
      <c r="AL55" s="249"/>
      <c r="AM55" s="248"/>
      <c r="AN55" s="248"/>
      <c r="AO55" s="248"/>
      <c r="AP55" s="248"/>
      <c r="AQ55" s="248"/>
      <c r="AR55" s="248"/>
      <c r="AS55" s="248"/>
      <c r="AT55" s="249"/>
      <c r="AU55" s="248"/>
      <c r="AV55" s="248"/>
      <c r="AW55" s="248"/>
      <c r="AX55" s="249"/>
      <c r="AY55" s="248"/>
      <c r="AZ55" s="248"/>
      <c r="BA55" s="248"/>
      <c r="BB55" s="248">
        <f t="shared" si="2"/>
        <v>75481</v>
      </c>
      <c r="BC55" s="248">
        <f t="shared" si="0"/>
        <v>185.87600000000384</v>
      </c>
    </row>
    <row r="56" spans="2:55" s="39" customFormat="1" ht="23.25" customHeight="1">
      <c r="B56" s="22">
        <f t="shared" si="3"/>
        <v>40</v>
      </c>
      <c r="C56" s="22" t="s">
        <v>39</v>
      </c>
      <c r="D56" s="23">
        <v>40011327</v>
      </c>
      <c r="E56" s="48" t="s">
        <v>738</v>
      </c>
      <c r="F56" s="48" t="s">
        <v>317</v>
      </c>
      <c r="G56" s="26" t="s">
        <v>683</v>
      </c>
      <c r="H56" s="48" t="s">
        <v>701</v>
      </c>
      <c r="I56" s="25" t="s">
        <v>44</v>
      </c>
      <c r="J56" s="247">
        <v>723640</v>
      </c>
      <c r="K56" s="247">
        <v>665598</v>
      </c>
      <c r="L56" s="247">
        <f t="shared" si="1"/>
        <v>58042</v>
      </c>
      <c r="M56" s="248">
        <v>1800</v>
      </c>
      <c r="N56" s="248"/>
      <c r="O56" s="248"/>
      <c r="P56" s="248">
        <v>0</v>
      </c>
      <c r="Q56" s="248">
        <v>0</v>
      </c>
      <c r="R56" s="248">
        <v>0</v>
      </c>
      <c r="S56" s="248">
        <v>0</v>
      </c>
      <c r="T56" s="248">
        <v>0</v>
      </c>
      <c r="U56" s="248">
        <v>0</v>
      </c>
      <c r="V56" s="248"/>
      <c r="W56" s="248"/>
      <c r="X56" s="248"/>
      <c r="Y56" s="248">
        <v>1800</v>
      </c>
      <c r="Z56" s="249">
        <v>58042</v>
      </c>
      <c r="AA56" s="250">
        <v>6</v>
      </c>
      <c r="AB56" s="251">
        <v>44221</v>
      </c>
      <c r="AC56" s="252">
        <v>44225</v>
      </c>
      <c r="AD56" s="249"/>
      <c r="AE56" s="248"/>
      <c r="AF56" s="251"/>
      <c r="AG56" s="251"/>
      <c r="AH56" s="249"/>
      <c r="AI56" s="248"/>
      <c r="AJ56" s="251"/>
      <c r="AK56" s="248"/>
      <c r="AL56" s="249"/>
      <c r="AM56" s="248"/>
      <c r="AN56" s="248"/>
      <c r="AO56" s="248"/>
      <c r="AP56" s="248"/>
      <c r="AQ56" s="248"/>
      <c r="AR56" s="248"/>
      <c r="AS56" s="248"/>
      <c r="AT56" s="249"/>
      <c r="AU56" s="248"/>
      <c r="AV56" s="248"/>
      <c r="AW56" s="248"/>
      <c r="AX56" s="249"/>
      <c r="AY56" s="248"/>
      <c r="AZ56" s="248"/>
      <c r="BA56" s="248"/>
      <c r="BB56" s="248">
        <f t="shared" si="2"/>
        <v>58042</v>
      </c>
      <c r="BC56" s="248">
        <f t="shared" si="0"/>
        <v>56242</v>
      </c>
    </row>
    <row r="57" spans="2:55" s="39" customFormat="1" ht="23.25" customHeight="1">
      <c r="B57" s="22">
        <f t="shared" si="3"/>
        <v>41</v>
      </c>
      <c r="C57" s="22" t="s">
        <v>39</v>
      </c>
      <c r="D57" s="23">
        <v>40005398</v>
      </c>
      <c r="E57" s="48" t="s">
        <v>739</v>
      </c>
      <c r="F57" s="48" t="s">
        <v>317</v>
      </c>
      <c r="G57" s="26" t="s">
        <v>683</v>
      </c>
      <c r="H57" s="48" t="s">
        <v>740</v>
      </c>
      <c r="I57" s="25" t="s">
        <v>44</v>
      </c>
      <c r="J57" s="247">
        <v>1853127</v>
      </c>
      <c r="K57" s="247">
        <v>621872</v>
      </c>
      <c r="L57" s="247">
        <f t="shared" si="1"/>
        <v>1231255</v>
      </c>
      <c r="M57" s="248"/>
      <c r="N57" s="248">
        <v>1846.154</v>
      </c>
      <c r="O57" s="248">
        <v>1846.154</v>
      </c>
      <c r="P57" s="248">
        <v>442392.81599999999</v>
      </c>
      <c r="Q57" s="248">
        <v>180860.41699999999</v>
      </c>
      <c r="R57" s="248">
        <v>123587.451</v>
      </c>
      <c r="S57" s="248">
        <v>0</v>
      </c>
      <c r="T57" s="248">
        <v>0</v>
      </c>
      <c r="U57" s="248">
        <v>133369.80900000001</v>
      </c>
      <c r="V57" s="248"/>
      <c r="W57" s="248"/>
      <c r="X57" s="248"/>
      <c r="Y57" s="248">
        <v>883902.80099999998</v>
      </c>
      <c r="Z57" s="249">
        <v>1231255</v>
      </c>
      <c r="AA57" s="250">
        <v>6</v>
      </c>
      <c r="AB57" s="251">
        <v>44221</v>
      </c>
      <c r="AC57" s="252">
        <v>44225</v>
      </c>
      <c r="AD57" s="214"/>
      <c r="AE57" s="27"/>
      <c r="AF57" s="253"/>
      <c r="AG57" s="251"/>
      <c r="AH57" s="249"/>
      <c r="AI57" s="248"/>
      <c r="AJ57" s="251"/>
      <c r="AK57" s="248"/>
      <c r="AL57" s="249"/>
      <c r="AM57" s="248"/>
      <c r="AN57" s="248"/>
      <c r="AO57" s="248"/>
      <c r="AP57" s="248"/>
      <c r="AQ57" s="248"/>
      <c r="AR57" s="248"/>
      <c r="AS57" s="248"/>
      <c r="AT57" s="249"/>
      <c r="AU57" s="248"/>
      <c r="AV57" s="248"/>
      <c r="AW57" s="248"/>
      <c r="AX57" s="249"/>
      <c r="AY57" s="248"/>
      <c r="AZ57" s="248"/>
      <c r="BA57" s="248"/>
      <c r="BB57" s="248">
        <f t="shared" si="2"/>
        <v>1231255</v>
      </c>
      <c r="BC57" s="248">
        <f t="shared" si="0"/>
        <v>347352.19900000002</v>
      </c>
    </row>
    <row r="58" spans="2:55" s="39" customFormat="1" ht="23.25" customHeight="1">
      <c r="B58" s="22">
        <f t="shared" si="3"/>
        <v>42</v>
      </c>
      <c r="C58" s="22" t="s">
        <v>39</v>
      </c>
      <c r="D58" s="23">
        <v>30485847</v>
      </c>
      <c r="E58" s="48" t="s">
        <v>741</v>
      </c>
      <c r="F58" s="48" t="s">
        <v>317</v>
      </c>
      <c r="G58" s="26" t="s">
        <v>683</v>
      </c>
      <c r="H58" s="48" t="s">
        <v>742</v>
      </c>
      <c r="I58" s="25" t="s">
        <v>44</v>
      </c>
      <c r="J58" s="247">
        <v>783593</v>
      </c>
      <c r="K58" s="247">
        <v>551680</v>
      </c>
      <c r="L58" s="247">
        <f t="shared" si="1"/>
        <v>231913</v>
      </c>
      <c r="M58" s="248"/>
      <c r="N58" s="248"/>
      <c r="O58" s="248"/>
      <c r="P58" s="248">
        <v>73233.600999999995</v>
      </c>
      <c r="Q58" s="248">
        <v>0</v>
      </c>
      <c r="R58" s="248">
        <v>0</v>
      </c>
      <c r="S58" s="248">
        <v>0</v>
      </c>
      <c r="T58" s="248">
        <v>0</v>
      </c>
      <c r="U58" s="248">
        <v>5400</v>
      </c>
      <c r="V58" s="248"/>
      <c r="W58" s="248"/>
      <c r="X58" s="248"/>
      <c r="Y58" s="248">
        <v>78633.600999999995</v>
      </c>
      <c r="Z58" s="249">
        <v>122923</v>
      </c>
      <c r="AA58" s="250">
        <v>6</v>
      </c>
      <c r="AB58" s="251">
        <v>44221</v>
      </c>
      <c r="AC58" s="252">
        <v>44225</v>
      </c>
      <c r="AD58" s="249">
        <v>2851</v>
      </c>
      <c r="AE58" s="248">
        <v>33</v>
      </c>
      <c r="AF58" s="251">
        <v>44307</v>
      </c>
      <c r="AG58" s="251"/>
      <c r="AH58" s="249"/>
      <c r="AI58" s="248"/>
      <c r="AJ58" s="251"/>
      <c r="AK58" s="248"/>
      <c r="AL58" s="249"/>
      <c r="AM58" s="248"/>
      <c r="AN58" s="248"/>
      <c r="AO58" s="248"/>
      <c r="AP58" s="248"/>
      <c r="AQ58" s="248"/>
      <c r="AR58" s="248"/>
      <c r="AS58" s="248"/>
      <c r="AT58" s="249"/>
      <c r="AU58" s="248"/>
      <c r="AV58" s="248"/>
      <c r="AW58" s="248"/>
      <c r="AX58" s="249"/>
      <c r="AY58" s="248"/>
      <c r="AZ58" s="248"/>
      <c r="BA58" s="248"/>
      <c r="BB58" s="248">
        <f t="shared" si="2"/>
        <v>125774</v>
      </c>
      <c r="BC58" s="248">
        <f t="shared" si="0"/>
        <v>47140.399000000005</v>
      </c>
    </row>
    <row r="59" spans="2:55" s="39" customFormat="1" ht="23.25" customHeight="1">
      <c r="B59" s="22">
        <f t="shared" si="3"/>
        <v>43</v>
      </c>
      <c r="C59" s="22" t="s">
        <v>39</v>
      </c>
      <c r="D59" s="23">
        <v>30184622</v>
      </c>
      <c r="E59" s="48" t="s">
        <v>743</v>
      </c>
      <c r="F59" s="48" t="s">
        <v>317</v>
      </c>
      <c r="G59" s="26" t="s">
        <v>683</v>
      </c>
      <c r="H59" s="48" t="s">
        <v>732</v>
      </c>
      <c r="I59" s="25" t="s">
        <v>44</v>
      </c>
      <c r="J59" s="247">
        <v>1120747</v>
      </c>
      <c r="K59" s="247">
        <v>513901</v>
      </c>
      <c r="L59" s="247">
        <f t="shared" si="1"/>
        <v>606846</v>
      </c>
      <c r="M59" s="248"/>
      <c r="N59" s="248">
        <v>176623.948</v>
      </c>
      <c r="O59" s="248">
        <v>115479.367</v>
      </c>
      <c r="P59" s="248">
        <v>0</v>
      </c>
      <c r="Q59" s="248">
        <v>0</v>
      </c>
      <c r="R59" s="248">
        <v>235918.924</v>
      </c>
      <c r="S59" s="248">
        <v>0</v>
      </c>
      <c r="T59" s="248">
        <v>0</v>
      </c>
      <c r="U59" s="248">
        <v>11665.567999999999</v>
      </c>
      <c r="V59" s="248"/>
      <c r="W59" s="248"/>
      <c r="X59" s="248"/>
      <c r="Y59" s="248">
        <v>539687.80700000003</v>
      </c>
      <c r="Z59" s="249">
        <v>606846</v>
      </c>
      <c r="AA59" s="250">
        <v>6</v>
      </c>
      <c r="AB59" s="251">
        <v>44221</v>
      </c>
      <c r="AC59" s="252">
        <v>44225</v>
      </c>
      <c r="AD59" s="249"/>
      <c r="AE59" s="248"/>
      <c r="AF59" s="251"/>
      <c r="AG59" s="251"/>
      <c r="AH59" s="249"/>
      <c r="AI59" s="248"/>
      <c r="AJ59" s="251"/>
      <c r="AK59" s="248"/>
      <c r="AL59" s="249"/>
      <c r="AM59" s="248"/>
      <c r="AN59" s="248"/>
      <c r="AO59" s="248"/>
      <c r="AP59" s="248"/>
      <c r="AQ59" s="248"/>
      <c r="AR59" s="248"/>
      <c r="AS59" s="248"/>
      <c r="AT59" s="249"/>
      <c r="AU59" s="248"/>
      <c r="AV59" s="248"/>
      <c r="AW59" s="248"/>
      <c r="AX59" s="249"/>
      <c r="AY59" s="248"/>
      <c r="AZ59" s="248"/>
      <c r="BA59" s="248"/>
      <c r="BB59" s="248">
        <f t="shared" si="2"/>
        <v>606846</v>
      </c>
      <c r="BC59" s="248">
        <f t="shared" si="0"/>
        <v>67158.19299999997</v>
      </c>
    </row>
    <row r="60" spans="2:55" s="39" customFormat="1" ht="23.25" customHeight="1">
      <c r="B60" s="22">
        <f t="shared" si="3"/>
        <v>44</v>
      </c>
      <c r="C60" s="22" t="s">
        <v>39</v>
      </c>
      <c r="D60" s="23">
        <v>30482139</v>
      </c>
      <c r="E60" s="48" t="s">
        <v>744</v>
      </c>
      <c r="F60" s="48" t="s">
        <v>317</v>
      </c>
      <c r="G60" s="26" t="s">
        <v>683</v>
      </c>
      <c r="H60" s="48" t="s">
        <v>745</v>
      </c>
      <c r="I60" s="25" t="s">
        <v>44</v>
      </c>
      <c r="J60" s="247">
        <v>487234</v>
      </c>
      <c r="K60" s="247">
        <v>348776</v>
      </c>
      <c r="L60" s="247">
        <f t="shared" si="1"/>
        <v>138458</v>
      </c>
      <c r="M60" s="248"/>
      <c r="N60" s="248"/>
      <c r="O60" s="248"/>
      <c r="P60" s="248">
        <v>65307.154000000002</v>
      </c>
      <c r="Q60" s="248">
        <v>0</v>
      </c>
      <c r="R60" s="248">
        <v>0</v>
      </c>
      <c r="S60" s="248">
        <v>0</v>
      </c>
      <c r="T60" s="248">
        <v>0</v>
      </c>
      <c r="U60" s="248">
        <v>0</v>
      </c>
      <c r="V60" s="248"/>
      <c r="W60" s="248"/>
      <c r="X60" s="248"/>
      <c r="Y60" s="248">
        <v>65307.154000000002</v>
      </c>
      <c r="Z60" s="249">
        <v>138458</v>
      </c>
      <c r="AA60" s="250">
        <v>6</v>
      </c>
      <c r="AB60" s="251">
        <v>44221</v>
      </c>
      <c r="AC60" s="252">
        <v>44225</v>
      </c>
      <c r="AD60" s="249"/>
      <c r="AE60" s="248"/>
      <c r="AF60" s="251"/>
      <c r="AG60" s="251"/>
      <c r="AH60" s="249"/>
      <c r="AI60" s="248"/>
      <c r="AJ60" s="251"/>
      <c r="AK60" s="248"/>
      <c r="AL60" s="249"/>
      <c r="AM60" s="248"/>
      <c r="AN60" s="248"/>
      <c r="AO60" s="248"/>
      <c r="AP60" s="248"/>
      <c r="AQ60" s="248"/>
      <c r="AR60" s="248"/>
      <c r="AS60" s="248"/>
      <c r="AT60" s="249"/>
      <c r="AU60" s="248"/>
      <c r="AV60" s="248"/>
      <c r="AW60" s="248"/>
      <c r="AX60" s="249"/>
      <c r="AY60" s="248"/>
      <c r="AZ60" s="248"/>
      <c r="BA60" s="248"/>
      <c r="BB60" s="248">
        <f t="shared" si="2"/>
        <v>138458</v>
      </c>
      <c r="BC60" s="248">
        <f t="shared" si="0"/>
        <v>73150.84599999999</v>
      </c>
    </row>
    <row r="61" spans="2:55" s="39" customFormat="1" ht="23.25" customHeight="1">
      <c r="B61" s="22">
        <f t="shared" si="3"/>
        <v>45</v>
      </c>
      <c r="C61" s="22" t="s">
        <v>39</v>
      </c>
      <c r="D61" s="23">
        <v>30103817</v>
      </c>
      <c r="E61" s="48" t="s">
        <v>746</v>
      </c>
      <c r="F61" s="48" t="s">
        <v>317</v>
      </c>
      <c r="G61" s="26" t="s">
        <v>683</v>
      </c>
      <c r="H61" s="48" t="s">
        <v>747</v>
      </c>
      <c r="I61" s="25" t="s">
        <v>44</v>
      </c>
      <c r="J61" s="247">
        <v>445903</v>
      </c>
      <c r="K61" s="247">
        <v>333235</v>
      </c>
      <c r="L61" s="247">
        <f t="shared" si="1"/>
        <v>112668</v>
      </c>
      <c r="M61" s="248"/>
      <c r="N61" s="248">
        <v>1725.68</v>
      </c>
      <c r="O61" s="248"/>
      <c r="P61" s="248">
        <v>108816.61500000001</v>
      </c>
      <c r="Q61" s="248">
        <v>0</v>
      </c>
      <c r="R61" s="248">
        <v>1613.68</v>
      </c>
      <c r="S61" s="248">
        <v>0</v>
      </c>
      <c r="T61" s="248">
        <v>0</v>
      </c>
      <c r="U61" s="248">
        <v>0</v>
      </c>
      <c r="V61" s="248"/>
      <c r="W61" s="248"/>
      <c r="X61" s="248"/>
      <c r="Y61" s="248">
        <v>112155.97499999999</v>
      </c>
      <c r="Z61" s="249">
        <v>112668</v>
      </c>
      <c r="AA61" s="250">
        <v>6</v>
      </c>
      <c r="AB61" s="251">
        <v>44221</v>
      </c>
      <c r="AC61" s="252">
        <v>44225</v>
      </c>
      <c r="AD61" s="249"/>
      <c r="AE61" s="248"/>
      <c r="AF61" s="251"/>
      <c r="AG61" s="251"/>
      <c r="AH61" s="249"/>
      <c r="AI61" s="248"/>
      <c r="AJ61" s="251"/>
      <c r="AK61" s="248"/>
      <c r="AL61" s="249"/>
      <c r="AM61" s="248"/>
      <c r="AN61" s="248"/>
      <c r="AO61" s="248"/>
      <c r="AP61" s="248"/>
      <c r="AQ61" s="248"/>
      <c r="AR61" s="248"/>
      <c r="AS61" s="248"/>
      <c r="AT61" s="249"/>
      <c r="AU61" s="248"/>
      <c r="AV61" s="248"/>
      <c r="AW61" s="248"/>
      <c r="AX61" s="249"/>
      <c r="AY61" s="248"/>
      <c r="AZ61" s="248"/>
      <c r="BA61" s="248"/>
      <c r="BB61" s="248">
        <f t="shared" si="2"/>
        <v>112668</v>
      </c>
      <c r="BC61" s="248">
        <f t="shared" si="0"/>
        <v>512.02500000000873</v>
      </c>
    </row>
    <row r="62" spans="2:55" s="39" customFormat="1" ht="23.25" customHeight="1">
      <c r="B62" s="22">
        <f t="shared" si="3"/>
        <v>46</v>
      </c>
      <c r="C62" s="22" t="s">
        <v>39</v>
      </c>
      <c r="D62" s="23">
        <v>30485565</v>
      </c>
      <c r="E62" s="48" t="s">
        <v>748</v>
      </c>
      <c r="F62" s="48" t="s">
        <v>317</v>
      </c>
      <c r="G62" s="26" t="s">
        <v>683</v>
      </c>
      <c r="H62" s="48" t="s">
        <v>749</v>
      </c>
      <c r="I62" s="25" t="s">
        <v>44</v>
      </c>
      <c r="J62" s="247">
        <v>4177210</v>
      </c>
      <c r="K62" s="247">
        <v>543377</v>
      </c>
      <c r="L62" s="247">
        <f t="shared" si="1"/>
        <v>3633833</v>
      </c>
      <c r="M62" s="248"/>
      <c r="N62" s="248"/>
      <c r="O62" s="248"/>
      <c r="P62" s="248">
        <v>6627.2</v>
      </c>
      <c r="Q62" s="248">
        <v>0</v>
      </c>
      <c r="R62" s="248">
        <v>0</v>
      </c>
      <c r="S62" s="248">
        <v>0</v>
      </c>
      <c r="T62" s="248">
        <v>0</v>
      </c>
      <c r="U62" s="248">
        <v>219771.01500000001</v>
      </c>
      <c r="V62" s="248"/>
      <c r="W62" s="248"/>
      <c r="X62" s="248"/>
      <c r="Y62" s="248">
        <v>226398.21500000003</v>
      </c>
      <c r="Z62" s="249">
        <v>3633833</v>
      </c>
      <c r="AA62" s="250">
        <v>6</v>
      </c>
      <c r="AB62" s="251">
        <v>44221</v>
      </c>
      <c r="AC62" s="252">
        <v>44225</v>
      </c>
      <c r="AD62" s="249">
        <v>-1700000</v>
      </c>
      <c r="AE62" s="248">
        <v>23</v>
      </c>
      <c r="AF62" s="251">
        <v>44253</v>
      </c>
      <c r="AG62" s="252">
        <v>44286</v>
      </c>
      <c r="AH62" s="249">
        <v>-400000</v>
      </c>
      <c r="AI62" s="248">
        <v>49</v>
      </c>
      <c r="AJ62" s="251">
        <v>44348</v>
      </c>
      <c r="AK62" s="252">
        <v>44354</v>
      </c>
      <c r="AL62" s="249"/>
      <c r="AM62" s="248"/>
      <c r="AN62" s="248"/>
      <c r="AO62" s="248"/>
      <c r="AP62" s="248"/>
      <c r="AQ62" s="248"/>
      <c r="AR62" s="248"/>
      <c r="AS62" s="248"/>
      <c r="AT62" s="249"/>
      <c r="AU62" s="248"/>
      <c r="AV62" s="248"/>
      <c r="AW62" s="248"/>
      <c r="AX62" s="249"/>
      <c r="AY62" s="248"/>
      <c r="AZ62" s="248"/>
      <c r="BA62" s="248"/>
      <c r="BB62" s="248">
        <f t="shared" si="2"/>
        <v>1533833</v>
      </c>
      <c r="BC62" s="248">
        <f t="shared" si="0"/>
        <v>1307434.7849999999</v>
      </c>
    </row>
    <row r="63" spans="2:55" s="39" customFormat="1" ht="23.25" customHeight="1">
      <c r="B63" s="22">
        <f t="shared" si="3"/>
        <v>47</v>
      </c>
      <c r="C63" s="22" t="s">
        <v>39</v>
      </c>
      <c r="D63" s="23">
        <v>30200172</v>
      </c>
      <c r="E63" s="48" t="s">
        <v>750</v>
      </c>
      <c r="F63" s="48" t="s">
        <v>317</v>
      </c>
      <c r="G63" s="26" t="s">
        <v>683</v>
      </c>
      <c r="H63" s="48" t="s">
        <v>732</v>
      </c>
      <c r="I63" s="25" t="s">
        <v>44</v>
      </c>
      <c r="J63" s="247">
        <v>331080</v>
      </c>
      <c r="K63" s="247">
        <v>268444</v>
      </c>
      <c r="L63" s="247">
        <f t="shared" si="1"/>
        <v>62636</v>
      </c>
      <c r="M63" s="248"/>
      <c r="N63" s="248">
        <v>24331.522000000001</v>
      </c>
      <c r="O63" s="248"/>
      <c r="P63" s="248">
        <v>0</v>
      </c>
      <c r="Q63" s="248">
        <v>0</v>
      </c>
      <c r="R63" s="248">
        <v>0</v>
      </c>
      <c r="S63" s="248">
        <v>0</v>
      </c>
      <c r="T63" s="248">
        <v>26451.145</v>
      </c>
      <c r="U63" s="248">
        <v>0</v>
      </c>
      <c r="V63" s="248"/>
      <c r="W63" s="248"/>
      <c r="X63" s="248"/>
      <c r="Y63" s="248">
        <v>50782.667000000001</v>
      </c>
      <c r="Z63" s="249">
        <v>62636</v>
      </c>
      <c r="AA63" s="250">
        <v>6</v>
      </c>
      <c r="AB63" s="251">
        <v>44221</v>
      </c>
      <c r="AC63" s="252">
        <v>44225</v>
      </c>
      <c r="AD63" s="249"/>
      <c r="AE63" s="248"/>
      <c r="AF63" s="251"/>
      <c r="AG63" s="251"/>
      <c r="AH63" s="249"/>
      <c r="AI63" s="248"/>
      <c r="AJ63" s="251"/>
      <c r="AK63" s="248"/>
      <c r="AL63" s="249"/>
      <c r="AM63" s="248"/>
      <c r="AN63" s="248"/>
      <c r="AO63" s="248"/>
      <c r="AP63" s="248"/>
      <c r="AQ63" s="248"/>
      <c r="AR63" s="248"/>
      <c r="AS63" s="248"/>
      <c r="AT63" s="249"/>
      <c r="AU63" s="248"/>
      <c r="AV63" s="248"/>
      <c r="AW63" s="248"/>
      <c r="AX63" s="249"/>
      <c r="AY63" s="248"/>
      <c r="AZ63" s="248"/>
      <c r="BA63" s="248"/>
      <c r="BB63" s="248">
        <f t="shared" si="2"/>
        <v>62636</v>
      </c>
      <c r="BC63" s="248">
        <f t="shared" si="0"/>
        <v>11853.332999999999</v>
      </c>
    </row>
    <row r="64" spans="2:55" s="39" customFormat="1" ht="23.25" customHeight="1">
      <c r="B64" s="22">
        <f t="shared" si="3"/>
        <v>48</v>
      </c>
      <c r="C64" s="22" t="s">
        <v>39</v>
      </c>
      <c r="D64" s="23">
        <v>40001489</v>
      </c>
      <c r="E64" s="48" t="s">
        <v>751</v>
      </c>
      <c r="F64" s="48" t="s">
        <v>317</v>
      </c>
      <c r="G64" s="26" t="s">
        <v>683</v>
      </c>
      <c r="H64" s="48" t="s">
        <v>698</v>
      </c>
      <c r="I64" s="25" t="s">
        <v>44</v>
      </c>
      <c r="J64" s="247">
        <v>538466</v>
      </c>
      <c r="K64" s="247">
        <v>265727</v>
      </c>
      <c r="L64" s="247">
        <f t="shared" si="1"/>
        <v>272739</v>
      </c>
      <c r="M64" s="248"/>
      <c r="N64" s="248">
        <v>65300.252999999997</v>
      </c>
      <c r="O64" s="248">
        <v>46980.321000000004</v>
      </c>
      <c r="P64" s="248">
        <v>0</v>
      </c>
      <c r="Q64" s="248">
        <v>44020.86</v>
      </c>
      <c r="R64" s="248">
        <v>0</v>
      </c>
      <c r="S64" s="248">
        <v>0</v>
      </c>
      <c r="T64" s="248">
        <v>57105.665999999997</v>
      </c>
      <c r="U64" s="248">
        <v>0</v>
      </c>
      <c r="V64" s="248"/>
      <c r="W64" s="248"/>
      <c r="X64" s="248"/>
      <c r="Y64" s="248">
        <v>213407.1</v>
      </c>
      <c r="Z64" s="249">
        <v>272739</v>
      </c>
      <c r="AA64" s="250">
        <v>6</v>
      </c>
      <c r="AB64" s="251">
        <v>44221</v>
      </c>
      <c r="AC64" s="252">
        <v>44225</v>
      </c>
      <c r="AD64" s="249"/>
      <c r="AE64" s="248"/>
      <c r="AF64" s="251"/>
      <c r="AG64" s="251"/>
      <c r="AH64" s="249"/>
      <c r="AI64" s="248"/>
      <c r="AJ64" s="251"/>
      <c r="AK64" s="248"/>
      <c r="AL64" s="249"/>
      <c r="AM64" s="248"/>
      <c r="AN64" s="248"/>
      <c r="AO64" s="248"/>
      <c r="AP64" s="248"/>
      <c r="AQ64" s="248"/>
      <c r="AR64" s="248"/>
      <c r="AS64" s="248"/>
      <c r="AT64" s="249"/>
      <c r="AU64" s="248"/>
      <c r="AV64" s="248"/>
      <c r="AW64" s="248"/>
      <c r="AX64" s="249"/>
      <c r="AY64" s="248"/>
      <c r="AZ64" s="248"/>
      <c r="BA64" s="248"/>
      <c r="BB64" s="248">
        <f t="shared" si="2"/>
        <v>272739</v>
      </c>
      <c r="BC64" s="248">
        <f t="shared" si="0"/>
        <v>59331.899999999994</v>
      </c>
    </row>
    <row r="65" spans="2:55" s="39" customFormat="1" ht="23.25" customHeight="1">
      <c r="B65" s="22">
        <f t="shared" si="3"/>
        <v>49</v>
      </c>
      <c r="C65" s="22" t="s">
        <v>39</v>
      </c>
      <c r="D65" s="23">
        <v>40007619</v>
      </c>
      <c r="E65" s="48" t="s">
        <v>752</v>
      </c>
      <c r="F65" s="48" t="s">
        <v>317</v>
      </c>
      <c r="G65" s="26" t="s">
        <v>683</v>
      </c>
      <c r="H65" s="48" t="s">
        <v>753</v>
      </c>
      <c r="I65" s="25" t="s">
        <v>44</v>
      </c>
      <c r="J65" s="247">
        <v>1105460</v>
      </c>
      <c r="K65" s="247">
        <v>259065</v>
      </c>
      <c r="L65" s="247">
        <f t="shared" si="1"/>
        <v>846395</v>
      </c>
      <c r="M65" s="248">
        <v>2736</v>
      </c>
      <c r="N65" s="248">
        <v>688859.48400000005</v>
      </c>
      <c r="O65" s="248">
        <v>1915.2</v>
      </c>
      <c r="P65" s="248">
        <v>76961.697</v>
      </c>
      <c r="Q65" s="248">
        <v>0</v>
      </c>
      <c r="R65" s="248">
        <v>0</v>
      </c>
      <c r="S65" s="248">
        <v>0</v>
      </c>
      <c r="T65" s="248">
        <v>0</v>
      </c>
      <c r="U65" s="248">
        <v>0</v>
      </c>
      <c r="V65" s="248"/>
      <c r="W65" s="248"/>
      <c r="X65" s="248"/>
      <c r="Y65" s="248">
        <v>770472.38100000005</v>
      </c>
      <c r="Z65" s="249">
        <v>846395</v>
      </c>
      <c r="AA65" s="250">
        <v>6</v>
      </c>
      <c r="AB65" s="251">
        <v>44221</v>
      </c>
      <c r="AC65" s="252">
        <v>44225</v>
      </c>
      <c r="AD65" s="249"/>
      <c r="AE65" s="248"/>
      <c r="AF65" s="251"/>
      <c r="AG65" s="251"/>
      <c r="AH65" s="249"/>
      <c r="AI65" s="248"/>
      <c r="AJ65" s="251"/>
      <c r="AK65" s="248"/>
      <c r="AL65" s="249"/>
      <c r="AM65" s="248"/>
      <c r="AN65" s="248"/>
      <c r="AO65" s="248"/>
      <c r="AP65" s="248"/>
      <c r="AQ65" s="248"/>
      <c r="AR65" s="248"/>
      <c r="AS65" s="248"/>
      <c r="AT65" s="249"/>
      <c r="AU65" s="248"/>
      <c r="AV65" s="248"/>
      <c r="AW65" s="248"/>
      <c r="AX65" s="249"/>
      <c r="AY65" s="248"/>
      <c r="AZ65" s="248"/>
      <c r="BA65" s="248"/>
      <c r="BB65" s="248">
        <f t="shared" si="2"/>
        <v>846395</v>
      </c>
      <c r="BC65" s="248">
        <f t="shared" si="0"/>
        <v>75922.618999999948</v>
      </c>
    </row>
    <row r="66" spans="2:55" s="39" customFormat="1" ht="23.25" customHeight="1">
      <c r="B66" s="22">
        <f t="shared" si="3"/>
        <v>50</v>
      </c>
      <c r="C66" s="22" t="s">
        <v>39</v>
      </c>
      <c r="D66" s="23">
        <v>40017976</v>
      </c>
      <c r="E66" s="48" t="s">
        <v>754</v>
      </c>
      <c r="F66" s="48" t="s">
        <v>317</v>
      </c>
      <c r="G66" s="26" t="s">
        <v>683</v>
      </c>
      <c r="H66" s="48" t="s">
        <v>688</v>
      </c>
      <c r="I66" s="25" t="s">
        <v>44</v>
      </c>
      <c r="J66" s="247">
        <v>1067898</v>
      </c>
      <c r="K66" s="247">
        <v>248477</v>
      </c>
      <c r="L66" s="247">
        <f t="shared" si="1"/>
        <v>819421</v>
      </c>
      <c r="M66" s="248"/>
      <c r="N66" s="248">
        <v>149389.88800000001</v>
      </c>
      <c r="O66" s="248">
        <v>142280.84599999999</v>
      </c>
      <c r="P66" s="248">
        <v>407637.21299999999</v>
      </c>
      <c r="Q66" s="248">
        <v>2216</v>
      </c>
      <c r="R66" s="248">
        <v>2216</v>
      </c>
      <c r="S66" s="248">
        <v>0</v>
      </c>
      <c r="T66" s="248">
        <v>2216</v>
      </c>
      <c r="U66" s="248">
        <v>0</v>
      </c>
      <c r="V66" s="248"/>
      <c r="W66" s="248"/>
      <c r="X66" s="248"/>
      <c r="Y66" s="248">
        <v>705955.94699999993</v>
      </c>
      <c r="Z66" s="249">
        <v>819421</v>
      </c>
      <c r="AA66" s="250">
        <v>6</v>
      </c>
      <c r="AB66" s="251">
        <v>44221</v>
      </c>
      <c r="AC66" s="252">
        <v>44225</v>
      </c>
      <c r="AD66" s="249"/>
      <c r="AE66" s="248"/>
      <c r="AF66" s="251"/>
      <c r="AG66" s="251"/>
      <c r="AH66" s="249"/>
      <c r="AI66" s="248"/>
      <c r="AJ66" s="251"/>
      <c r="AK66" s="248"/>
      <c r="AL66" s="249"/>
      <c r="AM66" s="248"/>
      <c r="AN66" s="248"/>
      <c r="AO66" s="248"/>
      <c r="AP66" s="248"/>
      <c r="AQ66" s="248"/>
      <c r="AR66" s="248"/>
      <c r="AS66" s="248"/>
      <c r="AT66" s="249"/>
      <c r="AU66" s="248"/>
      <c r="AV66" s="248"/>
      <c r="AW66" s="248"/>
      <c r="AX66" s="249"/>
      <c r="AY66" s="248"/>
      <c r="AZ66" s="248"/>
      <c r="BA66" s="248"/>
      <c r="BB66" s="248">
        <f t="shared" si="2"/>
        <v>819421</v>
      </c>
      <c r="BC66" s="248">
        <f t="shared" si="0"/>
        <v>113465.05300000007</v>
      </c>
    </row>
    <row r="67" spans="2:55" s="39" customFormat="1" ht="23.25" customHeight="1">
      <c r="B67" s="22">
        <f t="shared" si="3"/>
        <v>51</v>
      </c>
      <c r="C67" s="22" t="s">
        <v>39</v>
      </c>
      <c r="D67" s="23">
        <v>40000378</v>
      </c>
      <c r="E67" s="48" t="s">
        <v>755</v>
      </c>
      <c r="F67" s="48" t="s">
        <v>317</v>
      </c>
      <c r="G67" s="26" t="s">
        <v>683</v>
      </c>
      <c r="H67" s="48" t="s">
        <v>756</v>
      </c>
      <c r="I67" s="25" t="s">
        <v>44</v>
      </c>
      <c r="J67" s="247">
        <v>526798</v>
      </c>
      <c r="K67" s="247">
        <v>247030</v>
      </c>
      <c r="L67" s="247">
        <f t="shared" si="1"/>
        <v>279768</v>
      </c>
      <c r="M67" s="248"/>
      <c r="N67" s="248"/>
      <c r="O67" s="248">
        <v>30091.504000000001</v>
      </c>
      <c r="P67" s="248">
        <v>0</v>
      </c>
      <c r="Q67" s="248">
        <v>0</v>
      </c>
      <c r="R67" s="248">
        <v>0</v>
      </c>
      <c r="S67" s="248">
        <v>0</v>
      </c>
      <c r="T67" s="248">
        <v>245506.274</v>
      </c>
      <c r="U67" s="248">
        <v>1545</v>
      </c>
      <c r="V67" s="248"/>
      <c r="W67" s="248"/>
      <c r="X67" s="248"/>
      <c r="Y67" s="248">
        <v>277142.77799999999</v>
      </c>
      <c r="Z67" s="249">
        <v>279768</v>
      </c>
      <c r="AA67" s="250">
        <v>6</v>
      </c>
      <c r="AB67" s="251">
        <v>44221</v>
      </c>
      <c r="AC67" s="252">
        <v>44225</v>
      </c>
      <c r="AD67" s="249"/>
      <c r="AE67" s="248"/>
      <c r="AF67" s="251"/>
      <c r="AG67" s="251"/>
      <c r="AH67" s="249"/>
      <c r="AI67" s="248"/>
      <c r="AJ67" s="251"/>
      <c r="AK67" s="248"/>
      <c r="AL67" s="249"/>
      <c r="AM67" s="248"/>
      <c r="AN67" s="248"/>
      <c r="AO67" s="248"/>
      <c r="AP67" s="248"/>
      <c r="AQ67" s="248"/>
      <c r="AR67" s="248"/>
      <c r="AS67" s="248"/>
      <c r="AT67" s="249"/>
      <c r="AU67" s="248"/>
      <c r="AV67" s="248"/>
      <c r="AW67" s="248"/>
      <c r="AX67" s="249"/>
      <c r="AY67" s="248"/>
      <c r="AZ67" s="248"/>
      <c r="BA67" s="248"/>
      <c r="BB67" s="248">
        <f t="shared" si="2"/>
        <v>279768</v>
      </c>
      <c r="BC67" s="248">
        <f t="shared" si="0"/>
        <v>2625.2220000000088</v>
      </c>
    </row>
    <row r="68" spans="2:55" s="39" customFormat="1" ht="23.25" customHeight="1">
      <c r="B68" s="22">
        <f t="shared" si="3"/>
        <v>52</v>
      </c>
      <c r="C68" s="22" t="s">
        <v>39</v>
      </c>
      <c r="D68" s="23">
        <v>30388223</v>
      </c>
      <c r="E68" s="48" t="s">
        <v>757</v>
      </c>
      <c r="F68" s="48" t="s">
        <v>317</v>
      </c>
      <c r="G68" s="26" t="s">
        <v>683</v>
      </c>
      <c r="H68" s="48" t="s">
        <v>758</v>
      </c>
      <c r="I68" s="25" t="s">
        <v>44</v>
      </c>
      <c r="J68" s="247">
        <v>250580</v>
      </c>
      <c r="K68" s="247">
        <v>217947</v>
      </c>
      <c r="L68" s="247">
        <f t="shared" si="1"/>
        <v>32633</v>
      </c>
      <c r="M68" s="248"/>
      <c r="N68" s="248"/>
      <c r="O68" s="248"/>
      <c r="P68" s="248">
        <v>20791.623</v>
      </c>
      <c r="Q68" s="248">
        <v>0</v>
      </c>
      <c r="R68" s="248">
        <v>1598.8009999999999</v>
      </c>
      <c r="S68" s="248">
        <v>1196.03</v>
      </c>
      <c r="T68" s="248">
        <v>0</v>
      </c>
      <c r="U68" s="248">
        <v>0</v>
      </c>
      <c r="V68" s="248"/>
      <c r="W68" s="248"/>
      <c r="X68" s="248"/>
      <c r="Y68" s="248">
        <v>23586.453999999998</v>
      </c>
      <c r="Z68" s="249">
        <v>32632</v>
      </c>
      <c r="AA68" s="250">
        <v>6</v>
      </c>
      <c r="AB68" s="251">
        <v>44221</v>
      </c>
      <c r="AC68" s="252">
        <v>44225</v>
      </c>
      <c r="AD68" s="249"/>
      <c r="AE68" s="248"/>
      <c r="AF68" s="251"/>
      <c r="AG68" s="251"/>
      <c r="AH68" s="249"/>
      <c r="AI68" s="248"/>
      <c r="AJ68" s="251"/>
      <c r="AK68" s="248"/>
      <c r="AL68" s="249"/>
      <c r="AM68" s="248"/>
      <c r="AN68" s="248"/>
      <c r="AO68" s="248"/>
      <c r="AP68" s="248"/>
      <c r="AQ68" s="248"/>
      <c r="AR68" s="248"/>
      <c r="AS68" s="248"/>
      <c r="AT68" s="249"/>
      <c r="AU68" s="248"/>
      <c r="AV68" s="248"/>
      <c r="AW68" s="248"/>
      <c r="AX68" s="249"/>
      <c r="AY68" s="248"/>
      <c r="AZ68" s="248"/>
      <c r="BA68" s="248"/>
      <c r="BB68" s="248">
        <f t="shared" si="2"/>
        <v>32632</v>
      </c>
      <c r="BC68" s="248">
        <f t="shared" si="0"/>
        <v>9045.5460000000021</v>
      </c>
    </row>
    <row r="69" spans="2:55" s="39" customFormat="1" ht="23.25" customHeight="1">
      <c r="B69" s="22">
        <f t="shared" si="3"/>
        <v>53</v>
      </c>
      <c r="C69" s="22" t="s">
        <v>39</v>
      </c>
      <c r="D69" s="23">
        <v>40001444</v>
      </c>
      <c r="E69" s="48" t="s">
        <v>759</v>
      </c>
      <c r="F69" s="48" t="s">
        <v>317</v>
      </c>
      <c r="G69" s="26" t="s">
        <v>683</v>
      </c>
      <c r="H69" s="48" t="s">
        <v>760</v>
      </c>
      <c r="I69" s="25" t="s">
        <v>44</v>
      </c>
      <c r="J69" s="247">
        <v>742904</v>
      </c>
      <c r="K69" s="247">
        <v>194166</v>
      </c>
      <c r="L69" s="247">
        <f t="shared" si="1"/>
        <v>548738</v>
      </c>
      <c r="M69" s="248"/>
      <c r="N69" s="248"/>
      <c r="O69" s="248">
        <v>27592.923999999999</v>
      </c>
      <c r="P69" s="248">
        <v>0</v>
      </c>
      <c r="Q69" s="248">
        <v>0</v>
      </c>
      <c r="R69" s="248">
        <v>36019.411</v>
      </c>
      <c r="S69" s="248">
        <v>3483.2790000000005</v>
      </c>
      <c r="T69" s="248">
        <v>0</v>
      </c>
      <c r="U69" s="248">
        <v>0</v>
      </c>
      <c r="V69" s="248"/>
      <c r="W69" s="248"/>
      <c r="X69" s="248"/>
      <c r="Y69" s="248">
        <v>67095.614000000001</v>
      </c>
      <c r="Z69" s="249">
        <v>548738</v>
      </c>
      <c r="AA69" s="250">
        <v>6</v>
      </c>
      <c r="AB69" s="251">
        <v>44221</v>
      </c>
      <c r="AC69" s="252">
        <v>44225</v>
      </c>
      <c r="AD69" s="249"/>
      <c r="AE69" s="248"/>
      <c r="AF69" s="251"/>
      <c r="AG69" s="251"/>
      <c r="AH69" s="249"/>
      <c r="AI69" s="248"/>
      <c r="AJ69" s="251"/>
      <c r="AK69" s="248"/>
      <c r="AL69" s="249"/>
      <c r="AM69" s="248"/>
      <c r="AN69" s="248"/>
      <c r="AO69" s="248"/>
      <c r="AP69" s="248"/>
      <c r="AQ69" s="248"/>
      <c r="AR69" s="248"/>
      <c r="AS69" s="248"/>
      <c r="AT69" s="249"/>
      <c r="AU69" s="248"/>
      <c r="AV69" s="248"/>
      <c r="AW69" s="248"/>
      <c r="AX69" s="249"/>
      <c r="AY69" s="248"/>
      <c r="AZ69" s="248"/>
      <c r="BA69" s="248"/>
      <c r="BB69" s="248">
        <f t="shared" si="2"/>
        <v>548738</v>
      </c>
      <c r="BC69" s="248">
        <f t="shared" si="0"/>
        <v>481642.386</v>
      </c>
    </row>
    <row r="70" spans="2:55" s="39" customFormat="1" ht="23.25" customHeight="1">
      <c r="B70" s="22">
        <f t="shared" si="3"/>
        <v>54</v>
      </c>
      <c r="C70" s="22" t="s">
        <v>39</v>
      </c>
      <c r="D70" s="23">
        <v>30486584</v>
      </c>
      <c r="E70" s="48" t="s">
        <v>761</v>
      </c>
      <c r="F70" s="48" t="s">
        <v>317</v>
      </c>
      <c r="G70" s="26" t="s">
        <v>683</v>
      </c>
      <c r="H70" s="48" t="s">
        <v>756</v>
      </c>
      <c r="I70" s="25" t="s">
        <v>44</v>
      </c>
      <c r="J70" s="247">
        <v>245082</v>
      </c>
      <c r="K70" s="247">
        <v>172678</v>
      </c>
      <c r="L70" s="247">
        <f t="shared" si="1"/>
        <v>72404</v>
      </c>
      <c r="M70" s="248"/>
      <c r="N70" s="248"/>
      <c r="O70" s="248"/>
      <c r="P70" s="248"/>
      <c r="Q70" s="248"/>
      <c r="R70" s="248"/>
      <c r="S70" s="248">
        <v>0</v>
      </c>
      <c r="T70" s="248">
        <v>66873.187999999995</v>
      </c>
      <c r="U70" s="248">
        <v>0</v>
      </c>
      <c r="V70" s="248"/>
      <c r="W70" s="248"/>
      <c r="X70" s="248"/>
      <c r="Y70" s="248">
        <v>66873.187999999995</v>
      </c>
      <c r="Z70" s="249">
        <v>72404</v>
      </c>
      <c r="AA70" s="250">
        <v>6</v>
      </c>
      <c r="AB70" s="251">
        <v>44221</v>
      </c>
      <c r="AC70" s="252">
        <v>44225</v>
      </c>
      <c r="AD70" s="249"/>
      <c r="AE70" s="248"/>
      <c r="AF70" s="251"/>
      <c r="AG70" s="251"/>
      <c r="AH70" s="249"/>
      <c r="AI70" s="248"/>
      <c r="AJ70" s="251"/>
      <c r="AK70" s="248"/>
      <c r="AL70" s="249"/>
      <c r="AM70" s="248"/>
      <c r="AN70" s="248"/>
      <c r="AO70" s="248"/>
      <c r="AP70" s="248"/>
      <c r="AQ70" s="248"/>
      <c r="AR70" s="248"/>
      <c r="AS70" s="248"/>
      <c r="AT70" s="249"/>
      <c r="AU70" s="248"/>
      <c r="AV70" s="248"/>
      <c r="AW70" s="248"/>
      <c r="AX70" s="249"/>
      <c r="AY70" s="248"/>
      <c r="AZ70" s="248"/>
      <c r="BA70" s="248"/>
      <c r="BB70" s="248">
        <f t="shared" si="2"/>
        <v>72404</v>
      </c>
      <c r="BC70" s="248">
        <f t="shared" si="0"/>
        <v>5530.8120000000054</v>
      </c>
    </row>
    <row r="71" spans="2:55" s="39" customFormat="1" ht="23.25" customHeight="1">
      <c r="B71" s="22">
        <f t="shared" si="3"/>
        <v>55</v>
      </c>
      <c r="C71" s="22" t="s">
        <v>39</v>
      </c>
      <c r="D71" s="23">
        <v>30436672</v>
      </c>
      <c r="E71" s="48" t="s">
        <v>762</v>
      </c>
      <c r="F71" s="48" t="s">
        <v>317</v>
      </c>
      <c r="G71" s="26" t="s">
        <v>683</v>
      </c>
      <c r="H71" s="48" t="s">
        <v>763</v>
      </c>
      <c r="I71" s="25" t="s">
        <v>44</v>
      </c>
      <c r="J71" s="247">
        <v>561546</v>
      </c>
      <c r="K71" s="247">
        <v>405508</v>
      </c>
      <c r="L71" s="247">
        <f t="shared" si="1"/>
        <v>156038</v>
      </c>
      <c r="M71" s="248"/>
      <c r="N71" s="248"/>
      <c r="O71" s="248"/>
      <c r="P71" s="248">
        <v>40297.313999999998</v>
      </c>
      <c r="Q71" s="248">
        <v>153.54</v>
      </c>
      <c r="R71" s="248">
        <v>0</v>
      </c>
      <c r="S71" s="248">
        <v>1291.8599999999999</v>
      </c>
      <c r="T71" s="248">
        <v>115817.395</v>
      </c>
      <c r="U71" s="248">
        <v>0</v>
      </c>
      <c r="V71" s="248"/>
      <c r="W71" s="248"/>
      <c r="X71" s="248"/>
      <c r="Y71" s="248">
        <v>157560.109</v>
      </c>
      <c r="Z71" s="249">
        <v>156038</v>
      </c>
      <c r="AA71" s="250">
        <v>6</v>
      </c>
      <c r="AB71" s="251">
        <v>44221</v>
      </c>
      <c r="AC71" s="252">
        <v>44225</v>
      </c>
      <c r="AD71" s="249">
        <v>7200</v>
      </c>
      <c r="AE71" s="248">
        <v>65</v>
      </c>
      <c r="AF71" s="251">
        <v>44377</v>
      </c>
      <c r="AG71" s="251">
        <v>44382</v>
      </c>
      <c r="AH71" s="249"/>
      <c r="AI71" s="248"/>
      <c r="AJ71" s="251"/>
      <c r="AK71" s="248"/>
      <c r="AL71" s="249"/>
      <c r="AM71" s="248"/>
      <c r="AN71" s="248"/>
      <c r="AO71" s="248"/>
      <c r="AP71" s="248"/>
      <c r="AQ71" s="248"/>
      <c r="AR71" s="248"/>
      <c r="AS71" s="248"/>
      <c r="AT71" s="249"/>
      <c r="AU71" s="248"/>
      <c r="AV71" s="248"/>
      <c r="AW71" s="248"/>
      <c r="AX71" s="249"/>
      <c r="AY71" s="248"/>
      <c r="AZ71" s="248"/>
      <c r="BA71" s="248"/>
      <c r="BB71" s="248">
        <f t="shared" si="2"/>
        <v>163238</v>
      </c>
      <c r="BC71" s="248">
        <f t="shared" si="0"/>
        <v>5677.8910000000033</v>
      </c>
    </row>
    <row r="72" spans="2:55" s="39" customFormat="1" ht="23.25" customHeight="1">
      <c r="B72" s="22">
        <f t="shared" si="3"/>
        <v>56</v>
      </c>
      <c r="C72" s="22" t="s">
        <v>39</v>
      </c>
      <c r="D72" s="23">
        <v>30347022</v>
      </c>
      <c r="E72" s="48" t="s">
        <v>764</v>
      </c>
      <c r="F72" s="48" t="s">
        <v>317</v>
      </c>
      <c r="G72" s="26" t="s">
        <v>683</v>
      </c>
      <c r="H72" s="48" t="s">
        <v>737</v>
      </c>
      <c r="I72" s="25" t="s">
        <v>44</v>
      </c>
      <c r="J72" s="247">
        <v>449279</v>
      </c>
      <c r="K72" s="247">
        <v>416373</v>
      </c>
      <c r="L72" s="247">
        <f t="shared" si="1"/>
        <v>32906</v>
      </c>
      <c r="M72" s="248"/>
      <c r="N72" s="248">
        <v>4800</v>
      </c>
      <c r="O72" s="248"/>
      <c r="P72" s="248">
        <v>0</v>
      </c>
      <c r="Q72" s="248">
        <v>0</v>
      </c>
      <c r="R72" s="248">
        <v>0</v>
      </c>
      <c r="S72" s="248">
        <v>0</v>
      </c>
      <c r="T72" s="248">
        <v>0</v>
      </c>
      <c r="U72" s="248">
        <v>0</v>
      </c>
      <c r="V72" s="248"/>
      <c r="W72" s="248"/>
      <c r="X72" s="248"/>
      <c r="Y72" s="248">
        <v>4800</v>
      </c>
      <c r="Z72" s="249">
        <v>32906</v>
      </c>
      <c r="AA72" s="250">
        <v>6</v>
      </c>
      <c r="AB72" s="251">
        <v>44221</v>
      </c>
      <c r="AC72" s="252">
        <v>44225</v>
      </c>
      <c r="AD72" s="249">
        <v>26000</v>
      </c>
      <c r="AE72" s="248">
        <v>95</v>
      </c>
      <c r="AF72" s="251">
        <v>44460</v>
      </c>
      <c r="AG72" s="251">
        <v>44466</v>
      </c>
      <c r="AH72" s="249"/>
      <c r="AI72" s="248"/>
      <c r="AJ72" s="251"/>
      <c r="AK72" s="248"/>
      <c r="AL72" s="249"/>
      <c r="AM72" s="248"/>
      <c r="AN72" s="248"/>
      <c r="AO72" s="248"/>
      <c r="AP72" s="248"/>
      <c r="AQ72" s="248"/>
      <c r="AR72" s="248"/>
      <c r="AS72" s="248"/>
      <c r="AT72" s="249"/>
      <c r="AU72" s="248"/>
      <c r="AV72" s="248"/>
      <c r="AW72" s="248"/>
      <c r="AX72" s="249"/>
      <c r="AY72" s="248"/>
      <c r="AZ72" s="248"/>
      <c r="BA72" s="248"/>
      <c r="BB72" s="248">
        <f t="shared" si="2"/>
        <v>58906</v>
      </c>
      <c r="BC72" s="248">
        <f t="shared" si="0"/>
        <v>54106</v>
      </c>
    </row>
    <row r="73" spans="2:55" s="39" customFormat="1" ht="23.25" customHeight="1">
      <c r="B73" s="22">
        <f t="shared" si="3"/>
        <v>57</v>
      </c>
      <c r="C73" s="22" t="s">
        <v>39</v>
      </c>
      <c r="D73" s="23">
        <v>30124753</v>
      </c>
      <c r="E73" s="48" t="s">
        <v>765</v>
      </c>
      <c r="F73" s="48" t="s">
        <v>317</v>
      </c>
      <c r="G73" s="26" t="s">
        <v>683</v>
      </c>
      <c r="H73" s="48" t="s">
        <v>683</v>
      </c>
      <c r="I73" s="25" t="s">
        <v>44</v>
      </c>
      <c r="J73" s="247">
        <v>530475</v>
      </c>
      <c r="K73" s="247">
        <v>513072</v>
      </c>
      <c r="L73" s="247">
        <f t="shared" si="1"/>
        <v>17403</v>
      </c>
      <c r="M73" s="248">
        <v>2256.7640000000001</v>
      </c>
      <c r="N73" s="248"/>
      <c r="O73" s="248"/>
      <c r="P73" s="248">
        <v>0</v>
      </c>
      <c r="Q73" s="248">
        <v>0</v>
      </c>
      <c r="R73" s="248">
        <v>0</v>
      </c>
      <c r="S73" s="248">
        <v>0</v>
      </c>
      <c r="T73" s="248">
        <v>0</v>
      </c>
      <c r="U73" s="248">
        <v>0</v>
      </c>
      <c r="V73" s="248"/>
      <c r="W73" s="248"/>
      <c r="X73" s="248"/>
      <c r="Y73" s="248">
        <v>2256.7640000000001</v>
      </c>
      <c r="Z73" s="249">
        <v>17401</v>
      </c>
      <c r="AA73" s="250">
        <v>6</v>
      </c>
      <c r="AB73" s="251">
        <v>44221</v>
      </c>
      <c r="AC73" s="252">
        <v>44225</v>
      </c>
      <c r="AD73" s="249"/>
      <c r="AE73" s="248"/>
      <c r="AF73" s="251"/>
      <c r="AG73" s="251"/>
      <c r="AH73" s="249"/>
      <c r="AI73" s="248"/>
      <c r="AJ73" s="251"/>
      <c r="AK73" s="248"/>
      <c r="AL73" s="249"/>
      <c r="AM73" s="248"/>
      <c r="AN73" s="248"/>
      <c r="AO73" s="248"/>
      <c r="AP73" s="248"/>
      <c r="AQ73" s="248"/>
      <c r="AR73" s="248"/>
      <c r="AS73" s="248"/>
      <c r="AT73" s="249"/>
      <c r="AU73" s="248"/>
      <c r="AV73" s="248"/>
      <c r="AW73" s="248"/>
      <c r="AX73" s="249"/>
      <c r="AY73" s="248"/>
      <c r="AZ73" s="248"/>
      <c r="BA73" s="248"/>
      <c r="BB73" s="248">
        <f t="shared" si="2"/>
        <v>17401</v>
      </c>
      <c r="BC73" s="248">
        <f t="shared" si="0"/>
        <v>15144.236000000001</v>
      </c>
    </row>
    <row r="74" spans="2:55" s="39" customFormat="1" ht="23.25" customHeight="1">
      <c r="B74" s="22">
        <f t="shared" si="3"/>
        <v>58</v>
      </c>
      <c r="C74" s="22" t="s">
        <v>39</v>
      </c>
      <c r="D74" s="23">
        <v>30477693</v>
      </c>
      <c r="E74" s="48" t="s">
        <v>766</v>
      </c>
      <c r="F74" s="48" t="s">
        <v>317</v>
      </c>
      <c r="G74" s="26" t="s">
        <v>683</v>
      </c>
      <c r="H74" s="48" t="s">
        <v>684</v>
      </c>
      <c r="I74" s="25" t="s">
        <v>44</v>
      </c>
      <c r="J74" s="247">
        <v>576659</v>
      </c>
      <c r="K74" s="247">
        <v>243751</v>
      </c>
      <c r="L74" s="247">
        <f t="shared" si="1"/>
        <v>332908</v>
      </c>
      <c r="M74" s="248"/>
      <c r="N74" s="248"/>
      <c r="O74" s="248"/>
      <c r="P74" s="248"/>
      <c r="Q74" s="248"/>
      <c r="R74" s="248"/>
      <c r="S74" s="248">
        <v>0</v>
      </c>
      <c r="T74" s="248">
        <v>0</v>
      </c>
      <c r="U74" s="248">
        <v>0</v>
      </c>
      <c r="V74" s="248"/>
      <c r="W74" s="248"/>
      <c r="X74" s="248"/>
      <c r="Y74" s="248">
        <v>0</v>
      </c>
      <c r="Z74" s="249">
        <v>332908</v>
      </c>
      <c r="AA74" s="250">
        <v>6</v>
      </c>
      <c r="AB74" s="251">
        <v>44221</v>
      </c>
      <c r="AC74" s="252">
        <v>44225</v>
      </c>
      <c r="AD74" s="249"/>
      <c r="AE74" s="248"/>
      <c r="AF74" s="251"/>
      <c r="AG74" s="251"/>
      <c r="AH74" s="249"/>
      <c r="AI74" s="248"/>
      <c r="AJ74" s="251"/>
      <c r="AK74" s="248"/>
      <c r="AL74" s="249"/>
      <c r="AM74" s="248"/>
      <c r="AN74" s="248"/>
      <c r="AO74" s="248"/>
      <c r="AP74" s="248"/>
      <c r="AQ74" s="248"/>
      <c r="AR74" s="248"/>
      <c r="AS74" s="248"/>
      <c r="AT74" s="249"/>
      <c r="AU74" s="248"/>
      <c r="AV74" s="248"/>
      <c r="AW74" s="248"/>
      <c r="AX74" s="249"/>
      <c r="AY74" s="248"/>
      <c r="AZ74" s="248"/>
      <c r="BA74" s="248"/>
      <c r="BB74" s="248">
        <f t="shared" si="2"/>
        <v>332908</v>
      </c>
      <c r="BC74" s="248">
        <f t="shared" si="0"/>
        <v>332908</v>
      </c>
    </row>
    <row r="75" spans="2:55" s="39" customFormat="1" ht="23.25" customHeight="1">
      <c r="B75" s="22">
        <f t="shared" si="3"/>
        <v>59</v>
      </c>
      <c r="C75" s="22" t="s">
        <v>39</v>
      </c>
      <c r="D75" s="23">
        <v>40002892</v>
      </c>
      <c r="E75" s="48" t="s">
        <v>767</v>
      </c>
      <c r="F75" s="48" t="s">
        <v>317</v>
      </c>
      <c r="G75" s="26" t="s">
        <v>683</v>
      </c>
      <c r="H75" s="48" t="s">
        <v>706</v>
      </c>
      <c r="I75" s="25" t="s">
        <v>44</v>
      </c>
      <c r="J75" s="247">
        <v>208262</v>
      </c>
      <c r="K75" s="247">
        <v>126694</v>
      </c>
      <c r="L75" s="247">
        <f t="shared" si="1"/>
        <v>81568</v>
      </c>
      <c r="M75" s="248"/>
      <c r="N75" s="248"/>
      <c r="O75" s="248">
        <v>14656.097</v>
      </c>
      <c r="P75" s="248">
        <v>32628.473999999998</v>
      </c>
      <c r="Q75" s="248">
        <v>0</v>
      </c>
      <c r="R75" s="248">
        <v>16368.49</v>
      </c>
      <c r="S75" s="248">
        <v>0</v>
      </c>
      <c r="T75" s="248">
        <v>0</v>
      </c>
      <c r="U75" s="248">
        <v>10131.69</v>
      </c>
      <c r="V75" s="248"/>
      <c r="W75" s="248"/>
      <c r="X75" s="248"/>
      <c r="Y75" s="248">
        <v>73784.750999999989</v>
      </c>
      <c r="Z75" s="249">
        <v>81568</v>
      </c>
      <c r="AA75" s="250">
        <v>6</v>
      </c>
      <c r="AB75" s="251">
        <v>44221</v>
      </c>
      <c r="AC75" s="252">
        <v>44225</v>
      </c>
      <c r="AD75" s="249"/>
      <c r="AE75" s="248"/>
      <c r="AF75" s="251"/>
      <c r="AG75" s="251"/>
      <c r="AH75" s="249"/>
      <c r="AI75" s="248"/>
      <c r="AJ75" s="251"/>
      <c r="AK75" s="248"/>
      <c r="AL75" s="249"/>
      <c r="AM75" s="248"/>
      <c r="AN75" s="248"/>
      <c r="AO75" s="248"/>
      <c r="AP75" s="248"/>
      <c r="AQ75" s="248"/>
      <c r="AR75" s="248"/>
      <c r="AS75" s="248"/>
      <c r="AT75" s="249"/>
      <c r="AU75" s="248"/>
      <c r="AV75" s="248"/>
      <c r="AW75" s="248"/>
      <c r="AX75" s="249"/>
      <c r="AY75" s="248"/>
      <c r="AZ75" s="248"/>
      <c r="BA75" s="248"/>
      <c r="BB75" s="248">
        <f t="shared" si="2"/>
        <v>81568</v>
      </c>
      <c r="BC75" s="248">
        <f t="shared" si="0"/>
        <v>7783.2490000000107</v>
      </c>
    </row>
    <row r="76" spans="2:55" s="39" customFormat="1" ht="23.25" customHeight="1">
      <c r="B76" s="22">
        <f t="shared" si="3"/>
        <v>60</v>
      </c>
      <c r="C76" s="22" t="s">
        <v>39</v>
      </c>
      <c r="D76" s="23">
        <v>30086944</v>
      </c>
      <c r="E76" s="48" t="s">
        <v>768</v>
      </c>
      <c r="F76" s="48" t="s">
        <v>317</v>
      </c>
      <c r="G76" s="26" t="s">
        <v>683</v>
      </c>
      <c r="H76" s="48" t="s">
        <v>749</v>
      </c>
      <c r="I76" s="25" t="s">
        <v>44</v>
      </c>
      <c r="J76" s="247">
        <v>792960</v>
      </c>
      <c r="K76" s="247">
        <v>754335</v>
      </c>
      <c r="L76" s="247">
        <f t="shared" si="1"/>
        <v>38625</v>
      </c>
      <c r="M76" s="248"/>
      <c r="N76" s="248"/>
      <c r="O76" s="248"/>
      <c r="P76" s="248">
        <v>28854.965</v>
      </c>
      <c r="Q76" s="248">
        <v>0</v>
      </c>
      <c r="R76" s="248">
        <v>16157.494000000001</v>
      </c>
      <c r="S76" s="248">
        <v>0</v>
      </c>
      <c r="T76" s="248">
        <v>0</v>
      </c>
      <c r="U76" s="248">
        <v>0</v>
      </c>
      <c r="V76" s="248"/>
      <c r="W76" s="248"/>
      <c r="X76" s="248"/>
      <c r="Y76" s="248">
        <v>45012.459000000003</v>
      </c>
      <c r="Z76" s="249">
        <v>38625</v>
      </c>
      <c r="AA76" s="250">
        <v>6</v>
      </c>
      <c r="AB76" s="251">
        <v>44221</v>
      </c>
      <c r="AC76" s="252">
        <v>44225</v>
      </c>
      <c r="AD76" s="249">
        <v>20000</v>
      </c>
      <c r="AE76" s="248">
        <v>54</v>
      </c>
      <c r="AF76" s="251">
        <v>44363</v>
      </c>
      <c r="AG76" s="251">
        <v>44369</v>
      </c>
      <c r="AH76" s="249">
        <v>12000</v>
      </c>
      <c r="AI76" s="248">
        <v>65</v>
      </c>
      <c r="AJ76" s="251">
        <v>44377</v>
      </c>
      <c r="AK76" s="252">
        <v>44382</v>
      </c>
      <c r="AL76" s="249"/>
      <c r="AM76" s="248"/>
      <c r="AN76" s="248"/>
      <c r="AO76" s="248"/>
      <c r="AP76" s="248"/>
      <c r="AQ76" s="248"/>
      <c r="AR76" s="248"/>
      <c r="AS76" s="248"/>
      <c r="AT76" s="249"/>
      <c r="AU76" s="248"/>
      <c r="AV76" s="248"/>
      <c r="AW76" s="248"/>
      <c r="AX76" s="249"/>
      <c r="AY76" s="248"/>
      <c r="AZ76" s="248"/>
      <c r="BA76" s="248"/>
      <c r="BB76" s="248">
        <f t="shared" si="2"/>
        <v>70625</v>
      </c>
      <c r="BC76" s="248">
        <f t="shared" si="0"/>
        <v>25612.540999999997</v>
      </c>
    </row>
    <row r="77" spans="2:55" s="39" customFormat="1" ht="23.25" customHeight="1">
      <c r="B77" s="22">
        <f t="shared" si="3"/>
        <v>61</v>
      </c>
      <c r="C77" s="22" t="s">
        <v>39</v>
      </c>
      <c r="D77" s="23">
        <v>40007750</v>
      </c>
      <c r="E77" s="48" t="s">
        <v>769</v>
      </c>
      <c r="F77" s="48" t="s">
        <v>317</v>
      </c>
      <c r="G77" s="26" t="s">
        <v>683</v>
      </c>
      <c r="H77" s="48" t="s">
        <v>770</v>
      </c>
      <c r="I77" s="25" t="s">
        <v>44</v>
      </c>
      <c r="J77" s="247">
        <v>699008</v>
      </c>
      <c r="K77" s="247">
        <v>109175</v>
      </c>
      <c r="L77" s="247">
        <f t="shared" si="1"/>
        <v>589833</v>
      </c>
      <c r="M77" s="248">
        <v>6055.8119999999999</v>
      </c>
      <c r="N77" s="248">
        <v>250966.24600000001</v>
      </c>
      <c r="O77" s="248"/>
      <c r="P77" s="248">
        <v>221247.299</v>
      </c>
      <c r="Q77" s="248">
        <v>0</v>
      </c>
      <c r="R77" s="248">
        <v>1009.302</v>
      </c>
      <c r="S77" s="248">
        <v>109041.344</v>
      </c>
      <c r="T77" s="248">
        <v>0</v>
      </c>
      <c r="U77" s="248">
        <v>0</v>
      </c>
      <c r="V77" s="248"/>
      <c r="W77" s="248"/>
      <c r="X77" s="248"/>
      <c r="Y77" s="248">
        <v>588320.00300000003</v>
      </c>
      <c r="Z77" s="249">
        <v>589833</v>
      </c>
      <c r="AA77" s="250">
        <v>6</v>
      </c>
      <c r="AB77" s="251">
        <v>44221</v>
      </c>
      <c r="AC77" s="252">
        <v>44225</v>
      </c>
      <c r="AD77" s="249"/>
      <c r="AE77" s="248"/>
      <c r="AF77" s="251"/>
      <c r="AG77" s="251"/>
      <c r="AH77" s="249"/>
      <c r="AI77" s="248"/>
      <c r="AJ77" s="251"/>
      <c r="AK77" s="248"/>
      <c r="AL77" s="249"/>
      <c r="AM77" s="248"/>
      <c r="AN77" s="248"/>
      <c r="AO77" s="248"/>
      <c r="AP77" s="248"/>
      <c r="AQ77" s="248"/>
      <c r="AR77" s="248"/>
      <c r="AS77" s="248"/>
      <c r="AT77" s="249"/>
      <c r="AU77" s="248"/>
      <c r="AV77" s="248"/>
      <c r="AW77" s="248"/>
      <c r="AX77" s="249"/>
      <c r="AY77" s="248"/>
      <c r="AZ77" s="248"/>
      <c r="BA77" s="248"/>
      <c r="BB77" s="248">
        <f t="shared" si="2"/>
        <v>589833</v>
      </c>
      <c r="BC77" s="248">
        <f t="shared" si="0"/>
        <v>1512.9969999999739</v>
      </c>
    </row>
    <row r="78" spans="2:55" s="39" customFormat="1" ht="23.25" customHeight="1">
      <c r="B78" s="22">
        <f t="shared" si="3"/>
        <v>62</v>
      </c>
      <c r="C78" s="22" t="s">
        <v>65</v>
      </c>
      <c r="D78" s="23">
        <v>40005147</v>
      </c>
      <c r="E78" s="48" t="s">
        <v>771</v>
      </c>
      <c r="F78" s="48" t="s">
        <v>317</v>
      </c>
      <c r="G78" s="26" t="s">
        <v>683</v>
      </c>
      <c r="H78" s="48" t="s">
        <v>772</v>
      </c>
      <c r="I78" s="25" t="s">
        <v>44</v>
      </c>
      <c r="J78" s="247">
        <v>37290</v>
      </c>
      <c r="K78" s="247">
        <v>13190</v>
      </c>
      <c r="L78" s="247">
        <f t="shared" si="1"/>
        <v>24100</v>
      </c>
      <c r="M78" s="248"/>
      <c r="N78" s="248"/>
      <c r="O78" s="248"/>
      <c r="P78" s="248">
        <v>11100</v>
      </c>
      <c r="Q78" s="248">
        <v>0</v>
      </c>
      <c r="R78" s="248">
        <v>13000</v>
      </c>
      <c r="S78" s="248">
        <v>0</v>
      </c>
      <c r="T78" s="248">
        <v>0</v>
      </c>
      <c r="U78" s="248">
        <v>0</v>
      </c>
      <c r="V78" s="248"/>
      <c r="W78" s="248"/>
      <c r="X78" s="248"/>
      <c r="Y78" s="248">
        <v>24100</v>
      </c>
      <c r="Z78" s="249">
        <v>24100</v>
      </c>
      <c r="AA78" s="250">
        <v>6</v>
      </c>
      <c r="AB78" s="251">
        <v>44221</v>
      </c>
      <c r="AC78" s="252">
        <v>44225</v>
      </c>
      <c r="AD78" s="249"/>
      <c r="AE78" s="248"/>
      <c r="AF78" s="251"/>
      <c r="AG78" s="251"/>
      <c r="AH78" s="249"/>
      <c r="AI78" s="248"/>
      <c r="AJ78" s="251"/>
      <c r="AK78" s="248"/>
      <c r="AL78" s="249"/>
      <c r="AM78" s="248"/>
      <c r="AN78" s="248"/>
      <c r="AO78" s="248"/>
      <c r="AP78" s="248"/>
      <c r="AQ78" s="248"/>
      <c r="AR78" s="248"/>
      <c r="AS78" s="248"/>
      <c r="AT78" s="249"/>
      <c r="AU78" s="248"/>
      <c r="AV78" s="248"/>
      <c r="AW78" s="248"/>
      <c r="AX78" s="249"/>
      <c r="AY78" s="248"/>
      <c r="AZ78" s="248"/>
      <c r="BA78" s="248"/>
      <c r="BB78" s="248">
        <f t="shared" si="2"/>
        <v>24100</v>
      </c>
      <c r="BC78" s="248">
        <f t="shared" si="0"/>
        <v>0</v>
      </c>
    </row>
    <row r="79" spans="2:55" s="39" customFormat="1" ht="23.25" customHeight="1">
      <c r="B79" s="22">
        <f t="shared" si="3"/>
        <v>63</v>
      </c>
      <c r="C79" s="22" t="s">
        <v>39</v>
      </c>
      <c r="D79" s="23">
        <v>40011201</v>
      </c>
      <c r="E79" s="48" t="s">
        <v>773</v>
      </c>
      <c r="F79" s="48" t="s">
        <v>317</v>
      </c>
      <c r="G79" s="26" t="s">
        <v>683</v>
      </c>
      <c r="H79" s="48" t="s">
        <v>772</v>
      </c>
      <c r="I79" s="25" t="s">
        <v>44</v>
      </c>
      <c r="J79" s="247">
        <v>508156</v>
      </c>
      <c r="K79" s="247">
        <v>25652</v>
      </c>
      <c r="L79" s="247">
        <f t="shared" si="1"/>
        <v>482504</v>
      </c>
      <c r="M79" s="248"/>
      <c r="N79" s="248">
        <v>41677.296999999999</v>
      </c>
      <c r="O79" s="248">
        <v>16159.04</v>
      </c>
      <c r="P79" s="248">
        <v>98916.161999999997</v>
      </c>
      <c r="Q79" s="248">
        <v>0</v>
      </c>
      <c r="R79" s="248">
        <v>0</v>
      </c>
      <c r="S79" s="248">
        <v>182220.53</v>
      </c>
      <c r="T79" s="248">
        <v>1425</v>
      </c>
      <c r="U79" s="248">
        <v>0</v>
      </c>
      <c r="V79" s="248"/>
      <c r="W79" s="248"/>
      <c r="X79" s="248"/>
      <c r="Y79" s="248">
        <v>340398.02899999998</v>
      </c>
      <c r="Z79" s="249">
        <v>482504</v>
      </c>
      <c r="AA79" s="250">
        <v>6</v>
      </c>
      <c r="AB79" s="251">
        <v>44221</v>
      </c>
      <c r="AC79" s="252">
        <v>44225</v>
      </c>
      <c r="AD79" s="249"/>
      <c r="AE79" s="248"/>
      <c r="AF79" s="251"/>
      <c r="AG79" s="251"/>
      <c r="AH79" s="249"/>
      <c r="AI79" s="248"/>
      <c r="AJ79" s="251"/>
      <c r="AK79" s="248"/>
      <c r="AL79" s="249"/>
      <c r="AM79" s="248"/>
      <c r="AN79" s="248"/>
      <c r="AO79" s="248"/>
      <c r="AP79" s="248"/>
      <c r="AQ79" s="248"/>
      <c r="AR79" s="248"/>
      <c r="AS79" s="248"/>
      <c r="AT79" s="249"/>
      <c r="AU79" s="248"/>
      <c r="AV79" s="248"/>
      <c r="AW79" s="248"/>
      <c r="AX79" s="249"/>
      <c r="AY79" s="248"/>
      <c r="AZ79" s="248"/>
      <c r="BA79" s="248"/>
      <c r="BB79" s="248">
        <f t="shared" si="2"/>
        <v>482504</v>
      </c>
      <c r="BC79" s="248">
        <f t="shared" si="0"/>
        <v>142105.97100000002</v>
      </c>
    </row>
    <row r="80" spans="2:55" s="39" customFormat="1" ht="23.25" customHeight="1">
      <c r="B80" s="22">
        <f t="shared" si="3"/>
        <v>64</v>
      </c>
      <c r="C80" s="22" t="s">
        <v>39</v>
      </c>
      <c r="D80" s="23">
        <v>40006613</v>
      </c>
      <c r="E80" s="48" t="s">
        <v>774</v>
      </c>
      <c r="F80" s="48" t="s">
        <v>317</v>
      </c>
      <c r="G80" s="26" t="s">
        <v>683</v>
      </c>
      <c r="H80" s="48" t="s">
        <v>772</v>
      </c>
      <c r="I80" s="25" t="s">
        <v>44</v>
      </c>
      <c r="J80" s="247">
        <v>452730</v>
      </c>
      <c r="K80" s="247">
        <v>3067</v>
      </c>
      <c r="L80" s="247">
        <f t="shared" si="1"/>
        <v>449663</v>
      </c>
      <c r="M80" s="248"/>
      <c r="N80" s="248">
        <v>1500</v>
      </c>
      <c r="O80" s="248">
        <v>23992.017</v>
      </c>
      <c r="P80" s="248">
        <v>79764.216</v>
      </c>
      <c r="Q80" s="248">
        <v>61393.815999999999</v>
      </c>
      <c r="R80" s="248">
        <v>1500</v>
      </c>
      <c r="S80" s="248">
        <v>0</v>
      </c>
      <c r="T80" s="248">
        <v>0</v>
      </c>
      <c r="U80" s="248">
        <v>0</v>
      </c>
      <c r="V80" s="248"/>
      <c r="W80" s="248"/>
      <c r="X80" s="248"/>
      <c r="Y80" s="248">
        <v>168150.049</v>
      </c>
      <c r="Z80" s="249">
        <v>449663</v>
      </c>
      <c r="AA80" s="250">
        <v>6</v>
      </c>
      <c r="AB80" s="251">
        <v>44221</v>
      </c>
      <c r="AC80" s="252">
        <v>44225</v>
      </c>
      <c r="AD80" s="249"/>
      <c r="AE80" s="248"/>
      <c r="AF80" s="251"/>
      <c r="AG80" s="251"/>
      <c r="AH80" s="249"/>
      <c r="AI80" s="248"/>
      <c r="AJ80" s="251"/>
      <c r="AK80" s="248"/>
      <c r="AL80" s="249"/>
      <c r="AM80" s="248"/>
      <c r="AN80" s="248"/>
      <c r="AO80" s="248"/>
      <c r="AP80" s="248"/>
      <c r="AQ80" s="248"/>
      <c r="AR80" s="248"/>
      <c r="AS80" s="248"/>
      <c r="AT80" s="249"/>
      <c r="AU80" s="248"/>
      <c r="AV80" s="248"/>
      <c r="AW80" s="248"/>
      <c r="AX80" s="249"/>
      <c r="AY80" s="248"/>
      <c r="AZ80" s="248"/>
      <c r="BA80" s="248"/>
      <c r="BB80" s="248">
        <f t="shared" si="2"/>
        <v>449663</v>
      </c>
      <c r="BC80" s="248">
        <f t="shared" si="0"/>
        <v>281512.951</v>
      </c>
    </row>
    <row r="81" spans="2:55" s="39" customFormat="1" ht="23.25" customHeight="1">
      <c r="B81" s="22">
        <f t="shared" si="3"/>
        <v>65</v>
      </c>
      <c r="C81" s="22" t="s">
        <v>39</v>
      </c>
      <c r="D81" s="23">
        <v>30240624</v>
      </c>
      <c r="E81" s="48" t="s">
        <v>775</v>
      </c>
      <c r="F81" s="48" t="s">
        <v>317</v>
      </c>
      <c r="G81" s="26" t="s">
        <v>683</v>
      </c>
      <c r="H81" s="48" t="s">
        <v>704</v>
      </c>
      <c r="I81" s="25" t="s">
        <v>44</v>
      </c>
      <c r="J81" s="247">
        <v>2365836</v>
      </c>
      <c r="K81" s="247">
        <v>2226197</v>
      </c>
      <c r="L81" s="247">
        <f t="shared" si="1"/>
        <v>139639</v>
      </c>
      <c r="M81" s="248"/>
      <c r="N81" s="248"/>
      <c r="O81" s="248"/>
      <c r="P81" s="248"/>
      <c r="Q81" s="248"/>
      <c r="R81" s="248"/>
      <c r="S81" s="248">
        <v>0</v>
      </c>
      <c r="T81" s="248">
        <v>127351.626</v>
      </c>
      <c r="U81" s="248">
        <v>0</v>
      </c>
      <c r="V81" s="248"/>
      <c r="W81" s="248"/>
      <c r="X81" s="248"/>
      <c r="Y81" s="248">
        <v>127351.626</v>
      </c>
      <c r="Z81" s="249">
        <v>139639</v>
      </c>
      <c r="AA81" s="250">
        <v>6</v>
      </c>
      <c r="AB81" s="251">
        <v>44221</v>
      </c>
      <c r="AC81" s="252">
        <v>44225</v>
      </c>
      <c r="AD81" s="249"/>
      <c r="AE81" s="248"/>
      <c r="AF81" s="251"/>
      <c r="AG81" s="251"/>
      <c r="AH81" s="249"/>
      <c r="AI81" s="248"/>
      <c r="AJ81" s="251"/>
      <c r="AK81" s="248"/>
      <c r="AL81" s="249"/>
      <c r="AM81" s="248"/>
      <c r="AN81" s="248"/>
      <c r="AO81" s="248"/>
      <c r="AP81" s="248"/>
      <c r="AQ81" s="248"/>
      <c r="AR81" s="248"/>
      <c r="AS81" s="248"/>
      <c r="AT81" s="249"/>
      <c r="AU81" s="248"/>
      <c r="AV81" s="248"/>
      <c r="AW81" s="248"/>
      <c r="AX81" s="249"/>
      <c r="AY81" s="248"/>
      <c r="AZ81" s="248"/>
      <c r="BA81" s="248"/>
      <c r="BB81" s="248">
        <f t="shared" si="2"/>
        <v>139639</v>
      </c>
      <c r="BC81" s="248">
        <f t="shared" ref="BC81:BC144" si="4">BB81-Y81</f>
        <v>12287.373999999996</v>
      </c>
    </row>
    <row r="82" spans="2:55" s="39" customFormat="1" ht="23.25" customHeight="1">
      <c r="B82" s="22">
        <f t="shared" si="3"/>
        <v>66</v>
      </c>
      <c r="C82" s="22" t="s">
        <v>39</v>
      </c>
      <c r="D82" s="23">
        <v>40010609</v>
      </c>
      <c r="E82" s="48" t="s">
        <v>776</v>
      </c>
      <c r="F82" s="48" t="s">
        <v>317</v>
      </c>
      <c r="G82" s="26" t="s">
        <v>683</v>
      </c>
      <c r="H82" s="48" t="s">
        <v>772</v>
      </c>
      <c r="I82" s="25" t="s">
        <v>52</v>
      </c>
      <c r="J82" s="247">
        <v>138531</v>
      </c>
      <c r="K82" s="247"/>
      <c r="L82" s="247">
        <f t="shared" ref="L82:L145" si="5">J82-K82</f>
        <v>138531</v>
      </c>
      <c r="M82" s="248"/>
      <c r="N82" s="248">
        <v>47089.055999999997</v>
      </c>
      <c r="O82" s="248"/>
      <c r="P82" s="248">
        <v>0</v>
      </c>
      <c r="Q82" s="248">
        <v>0</v>
      </c>
      <c r="R82" s="248">
        <v>71275.244000000006</v>
      </c>
      <c r="S82" s="248">
        <v>0</v>
      </c>
      <c r="T82" s="248">
        <v>0</v>
      </c>
      <c r="U82" s="248">
        <v>0</v>
      </c>
      <c r="V82" s="248"/>
      <c r="W82" s="248"/>
      <c r="X82" s="248"/>
      <c r="Y82" s="248">
        <v>118364.3</v>
      </c>
      <c r="Z82" s="249">
        <v>93364</v>
      </c>
      <c r="AA82" s="250">
        <v>6</v>
      </c>
      <c r="AB82" s="251">
        <v>44221</v>
      </c>
      <c r="AC82" s="252">
        <v>44225</v>
      </c>
      <c r="AD82" s="249">
        <v>7543</v>
      </c>
      <c r="AE82" s="248">
        <v>32</v>
      </c>
      <c r="AF82" s="251">
        <v>44306</v>
      </c>
      <c r="AG82" s="251">
        <v>44314</v>
      </c>
      <c r="AH82" s="249">
        <v>28644</v>
      </c>
      <c r="AI82" s="248">
        <v>38</v>
      </c>
      <c r="AJ82" s="251">
        <v>44316</v>
      </c>
      <c r="AK82" s="251">
        <v>44328</v>
      </c>
      <c r="AL82" s="249"/>
      <c r="AM82" s="248"/>
      <c r="AN82" s="248"/>
      <c r="AO82" s="248"/>
      <c r="AP82" s="248"/>
      <c r="AQ82" s="248"/>
      <c r="AR82" s="248"/>
      <c r="AS82" s="248"/>
      <c r="AT82" s="249"/>
      <c r="AU82" s="248"/>
      <c r="AV82" s="248"/>
      <c r="AW82" s="248"/>
      <c r="AX82" s="249"/>
      <c r="AY82" s="248"/>
      <c r="AZ82" s="248"/>
      <c r="BA82" s="248"/>
      <c r="BB82" s="248">
        <f t="shared" ref="BB82:BB145" si="6">Z82+AD82+AH82+AL82+AP82+AT82+AX82</f>
        <v>129551</v>
      </c>
      <c r="BC82" s="248">
        <f t="shared" si="4"/>
        <v>11186.699999999997</v>
      </c>
    </row>
    <row r="83" spans="2:55" s="39" customFormat="1" ht="23.25" customHeight="1">
      <c r="B83" s="22">
        <f t="shared" ref="B83:B146" si="7">B82+1</f>
        <v>67</v>
      </c>
      <c r="C83" s="22" t="s">
        <v>39</v>
      </c>
      <c r="D83" s="23">
        <v>40002856</v>
      </c>
      <c r="E83" s="48" t="s">
        <v>777</v>
      </c>
      <c r="F83" s="48" t="s">
        <v>317</v>
      </c>
      <c r="G83" s="26" t="s">
        <v>683</v>
      </c>
      <c r="H83" s="48" t="s">
        <v>704</v>
      </c>
      <c r="I83" s="25" t="s">
        <v>52</v>
      </c>
      <c r="J83" s="247">
        <v>473993</v>
      </c>
      <c r="K83" s="247"/>
      <c r="L83" s="247">
        <f t="shared" si="5"/>
        <v>473993</v>
      </c>
      <c r="M83" s="248"/>
      <c r="N83" s="248"/>
      <c r="O83" s="248">
        <v>215861.33799999999</v>
      </c>
      <c r="P83" s="248">
        <v>0</v>
      </c>
      <c r="Q83" s="248">
        <v>0</v>
      </c>
      <c r="R83" s="248">
        <v>0</v>
      </c>
      <c r="S83" s="248">
        <v>0</v>
      </c>
      <c r="T83" s="248">
        <v>0</v>
      </c>
      <c r="U83" s="248">
        <v>0</v>
      </c>
      <c r="V83" s="248"/>
      <c r="W83" s="248"/>
      <c r="X83" s="248"/>
      <c r="Y83" s="248">
        <v>215861.33799999999</v>
      </c>
      <c r="Z83" s="249">
        <v>473993</v>
      </c>
      <c r="AA83" s="250">
        <v>6</v>
      </c>
      <c r="AB83" s="251">
        <v>44221</v>
      </c>
      <c r="AC83" s="252">
        <v>44225</v>
      </c>
      <c r="AD83" s="249"/>
      <c r="AE83" s="248"/>
      <c r="AF83" s="251"/>
      <c r="AG83" s="251"/>
      <c r="AH83" s="249"/>
      <c r="AI83" s="248"/>
      <c r="AJ83" s="251"/>
      <c r="AK83" s="248"/>
      <c r="AL83" s="249"/>
      <c r="AM83" s="248"/>
      <c r="AN83" s="248"/>
      <c r="AO83" s="248"/>
      <c r="AP83" s="248"/>
      <c r="AQ83" s="248"/>
      <c r="AR83" s="248"/>
      <c r="AS83" s="248"/>
      <c r="AT83" s="249"/>
      <c r="AU83" s="248"/>
      <c r="AV83" s="248"/>
      <c r="AW83" s="248"/>
      <c r="AX83" s="249"/>
      <c r="AY83" s="248"/>
      <c r="AZ83" s="248"/>
      <c r="BA83" s="248"/>
      <c r="BB83" s="248">
        <f t="shared" si="6"/>
        <v>473993</v>
      </c>
      <c r="BC83" s="248">
        <f t="shared" si="4"/>
        <v>258131.66200000001</v>
      </c>
    </row>
    <row r="84" spans="2:55" s="39" customFormat="1" ht="23.25" customHeight="1">
      <c r="B84" s="22">
        <f t="shared" si="7"/>
        <v>68</v>
      </c>
      <c r="C84" s="22" t="s">
        <v>39</v>
      </c>
      <c r="D84" s="23">
        <v>40006021</v>
      </c>
      <c r="E84" s="48" t="s">
        <v>778</v>
      </c>
      <c r="F84" s="48" t="s">
        <v>317</v>
      </c>
      <c r="G84" s="26" t="s">
        <v>683</v>
      </c>
      <c r="H84" s="48" t="s">
        <v>706</v>
      </c>
      <c r="I84" s="25" t="s">
        <v>52</v>
      </c>
      <c r="J84" s="247">
        <v>608140</v>
      </c>
      <c r="K84" s="247"/>
      <c r="L84" s="247">
        <f t="shared" si="5"/>
        <v>608140</v>
      </c>
      <c r="M84" s="248"/>
      <c r="N84" s="248">
        <v>196053.334</v>
      </c>
      <c r="O84" s="248"/>
      <c r="P84" s="248">
        <v>0</v>
      </c>
      <c r="Q84" s="248">
        <v>0</v>
      </c>
      <c r="R84" s="248">
        <v>0</v>
      </c>
      <c r="S84" s="248">
        <v>0</v>
      </c>
      <c r="T84" s="248">
        <v>749.7</v>
      </c>
      <c r="U84" s="248">
        <v>331995</v>
      </c>
      <c r="V84" s="248"/>
      <c r="W84" s="248"/>
      <c r="X84" s="248"/>
      <c r="Y84" s="248">
        <v>528798.03399999999</v>
      </c>
      <c r="Z84" s="249">
        <v>608140</v>
      </c>
      <c r="AA84" s="250">
        <v>6</v>
      </c>
      <c r="AB84" s="251">
        <v>44221</v>
      </c>
      <c r="AC84" s="252">
        <v>44225</v>
      </c>
      <c r="AD84" s="249">
        <v>0</v>
      </c>
      <c r="AE84" s="248"/>
      <c r="AF84" s="251"/>
      <c r="AG84" s="251"/>
      <c r="AH84" s="249"/>
      <c r="AI84" s="248"/>
      <c r="AJ84" s="251"/>
      <c r="AK84" s="248"/>
      <c r="AL84" s="249"/>
      <c r="AM84" s="248"/>
      <c r="AN84" s="248"/>
      <c r="AO84" s="248"/>
      <c r="AP84" s="248"/>
      <c r="AQ84" s="248"/>
      <c r="AR84" s="248"/>
      <c r="AS84" s="248"/>
      <c r="AT84" s="249"/>
      <c r="AU84" s="248"/>
      <c r="AV84" s="248"/>
      <c r="AW84" s="248"/>
      <c r="AX84" s="249"/>
      <c r="AY84" s="248"/>
      <c r="AZ84" s="248"/>
      <c r="BA84" s="248"/>
      <c r="BB84" s="248">
        <f t="shared" si="6"/>
        <v>608140</v>
      </c>
      <c r="BC84" s="248">
        <f t="shared" si="4"/>
        <v>79341.966000000015</v>
      </c>
    </row>
    <row r="85" spans="2:55" s="39" customFormat="1" ht="23.25" customHeight="1">
      <c r="B85" s="22">
        <f t="shared" si="7"/>
        <v>69</v>
      </c>
      <c r="C85" s="22" t="s">
        <v>65</v>
      </c>
      <c r="D85" s="23">
        <v>30130360</v>
      </c>
      <c r="E85" s="48" t="s">
        <v>779</v>
      </c>
      <c r="F85" s="48" t="s">
        <v>317</v>
      </c>
      <c r="G85" s="26" t="s">
        <v>683</v>
      </c>
      <c r="H85" s="48" t="s">
        <v>693</v>
      </c>
      <c r="I85" s="25" t="s">
        <v>44</v>
      </c>
      <c r="J85" s="247">
        <v>67674</v>
      </c>
      <c r="K85" s="247">
        <v>48204</v>
      </c>
      <c r="L85" s="247">
        <f t="shared" si="5"/>
        <v>19470</v>
      </c>
      <c r="M85" s="248"/>
      <c r="N85" s="248"/>
      <c r="O85" s="248">
        <v>19470</v>
      </c>
      <c r="P85" s="248">
        <v>0</v>
      </c>
      <c r="Q85" s="248">
        <v>0</v>
      </c>
      <c r="R85" s="248">
        <v>0</v>
      </c>
      <c r="S85" s="248">
        <v>0</v>
      </c>
      <c r="T85" s="248">
        <v>0</v>
      </c>
      <c r="U85" s="248">
        <v>0</v>
      </c>
      <c r="V85" s="248"/>
      <c r="W85" s="248"/>
      <c r="X85" s="248"/>
      <c r="Y85" s="248">
        <v>19470</v>
      </c>
      <c r="Z85" s="249">
        <v>19470</v>
      </c>
      <c r="AA85" s="250">
        <v>6</v>
      </c>
      <c r="AB85" s="251">
        <v>44221</v>
      </c>
      <c r="AC85" s="252">
        <v>44225</v>
      </c>
      <c r="AD85" s="249"/>
      <c r="AE85" s="248"/>
      <c r="AF85" s="251"/>
      <c r="AG85" s="251"/>
      <c r="AH85" s="249"/>
      <c r="AI85" s="248"/>
      <c r="AJ85" s="251"/>
      <c r="AK85" s="248"/>
      <c r="AL85" s="249"/>
      <c r="AM85" s="248"/>
      <c r="AN85" s="248"/>
      <c r="AO85" s="248"/>
      <c r="AP85" s="248"/>
      <c r="AQ85" s="248"/>
      <c r="AR85" s="248"/>
      <c r="AS85" s="248"/>
      <c r="AT85" s="249"/>
      <c r="AU85" s="248"/>
      <c r="AV85" s="248"/>
      <c r="AW85" s="248"/>
      <c r="AX85" s="249"/>
      <c r="AY85" s="248"/>
      <c r="AZ85" s="248"/>
      <c r="BA85" s="248"/>
      <c r="BB85" s="248">
        <f t="shared" si="6"/>
        <v>19470</v>
      </c>
      <c r="BC85" s="248">
        <f t="shared" si="4"/>
        <v>0</v>
      </c>
    </row>
    <row r="86" spans="2:55" s="39" customFormat="1" ht="23.25" customHeight="1">
      <c r="B86" s="22">
        <f t="shared" si="7"/>
        <v>70</v>
      </c>
      <c r="C86" s="22" t="s">
        <v>65</v>
      </c>
      <c r="D86" s="23">
        <v>30317322</v>
      </c>
      <c r="E86" s="48" t="s">
        <v>780</v>
      </c>
      <c r="F86" s="48" t="s">
        <v>317</v>
      </c>
      <c r="G86" s="26" t="s">
        <v>683</v>
      </c>
      <c r="H86" s="48" t="s">
        <v>781</v>
      </c>
      <c r="I86" s="25" t="s">
        <v>44</v>
      </c>
      <c r="J86" s="247">
        <v>203015</v>
      </c>
      <c r="K86" s="247">
        <v>30675</v>
      </c>
      <c r="L86" s="247">
        <f t="shared" si="5"/>
        <v>172340</v>
      </c>
      <c r="M86" s="248"/>
      <c r="N86" s="248">
        <v>40000</v>
      </c>
      <c r="O86" s="248"/>
      <c r="P86" s="248">
        <v>0</v>
      </c>
      <c r="Q86" s="248">
        <v>0</v>
      </c>
      <c r="R86" s="248">
        <v>0</v>
      </c>
      <c r="S86" s="248">
        <v>0</v>
      </c>
      <c r="T86" s="248">
        <v>30000</v>
      </c>
      <c r="U86" s="248">
        <v>0</v>
      </c>
      <c r="V86" s="248"/>
      <c r="W86" s="248"/>
      <c r="X86" s="248"/>
      <c r="Y86" s="248">
        <v>70000</v>
      </c>
      <c r="Z86" s="249">
        <v>172339</v>
      </c>
      <c r="AA86" s="250">
        <v>6</v>
      </c>
      <c r="AB86" s="251">
        <v>44221</v>
      </c>
      <c r="AC86" s="252">
        <v>44225</v>
      </c>
      <c r="AD86" s="249"/>
      <c r="AE86" s="248"/>
      <c r="AF86" s="251"/>
      <c r="AG86" s="251"/>
      <c r="AH86" s="249"/>
      <c r="AI86" s="248"/>
      <c r="AJ86" s="251"/>
      <c r="AK86" s="248"/>
      <c r="AL86" s="249"/>
      <c r="AM86" s="248"/>
      <c r="AN86" s="248"/>
      <c r="AO86" s="248"/>
      <c r="AP86" s="248"/>
      <c r="AQ86" s="248"/>
      <c r="AR86" s="248"/>
      <c r="AS86" s="248"/>
      <c r="AT86" s="249"/>
      <c r="AU86" s="248"/>
      <c r="AV86" s="248"/>
      <c r="AW86" s="248"/>
      <c r="AX86" s="249"/>
      <c r="AY86" s="248"/>
      <c r="AZ86" s="248"/>
      <c r="BA86" s="248"/>
      <c r="BB86" s="248">
        <f t="shared" si="6"/>
        <v>172339</v>
      </c>
      <c r="BC86" s="248">
        <f t="shared" si="4"/>
        <v>102339</v>
      </c>
    </row>
    <row r="87" spans="2:55" s="39" customFormat="1" ht="23.25" customHeight="1">
      <c r="B87" s="22">
        <f t="shared" si="7"/>
        <v>71</v>
      </c>
      <c r="C87" s="22" t="s">
        <v>39</v>
      </c>
      <c r="D87" s="23">
        <v>30465933</v>
      </c>
      <c r="E87" s="48" t="s">
        <v>782</v>
      </c>
      <c r="F87" s="48" t="s">
        <v>317</v>
      </c>
      <c r="G87" s="26" t="s">
        <v>683</v>
      </c>
      <c r="H87" s="48" t="s">
        <v>742</v>
      </c>
      <c r="I87" s="25" t="s">
        <v>44</v>
      </c>
      <c r="J87" s="247">
        <v>565423</v>
      </c>
      <c r="K87" s="247">
        <v>57432</v>
      </c>
      <c r="L87" s="247">
        <f t="shared" si="5"/>
        <v>507991</v>
      </c>
      <c r="M87" s="248"/>
      <c r="N87" s="248"/>
      <c r="O87" s="248"/>
      <c r="P87" s="248"/>
      <c r="Q87" s="248"/>
      <c r="R87" s="248"/>
      <c r="S87" s="248">
        <v>0</v>
      </c>
      <c r="T87" s="248">
        <v>0</v>
      </c>
      <c r="U87" s="248">
        <v>0</v>
      </c>
      <c r="V87" s="248"/>
      <c r="W87" s="248"/>
      <c r="X87" s="248"/>
      <c r="Y87" s="248">
        <v>0</v>
      </c>
      <c r="Z87" s="249">
        <v>507991</v>
      </c>
      <c r="AA87" s="250">
        <v>6</v>
      </c>
      <c r="AB87" s="251">
        <v>44221</v>
      </c>
      <c r="AC87" s="252">
        <v>44225</v>
      </c>
      <c r="AD87" s="249">
        <v>-300000</v>
      </c>
      <c r="AE87" s="248">
        <v>84</v>
      </c>
      <c r="AF87" s="251">
        <v>44431</v>
      </c>
      <c r="AG87" s="251">
        <v>44433</v>
      </c>
      <c r="AH87" s="249"/>
      <c r="AI87" s="248"/>
      <c r="AJ87" s="251"/>
      <c r="AK87" s="248"/>
      <c r="AL87" s="249"/>
      <c r="AM87" s="248"/>
      <c r="AN87" s="248"/>
      <c r="AO87" s="248"/>
      <c r="AP87" s="248"/>
      <c r="AQ87" s="248"/>
      <c r="AR87" s="248"/>
      <c r="AS87" s="248"/>
      <c r="AT87" s="249"/>
      <c r="AU87" s="248"/>
      <c r="AV87" s="248"/>
      <c r="AW87" s="248"/>
      <c r="AX87" s="249"/>
      <c r="AY87" s="248"/>
      <c r="AZ87" s="248"/>
      <c r="BA87" s="248"/>
      <c r="BB87" s="248">
        <f t="shared" si="6"/>
        <v>207991</v>
      </c>
      <c r="BC87" s="248">
        <f t="shared" si="4"/>
        <v>207991</v>
      </c>
    </row>
    <row r="88" spans="2:55" s="39" customFormat="1" ht="23.25" customHeight="1">
      <c r="B88" s="22">
        <f t="shared" si="7"/>
        <v>72</v>
      </c>
      <c r="C88" s="22" t="s">
        <v>39</v>
      </c>
      <c r="D88" s="23">
        <v>30465049</v>
      </c>
      <c r="E88" s="48" t="s">
        <v>783</v>
      </c>
      <c r="F88" s="48" t="s">
        <v>317</v>
      </c>
      <c r="G88" s="26" t="s">
        <v>683</v>
      </c>
      <c r="H88" s="48" t="s">
        <v>683</v>
      </c>
      <c r="I88" s="25" t="s">
        <v>44</v>
      </c>
      <c r="J88" s="247">
        <v>1416994</v>
      </c>
      <c r="K88" s="247">
        <v>14230</v>
      </c>
      <c r="L88" s="247">
        <f t="shared" si="5"/>
        <v>1402764</v>
      </c>
      <c r="M88" s="248"/>
      <c r="N88" s="248"/>
      <c r="O88" s="248"/>
      <c r="P88" s="248"/>
      <c r="Q88" s="248"/>
      <c r="R88" s="248"/>
      <c r="S88" s="248">
        <v>0</v>
      </c>
      <c r="T88" s="248">
        <v>0</v>
      </c>
      <c r="U88" s="248">
        <v>0</v>
      </c>
      <c r="V88" s="248"/>
      <c r="W88" s="248"/>
      <c r="X88" s="248"/>
      <c r="Y88" s="248">
        <v>0</v>
      </c>
      <c r="Z88" s="249">
        <v>1402764</v>
      </c>
      <c r="AA88" s="250">
        <v>6</v>
      </c>
      <c r="AB88" s="251">
        <v>44221</v>
      </c>
      <c r="AC88" s="252">
        <v>44225</v>
      </c>
      <c r="AD88" s="249">
        <v>-1402763</v>
      </c>
      <c r="AE88" s="248">
        <v>24</v>
      </c>
      <c r="AF88" s="251">
        <v>44253</v>
      </c>
      <c r="AG88" s="252">
        <v>44286</v>
      </c>
      <c r="AH88" s="249"/>
      <c r="AI88" s="248"/>
      <c r="AJ88" s="251"/>
      <c r="AK88" s="248"/>
      <c r="AL88" s="249"/>
      <c r="AM88" s="248"/>
      <c r="AN88" s="248"/>
      <c r="AO88" s="248"/>
      <c r="AP88" s="248"/>
      <c r="AQ88" s="248"/>
      <c r="AR88" s="248"/>
      <c r="AS88" s="248"/>
      <c r="AT88" s="249"/>
      <c r="AU88" s="248"/>
      <c r="AV88" s="248"/>
      <c r="AW88" s="248"/>
      <c r="AX88" s="249"/>
      <c r="AY88" s="248"/>
      <c r="AZ88" s="248"/>
      <c r="BA88" s="248"/>
      <c r="BB88" s="248">
        <f t="shared" si="6"/>
        <v>1</v>
      </c>
      <c r="BC88" s="248">
        <f t="shared" si="4"/>
        <v>1</v>
      </c>
    </row>
    <row r="89" spans="2:55" s="39" customFormat="1" ht="23.25" customHeight="1">
      <c r="B89" s="22">
        <f t="shared" si="7"/>
        <v>73</v>
      </c>
      <c r="C89" s="22" t="s">
        <v>39</v>
      </c>
      <c r="D89" s="23">
        <v>30103864</v>
      </c>
      <c r="E89" s="48" t="s">
        <v>784</v>
      </c>
      <c r="F89" s="48" t="s">
        <v>317</v>
      </c>
      <c r="G89" s="26" t="s">
        <v>683</v>
      </c>
      <c r="H89" s="48" t="s">
        <v>785</v>
      </c>
      <c r="I89" s="25" t="s">
        <v>44</v>
      </c>
      <c r="J89" s="247">
        <v>333587</v>
      </c>
      <c r="K89" s="247">
        <v>255569</v>
      </c>
      <c r="L89" s="247">
        <f t="shared" si="5"/>
        <v>78018</v>
      </c>
      <c r="M89" s="248"/>
      <c r="N89" s="248"/>
      <c r="O89" s="248"/>
      <c r="P89" s="248">
        <v>2212.33</v>
      </c>
      <c r="Q89" s="248">
        <v>0</v>
      </c>
      <c r="R89" s="248">
        <v>0</v>
      </c>
      <c r="S89" s="248">
        <v>0</v>
      </c>
      <c r="T89" s="248">
        <v>0</v>
      </c>
      <c r="U89" s="248">
        <v>0</v>
      </c>
      <c r="V89" s="248"/>
      <c r="W89" s="248"/>
      <c r="X89" s="248"/>
      <c r="Y89" s="248">
        <v>2212.33</v>
      </c>
      <c r="Z89" s="249">
        <v>65018</v>
      </c>
      <c r="AA89" s="250">
        <v>6</v>
      </c>
      <c r="AB89" s="251">
        <v>44221</v>
      </c>
      <c r="AC89" s="252">
        <v>44225</v>
      </c>
      <c r="AD89" s="249"/>
      <c r="AE89" s="248"/>
      <c r="AF89" s="251"/>
      <c r="AG89" s="251"/>
      <c r="AH89" s="249"/>
      <c r="AI89" s="248"/>
      <c r="AJ89" s="251"/>
      <c r="AK89" s="248"/>
      <c r="AL89" s="249"/>
      <c r="AM89" s="248"/>
      <c r="AN89" s="248"/>
      <c r="AO89" s="248"/>
      <c r="AP89" s="248"/>
      <c r="AQ89" s="248"/>
      <c r="AR89" s="248"/>
      <c r="AS89" s="248"/>
      <c r="AT89" s="249"/>
      <c r="AU89" s="248"/>
      <c r="AV89" s="248"/>
      <c r="AW89" s="248"/>
      <c r="AX89" s="249"/>
      <c r="AY89" s="248"/>
      <c r="AZ89" s="248"/>
      <c r="BA89" s="248"/>
      <c r="BB89" s="248">
        <f t="shared" si="6"/>
        <v>65018</v>
      </c>
      <c r="BC89" s="248">
        <f t="shared" si="4"/>
        <v>62805.67</v>
      </c>
    </row>
    <row r="90" spans="2:55" s="39" customFormat="1" ht="23.25" customHeight="1">
      <c r="B90" s="22">
        <f t="shared" si="7"/>
        <v>74</v>
      </c>
      <c r="C90" s="22" t="s">
        <v>39</v>
      </c>
      <c r="D90" s="23">
        <v>30078248</v>
      </c>
      <c r="E90" s="48" t="s">
        <v>786</v>
      </c>
      <c r="F90" s="48" t="s">
        <v>317</v>
      </c>
      <c r="G90" s="26" t="s">
        <v>683</v>
      </c>
      <c r="H90" s="48" t="s">
        <v>683</v>
      </c>
      <c r="I90" s="25" t="s">
        <v>44</v>
      </c>
      <c r="J90" s="247">
        <v>5325527</v>
      </c>
      <c r="K90" s="247">
        <v>36501</v>
      </c>
      <c r="L90" s="247">
        <f t="shared" si="5"/>
        <v>5289026</v>
      </c>
      <c r="M90" s="248"/>
      <c r="N90" s="248">
        <v>5854.2</v>
      </c>
      <c r="O90" s="248"/>
      <c r="P90" s="248">
        <v>8781.2999999999993</v>
      </c>
      <c r="Q90" s="248">
        <v>2927.1</v>
      </c>
      <c r="R90" s="248">
        <v>0</v>
      </c>
      <c r="S90" s="248">
        <v>5854.2</v>
      </c>
      <c r="T90" s="248">
        <v>0</v>
      </c>
      <c r="U90" s="248">
        <v>0</v>
      </c>
      <c r="V90" s="248"/>
      <c r="W90" s="248"/>
      <c r="X90" s="248"/>
      <c r="Y90" s="248">
        <v>23416.799999999999</v>
      </c>
      <c r="Z90" s="249">
        <v>2649486</v>
      </c>
      <c r="AA90" s="250">
        <v>7</v>
      </c>
      <c r="AB90" s="251">
        <v>44221</v>
      </c>
      <c r="AC90" s="252">
        <v>44225</v>
      </c>
      <c r="AD90" s="249">
        <v>-2476973</v>
      </c>
      <c r="AE90" s="248">
        <v>24</v>
      </c>
      <c r="AF90" s="251">
        <v>44253</v>
      </c>
      <c r="AG90" s="251">
        <v>44263</v>
      </c>
      <c r="AH90" s="249"/>
      <c r="AI90" s="248"/>
      <c r="AJ90" s="251"/>
      <c r="AK90" s="248"/>
      <c r="AL90" s="249"/>
      <c r="AM90" s="248"/>
      <c r="AN90" s="248"/>
      <c r="AO90" s="248"/>
      <c r="AP90" s="248"/>
      <c r="AQ90" s="248"/>
      <c r="AR90" s="248"/>
      <c r="AS90" s="248"/>
      <c r="AT90" s="249"/>
      <c r="AU90" s="248"/>
      <c r="AV90" s="248"/>
      <c r="AW90" s="248"/>
      <c r="AX90" s="249"/>
      <c r="AY90" s="248"/>
      <c r="AZ90" s="248"/>
      <c r="BA90" s="248"/>
      <c r="BB90" s="248">
        <f t="shared" si="6"/>
        <v>172513</v>
      </c>
      <c r="BC90" s="248">
        <f t="shared" si="4"/>
        <v>149096.20000000001</v>
      </c>
    </row>
    <row r="91" spans="2:55" s="39" customFormat="1" ht="31.5" customHeight="1">
      <c r="B91" s="22">
        <f t="shared" si="7"/>
        <v>75</v>
      </c>
      <c r="C91" s="22" t="s">
        <v>131</v>
      </c>
      <c r="D91" s="23">
        <v>40001122</v>
      </c>
      <c r="E91" s="48" t="s">
        <v>787</v>
      </c>
      <c r="F91" s="48" t="s">
        <v>317</v>
      </c>
      <c r="G91" s="26" t="s">
        <v>683</v>
      </c>
      <c r="H91" s="48" t="s">
        <v>693</v>
      </c>
      <c r="I91" s="25" t="s">
        <v>44</v>
      </c>
      <c r="J91" s="247">
        <v>466026</v>
      </c>
      <c r="K91" s="247">
        <v>314981</v>
      </c>
      <c r="L91" s="247">
        <f t="shared" si="5"/>
        <v>151045</v>
      </c>
      <c r="M91" s="248"/>
      <c r="N91" s="248"/>
      <c r="O91" s="248"/>
      <c r="P91" s="248"/>
      <c r="Q91" s="248"/>
      <c r="R91" s="248"/>
      <c r="S91" s="248">
        <v>0</v>
      </c>
      <c r="T91" s="248">
        <v>0</v>
      </c>
      <c r="U91" s="248">
        <v>0</v>
      </c>
      <c r="V91" s="248"/>
      <c r="W91" s="248"/>
      <c r="X91" s="248"/>
      <c r="Y91" s="248">
        <v>0</v>
      </c>
      <c r="Z91" s="249">
        <v>151045</v>
      </c>
      <c r="AA91" s="250">
        <v>8</v>
      </c>
      <c r="AB91" s="251">
        <v>44221</v>
      </c>
      <c r="AC91" s="252">
        <v>44225</v>
      </c>
      <c r="AD91" s="249">
        <v>-151045</v>
      </c>
      <c r="AE91" s="248">
        <v>76</v>
      </c>
      <c r="AF91" s="251">
        <v>44406</v>
      </c>
      <c r="AG91" s="251">
        <v>44418</v>
      </c>
      <c r="AH91" s="249"/>
      <c r="AI91" s="248"/>
      <c r="AJ91" s="251"/>
      <c r="AK91" s="248"/>
      <c r="AL91" s="249"/>
      <c r="AM91" s="248"/>
      <c r="AN91" s="248"/>
      <c r="AO91" s="248"/>
      <c r="AP91" s="248"/>
      <c r="AQ91" s="248"/>
      <c r="AR91" s="248"/>
      <c r="AS91" s="248"/>
      <c r="AT91" s="249"/>
      <c r="AU91" s="248"/>
      <c r="AV91" s="248"/>
      <c r="AW91" s="248"/>
      <c r="AX91" s="249"/>
      <c r="AY91" s="248"/>
      <c r="AZ91" s="248"/>
      <c r="BA91" s="248"/>
      <c r="BB91" s="248">
        <f t="shared" si="6"/>
        <v>0</v>
      </c>
      <c r="BC91" s="248">
        <f t="shared" si="4"/>
        <v>0</v>
      </c>
    </row>
    <row r="92" spans="2:55" s="39" customFormat="1" ht="23.25" customHeight="1">
      <c r="B92" s="22">
        <f t="shared" si="7"/>
        <v>76</v>
      </c>
      <c r="C92" s="22" t="s">
        <v>39</v>
      </c>
      <c r="D92" s="23">
        <v>30484096</v>
      </c>
      <c r="E92" s="48" t="s">
        <v>788</v>
      </c>
      <c r="F92" s="48" t="s">
        <v>700</v>
      </c>
      <c r="G92" s="26" t="s">
        <v>683</v>
      </c>
      <c r="H92" s="48" t="s">
        <v>693</v>
      </c>
      <c r="I92" s="25" t="s">
        <v>44</v>
      </c>
      <c r="J92" s="247">
        <v>251775</v>
      </c>
      <c r="K92" s="247">
        <v>105175</v>
      </c>
      <c r="L92" s="247">
        <f t="shared" si="5"/>
        <v>146600</v>
      </c>
      <c r="M92" s="248"/>
      <c r="N92" s="248"/>
      <c r="O92" s="248"/>
      <c r="P92" s="248"/>
      <c r="Q92" s="248"/>
      <c r="R92" s="248"/>
      <c r="S92" s="248">
        <v>0</v>
      </c>
      <c r="T92" s="248">
        <v>0</v>
      </c>
      <c r="U92" s="248">
        <v>0</v>
      </c>
      <c r="V92" s="248"/>
      <c r="W92" s="248"/>
      <c r="X92" s="248"/>
      <c r="Y92" s="248">
        <v>0</v>
      </c>
      <c r="Z92" s="249">
        <v>146600</v>
      </c>
      <c r="AA92" s="250">
        <v>8</v>
      </c>
      <c r="AB92" s="251">
        <v>44221</v>
      </c>
      <c r="AC92" s="252">
        <v>44225</v>
      </c>
      <c r="AD92" s="249"/>
      <c r="AE92" s="248"/>
      <c r="AF92" s="251"/>
      <c r="AG92" s="251"/>
      <c r="AH92" s="249"/>
      <c r="AI92" s="248"/>
      <c r="AJ92" s="251"/>
      <c r="AK92" s="248"/>
      <c r="AL92" s="249"/>
      <c r="AM92" s="248"/>
      <c r="AN92" s="248"/>
      <c r="AO92" s="248"/>
      <c r="AP92" s="248"/>
      <c r="AQ92" s="248"/>
      <c r="AR92" s="248"/>
      <c r="AS92" s="248"/>
      <c r="AT92" s="249"/>
      <c r="AU92" s="248"/>
      <c r="AV92" s="248"/>
      <c r="AW92" s="248"/>
      <c r="AX92" s="249"/>
      <c r="AY92" s="248"/>
      <c r="AZ92" s="248"/>
      <c r="BA92" s="248"/>
      <c r="BB92" s="248">
        <f t="shared" si="6"/>
        <v>146600</v>
      </c>
      <c r="BC92" s="248">
        <f t="shared" si="4"/>
        <v>146600</v>
      </c>
    </row>
    <row r="93" spans="2:55" s="39" customFormat="1" ht="23.25" customHeight="1">
      <c r="B93" s="22">
        <f t="shared" si="7"/>
        <v>77</v>
      </c>
      <c r="C93" s="22" t="s">
        <v>39</v>
      </c>
      <c r="D93" s="23">
        <v>40009852</v>
      </c>
      <c r="E93" s="48" t="s">
        <v>789</v>
      </c>
      <c r="F93" s="48" t="s">
        <v>317</v>
      </c>
      <c r="G93" s="26" t="s">
        <v>683</v>
      </c>
      <c r="H93" s="48" t="s">
        <v>790</v>
      </c>
      <c r="I93" s="25" t="s">
        <v>44</v>
      </c>
      <c r="J93" s="247">
        <v>176959</v>
      </c>
      <c r="K93" s="247">
        <v>77196</v>
      </c>
      <c r="L93" s="247">
        <f t="shared" si="5"/>
        <v>99763</v>
      </c>
      <c r="M93" s="248"/>
      <c r="N93" s="248"/>
      <c r="O93" s="248"/>
      <c r="P93" s="248"/>
      <c r="Q93" s="248"/>
      <c r="R93" s="248"/>
      <c r="S93" s="248">
        <v>0</v>
      </c>
      <c r="T93" s="248">
        <v>0</v>
      </c>
      <c r="U93" s="248">
        <v>0</v>
      </c>
      <c r="V93" s="248"/>
      <c r="W93" s="248"/>
      <c r="X93" s="248"/>
      <c r="Y93" s="248">
        <v>0</v>
      </c>
      <c r="Z93" s="249">
        <v>99763</v>
      </c>
      <c r="AA93" s="250">
        <v>8</v>
      </c>
      <c r="AB93" s="251">
        <v>44221</v>
      </c>
      <c r="AC93" s="252">
        <v>44225</v>
      </c>
      <c r="AD93" s="249"/>
      <c r="AE93" s="248"/>
      <c r="AF93" s="251"/>
      <c r="AG93" s="251"/>
      <c r="AH93" s="249"/>
      <c r="AI93" s="248"/>
      <c r="AJ93" s="251"/>
      <c r="AK93" s="248"/>
      <c r="AL93" s="249"/>
      <c r="AM93" s="248"/>
      <c r="AN93" s="248"/>
      <c r="AO93" s="248"/>
      <c r="AP93" s="248"/>
      <c r="AQ93" s="248"/>
      <c r="AR93" s="248"/>
      <c r="AS93" s="248"/>
      <c r="AT93" s="249"/>
      <c r="AU93" s="248"/>
      <c r="AV93" s="248"/>
      <c r="AW93" s="248"/>
      <c r="AX93" s="249"/>
      <c r="AY93" s="248"/>
      <c r="AZ93" s="248"/>
      <c r="BA93" s="248"/>
      <c r="BB93" s="248">
        <f t="shared" si="6"/>
        <v>99763</v>
      </c>
      <c r="BC93" s="248">
        <f t="shared" si="4"/>
        <v>99763</v>
      </c>
    </row>
    <row r="94" spans="2:55" s="39" customFormat="1" ht="23.25" customHeight="1">
      <c r="B94" s="22">
        <f t="shared" si="7"/>
        <v>78</v>
      </c>
      <c r="C94" s="22" t="s">
        <v>39</v>
      </c>
      <c r="D94" s="23">
        <v>30459960</v>
      </c>
      <c r="E94" s="48" t="s">
        <v>791</v>
      </c>
      <c r="F94" s="48" t="s">
        <v>317</v>
      </c>
      <c r="G94" s="26" t="s">
        <v>683</v>
      </c>
      <c r="H94" s="48" t="s">
        <v>792</v>
      </c>
      <c r="I94" s="25" t="s">
        <v>44</v>
      </c>
      <c r="J94" s="247">
        <v>3109346</v>
      </c>
      <c r="K94" s="247">
        <v>1974112</v>
      </c>
      <c r="L94" s="247">
        <f t="shared" si="5"/>
        <v>1135234</v>
      </c>
      <c r="M94" s="248"/>
      <c r="N94" s="248"/>
      <c r="O94" s="248"/>
      <c r="P94" s="248">
        <v>10500</v>
      </c>
      <c r="Q94" s="248">
        <v>0</v>
      </c>
      <c r="R94" s="248">
        <v>0</v>
      </c>
      <c r="S94" s="248">
        <v>0</v>
      </c>
      <c r="T94" s="248">
        <v>0</v>
      </c>
      <c r="U94" s="248">
        <v>0</v>
      </c>
      <c r="V94" s="248"/>
      <c r="W94" s="248"/>
      <c r="X94" s="248"/>
      <c r="Y94" s="248">
        <v>10500</v>
      </c>
      <c r="Z94" s="249">
        <v>1135234</v>
      </c>
      <c r="AA94" s="250">
        <v>8</v>
      </c>
      <c r="AB94" s="251">
        <v>44221</v>
      </c>
      <c r="AC94" s="252">
        <v>44225</v>
      </c>
      <c r="AD94" s="249">
        <v>-200000</v>
      </c>
      <c r="AE94" s="248">
        <v>49</v>
      </c>
      <c r="AF94" s="251">
        <v>44348</v>
      </c>
      <c r="AG94" s="252">
        <v>44354</v>
      </c>
      <c r="AH94" s="249">
        <v>-300000</v>
      </c>
      <c r="AI94" s="248">
        <v>84</v>
      </c>
      <c r="AJ94" s="251">
        <v>44431</v>
      </c>
      <c r="AK94" s="252">
        <v>44433</v>
      </c>
      <c r="AL94" s="249"/>
      <c r="AM94" s="248"/>
      <c r="AN94" s="248"/>
      <c r="AO94" s="248"/>
      <c r="AP94" s="248"/>
      <c r="AQ94" s="248"/>
      <c r="AR94" s="248"/>
      <c r="AS94" s="248"/>
      <c r="AT94" s="249"/>
      <c r="AU94" s="248"/>
      <c r="AV94" s="248"/>
      <c r="AW94" s="248"/>
      <c r="AX94" s="249"/>
      <c r="AY94" s="248"/>
      <c r="AZ94" s="248"/>
      <c r="BA94" s="248"/>
      <c r="BB94" s="248">
        <f t="shared" si="6"/>
        <v>635234</v>
      </c>
      <c r="BC94" s="248">
        <f t="shared" si="4"/>
        <v>624734</v>
      </c>
    </row>
    <row r="95" spans="2:55" s="39" customFormat="1" ht="23.25" customHeight="1">
      <c r="B95" s="22">
        <f t="shared" si="7"/>
        <v>79</v>
      </c>
      <c r="C95" s="22" t="s">
        <v>39</v>
      </c>
      <c r="D95" s="23">
        <v>40005875</v>
      </c>
      <c r="E95" s="48" t="s">
        <v>793</v>
      </c>
      <c r="F95" s="48" t="s">
        <v>317</v>
      </c>
      <c r="G95" s="26" t="s">
        <v>683</v>
      </c>
      <c r="H95" s="48" t="s">
        <v>686</v>
      </c>
      <c r="I95" s="25" t="s">
        <v>44</v>
      </c>
      <c r="J95" s="247">
        <v>79371</v>
      </c>
      <c r="K95" s="247">
        <v>71407</v>
      </c>
      <c r="L95" s="247">
        <f t="shared" si="5"/>
        <v>7964</v>
      </c>
      <c r="M95" s="248"/>
      <c r="N95" s="248"/>
      <c r="O95" s="248"/>
      <c r="P95" s="248">
        <v>0</v>
      </c>
      <c r="Q95" s="248">
        <v>0</v>
      </c>
      <c r="R95" s="248">
        <v>4057.904</v>
      </c>
      <c r="S95" s="248">
        <v>0</v>
      </c>
      <c r="T95" s="248">
        <v>0</v>
      </c>
      <c r="U95" s="248">
        <v>0</v>
      </c>
      <c r="V95" s="248"/>
      <c r="W95" s="248"/>
      <c r="X95" s="248"/>
      <c r="Y95" s="248">
        <v>4057.904</v>
      </c>
      <c r="Z95" s="249">
        <v>7964</v>
      </c>
      <c r="AA95" s="250">
        <v>8</v>
      </c>
      <c r="AB95" s="251">
        <v>44221</v>
      </c>
      <c r="AC95" s="252">
        <v>44225</v>
      </c>
      <c r="AD95" s="249"/>
      <c r="AE95" s="248"/>
      <c r="AF95" s="251"/>
      <c r="AG95" s="251"/>
      <c r="AH95" s="249"/>
      <c r="AI95" s="248"/>
      <c r="AJ95" s="251"/>
      <c r="AK95" s="248"/>
      <c r="AL95" s="249"/>
      <c r="AM95" s="248"/>
      <c r="AN95" s="248"/>
      <c r="AO95" s="248"/>
      <c r="AP95" s="248"/>
      <c r="AQ95" s="248"/>
      <c r="AR95" s="248"/>
      <c r="AS95" s="248"/>
      <c r="AT95" s="249"/>
      <c r="AU95" s="248"/>
      <c r="AV95" s="248"/>
      <c r="AW95" s="248"/>
      <c r="AX95" s="249"/>
      <c r="AY95" s="248"/>
      <c r="AZ95" s="248"/>
      <c r="BA95" s="248"/>
      <c r="BB95" s="248">
        <f t="shared" si="6"/>
        <v>7964</v>
      </c>
      <c r="BC95" s="248">
        <f t="shared" si="4"/>
        <v>3906.096</v>
      </c>
    </row>
    <row r="96" spans="2:55" s="39" customFormat="1" ht="23.25" customHeight="1">
      <c r="B96" s="22">
        <f t="shared" si="7"/>
        <v>80</v>
      </c>
      <c r="C96" s="22" t="s">
        <v>39</v>
      </c>
      <c r="D96" s="23">
        <v>30444424</v>
      </c>
      <c r="E96" s="48" t="s">
        <v>794</v>
      </c>
      <c r="F96" s="48" t="s">
        <v>700</v>
      </c>
      <c r="G96" s="26" t="s">
        <v>683</v>
      </c>
      <c r="H96" s="48" t="s">
        <v>795</v>
      </c>
      <c r="I96" s="25" t="s">
        <v>44</v>
      </c>
      <c r="J96" s="247">
        <v>93892</v>
      </c>
      <c r="K96" s="247">
        <v>66161</v>
      </c>
      <c r="L96" s="247">
        <f t="shared" si="5"/>
        <v>27731</v>
      </c>
      <c r="M96" s="248"/>
      <c r="N96" s="248"/>
      <c r="O96" s="248"/>
      <c r="P96" s="248"/>
      <c r="Q96" s="248"/>
      <c r="R96" s="248"/>
      <c r="S96" s="248">
        <v>0</v>
      </c>
      <c r="T96" s="248">
        <v>0</v>
      </c>
      <c r="U96" s="248">
        <v>0</v>
      </c>
      <c r="V96" s="248"/>
      <c r="W96" s="248"/>
      <c r="X96" s="248"/>
      <c r="Y96" s="248">
        <v>0</v>
      </c>
      <c r="Z96" s="249">
        <v>27731</v>
      </c>
      <c r="AA96" s="250">
        <v>8</v>
      </c>
      <c r="AB96" s="251">
        <v>44221</v>
      </c>
      <c r="AC96" s="252">
        <v>44225</v>
      </c>
      <c r="AD96" s="249"/>
      <c r="AE96" s="248"/>
      <c r="AF96" s="251"/>
      <c r="AG96" s="251"/>
      <c r="AH96" s="249"/>
      <c r="AI96" s="248"/>
      <c r="AJ96" s="251"/>
      <c r="AK96" s="248"/>
      <c r="AL96" s="249"/>
      <c r="AM96" s="248"/>
      <c r="AN96" s="248"/>
      <c r="AO96" s="248"/>
      <c r="AP96" s="248"/>
      <c r="AQ96" s="248"/>
      <c r="AR96" s="248"/>
      <c r="AS96" s="248"/>
      <c r="AT96" s="249"/>
      <c r="AU96" s="248"/>
      <c r="AV96" s="248"/>
      <c r="AW96" s="248"/>
      <c r="AX96" s="249"/>
      <c r="AY96" s="248"/>
      <c r="AZ96" s="248"/>
      <c r="BA96" s="248"/>
      <c r="BB96" s="248">
        <f t="shared" si="6"/>
        <v>27731</v>
      </c>
      <c r="BC96" s="248">
        <f t="shared" si="4"/>
        <v>27731</v>
      </c>
    </row>
    <row r="97" spans="2:55" s="39" customFormat="1" ht="23.25" customHeight="1">
      <c r="B97" s="22">
        <f t="shared" si="7"/>
        <v>81</v>
      </c>
      <c r="C97" s="22" t="s">
        <v>39</v>
      </c>
      <c r="D97" s="23">
        <v>40005869</v>
      </c>
      <c r="E97" s="48" t="s">
        <v>796</v>
      </c>
      <c r="F97" s="48" t="s">
        <v>700</v>
      </c>
      <c r="G97" s="26" t="s">
        <v>683</v>
      </c>
      <c r="H97" s="48" t="s">
        <v>695</v>
      </c>
      <c r="I97" s="25" t="s">
        <v>44</v>
      </c>
      <c r="J97" s="247">
        <v>168627</v>
      </c>
      <c r="K97" s="247">
        <v>59876</v>
      </c>
      <c r="L97" s="247">
        <f t="shared" si="5"/>
        <v>108751</v>
      </c>
      <c r="M97" s="248"/>
      <c r="N97" s="248"/>
      <c r="O97" s="248">
        <v>16730.89</v>
      </c>
      <c r="P97" s="248">
        <v>0</v>
      </c>
      <c r="Q97" s="248">
        <v>0</v>
      </c>
      <c r="R97" s="248">
        <v>0</v>
      </c>
      <c r="S97" s="248">
        <v>0</v>
      </c>
      <c r="T97" s="248">
        <v>0</v>
      </c>
      <c r="U97" s="248">
        <v>0</v>
      </c>
      <c r="V97" s="248"/>
      <c r="W97" s="248"/>
      <c r="X97" s="248"/>
      <c r="Y97" s="248">
        <v>16730.89</v>
      </c>
      <c r="Z97" s="249">
        <v>108751</v>
      </c>
      <c r="AA97" s="250">
        <v>8</v>
      </c>
      <c r="AB97" s="251">
        <v>44221</v>
      </c>
      <c r="AC97" s="252">
        <v>44225</v>
      </c>
      <c r="AD97" s="249"/>
      <c r="AE97" s="248"/>
      <c r="AF97" s="251"/>
      <c r="AG97" s="251"/>
      <c r="AH97" s="249"/>
      <c r="AI97" s="248"/>
      <c r="AJ97" s="251"/>
      <c r="AK97" s="248"/>
      <c r="AL97" s="249"/>
      <c r="AM97" s="248"/>
      <c r="AN97" s="248"/>
      <c r="AO97" s="248"/>
      <c r="AP97" s="248"/>
      <c r="AQ97" s="248"/>
      <c r="AR97" s="248"/>
      <c r="AS97" s="248"/>
      <c r="AT97" s="249"/>
      <c r="AU97" s="248"/>
      <c r="AV97" s="248"/>
      <c r="AW97" s="248"/>
      <c r="AX97" s="249"/>
      <c r="AY97" s="248"/>
      <c r="AZ97" s="248"/>
      <c r="BA97" s="248"/>
      <c r="BB97" s="248">
        <f t="shared" si="6"/>
        <v>108751</v>
      </c>
      <c r="BC97" s="248">
        <f t="shared" si="4"/>
        <v>92020.11</v>
      </c>
    </row>
    <row r="98" spans="2:55" s="39" customFormat="1" ht="23.25" customHeight="1">
      <c r="B98" s="22">
        <f t="shared" si="7"/>
        <v>82</v>
      </c>
      <c r="C98" s="22" t="s">
        <v>39</v>
      </c>
      <c r="D98" s="23">
        <v>30482540</v>
      </c>
      <c r="E98" s="48" t="s">
        <v>797</v>
      </c>
      <c r="F98" s="48" t="s">
        <v>317</v>
      </c>
      <c r="G98" s="26" t="s">
        <v>683</v>
      </c>
      <c r="H98" s="48" t="s">
        <v>686</v>
      </c>
      <c r="I98" s="25" t="s">
        <v>44</v>
      </c>
      <c r="J98" s="247">
        <v>711980</v>
      </c>
      <c r="K98" s="247">
        <v>686330</v>
      </c>
      <c r="L98" s="247">
        <f t="shared" si="5"/>
        <v>25650</v>
      </c>
      <c r="M98" s="248"/>
      <c r="N98" s="248"/>
      <c r="O98" s="248"/>
      <c r="P98" s="248">
        <v>24397.508999999998</v>
      </c>
      <c r="Q98" s="248">
        <v>0</v>
      </c>
      <c r="R98" s="248">
        <v>0</v>
      </c>
      <c r="S98" s="248">
        <v>0</v>
      </c>
      <c r="T98" s="248">
        <v>0</v>
      </c>
      <c r="U98" s="248">
        <v>0</v>
      </c>
      <c r="V98" s="248"/>
      <c r="W98" s="248"/>
      <c r="X98" s="248"/>
      <c r="Y98" s="248">
        <v>24397.508999999998</v>
      </c>
      <c r="Z98" s="249">
        <v>25650</v>
      </c>
      <c r="AA98" s="250">
        <v>8</v>
      </c>
      <c r="AB98" s="251">
        <v>44221</v>
      </c>
      <c r="AC98" s="252">
        <v>44225</v>
      </c>
      <c r="AD98" s="249"/>
      <c r="AE98" s="248"/>
      <c r="AF98" s="251"/>
      <c r="AG98" s="251"/>
      <c r="AH98" s="249"/>
      <c r="AI98" s="248"/>
      <c r="AJ98" s="251"/>
      <c r="AK98" s="248"/>
      <c r="AL98" s="249"/>
      <c r="AM98" s="248"/>
      <c r="AN98" s="248"/>
      <c r="AO98" s="248"/>
      <c r="AP98" s="248"/>
      <c r="AQ98" s="248"/>
      <c r="AR98" s="248"/>
      <c r="AS98" s="248"/>
      <c r="AT98" s="249"/>
      <c r="AU98" s="248"/>
      <c r="AV98" s="248"/>
      <c r="AW98" s="248"/>
      <c r="AX98" s="249"/>
      <c r="AY98" s="248"/>
      <c r="AZ98" s="248"/>
      <c r="BA98" s="248"/>
      <c r="BB98" s="248">
        <f t="shared" si="6"/>
        <v>25650</v>
      </c>
      <c r="BC98" s="248">
        <f t="shared" si="4"/>
        <v>1252.4910000000018</v>
      </c>
    </row>
    <row r="99" spans="2:55" s="39" customFormat="1" ht="23.25" customHeight="1">
      <c r="B99" s="22">
        <f t="shared" si="7"/>
        <v>83</v>
      </c>
      <c r="C99" s="22" t="s">
        <v>39</v>
      </c>
      <c r="D99" s="23">
        <v>40010661</v>
      </c>
      <c r="E99" s="48" t="s">
        <v>798</v>
      </c>
      <c r="F99" s="48" t="s">
        <v>317</v>
      </c>
      <c r="G99" s="26" t="s">
        <v>683</v>
      </c>
      <c r="H99" s="48" t="s">
        <v>790</v>
      </c>
      <c r="I99" s="25" t="s">
        <v>44</v>
      </c>
      <c r="J99" s="247">
        <v>129178</v>
      </c>
      <c r="K99" s="247">
        <v>57513</v>
      </c>
      <c r="L99" s="247">
        <f t="shared" si="5"/>
        <v>71665</v>
      </c>
      <c r="M99" s="248"/>
      <c r="N99" s="248">
        <v>33724.555</v>
      </c>
      <c r="O99" s="248"/>
      <c r="P99" s="248">
        <v>0</v>
      </c>
      <c r="Q99" s="248">
        <v>0</v>
      </c>
      <c r="R99" s="248">
        <v>0</v>
      </c>
      <c r="S99" s="248">
        <v>0</v>
      </c>
      <c r="T99" s="248">
        <v>0</v>
      </c>
      <c r="U99" s="248">
        <v>0</v>
      </c>
      <c r="V99" s="248"/>
      <c r="W99" s="248"/>
      <c r="X99" s="248"/>
      <c r="Y99" s="248">
        <v>33724.555</v>
      </c>
      <c r="Z99" s="249">
        <v>71665</v>
      </c>
      <c r="AA99" s="250">
        <v>8</v>
      </c>
      <c r="AB99" s="251">
        <v>44221</v>
      </c>
      <c r="AC99" s="252">
        <v>44225</v>
      </c>
      <c r="AD99" s="249"/>
      <c r="AE99" s="248"/>
      <c r="AF99" s="251"/>
      <c r="AG99" s="251"/>
      <c r="AH99" s="249"/>
      <c r="AI99" s="248"/>
      <c r="AJ99" s="251"/>
      <c r="AK99" s="248"/>
      <c r="AL99" s="249"/>
      <c r="AM99" s="248"/>
      <c r="AN99" s="248"/>
      <c r="AO99" s="248"/>
      <c r="AP99" s="248"/>
      <c r="AQ99" s="248"/>
      <c r="AR99" s="248"/>
      <c r="AS99" s="248"/>
      <c r="AT99" s="249"/>
      <c r="AU99" s="248"/>
      <c r="AV99" s="248"/>
      <c r="AW99" s="248"/>
      <c r="AX99" s="249"/>
      <c r="AY99" s="248"/>
      <c r="AZ99" s="248"/>
      <c r="BA99" s="248"/>
      <c r="BB99" s="248">
        <f t="shared" si="6"/>
        <v>71665</v>
      </c>
      <c r="BC99" s="248">
        <f t="shared" si="4"/>
        <v>37940.445</v>
      </c>
    </row>
    <row r="100" spans="2:55" s="39" customFormat="1" ht="23.25" customHeight="1">
      <c r="B100" s="22">
        <f t="shared" si="7"/>
        <v>84</v>
      </c>
      <c r="C100" s="22" t="s">
        <v>39</v>
      </c>
      <c r="D100" s="23">
        <v>40008168</v>
      </c>
      <c r="E100" s="48" t="s">
        <v>799</v>
      </c>
      <c r="F100" s="48" t="s">
        <v>317</v>
      </c>
      <c r="G100" s="26" t="s">
        <v>683</v>
      </c>
      <c r="H100" s="48" t="s">
        <v>790</v>
      </c>
      <c r="I100" s="25" t="s">
        <v>44</v>
      </c>
      <c r="J100" s="247">
        <v>329121</v>
      </c>
      <c r="K100" s="247">
        <v>57435</v>
      </c>
      <c r="L100" s="247">
        <f t="shared" si="5"/>
        <v>271686</v>
      </c>
      <c r="M100" s="248"/>
      <c r="N100" s="248"/>
      <c r="O100" s="248"/>
      <c r="P100" s="248">
        <v>1320</v>
      </c>
      <c r="Q100" s="248">
        <v>0</v>
      </c>
      <c r="R100" s="248">
        <v>108743.251</v>
      </c>
      <c r="S100" s="248">
        <v>0</v>
      </c>
      <c r="T100" s="248">
        <v>0</v>
      </c>
      <c r="U100" s="248">
        <v>0</v>
      </c>
      <c r="V100" s="248"/>
      <c r="W100" s="248"/>
      <c r="X100" s="248"/>
      <c r="Y100" s="248">
        <v>110063.251</v>
      </c>
      <c r="Z100" s="249">
        <v>271686</v>
      </c>
      <c r="AA100" s="250">
        <v>8</v>
      </c>
      <c r="AB100" s="251">
        <v>44221</v>
      </c>
      <c r="AC100" s="252">
        <v>44225</v>
      </c>
      <c r="AD100" s="249"/>
      <c r="AE100" s="248"/>
      <c r="AF100" s="251"/>
      <c r="AG100" s="251"/>
      <c r="AH100" s="249"/>
      <c r="AI100" s="248"/>
      <c r="AJ100" s="251"/>
      <c r="AK100" s="248"/>
      <c r="AL100" s="249"/>
      <c r="AM100" s="248"/>
      <c r="AN100" s="248"/>
      <c r="AO100" s="248"/>
      <c r="AP100" s="248"/>
      <c r="AQ100" s="248"/>
      <c r="AR100" s="248"/>
      <c r="AS100" s="248"/>
      <c r="AT100" s="249"/>
      <c r="AU100" s="248"/>
      <c r="AV100" s="248"/>
      <c r="AW100" s="248"/>
      <c r="AX100" s="249"/>
      <c r="AY100" s="248"/>
      <c r="AZ100" s="248"/>
      <c r="BA100" s="248"/>
      <c r="BB100" s="248">
        <f t="shared" si="6"/>
        <v>271686</v>
      </c>
      <c r="BC100" s="248">
        <f t="shared" si="4"/>
        <v>161622.74900000001</v>
      </c>
    </row>
    <row r="101" spans="2:55" s="39" customFormat="1" ht="23.25" customHeight="1">
      <c r="B101" s="22">
        <f t="shared" si="7"/>
        <v>85</v>
      </c>
      <c r="C101" s="22" t="s">
        <v>39</v>
      </c>
      <c r="D101" s="23">
        <v>30133162</v>
      </c>
      <c r="E101" s="48" t="s">
        <v>800</v>
      </c>
      <c r="F101" s="48" t="s">
        <v>83</v>
      </c>
      <c r="G101" s="26" t="s">
        <v>683</v>
      </c>
      <c r="H101" s="48" t="s">
        <v>686</v>
      </c>
      <c r="I101" s="25" t="s">
        <v>44</v>
      </c>
      <c r="J101" s="247">
        <v>163600</v>
      </c>
      <c r="K101" s="247">
        <v>144546</v>
      </c>
      <c r="L101" s="247">
        <f t="shared" si="5"/>
        <v>19054</v>
      </c>
      <c r="M101" s="248"/>
      <c r="N101" s="248"/>
      <c r="O101" s="248"/>
      <c r="P101" s="248"/>
      <c r="Q101" s="248"/>
      <c r="R101" s="248"/>
      <c r="S101" s="248">
        <v>0</v>
      </c>
      <c r="T101" s="248">
        <v>0</v>
      </c>
      <c r="U101" s="248">
        <v>19053.848999999998</v>
      </c>
      <c r="V101" s="248"/>
      <c r="W101" s="248"/>
      <c r="X101" s="248"/>
      <c r="Y101" s="248">
        <v>19053.848999999998</v>
      </c>
      <c r="Z101" s="249">
        <v>19054</v>
      </c>
      <c r="AA101" s="250">
        <v>8</v>
      </c>
      <c r="AB101" s="251">
        <v>44221</v>
      </c>
      <c r="AC101" s="252">
        <v>44225</v>
      </c>
      <c r="AD101" s="249"/>
      <c r="AE101" s="248"/>
      <c r="AF101" s="251"/>
      <c r="AG101" s="251"/>
      <c r="AH101" s="249"/>
      <c r="AI101" s="248"/>
      <c r="AJ101" s="251"/>
      <c r="AK101" s="248"/>
      <c r="AL101" s="249"/>
      <c r="AM101" s="248"/>
      <c r="AN101" s="248"/>
      <c r="AO101" s="248"/>
      <c r="AP101" s="248"/>
      <c r="AQ101" s="248"/>
      <c r="AR101" s="248"/>
      <c r="AS101" s="248"/>
      <c r="AT101" s="249"/>
      <c r="AU101" s="248"/>
      <c r="AV101" s="248"/>
      <c r="AW101" s="248"/>
      <c r="AX101" s="249"/>
      <c r="AY101" s="248"/>
      <c r="AZ101" s="248"/>
      <c r="BA101" s="248"/>
      <c r="BB101" s="248">
        <f t="shared" si="6"/>
        <v>19054</v>
      </c>
      <c r="BC101" s="248">
        <f t="shared" si="4"/>
        <v>0.15100000000165892</v>
      </c>
    </row>
    <row r="102" spans="2:55" s="39" customFormat="1" ht="23.25" customHeight="1">
      <c r="B102" s="22">
        <f t="shared" si="7"/>
        <v>86</v>
      </c>
      <c r="C102" s="22" t="s">
        <v>39</v>
      </c>
      <c r="D102" s="23">
        <v>40005872</v>
      </c>
      <c r="E102" s="48" t="s">
        <v>801</v>
      </c>
      <c r="F102" s="48" t="s">
        <v>317</v>
      </c>
      <c r="G102" s="26" t="s">
        <v>683</v>
      </c>
      <c r="H102" s="48" t="s">
        <v>686</v>
      </c>
      <c r="I102" s="25" t="s">
        <v>44</v>
      </c>
      <c r="J102" s="247">
        <v>70606</v>
      </c>
      <c r="K102" s="247">
        <v>35441</v>
      </c>
      <c r="L102" s="247">
        <f t="shared" si="5"/>
        <v>35165</v>
      </c>
      <c r="M102" s="248"/>
      <c r="N102" s="248"/>
      <c r="O102" s="248"/>
      <c r="P102" s="248">
        <v>0</v>
      </c>
      <c r="Q102" s="248">
        <v>23690.109</v>
      </c>
      <c r="R102" s="248">
        <v>0</v>
      </c>
      <c r="S102" s="248">
        <v>0</v>
      </c>
      <c r="T102" s="248">
        <v>0</v>
      </c>
      <c r="U102" s="248">
        <v>6498.3459999999995</v>
      </c>
      <c r="V102" s="248"/>
      <c r="W102" s="248"/>
      <c r="X102" s="248"/>
      <c r="Y102" s="248">
        <v>30188.455000000002</v>
      </c>
      <c r="Z102" s="249">
        <v>35165</v>
      </c>
      <c r="AA102" s="250">
        <v>8</v>
      </c>
      <c r="AB102" s="251">
        <v>44221</v>
      </c>
      <c r="AC102" s="252">
        <v>44225</v>
      </c>
      <c r="AD102" s="249"/>
      <c r="AE102" s="248"/>
      <c r="AF102" s="251"/>
      <c r="AG102" s="251"/>
      <c r="AH102" s="249"/>
      <c r="AI102" s="248"/>
      <c r="AJ102" s="251"/>
      <c r="AK102" s="248"/>
      <c r="AL102" s="249"/>
      <c r="AM102" s="248"/>
      <c r="AN102" s="248"/>
      <c r="AO102" s="248"/>
      <c r="AP102" s="248"/>
      <c r="AQ102" s="248"/>
      <c r="AR102" s="248"/>
      <c r="AS102" s="248"/>
      <c r="AT102" s="249"/>
      <c r="AU102" s="248"/>
      <c r="AV102" s="248"/>
      <c r="AW102" s="248"/>
      <c r="AX102" s="249"/>
      <c r="AY102" s="248"/>
      <c r="AZ102" s="248"/>
      <c r="BA102" s="248"/>
      <c r="BB102" s="248">
        <f t="shared" si="6"/>
        <v>35165</v>
      </c>
      <c r="BC102" s="248">
        <f t="shared" si="4"/>
        <v>4976.5449999999983</v>
      </c>
    </row>
    <row r="103" spans="2:55" s="39" customFormat="1" ht="23.25" customHeight="1">
      <c r="B103" s="22">
        <f t="shared" si="7"/>
        <v>87</v>
      </c>
      <c r="C103" s="22" t="s">
        <v>39</v>
      </c>
      <c r="D103" s="23">
        <v>30125456</v>
      </c>
      <c r="E103" s="48" t="s">
        <v>802</v>
      </c>
      <c r="F103" s="48" t="s">
        <v>700</v>
      </c>
      <c r="G103" s="26" t="s">
        <v>683</v>
      </c>
      <c r="H103" s="48" t="s">
        <v>701</v>
      </c>
      <c r="I103" s="25" t="s">
        <v>44</v>
      </c>
      <c r="J103" s="247">
        <v>115140</v>
      </c>
      <c r="K103" s="247">
        <v>104257</v>
      </c>
      <c r="L103" s="247">
        <f t="shared" si="5"/>
        <v>10883</v>
      </c>
      <c r="M103" s="248"/>
      <c r="N103" s="248"/>
      <c r="O103" s="248"/>
      <c r="P103" s="248"/>
      <c r="Q103" s="248"/>
      <c r="R103" s="248"/>
      <c r="S103" s="248">
        <v>0</v>
      </c>
      <c r="T103" s="248">
        <v>0</v>
      </c>
      <c r="U103" s="248">
        <v>0</v>
      </c>
      <c r="V103" s="248"/>
      <c r="W103" s="248"/>
      <c r="X103" s="248"/>
      <c r="Y103" s="248">
        <v>0</v>
      </c>
      <c r="Z103" s="249">
        <v>10883</v>
      </c>
      <c r="AA103" s="250">
        <v>8</v>
      </c>
      <c r="AB103" s="251">
        <v>44221</v>
      </c>
      <c r="AC103" s="252">
        <v>44225</v>
      </c>
      <c r="AD103" s="249"/>
      <c r="AE103" s="248"/>
      <c r="AF103" s="251"/>
      <c r="AG103" s="251"/>
      <c r="AH103" s="249"/>
      <c r="AI103" s="248"/>
      <c r="AJ103" s="251"/>
      <c r="AK103" s="248"/>
      <c r="AL103" s="249"/>
      <c r="AM103" s="248"/>
      <c r="AN103" s="248"/>
      <c r="AO103" s="248"/>
      <c r="AP103" s="248"/>
      <c r="AQ103" s="248"/>
      <c r="AR103" s="248"/>
      <c r="AS103" s="248"/>
      <c r="AT103" s="249"/>
      <c r="AU103" s="248"/>
      <c r="AV103" s="248"/>
      <c r="AW103" s="248"/>
      <c r="AX103" s="249"/>
      <c r="AY103" s="248"/>
      <c r="AZ103" s="248"/>
      <c r="BA103" s="248"/>
      <c r="BB103" s="248">
        <f t="shared" si="6"/>
        <v>10883</v>
      </c>
      <c r="BC103" s="248">
        <f t="shared" si="4"/>
        <v>10883</v>
      </c>
    </row>
    <row r="104" spans="2:55" s="39" customFormat="1" ht="23.25" customHeight="1">
      <c r="B104" s="22">
        <f t="shared" si="7"/>
        <v>88</v>
      </c>
      <c r="C104" s="22" t="s">
        <v>39</v>
      </c>
      <c r="D104" s="23">
        <v>30438672</v>
      </c>
      <c r="E104" s="48" t="s">
        <v>803</v>
      </c>
      <c r="F104" s="48" t="s">
        <v>317</v>
      </c>
      <c r="G104" s="26" t="s">
        <v>683</v>
      </c>
      <c r="H104" s="48" t="s">
        <v>695</v>
      </c>
      <c r="I104" s="25" t="s">
        <v>44</v>
      </c>
      <c r="J104" s="247">
        <v>154110</v>
      </c>
      <c r="K104" s="247">
        <v>85909</v>
      </c>
      <c r="L104" s="247">
        <f t="shared" si="5"/>
        <v>68201</v>
      </c>
      <c r="M104" s="248">
        <v>40792.794000000002</v>
      </c>
      <c r="N104" s="248"/>
      <c r="O104" s="248"/>
      <c r="P104" s="248">
        <v>0</v>
      </c>
      <c r="Q104" s="248">
        <v>0</v>
      </c>
      <c r="R104" s="248">
        <v>0</v>
      </c>
      <c r="S104" s="248">
        <v>0</v>
      </c>
      <c r="T104" s="248">
        <v>0</v>
      </c>
      <c r="U104" s="248">
        <v>0</v>
      </c>
      <c r="V104" s="248"/>
      <c r="W104" s="248"/>
      <c r="X104" s="248"/>
      <c r="Y104" s="248">
        <v>40792.794000000002</v>
      </c>
      <c r="Z104" s="249">
        <v>54345</v>
      </c>
      <c r="AA104" s="250">
        <v>8</v>
      </c>
      <c r="AB104" s="251">
        <v>44221</v>
      </c>
      <c r="AC104" s="252">
        <v>44225</v>
      </c>
      <c r="AD104" s="249"/>
      <c r="AE104" s="248"/>
      <c r="AF104" s="251"/>
      <c r="AG104" s="251"/>
      <c r="AH104" s="249"/>
      <c r="AI104" s="248"/>
      <c r="AJ104" s="251"/>
      <c r="AK104" s="248"/>
      <c r="AL104" s="249"/>
      <c r="AM104" s="248"/>
      <c r="AN104" s="248"/>
      <c r="AO104" s="248"/>
      <c r="AP104" s="248"/>
      <c r="AQ104" s="248"/>
      <c r="AR104" s="248"/>
      <c r="AS104" s="248"/>
      <c r="AT104" s="249"/>
      <c r="AU104" s="248"/>
      <c r="AV104" s="248"/>
      <c r="AW104" s="248"/>
      <c r="AX104" s="249"/>
      <c r="AY104" s="248"/>
      <c r="AZ104" s="248"/>
      <c r="BA104" s="248"/>
      <c r="BB104" s="248">
        <f t="shared" si="6"/>
        <v>54345</v>
      </c>
      <c r="BC104" s="248">
        <f t="shared" si="4"/>
        <v>13552.205999999998</v>
      </c>
    </row>
    <row r="105" spans="2:55" s="39" customFormat="1" ht="23.25" customHeight="1">
      <c r="B105" s="22">
        <f t="shared" si="7"/>
        <v>89</v>
      </c>
      <c r="C105" s="22" t="s">
        <v>39</v>
      </c>
      <c r="D105" s="23">
        <v>40008163</v>
      </c>
      <c r="E105" s="48" t="s">
        <v>804</v>
      </c>
      <c r="F105" s="48" t="s">
        <v>317</v>
      </c>
      <c r="G105" s="26" t="s">
        <v>683</v>
      </c>
      <c r="H105" s="48" t="s">
        <v>790</v>
      </c>
      <c r="I105" s="25" t="s">
        <v>44</v>
      </c>
      <c r="J105" s="247">
        <v>308292</v>
      </c>
      <c r="K105" s="247">
        <v>24717</v>
      </c>
      <c r="L105" s="247">
        <f t="shared" si="5"/>
        <v>283575</v>
      </c>
      <c r="M105" s="248"/>
      <c r="N105" s="248"/>
      <c r="O105" s="248">
        <v>27775.702000000001</v>
      </c>
      <c r="P105" s="248">
        <v>1620</v>
      </c>
      <c r="Q105" s="248">
        <v>0</v>
      </c>
      <c r="R105" s="248">
        <v>40983.013999999996</v>
      </c>
      <c r="S105" s="248">
        <v>0</v>
      </c>
      <c r="T105" s="248">
        <v>0</v>
      </c>
      <c r="U105" s="248">
        <v>0</v>
      </c>
      <c r="V105" s="248"/>
      <c r="W105" s="248"/>
      <c r="X105" s="248"/>
      <c r="Y105" s="248">
        <v>70378.716</v>
      </c>
      <c r="Z105" s="249">
        <v>283575</v>
      </c>
      <c r="AA105" s="250">
        <v>8</v>
      </c>
      <c r="AB105" s="251">
        <v>44221</v>
      </c>
      <c r="AC105" s="252">
        <v>44225</v>
      </c>
      <c r="AD105" s="249"/>
      <c r="AE105" s="248"/>
      <c r="AF105" s="251"/>
      <c r="AG105" s="251"/>
      <c r="AH105" s="249"/>
      <c r="AI105" s="248"/>
      <c r="AJ105" s="251"/>
      <c r="AK105" s="248"/>
      <c r="AL105" s="249"/>
      <c r="AM105" s="248"/>
      <c r="AN105" s="248"/>
      <c r="AO105" s="248"/>
      <c r="AP105" s="248"/>
      <c r="AQ105" s="248"/>
      <c r="AR105" s="248"/>
      <c r="AS105" s="248"/>
      <c r="AT105" s="249"/>
      <c r="AU105" s="248"/>
      <c r="AV105" s="248"/>
      <c r="AW105" s="248"/>
      <c r="AX105" s="249"/>
      <c r="AY105" s="248"/>
      <c r="AZ105" s="248"/>
      <c r="BA105" s="248"/>
      <c r="BB105" s="248">
        <f t="shared" si="6"/>
        <v>283575</v>
      </c>
      <c r="BC105" s="248">
        <f t="shared" si="4"/>
        <v>213196.28399999999</v>
      </c>
    </row>
    <row r="106" spans="2:55" s="39" customFormat="1" ht="23.25" customHeight="1">
      <c r="B106" s="22">
        <f t="shared" si="7"/>
        <v>90</v>
      </c>
      <c r="C106" s="22" t="s">
        <v>39</v>
      </c>
      <c r="D106" s="23">
        <v>30446772</v>
      </c>
      <c r="E106" s="48" t="s">
        <v>805</v>
      </c>
      <c r="F106" s="48" t="s">
        <v>700</v>
      </c>
      <c r="G106" s="26" t="s">
        <v>683</v>
      </c>
      <c r="H106" s="48" t="s">
        <v>742</v>
      </c>
      <c r="I106" s="25" t="s">
        <v>44</v>
      </c>
      <c r="J106" s="247">
        <v>264332</v>
      </c>
      <c r="K106" s="247">
        <v>247508</v>
      </c>
      <c r="L106" s="247">
        <f t="shared" si="5"/>
        <v>16824</v>
      </c>
      <c r="M106" s="248"/>
      <c r="N106" s="248"/>
      <c r="O106" s="248"/>
      <c r="P106" s="248"/>
      <c r="Q106" s="248"/>
      <c r="R106" s="248"/>
      <c r="S106" s="248">
        <v>0</v>
      </c>
      <c r="T106" s="248">
        <v>0</v>
      </c>
      <c r="U106" s="248">
        <v>0</v>
      </c>
      <c r="V106" s="248"/>
      <c r="W106" s="248"/>
      <c r="X106" s="248"/>
      <c r="Y106" s="248">
        <v>0</v>
      </c>
      <c r="Z106" s="249">
        <v>16824</v>
      </c>
      <c r="AA106" s="250">
        <v>8</v>
      </c>
      <c r="AB106" s="251">
        <v>44221</v>
      </c>
      <c r="AC106" s="252">
        <v>44225</v>
      </c>
      <c r="AD106" s="249"/>
      <c r="AE106" s="248"/>
      <c r="AF106" s="251"/>
      <c r="AG106" s="251"/>
      <c r="AH106" s="249"/>
      <c r="AI106" s="248"/>
      <c r="AJ106" s="251"/>
      <c r="AK106" s="248"/>
      <c r="AL106" s="249"/>
      <c r="AM106" s="248"/>
      <c r="AN106" s="248"/>
      <c r="AO106" s="248"/>
      <c r="AP106" s="248"/>
      <c r="AQ106" s="248"/>
      <c r="AR106" s="248"/>
      <c r="AS106" s="248"/>
      <c r="AT106" s="249"/>
      <c r="AU106" s="248"/>
      <c r="AV106" s="248"/>
      <c r="AW106" s="248"/>
      <c r="AX106" s="249"/>
      <c r="AY106" s="248"/>
      <c r="AZ106" s="248"/>
      <c r="BA106" s="248"/>
      <c r="BB106" s="248">
        <f t="shared" si="6"/>
        <v>16824</v>
      </c>
      <c r="BC106" s="248">
        <f t="shared" si="4"/>
        <v>16824</v>
      </c>
    </row>
    <row r="107" spans="2:55" s="39" customFormat="1" ht="23.25" customHeight="1">
      <c r="B107" s="22">
        <f t="shared" si="7"/>
        <v>91</v>
      </c>
      <c r="C107" s="22" t="s">
        <v>39</v>
      </c>
      <c r="D107" s="23">
        <v>40002933</v>
      </c>
      <c r="E107" s="48" t="s">
        <v>806</v>
      </c>
      <c r="F107" s="48" t="s">
        <v>700</v>
      </c>
      <c r="G107" s="26" t="s">
        <v>683</v>
      </c>
      <c r="H107" s="48" t="s">
        <v>807</v>
      </c>
      <c r="I107" s="25" t="s">
        <v>44</v>
      </c>
      <c r="J107" s="247">
        <v>67334</v>
      </c>
      <c r="K107" s="247">
        <v>19693</v>
      </c>
      <c r="L107" s="247">
        <f t="shared" si="5"/>
        <v>47641</v>
      </c>
      <c r="M107" s="248"/>
      <c r="N107" s="248"/>
      <c r="O107" s="248"/>
      <c r="P107" s="248"/>
      <c r="Q107" s="248"/>
      <c r="R107" s="248"/>
      <c r="S107" s="248">
        <v>0</v>
      </c>
      <c r="T107" s="248">
        <v>0</v>
      </c>
      <c r="U107" s="248">
        <v>0</v>
      </c>
      <c r="V107" s="248"/>
      <c r="W107" s="248"/>
      <c r="X107" s="248"/>
      <c r="Y107" s="248">
        <v>0</v>
      </c>
      <c r="Z107" s="249">
        <v>47641</v>
      </c>
      <c r="AA107" s="250">
        <v>8</v>
      </c>
      <c r="AB107" s="251">
        <v>44221</v>
      </c>
      <c r="AC107" s="252">
        <v>44225</v>
      </c>
      <c r="AD107" s="249"/>
      <c r="AE107" s="248"/>
      <c r="AF107" s="251"/>
      <c r="AG107" s="251"/>
      <c r="AH107" s="249"/>
      <c r="AI107" s="248"/>
      <c r="AJ107" s="251"/>
      <c r="AK107" s="248"/>
      <c r="AL107" s="249"/>
      <c r="AM107" s="248"/>
      <c r="AN107" s="248"/>
      <c r="AO107" s="248"/>
      <c r="AP107" s="248"/>
      <c r="AQ107" s="248"/>
      <c r="AR107" s="248"/>
      <c r="AS107" s="248"/>
      <c r="AT107" s="249"/>
      <c r="AU107" s="248"/>
      <c r="AV107" s="248"/>
      <c r="AW107" s="248"/>
      <c r="AX107" s="249"/>
      <c r="AY107" s="248"/>
      <c r="AZ107" s="248"/>
      <c r="BA107" s="248"/>
      <c r="BB107" s="248">
        <f t="shared" si="6"/>
        <v>47641</v>
      </c>
      <c r="BC107" s="248">
        <f t="shared" si="4"/>
        <v>47641</v>
      </c>
    </row>
    <row r="108" spans="2:55" s="39" customFormat="1" ht="23.25" customHeight="1">
      <c r="B108" s="22">
        <f t="shared" si="7"/>
        <v>92</v>
      </c>
      <c r="C108" s="22" t="s">
        <v>39</v>
      </c>
      <c r="D108" s="23">
        <v>40000019</v>
      </c>
      <c r="E108" s="48" t="s">
        <v>808</v>
      </c>
      <c r="F108" s="48" t="s">
        <v>700</v>
      </c>
      <c r="G108" s="26" t="s">
        <v>683</v>
      </c>
      <c r="H108" s="48" t="s">
        <v>686</v>
      </c>
      <c r="I108" s="25" t="s">
        <v>44</v>
      </c>
      <c r="J108" s="247">
        <v>127136</v>
      </c>
      <c r="K108" s="247">
        <v>19579</v>
      </c>
      <c r="L108" s="247">
        <f t="shared" si="5"/>
        <v>107557</v>
      </c>
      <c r="M108" s="248"/>
      <c r="N108" s="248"/>
      <c r="O108" s="248"/>
      <c r="P108" s="248">
        <v>25307.200000000001</v>
      </c>
      <c r="Q108" s="248">
        <v>0</v>
      </c>
      <c r="R108" s="248">
        <v>0</v>
      </c>
      <c r="S108" s="248">
        <v>0</v>
      </c>
      <c r="T108" s="248">
        <v>0</v>
      </c>
      <c r="U108" s="248">
        <v>25307.200000000001</v>
      </c>
      <c r="V108" s="248"/>
      <c r="W108" s="248"/>
      <c r="X108" s="248"/>
      <c r="Y108" s="248">
        <v>50614.400000000001</v>
      </c>
      <c r="Z108" s="249">
        <v>107557</v>
      </c>
      <c r="AA108" s="250">
        <v>8</v>
      </c>
      <c r="AB108" s="251">
        <v>44221</v>
      </c>
      <c r="AC108" s="252">
        <v>44225</v>
      </c>
      <c r="AD108" s="249"/>
      <c r="AE108" s="248"/>
      <c r="AF108" s="251"/>
      <c r="AG108" s="251"/>
      <c r="AH108" s="249"/>
      <c r="AI108" s="248"/>
      <c r="AJ108" s="251"/>
      <c r="AK108" s="248"/>
      <c r="AL108" s="249"/>
      <c r="AM108" s="248"/>
      <c r="AN108" s="248"/>
      <c r="AO108" s="248"/>
      <c r="AP108" s="248"/>
      <c r="AQ108" s="248"/>
      <c r="AR108" s="248"/>
      <c r="AS108" s="248"/>
      <c r="AT108" s="249"/>
      <c r="AU108" s="248"/>
      <c r="AV108" s="248"/>
      <c r="AW108" s="248"/>
      <c r="AX108" s="249"/>
      <c r="AY108" s="248"/>
      <c r="AZ108" s="248"/>
      <c r="BA108" s="248"/>
      <c r="BB108" s="248">
        <f t="shared" si="6"/>
        <v>107557</v>
      </c>
      <c r="BC108" s="248">
        <f t="shared" si="4"/>
        <v>56942.6</v>
      </c>
    </row>
    <row r="109" spans="2:55" s="39" customFormat="1" ht="23.25" customHeight="1">
      <c r="B109" s="22">
        <f t="shared" si="7"/>
        <v>93</v>
      </c>
      <c r="C109" s="22" t="s">
        <v>39</v>
      </c>
      <c r="D109" s="23">
        <v>30137138</v>
      </c>
      <c r="E109" s="48" t="s">
        <v>809</v>
      </c>
      <c r="F109" s="48" t="s">
        <v>700</v>
      </c>
      <c r="G109" s="26" t="s">
        <v>683</v>
      </c>
      <c r="H109" s="48" t="s">
        <v>742</v>
      </c>
      <c r="I109" s="25" t="s">
        <v>44</v>
      </c>
      <c r="J109" s="247">
        <v>61070</v>
      </c>
      <c r="K109" s="247">
        <v>38786</v>
      </c>
      <c r="L109" s="247">
        <f t="shared" si="5"/>
        <v>22284</v>
      </c>
      <c r="M109" s="248"/>
      <c r="N109" s="248"/>
      <c r="O109" s="248"/>
      <c r="P109" s="248"/>
      <c r="Q109" s="248"/>
      <c r="R109" s="248"/>
      <c r="S109" s="248">
        <v>0</v>
      </c>
      <c r="T109" s="248">
        <v>0</v>
      </c>
      <c r="U109" s="248">
        <v>0</v>
      </c>
      <c r="V109" s="248"/>
      <c r="W109" s="248"/>
      <c r="X109" s="248"/>
      <c r="Y109" s="248">
        <v>0</v>
      </c>
      <c r="Z109" s="249">
        <v>22284</v>
      </c>
      <c r="AA109" s="250">
        <v>8</v>
      </c>
      <c r="AB109" s="251">
        <v>44221</v>
      </c>
      <c r="AC109" s="252">
        <v>44225</v>
      </c>
      <c r="AD109" s="249"/>
      <c r="AE109" s="248"/>
      <c r="AF109" s="251"/>
      <c r="AG109" s="251"/>
      <c r="AH109" s="249"/>
      <c r="AI109" s="248"/>
      <c r="AJ109" s="251"/>
      <c r="AK109" s="248"/>
      <c r="AL109" s="249"/>
      <c r="AM109" s="248"/>
      <c r="AN109" s="248"/>
      <c r="AO109" s="248"/>
      <c r="AP109" s="248"/>
      <c r="AQ109" s="248"/>
      <c r="AR109" s="248"/>
      <c r="AS109" s="248"/>
      <c r="AT109" s="249"/>
      <c r="AU109" s="248"/>
      <c r="AV109" s="248"/>
      <c r="AW109" s="248"/>
      <c r="AX109" s="249"/>
      <c r="AY109" s="248"/>
      <c r="AZ109" s="248"/>
      <c r="BA109" s="248"/>
      <c r="BB109" s="248">
        <f t="shared" si="6"/>
        <v>22284</v>
      </c>
      <c r="BC109" s="248">
        <f t="shared" si="4"/>
        <v>22284</v>
      </c>
    </row>
    <row r="110" spans="2:55" s="39" customFormat="1" ht="23.25" customHeight="1">
      <c r="B110" s="22">
        <f t="shared" si="7"/>
        <v>94</v>
      </c>
      <c r="C110" s="22" t="s">
        <v>39</v>
      </c>
      <c r="D110" s="23">
        <v>30381122</v>
      </c>
      <c r="E110" s="48" t="s">
        <v>810</v>
      </c>
      <c r="F110" s="48" t="s">
        <v>700</v>
      </c>
      <c r="G110" s="26" t="s">
        <v>683</v>
      </c>
      <c r="H110" s="48" t="s">
        <v>686</v>
      </c>
      <c r="I110" s="25" t="s">
        <v>44</v>
      </c>
      <c r="J110" s="247">
        <v>37664</v>
      </c>
      <c r="K110" s="247">
        <v>27584</v>
      </c>
      <c r="L110" s="247">
        <f t="shared" si="5"/>
        <v>10080</v>
      </c>
      <c r="M110" s="248"/>
      <c r="N110" s="248"/>
      <c r="O110" s="248"/>
      <c r="P110" s="248"/>
      <c r="Q110" s="248"/>
      <c r="R110" s="248"/>
      <c r="S110" s="248">
        <v>0</v>
      </c>
      <c r="T110" s="248">
        <v>0</v>
      </c>
      <c r="U110" s="248">
        <v>0</v>
      </c>
      <c r="V110" s="248"/>
      <c r="W110" s="248"/>
      <c r="X110" s="248"/>
      <c r="Y110" s="248">
        <v>0</v>
      </c>
      <c r="Z110" s="249">
        <v>10080</v>
      </c>
      <c r="AA110" s="250">
        <v>8</v>
      </c>
      <c r="AB110" s="251">
        <v>44221</v>
      </c>
      <c r="AC110" s="252">
        <v>44225</v>
      </c>
      <c r="AD110" s="249"/>
      <c r="AE110" s="248"/>
      <c r="AF110" s="251"/>
      <c r="AG110" s="251"/>
      <c r="AH110" s="249"/>
      <c r="AI110" s="248"/>
      <c r="AJ110" s="251"/>
      <c r="AK110" s="248"/>
      <c r="AL110" s="249"/>
      <c r="AM110" s="248"/>
      <c r="AN110" s="248"/>
      <c r="AO110" s="248"/>
      <c r="AP110" s="248"/>
      <c r="AQ110" s="248"/>
      <c r="AR110" s="248"/>
      <c r="AS110" s="248"/>
      <c r="AT110" s="249"/>
      <c r="AU110" s="248"/>
      <c r="AV110" s="248"/>
      <c r="AW110" s="248"/>
      <c r="AX110" s="249"/>
      <c r="AY110" s="248"/>
      <c r="AZ110" s="248"/>
      <c r="BA110" s="248"/>
      <c r="BB110" s="248">
        <f t="shared" si="6"/>
        <v>10080</v>
      </c>
      <c r="BC110" s="248">
        <f t="shared" si="4"/>
        <v>10080</v>
      </c>
    </row>
    <row r="111" spans="2:55" s="39" customFormat="1" ht="23.25" customHeight="1">
      <c r="B111" s="22">
        <f t="shared" si="7"/>
        <v>95</v>
      </c>
      <c r="C111" s="22" t="s">
        <v>39</v>
      </c>
      <c r="D111" s="23">
        <v>40014969</v>
      </c>
      <c r="E111" s="48" t="s">
        <v>811</v>
      </c>
      <c r="F111" s="48" t="s">
        <v>317</v>
      </c>
      <c r="G111" s="26" t="s">
        <v>683</v>
      </c>
      <c r="H111" s="48" t="s">
        <v>812</v>
      </c>
      <c r="I111" s="25" t="s">
        <v>52</v>
      </c>
      <c r="J111" s="247">
        <v>970472</v>
      </c>
      <c r="K111" s="247"/>
      <c r="L111" s="247">
        <f t="shared" si="5"/>
        <v>970472</v>
      </c>
      <c r="M111" s="248"/>
      <c r="N111" s="248"/>
      <c r="O111" s="248"/>
      <c r="P111" s="248"/>
      <c r="Q111" s="248"/>
      <c r="R111" s="248"/>
      <c r="S111" s="248">
        <v>0</v>
      </c>
      <c r="T111" s="248">
        <v>0</v>
      </c>
      <c r="U111" s="248">
        <v>0</v>
      </c>
      <c r="V111" s="248"/>
      <c r="W111" s="248"/>
      <c r="X111" s="248"/>
      <c r="Y111" s="248">
        <v>0</v>
      </c>
      <c r="Z111" s="249">
        <v>1</v>
      </c>
      <c r="AA111" s="250">
        <v>12</v>
      </c>
      <c r="AB111" s="251">
        <v>44225</v>
      </c>
      <c r="AC111" s="252">
        <v>44244</v>
      </c>
      <c r="AD111" s="249"/>
      <c r="AE111" s="248"/>
      <c r="AF111" s="251"/>
      <c r="AG111" s="251"/>
      <c r="AH111" s="249"/>
      <c r="AI111" s="248"/>
      <c r="AJ111" s="251"/>
      <c r="AK111" s="248"/>
      <c r="AL111" s="249"/>
      <c r="AM111" s="248"/>
      <c r="AN111" s="248"/>
      <c r="AO111" s="248"/>
      <c r="AP111" s="248"/>
      <c r="AQ111" s="248"/>
      <c r="AR111" s="248"/>
      <c r="AS111" s="248"/>
      <c r="AT111" s="249"/>
      <c r="AU111" s="248"/>
      <c r="AV111" s="248"/>
      <c r="AW111" s="248"/>
      <c r="AX111" s="249"/>
      <c r="AY111" s="248"/>
      <c r="AZ111" s="248"/>
      <c r="BA111" s="248"/>
      <c r="BB111" s="248">
        <f t="shared" si="6"/>
        <v>1</v>
      </c>
      <c r="BC111" s="248">
        <f t="shared" si="4"/>
        <v>1</v>
      </c>
    </row>
    <row r="112" spans="2:55" s="39" customFormat="1" ht="23.25" customHeight="1">
      <c r="B112" s="22">
        <f t="shared" si="7"/>
        <v>96</v>
      </c>
      <c r="C112" s="22" t="s">
        <v>39</v>
      </c>
      <c r="D112" s="23">
        <v>40017092</v>
      </c>
      <c r="E112" s="48" t="s">
        <v>813</v>
      </c>
      <c r="F112" s="48" t="s">
        <v>700</v>
      </c>
      <c r="G112" s="26" t="s">
        <v>683</v>
      </c>
      <c r="H112" s="48" t="s">
        <v>732</v>
      </c>
      <c r="I112" s="25" t="s">
        <v>52</v>
      </c>
      <c r="J112" s="247">
        <v>31952</v>
      </c>
      <c r="K112" s="247"/>
      <c r="L112" s="247">
        <f t="shared" si="5"/>
        <v>31952</v>
      </c>
      <c r="M112" s="248"/>
      <c r="N112" s="248"/>
      <c r="O112" s="248"/>
      <c r="P112" s="248"/>
      <c r="Q112" s="248"/>
      <c r="R112" s="248"/>
      <c r="S112" s="248">
        <v>0</v>
      </c>
      <c r="T112" s="248">
        <v>0</v>
      </c>
      <c r="U112" s="248">
        <v>0</v>
      </c>
      <c r="V112" s="248"/>
      <c r="W112" s="248"/>
      <c r="X112" s="248"/>
      <c r="Y112" s="248">
        <v>0</v>
      </c>
      <c r="Z112" s="249">
        <v>1</v>
      </c>
      <c r="AA112" s="250">
        <v>12</v>
      </c>
      <c r="AB112" s="251">
        <v>44225</v>
      </c>
      <c r="AC112" s="252">
        <v>44244</v>
      </c>
      <c r="AD112" s="249"/>
      <c r="AE112" s="248"/>
      <c r="AF112" s="251"/>
      <c r="AG112" s="251"/>
      <c r="AH112" s="249"/>
      <c r="AI112" s="248"/>
      <c r="AJ112" s="251"/>
      <c r="AK112" s="248"/>
      <c r="AL112" s="249"/>
      <c r="AM112" s="248"/>
      <c r="AN112" s="248"/>
      <c r="AO112" s="248"/>
      <c r="AP112" s="248"/>
      <c r="AQ112" s="248"/>
      <c r="AR112" s="248"/>
      <c r="AS112" s="248"/>
      <c r="AT112" s="249"/>
      <c r="AU112" s="248"/>
      <c r="AV112" s="248"/>
      <c r="AW112" s="248"/>
      <c r="AX112" s="249"/>
      <c r="AY112" s="248"/>
      <c r="AZ112" s="248"/>
      <c r="BA112" s="248"/>
      <c r="BB112" s="248">
        <f t="shared" si="6"/>
        <v>1</v>
      </c>
      <c r="BC112" s="248">
        <f t="shared" si="4"/>
        <v>1</v>
      </c>
    </row>
    <row r="113" spans="2:55" s="39" customFormat="1" ht="23.25" customHeight="1">
      <c r="B113" s="22">
        <f t="shared" si="7"/>
        <v>97</v>
      </c>
      <c r="C113" s="22" t="s">
        <v>39</v>
      </c>
      <c r="D113" s="23">
        <v>30484277</v>
      </c>
      <c r="E113" s="48" t="s">
        <v>814</v>
      </c>
      <c r="F113" s="48" t="s">
        <v>317</v>
      </c>
      <c r="G113" s="26" t="s">
        <v>683</v>
      </c>
      <c r="H113" s="48" t="s">
        <v>732</v>
      </c>
      <c r="I113" s="25" t="s">
        <v>52</v>
      </c>
      <c r="J113" s="247">
        <v>92302</v>
      </c>
      <c r="K113" s="247"/>
      <c r="L113" s="247">
        <f t="shared" si="5"/>
        <v>92302</v>
      </c>
      <c r="M113" s="248"/>
      <c r="N113" s="248"/>
      <c r="O113" s="248"/>
      <c r="P113" s="248">
        <v>0</v>
      </c>
      <c r="Q113" s="248">
        <v>0</v>
      </c>
      <c r="R113" s="248">
        <v>0</v>
      </c>
      <c r="S113" s="248">
        <v>0</v>
      </c>
      <c r="T113" s="248">
        <v>0</v>
      </c>
      <c r="U113" s="248">
        <v>0</v>
      </c>
      <c r="V113" s="248"/>
      <c r="W113" s="248"/>
      <c r="X113" s="248"/>
      <c r="Y113" s="248">
        <v>0</v>
      </c>
      <c r="Z113" s="249">
        <v>2</v>
      </c>
      <c r="AA113" s="250">
        <v>12</v>
      </c>
      <c r="AB113" s="251">
        <v>44225</v>
      </c>
      <c r="AC113" s="252">
        <v>44244</v>
      </c>
      <c r="AD113" s="249"/>
      <c r="AE113" s="248"/>
      <c r="AF113" s="251"/>
      <c r="AG113" s="251"/>
      <c r="AH113" s="249"/>
      <c r="AI113" s="248"/>
      <c r="AJ113" s="251"/>
      <c r="AK113" s="248"/>
      <c r="AL113" s="249"/>
      <c r="AM113" s="248"/>
      <c r="AN113" s="248"/>
      <c r="AO113" s="248"/>
      <c r="AP113" s="248"/>
      <c r="AQ113" s="248"/>
      <c r="AR113" s="248"/>
      <c r="AS113" s="248"/>
      <c r="AT113" s="249"/>
      <c r="AU113" s="248"/>
      <c r="AV113" s="248"/>
      <c r="AW113" s="248"/>
      <c r="AX113" s="249"/>
      <c r="AY113" s="248"/>
      <c r="AZ113" s="248"/>
      <c r="BA113" s="248"/>
      <c r="BB113" s="248">
        <f t="shared" si="6"/>
        <v>2</v>
      </c>
      <c r="BC113" s="248">
        <f t="shared" si="4"/>
        <v>2</v>
      </c>
    </row>
    <row r="114" spans="2:55" s="39" customFormat="1" ht="23.25" customHeight="1">
      <c r="B114" s="22">
        <f t="shared" si="7"/>
        <v>98</v>
      </c>
      <c r="C114" s="22" t="s">
        <v>39</v>
      </c>
      <c r="D114" s="23">
        <v>30482162</v>
      </c>
      <c r="E114" s="48" t="s">
        <v>815</v>
      </c>
      <c r="F114" s="48" t="s">
        <v>317</v>
      </c>
      <c r="G114" s="26" t="s">
        <v>683</v>
      </c>
      <c r="H114" s="48" t="s">
        <v>732</v>
      </c>
      <c r="I114" s="25" t="s">
        <v>52</v>
      </c>
      <c r="J114" s="247">
        <v>216309</v>
      </c>
      <c r="K114" s="247"/>
      <c r="L114" s="247">
        <f t="shared" si="5"/>
        <v>216309</v>
      </c>
      <c r="M114" s="248"/>
      <c r="N114" s="248"/>
      <c r="O114" s="248"/>
      <c r="P114" s="248"/>
      <c r="Q114" s="248"/>
      <c r="R114" s="248"/>
      <c r="S114" s="248">
        <v>0</v>
      </c>
      <c r="T114" s="248">
        <v>0</v>
      </c>
      <c r="U114" s="248">
        <v>30866.243999999999</v>
      </c>
      <c r="V114" s="248"/>
      <c r="W114" s="248"/>
      <c r="X114" s="248"/>
      <c r="Y114" s="248">
        <v>30866.243999999999</v>
      </c>
      <c r="Z114" s="249">
        <v>2</v>
      </c>
      <c r="AA114" s="250">
        <v>12</v>
      </c>
      <c r="AB114" s="251">
        <v>44225</v>
      </c>
      <c r="AC114" s="252">
        <v>44244</v>
      </c>
      <c r="AD114" s="249">
        <v>40000</v>
      </c>
      <c r="AE114" s="248">
        <v>85</v>
      </c>
      <c r="AF114" s="251">
        <v>44435</v>
      </c>
      <c r="AG114" s="251">
        <v>44446</v>
      </c>
      <c r="AH114" s="249"/>
      <c r="AI114" s="248"/>
      <c r="AJ114" s="251"/>
      <c r="AK114" s="248"/>
      <c r="AL114" s="249"/>
      <c r="AM114" s="248"/>
      <c r="AN114" s="248"/>
      <c r="AO114" s="248"/>
      <c r="AP114" s="248"/>
      <c r="AQ114" s="248"/>
      <c r="AR114" s="248"/>
      <c r="AS114" s="248"/>
      <c r="AT114" s="249"/>
      <c r="AU114" s="248"/>
      <c r="AV114" s="248"/>
      <c r="AW114" s="248"/>
      <c r="AX114" s="249"/>
      <c r="AY114" s="248"/>
      <c r="AZ114" s="248"/>
      <c r="BA114" s="248"/>
      <c r="BB114" s="248">
        <f t="shared" si="6"/>
        <v>40002</v>
      </c>
      <c r="BC114" s="248">
        <f t="shared" si="4"/>
        <v>9135.7560000000012</v>
      </c>
    </row>
    <row r="115" spans="2:55" s="39" customFormat="1" ht="23.25" customHeight="1">
      <c r="B115" s="22">
        <f t="shared" si="7"/>
        <v>99</v>
      </c>
      <c r="C115" s="22" t="s">
        <v>39</v>
      </c>
      <c r="D115" s="23">
        <v>30476440</v>
      </c>
      <c r="E115" s="48" t="s">
        <v>816</v>
      </c>
      <c r="F115" s="48" t="s">
        <v>317</v>
      </c>
      <c r="G115" s="26" t="s">
        <v>683</v>
      </c>
      <c r="H115" s="48" t="s">
        <v>732</v>
      </c>
      <c r="I115" s="25" t="s">
        <v>52</v>
      </c>
      <c r="J115" s="247">
        <v>159612</v>
      </c>
      <c r="K115" s="247"/>
      <c r="L115" s="247">
        <f t="shared" si="5"/>
        <v>159612</v>
      </c>
      <c r="M115" s="248"/>
      <c r="N115" s="248"/>
      <c r="O115" s="248"/>
      <c r="P115" s="248"/>
      <c r="Q115" s="248"/>
      <c r="R115" s="248"/>
      <c r="S115" s="248">
        <v>0</v>
      </c>
      <c r="T115" s="248">
        <v>0</v>
      </c>
      <c r="U115" s="248">
        <v>23277.433000000001</v>
      </c>
      <c r="V115" s="248"/>
      <c r="W115" s="248"/>
      <c r="X115" s="248"/>
      <c r="Y115" s="248">
        <v>23277.433000000001</v>
      </c>
      <c r="Z115" s="249">
        <v>2</v>
      </c>
      <c r="AA115" s="250">
        <v>12</v>
      </c>
      <c r="AB115" s="251">
        <v>44225</v>
      </c>
      <c r="AC115" s="252">
        <v>44244</v>
      </c>
      <c r="AD115" s="249">
        <v>40000</v>
      </c>
      <c r="AE115" s="248">
        <v>85</v>
      </c>
      <c r="AF115" s="251">
        <v>44435</v>
      </c>
      <c r="AG115" s="251">
        <v>44446</v>
      </c>
      <c r="AH115" s="249"/>
      <c r="AI115" s="248"/>
      <c r="AJ115" s="251"/>
      <c r="AK115" s="248"/>
      <c r="AL115" s="249"/>
      <c r="AM115" s="248"/>
      <c r="AN115" s="248"/>
      <c r="AO115" s="248"/>
      <c r="AP115" s="248"/>
      <c r="AQ115" s="248"/>
      <c r="AR115" s="248"/>
      <c r="AS115" s="248"/>
      <c r="AT115" s="249"/>
      <c r="AU115" s="248"/>
      <c r="AV115" s="248"/>
      <c r="AW115" s="248"/>
      <c r="AX115" s="249"/>
      <c r="AY115" s="248"/>
      <c r="AZ115" s="248"/>
      <c r="BA115" s="248"/>
      <c r="BB115" s="248">
        <f t="shared" si="6"/>
        <v>40002</v>
      </c>
      <c r="BC115" s="248">
        <f t="shared" si="4"/>
        <v>16724.566999999999</v>
      </c>
    </row>
    <row r="116" spans="2:55" s="39" customFormat="1" ht="23.25" customHeight="1">
      <c r="B116" s="22">
        <f t="shared" si="7"/>
        <v>100</v>
      </c>
      <c r="C116" s="22" t="s">
        <v>39</v>
      </c>
      <c r="D116" s="23">
        <v>40019993</v>
      </c>
      <c r="E116" s="48" t="s">
        <v>817</v>
      </c>
      <c r="F116" s="48" t="s">
        <v>700</v>
      </c>
      <c r="G116" s="26" t="s">
        <v>683</v>
      </c>
      <c r="H116" s="48" t="s">
        <v>737</v>
      </c>
      <c r="I116" s="25" t="s">
        <v>52</v>
      </c>
      <c r="J116" s="247">
        <v>100972</v>
      </c>
      <c r="K116" s="247"/>
      <c r="L116" s="247">
        <f t="shared" si="5"/>
        <v>100972</v>
      </c>
      <c r="M116" s="248"/>
      <c r="N116" s="248"/>
      <c r="O116" s="248"/>
      <c r="P116" s="248"/>
      <c r="Q116" s="248"/>
      <c r="R116" s="248"/>
      <c r="S116" s="248">
        <v>0</v>
      </c>
      <c r="T116" s="248">
        <v>0</v>
      </c>
      <c r="U116" s="248">
        <v>0</v>
      </c>
      <c r="V116" s="248"/>
      <c r="W116" s="248"/>
      <c r="X116" s="248"/>
      <c r="Y116" s="248">
        <v>0</v>
      </c>
      <c r="Z116" s="249">
        <v>1</v>
      </c>
      <c r="AA116" s="250">
        <v>12</v>
      </c>
      <c r="AB116" s="251">
        <v>44225</v>
      </c>
      <c r="AC116" s="252">
        <v>44244</v>
      </c>
      <c r="AD116" s="249"/>
      <c r="AE116" s="248"/>
      <c r="AF116" s="251"/>
      <c r="AG116" s="251"/>
      <c r="AH116" s="249"/>
      <c r="AI116" s="248"/>
      <c r="AJ116" s="251"/>
      <c r="AK116" s="248"/>
      <c r="AL116" s="249"/>
      <c r="AM116" s="248"/>
      <c r="AN116" s="248"/>
      <c r="AO116" s="248"/>
      <c r="AP116" s="248"/>
      <c r="AQ116" s="248"/>
      <c r="AR116" s="248"/>
      <c r="AS116" s="248"/>
      <c r="AT116" s="249"/>
      <c r="AU116" s="248"/>
      <c r="AV116" s="248"/>
      <c r="AW116" s="248"/>
      <c r="AX116" s="249"/>
      <c r="AY116" s="248"/>
      <c r="AZ116" s="248"/>
      <c r="BA116" s="248"/>
      <c r="BB116" s="248">
        <f t="shared" si="6"/>
        <v>1</v>
      </c>
      <c r="BC116" s="248">
        <f t="shared" si="4"/>
        <v>1</v>
      </c>
    </row>
    <row r="117" spans="2:55" s="39" customFormat="1" ht="23.25" customHeight="1">
      <c r="B117" s="22">
        <f t="shared" si="7"/>
        <v>101</v>
      </c>
      <c r="C117" s="22" t="s">
        <v>65</v>
      </c>
      <c r="D117" s="23">
        <v>40024349</v>
      </c>
      <c r="E117" s="48" t="s">
        <v>818</v>
      </c>
      <c r="F117" s="48" t="s">
        <v>317</v>
      </c>
      <c r="G117" s="26" t="s">
        <v>683</v>
      </c>
      <c r="H117" s="48" t="s">
        <v>790</v>
      </c>
      <c r="I117" s="25" t="s">
        <v>52</v>
      </c>
      <c r="J117" s="247">
        <v>58303</v>
      </c>
      <c r="K117" s="247"/>
      <c r="L117" s="247">
        <f t="shared" si="5"/>
        <v>58303</v>
      </c>
      <c r="M117" s="248"/>
      <c r="N117" s="248"/>
      <c r="O117" s="248"/>
      <c r="P117" s="248"/>
      <c r="Q117" s="248"/>
      <c r="R117" s="248"/>
      <c r="S117" s="248">
        <v>0</v>
      </c>
      <c r="T117" s="248">
        <v>0</v>
      </c>
      <c r="U117" s="248">
        <v>0</v>
      </c>
      <c r="V117" s="248"/>
      <c r="W117" s="248"/>
      <c r="X117" s="248"/>
      <c r="Y117" s="248">
        <v>0</v>
      </c>
      <c r="Z117" s="249">
        <v>1</v>
      </c>
      <c r="AA117" s="250">
        <v>12</v>
      </c>
      <c r="AB117" s="251">
        <v>44225</v>
      </c>
      <c r="AC117" s="252">
        <v>44244</v>
      </c>
      <c r="AD117" s="249"/>
      <c r="AE117" s="248"/>
      <c r="AF117" s="251"/>
      <c r="AG117" s="251"/>
      <c r="AH117" s="249"/>
      <c r="AI117" s="248"/>
      <c r="AJ117" s="251"/>
      <c r="AK117" s="248"/>
      <c r="AL117" s="249"/>
      <c r="AM117" s="248"/>
      <c r="AN117" s="248"/>
      <c r="AO117" s="248"/>
      <c r="AP117" s="248"/>
      <c r="AQ117" s="248"/>
      <c r="AR117" s="248"/>
      <c r="AS117" s="248"/>
      <c r="AT117" s="249"/>
      <c r="AU117" s="248"/>
      <c r="AV117" s="248"/>
      <c r="AW117" s="248"/>
      <c r="AX117" s="249"/>
      <c r="AY117" s="248"/>
      <c r="AZ117" s="248"/>
      <c r="BA117" s="248"/>
      <c r="BB117" s="248">
        <f t="shared" si="6"/>
        <v>1</v>
      </c>
      <c r="BC117" s="248">
        <f t="shared" si="4"/>
        <v>1</v>
      </c>
    </row>
    <row r="118" spans="2:55" s="39" customFormat="1" ht="23.25" customHeight="1">
      <c r="B118" s="22">
        <f t="shared" si="7"/>
        <v>102</v>
      </c>
      <c r="C118" s="22" t="s">
        <v>39</v>
      </c>
      <c r="D118" s="23">
        <v>40009328</v>
      </c>
      <c r="E118" s="48" t="s">
        <v>819</v>
      </c>
      <c r="F118" s="48" t="s">
        <v>317</v>
      </c>
      <c r="G118" s="26" t="s">
        <v>683</v>
      </c>
      <c r="H118" s="48" t="s">
        <v>790</v>
      </c>
      <c r="I118" s="25" t="s">
        <v>52</v>
      </c>
      <c r="J118" s="247">
        <v>346406</v>
      </c>
      <c r="K118" s="247"/>
      <c r="L118" s="247">
        <f t="shared" si="5"/>
        <v>346406</v>
      </c>
      <c r="M118" s="248"/>
      <c r="N118" s="248"/>
      <c r="O118" s="248"/>
      <c r="P118" s="248"/>
      <c r="Q118" s="248"/>
      <c r="R118" s="248"/>
      <c r="S118" s="248">
        <v>0</v>
      </c>
      <c r="T118" s="248">
        <v>0</v>
      </c>
      <c r="U118" s="248">
        <v>0</v>
      </c>
      <c r="V118" s="248"/>
      <c r="W118" s="248"/>
      <c r="X118" s="248"/>
      <c r="Y118" s="248">
        <v>0</v>
      </c>
      <c r="Z118" s="249">
        <v>3</v>
      </c>
      <c r="AA118" s="250">
        <v>12</v>
      </c>
      <c r="AB118" s="251">
        <v>44225</v>
      </c>
      <c r="AC118" s="252">
        <v>44244</v>
      </c>
      <c r="AD118" s="249"/>
      <c r="AE118" s="248"/>
      <c r="AF118" s="251"/>
      <c r="AG118" s="251"/>
      <c r="AH118" s="249"/>
      <c r="AI118" s="248"/>
      <c r="AJ118" s="251"/>
      <c r="AK118" s="248"/>
      <c r="AL118" s="249"/>
      <c r="AM118" s="248"/>
      <c r="AN118" s="248"/>
      <c r="AO118" s="248"/>
      <c r="AP118" s="248"/>
      <c r="AQ118" s="248"/>
      <c r="AR118" s="248"/>
      <c r="AS118" s="248"/>
      <c r="AT118" s="249"/>
      <c r="AU118" s="248"/>
      <c r="AV118" s="248"/>
      <c r="AW118" s="248"/>
      <c r="AX118" s="249"/>
      <c r="AY118" s="248"/>
      <c r="AZ118" s="248"/>
      <c r="BA118" s="248"/>
      <c r="BB118" s="248">
        <f t="shared" si="6"/>
        <v>3</v>
      </c>
      <c r="BC118" s="248">
        <f t="shared" si="4"/>
        <v>3</v>
      </c>
    </row>
    <row r="119" spans="2:55" s="39" customFormat="1" ht="23.25" customHeight="1">
      <c r="B119" s="22">
        <f t="shared" si="7"/>
        <v>103</v>
      </c>
      <c r="C119" s="22" t="s">
        <v>39</v>
      </c>
      <c r="D119" s="23">
        <v>40025097</v>
      </c>
      <c r="E119" s="48" t="s">
        <v>820</v>
      </c>
      <c r="F119" s="48" t="s">
        <v>700</v>
      </c>
      <c r="G119" s="26" t="s">
        <v>683</v>
      </c>
      <c r="H119" s="48" t="s">
        <v>693</v>
      </c>
      <c r="I119" s="25" t="s">
        <v>52</v>
      </c>
      <c r="J119" s="247">
        <v>23093</v>
      </c>
      <c r="K119" s="247"/>
      <c r="L119" s="247">
        <f t="shared" si="5"/>
        <v>23093</v>
      </c>
      <c r="M119" s="248"/>
      <c r="N119" s="248"/>
      <c r="O119" s="248"/>
      <c r="P119" s="248"/>
      <c r="Q119" s="248"/>
      <c r="R119" s="248"/>
      <c r="S119" s="248">
        <v>0</v>
      </c>
      <c r="T119" s="248">
        <v>0</v>
      </c>
      <c r="U119" s="248">
        <v>0</v>
      </c>
      <c r="V119" s="248"/>
      <c r="W119" s="248"/>
      <c r="X119" s="248"/>
      <c r="Y119" s="248">
        <v>0</v>
      </c>
      <c r="Z119" s="249">
        <v>2</v>
      </c>
      <c r="AA119" s="250">
        <v>12</v>
      </c>
      <c r="AB119" s="251">
        <v>44225</v>
      </c>
      <c r="AC119" s="252">
        <v>44244</v>
      </c>
      <c r="AD119" s="249"/>
      <c r="AE119" s="248"/>
      <c r="AF119" s="251"/>
      <c r="AG119" s="251"/>
      <c r="AH119" s="249"/>
      <c r="AI119" s="248"/>
      <c r="AJ119" s="251"/>
      <c r="AK119" s="248"/>
      <c r="AL119" s="249"/>
      <c r="AM119" s="248"/>
      <c r="AN119" s="248"/>
      <c r="AO119" s="248"/>
      <c r="AP119" s="248"/>
      <c r="AQ119" s="248"/>
      <c r="AR119" s="248"/>
      <c r="AS119" s="248"/>
      <c r="AT119" s="249"/>
      <c r="AU119" s="248"/>
      <c r="AV119" s="248"/>
      <c r="AW119" s="248"/>
      <c r="AX119" s="249"/>
      <c r="AY119" s="248"/>
      <c r="AZ119" s="248"/>
      <c r="BA119" s="248"/>
      <c r="BB119" s="248">
        <f t="shared" si="6"/>
        <v>2</v>
      </c>
      <c r="BC119" s="248">
        <f t="shared" si="4"/>
        <v>2</v>
      </c>
    </row>
    <row r="120" spans="2:55" s="39" customFormat="1" ht="23.25" customHeight="1">
      <c r="B120" s="22">
        <f t="shared" si="7"/>
        <v>104</v>
      </c>
      <c r="C120" s="22" t="s">
        <v>39</v>
      </c>
      <c r="D120" s="23">
        <v>40019627</v>
      </c>
      <c r="E120" s="48" t="s">
        <v>821</v>
      </c>
      <c r="F120" s="48" t="s">
        <v>317</v>
      </c>
      <c r="G120" s="26" t="s">
        <v>683</v>
      </c>
      <c r="H120" s="48" t="s">
        <v>693</v>
      </c>
      <c r="I120" s="25" t="s">
        <v>52</v>
      </c>
      <c r="J120" s="247">
        <v>82988</v>
      </c>
      <c r="K120" s="247"/>
      <c r="L120" s="247">
        <f t="shared" si="5"/>
        <v>82988</v>
      </c>
      <c r="M120" s="248"/>
      <c r="N120" s="248"/>
      <c r="O120" s="248"/>
      <c r="P120" s="248"/>
      <c r="Q120" s="248"/>
      <c r="R120" s="248"/>
      <c r="S120" s="248">
        <v>0</v>
      </c>
      <c r="T120" s="248">
        <v>0</v>
      </c>
      <c r="U120" s="248">
        <v>0</v>
      </c>
      <c r="V120" s="248"/>
      <c r="W120" s="248"/>
      <c r="X120" s="248"/>
      <c r="Y120" s="248">
        <v>0</v>
      </c>
      <c r="Z120" s="249">
        <v>2</v>
      </c>
      <c r="AA120" s="250">
        <v>12</v>
      </c>
      <c r="AB120" s="251">
        <v>44225</v>
      </c>
      <c r="AC120" s="252">
        <v>44244</v>
      </c>
      <c r="AD120" s="249"/>
      <c r="AE120" s="248"/>
      <c r="AF120" s="251"/>
      <c r="AG120" s="251"/>
      <c r="AH120" s="249"/>
      <c r="AI120" s="248"/>
      <c r="AJ120" s="251"/>
      <c r="AK120" s="248"/>
      <c r="AL120" s="249"/>
      <c r="AM120" s="248"/>
      <c r="AN120" s="248"/>
      <c r="AO120" s="248"/>
      <c r="AP120" s="248"/>
      <c r="AQ120" s="248"/>
      <c r="AR120" s="248"/>
      <c r="AS120" s="248"/>
      <c r="AT120" s="249"/>
      <c r="AU120" s="248"/>
      <c r="AV120" s="248"/>
      <c r="AW120" s="248"/>
      <c r="AX120" s="249"/>
      <c r="AY120" s="248"/>
      <c r="AZ120" s="248"/>
      <c r="BA120" s="248"/>
      <c r="BB120" s="248">
        <f t="shared" si="6"/>
        <v>2</v>
      </c>
      <c r="BC120" s="248">
        <f t="shared" si="4"/>
        <v>2</v>
      </c>
    </row>
    <row r="121" spans="2:55" s="39" customFormat="1" ht="23.25" customHeight="1">
      <c r="B121" s="22">
        <f t="shared" si="7"/>
        <v>105</v>
      </c>
      <c r="C121" s="22" t="s">
        <v>39</v>
      </c>
      <c r="D121" s="23">
        <v>40009196</v>
      </c>
      <c r="E121" s="48" t="s">
        <v>822</v>
      </c>
      <c r="F121" s="48" t="s">
        <v>700</v>
      </c>
      <c r="G121" s="26" t="s">
        <v>683</v>
      </c>
      <c r="H121" s="48" t="s">
        <v>693</v>
      </c>
      <c r="I121" s="25" t="s">
        <v>52</v>
      </c>
      <c r="J121" s="247">
        <v>87737</v>
      </c>
      <c r="K121" s="247"/>
      <c r="L121" s="247">
        <f t="shared" si="5"/>
        <v>87737</v>
      </c>
      <c r="M121" s="248"/>
      <c r="N121" s="248"/>
      <c r="O121" s="248"/>
      <c r="P121" s="248"/>
      <c r="Q121" s="248"/>
      <c r="R121" s="248"/>
      <c r="S121" s="248">
        <v>0</v>
      </c>
      <c r="T121" s="248">
        <v>0</v>
      </c>
      <c r="U121" s="248">
        <v>0</v>
      </c>
      <c r="V121" s="248"/>
      <c r="W121" s="248"/>
      <c r="X121" s="248"/>
      <c r="Y121" s="248">
        <v>0</v>
      </c>
      <c r="Z121" s="249">
        <v>2</v>
      </c>
      <c r="AA121" s="250">
        <v>12</v>
      </c>
      <c r="AB121" s="251">
        <v>44225</v>
      </c>
      <c r="AC121" s="252">
        <v>44244</v>
      </c>
      <c r="AD121" s="249"/>
      <c r="AE121" s="248"/>
      <c r="AF121" s="251"/>
      <c r="AG121" s="251"/>
      <c r="AH121" s="249"/>
      <c r="AI121" s="248"/>
      <c r="AJ121" s="251"/>
      <c r="AK121" s="248"/>
      <c r="AL121" s="249"/>
      <c r="AM121" s="248"/>
      <c r="AN121" s="248"/>
      <c r="AO121" s="248"/>
      <c r="AP121" s="248"/>
      <c r="AQ121" s="248"/>
      <c r="AR121" s="248"/>
      <c r="AS121" s="248"/>
      <c r="AT121" s="249"/>
      <c r="AU121" s="248"/>
      <c r="AV121" s="248"/>
      <c r="AW121" s="248"/>
      <c r="AX121" s="249"/>
      <c r="AY121" s="248"/>
      <c r="AZ121" s="248"/>
      <c r="BA121" s="248"/>
      <c r="BB121" s="248">
        <f t="shared" si="6"/>
        <v>2</v>
      </c>
      <c r="BC121" s="248">
        <f t="shared" si="4"/>
        <v>2</v>
      </c>
    </row>
    <row r="122" spans="2:55" s="39" customFormat="1" ht="23.25" customHeight="1">
      <c r="B122" s="22">
        <f t="shared" si="7"/>
        <v>106</v>
      </c>
      <c r="C122" s="22" t="s">
        <v>39</v>
      </c>
      <c r="D122" s="23">
        <v>30480150</v>
      </c>
      <c r="E122" s="48" t="s">
        <v>823</v>
      </c>
      <c r="F122" s="48" t="s">
        <v>317</v>
      </c>
      <c r="G122" s="26" t="s">
        <v>683</v>
      </c>
      <c r="H122" s="48" t="s">
        <v>693</v>
      </c>
      <c r="I122" s="25" t="s">
        <v>52</v>
      </c>
      <c r="J122" s="247">
        <v>872827</v>
      </c>
      <c r="K122" s="247"/>
      <c r="L122" s="247">
        <f t="shared" si="5"/>
        <v>872827</v>
      </c>
      <c r="M122" s="248"/>
      <c r="N122" s="248"/>
      <c r="O122" s="248"/>
      <c r="P122" s="248"/>
      <c r="Q122" s="248"/>
      <c r="R122" s="248"/>
      <c r="S122" s="248">
        <v>0</v>
      </c>
      <c r="T122" s="248">
        <v>0</v>
      </c>
      <c r="U122" s="248">
        <v>0</v>
      </c>
      <c r="V122" s="248"/>
      <c r="W122" s="248"/>
      <c r="X122" s="248"/>
      <c r="Y122" s="248">
        <v>0</v>
      </c>
      <c r="Z122" s="249">
        <v>4</v>
      </c>
      <c r="AA122" s="250">
        <v>12</v>
      </c>
      <c r="AB122" s="251">
        <v>44225</v>
      </c>
      <c r="AC122" s="252">
        <v>44244</v>
      </c>
      <c r="AD122" s="249"/>
      <c r="AE122" s="248"/>
      <c r="AF122" s="251"/>
      <c r="AG122" s="251"/>
      <c r="AH122" s="249"/>
      <c r="AI122" s="248"/>
      <c r="AJ122" s="251"/>
      <c r="AK122" s="248"/>
      <c r="AL122" s="249"/>
      <c r="AM122" s="248"/>
      <c r="AN122" s="248"/>
      <c r="AO122" s="248"/>
      <c r="AP122" s="248"/>
      <c r="AQ122" s="248"/>
      <c r="AR122" s="248"/>
      <c r="AS122" s="248"/>
      <c r="AT122" s="249"/>
      <c r="AU122" s="248"/>
      <c r="AV122" s="248"/>
      <c r="AW122" s="248"/>
      <c r="AX122" s="249"/>
      <c r="AY122" s="248"/>
      <c r="AZ122" s="248"/>
      <c r="BA122" s="248"/>
      <c r="BB122" s="248">
        <f t="shared" si="6"/>
        <v>4</v>
      </c>
      <c r="BC122" s="248">
        <f t="shared" si="4"/>
        <v>4</v>
      </c>
    </row>
    <row r="123" spans="2:55" s="39" customFormat="1" ht="23.25" customHeight="1">
      <c r="B123" s="22">
        <f t="shared" si="7"/>
        <v>107</v>
      </c>
      <c r="C123" s="22" t="s">
        <v>65</v>
      </c>
      <c r="D123" s="23">
        <v>40015277</v>
      </c>
      <c r="E123" s="48" t="s">
        <v>824</v>
      </c>
      <c r="F123" s="48" t="s">
        <v>317</v>
      </c>
      <c r="G123" s="26" t="s">
        <v>683</v>
      </c>
      <c r="H123" s="48" t="s">
        <v>825</v>
      </c>
      <c r="I123" s="25" t="s">
        <v>52</v>
      </c>
      <c r="J123" s="247">
        <v>58993</v>
      </c>
      <c r="K123" s="247"/>
      <c r="L123" s="247">
        <f t="shared" si="5"/>
        <v>58993</v>
      </c>
      <c r="M123" s="248"/>
      <c r="N123" s="248"/>
      <c r="O123" s="248"/>
      <c r="P123" s="248"/>
      <c r="Q123" s="248"/>
      <c r="R123" s="248"/>
      <c r="S123" s="248">
        <v>0</v>
      </c>
      <c r="T123" s="248">
        <v>0</v>
      </c>
      <c r="U123" s="248">
        <v>0</v>
      </c>
      <c r="V123" s="248"/>
      <c r="W123" s="248"/>
      <c r="X123" s="248"/>
      <c r="Y123" s="248">
        <v>0</v>
      </c>
      <c r="Z123" s="249">
        <v>2</v>
      </c>
      <c r="AA123" s="250">
        <v>12</v>
      </c>
      <c r="AB123" s="251">
        <v>44225</v>
      </c>
      <c r="AC123" s="252">
        <v>44244</v>
      </c>
      <c r="AD123" s="249"/>
      <c r="AE123" s="248"/>
      <c r="AF123" s="251"/>
      <c r="AG123" s="251"/>
      <c r="AH123" s="249"/>
      <c r="AI123" s="248"/>
      <c r="AJ123" s="251"/>
      <c r="AK123" s="248"/>
      <c r="AL123" s="249"/>
      <c r="AM123" s="248"/>
      <c r="AN123" s="248"/>
      <c r="AO123" s="248"/>
      <c r="AP123" s="248"/>
      <c r="AQ123" s="248"/>
      <c r="AR123" s="248"/>
      <c r="AS123" s="248"/>
      <c r="AT123" s="249"/>
      <c r="AU123" s="248"/>
      <c r="AV123" s="248"/>
      <c r="AW123" s="248"/>
      <c r="AX123" s="249"/>
      <c r="AY123" s="248"/>
      <c r="AZ123" s="248"/>
      <c r="BA123" s="248"/>
      <c r="BB123" s="248">
        <f t="shared" si="6"/>
        <v>2</v>
      </c>
      <c r="BC123" s="248">
        <f t="shared" si="4"/>
        <v>2</v>
      </c>
    </row>
    <row r="124" spans="2:55" s="39" customFormat="1" ht="23.25" customHeight="1">
      <c r="B124" s="22">
        <f t="shared" si="7"/>
        <v>108</v>
      </c>
      <c r="C124" s="22" t="s">
        <v>65</v>
      </c>
      <c r="D124" s="23">
        <v>40015269</v>
      </c>
      <c r="E124" s="48" t="s">
        <v>826</v>
      </c>
      <c r="F124" s="48" t="s">
        <v>317</v>
      </c>
      <c r="G124" s="26" t="s">
        <v>683</v>
      </c>
      <c r="H124" s="48" t="s">
        <v>825</v>
      </c>
      <c r="I124" s="25" t="s">
        <v>52</v>
      </c>
      <c r="J124" s="247">
        <v>47014</v>
      </c>
      <c r="K124" s="247"/>
      <c r="L124" s="247">
        <f t="shared" si="5"/>
        <v>47014</v>
      </c>
      <c r="M124" s="248"/>
      <c r="N124" s="248"/>
      <c r="O124" s="248"/>
      <c r="P124" s="248"/>
      <c r="Q124" s="248"/>
      <c r="R124" s="248"/>
      <c r="S124" s="248">
        <v>0</v>
      </c>
      <c r="T124" s="248">
        <v>0</v>
      </c>
      <c r="U124" s="248">
        <v>0</v>
      </c>
      <c r="V124" s="248"/>
      <c r="W124" s="248"/>
      <c r="X124" s="248"/>
      <c r="Y124" s="248">
        <v>0</v>
      </c>
      <c r="Z124" s="249">
        <v>2</v>
      </c>
      <c r="AA124" s="250">
        <v>12</v>
      </c>
      <c r="AB124" s="251">
        <v>44225</v>
      </c>
      <c r="AC124" s="252">
        <v>44244</v>
      </c>
      <c r="AD124" s="249"/>
      <c r="AE124" s="248"/>
      <c r="AF124" s="251"/>
      <c r="AG124" s="251"/>
      <c r="AH124" s="249"/>
      <c r="AI124" s="248"/>
      <c r="AJ124" s="251"/>
      <c r="AK124" s="248"/>
      <c r="AL124" s="249"/>
      <c r="AM124" s="248"/>
      <c r="AN124" s="248"/>
      <c r="AO124" s="248"/>
      <c r="AP124" s="248"/>
      <c r="AQ124" s="248"/>
      <c r="AR124" s="248"/>
      <c r="AS124" s="248"/>
      <c r="AT124" s="249"/>
      <c r="AU124" s="248"/>
      <c r="AV124" s="248"/>
      <c r="AW124" s="248"/>
      <c r="AX124" s="249"/>
      <c r="AY124" s="248"/>
      <c r="AZ124" s="248"/>
      <c r="BA124" s="248"/>
      <c r="BB124" s="248">
        <f t="shared" si="6"/>
        <v>2</v>
      </c>
      <c r="BC124" s="248">
        <f t="shared" si="4"/>
        <v>2</v>
      </c>
    </row>
    <row r="125" spans="2:55" s="39" customFormat="1" ht="23.25" customHeight="1">
      <c r="B125" s="22">
        <f t="shared" si="7"/>
        <v>109</v>
      </c>
      <c r="C125" s="22" t="s">
        <v>39</v>
      </c>
      <c r="D125" s="23">
        <v>40001686</v>
      </c>
      <c r="E125" s="48" t="s">
        <v>827</v>
      </c>
      <c r="F125" s="48" t="s">
        <v>700</v>
      </c>
      <c r="G125" s="26" t="s">
        <v>683</v>
      </c>
      <c r="H125" s="48" t="s">
        <v>718</v>
      </c>
      <c r="I125" s="25" t="s">
        <v>52</v>
      </c>
      <c r="J125" s="247">
        <v>47208</v>
      </c>
      <c r="K125" s="247"/>
      <c r="L125" s="247">
        <f t="shared" si="5"/>
        <v>47208</v>
      </c>
      <c r="M125" s="248"/>
      <c r="N125" s="248"/>
      <c r="O125" s="248"/>
      <c r="P125" s="248"/>
      <c r="Q125" s="248"/>
      <c r="R125" s="248"/>
      <c r="S125" s="248">
        <v>0</v>
      </c>
      <c r="T125" s="248">
        <v>0</v>
      </c>
      <c r="U125" s="248">
        <v>0</v>
      </c>
      <c r="V125" s="248"/>
      <c r="W125" s="248"/>
      <c r="X125" s="248"/>
      <c r="Y125" s="248">
        <v>0</v>
      </c>
      <c r="Z125" s="249">
        <v>1</v>
      </c>
      <c r="AA125" s="250">
        <v>12</v>
      </c>
      <c r="AB125" s="251">
        <v>44225</v>
      </c>
      <c r="AC125" s="252">
        <v>44244</v>
      </c>
      <c r="AD125" s="249"/>
      <c r="AE125" s="248"/>
      <c r="AF125" s="251"/>
      <c r="AG125" s="251"/>
      <c r="AH125" s="249"/>
      <c r="AI125" s="248"/>
      <c r="AJ125" s="251"/>
      <c r="AK125" s="248"/>
      <c r="AL125" s="249"/>
      <c r="AM125" s="248"/>
      <c r="AN125" s="248"/>
      <c r="AO125" s="248"/>
      <c r="AP125" s="248"/>
      <c r="AQ125" s="248"/>
      <c r="AR125" s="248"/>
      <c r="AS125" s="248"/>
      <c r="AT125" s="249"/>
      <c r="AU125" s="248"/>
      <c r="AV125" s="248"/>
      <c r="AW125" s="248"/>
      <c r="AX125" s="249"/>
      <c r="AY125" s="248"/>
      <c r="AZ125" s="248"/>
      <c r="BA125" s="248"/>
      <c r="BB125" s="248">
        <f t="shared" si="6"/>
        <v>1</v>
      </c>
      <c r="BC125" s="248">
        <f t="shared" si="4"/>
        <v>1</v>
      </c>
    </row>
    <row r="126" spans="2:55" s="39" customFormat="1" ht="23.25" customHeight="1">
      <c r="B126" s="22">
        <f t="shared" si="7"/>
        <v>110</v>
      </c>
      <c r="C126" s="22" t="s">
        <v>39</v>
      </c>
      <c r="D126" s="23">
        <v>40008485</v>
      </c>
      <c r="E126" s="48" t="s">
        <v>828</v>
      </c>
      <c r="F126" s="48" t="s">
        <v>317</v>
      </c>
      <c r="G126" s="26" t="s">
        <v>683</v>
      </c>
      <c r="H126" s="48" t="s">
        <v>781</v>
      </c>
      <c r="I126" s="25" t="s">
        <v>52</v>
      </c>
      <c r="J126" s="247">
        <v>367563</v>
      </c>
      <c r="K126" s="247"/>
      <c r="L126" s="247">
        <f t="shared" si="5"/>
        <v>367563</v>
      </c>
      <c r="M126" s="248"/>
      <c r="N126" s="248"/>
      <c r="O126" s="248"/>
      <c r="P126" s="248"/>
      <c r="Q126" s="248"/>
      <c r="R126" s="248"/>
      <c r="S126" s="248">
        <v>0</v>
      </c>
      <c r="T126" s="248">
        <v>0</v>
      </c>
      <c r="U126" s="248">
        <v>0</v>
      </c>
      <c r="V126" s="248"/>
      <c r="W126" s="248"/>
      <c r="X126" s="248"/>
      <c r="Y126" s="248">
        <v>0</v>
      </c>
      <c r="Z126" s="249">
        <v>3</v>
      </c>
      <c r="AA126" s="250">
        <v>12</v>
      </c>
      <c r="AB126" s="251">
        <v>44225</v>
      </c>
      <c r="AC126" s="252">
        <v>44244</v>
      </c>
      <c r="AD126" s="249"/>
      <c r="AE126" s="248"/>
      <c r="AF126" s="251"/>
      <c r="AG126" s="251"/>
      <c r="AH126" s="249"/>
      <c r="AI126" s="248"/>
      <c r="AJ126" s="251"/>
      <c r="AK126" s="248"/>
      <c r="AL126" s="249"/>
      <c r="AM126" s="248"/>
      <c r="AN126" s="248"/>
      <c r="AO126" s="248"/>
      <c r="AP126" s="248"/>
      <c r="AQ126" s="248"/>
      <c r="AR126" s="248"/>
      <c r="AS126" s="248"/>
      <c r="AT126" s="249"/>
      <c r="AU126" s="248"/>
      <c r="AV126" s="248"/>
      <c r="AW126" s="248"/>
      <c r="AX126" s="249"/>
      <c r="AY126" s="248"/>
      <c r="AZ126" s="248"/>
      <c r="BA126" s="248"/>
      <c r="BB126" s="248">
        <f t="shared" si="6"/>
        <v>3</v>
      </c>
      <c r="BC126" s="248">
        <f t="shared" si="4"/>
        <v>3</v>
      </c>
    </row>
    <row r="127" spans="2:55" s="39" customFormat="1" ht="23.25" customHeight="1">
      <c r="B127" s="22">
        <f t="shared" si="7"/>
        <v>111</v>
      </c>
      <c r="C127" s="22" t="s">
        <v>39</v>
      </c>
      <c r="D127" s="23">
        <v>40014202</v>
      </c>
      <c r="E127" s="48" t="s">
        <v>829</v>
      </c>
      <c r="F127" s="48" t="s">
        <v>317</v>
      </c>
      <c r="G127" s="26" t="s">
        <v>683</v>
      </c>
      <c r="H127" s="48" t="s">
        <v>830</v>
      </c>
      <c r="I127" s="25" t="s">
        <v>52</v>
      </c>
      <c r="J127" s="247">
        <v>619095</v>
      </c>
      <c r="K127" s="247"/>
      <c r="L127" s="247">
        <f t="shared" si="5"/>
        <v>619095</v>
      </c>
      <c r="M127" s="248"/>
      <c r="N127" s="248"/>
      <c r="O127" s="248"/>
      <c r="P127" s="248"/>
      <c r="Q127" s="248"/>
      <c r="R127" s="248"/>
      <c r="S127" s="248">
        <v>0</v>
      </c>
      <c r="T127" s="248">
        <v>0</v>
      </c>
      <c r="U127" s="248">
        <v>0</v>
      </c>
      <c r="V127" s="248"/>
      <c r="W127" s="248"/>
      <c r="X127" s="248"/>
      <c r="Y127" s="248">
        <v>0</v>
      </c>
      <c r="Z127" s="249">
        <v>3</v>
      </c>
      <c r="AA127" s="250">
        <v>12</v>
      </c>
      <c r="AB127" s="251">
        <v>44225</v>
      </c>
      <c r="AC127" s="252">
        <v>44244</v>
      </c>
      <c r="AD127" s="249"/>
      <c r="AE127" s="248"/>
      <c r="AF127" s="251"/>
      <c r="AG127" s="251"/>
      <c r="AH127" s="249"/>
      <c r="AI127" s="248"/>
      <c r="AJ127" s="251"/>
      <c r="AK127" s="248"/>
      <c r="AL127" s="249"/>
      <c r="AM127" s="248"/>
      <c r="AN127" s="248"/>
      <c r="AO127" s="248"/>
      <c r="AP127" s="248"/>
      <c r="AQ127" s="248"/>
      <c r="AR127" s="248"/>
      <c r="AS127" s="248"/>
      <c r="AT127" s="249"/>
      <c r="AU127" s="248"/>
      <c r="AV127" s="248"/>
      <c r="AW127" s="248"/>
      <c r="AX127" s="249"/>
      <c r="AY127" s="248"/>
      <c r="AZ127" s="248"/>
      <c r="BA127" s="248"/>
      <c r="BB127" s="248">
        <f t="shared" si="6"/>
        <v>3</v>
      </c>
      <c r="BC127" s="248">
        <f t="shared" si="4"/>
        <v>3</v>
      </c>
    </row>
    <row r="128" spans="2:55" s="39" customFormat="1" ht="23.25" customHeight="1">
      <c r="B128" s="22">
        <f t="shared" si="7"/>
        <v>112</v>
      </c>
      <c r="C128" s="22" t="s">
        <v>39</v>
      </c>
      <c r="D128" s="23">
        <v>40016795</v>
      </c>
      <c r="E128" s="48" t="s">
        <v>831</v>
      </c>
      <c r="F128" s="48" t="s">
        <v>317</v>
      </c>
      <c r="G128" s="26" t="s">
        <v>683</v>
      </c>
      <c r="H128" s="48" t="s">
        <v>832</v>
      </c>
      <c r="I128" s="25" t="s">
        <v>52</v>
      </c>
      <c r="J128" s="247">
        <v>267608</v>
      </c>
      <c r="K128" s="247"/>
      <c r="L128" s="247">
        <f t="shared" si="5"/>
        <v>267608</v>
      </c>
      <c r="M128" s="248"/>
      <c r="N128" s="248"/>
      <c r="O128" s="248"/>
      <c r="P128" s="248"/>
      <c r="Q128" s="248"/>
      <c r="R128" s="248"/>
      <c r="S128" s="248">
        <v>0</v>
      </c>
      <c r="T128" s="248">
        <v>0</v>
      </c>
      <c r="U128" s="248">
        <v>0</v>
      </c>
      <c r="V128" s="248"/>
      <c r="W128" s="248"/>
      <c r="X128" s="248"/>
      <c r="Y128" s="248">
        <v>0</v>
      </c>
      <c r="Z128" s="249">
        <v>3</v>
      </c>
      <c r="AA128" s="250">
        <v>12</v>
      </c>
      <c r="AB128" s="251">
        <v>44225</v>
      </c>
      <c r="AC128" s="252">
        <v>44244</v>
      </c>
      <c r="AD128" s="249"/>
      <c r="AE128" s="248"/>
      <c r="AF128" s="251"/>
      <c r="AG128" s="251"/>
      <c r="AH128" s="249"/>
      <c r="AI128" s="248"/>
      <c r="AJ128" s="251"/>
      <c r="AK128" s="248"/>
      <c r="AL128" s="249"/>
      <c r="AM128" s="248"/>
      <c r="AN128" s="248"/>
      <c r="AO128" s="248"/>
      <c r="AP128" s="248"/>
      <c r="AQ128" s="248"/>
      <c r="AR128" s="248"/>
      <c r="AS128" s="248"/>
      <c r="AT128" s="249"/>
      <c r="AU128" s="248"/>
      <c r="AV128" s="248"/>
      <c r="AW128" s="248"/>
      <c r="AX128" s="249"/>
      <c r="AY128" s="248"/>
      <c r="AZ128" s="248"/>
      <c r="BA128" s="248"/>
      <c r="BB128" s="248">
        <f t="shared" si="6"/>
        <v>3</v>
      </c>
      <c r="BC128" s="248">
        <f t="shared" si="4"/>
        <v>3</v>
      </c>
    </row>
    <row r="129" spans="2:55" s="39" customFormat="1" ht="23.25" customHeight="1">
      <c r="B129" s="22">
        <f t="shared" si="7"/>
        <v>113</v>
      </c>
      <c r="C129" s="22" t="s">
        <v>39</v>
      </c>
      <c r="D129" s="23">
        <v>40026474</v>
      </c>
      <c r="E129" s="48" t="s">
        <v>833</v>
      </c>
      <c r="F129" s="48" t="s">
        <v>317</v>
      </c>
      <c r="G129" s="26" t="s">
        <v>683</v>
      </c>
      <c r="H129" s="48" t="s">
        <v>683</v>
      </c>
      <c r="I129" s="25" t="s">
        <v>52</v>
      </c>
      <c r="J129" s="247">
        <v>99999</v>
      </c>
      <c r="K129" s="247"/>
      <c r="L129" s="247">
        <f t="shared" si="5"/>
        <v>99999</v>
      </c>
      <c r="M129" s="248"/>
      <c r="N129" s="248"/>
      <c r="O129" s="248"/>
      <c r="P129" s="248"/>
      <c r="Q129" s="248"/>
      <c r="R129" s="248"/>
      <c r="S129" s="248">
        <v>0</v>
      </c>
      <c r="T129" s="248">
        <v>0</v>
      </c>
      <c r="U129" s="248">
        <v>0</v>
      </c>
      <c r="V129" s="248"/>
      <c r="W129" s="248"/>
      <c r="X129" s="248"/>
      <c r="Y129" s="248">
        <v>0</v>
      </c>
      <c r="Z129" s="249">
        <v>1</v>
      </c>
      <c r="AA129" s="250">
        <v>12</v>
      </c>
      <c r="AB129" s="251">
        <v>44225</v>
      </c>
      <c r="AC129" s="252">
        <v>44244</v>
      </c>
      <c r="AD129" s="249"/>
      <c r="AE129" s="248"/>
      <c r="AF129" s="251"/>
      <c r="AG129" s="251"/>
      <c r="AH129" s="249"/>
      <c r="AI129" s="248"/>
      <c r="AJ129" s="251"/>
      <c r="AK129" s="248"/>
      <c r="AL129" s="249"/>
      <c r="AM129" s="248"/>
      <c r="AN129" s="248"/>
      <c r="AO129" s="248"/>
      <c r="AP129" s="248"/>
      <c r="AQ129" s="248"/>
      <c r="AR129" s="248"/>
      <c r="AS129" s="248"/>
      <c r="AT129" s="249"/>
      <c r="AU129" s="248"/>
      <c r="AV129" s="248"/>
      <c r="AW129" s="248"/>
      <c r="AX129" s="249"/>
      <c r="AY129" s="248"/>
      <c r="AZ129" s="248"/>
      <c r="BA129" s="248"/>
      <c r="BB129" s="248">
        <f t="shared" si="6"/>
        <v>1</v>
      </c>
      <c r="BC129" s="248">
        <f t="shared" si="4"/>
        <v>1</v>
      </c>
    </row>
    <row r="130" spans="2:55" s="39" customFormat="1" ht="23.25" customHeight="1">
      <c r="B130" s="22">
        <f t="shared" si="7"/>
        <v>114</v>
      </c>
      <c r="C130" s="22" t="s">
        <v>39</v>
      </c>
      <c r="D130" s="23">
        <v>40026019</v>
      </c>
      <c r="E130" s="48" t="s">
        <v>834</v>
      </c>
      <c r="F130" s="48" t="s">
        <v>317</v>
      </c>
      <c r="G130" s="26" t="s">
        <v>683</v>
      </c>
      <c r="H130" s="48" t="s">
        <v>683</v>
      </c>
      <c r="I130" s="25" t="s">
        <v>52</v>
      </c>
      <c r="J130" s="247">
        <v>246272</v>
      </c>
      <c r="K130" s="247"/>
      <c r="L130" s="247">
        <f t="shared" si="5"/>
        <v>246272</v>
      </c>
      <c r="M130" s="248"/>
      <c r="N130" s="248"/>
      <c r="O130" s="248"/>
      <c r="P130" s="248"/>
      <c r="Q130" s="248"/>
      <c r="R130" s="248"/>
      <c r="S130" s="248">
        <v>0</v>
      </c>
      <c r="T130" s="248">
        <v>0</v>
      </c>
      <c r="U130" s="248">
        <v>0</v>
      </c>
      <c r="V130" s="248"/>
      <c r="W130" s="248"/>
      <c r="X130" s="248"/>
      <c r="Y130" s="248">
        <v>0</v>
      </c>
      <c r="Z130" s="249">
        <v>1</v>
      </c>
      <c r="AA130" s="250">
        <v>12</v>
      </c>
      <c r="AB130" s="251">
        <v>44225</v>
      </c>
      <c r="AC130" s="252">
        <v>44244</v>
      </c>
      <c r="AD130" s="249"/>
      <c r="AE130" s="248"/>
      <c r="AF130" s="251"/>
      <c r="AG130" s="251"/>
      <c r="AH130" s="249"/>
      <c r="AI130" s="248"/>
      <c r="AJ130" s="251"/>
      <c r="AK130" s="248"/>
      <c r="AL130" s="249"/>
      <c r="AM130" s="248"/>
      <c r="AN130" s="248"/>
      <c r="AO130" s="248"/>
      <c r="AP130" s="248"/>
      <c r="AQ130" s="248"/>
      <c r="AR130" s="248"/>
      <c r="AS130" s="248"/>
      <c r="AT130" s="249"/>
      <c r="AU130" s="248"/>
      <c r="AV130" s="248"/>
      <c r="AW130" s="248"/>
      <c r="AX130" s="249"/>
      <c r="AY130" s="248"/>
      <c r="AZ130" s="248"/>
      <c r="BA130" s="248"/>
      <c r="BB130" s="248">
        <f t="shared" si="6"/>
        <v>1</v>
      </c>
      <c r="BC130" s="248">
        <f t="shared" si="4"/>
        <v>1</v>
      </c>
    </row>
    <row r="131" spans="2:55" s="39" customFormat="1" ht="23.25" customHeight="1">
      <c r="B131" s="22">
        <f t="shared" si="7"/>
        <v>115</v>
      </c>
      <c r="C131" s="22" t="s">
        <v>39</v>
      </c>
      <c r="D131" s="23">
        <v>40020848</v>
      </c>
      <c r="E131" s="48" t="s">
        <v>835</v>
      </c>
      <c r="F131" s="48" t="s">
        <v>317</v>
      </c>
      <c r="G131" s="26" t="s">
        <v>683</v>
      </c>
      <c r="H131" s="48" t="s">
        <v>683</v>
      </c>
      <c r="I131" s="25" t="s">
        <v>52</v>
      </c>
      <c r="J131" s="247">
        <v>499224</v>
      </c>
      <c r="K131" s="247"/>
      <c r="L131" s="247">
        <f t="shared" si="5"/>
        <v>499224</v>
      </c>
      <c r="M131" s="248"/>
      <c r="N131" s="248"/>
      <c r="O131" s="248"/>
      <c r="P131" s="248"/>
      <c r="Q131" s="248"/>
      <c r="R131" s="248"/>
      <c r="S131" s="248">
        <v>0</v>
      </c>
      <c r="T131" s="248">
        <v>0</v>
      </c>
      <c r="U131" s="248">
        <v>0</v>
      </c>
      <c r="V131" s="248"/>
      <c r="W131" s="248"/>
      <c r="X131" s="248"/>
      <c r="Y131" s="248">
        <v>0</v>
      </c>
      <c r="Z131" s="249">
        <v>2</v>
      </c>
      <c r="AA131" s="250">
        <v>12</v>
      </c>
      <c r="AB131" s="251">
        <v>44225</v>
      </c>
      <c r="AC131" s="252">
        <v>44244</v>
      </c>
      <c r="AD131" s="249"/>
      <c r="AE131" s="248"/>
      <c r="AF131" s="251"/>
      <c r="AG131" s="251"/>
      <c r="AH131" s="249"/>
      <c r="AI131" s="248"/>
      <c r="AJ131" s="251"/>
      <c r="AK131" s="248"/>
      <c r="AL131" s="249"/>
      <c r="AM131" s="248"/>
      <c r="AN131" s="248"/>
      <c r="AO131" s="248"/>
      <c r="AP131" s="248"/>
      <c r="AQ131" s="248"/>
      <c r="AR131" s="248"/>
      <c r="AS131" s="248"/>
      <c r="AT131" s="249"/>
      <c r="AU131" s="248"/>
      <c r="AV131" s="248"/>
      <c r="AW131" s="248"/>
      <c r="AX131" s="249"/>
      <c r="AY131" s="248"/>
      <c r="AZ131" s="248"/>
      <c r="BA131" s="248"/>
      <c r="BB131" s="248">
        <f t="shared" si="6"/>
        <v>2</v>
      </c>
      <c r="BC131" s="248">
        <f t="shared" si="4"/>
        <v>2</v>
      </c>
    </row>
    <row r="132" spans="2:55" s="39" customFormat="1" ht="23.25" customHeight="1">
      <c r="B132" s="22">
        <f t="shared" si="7"/>
        <v>116</v>
      </c>
      <c r="C132" s="22" t="s">
        <v>39</v>
      </c>
      <c r="D132" s="23">
        <v>40009258</v>
      </c>
      <c r="E132" s="48" t="s">
        <v>836</v>
      </c>
      <c r="F132" s="48" t="s">
        <v>317</v>
      </c>
      <c r="G132" s="26" t="s">
        <v>683</v>
      </c>
      <c r="H132" s="48" t="s">
        <v>683</v>
      </c>
      <c r="I132" s="25" t="s">
        <v>52</v>
      </c>
      <c r="J132" s="247">
        <v>168170</v>
      </c>
      <c r="K132" s="247"/>
      <c r="L132" s="247">
        <f t="shared" si="5"/>
        <v>168170</v>
      </c>
      <c r="M132" s="248"/>
      <c r="N132" s="248"/>
      <c r="O132" s="248"/>
      <c r="P132" s="248"/>
      <c r="Q132" s="248"/>
      <c r="R132" s="248"/>
      <c r="S132" s="248">
        <v>0</v>
      </c>
      <c r="T132" s="248">
        <v>0</v>
      </c>
      <c r="U132" s="248">
        <v>0</v>
      </c>
      <c r="V132" s="248"/>
      <c r="W132" s="248"/>
      <c r="X132" s="248"/>
      <c r="Y132" s="248">
        <v>0</v>
      </c>
      <c r="Z132" s="249">
        <v>2</v>
      </c>
      <c r="AA132" s="250">
        <v>12</v>
      </c>
      <c r="AB132" s="251">
        <v>44225</v>
      </c>
      <c r="AC132" s="252">
        <v>44244</v>
      </c>
      <c r="AD132" s="249"/>
      <c r="AE132" s="248"/>
      <c r="AF132" s="251"/>
      <c r="AG132" s="251"/>
      <c r="AH132" s="249"/>
      <c r="AI132" s="248"/>
      <c r="AJ132" s="251"/>
      <c r="AK132" s="248"/>
      <c r="AL132" s="249"/>
      <c r="AM132" s="248"/>
      <c r="AN132" s="248"/>
      <c r="AO132" s="248"/>
      <c r="AP132" s="248"/>
      <c r="AQ132" s="248"/>
      <c r="AR132" s="248"/>
      <c r="AS132" s="248"/>
      <c r="AT132" s="249"/>
      <c r="AU132" s="248"/>
      <c r="AV132" s="248"/>
      <c r="AW132" s="248"/>
      <c r="AX132" s="249"/>
      <c r="AY132" s="248"/>
      <c r="AZ132" s="248"/>
      <c r="BA132" s="248"/>
      <c r="BB132" s="248">
        <f t="shared" si="6"/>
        <v>2</v>
      </c>
      <c r="BC132" s="248">
        <f t="shared" si="4"/>
        <v>2</v>
      </c>
    </row>
    <row r="133" spans="2:55" s="39" customFormat="1" ht="23.25" customHeight="1">
      <c r="B133" s="22">
        <f t="shared" si="7"/>
        <v>117</v>
      </c>
      <c r="C133" s="22" t="s">
        <v>39</v>
      </c>
      <c r="D133" s="23">
        <v>40018853</v>
      </c>
      <c r="E133" s="48" t="s">
        <v>837</v>
      </c>
      <c r="F133" s="48" t="s">
        <v>700</v>
      </c>
      <c r="G133" s="26" t="s">
        <v>683</v>
      </c>
      <c r="H133" s="48" t="s">
        <v>683</v>
      </c>
      <c r="I133" s="25" t="s">
        <v>52</v>
      </c>
      <c r="J133" s="247">
        <v>1034474</v>
      </c>
      <c r="K133" s="247"/>
      <c r="L133" s="247">
        <f t="shared" si="5"/>
        <v>1034474</v>
      </c>
      <c r="M133" s="248"/>
      <c r="N133" s="248"/>
      <c r="O133" s="248"/>
      <c r="P133" s="248"/>
      <c r="Q133" s="248"/>
      <c r="R133" s="248"/>
      <c r="S133" s="248">
        <v>0</v>
      </c>
      <c r="T133" s="248">
        <v>0</v>
      </c>
      <c r="U133" s="248">
        <v>0</v>
      </c>
      <c r="V133" s="248"/>
      <c r="W133" s="248"/>
      <c r="X133" s="248"/>
      <c r="Y133" s="248">
        <v>0</v>
      </c>
      <c r="Z133" s="249">
        <v>3</v>
      </c>
      <c r="AA133" s="250">
        <v>12</v>
      </c>
      <c r="AB133" s="251">
        <v>44225</v>
      </c>
      <c r="AC133" s="252">
        <v>44244</v>
      </c>
      <c r="AD133" s="249">
        <v>650430</v>
      </c>
      <c r="AE133" s="27">
        <v>69</v>
      </c>
      <c r="AF133" s="251">
        <v>44386</v>
      </c>
      <c r="AG133" s="251">
        <v>44390</v>
      </c>
      <c r="AH133" s="249"/>
      <c r="AI133" s="248"/>
      <c r="AJ133" s="251"/>
      <c r="AK133" s="248"/>
      <c r="AL133" s="249"/>
      <c r="AM133" s="248"/>
      <c r="AN133" s="248"/>
      <c r="AO133" s="248"/>
      <c r="AP133" s="248"/>
      <c r="AQ133" s="248"/>
      <c r="AR133" s="248"/>
      <c r="AS133" s="248"/>
      <c r="AT133" s="249"/>
      <c r="AU133" s="248"/>
      <c r="AV133" s="248"/>
      <c r="AW133" s="248"/>
      <c r="AX133" s="249"/>
      <c r="AY133" s="248"/>
      <c r="AZ133" s="248"/>
      <c r="BA133" s="248"/>
      <c r="BB133" s="248">
        <f t="shared" si="6"/>
        <v>650433</v>
      </c>
      <c r="BC133" s="248">
        <f t="shared" si="4"/>
        <v>650433</v>
      </c>
    </row>
    <row r="134" spans="2:55" s="39" customFormat="1" ht="23.25" customHeight="1">
      <c r="B134" s="22">
        <f t="shared" si="7"/>
        <v>118</v>
      </c>
      <c r="C134" s="22" t="s">
        <v>65</v>
      </c>
      <c r="D134" s="23">
        <v>40006811</v>
      </c>
      <c r="E134" s="48" t="s">
        <v>838</v>
      </c>
      <c r="F134" s="48" t="s">
        <v>317</v>
      </c>
      <c r="G134" s="26" t="s">
        <v>683</v>
      </c>
      <c r="H134" s="48" t="s">
        <v>686</v>
      </c>
      <c r="I134" s="25" t="s">
        <v>52</v>
      </c>
      <c r="J134" s="247">
        <v>104135</v>
      </c>
      <c r="K134" s="247"/>
      <c r="L134" s="247">
        <f t="shared" si="5"/>
        <v>104135</v>
      </c>
      <c r="M134" s="248"/>
      <c r="N134" s="248"/>
      <c r="O134" s="248"/>
      <c r="P134" s="248"/>
      <c r="Q134" s="248"/>
      <c r="R134" s="248"/>
      <c r="S134" s="248">
        <v>0</v>
      </c>
      <c r="T134" s="248">
        <v>0</v>
      </c>
      <c r="U134" s="248">
        <v>0</v>
      </c>
      <c r="V134" s="248"/>
      <c r="W134" s="248"/>
      <c r="X134" s="248"/>
      <c r="Y134" s="248">
        <v>0</v>
      </c>
      <c r="Z134" s="249">
        <v>1</v>
      </c>
      <c r="AA134" s="250">
        <v>12</v>
      </c>
      <c r="AB134" s="251">
        <v>44225</v>
      </c>
      <c r="AC134" s="252">
        <v>44244</v>
      </c>
      <c r="AD134" s="257"/>
      <c r="AE134" s="258"/>
      <c r="AF134" s="259"/>
      <c r="AG134" s="259"/>
      <c r="AH134" s="257"/>
      <c r="AI134" s="248"/>
      <c r="AJ134" s="251"/>
      <c r="AK134" s="248"/>
      <c r="AL134" s="249"/>
      <c r="AM134" s="248"/>
      <c r="AN134" s="248"/>
      <c r="AO134" s="248"/>
      <c r="AP134" s="248"/>
      <c r="AQ134" s="248"/>
      <c r="AR134" s="248"/>
      <c r="AS134" s="248"/>
      <c r="AT134" s="249"/>
      <c r="AU134" s="248"/>
      <c r="AV134" s="248"/>
      <c r="AW134" s="248"/>
      <c r="AX134" s="249"/>
      <c r="AY134" s="248"/>
      <c r="AZ134" s="248"/>
      <c r="BA134" s="248"/>
      <c r="BB134" s="248">
        <f t="shared" si="6"/>
        <v>1</v>
      </c>
      <c r="BC134" s="248">
        <f t="shared" si="4"/>
        <v>1</v>
      </c>
    </row>
    <row r="135" spans="2:55" s="39" customFormat="1" ht="23.25" customHeight="1">
      <c r="B135" s="22">
        <f t="shared" si="7"/>
        <v>119</v>
      </c>
      <c r="C135" s="22" t="s">
        <v>39</v>
      </c>
      <c r="D135" s="23">
        <v>40016324</v>
      </c>
      <c r="E135" s="48" t="s">
        <v>839</v>
      </c>
      <c r="F135" s="48" t="s">
        <v>317</v>
      </c>
      <c r="G135" s="26" t="s">
        <v>683</v>
      </c>
      <c r="H135" s="48" t="s">
        <v>686</v>
      </c>
      <c r="I135" s="25" t="s">
        <v>52</v>
      </c>
      <c r="J135" s="247">
        <v>186309</v>
      </c>
      <c r="K135" s="247"/>
      <c r="L135" s="247">
        <f t="shared" si="5"/>
        <v>186309</v>
      </c>
      <c r="M135" s="248"/>
      <c r="N135" s="248"/>
      <c r="O135" s="248"/>
      <c r="P135" s="248"/>
      <c r="Q135" s="248"/>
      <c r="R135" s="248"/>
      <c r="S135" s="248">
        <v>0</v>
      </c>
      <c r="T135" s="248">
        <v>0</v>
      </c>
      <c r="U135" s="248">
        <v>0</v>
      </c>
      <c r="V135" s="248"/>
      <c r="W135" s="248"/>
      <c r="X135" s="248"/>
      <c r="Y135" s="248">
        <v>0</v>
      </c>
      <c r="Z135" s="249">
        <v>5</v>
      </c>
      <c r="AA135" s="250">
        <v>12</v>
      </c>
      <c r="AB135" s="251">
        <v>44225</v>
      </c>
      <c r="AC135" s="252">
        <v>44244</v>
      </c>
      <c r="AD135" s="249"/>
      <c r="AE135" s="248"/>
      <c r="AF135" s="251"/>
      <c r="AG135" s="251"/>
      <c r="AH135" s="249"/>
      <c r="AI135" s="248"/>
      <c r="AJ135" s="251"/>
      <c r="AK135" s="248"/>
      <c r="AL135" s="249"/>
      <c r="AM135" s="248"/>
      <c r="AN135" s="248"/>
      <c r="AO135" s="248"/>
      <c r="AP135" s="248"/>
      <c r="AQ135" s="248"/>
      <c r="AR135" s="248"/>
      <c r="AS135" s="248"/>
      <c r="AT135" s="249"/>
      <c r="AU135" s="248"/>
      <c r="AV135" s="248"/>
      <c r="AW135" s="248"/>
      <c r="AX135" s="249"/>
      <c r="AY135" s="248"/>
      <c r="AZ135" s="248"/>
      <c r="BA135" s="248"/>
      <c r="BB135" s="248">
        <f t="shared" si="6"/>
        <v>5</v>
      </c>
      <c r="BC135" s="248">
        <f t="shared" si="4"/>
        <v>5</v>
      </c>
    </row>
    <row r="136" spans="2:55" s="39" customFormat="1" ht="23.25" customHeight="1">
      <c r="B136" s="22">
        <f t="shared" si="7"/>
        <v>120</v>
      </c>
      <c r="C136" s="22" t="s">
        <v>39</v>
      </c>
      <c r="D136" s="23">
        <v>30465434</v>
      </c>
      <c r="E136" s="48" t="s">
        <v>840</v>
      </c>
      <c r="F136" s="48" t="s">
        <v>317</v>
      </c>
      <c r="G136" s="26" t="s">
        <v>683</v>
      </c>
      <c r="H136" s="48" t="s">
        <v>686</v>
      </c>
      <c r="I136" s="25" t="s">
        <v>52</v>
      </c>
      <c r="J136" s="247">
        <v>2332181</v>
      </c>
      <c r="K136" s="247"/>
      <c r="L136" s="247">
        <f t="shared" si="5"/>
        <v>2332181</v>
      </c>
      <c r="M136" s="248"/>
      <c r="N136" s="248"/>
      <c r="O136" s="248"/>
      <c r="P136" s="248"/>
      <c r="Q136" s="248"/>
      <c r="R136" s="248"/>
      <c r="S136" s="248">
        <v>0</v>
      </c>
      <c r="T136" s="248">
        <v>0</v>
      </c>
      <c r="U136" s="248">
        <v>0</v>
      </c>
      <c r="V136" s="248"/>
      <c r="W136" s="248"/>
      <c r="X136" s="248"/>
      <c r="Y136" s="248">
        <v>0</v>
      </c>
      <c r="Z136" s="249">
        <v>3</v>
      </c>
      <c r="AA136" s="250">
        <v>12</v>
      </c>
      <c r="AB136" s="251">
        <v>44225</v>
      </c>
      <c r="AC136" s="252">
        <v>44244</v>
      </c>
      <c r="AD136" s="249"/>
      <c r="AE136" s="248"/>
      <c r="AF136" s="251"/>
      <c r="AG136" s="251"/>
      <c r="AH136" s="249"/>
      <c r="AI136" s="248"/>
      <c r="AJ136" s="251"/>
      <c r="AK136" s="248"/>
      <c r="AL136" s="249"/>
      <c r="AM136" s="248"/>
      <c r="AN136" s="248"/>
      <c r="AO136" s="248"/>
      <c r="AP136" s="248"/>
      <c r="AQ136" s="248"/>
      <c r="AR136" s="248"/>
      <c r="AS136" s="248"/>
      <c r="AT136" s="249"/>
      <c r="AU136" s="248"/>
      <c r="AV136" s="248"/>
      <c r="AW136" s="248"/>
      <c r="AX136" s="249"/>
      <c r="AY136" s="248"/>
      <c r="AZ136" s="248"/>
      <c r="BA136" s="248"/>
      <c r="BB136" s="248">
        <f t="shared" si="6"/>
        <v>3</v>
      </c>
      <c r="BC136" s="248">
        <f t="shared" si="4"/>
        <v>3</v>
      </c>
    </row>
    <row r="137" spans="2:55" s="39" customFormat="1" ht="23.25" customHeight="1">
      <c r="B137" s="22">
        <f t="shared" si="7"/>
        <v>121</v>
      </c>
      <c r="C137" s="22" t="s">
        <v>39</v>
      </c>
      <c r="D137" s="23">
        <v>40016707</v>
      </c>
      <c r="E137" s="48" t="s">
        <v>841</v>
      </c>
      <c r="F137" s="48" t="s">
        <v>317</v>
      </c>
      <c r="G137" s="26" t="s">
        <v>683</v>
      </c>
      <c r="H137" s="48" t="s">
        <v>686</v>
      </c>
      <c r="I137" s="25" t="s">
        <v>52</v>
      </c>
      <c r="J137" s="247">
        <v>279176</v>
      </c>
      <c r="K137" s="247"/>
      <c r="L137" s="247">
        <f t="shared" si="5"/>
        <v>279176</v>
      </c>
      <c r="M137" s="248"/>
      <c r="N137" s="248"/>
      <c r="O137" s="248"/>
      <c r="P137" s="248"/>
      <c r="Q137" s="248"/>
      <c r="R137" s="248"/>
      <c r="S137" s="248">
        <v>0</v>
      </c>
      <c r="T137" s="248">
        <v>0</v>
      </c>
      <c r="U137" s="248">
        <v>0</v>
      </c>
      <c r="V137" s="248"/>
      <c r="W137" s="248"/>
      <c r="X137" s="248"/>
      <c r="Y137" s="248">
        <v>0</v>
      </c>
      <c r="Z137" s="249">
        <v>3</v>
      </c>
      <c r="AA137" s="250">
        <v>12</v>
      </c>
      <c r="AB137" s="251">
        <v>44225</v>
      </c>
      <c r="AC137" s="252">
        <v>44244</v>
      </c>
      <c r="AD137" s="249"/>
      <c r="AE137" s="248"/>
      <c r="AF137" s="251"/>
      <c r="AG137" s="251"/>
      <c r="AH137" s="249"/>
      <c r="AI137" s="248"/>
      <c r="AJ137" s="251"/>
      <c r="AK137" s="248"/>
      <c r="AL137" s="249"/>
      <c r="AM137" s="248"/>
      <c r="AN137" s="248"/>
      <c r="AO137" s="248"/>
      <c r="AP137" s="248"/>
      <c r="AQ137" s="248"/>
      <c r="AR137" s="248"/>
      <c r="AS137" s="248"/>
      <c r="AT137" s="249"/>
      <c r="AU137" s="248"/>
      <c r="AV137" s="248"/>
      <c r="AW137" s="248"/>
      <c r="AX137" s="249"/>
      <c r="AY137" s="248"/>
      <c r="AZ137" s="248"/>
      <c r="BA137" s="248"/>
      <c r="BB137" s="248">
        <f t="shared" si="6"/>
        <v>3</v>
      </c>
      <c r="BC137" s="248">
        <f t="shared" si="4"/>
        <v>3</v>
      </c>
    </row>
    <row r="138" spans="2:55" s="39" customFormat="1" ht="23.25" customHeight="1">
      <c r="B138" s="22">
        <f t="shared" si="7"/>
        <v>122</v>
      </c>
      <c r="C138" s="22" t="s">
        <v>39</v>
      </c>
      <c r="D138" s="23">
        <v>40016947</v>
      </c>
      <c r="E138" s="48" t="s">
        <v>842</v>
      </c>
      <c r="F138" s="48" t="s">
        <v>700</v>
      </c>
      <c r="G138" s="26" t="s">
        <v>683</v>
      </c>
      <c r="H138" s="48" t="s">
        <v>807</v>
      </c>
      <c r="I138" s="25" t="s">
        <v>52</v>
      </c>
      <c r="J138" s="247">
        <v>37745</v>
      </c>
      <c r="K138" s="247"/>
      <c r="L138" s="247">
        <f t="shared" si="5"/>
        <v>37745</v>
      </c>
      <c r="M138" s="248"/>
      <c r="N138" s="248"/>
      <c r="O138" s="248"/>
      <c r="P138" s="248"/>
      <c r="Q138" s="248"/>
      <c r="R138" s="248"/>
      <c r="S138" s="248">
        <v>0</v>
      </c>
      <c r="T138" s="248">
        <v>0</v>
      </c>
      <c r="U138" s="248">
        <v>0</v>
      </c>
      <c r="V138" s="248"/>
      <c r="W138" s="248"/>
      <c r="X138" s="248"/>
      <c r="Y138" s="248">
        <v>0</v>
      </c>
      <c r="Z138" s="249">
        <v>2</v>
      </c>
      <c r="AA138" s="250">
        <v>12</v>
      </c>
      <c r="AB138" s="251">
        <v>44225</v>
      </c>
      <c r="AC138" s="252">
        <v>44244</v>
      </c>
      <c r="AD138" s="249"/>
      <c r="AE138" s="248"/>
      <c r="AF138" s="251"/>
      <c r="AG138" s="251"/>
      <c r="AH138" s="249"/>
      <c r="AI138" s="248"/>
      <c r="AJ138" s="251"/>
      <c r="AK138" s="248"/>
      <c r="AL138" s="249"/>
      <c r="AM138" s="248"/>
      <c r="AN138" s="248"/>
      <c r="AO138" s="248"/>
      <c r="AP138" s="248"/>
      <c r="AQ138" s="248"/>
      <c r="AR138" s="248"/>
      <c r="AS138" s="248"/>
      <c r="AT138" s="249"/>
      <c r="AU138" s="248"/>
      <c r="AV138" s="248"/>
      <c r="AW138" s="248"/>
      <c r="AX138" s="249"/>
      <c r="AY138" s="248"/>
      <c r="AZ138" s="248"/>
      <c r="BA138" s="248"/>
      <c r="BB138" s="248">
        <f t="shared" si="6"/>
        <v>2</v>
      </c>
      <c r="BC138" s="248">
        <f t="shared" si="4"/>
        <v>2</v>
      </c>
    </row>
    <row r="139" spans="2:55" s="39" customFormat="1" ht="23.25" customHeight="1">
      <c r="B139" s="22">
        <f t="shared" si="7"/>
        <v>123</v>
      </c>
      <c r="C139" s="22" t="s">
        <v>39</v>
      </c>
      <c r="D139" s="23">
        <v>40020856</v>
      </c>
      <c r="E139" s="48" t="s">
        <v>843</v>
      </c>
      <c r="F139" s="48" t="s">
        <v>700</v>
      </c>
      <c r="G139" s="26" t="s">
        <v>683</v>
      </c>
      <c r="H139" s="48" t="s">
        <v>704</v>
      </c>
      <c r="I139" s="25" t="s">
        <v>52</v>
      </c>
      <c r="J139" s="247">
        <v>484209</v>
      </c>
      <c r="K139" s="247"/>
      <c r="L139" s="247">
        <f t="shared" si="5"/>
        <v>484209</v>
      </c>
      <c r="M139" s="248"/>
      <c r="N139" s="248"/>
      <c r="O139" s="248"/>
      <c r="P139" s="248"/>
      <c r="Q139" s="248"/>
      <c r="R139" s="248"/>
      <c r="S139" s="248">
        <v>0</v>
      </c>
      <c r="T139" s="248">
        <v>0</v>
      </c>
      <c r="U139" s="248">
        <v>0</v>
      </c>
      <c r="V139" s="248"/>
      <c r="W139" s="248"/>
      <c r="X139" s="248"/>
      <c r="Y139" s="248">
        <v>0</v>
      </c>
      <c r="Z139" s="249">
        <v>2</v>
      </c>
      <c r="AA139" s="250">
        <v>12</v>
      </c>
      <c r="AB139" s="251">
        <v>44225</v>
      </c>
      <c r="AC139" s="252">
        <v>44244</v>
      </c>
      <c r="AD139" s="249"/>
      <c r="AE139" s="248"/>
      <c r="AF139" s="251"/>
      <c r="AG139" s="251"/>
      <c r="AH139" s="249"/>
      <c r="AI139" s="248"/>
      <c r="AJ139" s="251"/>
      <c r="AK139" s="248"/>
      <c r="AL139" s="249"/>
      <c r="AM139" s="248"/>
      <c r="AN139" s="248"/>
      <c r="AO139" s="248"/>
      <c r="AP139" s="248"/>
      <c r="AQ139" s="248"/>
      <c r="AR139" s="248"/>
      <c r="AS139" s="248"/>
      <c r="AT139" s="249"/>
      <c r="AU139" s="248"/>
      <c r="AV139" s="248"/>
      <c r="AW139" s="248"/>
      <c r="AX139" s="249"/>
      <c r="AY139" s="248"/>
      <c r="AZ139" s="248"/>
      <c r="BA139" s="248"/>
      <c r="BB139" s="248">
        <f t="shared" si="6"/>
        <v>2</v>
      </c>
      <c r="BC139" s="248">
        <f t="shared" si="4"/>
        <v>2</v>
      </c>
    </row>
    <row r="140" spans="2:55" s="39" customFormat="1" ht="23.25" customHeight="1">
      <c r="B140" s="22">
        <f t="shared" si="7"/>
        <v>124</v>
      </c>
      <c r="C140" s="22" t="s">
        <v>39</v>
      </c>
      <c r="D140" s="23">
        <v>30459154</v>
      </c>
      <c r="E140" s="48" t="s">
        <v>844</v>
      </c>
      <c r="F140" s="48" t="s">
        <v>317</v>
      </c>
      <c r="G140" s="26" t="s">
        <v>683</v>
      </c>
      <c r="H140" s="48" t="s">
        <v>704</v>
      </c>
      <c r="I140" s="25" t="s">
        <v>52</v>
      </c>
      <c r="J140" s="247">
        <v>617248</v>
      </c>
      <c r="K140" s="247"/>
      <c r="L140" s="247">
        <f t="shared" si="5"/>
        <v>617248</v>
      </c>
      <c r="M140" s="248"/>
      <c r="N140" s="248"/>
      <c r="O140" s="248"/>
      <c r="P140" s="248"/>
      <c r="Q140" s="248"/>
      <c r="R140" s="248"/>
      <c r="S140" s="248">
        <v>0</v>
      </c>
      <c r="T140" s="248">
        <v>0</v>
      </c>
      <c r="U140" s="248">
        <v>0</v>
      </c>
      <c r="V140" s="248"/>
      <c r="W140" s="248"/>
      <c r="X140" s="248"/>
      <c r="Y140" s="248">
        <v>0</v>
      </c>
      <c r="Z140" s="249">
        <v>4</v>
      </c>
      <c r="AA140" s="250">
        <v>12</v>
      </c>
      <c r="AB140" s="251">
        <v>44225</v>
      </c>
      <c r="AC140" s="252">
        <v>44244</v>
      </c>
      <c r="AD140" s="249"/>
      <c r="AE140" s="248"/>
      <c r="AF140" s="251"/>
      <c r="AG140" s="251"/>
      <c r="AH140" s="249"/>
      <c r="AI140" s="248"/>
      <c r="AJ140" s="251"/>
      <c r="AK140" s="248"/>
      <c r="AL140" s="249"/>
      <c r="AM140" s="248"/>
      <c r="AN140" s="248"/>
      <c r="AO140" s="248"/>
      <c r="AP140" s="248"/>
      <c r="AQ140" s="248"/>
      <c r="AR140" s="248"/>
      <c r="AS140" s="248"/>
      <c r="AT140" s="249"/>
      <c r="AU140" s="248"/>
      <c r="AV140" s="248"/>
      <c r="AW140" s="248"/>
      <c r="AX140" s="249"/>
      <c r="AY140" s="248"/>
      <c r="AZ140" s="248"/>
      <c r="BA140" s="248"/>
      <c r="BB140" s="248">
        <f t="shared" si="6"/>
        <v>4</v>
      </c>
      <c r="BC140" s="248">
        <f t="shared" si="4"/>
        <v>4</v>
      </c>
    </row>
    <row r="141" spans="2:55" s="39" customFormat="1" ht="23.25" customHeight="1">
      <c r="B141" s="22">
        <f t="shared" si="7"/>
        <v>125</v>
      </c>
      <c r="C141" s="22" t="s">
        <v>39</v>
      </c>
      <c r="D141" s="23">
        <v>40018735</v>
      </c>
      <c r="E141" s="48" t="s">
        <v>845</v>
      </c>
      <c r="F141" s="48" t="s">
        <v>317</v>
      </c>
      <c r="G141" s="26" t="s">
        <v>683</v>
      </c>
      <c r="H141" s="48" t="s">
        <v>760</v>
      </c>
      <c r="I141" s="25" t="s">
        <v>52</v>
      </c>
      <c r="J141" s="247">
        <v>142593</v>
      </c>
      <c r="K141" s="247"/>
      <c r="L141" s="247">
        <f t="shared" si="5"/>
        <v>142593</v>
      </c>
      <c r="M141" s="248"/>
      <c r="N141" s="248"/>
      <c r="O141" s="248"/>
      <c r="P141" s="248"/>
      <c r="Q141" s="248"/>
      <c r="R141" s="248"/>
      <c r="S141" s="248">
        <v>0</v>
      </c>
      <c r="T141" s="248">
        <v>0</v>
      </c>
      <c r="U141" s="248">
        <v>0</v>
      </c>
      <c r="V141" s="248"/>
      <c r="W141" s="248"/>
      <c r="X141" s="248"/>
      <c r="Y141" s="248">
        <v>0</v>
      </c>
      <c r="Z141" s="249">
        <v>3</v>
      </c>
      <c r="AA141" s="250">
        <v>12</v>
      </c>
      <c r="AB141" s="251">
        <v>44225</v>
      </c>
      <c r="AC141" s="252">
        <v>44244</v>
      </c>
      <c r="AD141" s="249"/>
      <c r="AE141" s="248"/>
      <c r="AF141" s="251"/>
      <c r="AG141" s="251"/>
      <c r="AH141" s="249"/>
      <c r="AI141" s="248"/>
      <c r="AJ141" s="251"/>
      <c r="AK141" s="248"/>
      <c r="AL141" s="249"/>
      <c r="AM141" s="248"/>
      <c r="AN141" s="248"/>
      <c r="AO141" s="248"/>
      <c r="AP141" s="248"/>
      <c r="AQ141" s="248"/>
      <c r="AR141" s="248"/>
      <c r="AS141" s="248"/>
      <c r="AT141" s="249"/>
      <c r="AU141" s="248"/>
      <c r="AV141" s="248"/>
      <c r="AW141" s="248"/>
      <c r="AX141" s="249"/>
      <c r="AY141" s="248"/>
      <c r="AZ141" s="248"/>
      <c r="BA141" s="248"/>
      <c r="BB141" s="248">
        <f t="shared" si="6"/>
        <v>3</v>
      </c>
      <c r="BC141" s="248">
        <f t="shared" si="4"/>
        <v>3</v>
      </c>
    </row>
    <row r="142" spans="2:55" s="39" customFormat="1" ht="23.25" customHeight="1">
      <c r="B142" s="22">
        <f t="shared" si="7"/>
        <v>126</v>
      </c>
      <c r="C142" s="22" t="s">
        <v>39</v>
      </c>
      <c r="D142" s="23">
        <v>40019434</v>
      </c>
      <c r="E142" s="48" t="s">
        <v>846</v>
      </c>
      <c r="F142" s="48" t="s">
        <v>317</v>
      </c>
      <c r="G142" s="26" t="s">
        <v>683</v>
      </c>
      <c r="H142" s="48" t="s">
        <v>760</v>
      </c>
      <c r="I142" s="25" t="s">
        <v>52</v>
      </c>
      <c r="J142" s="247">
        <v>150428</v>
      </c>
      <c r="K142" s="247"/>
      <c r="L142" s="247">
        <f t="shared" si="5"/>
        <v>150428</v>
      </c>
      <c r="M142" s="248"/>
      <c r="N142" s="248"/>
      <c r="O142" s="248"/>
      <c r="P142" s="248"/>
      <c r="Q142" s="248"/>
      <c r="R142" s="248"/>
      <c r="S142" s="248">
        <v>0</v>
      </c>
      <c r="T142" s="248">
        <v>0</v>
      </c>
      <c r="U142" s="248">
        <v>0</v>
      </c>
      <c r="V142" s="248"/>
      <c r="W142" s="248"/>
      <c r="X142" s="248"/>
      <c r="Y142" s="248">
        <v>0</v>
      </c>
      <c r="Z142" s="249">
        <v>3</v>
      </c>
      <c r="AA142" s="250">
        <v>12</v>
      </c>
      <c r="AB142" s="251">
        <v>44225</v>
      </c>
      <c r="AC142" s="252">
        <v>44244</v>
      </c>
      <c r="AD142" s="249"/>
      <c r="AE142" s="248"/>
      <c r="AF142" s="251"/>
      <c r="AG142" s="251"/>
      <c r="AH142" s="249"/>
      <c r="AI142" s="248"/>
      <c r="AJ142" s="251"/>
      <c r="AK142" s="248"/>
      <c r="AL142" s="249"/>
      <c r="AM142" s="248"/>
      <c r="AN142" s="248"/>
      <c r="AO142" s="248"/>
      <c r="AP142" s="248"/>
      <c r="AQ142" s="248"/>
      <c r="AR142" s="248"/>
      <c r="AS142" s="248"/>
      <c r="AT142" s="249"/>
      <c r="AU142" s="248"/>
      <c r="AV142" s="248"/>
      <c r="AW142" s="248"/>
      <c r="AX142" s="249"/>
      <c r="AY142" s="248"/>
      <c r="AZ142" s="248"/>
      <c r="BA142" s="248"/>
      <c r="BB142" s="248">
        <f t="shared" si="6"/>
        <v>3</v>
      </c>
      <c r="BC142" s="248">
        <f t="shared" si="4"/>
        <v>3</v>
      </c>
    </row>
    <row r="143" spans="2:55" s="39" customFormat="1" ht="23.25" customHeight="1">
      <c r="B143" s="22">
        <f t="shared" si="7"/>
        <v>127</v>
      </c>
      <c r="C143" s="22" t="s">
        <v>65</v>
      </c>
      <c r="D143" s="23">
        <v>40017055</v>
      </c>
      <c r="E143" s="48" t="s">
        <v>847</v>
      </c>
      <c r="F143" s="48" t="s">
        <v>317</v>
      </c>
      <c r="G143" s="26" t="s">
        <v>683</v>
      </c>
      <c r="H143" s="48" t="s">
        <v>742</v>
      </c>
      <c r="I143" s="25" t="s">
        <v>52</v>
      </c>
      <c r="J143" s="247">
        <v>79887</v>
      </c>
      <c r="K143" s="247"/>
      <c r="L143" s="247">
        <f t="shared" si="5"/>
        <v>79887</v>
      </c>
      <c r="M143" s="248"/>
      <c r="N143" s="248"/>
      <c r="O143" s="248"/>
      <c r="P143" s="248"/>
      <c r="Q143" s="248"/>
      <c r="R143" s="248"/>
      <c r="S143" s="248">
        <v>0</v>
      </c>
      <c r="T143" s="248">
        <v>0</v>
      </c>
      <c r="U143" s="248">
        <v>0</v>
      </c>
      <c r="V143" s="248"/>
      <c r="W143" s="248"/>
      <c r="X143" s="248"/>
      <c r="Y143" s="248">
        <v>0</v>
      </c>
      <c r="Z143" s="249">
        <v>1</v>
      </c>
      <c r="AA143" s="250">
        <v>12</v>
      </c>
      <c r="AB143" s="251">
        <v>44225</v>
      </c>
      <c r="AC143" s="252">
        <v>44244</v>
      </c>
      <c r="AD143" s="249"/>
      <c r="AE143" s="248"/>
      <c r="AF143" s="251"/>
      <c r="AG143" s="251"/>
      <c r="AH143" s="249"/>
      <c r="AI143" s="248"/>
      <c r="AJ143" s="251"/>
      <c r="AK143" s="248"/>
      <c r="AL143" s="249"/>
      <c r="AM143" s="248"/>
      <c r="AN143" s="248"/>
      <c r="AO143" s="248"/>
      <c r="AP143" s="248"/>
      <c r="AQ143" s="248"/>
      <c r="AR143" s="248"/>
      <c r="AS143" s="248"/>
      <c r="AT143" s="249"/>
      <c r="AU143" s="248"/>
      <c r="AV143" s="248"/>
      <c r="AW143" s="248"/>
      <c r="AX143" s="249"/>
      <c r="AY143" s="248"/>
      <c r="AZ143" s="248"/>
      <c r="BA143" s="248"/>
      <c r="BB143" s="248">
        <f t="shared" si="6"/>
        <v>1</v>
      </c>
      <c r="BC143" s="248">
        <f t="shared" si="4"/>
        <v>1</v>
      </c>
    </row>
    <row r="144" spans="2:55" s="39" customFormat="1" ht="23.25" customHeight="1">
      <c r="B144" s="22">
        <f t="shared" si="7"/>
        <v>128</v>
      </c>
      <c r="C144" s="22" t="s">
        <v>39</v>
      </c>
      <c r="D144" s="23">
        <v>40010504</v>
      </c>
      <c r="E144" s="48" t="s">
        <v>848</v>
      </c>
      <c r="F144" s="48" t="s">
        <v>317</v>
      </c>
      <c r="G144" s="26" t="s">
        <v>683</v>
      </c>
      <c r="H144" s="48" t="s">
        <v>706</v>
      </c>
      <c r="I144" s="25" t="s">
        <v>52</v>
      </c>
      <c r="J144" s="247">
        <v>1850234</v>
      </c>
      <c r="K144" s="247"/>
      <c r="L144" s="247">
        <f t="shared" si="5"/>
        <v>1850234</v>
      </c>
      <c r="M144" s="248"/>
      <c r="N144" s="248"/>
      <c r="O144" s="248"/>
      <c r="P144" s="248"/>
      <c r="Q144" s="248"/>
      <c r="R144" s="248"/>
      <c r="S144" s="248">
        <v>0</v>
      </c>
      <c r="T144" s="248">
        <v>0</v>
      </c>
      <c r="U144" s="248">
        <v>0</v>
      </c>
      <c r="V144" s="248"/>
      <c r="W144" s="248"/>
      <c r="X144" s="248"/>
      <c r="Y144" s="248">
        <v>0</v>
      </c>
      <c r="Z144" s="249">
        <v>3</v>
      </c>
      <c r="AA144" s="250">
        <v>12</v>
      </c>
      <c r="AB144" s="251">
        <v>44225</v>
      </c>
      <c r="AC144" s="252">
        <v>44244</v>
      </c>
      <c r="AD144" s="249"/>
      <c r="AE144" s="248"/>
      <c r="AF144" s="251"/>
      <c r="AG144" s="251"/>
      <c r="AH144" s="249"/>
      <c r="AI144" s="248"/>
      <c r="AJ144" s="251"/>
      <c r="AK144" s="248"/>
      <c r="AL144" s="249"/>
      <c r="AM144" s="248"/>
      <c r="AN144" s="248"/>
      <c r="AO144" s="248"/>
      <c r="AP144" s="248"/>
      <c r="AQ144" s="248"/>
      <c r="AR144" s="248"/>
      <c r="AS144" s="248"/>
      <c r="AT144" s="249"/>
      <c r="AU144" s="248"/>
      <c r="AV144" s="248"/>
      <c r="AW144" s="248"/>
      <c r="AX144" s="249"/>
      <c r="AY144" s="248"/>
      <c r="AZ144" s="248"/>
      <c r="BA144" s="248"/>
      <c r="BB144" s="248">
        <f t="shared" si="6"/>
        <v>3</v>
      </c>
      <c r="BC144" s="248">
        <f t="shared" si="4"/>
        <v>3</v>
      </c>
    </row>
    <row r="145" spans="2:55" s="39" customFormat="1" ht="23.25" customHeight="1">
      <c r="B145" s="22">
        <f t="shared" si="7"/>
        <v>129</v>
      </c>
      <c r="C145" s="22" t="s">
        <v>39</v>
      </c>
      <c r="D145" s="23">
        <v>40017812</v>
      </c>
      <c r="E145" s="48" t="s">
        <v>849</v>
      </c>
      <c r="F145" s="48" t="s">
        <v>317</v>
      </c>
      <c r="G145" s="26" t="s">
        <v>683</v>
      </c>
      <c r="H145" s="48" t="s">
        <v>770</v>
      </c>
      <c r="I145" s="25" t="s">
        <v>52</v>
      </c>
      <c r="J145" s="247">
        <v>521002</v>
      </c>
      <c r="K145" s="247"/>
      <c r="L145" s="247">
        <f t="shared" si="5"/>
        <v>521002</v>
      </c>
      <c r="M145" s="248"/>
      <c r="N145" s="248"/>
      <c r="O145" s="248"/>
      <c r="P145" s="248"/>
      <c r="Q145" s="248"/>
      <c r="R145" s="248"/>
      <c r="S145" s="248">
        <v>0</v>
      </c>
      <c r="T145" s="248">
        <v>0</v>
      </c>
      <c r="U145" s="248">
        <v>0</v>
      </c>
      <c r="V145" s="248"/>
      <c r="W145" s="248"/>
      <c r="X145" s="248"/>
      <c r="Y145" s="248">
        <v>0</v>
      </c>
      <c r="Z145" s="249">
        <v>3</v>
      </c>
      <c r="AA145" s="250">
        <v>12</v>
      </c>
      <c r="AB145" s="251">
        <v>44225</v>
      </c>
      <c r="AC145" s="252">
        <v>44244</v>
      </c>
      <c r="AD145" s="249"/>
      <c r="AE145" s="248"/>
      <c r="AF145" s="251"/>
      <c r="AG145" s="251"/>
      <c r="AH145" s="249"/>
      <c r="AI145" s="248"/>
      <c r="AJ145" s="251"/>
      <c r="AK145" s="248"/>
      <c r="AL145" s="249"/>
      <c r="AM145" s="248"/>
      <c r="AN145" s="248"/>
      <c r="AO145" s="248"/>
      <c r="AP145" s="248"/>
      <c r="AQ145" s="248"/>
      <c r="AR145" s="248"/>
      <c r="AS145" s="248"/>
      <c r="AT145" s="249"/>
      <c r="AU145" s="248"/>
      <c r="AV145" s="248"/>
      <c r="AW145" s="248"/>
      <c r="AX145" s="249"/>
      <c r="AY145" s="248"/>
      <c r="AZ145" s="248"/>
      <c r="BA145" s="248"/>
      <c r="BB145" s="248">
        <f t="shared" si="6"/>
        <v>3</v>
      </c>
      <c r="BC145" s="248">
        <f t="shared" ref="BC145:BC208" si="8">BB145-Y145</f>
        <v>3</v>
      </c>
    </row>
    <row r="146" spans="2:55" s="39" customFormat="1" ht="23.25" customHeight="1">
      <c r="B146" s="22">
        <f t="shared" si="7"/>
        <v>130</v>
      </c>
      <c r="C146" s="22" t="s">
        <v>39</v>
      </c>
      <c r="D146" s="23">
        <v>30118479</v>
      </c>
      <c r="E146" s="48" t="s">
        <v>850</v>
      </c>
      <c r="F146" s="48" t="s">
        <v>317</v>
      </c>
      <c r="G146" s="26" t="s">
        <v>683</v>
      </c>
      <c r="H146" s="48" t="s">
        <v>785</v>
      </c>
      <c r="I146" s="25" t="s">
        <v>52</v>
      </c>
      <c r="J146" s="247">
        <v>232308</v>
      </c>
      <c r="K146" s="247"/>
      <c r="L146" s="247">
        <f t="shared" ref="L146:L209" si="9">J146-K146</f>
        <v>232308</v>
      </c>
      <c r="M146" s="248"/>
      <c r="N146" s="248"/>
      <c r="O146" s="248"/>
      <c r="P146" s="248"/>
      <c r="Q146" s="248"/>
      <c r="R146" s="248"/>
      <c r="S146" s="248">
        <v>0</v>
      </c>
      <c r="T146" s="248">
        <v>0</v>
      </c>
      <c r="U146" s="248">
        <v>0</v>
      </c>
      <c r="V146" s="248"/>
      <c r="W146" s="248"/>
      <c r="X146" s="248"/>
      <c r="Y146" s="248">
        <v>0</v>
      </c>
      <c r="Z146" s="249">
        <v>3</v>
      </c>
      <c r="AA146" s="250">
        <v>12</v>
      </c>
      <c r="AB146" s="251">
        <v>44225</v>
      </c>
      <c r="AC146" s="252">
        <v>44244</v>
      </c>
      <c r="AD146" s="249"/>
      <c r="AE146" s="248"/>
      <c r="AF146" s="251"/>
      <c r="AG146" s="251"/>
      <c r="AH146" s="249"/>
      <c r="AI146" s="248"/>
      <c r="AJ146" s="251"/>
      <c r="AK146" s="248"/>
      <c r="AL146" s="249"/>
      <c r="AM146" s="248"/>
      <c r="AN146" s="248"/>
      <c r="AO146" s="248"/>
      <c r="AP146" s="248"/>
      <c r="AQ146" s="248"/>
      <c r="AR146" s="248"/>
      <c r="AS146" s="248"/>
      <c r="AT146" s="249"/>
      <c r="AU146" s="248"/>
      <c r="AV146" s="248"/>
      <c r="AW146" s="248"/>
      <c r="AX146" s="249"/>
      <c r="AY146" s="248"/>
      <c r="AZ146" s="248"/>
      <c r="BA146" s="248"/>
      <c r="BB146" s="248">
        <f t="shared" ref="BB146:BB209" si="10">Z146+AD146+AH146+AL146+AP146+AT146+AX146</f>
        <v>3</v>
      </c>
      <c r="BC146" s="248">
        <f t="shared" si="8"/>
        <v>3</v>
      </c>
    </row>
    <row r="147" spans="2:55" s="39" customFormat="1" ht="23.25" customHeight="1">
      <c r="B147" s="22">
        <f t="shared" ref="B147:B210" si="11">B146+1</f>
        <v>131</v>
      </c>
      <c r="C147" s="22" t="s">
        <v>39</v>
      </c>
      <c r="D147" s="23">
        <v>30482567</v>
      </c>
      <c r="E147" s="48" t="s">
        <v>851</v>
      </c>
      <c r="F147" s="48" t="s">
        <v>700</v>
      </c>
      <c r="G147" s="26" t="s">
        <v>683</v>
      </c>
      <c r="H147" s="48" t="s">
        <v>683</v>
      </c>
      <c r="I147" s="25" t="s">
        <v>52</v>
      </c>
      <c r="J147" s="247">
        <v>386199</v>
      </c>
      <c r="K147" s="247"/>
      <c r="L147" s="247">
        <f t="shared" si="9"/>
        <v>386199</v>
      </c>
      <c r="M147" s="248"/>
      <c r="N147" s="248"/>
      <c r="O147" s="248"/>
      <c r="P147" s="248"/>
      <c r="Q147" s="248"/>
      <c r="R147" s="248"/>
      <c r="S147" s="248">
        <v>0</v>
      </c>
      <c r="T147" s="248">
        <v>0</v>
      </c>
      <c r="U147" s="248">
        <v>0</v>
      </c>
      <c r="V147" s="248"/>
      <c r="W147" s="248"/>
      <c r="X147" s="248"/>
      <c r="Y147" s="248">
        <v>0</v>
      </c>
      <c r="Z147" s="249">
        <v>2</v>
      </c>
      <c r="AA147" s="250">
        <v>12</v>
      </c>
      <c r="AB147" s="251">
        <v>44225</v>
      </c>
      <c r="AC147" s="252">
        <v>44244</v>
      </c>
      <c r="AD147" s="249"/>
      <c r="AE147" s="248"/>
      <c r="AF147" s="251"/>
      <c r="AG147" s="251"/>
      <c r="AH147" s="249"/>
      <c r="AI147" s="248"/>
      <c r="AJ147" s="251"/>
      <c r="AK147" s="248"/>
      <c r="AL147" s="249"/>
      <c r="AM147" s="248"/>
      <c r="AN147" s="248"/>
      <c r="AO147" s="248"/>
      <c r="AP147" s="248"/>
      <c r="AQ147" s="248"/>
      <c r="AR147" s="248"/>
      <c r="AS147" s="248"/>
      <c r="AT147" s="249"/>
      <c r="AU147" s="248"/>
      <c r="AV147" s="248"/>
      <c r="AW147" s="248"/>
      <c r="AX147" s="249"/>
      <c r="AY147" s="248"/>
      <c r="AZ147" s="248"/>
      <c r="BA147" s="248"/>
      <c r="BB147" s="248">
        <f t="shared" si="10"/>
        <v>2</v>
      </c>
      <c r="BC147" s="248">
        <f t="shared" si="8"/>
        <v>2</v>
      </c>
    </row>
    <row r="148" spans="2:55" s="39" customFormat="1" ht="23.25" customHeight="1">
      <c r="B148" s="22">
        <f t="shared" si="11"/>
        <v>132</v>
      </c>
      <c r="C148" s="22" t="s">
        <v>39</v>
      </c>
      <c r="D148" s="23">
        <v>30459937</v>
      </c>
      <c r="E148" s="48" t="s">
        <v>852</v>
      </c>
      <c r="F148" s="48" t="s">
        <v>317</v>
      </c>
      <c r="G148" s="26" t="s">
        <v>683</v>
      </c>
      <c r="H148" s="48" t="s">
        <v>732</v>
      </c>
      <c r="I148" s="25" t="s">
        <v>52</v>
      </c>
      <c r="J148" s="247">
        <v>182535</v>
      </c>
      <c r="K148" s="247"/>
      <c r="L148" s="247">
        <f t="shared" si="9"/>
        <v>182535</v>
      </c>
      <c r="M148" s="248"/>
      <c r="N148" s="248"/>
      <c r="O148" s="248"/>
      <c r="P148" s="248">
        <v>0</v>
      </c>
      <c r="Q148" s="248">
        <v>0</v>
      </c>
      <c r="R148" s="248">
        <v>0</v>
      </c>
      <c r="S148" s="248">
        <v>0</v>
      </c>
      <c r="T148" s="248">
        <v>0</v>
      </c>
      <c r="U148" s="248">
        <v>0</v>
      </c>
      <c r="V148" s="248"/>
      <c r="W148" s="248"/>
      <c r="X148" s="248"/>
      <c r="Y148" s="248">
        <v>0</v>
      </c>
      <c r="Z148" s="249">
        <v>2</v>
      </c>
      <c r="AA148" s="250">
        <v>12</v>
      </c>
      <c r="AB148" s="251">
        <v>44225</v>
      </c>
      <c r="AC148" s="252">
        <v>44244</v>
      </c>
      <c r="AD148" s="249">
        <v>20743</v>
      </c>
      <c r="AE148" s="248">
        <v>22</v>
      </c>
      <c r="AF148" s="251">
        <v>44253</v>
      </c>
      <c r="AG148" s="251">
        <v>44279</v>
      </c>
      <c r="AH148" s="249"/>
      <c r="AI148" s="248"/>
      <c r="AJ148" s="251"/>
      <c r="AK148" s="248"/>
      <c r="AL148" s="249"/>
      <c r="AM148" s="248"/>
      <c r="AN148" s="248"/>
      <c r="AO148" s="248"/>
      <c r="AP148" s="248"/>
      <c r="AQ148" s="248"/>
      <c r="AR148" s="248"/>
      <c r="AS148" s="248"/>
      <c r="AT148" s="249"/>
      <c r="AU148" s="248"/>
      <c r="AV148" s="248"/>
      <c r="AW148" s="248"/>
      <c r="AX148" s="249"/>
      <c r="AY148" s="248"/>
      <c r="AZ148" s="248"/>
      <c r="BA148" s="248"/>
      <c r="BB148" s="248">
        <f t="shared" si="10"/>
        <v>20745</v>
      </c>
      <c r="BC148" s="248">
        <f t="shared" si="8"/>
        <v>20745</v>
      </c>
    </row>
    <row r="149" spans="2:55" s="39" customFormat="1" ht="23.25" customHeight="1">
      <c r="B149" s="22">
        <f t="shared" si="11"/>
        <v>133</v>
      </c>
      <c r="C149" s="22" t="s">
        <v>39</v>
      </c>
      <c r="D149" s="23">
        <v>40000301</v>
      </c>
      <c r="E149" s="48" t="s">
        <v>853</v>
      </c>
      <c r="F149" s="48" t="s">
        <v>317</v>
      </c>
      <c r="G149" s="26" t="s">
        <v>683</v>
      </c>
      <c r="H149" s="48" t="s">
        <v>732</v>
      </c>
      <c r="I149" s="25" t="s">
        <v>52</v>
      </c>
      <c r="J149" s="247">
        <v>250697</v>
      </c>
      <c r="K149" s="247"/>
      <c r="L149" s="247">
        <f t="shared" si="9"/>
        <v>250697</v>
      </c>
      <c r="M149" s="248"/>
      <c r="N149" s="248"/>
      <c r="O149" s="248"/>
      <c r="P149" s="248">
        <v>0</v>
      </c>
      <c r="Q149" s="248">
        <v>0</v>
      </c>
      <c r="R149" s="248">
        <v>0</v>
      </c>
      <c r="S149" s="248">
        <v>0</v>
      </c>
      <c r="T149" s="248">
        <v>0</v>
      </c>
      <c r="U149" s="248">
        <v>0</v>
      </c>
      <c r="V149" s="248"/>
      <c r="W149" s="248"/>
      <c r="X149" s="248"/>
      <c r="Y149" s="248">
        <v>0</v>
      </c>
      <c r="Z149" s="249">
        <v>2</v>
      </c>
      <c r="AA149" s="250">
        <v>12</v>
      </c>
      <c r="AB149" s="251">
        <v>44225</v>
      </c>
      <c r="AC149" s="252">
        <v>44244</v>
      </c>
      <c r="AD149" s="249"/>
      <c r="AE149" s="248"/>
      <c r="AF149" s="251"/>
      <c r="AG149" s="251"/>
      <c r="AH149" s="249"/>
      <c r="AI149" s="248"/>
      <c r="AJ149" s="251"/>
      <c r="AK149" s="248"/>
      <c r="AL149" s="249"/>
      <c r="AM149" s="248"/>
      <c r="AN149" s="248"/>
      <c r="AO149" s="248"/>
      <c r="AP149" s="248"/>
      <c r="AQ149" s="248"/>
      <c r="AR149" s="248"/>
      <c r="AS149" s="248"/>
      <c r="AT149" s="249"/>
      <c r="AU149" s="248"/>
      <c r="AV149" s="248"/>
      <c r="AW149" s="248"/>
      <c r="AX149" s="249"/>
      <c r="AY149" s="248"/>
      <c r="AZ149" s="248"/>
      <c r="BA149" s="248"/>
      <c r="BB149" s="248">
        <f t="shared" si="10"/>
        <v>2</v>
      </c>
      <c r="BC149" s="248">
        <f t="shared" si="8"/>
        <v>2</v>
      </c>
    </row>
    <row r="150" spans="2:55" s="39" customFormat="1" ht="23.25" customHeight="1">
      <c r="B150" s="22">
        <f t="shared" si="11"/>
        <v>134</v>
      </c>
      <c r="C150" s="22" t="s">
        <v>39</v>
      </c>
      <c r="D150" s="23">
        <v>40016754</v>
      </c>
      <c r="E150" s="48" t="s">
        <v>854</v>
      </c>
      <c r="F150" s="48" t="s">
        <v>317</v>
      </c>
      <c r="G150" s="26" t="s">
        <v>683</v>
      </c>
      <c r="H150" s="48" t="s">
        <v>753</v>
      </c>
      <c r="I150" s="25" t="s">
        <v>52</v>
      </c>
      <c r="J150" s="247">
        <v>756530</v>
      </c>
      <c r="K150" s="247"/>
      <c r="L150" s="247">
        <f t="shared" si="9"/>
        <v>756530</v>
      </c>
      <c r="M150" s="248"/>
      <c r="N150" s="248"/>
      <c r="O150" s="248"/>
      <c r="P150" s="248"/>
      <c r="Q150" s="248"/>
      <c r="R150" s="248"/>
      <c r="S150" s="248">
        <v>0</v>
      </c>
      <c r="T150" s="248">
        <v>0</v>
      </c>
      <c r="U150" s="248">
        <v>0</v>
      </c>
      <c r="V150" s="248"/>
      <c r="W150" s="248"/>
      <c r="X150" s="248"/>
      <c r="Y150" s="248">
        <v>0</v>
      </c>
      <c r="Z150" s="249">
        <v>3</v>
      </c>
      <c r="AA150" s="250">
        <v>12</v>
      </c>
      <c r="AB150" s="251">
        <v>44225</v>
      </c>
      <c r="AC150" s="252">
        <v>44244</v>
      </c>
      <c r="AD150" s="249"/>
      <c r="AE150" s="248"/>
      <c r="AF150" s="251"/>
      <c r="AG150" s="251"/>
      <c r="AH150" s="249"/>
      <c r="AI150" s="248"/>
      <c r="AJ150" s="251"/>
      <c r="AK150" s="248"/>
      <c r="AL150" s="249"/>
      <c r="AM150" s="248"/>
      <c r="AN150" s="248"/>
      <c r="AO150" s="248"/>
      <c r="AP150" s="248"/>
      <c r="AQ150" s="248"/>
      <c r="AR150" s="248"/>
      <c r="AS150" s="248"/>
      <c r="AT150" s="249"/>
      <c r="AU150" s="248"/>
      <c r="AV150" s="248"/>
      <c r="AW150" s="248"/>
      <c r="AX150" s="249"/>
      <c r="AY150" s="248"/>
      <c r="AZ150" s="248"/>
      <c r="BA150" s="248"/>
      <c r="BB150" s="248">
        <f t="shared" si="10"/>
        <v>3</v>
      </c>
      <c r="BC150" s="248">
        <f t="shared" si="8"/>
        <v>3</v>
      </c>
    </row>
    <row r="151" spans="2:55" s="39" customFormat="1" ht="23.25" customHeight="1">
      <c r="B151" s="22">
        <f t="shared" si="11"/>
        <v>135</v>
      </c>
      <c r="C151" s="22" t="s">
        <v>39</v>
      </c>
      <c r="D151" s="23">
        <v>40027511</v>
      </c>
      <c r="E151" s="48" t="s">
        <v>855</v>
      </c>
      <c r="F151" s="48" t="s">
        <v>317</v>
      </c>
      <c r="G151" s="26" t="s">
        <v>683</v>
      </c>
      <c r="H151" s="48" t="s">
        <v>716</v>
      </c>
      <c r="I151" s="25" t="s">
        <v>52</v>
      </c>
      <c r="J151" s="247">
        <v>928242</v>
      </c>
      <c r="K151" s="247"/>
      <c r="L151" s="247">
        <f t="shared" si="9"/>
        <v>928242</v>
      </c>
      <c r="M151" s="248"/>
      <c r="N151" s="248"/>
      <c r="O151" s="248"/>
      <c r="P151" s="248"/>
      <c r="Q151" s="248"/>
      <c r="R151" s="248"/>
      <c r="S151" s="248">
        <v>0</v>
      </c>
      <c r="T151" s="248">
        <v>0</v>
      </c>
      <c r="U151" s="248">
        <v>0</v>
      </c>
      <c r="V151" s="248"/>
      <c r="W151" s="248"/>
      <c r="X151" s="248"/>
      <c r="Y151" s="248">
        <v>0</v>
      </c>
      <c r="Z151" s="249">
        <v>2</v>
      </c>
      <c r="AA151" s="250">
        <v>12</v>
      </c>
      <c r="AB151" s="251">
        <v>44225</v>
      </c>
      <c r="AC151" s="252">
        <v>44244</v>
      </c>
      <c r="AD151" s="249"/>
      <c r="AE151" s="248"/>
      <c r="AF151" s="251"/>
      <c r="AG151" s="251"/>
      <c r="AH151" s="249"/>
      <c r="AI151" s="248"/>
      <c r="AJ151" s="251"/>
      <c r="AK151" s="248"/>
      <c r="AL151" s="249"/>
      <c r="AM151" s="248"/>
      <c r="AN151" s="248"/>
      <c r="AO151" s="248"/>
      <c r="AP151" s="248"/>
      <c r="AQ151" s="248"/>
      <c r="AR151" s="248"/>
      <c r="AS151" s="248"/>
      <c r="AT151" s="249"/>
      <c r="AU151" s="248"/>
      <c r="AV151" s="248"/>
      <c r="AW151" s="248"/>
      <c r="AX151" s="249"/>
      <c r="AY151" s="248"/>
      <c r="AZ151" s="248"/>
      <c r="BA151" s="248"/>
      <c r="BB151" s="248">
        <f t="shared" si="10"/>
        <v>2</v>
      </c>
      <c r="BC151" s="248">
        <f t="shared" si="8"/>
        <v>2</v>
      </c>
    </row>
    <row r="152" spans="2:55" s="39" customFormat="1" ht="23.25" customHeight="1">
      <c r="B152" s="22">
        <f t="shared" si="11"/>
        <v>136</v>
      </c>
      <c r="C152" s="22" t="s">
        <v>39</v>
      </c>
      <c r="D152" s="23">
        <v>30484277</v>
      </c>
      <c r="E152" s="48" t="s">
        <v>856</v>
      </c>
      <c r="F152" s="48" t="s">
        <v>700</v>
      </c>
      <c r="G152" s="26" t="s">
        <v>683</v>
      </c>
      <c r="H152" s="48" t="s">
        <v>732</v>
      </c>
      <c r="I152" s="25" t="s">
        <v>52</v>
      </c>
      <c r="J152" s="247">
        <v>92302</v>
      </c>
      <c r="K152" s="247"/>
      <c r="L152" s="247">
        <f t="shared" si="9"/>
        <v>92302</v>
      </c>
      <c r="M152" s="248">
        <v>8009.07</v>
      </c>
      <c r="N152" s="248"/>
      <c r="O152" s="248"/>
      <c r="P152" s="248">
        <v>0</v>
      </c>
      <c r="Q152" s="248">
        <v>0</v>
      </c>
      <c r="R152" s="248">
        <v>0</v>
      </c>
      <c r="S152" s="248">
        <v>0</v>
      </c>
      <c r="T152" s="248">
        <v>0</v>
      </c>
      <c r="U152" s="248">
        <v>0</v>
      </c>
      <c r="V152" s="248"/>
      <c r="W152" s="248"/>
      <c r="X152" s="248"/>
      <c r="Y152" s="248">
        <v>8009.07</v>
      </c>
      <c r="Z152" s="249">
        <v>8011</v>
      </c>
      <c r="AA152" s="250">
        <v>9</v>
      </c>
      <c r="AB152" s="251">
        <v>44225</v>
      </c>
      <c r="AC152" s="252">
        <v>44243</v>
      </c>
      <c r="AD152" s="249"/>
      <c r="AE152" s="248"/>
      <c r="AF152" s="251"/>
      <c r="AG152" s="251"/>
      <c r="AH152" s="249"/>
      <c r="AI152" s="248"/>
      <c r="AJ152" s="251"/>
      <c r="AK152" s="248"/>
      <c r="AL152" s="249"/>
      <c r="AM152" s="248"/>
      <c r="AN152" s="248"/>
      <c r="AO152" s="248"/>
      <c r="AP152" s="248"/>
      <c r="AQ152" s="248"/>
      <c r="AR152" s="248"/>
      <c r="AS152" s="248"/>
      <c r="AT152" s="249"/>
      <c r="AU152" s="248"/>
      <c r="AV152" s="248"/>
      <c r="AW152" s="248"/>
      <c r="AX152" s="249"/>
      <c r="AY152" s="248"/>
      <c r="AZ152" s="248"/>
      <c r="BA152" s="248"/>
      <c r="BB152" s="248">
        <f t="shared" si="10"/>
        <v>8011</v>
      </c>
      <c r="BC152" s="248">
        <f t="shared" si="8"/>
        <v>1.930000000000291</v>
      </c>
    </row>
    <row r="153" spans="2:55" s="39" customFormat="1" ht="23.25" customHeight="1">
      <c r="B153" s="22">
        <f t="shared" si="11"/>
        <v>137</v>
      </c>
      <c r="C153" s="22" t="s">
        <v>39</v>
      </c>
      <c r="D153" s="23">
        <v>30483438</v>
      </c>
      <c r="E153" s="48" t="s">
        <v>857</v>
      </c>
      <c r="F153" s="48" t="s">
        <v>700</v>
      </c>
      <c r="G153" s="26" t="s">
        <v>683</v>
      </c>
      <c r="H153" s="48" t="s">
        <v>718</v>
      </c>
      <c r="I153" s="25" t="s">
        <v>44</v>
      </c>
      <c r="J153" s="247">
        <v>161792</v>
      </c>
      <c r="K153" s="247">
        <v>83317</v>
      </c>
      <c r="L153" s="247">
        <f t="shared" si="9"/>
        <v>78475</v>
      </c>
      <c r="M153" s="248"/>
      <c r="N153" s="248"/>
      <c r="O153" s="248"/>
      <c r="P153" s="248">
        <v>6046.9</v>
      </c>
      <c r="Q153" s="248">
        <v>0</v>
      </c>
      <c r="R153" s="248">
        <v>0</v>
      </c>
      <c r="S153" s="248">
        <v>0</v>
      </c>
      <c r="T153" s="248">
        <v>0</v>
      </c>
      <c r="U153" s="248">
        <v>0</v>
      </c>
      <c r="V153" s="248"/>
      <c r="W153" s="248"/>
      <c r="X153" s="248"/>
      <c r="Y153" s="248">
        <v>6046.9</v>
      </c>
      <c r="Z153" s="249">
        <v>78475</v>
      </c>
      <c r="AA153" s="250">
        <v>9</v>
      </c>
      <c r="AB153" s="251">
        <v>44225</v>
      </c>
      <c r="AC153" s="252">
        <v>44243</v>
      </c>
      <c r="AD153" s="249"/>
      <c r="AE153" s="248"/>
      <c r="AF153" s="251"/>
      <c r="AG153" s="251"/>
      <c r="AH153" s="249"/>
      <c r="AI153" s="248"/>
      <c r="AJ153" s="251"/>
      <c r="AK153" s="248"/>
      <c r="AL153" s="249"/>
      <c r="AM153" s="248"/>
      <c r="AN153" s="248"/>
      <c r="AO153" s="248"/>
      <c r="AP153" s="248"/>
      <c r="AQ153" s="248"/>
      <c r="AR153" s="248"/>
      <c r="AS153" s="248"/>
      <c r="AT153" s="249"/>
      <c r="AU153" s="248"/>
      <c r="AV153" s="248"/>
      <c r="AW153" s="248"/>
      <c r="AX153" s="249"/>
      <c r="AY153" s="248"/>
      <c r="AZ153" s="248"/>
      <c r="BA153" s="248"/>
      <c r="BB153" s="248">
        <f t="shared" si="10"/>
        <v>78475</v>
      </c>
      <c r="BC153" s="248">
        <f t="shared" si="8"/>
        <v>72428.100000000006</v>
      </c>
    </row>
    <row r="154" spans="2:55" s="39" customFormat="1" ht="23.25" customHeight="1">
      <c r="B154" s="22">
        <f t="shared" si="11"/>
        <v>138</v>
      </c>
      <c r="C154" s="22" t="s">
        <v>39</v>
      </c>
      <c r="D154" s="23">
        <v>30137113</v>
      </c>
      <c r="E154" s="48" t="s">
        <v>858</v>
      </c>
      <c r="F154" s="48" t="s">
        <v>700</v>
      </c>
      <c r="G154" s="26" t="s">
        <v>683</v>
      </c>
      <c r="H154" s="48" t="s">
        <v>742</v>
      </c>
      <c r="I154" s="25" t="s">
        <v>44</v>
      </c>
      <c r="J154" s="247">
        <v>112308</v>
      </c>
      <c r="K154" s="247">
        <v>84528</v>
      </c>
      <c r="L154" s="247">
        <f t="shared" si="9"/>
        <v>27780</v>
      </c>
      <c r="M154" s="248"/>
      <c r="N154" s="248"/>
      <c r="O154" s="248"/>
      <c r="P154" s="248">
        <v>27780</v>
      </c>
      <c r="Q154" s="248">
        <v>0</v>
      </c>
      <c r="R154" s="248">
        <v>0</v>
      </c>
      <c r="S154" s="248">
        <v>0</v>
      </c>
      <c r="T154" s="248">
        <v>0</v>
      </c>
      <c r="U154" s="248">
        <v>0</v>
      </c>
      <c r="V154" s="248"/>
      <c r="W154" s="248"/>
      <c r="X154" s="248"/>
      <c r="Y154" s="248">
        <v>27780</v>
      </c>
      <c r="Z154" s="249">
        <v>27780</v>
      </c>
      <c r="AA154" s="250">
        <v>9</v>
      </c>
      <c r="AB154" s="251">
        <v>44225</v>
      </c>
      <c r="AC154" s="252">
        <v>44243</v>
      </c>
      <c r="AD154" s="249"/>
      <c r="AE154" s="248"/>
      <c r="AF154" s="251"/>
      <c r="AG154" s="251"/>
      <c r="AH154" s="249"/>
      <c r="AI154" s="248"/>
      <c r="AJ154" s="251"/>
      <c r="AK154" s="248"/>
      <c r="AL154" s="249"/>
      <c r="AM154" s="248"/>
      <c r="AN154" s="248"/>
      <c r="AO154" s="248"/>
      <c r="AP154" s="248"/>
      <c r="AQ154" s="248"/>
      <c r="AR154" s="248"/>
      <c r="AS154" s="248"/>
      <c r="AT154" s="249"/>
      <c r="AU154" s="248"/>
      <c r="AV154" s="248"/>
      <c r="AW154" s="248"/>
      <c r="AX154" s="249"/>
      <c r="AY154" s="248"/>
      <c r="AZ154" s="248"/>
      <c r="BA154" s="248"/>
      <c r="BB154" s="248">
        <f t="shared" si="10"/>
        <v>27780</v>
      </c>
      <c r="BC154" s="248">
        <f t="shared" si="8"/>
        <v>0</v>
      </c>
    </row>
    <row r="155" spans="2:55" s="39" customFormat="1" ht="23.25" customHeight="1">
      <c r="B155" s="22">
        <f t="shared" si="11"/>
        <v>139</v>
      </c>
      <c r="C155" s="22" t="s">
        <v>39</v>
      </c>
      <c r="D155" s="23">
        <v>40008164</v>
      </c>
      <c r="E155" s="48" t="s">
        <v>859</v>
      </c>
      <c r="F155" s="48" t="s">
        <v>317</v>
      </c>
      <c r="G155" s="26" t="s">
        <v>683</v>
      </c>
      <c r="H155" s="48" t="s">
        <v>790</v>
      </c>
      <c r="I155" s="25" t="s">
        <v>44</v>
      </c>
      <c r="J155" s="247">
        <v>273313</v>
      </c>
      <c r="K155" s="247">
        <v>3310</v>
      </c>
      <c r="L155" s="247">
        <f t="shared" si="9"/>
        <v>270003</v>
      </c>
      <c r="M155" s="248"/>
      <c r="N155" s="248"/>
      <c r="O155" s="248">
        <v>221406.81099999999</v>
      </c>
      <c r="P155" s="248">
        <v>3976.596</v>
      </c>
      <c r="Q155" s="248">
        <v>0</v>
      </c>
      <c r="R155" s="248">
        <v>0</v>
      </c>
      <c r="S155" s="248">
        <v>0</v>
      </c>
      <c r="T155" s="248">
        <v>0</v>
      </c>
      <c r="U155" s="248">
        <v>0</v>
      </c>
      <c r="V155" s="248"/>
      <c r="W155" s="248"/>
      <c r="X155" s="248"/>
      <c r="Y155" s="248">
        <v>225383.40699999998</v>
      </c>
      <c r="Z155" s="249">
        <v>270003</v>
      </c>
      <c r="AA155" s="250">
        <v>9</v>
      </c>
      <c r="AB155" s="251">
        <v>44225</v>
      </c>
      <c r="AC155" s="252">
        <v>44243</v>
      </c>
      <c r="AD155" s="249"/>
      <c r="AE155" s="248"/>
      <c r="AF155" s="251"/>
      <c r="AG155" s="251"/>
      <c r="AH155" s="249"/>
      <c r="AI155" s="248"/>
      <c r="AJ155" s="251"/>
      <c r="AK155" s="248"/>
      <c r="AL155" s="249"/>
      <c r="AM155" s="248"/>
      <c r="AN155" s="248"/>
      <c r="AO155" s="248"/>
      <c r="AP155" s="248"/>
      <c r="AQ155" s="248"/>
      <c r="AR155" s="248"/>
      <c r="AS155" s="248"/>
      <c r="AT155" s="249"/>
      <c r="AU155" s="248"/>
      <c r="AV155" s="248"/>
      <c r="AW155" s="248"/>
      <c r="AX155" s="249"/>
      <c r="AY155" s="248"/>
      <c r="AZ155" s="248"/>
      <c r="BA155" s="248"/>
      <c r="BB155" s="248">
        <f t="shared" si="10"/>
        <v>270003</v>
      </c>
      <c r="BC155" s="248">
        <f t="shared" si="8"/>
        <v>44619.593000000023</v>
      </c>
    </row>
    <row r="156" spans="2:55" s="39" customFormat="1" ht="23.25" customHeight="1">
      <c r="B156" s="22">
        <f t="shared" si="11"/>
        <v>140</v>
      </c>
      <c r="C156" s="22" t="s">
        <v>39</v>
      </c>
      <c r="D156" s="23">
        <v>30486478</v>
      </c>
      <c r="E156" s="48" t="s">
        <v>860</v>
      </c>
      <c r="F156" s="48" t="s">
        <v>317</v>
      </c>
      <c r="G156" s="26" t="s">
        <v>683</v>
      </c>
      <c r="H156" s="48" t="s">
        <v>683</v>
      </c>
      <c r="I156" s="25" t="s">
        <v>52</v>
      </c>
      <c r="J156" s="247">
        <v>1857523</v>
      </c>
      <c r="K156" s="247"/>
      <c r="L156" s="247">
        <f t="shared" si="9"/>
        <v>1857523</v>
      </c>
      <c r="M156" s="248"/>
      <c r="N156" s="248"/>
      <c r="O156" s="248">
        <v>92334.857999999993</v>
      </c>
      <c r="P156" s="248">
        <v>68868.969000000012</v>
      </c>
      <c r="Q156" s="248">
        <v>161693.18300000002</v>
      </c>
      <c r="R156" s="248">
        <v>66117.921999999991</v>
      </c>
      <c r="S156" s="248">
        <v>91732.663</v>
      </c>
      <c r="T156" s="248">
        <v>96417.282999999996</v>
      </c>
      <c r="U156" s="248">
        <v>46723.491000000002</v>
      </c>
      <c r="V156" s="248"/>
      <c r="W156" s="248"/>
      <c r="X156" s="248"/>
      <c r="Y156" s="248">
        <v>623888.36900000006</v>
      </c>
      <c r="Z156" s="249">
        <v>1618158</v>
      </c>
      <c r="AA156" s="250">
        <v>9</v>
      </c>
      <c r="AB156" s="251">
        <v>44225</v>
      </c>
      <c r="AC156" s="252">
        <v>44243</v>
      </c>
      <c r="AD156" s="249">
        <v>-300000</v>
      </c>
      <c r="AE156" s="248">
        <v>49</v>
      </c>
      <c r="AF156" s="251">
        <v>44348</v>
      </c>
      <c r="AG156" s="252">
        <v>44354</v>
      </c>
      <c r="AH156" s="249">
        <v>-200000</v>
      </c>
      <c r="AI156" s="248">
        <v>84</v>
      </c>
      <c r="AJ156" s="251">
        <v>44431</v>
      </c>
      <c r="AK156" s="252">
        <v>44433</v>
      </c>
      <c r="AL156" s="249"/>
      <c r="AM156" s="248"/>
      <c r="AN156" s="248"/>
      <c r="AO156" s="248"/>
      <c r="AP156" s="248"/>
      <c r="AQ156" s="248"/>
      <c r="AR156" s="248"/>
      <c r="AS156" s="248"/>
      <c r="AT156" s="249"/>
      <c r="AU156" s="248"/>
      <c r="AV156" s="248"/>
      <c r="AW156" s="248"/>
      <c r="AX156" s="249"/>
      <c r="AY156" s="248"/>
      <c r="AZ156" s="248"/>
      <c r="BA156" s="248"/>
      <c r="BB156" s="248">
        <f t="shared" si="10"/>
        <v>1118158</v>
      </c>
      <c r="BC156" s="248">
        <f t="shared" si="8"/>
        <v>494269.63099999994</v>
      </c>
    </row>
    <row r="157" spans="2:55" s="39" customFormat="1" ht="23.25" customHeight="1">
      <c r="B157" s="22">
        <f t="shared" si="11"/>
        <v>141</v>
      </c>
      <c r="C157" s="22" t="s">
        <v>39</v>
      </c>
      <c r="D157" s="23">
        <v>40004699</v>
      </c>
      <c r="E157" s="48" t="s">
        <v>861</v>
      </c>
      <c r="F157" s="48" t="s">
        <v>317</v>
      </c>
      <c r="G157" s="26" t="s">
        <v>683</v>
      </c>
      <c r="H157" s="48" t="s">
        <v>683</v>
      </c>
      <c r="I157" s="25" t="s">
        <v>52</v>
      </c>
      <c r="J157" s="247">
        <v>787657</v>
      </c>
      <c r="K157" s="247"/>
      <c r="L157" s="247">
        <f t="shared" si="9"/>
        <v>787657</v>
      </c>
      <c r="M157" s="248"/>
      <c r="N157" s="248"/>
      <c r="O157" s="248"/>
      <c r="P157" s="248"/>
      <c r="Q157" s="248"/>
      <c r="R157" s="248"/>
      <c r="S157" s="248">
        <v>0</v>
      </c>
      <c r="T157" s="248">
        <v>0</v>
      </c>
      <c r="U157" s="248">
        <v>0</v>
      </c>
      <c r="V157" s="248"/>
      <c r="W157" s="248"/>
      <c r="X157" s="248"/>
      <c r="Y157" s="248">
        <v>0</v>
      </c>
      <c r="Z157" s="249">
        <v>5</v>
      </c>
      <c r="AA157" s="250">
        <v>9</v>
      </c>
      <c r="AB157" s="251">
        <v>44225</v>
      </c>
      <c r="AC157" s="252">
        <v>44243</v>
      </c>
      <c r="AD157" s="249"/>
      <c r="AE157" s="248"/>
      <c r="AF157" s="251"/>
      <c r="AG157" s="251"/>
      <c r="AH157" s="249"/>
      <c r="AI157" s="248"/>
      <c r="AJ157" s="251"/>
      <c r="AK157" s="248"/>
      <c r="AL157" s="249"/>
      <c r="AM157" s="248"/>
      <c r="AN157" s="248"/>
      <c r="AO157" s="248"/>
      <c r="AP157" s="248"/>
      <c r="AQ157" s="248"/>
      <c r="AR157" s="248"/>
      <c r="AS157" s="248"/>
      <c r="AT157" s="249"/>
      <c r="AU157" s="248"/>
      <c r="AV157" s="248"/>
      <c r="AW157" s="248"/>
      <c r="AX157" s="249"/>
      <c r="AY157" s="248"/>
      <c r="AZ157" s="248"/>
      <c r="BA157" s="248"/>
      <c r="BB157" s="248">
        <f t="shared" si="10"/>
        <v>5</v>
      </c>
      <c r="BC157" s="248">
        <f t="shared" si="8"/>
        <v>5</v>
      </c>
    </row>
    <row r="158" spans="2:55" s="39" customFormat="1" ht="23.25" customHeight="1">
      <c r="B158" s="22">
        <f t="shared" si="11"/>
        <v>142</v>
      </c>
      <c r="C158" s="22" t="s">
        <v>39</v>
      </c>
      <c r="D158" s="23">
        <v>40011611</v>
      </c>
      <c r="E158" s="48" t="s">
        <v>862</v>
      </c>
      <c r="F158" s="48" t="s">
        <v>700</v>
      </c>
      <c r="G158" s="26" t="s">
        <v>683</v>
      </c>
      <c r="H158" s="48" t="s">
        <v>781</v>
      </c>
      <c r="I158" s="25" t="s">
        <v>52</v>
      </c>
      <c r="J158" s="247">
        <v>86118</v>
      </c>
      <c r="K158" s="247"/>
      <c r="L158" s="247">
        <f t="shared" si="9"/>
        <v>86118</v>
      </c>
      <c r="M158" s="248"/>
      <c r="N158" s="248"/>
      <c r="O158" s="248"/>
      <c r="P158" s="248">
        <v>0</v>
      </c>
      <c r="Q158" s="248">
        <v>28963.599999999999</v>
      </c>
      <c r="R158" s="248">
        <v>21722.7</v>
      </c>
      <c r="S158" s="248">
        <v>0</v>
      </c>
      <c r="T158" s="248">
        <v>0</v>
      </c>
      <c r="U158" s="248">
        <v>0</v>
      </c>
      <c r="V158" s="248"/>
      <c r="W158" s="248"/>
      <c r="X158" s="248"/>
      <c r="Y158" s="248">
        <v>50686.3</v>
      </c>
      <c r="Z158" s="249">
        <v>86118</v>
      </c>
      <c r="AA158" s="250">
        <v>10</v>
      </c>
      <c r="AB158" s="251">
        <v>44222</v>
      </c>
      <c r="AC158" s="252">
        <v>44243</v>
      </c>
      <c r="AD158" s="249"/>
      <c r="AE158" s="248"/>
      <c r="AF158" s="251"/>
      <c r="AG158" s="251"/>
      <c r="AH158" s="249"/>
      <c r="AI158" s="248"/>
      <c r="AJ158" s="251"/>
      <c r="AK158" s="248"/>
      <c r="AL158" s="249"/>
      <c r="AM158" s="248"/>
      <c r="AN158" s="248"/>
      <c r="AO158" s="248"/>
      <c r="AP158" s="248"/>
      <c r="AQ158" s="248"/>
      <c r="AR158" s="248"/>
      <c r="AS158" s="248"/>
      <c r="AT158" s="249"/>
      <c r="AU158" s="248"/>
      <c r="AV158" s="248"/>
      <c r="AW158" s="248"/>
      <c r="AX158" s="249"/>
      <c r="AY158" s="248"/>
      <c r="AZ158" s="248"/>
      <c r="BA158" s="248"/>
      <c r="BB158" s="248">
        <f t="shared" si="10"/>
        <v>86118</v>
      </c>
      <c r="BC158" s="248">
        <f t="shared" si="8"/>
        <v>35431.699999999997</v>
      </c>
    </row>
    <row r="159" spans="2:55" s="39" customFormat="1" ht="23.25" customHeight="1">
      <c r="B159" s="22">
        <f t="shared" si="11"/>
        <v>143</v>
      </c>
      <c r="C159" s="22" t="s">
        <v>39</v>
      </c>
      <c r="D159" s="23">
        <v>40008006</v>
      </c>
      <c r="E159" s="48" t="s">
        <v>863</v>
      </c>
      <c r="F159" s="48" t="s">
        <v>700</v>
      </c>
      <c r="G159" s="26" t="s">
        <v>683</v>
      </c>
      <c r="H159" s="48" t="s">
        <v>695</v>
      </c>
      <c r="I159" s="25" t="s">
        <v>52</v>
      </c>
      <c r="J159" s="247">
        <v>188516</v>
      </c>
      <c r="K159" s="247"/>
      <c r="L159" s="247">
        <f t="shared" si="9"/>
        <v>188516</v>
      </c>
      <c r="M159" s="248"/>
      <c r="N159" s="248"/>
      <c r="O159" s="248"/>
      <c r="P159" s="248">
        <v>0</v>
      </c>
      <c r="Q159" s="248">
        <v>49809.235000000001</v>
      </c>
      <c r="R159" s="248">
        <v>0</v>
      </c>
      <c r="S159" s="248">
        <v>0</v>
      </c>
      <c r="T159" s="248">
        <v>0</v>
      </c>
      <c r="U159" s="248">
        <v>0</v>
      </c>
      <c r="V159" s="248"/>
      <c r="W159" s="248"/>
      <c r="X159" s="248"/>
      <c r="Y159" s="248">
        <v>49809.235000000001</v>
      </c>
      <c r="Z159" s="249">
        <v>188516</v>
      </c>
      <c r="AA159" s="250">
        <v>10</v>
      </c>
      <c r="AB159" s="251">
        <v>44222</v>
      </c>
      <c r="AC159" s="252">
        <v>44243</v>
      </c>
      <c r="AD159" s="249"/>
      <c r="AE159" s="248"/>
      <c r="AF159" s="251"/>
      <c r="AG159" s="251"/>
      <c r="AH159" s="249"/>
      <c r="AI159" s="248"/>
      <c r="AJ159" s="251"/>
      <c r="AK159" s="248"/>
      <c r="AL159" s="249"/>
      <c r="AM159" s="248"/>
      <c r="AN159" s="248"/>
      <c r="AO159" s="248"/>
      <c r="AP159" s="248"/>
      <c r="AQ159" s="248"/>
      <c r="AR159" s="248"/>
      <c r="AS159" s="248"/>
      <c r="AT159" s="249"/>
      <c r="AU159" s="248"/>
      <c r="AV159" s="248"/>
      <c r="AW159" s="248"/>
      <c r="AX159" s="249"/>
      <c r="AY159" s="248"/>
      <c r="AZ159" s="248"/>
      <c r="BA159" s="248"/>
      <c r="BB159" s="248">
        <f t="shared" si="10"/>
        <v>188516</v>
      </c>
      <c r="BC159" s="248">
        <f t="shared" si="8"/>
        <v>138706.76500000001</v>
      </c>
    </row>
    <row r="160" spans="2:55" s="39" customFormat="1" ht="23.25" customHeight="1">
      <c r="B160" s="22">
        <f t="shared" si="11"/>
        <v>144</v>
      </c>
      <c r="C160" s="22" t="s">
        <v>65</v>
      </c>
      <c r="D160" s="23">
        <v>40015002</v>
      </c>
      <c r="E160" s="48" t="s">
        <v>864</v>
      </c>
      <c r="F160" s="48" t="s">
        <v>317</v>
      </c>
      <c r="G160" s="26" t="s">
        <v>683</v>
      </c>
      <c r="H160" s="48" t="s">
        <v>683</v>
      </c>
      <c r="I160" s="25" t="s">
        <v>52</v>
      </c>
      <c r="J160" s="247">
        <v>115661</v>
      </c>
      <c r="K160" s="247"/>
      <c r="L160" s="247">
        <f t="shared" si="9"/>
        <v>115661</v>
      </c>
      <c r="M160" s="248"/>
      <c r="N160" s="248"/>
      <c r="O160" s="248">
        <v>5512.5</v>
      </c>
      <c r="P160" s="248">
        <v>22050</v>
      </c>
      <c r="Q160" s="248">
        <v>0</v>
      </c>
      <c r="R160" s="248">
        <v>0</v>
      </c>
      <c r="S160" s="248">
        <v>16537.5</v>
      </c>
      <c r="T160" s="248">
        <v>0</v>
      </c>
      <c r="U160" s="248">
        <v>0</v>
      </c>
      <c r="V160" s="248"/>
      <c r="W160" s="248"/>
      <c r="X160" s="248"/>
      <c r="Y160" s="248">
        <v>44100</v>
      </c>
      <c r="Z160" s="249">
        <v>31734</v>
      </c>
      <c r="AA160" s="250">
        <v>10</v>
      </c>
      <c r="AB160" s="251">
        <v>44222</v>
      </c>
      <c r="AC160" s="252">
        <v>44243</v>
      </c>
      <c r="AD160" s="249">
        <v>13000</v>
      </c>
      <c r="AE160" s="248">
        <v>72</v>
      </c>
      <c r="AF160" s="251">
        <v>44406</v>
      </c>
      <c r="AG160" s="251">
        <v>44410</v>
      </c>
      <c r="AH160" s="249"/>
      <c r="AI160" s="248"/>
      <c r="AJ160" s="251"/>
      <c r="AK160" s="248"/>
      <c r="AL160" s="249"/>
      <c r="AM160" s="248"/>
      <c r="AN160" s="248"/>
      <c r="AO160" s="248"/>
      <c r="AP160" s="248"/>
      <c r="AQ160" s="248"/>
      <c r="AR160" s="248"/>
      <c r="AS160" s="248"/>
      <c r="AT160" s="249"/>
      <c r="AU160" s="248"/>
      <c r="AV160" s="248"/>
      <c r="AW160" s="248"/>
      <c r="AX160" s="249"/>
      <c r="AY160" s="248"/>
      <c r="AZ160" s="248"/>
      <c r="BA160" s="248"/>
      <c r="BB160" s="248">
        <f t="shared" si="10"/>
        <v>44734</v>
      </c>
      <c r="BC160" s="248">
        <f t="shared" si="8"/>
        <v>634</v>
      </c>
    </row>
    <row r="161" spans="2:55" s="39" customFormat="1" ht="23.25" customHeight="1">
      <c r="B161" s="22">
        <f t="shared" si="11"/>
        <v>145</v>
      </c>
      <c r="C161" s="22" t="s">
        <v>39</v>
      </c>
      <c r="D161" s="23">
        <v>30347822</v>
      </c>
      <c r="E161" s="48" t="s">
        <v>865</v>
      </c>
      <c r="F161" s="48" t="s">
        <v>700</v>
      </c>
      <c r="G161" s="26" t="s">
        <v>683</v>
      </c>
      <c r="H161" s="48" t="s">
        <v>742</v>
      </c>
      <c r="I161" s="25" t="s">
        <v>44</v>
      </c>
      <c r="J161" s="247">
        <v>185535</v>
      </c>
      <c r="K161" s="247">
        <v>164394</v>
      </c>
      <c r="L161" s="247">
        <f t="shared" si="9"/>
        <v>21141</v>
      </c>
      <c r="M161" s="248"/>
      <c r="N161" s="248"/>
      <c r="O161" s="248"/>
      <c r="P161" s="248"/>
      <c r="Q161" s="248"/>
      <c r="R161" s="248"/>
      <c r="S161" s="248">
        <v>0</v>
      </c>
      <c r="T161" s="248">
        <v>0</v>
      </c>
      <c r="U161" s="248">
        <v>0</v>
      </c>
      <c r="V161" s="248"/>
      <c r="W161" s="248"/>
      <c r="X161" s="248"/>
      <c r="Y161" s="248">
        <v>0</v>
      </c>
      <c r="Z161" s="249">
        <v>21139</v>
      </c>
      <c r="AA161" s="250">
        <v>13</v>
      </c>
      <c r="AB161" s="251">
        <v>44231</v>
      </c>
      <c r="AC161" s="252">
        <v>44251</v>
      </c>
      <c r="AD161" s="249"/>
      <c r="AE161" s="248"/>
      <c r="AF161" s="251"/>
      <c r="AG161" s="251"/>
      <c r="AH161" s="249"/>
      <c r="AI161" s="248"/>
      <c r="AJ161" s="251"/>
      <c r="AK161" s="248"/>
      <c r="AL161" s="249"/>
      <c r="AM161" s="248"/>
      <c r="AN161" s="248"/>
      <c r="AO161" s="248"/>
      <c r="AP161" s="248"/>
      <c r="AQ161" s="248"/>
      <c r="AR161" s="248"/>
      <c r="AS161" s="248"/>
      <c r="AT161" s="249"/>
      <c r="AU161" s="248"/>
      <c r="AV161" s="248"/>
      <c r="AW161" s="248"/>
      <c r="AX161" s="249"/>
      <c r="AY161" s="248"/>
      <c r="AZ161" s="248"/>
      <c r="BA161" s="248"/>
      <c r="BB161" s="248">
        <f t="shared" si="10"/>
        <v>21139</v>
      </c>
      <c r="BC161" s="248">
        <f t="shared" si="8"/>
        <v>21139</v>
      </c>
    </row>
    <row r="162" spans="2:55" s="39" customFormat="1" ht="23.25" customHeight="1">
      <c r="B162" s="22">
        <f t="shared" si="11"/>
        <v>146</v>
      </c>
      <c r="C162" s="22" t="s">
        <v>39</v>
      </c>
      <c r="D162" s="23">
        <v>40000533</v>
      </c>
      <c r="E162" s="48" t="s">
        <v>866</v>
      </c>
      <c r="F162" s="48" t="s">
        <v>700</v>
      </c>
      <c r="G162" s="26" t="s">
        <v>683</v>
      </c>
      <c r="H162" s="48" t="s">
        <v>807</v>
      </c>
      <c r="I162" s="25" t="s">
        <v>44</v>
      </c>
      <c r="J162" s="247">
        <v>75633</v>
      </c>
      <c r="K162" s="247">
        <v>15141</v>
      </c>
      <c r="L162" s="247">
        <f t="shared" si="9"/>
        <v>60492</v>
      </c>
      <c r="M162" s="248"/>
      <c r="N162" s="248"/>
      <c r="O162" s="248"/>
      <c r="P162" s="248"/>
      <c r="Q162" s="248"/>
      <c r="R162" s="248"/>
      <c r="S162" s="248">
        <v>0</v>
      </c>
      <c r="T162" s="248">
        <v>0</v>
      </c>
      <c r="U162" s="248">
        <v>0</v>
      </c>
      <c r="V162" s="248"/>
      <c r="W162" s="248"/>
      <c r="X162" s="248"/>
      <c r="Y162" s="248">
        <v>0</v>
      </c>
      <c r="Z162" s="249">
        <v>60492</v>
      </c>
      <c r="AA162" s="250">
        <v>13</v>
      </c>
      <c r="AB162" s="251">
        <v>44231</v>
      </c>
      <c r="AC162" s="252">
        <v>44251</v>
      </c>
      <c r="AD162" s="249"/>
      <c r="AE162" s="248"/>
      <c r="AF162" s="251"/>
      <c r="AG162" s="251"/>
      <c r="AH162" s="249"/>
      <c r="AI162" s="248"/>
      <c r="AJ162" s="251"/>
      <c r="AK162" s="248"/>
      <c r="AL162" s="249"/>
      <c r="AM162" s="248"/>
      <c r="AN162" s="248"/>
      <c r="AO162" s="248"/>
      <c r="AP162" s="248"/>
      <c r="AQ162" s="248"/>
      <c r="AR162" s="248"/>
      <c r="AS162" s="248"/>
      <c r="AT162" s="249"/>
      <c r="AU162" s="248"/>
      <c r="AV162" s="248"/>
      <c r="AW162" s="248"/>
      <c r="AX162" s="249"/>
      <c r="AY162" s="248"/>
      <c r="AZ162" s="248"/>
      <c r="BA162" s="248"/>
      <c r="BB162" s="248">
        <f t="shared" si="10"/>
        <v>60492</v>
      </c>
      <c r="BC162" s="248">
        <f t="shared" si="8"/>
        <v>60492</v>
      </c>
    </row>
    <row r="163" spans="2:55" s="39" customFormat="1" ht="23.25" customHeight="1">
      <c r="B163" s="22">
        <f t="shared" si="11"/>
        <v>147</v>
      </c>
      <c r="C163" s="22" t="s">
        <v>39</v>
      </c>
      <c r="D163" s="23">
        <v>30465839</v>
      </c>
      <c r="E163" s="48" t="s">
        <v>867</v>
      </c>
      <c r="F163" s="48" t="s">
        <v>700</v>
      </c>
      <c r="G163" s="26" t="s">
        <v>683</v>
      </c>
      <c r="H163" s="48" t="s">
        <v>742</v>
      </c>
      <c r="I163" s="25" t="s">
        <v>44</v>
      </c>
      <c r="J163" s="247">
        <v>64129</v>
      </c>
      <c r="K163" s="247">
        <v>12932</v>
      </c>
      <c r="L163" s="247">
        <f t="shared" si="9"/>
        <v>51197</v>
      </c>
      <c r="M163" s="248"/>
      <c r="N163" s="248"/>
      <c r="O163" s="248"/>
      <c r="P163" s="248"/>
      <c r="Q163" s="248"/>
      <c r="R163" s="248"/>
      <c r="S163" s="248">
        <v>0</v>
      </c>
      <c r="T163" s="248">
        <v>0</v>
      </c>
      <c r="U163" s="248">
        <v>0</v>
      </c>
      <c r="V163" s="248"/>
      <c r="W163" s="248"/>
      <c r="X163" s="248"/>
      <c r="Y163" s="248">
        <v>0</v>
      </c>
      <c r="Z163" s="249">
        <v>51197</v>
      </c>
      <c r="AA163" s="250">
        <v>13</v>
      </c>
      <c r="AB163" s="251">
        <v>44231</v>
      </c>
      <c r="AC163" s="252">
        <v>44251</v>
      </c>
      <c r="AD163" s="249"/>
      <c r="AE163" s="248"/>
      <c r="AF163" s="251"/>
      <c r="AG163" s="251"/>
      <c r="AH163" s="249"/>
      <c r="AI163" s="248"/>
      <c r="AJ163" s="251"/>
      <c r="AK163" s="248"/>
      <c r="AL163" s="249"/>
      <c r="AM163" s="248"/>
      <c r="AN163" s="248"/>
      <c r="AO163" s="248"/>
      <c r="AP163" s="248"/>
      <c r="AQ163" s="248"/>
      <c r="AR163" s="248"/>
      <c r="AS163" s="248"/>
      <c r="AT163" s="249"/>
      <c r="AU163" s="248"/>
      <c r="AV163" s="248"/>
      <c r="AW163" s="248"/>
      <c r="AX163" s="249"/>
      <c r="AY163" s="248"/>
      <c r="AZ163" s="248"/>
      <c r="BA163" s="248"/>
      <c r="BB163" s="248">
        <f t="shared" si="10"/>
        <v>51197</v>
      </c>
      <c r="BC163" s="248">
        <f t="shared" si="8"/>
        <v>51197</v>
      </c>
    </row>
    <row r="164" spans="2:55" s="39" customFormat="1" ht="23.25" customHeight="1">
      <c r="B164" s="22">
        <f t="shared" si="11"/>
        <v>148</v>
      </c>
      <c r="C164" s="22" t="s">
        <v>39</v>
      </c>
      <c r="D164" s="23">
        <v>40000301</v>
      </c>
      <c r="E164" s="48" t="s">
        <v>868</v>
      </c>
      <c r="F164" s="48" t="s">
        <v>700</v>
      </c>
      <c r="G164" s="26" t="s">
        <v>683</v>
      </c>
      <c r="H164" s="48" t="s">
        <v>732</v>
      </c>
      <c r="I164" s="25" t="s">
        <v>44</v>
      </c>
      <c r="J164" s="247">
        <v>31633</v>
      </c>
      <c r="K164" s="247">
        <v>22363</v>
      </c>
      <c r="L164" s="247">
        <f t="shared" si="9"/>
        <v>9270</v>
      </c>
      <c r="M164" s="248"/>
      <c r="N164" s="248">
        <v>9270</v>
      </c>
      <c r="O164" s="248"/>
      <c r="P164" s="248">
        <v>0</v>
      </c>
      <c r="Q164" s="248">
        <v>0</v>
      </c>
      <c r="R164" s="248">
        <v>0</v>
      </c>
      <c r="S164" s="248">
        <v>0</v>
      </c>
      <c r="T164" s="248">
        <v>0</v>
      </c>
      <c r="U164" s="248">
        <v>0</v>
      </c>
      <c r="V164" s="248"/>
      <c r="W164" s="248"/>
      <c r="X164" s="248"/>
      <c r="Y164" s="248">
        <v>9270</v>
      </c>
      <c r="Z164" s="249">
        <v>9270</v>
      </c>
      <c r="AA164" s="250">
        <v>13</v>
      </c>
      <c r="AB164" s="251">
        <v>44231</v>
      </c>
      <c r="AC164" s="252">
        <v>44251</v>
      </c>
      <c r="AD164" s="249"/>
      <c r="AE164" s="248"/>
      <c r="AF164" s="251"/>
      <c r="AG164" s="251"/>
      <c r="AH164" s="249"/>
      <c r="AI164" s="248"/>
      <c r="AJ164" s="251"/>
      <c r="AK164" s="248"/>
      <c r="AL164" s="249"/>
      <c r="AM164" s="248"/>
      <c r="AN164" s="248"/>
      <c r="AO164" s="248"/>
      <c r="AP164" s="248"/>
      <c r="AQ164" s="248"/>
      <c r="AR164" s="248"/>
      <c r="AS164" s="248"/>
      <c r="AT164" s="249"/>
      <c r="AU164" s="248"/>
      <c r="AV164" s="248"/>
      <c r="AW164" s="248"/>
      <c r="AX164" s="249"/>
      <c r="AY164" s="248"/>
      <c r="AZ164" s="248"/>
      <c r="BA164" s="248"/>
      <c r="BB164" s="248">
        <f t="shared" si="10"/>
        <v>9270</v>
      </c>
      <c r="BC164" s="248">
        <f t="shared" si="8"/>
        <v>0</v>
      </c>
    </row>
    <row r="165" spans="2:55" s="39" customFormat="1" ht="23.25" customHeight="1">
      <c r="B165" s="22">
        <f t="shared" si="11"/>
        <v>149</v>
      </c>
      <c r="C165" s="22" t="s">
        <v>39</v>
      </c>
      <c r="D165" s="23">
        <v>30314472</v>
      </c>
      <c r="E165" s="48" t="s">
        <v>869</v>
      </c>
      <c r="F165" s="48" t="s">
        <v>700</v>
      </c>
      <c r="G165" s="26" t="s">
        <v>683</v>
      </c>
      <c r="H165" s="48" t="s">
        <v>683</v>
      </c>
      <c r="I165" s="25" t="s">
        <v>44</v>
      </c>
      <c r="J165" s="247">
        <v>42717</v>
      </c>
      <c r="K165" s="247">
        <v>21438</v>
      </c>
      <c r="L165" s="247">
        <f t="shared" si="9"/>
        <v>21279</v>
      </c>
      <c r="M165" s="248"/>
      <c r="N165" s="248"/>
      <c r="O165" s="248"/>
      <c r="P165" s="248"/>
      <c r="Q165" s="248"/>
      <c r="R165" s="248"/>
      <c r="S165" s="248">
        <v>0</v>
      </c>
      <c r="T165" s="248">
        <v>0</v>
      </c>
      <c r="U165" s="248">
        <v>0</v>
      </c>
      <c r="V165" s="248"/>
      <c r="W165" s="248"/>
      <c r="X165" s="248"/>
      <c r="Y165" s="248">
        <v>0</v>
      </c>
      <c r="Z165" s="249">
        <v>20743</v>
      </c>
      <c r="AA165" s="250">
        <v>13</v>
      </c>
      <c r="AB165" s="251">
        <v>44231</v>
      </c>
      <c r="AC165" s="252">
        <v>44251</v>
      </c>
      <c r="AD165" s="249"/>
      <c r="AE165" s="248"/>
      <c r="AF165" s="251"/>
      <c r="AG165" s="251"/>
      <c r="AH165" s="249"/>
      <c r="AI165" s="248"/>
      <c r="AJ165" s="251"/>
      <c r="AK165" s="248"/>
      <c r="AL165" s="249"/>
      <c r="AM165" s="248"/>
      <c r="AN165" s="248"/>
      <c r="AO165" s="248"/>
      <c r="AP165" s="248"/>
      <c r="AQ165" s="248"/>
      <c r="AR165" s="248"/>
      <c r="AS165" s="248"/>
      <c r="AT165" s="249"/>
      <c r="AU165" s="248"/>
      <c r="AV165" s="248"/>
      <c r="AW165" s="248"/>
      <c r="AX165" s="249"/>
      <c r="AY165" s="248"/>
      <c r="AZ165" s="248"/>
      <c r="BA165" s="248"/>
      <c r="BB165" s="248">
        <f t="shared" si="10"/>
        <v>20743</v>
      </c>
      <c r="BC165" s="248">
        <f t="shared" si="8"/>
        <v>20743</v>
      </c>
    </row>
    <row r="166" spans="2:55" s="39" customFormat="1" ht="23.25" customHeight="1">
      <c r="B166" s="22">
        <f t="shared" si="11"/>
        <v>150</v>
      </c>
      <c r="C166" s="22" t="s">
        <v>39</v>
      </c>
      <c r="D166" s="23">
        <v>40003274</v>
      </c>
      <c r="E166" s="48" t="s">
        <v>870</v>
      </c>
      <c r="F166" s="48" t="s">
        <v>700</v>
      </c>
      <c r="G166" s="26" t="s">
        <v>683</v>
      </c>
      <c r="H166" s="48" t="s">
        <v>807</v>
      </c>
      <c r="I166" s="25" t="s">
        <v>44</v>
      </c>
      <c r="J166" s="247">
        <v>36303</v>
      </c>
      <c r="K166" s="247">
        <v>10732</v>
      </c>
      <c r="L166" s="247">
        <f t="shared" si="9"/>
        <v>25571</v>
      </c>
      <c r="M166" s="248"/>
      <c r="N166" s="248"/>
      <c r="O166" s="248"/>
      <c r="P166" s="248"/>
      <c r="Q166" s="248"/>
      <c r="R166" s="248"/>
      <c r="S166" s="248">
        <v>0</v>
      </c>
      <c r="T166" s="248">
        <v>0</v>
      </c>
      <c r="U166" s="248">
        <v>0</v>
      </c>
      <c r="V166" s="248"/>
      <c r="W166" s="248"/>
      <c r="X166" s="248"/>
      <c r="Y166" s="248">
        <v>0</v>
      </c>
      <c r="Z166" s="249">
        <v>25571</v>
      </c>
      <c r="AA166" s="250">
        <v>13</v>
      </c>
      <c r="AB166" s="251">
        <v>44231</v>
      </c>
      <c r="AC166" s="252">
        <v>44251</v>
      </c>
      <c r="AD166" s="249"/>
      <c r="AE166" s="248"/>
      <c r="AF166" s="251"/>
      <c r="AG166" s="251"/>
      <c r="AH166" s="249"/>
      <c r="AI166" s="248"/>
      <c r="AJ166" s="251"/>
      <c r="AK166" s="248"/>
      <c r="AL166" s="249"/>
      <c r="AM166" s="248"/>
      <c r="AN166" s="248"/>
      <c r="AO166" s="248"/>
      <c r="AP166" s="248"/>
      <c r="AQ166" s="248"/>
      <c r="AR166" s="248"/>
      <c r="AS166" s="248"/>
      <c r="AT166" s="249"/>
      <c r="AU166" s="248"/>
      <c r="AV166" s="248"/>
      <c r="AW166" s="248"/>
      <c r="AX166" s="249"/>
      <c r="AY166" s="248"/>
      <c r="AZ166" s="248"/>
      <c r="BA166" s="248"/>
      <c r="BB166" s="248">
        <f t="shared" si="10"/>
        <v>25571</v>
      </c>
      <c r="BC166" s="248">
        <f t="shared" si="8"/>
        <v>25571</v>
      </c>
    </row>
    <row r="167" spans="2:55" s="39" customFormat="1" ht="23.25" customHeight="1">
      <c r="B167" s="22">
        <f t="shared" si="11"/>
        <v>151</v>
      </c>
      <c r="C167" s="22" t="s">
        <v>39</v>
      </c>
      <c r="D167" s="23">
        <v>40004673</v>
      </c>
      <c r="E167" s="48" t="s">
        <v>871</v>
      </c>
      <c r="F167" s="48" t="s">
        <v>700</v>
      </c>
      <c r="G167" s="26" t="s">
        <v>683</v>
      </c>
      <c r="H167" s="48" t="s">
        <v>807</v>
      </c>
      <c r="I167" s="25" t="s">
        <v>44</v>
      </c>
      <c r="J167" s="247">
        <v>28432</v>
      </c>
      <c r="K167" s="247">
        <v>8400</v>
      </c>
      <c r="L167" s="247">
        <f t="shared" si="9"/>
        <v>20032</v>
      </c>
      <c r="M167" s="248"/>
      <c r="N167" s="248"/>
      <c r="O167" s="248"/>
      <c r="P167" s="248"/>
      <c r="Q167" s="248"/>
      <c r="R167" s="248"/>
      <c r="S167" s="248">
        <v>0</v>
      </c>
      <c r="T167" s="248">
        <v>0</v>
      </c>
      <c r="U167" s="248">
        <v>0</v>
      </c>
      <c r="V167" s="248"/>
      <c r="W167" s="248"/>
      <c r="X167" s="248"/>
      <c r="Y167" s="248">
        <v>0</v>
      </c>
      <c r="Z167" s="249">
        <v>20032</v>
      </c>
      <c r="AA167" s="250">
        <v>13</v>
      </c>
      <c r="AB167" s="251">
        <v>44231</v>
      </c>
      <c r="AC167" s="252">
        <v>44251</v>
      </c>
      <c r="AD167" s="249"/>
      <c r="AE167" s="248"/>
      <c r="AF167" s="251"/>
      <c r="AG167" s="251"/>
      <c r="AH167" s="249"/>
      <c r="AI167" s="248"/>
      <c r="AJ167" s="251"/>
      <c r="AK167" s="248"/>
      <c r="AL167" s="249"/>
      <c r="AM167" s="248"/>
      <c r="AN167" s="248"/>
      <c r="AO167" s="248"/>
      <c r="AP167" s="248"/>
      <c r="AQ167" s="248"/>
      <c r="AR167" s="248"/>
      <c r="AS167" s="248"/>
      <c r="AT167" s="249"/>
      <c r="AU167" s="248"/>
      <c r="AV167" s="248"/>
      <c r="AW167" s="248"/>
      <c r="AX167" s="249"/>
      <c r="AY167" s="248"/>
      <c r="AZ167" s="248"/>
      <c r="BA167" s="248"/>
      <c r="BB167" s="248">
        <f t="shared" si="10"/>
        <v>20032</v>
      </c>
      <c r="BC167" s="248">
        <f t="shared" si="8"/>
        <v>20032</v>
      </c>
    </row>
    <row r="168" spans="2:55" s="39" customFormat="1" ht="23.25" customHeight="1">
      <c r="B168" s="22">
        <f t="shared" si="11"/>
        <v>152</v>
      </c>
      <c r="C168" s="22" t="s">
        <v>39</v>
      </c>
      <c r="D168" s="23">
        <v>40003945</v>
      </c>
      <c r="E168" s="48" t="s">
        <v>872</v>
      </c>
      <c r="F168" s="48" t="s">
        <v>700</v>
      </c>
      <c r="G168" s="26" t="s">
        <v>683</v>
      </c>
      <c r="H168" s="48" t="s">
        <v>807</v>
      </c>
      <c r="I168" s="25" t="s">
        <v>44</v>
      </c>
      <c r="J168" s="247">
        <v>21561</v>
      </c>
      <c r="K168" s="247">
        <v>6076</v>
      </c>
      <c r="L168" s="247">
        <f t="shared" si="9"/>
        <v>15485</v>
      </c>
      <c r="M168" s="248"/>
      <c r="N168" s="248"/>
      <c r="O168" s="248"/>
      <c r="P168" s="248"/>
      <c r="Q168" s="248"/>
      <c r="R168" s="248"/>
      <c r="S168" s="248">
        <v>0</v>
      </c>
      <c r="T168" s="248">
        <v>0</v>
      </c>
      <c r="U168" s="248">
        <v>0</v>
      </c>
      <c r="V168" s="248"/>
      <c r="W168" s="248"/>
      <c r="X168" s="248"/>
      <c r="Y168" s="248">
        <v>0</v>
      </c>
      <c r="Z168" s="249">
        <v>15485</v>
      </c>
      <c r="AA168" s="250">
        <v>13</v>
      </c>
      <c r="AB168" s="251">
        <v>44231</v>
      </c>
      <c r="AC168" s="252">
        <v>44251</v>
      </c>
      <c r="AD168" s="249"/>
      <c r="AE168" s="248"/>
      <c r="AF168" s="251"/>
      <c r="AG168" s="251"/>
      <c r="AH168" s="249"/>
      <c r="AI168" s="248"/>
      <c r="AJ168" s="251"/>
      <c r="AK168" s="248"/>
      <c r="AL168" s="249"/>
      <c r="AM168" s="248"/>
      <c r="AN168" s="248"/>
      <c r="AO168" s="248"/>
      <c r="AP168" s="248"/>
      <c r="AQ168" s="248"/>
      <c r="AR168" s="248"/>
      <c r="AS168" s="248"/>
      <c r="AT168" s="249"/>
      <c r="AU168" s="248"/>
      <c r="AV168" s="248"/>
      <c r="AW168" s="248"/>
      <c r="AX168" s="249"/>
      <c r="AY168" s="248"/>
      <c r="AZ168" s="248"/>
      <c r="BA168" s="248"/>
      <c r="BB168" s="248">
        <f t="shared" si="10"/>
        <v>15485</v>
      </c>
      <c r="BC168" s="248">
        <f t="shared" si="8"/>
        <v>15485</v>
      </c>
    </row>
    <row r="169" spans="2:55" s="39" customFormat="1" ht="23.25" customHeight="1">
      <c r="B169" s="22">
        <f t="shared" si="11"/>
        <v>153</v>
      </c>
      <c r="C169" s="22" t="s">
        <v>39</v>
      </c>
      <c r="D169" s="23">
        <v>40002634</v>
      </c>
      <c r="E169" s="48" t="s">
        <v>873</v>
      </c>
      <c r="F169" s="48" t="s">
        <v>700</v>
      </c>
      <c r="G169" s="26" t="s">
        <v>683</v>
      </c>
      <c r="H169" s="48" t="s">
        <v>807</v>
      </c>
      <c r="I169" s="25" t="s">
        <v>44</v>
      </c>
      <c r="J169" s="247">
        <v>19188</v>
      </c>
      <c r="K169" s="247">
        <v>5517</v>
      </c>
      <c r="L169" s="247">
        <f t="shared" si="9"/>
        <v>13671</v>
      </c>
      <c r="M169" s="248"/>
      <c r="N169" s="248"/>
      <c r="O169" s="248"/>
      <c r="P169" s="248"/>
      <c r="Q169" s="248"/>
      <c r="R169" s="248"/>
      <c r="S169" s="248">
        <v>0</v>
      </c>
      <c r="T169" s="248">
        <v>0</v>
      </c>
      <c r="U169" s="248">
        <v>0</v>
      </c>
      <c r="V169" s="248"/>
      <c r="W169" s="248"/>
      <c r="X169" s="248"/>
      <c r="Y169" s="248">
        <v>0</v>
      </c>
      <c r="Z169" s="249">
        <v>13671</v>
      </c>
      <c r="AA169" s="250">
        <v>13</v>
      </c>
      <c r="AB169" s="251">
        <v>44231</v>
      </c>
      <c r="AC169" s="252">
        <v>44251</v>
      </c>
      <c r="AD169" s="249"/>
      <c r="AE169" s="248"/>
      <c r="AF169" s="251"/>
      <c r="AG169" s="251"/>
      <c r="AH169" s="249"/>
      <c r="AI169" s="248"/>
      <c r="AJ169" s="251"/>
      <c r="AK169" s="248"/>
      <c r="AL169" s="249"/>
      <c r="AM169" s="248"/>
      <c r="AN169" s="248"/>
      <c r="AO169" s="248"/>
      <c r="AP169" s="248"/>
      <c r="AQ169" s="248"/>
      <c r="AR169" s="248"/>
      <c r="AS169" s="248"/>
      <c r="AT169" s="249"/>
      <c r="AU169" s="248"/>
      <c r="AV169" s="248"/>
      <c r="AW169" s="248"/>
      <c r="AX169" s="249"/>
      <c r="AY169" s="248"/>
      <c r="AZ169" s="248"/>
      <c r="BA169" s="248"/>
      <c r="BB169" s="248">
        <f t="shared" si="10"/>
        <v>13671</v>
      </c>
      <c r="BC169" s="248">
        <f t="shared" si="8"/>
        <v>13671</v>
      </c>
    </row>
    <row r="170" spans="2:55" s="39" customFormat="1" ht="23.25" customHeight="1">
      <c r="B170" s="22">
        <f t="shared" si="11"/>
        <v>154</v>
      </c>
      <c r="C170" s="22" t="s">
        <v>39</v>
      </c>
      <c r="D170" s="23">
        <v>30078622</v>
      </c>
      <c r="E170" s="48" t="s">
        <v>874</v>
      </c>
      <c r="F170" s="48" t="s">
        <v>317</v>
      </c>
      <c r="G170" s="26" t="s">
        <v>683</v>
      </c>
      <c r="H170" s="48" t="s">
        <v>742</v>
      </c>
      <c r="I170" s="25" t="s">
        <v>44</v>
      </c>
      <c r="J170" s="247">
        <v>1029752</v>
      </c>
      <c r="K170" s="247">
        <v>1019751</v>
      </c>
      <c r="L170" s="247">
        <f t="shared" si="9"/>
        <v>10001</v>
      </c>
      <c r="M170" s="248"/>
      <c r="N170" s="248"/>
      <c r="O170" s="248"/>
      <c r="P170" s="248"/>
      <c r="Q170" s="248"/>
      <c r="R170" s="248"/>
      <c r="S170" s="248">
        <v>0</v>
      </c>
      <c r="T170" s="248">
        <v>0</v>
      </c>
      <c r="U170" s="248">
        <v>0</v>
      </c>
      <c r="V170" s="248"/>
      <c r="W170" s="248"/>
      <c r="X170" s="248"/>
      <c r="Y170" s="248">
        <v>0</v>
      </c>
      <c r="Z170" s="249">
        <v>10000</v>
      </c>
      <c r="AA170" s="250">
        <v>13</v>
      </c>
      <c r="AB170" s="251">
        <v>44231</v>
      </c>
      <c r="AC170" s="252">
        <v>44251</v>
      </c>
      <c r="AD170" s="249"/>
      <c r="AE170" s="248"/>
      <c r="AF170" s="251"/>
      <c r="AG170" s="251"/>
      <c r="AH170" s="249"/>
      <c r="AI170" s="248"/>
      <c r="AJ170" s="251"/>
      <c r="AK170" s="248"/>
      <c r="AL170" s="249"/>
      <c r="AM170" s="248"/>
      <c r="AN170" s="248"/>
      <c r="AO170" s="248"/>
      <c r="AP170" s="248"/>
      <c r="AQ170" s="248"/>
      <c r="AR170" s="248"/>
      <c r="AS170" s="248"/>
      <c r="AT170" s="249"/>
      <c r="AU170" s="248"/>
      <c r="AV170" s="248"/>
      <c r="AW170" s="248"/>
      <c r="AX170" s="249"/>
      <c r="AY170" s="248"/>
      <c r="AZ170" s="248"/>
      <c r="BA170" s="248"/>
      <c r="BB170" s="248">
        <f t="shared" si="10"/>
        <v>10000</v>
      </c>
      <c r="BC170" s="248">
        <f t="shared" si="8"/>
        <v>10000</v>
      </c>
    </row>
    <row r="171" spans="2:55" s="39" customFormat="1" ht="23.25" customHeight="1">
      <c r="B171" s="22">
        <f t="shared" si="11"/>
        <v>155</v>
      </c>
      <c r="C171" s="22" t="s">
        <v>39</v>
      </c>
      <c r="D171" s="23">
        <v>30379328</v>
      </c>
      <c r="E171" s="48" t="s">
        <v>875</v>
      </c>
      <c r="F171" s="48" t="s">
        <v>317</v>
      </c>
      <c r="G171" s="26" t="s">
        <v>683</v>
      </c>
      <c r="H171" s="48" t="s">
        <v>684</v>
      </c>
      <c r="I171" s="25" t="s">
        <v>44</v>
      </c>
      <c r="J171" s="247">
        <v>3442349</v>
      </c>
      <c r="K171" s="247">
        <v>2498837</v>
      </c>
      <c r="L171" s="247">
        <f t="shared" si="9"/>
        <v>943512</v>
      </c>
      <c r="M171" s="248"/>
      <c r="N171" s="248"/>
      <c r="O171" s="248"/>
      <c r="P171" s="248"/>
      <c r="Q171" s="248"/>
      <c r="R171" s="248"/>
      <c r="S171" s="248">
        <v>0</v>
      </c>
      <c r="T171" s="248">
        <v>0</v>
      </c>
      <c r="U171" s="248">
        <v>0</v>
      </c>
      <c r="V171" s="248"/>
      <c r="W171" s="248"/>
      <c r="X171" s="248"/>
      <c r="Y171" s="248">
        <v>0</v>
      </c>
      <c r="Z171" s="249">
        <v>618382</v>
      </c>
      <c r="AA171" s="250">
        <v>13</v>
      </c>
      <c r="AB171" s="251">
        <v>44231</v>
      </c>
      <c r="AC171" s="252">
        <v>44251</v>
      </c>
      <c r="AD171" s="249">
        <v>-200000</v>
      </c>
      <c r="AE171" s="248">
        <v>84</v>
      </c>
      <c r="AF171" s="251">
        <v>44431</v>
      </c>
      <c r="AG171" s="251">
        <v>44433</v>
      </c>
      <c r="AH171" s="249"/>
      <c r="AI171" s="248"/>
      <c r="AJ171" s="251"/>
      <c r="AK171" s="248"/>
      <c r="AL171" s="249"/>
      <c r="AM171" s="248"/>
      <c r="AN171" s="248"/>
      <c r="AO171" s="248"/>
      <c r="AP171" s="248"/>
      <c r="AQ171" s="248"/>
      <c r="AR171" s="248"/>
      <c r="AS171" s="248"/>
      <c r="AT171" s="249"/>
      <c r="AU171" s="248"/>
      <c r="AV171" s="248"/>
      <c r="AW171" s="248"/>
      <c r="AX171" s="249"/>
      <c r="AY171" s="248"/>
      <c r="AZ171" s="248"/>
      <c r="BA171" s="248"/>
      <c r="BB171" s="248">
        <f t="shared" si="10"/>
        <v>418382</v>
      </c>
      <c r="BC171" s="248">
        <f t="shared" si="8"/>
        <v>418382</v>
      </c>
    </row>
    <row r="172" spans="2:55" s="39" customFormat="1" ht="23.25" customHeight="1">
      <c r="B172" s="22">
        <f t="shared" si="11"/>
        <v>156</v>
      </c>
      <c r="C172" s="22" t="s">
        <v>39</v>
      </c>
      <c r="D172" s="23">
        <v>30470587</v>
      </c>
      <c r="E172" s="48" t="s">
        <v>876</v>
      </c>
      <c r="F172" s="48" t="s">
        <v>317</v>
      </c>
      <c r="G172" s="26" t="s">
        <v>683</v>
      </c>
      <c r="H172" s="48" t="s">
        <v>686</v>
      </c>
      <c r="I172" s="25" t="s">
        <v>52</v>
      </c>
      <c r="J172" s="247">
        <v>1129340</v>
      </c>
      <c r="K172" s="247"/>
      <c r="L172" s="247">
        <f t="shared" si="9"/>
        <v>1129340</v>
      </c>
      <c r="M172" s="248"/>
      <c r="N172" s="248"/>
      <c r="O172" s="248"/>
      <c r="P172" s="248"/>
      <c r="Q172" s="248"/>
      <c r="R172" s="248"/>
      <c r="S172" s="248">
        <v>0</v>
      </c>
      <c r="T172" s="248">
        <v>0</v>
      </c>
      <c r="U172" s="248">
        <v>0</v>
      </c>
      <c r="V172" s="248"/>
      <c r="W172" s="248"/>
      <c r="X172" s="248"/>
      <c r="Y172" s="248">
        <v>0</v>
      </c>
      <c r="Z172" s="249">
        <v>291812</v>
      </c>
      <c r="AA172" s="250">
        <v>13</v>
      </c>
      <c r="AB172" s="251">
        <v>44231</v>
      </c>
      <c r="AC172" s="252">
        <v>44251</v>
      </c>
      <c r="AD172" s="249"/>
      <c r="AE172" s="248"/>
      <c r="AF172" s="251"/>
      <c r="AG172" s="251"/>
      <c r="AH172" s="249"/>
      <c r="AI172" s="248"/>
      <c r="AJ172" s="251"/>
      <c r="AK172" s="248"/>
      <c r="AL172" s="249"/>
      <c r="AM172" s="248"/>
      <c r="AN172" s="248"/>
      <c r="AO172" s="248"/>
      <c r="AP172" s="248"/>
      <c r="AQ172" s="248"/>
      <c r="AR172" s="248"/>
      <c r="AS172" s="248"/>
      <c r="AT172" s="249"/>
      <c r="AU172" s="248"/>
      <c r="AV172" s="248"/>
      <c r="AW172" s="248"/>
      <c r="AX172" s="249"/>
      <c r="AY172" s="248"/>
      <c r="AZ172" s="248"/>
      <c r="BA172" s="248"/>
      <c r="BB172" s="248">
        <f t="shared" si="10"/>
        <v>291812</v>
      </c>
      <c r="BC172" s="248">
        <f t="shared" si="8"/>
        <v>291812</v>
      </c>
    </row>
    <row r="173" spans="2:55" s="39" customFormat="1" ht="23.25" customHeight="1">
      <c r="B173" s="22">
        <f t="shared" si="11"/>
        <v>157</v>
      </c>
      <c r="C173" s="22" t="s">
        <v>39</v>
      </c>
      <c r="D173" s="23">
        <v>30105536</v>
      </c>
      <c r="E173" s="48" t="s">
        <v>877</v>
      </c>
      <c r="F173" s="48" t="s">
        <v>317</v>
      </c>
      <c r="G173" s="26" t="s">
        <v>683</v>
      </c>
      <c r="H173" s="48" t="s">
        <v>683</v>
      </c>
      <c r="I173" s="25" t="s">
        <v>44</v>
      </c>
      <c r="J173" s="247">
        <v>1864970</v>
      </c>
      <c r="K173" s="247">
        <v>1716490</v>
      </c>
      <c r="L173" s="247">
        <f t="shared" si="9"/>
        <v>148480</v>
      </c>
      <c r="M173" s="248"/>
      <c r="N173" s="248"/>
      <c r="O173" s="248"/>
      <c r="P173" s="248"/>
      <c r="Q173" s="248"/>
      <c r="R173" s="248"/>
      <c r="S173" s="248">
        <v>0</v>
      </c>
      <c r="T173" s="248">
        <v>0</v>
      </c>
      <c r="U173" s="248">
        <v>0</v>
      </c>
      <c r="V173" s="248"/>
      <c r="W173" s="248"/>
      <c r="X173" s="248"/>
      <c r="Y173" s="248">
        <v>0</v>
      </c>
      <c r="Z173" s="249">
        <v>148480</v>
      </c>
      <c r="AA173" s="250">
        <v>13</v>
      </c>
      <c r="AB173" s="251">
        <v>44231</v>
      </c>
      <c r="AC173" s="252">
        <v>44251</v>
      </c>
      <c r="AD173" s="249"/>
      <c r="AE173" s="248"/>
      <c r="AF173" s="251"/>
      <c r="AG173" s="251"/>
      <c r="AH173" s="249"/>
      <c r="AI173" s="248"/>
      <c r="AJ173" s="251"/>
      <c r="AK173" s="248"/>
      <c r="AL173" s="249"/>
      <c r="AM173" s="248"/>
      <c r="AN173" s="248"/>
      <c r="AO173" s="248"/>
      <c r="AP173" s="248"/>
      <c r="AQ173" s="248"/>
      <c r="AR173" s="248"/>
      <c r="AS173" s="248"/>
      <c r="AT173" s="249"/>
      <c r="AU173" s="248"/>
      <c r="AV173" s="248"/>
      <c r="AW173" s="248"/>
      <c r="AX173" s="249"/>
      <c r="AY173" s="248"/>
      <c r="AZ173" s="248"/>
      <c r="BA173" s="248"/>
      <c r="BB173" s="248">
        <f t="shared" si="10"/>
        <v>148480</v>
      </c>
      <c r="BC173" s="248">
        <f t="shared" si="8"/>
        <v>148480</v>
      </c>
    </row>
    <row r="174" spans="2:55" s="39" customFormat="1" ht="23.25" customHeight="1">
      <c r="B174" s="22">
        <f t="shared" si="11"/>
        <v>158</v>
      </c>
      <c r="C174" s="22" t="s">
        <v>39</v>
      </c>
      <c r="D174" s="23">
        <v>30132830</v>
      </c>
      <c r="E174" s="48" t="s">
        <v>878</v>
      </c>
      <c r="F174" s="48" t="s">
        <v>317</v>
      </c>
      <c r="G174" s="26" t="s">
        <v>683</v>
      </c>
      <c r="H174" s="48" t="s">
        <v>695</v>
      </c>
      <c r="I174" s="25" t="s">
        <v>44</v>
      </c>
      <c r="J174" s="247">
        <v>624505</v>
      </c>
      <c r="K174" s="247">
        <v>459705</v>
      </c>
      <c r="L174" s="247">
        <f t="shared" si="9"/>
        <v>164800</v>
      </c>
      <c r="M174" s="248"/>
      <c r="N174" s="248"/>
      <c r="O174" s="248"/>
      <c r="P174" s="248"/>
      <c r="Q174" s="248"/>
      <c r="R174" s="248"/>
      <c r="S174" s="248">
        <v>0</v>
      </c>
      <c r="T174" s="248">
        <v>0</v>
      </c>
      <c r="U174" s="248">
        <v>0</v>
      </c>
      <c r="V174" s="248"/>
      <c r="W174" s="248"/>
      <c r="X174" s="248"/>
      <c r="Y174" s="248">
        <v>0</v>
      </c>
      <c r="Z174" s="249">
        <v>164800</v>
      </c>
      <c r="AA174" s="250">
        <v>13</v>
      </c>
      <c r="AB174" s="251">
        <v>44231</v>
      </c>
      <c r="AC174" s="252">
        <v>44251</v>
      </c>
      <c r="AD174" s="249"/>
      <c r="AE174" s="248"/>
      <c r="AF174" s="251"/>
      <c r="AG174" s="251"/>
      <c r="AH174" s="249"/>
      <c r="AI174" s="248"/>
      <c r="AJ174" s="251"/>
      <c r="AK174" s="248"/>
      <c r="AL174" s="249"/>
      <c r="AM174" s="248"/>
      <c r="AN174" s="248"/>
      <c r="AO174" s="248"/>
      <c r="AP174" s="248"/>
      <c r="AQ174" s="248"/>
      <c r="AR174" s="248"/>
      <c r="AS174" s="248"/>
      <c r="AT174" s="249"/>
      <c r="AU174" s="248"/>
      <c r="AV174" s="248"/>
      <c r="AW174" s="248"/>
      <c r="AX174" s="249"/>
      <c r="AY174" s="248"/>
      <c r="AZ174" s="248"/>
      <c r="BA174" s="248"/>
      <c r="BB174" s="248">
        <f t="shared" si="10"/>
        <v>164800</v>
      </c>
      <c r="BC174" s="248">
        <f t="shared" si="8"/>
        <v>164800</v>
      </c>
    </row>
    <row r="175" spans="2:55" s="39" customFormat="1" ht="23.25" customHeight="1">
      <c r="B175" s="22">
        <f t="shared" si="11"/>
        <v>159</v>
      </c>
      <c r="C175" s="22" t="s">
        <v>39</v>
      </c>
      <c r="D175" s="23">
        <v>30443027</v>
      </c>
      <c r="E175" s="48" t="s">
        <v>879</v>
      </c>
      <c r="F175" s="48" t="s">
        <v>700</v>
      </c>
      <c r="G175" s="26" t="s">
        <v>683</v>
      </c>
      <c r="H175" s="48" t="s">
        <v>683</v>
      </c>
      <c r="I175" s="25" t="s">
        <v>44</v>
      </c>
      <c r="J175" s="247">
        <v>180356</v>
      </c>
      <c r="K175" s="247">
        <v>91304</v>
      </c>
      <c r="L175" s="247">
        <f t="shared" si="9"/>
        <v>89052</v>
      </c>
      <c r="M175" s="248"/>
      <c r="N175" s="248"/>
      <c r="O175" s="248"/>
      <c r="P175" s="248"/>
      <c r="Q175" s="248"/>
      <c r="R175" s="248"/>
      <c r="S175" s="248">
        <v>0</v>
      </c>
      <c r="T175" s="248">
        <v>0</v>
      </c>
      <c r="U175" s="248">
        <v>0</v>
      </c>
      <c r="V175" s="248"/>
      <c r="W175" s="248"/>
      <c r="X175" s="248"/>
      <c r="Y175" s="248">
        <v>0</v>
      </c>
      <c r="Z175" s="249">
        <v>89052</v>
      </c>
      <c r="AA175" s="250">
        <v>13</v>
      </c>
      <c r="AB175" s="251">
        <v>44231</v>
      </c>
      <c r="AC175" s="252">
        <v>44251</v>
      </c>
      <c r="AD175" s="249"/>
      <c r="AE175" s="248"/>
      <c r="AF175" s="251"/>
      <c r="AG175" s="251"/>
      <c r="AH175" s="249"/>
      <c r="AI175" s="248"/>
      <c r="AJ175" s="251"/>
      <c r="AK175" s="248"/>
      <c r="AL175" s="249"/>
      <c r="AM175" s="248"/>
      <c r="AN175" s="248"/>
      <c r="AO175" s="248"/>
      <c r="AP175" s="248"/>
      <c r="AQ175" s="248"/>
      <c r="AR175" s="248"/>
      <c r="AS175" s="248"/>
      <c r="AT175" s="249"/>
      <c r="AU175" s="248"/>
      <c r="AV175" s="248"/>
      <c r="AW175" s="248"/>
      <c r="AX175" s="249"/>
      <c r="AY175" s="248"/>
      <c r="AZ175" s="248"/>
      <c r="BA175" s="248"/>
      <c r="BB175" s="248">
        <f t="shared" si="10"/>
        <v>89052</v>
      </c>
      <c r="BC175" s="248">
        <f t="shared" si="8"/>
        <v>89052</v>
      </c>
    </row>
    <row r="176" spans="2:55" s="39" customFormat="1" ht="23.25" customHeight="1">
      <c r="B176" s="22">
        <f t="shared" si="11"/>
        <v>160</v>
      </c>
      <c r="C176" s="22" t="s">
        <v>39</v>
      </c>
      <c r="D176" s="23">
        <v>30452522</v>
      </c>
      <c r="E176" s="48" t="s">
        <v>880</v>
      </c>
      <c r="F176" s="48" t="s">
        <v>317</v>
      </c>
      <c r="G176" s="26" t="s">
        <v>683</v>
      </c>
      <c r="H176" s="48" t="s">
        <v>753</v>
      </c>
      <c r="I176" s="25" t="s">
        <v>44</v>
      </c>
      <c r="J176" s="247">
        <v>565183</v>
      </c>
      <c r="K176" s="247">
        <v>489208</v>
      </c>
      <c r="L176" s="247">
        <f t="shared" si="9"/>
        <v>75975</v>
      </c>
      <c r="M176" s="248"/>
      <c r="N176" s="248"/>
      <c r="O176" s="248"/>
      <c r="P176" s="248">
        <v>1693.068</v>
      </c>
      <c r="Q176" s="248">
        <v>71241.539999999994</v>
      </c>
      <c r="R176" s="248">
        <v>0</v>
      </c>
      <c r="S176" s="248">
        <v>0</v>
      </c>
      <c r="T176" s="248">
        <v>0</v>
      </c>
      <c r="U176" s="248">
        <v>0</v>
      </c>
      <c r="V176" s="248"/>
      <c r="W176" s="248"/>
      <c r="X176" s="248"/>
      <c r="Y176" s="248">
        <v>72934.607999999993</v>
      </c>
      <c r="Z176" s="249">
        <v>65483</v>
      </c>
      <c r="AA176" s="250">
        <v>13</v>
      </c>
      <c r="AB176" s="251">
        <v>44231</v>
      </c>
      <c r="AC176" s="252">
        <v>44251</v>
      </c>
      <c r="AD176" s="249">
        <v>10492</v>
      </c>
      <c r="AE176" s="248">
        <v>28</v>
      </c>
      <c r="AF176" s="251">
        <v>44295</v>
      </c>
      <c r="AG176" s="252">
        <v>44301</v>
      </c>
      <c r="AH176" s="249"/>
      <c r="AI176" s="248"/>
      <c r="AJ176" s="251"/>
      <c r="AK176" s="248"/>
      <c r="AL176" s="249"/>
      <c r="AM176" s="248"/>
      <c r="AN176" s="248"/>
      <c r="AO176" s="248"/>
      <c r="AP176" s="248"/>
      <c r="AQ176" s="248"/>
      <c r="AR176" s="248"/>
      <c r="AS176" s="248"/>
      <c r="AT176" s="249"/>
      <c r="AU176" s="248"/>
      <c r="AV176" s="248"/>
      <c r="AW176" s="248"/>
      <c r="AX176" s="249"/>
      <c r="AY176" s="248"/>
      <c r="AZ176" s="248"/>
      <c r="BA176" s="248"/>
      <c r="BB176" s="248">
        <f t="shared" si="10"/>
        <v>75975</v>
      </c>
      <c r="BC176" s="248">
        <f t="shared" si="8"/>
        <v>3040.3920000000071</v>
      </c>
    </row>
    <row r="177" spans="2:55" s="39" customFormat="1" ht="23.25" customHeight="1">
      <c r="B177" s="22">
        <f t="shared" si="11"/>
        <v>161</v>
      </c>
      <c r="C177" s="22" t="s">
        <v>39</v>
      </c>
      <c r="D177" s="23">
        <v>40003446</v>
      </c>
      <c r="E177" s="48" t="s">
        <v>881</v>
      </c>
      <c r="F177" s="48" t="s">
        <v>317</v>
      </c>
      <c r="G177" s="26" t="s">
        <v>683</v>
      </c>
      <c r="H177" s="48" t="s">
        <v>683</v>
      </c>
      <c r="I177" s="25" t="s">
        <v>52</v>
      </c>
      <c r="J177" s="247">
        <v>392550</v>
      </c>
      <c r="K177" s="247"/>
      <c r="L177" s="247">
        <f t="shared" si="9"/>
        <v>392550</v>
      </c>
      <c r="M177" s="248"/>
      <c r="N177" s="248"/>
      <c r="O177" s="248"/>
      <c r="P177" s="248"/>
      <c r="Q177" s="248"/>
      <c r="R177" s="248"/>
      <c r="S177" s="248">
        <v>0</v>
      </c>
      <c r="T177" s="248">
        <v>0</v>
      </c>
      <c r="U177" s="248">
        <v>0</v>
      </c>
      <c r="V177" s="248"/>
      <c r="W177" s="248"/>
      <c r="X177" s="248"/>
      <c r="Y177" s="248">
        <v>0</v>
      </c>
      <c r="Z177" s="249">
        <v>3</v>
      </c>
      <c r="AA177" s="250">
        <v>13</v>
      </c>
      <c r="AB177" s="251">
        <v>44231</v>
      </c>
      <c r="AC177" s="252">
        <v>44251</v>
      </c>
      <c r="AD177" s="249"/>
      <c r="AE177" s="248"/>
      <c r="AF177" s="251"/>
      <c r="AG177" s="251"/>
      <c r="AH177" s="249"/>
      <c r="AI177" s="248"/>
      <c r="AJ177" s="251"/>
      <c r="AK177" s="248"/>
      <c r="AL177" s="249"/>
      <c r="AM177" s="248"/>
      <c r="AN177" s="248"/>
      <c r="AO177" s="248"/>
      <c r="AP177" s="248"/>
      <c r="AQ177" s="248"/>
      <c r="AR177" s="248"/>
      <c r="AS177" s="248"/>
      <c r="AT177" s="249"/>
      <c r="AU177" s="248"/>
      <c r="AV177" s="248"/>
      <c r="AW177" s="248"/>
      <c r="AX177" s="249"/>
      <c r="AY177" s="248"/>
      <c r="AZ177" s="248"/>
      <c r="BA177" s="248"/>
      <c r="BB177" s="248">
        <f t="shared" si="10"/>
        <v>3</v>
      </c>
      <c r="BC177" s="248">
        <f t="shared" si="8"/>
        <v>3</v>
      </c>
    </row>
    <row r="178" spans="2:55" s="39" customFormat="1" ht="23.25" customHeight="1">
      <c r="B178" s="22">
        <f t="shared" si="11"/>
        <v>162</v>
      </c>
      <c r="C178" s="22" t="s">
        <v>39</v>
      </c>
      <c r="D178" s="23">
        <v>40004286</v>
      </c>
      <c r="E178" s="48" t="s">
        <v>882</v>
      </c>
      <c r="F178" s="48" t="s">
        <v>700</v>
      </c>
      <c r="G178" s="26" t="s">
        <v>683</v>
      </c>
      <c r="H178" s="48" t="s">
        <v>807</v>
      </c>
      <c r="I178" s="25" t="s">
        <v>44</v>
      </c>
      <c r="J178" s="247">
        <v>23917</v>
      </c>
      <c r="K178" s="247">
        <v>7053</v>
      </c>
      <c r="L178" s="247">
        <f t="shared" si="9"/>
        <v>16864</v>
      </c>
      <c r="M178" s="248"/>
      <c r="N178" s="248"/>
      <c r="O178" s="248"/>
      <c r="P178" s="248"/>
      <c r="Q178" s="248"/>
      <c r="R178" s="248"/>
      <c r="S178" s="248">
        <v>0</v>
      </c>
      <c r="T178" s="248">
        <v>0</v>
      </c>
      <c r="U178" s="248">
        <v>0</v>
      </c>
      <c r="V178" s="248"/>
      <c r="W178" s="248"/>
      <c r="X178" s="248"/>
      <c r="Y178" s="248">
        <v>0</v>
      </c>
      <c r="Z178" s="249">
        <v>16864</v>
      </c>
      <c r="AA178" s="250">
        <v>13</v>
      </c>
      <c r="AB178" s="251">
        <v>44231</v>
      </c>
      <c r="AC178" s="252">
        <v>44251</v>
      </c>
      <c r="AD178" s="249"/>
      <c r="AE178" s="248"/>
      <c r="AF178" s="251"/>
      <c r="AG178" s="251"/>
      <c r="AH178" s="249"/>
      <c r="AI178" s="248"/>
      <c r="AJ178" s="251"/>
      <c r="AK178" s="248"/>
      <c r="AL178" s="249"/>
      <c r="AM178" s="248"/>
      <c r="AN178" s="248"/>
      <c r="AO178" s="248"/>
      <c r="AP178" s="248"/>
      <c r="AQ178" s="248"/>
      <c r="AR178" s="248"/>
      <c r="AS178" s="248"/>
      <c r="AT178" s="249"/>
      <c r="AU178" s="248"/>
      <c r="AV178" s="248"/>
      <c r="AW178" s="248"/>
      <c r="AX178" s="249"/>
      <c r="AY178" s="248"/>
      <c r="AZ178" s="248"/>
      <c r="BA178" s="248"/>
      <c r="BB178" s="248">
        <f t="shared" si="10"/>
        <v>16864</v>
      </c>
      <c r="BC178" s="248">
        <f t="shared" si="8"/>
        <v>16864</v>
      </c>
    </row>
    <row r="179" spans="2:55" s="39" customFormat="1" ht="23.25" customHeight="1">
      <c r="B179" s="22">
        <f t="shared" si="11"/>
        <v>163</v>
      </c>
      <c r="C179" s="22" t="s">
        <v>39</v>
      </c>
      <c r="D179" s="23">
        <v>30470837</v>
      </c>
      <c r="E179" s="48" t="s">
        <v>883</v>
      </c>
      <c r="F179" s="48" t="s">
        <v>700</v>
      </c>
      <c r="G179" s="26" t="s">
        <v>683</v>
      </c>
      <c r="H179" s="48" t="s">
        <v>701</v>
      </c>
      <c r="I179" s="25" t="s">
        <v>44</v>
      </c>
      <c r="J179" s="247">
        <v>80144</v>
      </c>
      <c r="K179" s="247">
        <v>49286</v>
      </c>
      <c r="L179" s="247">
        <f t="shared" si="9"/>
        <v>30858</v>
      </c>
      <c r="M179" s="248"/>
      <c r="N179" s="248"/>
      <c r="O179" s="248">
        <v>23142.78</v>
      </c>
      <c r="P179" s="248">
        <v>0</v>
      </c>
      <c r="Q179" s="248">
        <v>0</v>
      </c>
      <c r="R179" s="248">
        <v>0</v>
      </c>
      <c r="S179" s="248">
        <v>0</v>
      </c>
      <c r="T179" s="248">
        <v>0</v>
      </c>
      <c r="U179" s="248">
        <v>0</v>
      </c>
      <c r="V179" s="248"/>
      <c r="W179" s="248"/>
      <c r="X179" s="248"/>
      <c r="Y179" s="248">
        <v>23142.78</v>
      </c>
      <c r="Z179" s="249">
        <v>30858</v>
      </c>
      <c r="AA179" s="250">
        <v>13</v>
      </c>
      <c r="AB179" s="251">
        <v>44231</v>
      </c>
      <c r="AC179" s="252">
        <v>44251</v>
      </c>
      <c r="AD179" s="249"/>
      <c r="AE179" s="248"/>
      <c r="AF179" s="251"/>
      <c r="AG179" s="251"/>
      <c r="AH179" s="249"/>
      <c r="AI179" s="248"/>
      <c r="AJ179" s="251"/>
      <c r="AK179" s="248"/>
      <c r="AL179" s="249"/>
      <c r="AM179" s="248"/>
      <c r="AN179" s="248"/>
      <c r="AO179" s="248"/>
      <c r="AP179" s="248"/>
      <c r="AQ179" s="248"/>
      <c r="AR179" s="248"/>
      <c r="AS179" s="248"/>
      <c r="AT179" s="249"/>
      <c r="AU179" s="248"/>
      <c r="AV179" s="248"/>
      <c r="AW179" s="248"/>
      <c r="AX179" s="249"/>
      <c r="AY179" s="248"/>
      <c r="AZ179" s="248"/>
      <c r="BA179" s="248"/>
      <c r="BB179" s="248">
        <f t="shared" si="10"/>
        <v>30858</v>
      </c>
      <c r="BC179" s="248">
        <f t="shared" si="8"/>
        <v>7715.2200000000012</v>
      </c>
    </row>
    <row r="180" spans="2:55" s="39" customFormat="1" ht="23.25" customHeight="1">
      <c r="B180" s="22">
        <f t="shared" si="11"/>
        <v>164</v>
      </c>
      <c r="C180" s="22" t="s">
        <v>39</v>
      </c>
      <c r="D180" s="23">
        <v>30477886</v>
      </c>
      <c r="E180" s="48" t="s">
        <v>884</v>
      </c>
      <c r="F180" s="48" t="s">
        <v>317</v>
      </c>
      <c r="G180" s="26" t="s">
        <v>683</v>
      </c>
      <c r="H180" s="48" t="s">
        <v>756</v>
      </c>
      <c r="I180" s="25" t="s">
        <v>44</v>
      </c>
      <c r="J180" s="247">
        <v>790808</v>
      </c>
      <c r="K180" s="247">
        <v>744765</v>
      </c>
      <c r="L180" s="247">
        <f t="shared" si="9"/>
        <v>46043</v>
      </c>
      <c r="M180" s="248"/>
      <c r="N180" s="248">
        <v>2472</v>
      </c>
      <c r="O180" s="248"/>
      <c r="P180" s="248">
        <v>1236</v>
      </c>
      <c r="Q180" s="248">
        <v>0</v>
      </c>
      <c r="R180" s="248">
        <v>0</v>
      </c>
      <c r="S180" s="248">
        <v>0</v>
      </c>
      <c r="T180" s="248">
        <v>0</v>
      </c>
      <c r="U180" s="248">
        <v>0</v>
      </c>
      <c r="V180" s="248"/>
      <c r="W180" s="248"/>
      <c r="X180" s="248"/>
      <c r="Y180" s="248">
        <v>3708</v>
      </c>
      <c r="Z180" s="249">
        <v>3552</v>
      </c>
      <c r="AA180" s="250">
        <v>13</v>
      </c>
      <c r="AB180" s="251">
        <v>44231</v>
      </c>
      <c r="AC180" s="252">
        <v>44251</v>
      </c>
      <c r="AD180" s="249">
        <v>1236</v>
      </c>
      <c r="AE180" s="248">
        <v>33</v>
      </c>
      <c r="AF180" s="251">
        <v>44307</v>
      </c>
      <c r="AG180" s="252">
        <v>44327</v>
      </c>
      <c r="AH180" s="249"/>
      <c r="AI180" s="248"/>
      <c r="AJ180" s="251"/>
      <c r="AK180" s="248"/>
      <c r="AL180" s="249"/>
      <c r="AM180" s="248"/>
      <c r="AN180" s="248"/>
      <c r="AO180" s="248"/>
      <c r="AP180" s="248"/>
      <c r="AQ180" s="248"/>
      <c r="AR180" s="248"/>
      <c r="AS180" s="248"/>
      <c r="AT180" s="249"/>
      <c r="AU180" s="248"/>
      <c r="AV180" s="248"/>
      <c r="AW180" s="248"/>
      <c r="AX180" s="249"/>
      <c r="AY180" s="248"/>
      <c r="AZ180" s="248"/>
      <c r="BA180" s="248"/>
      <c r="BB180" s="248">
        <f t="shared" si="10"/>
        <v>4788</v>
      </c>
      <c r="BC180" s="248">
        <f t="shared" si="8"/>
        <v>1080</v>
      </c>
    </row>
    <row r="181" spans="2:55" s="39" customFormat="1" ht="23.25" customHeight="1">
      <c r="B181" s="22">
        <f t="shared" si="11"/>
        <v>165</v>
      </c>
      <c r="C181" s="22" t="s">
        <v>39</v>
      </c>
      <c r="D181" s="23">
        <v>30128029</v>
      </c>
      <c r="E181" s="48" t="s">
        <v>885</v>
      </c>
      <c r="F181" s="48" t="s">
        <v>317</v>
      </c>
      <c r="G181" s="26" t="s">
        <v>683</v>
      </c>
      <c r="H181" s="48" t="s">
        <v>683</v>
      </c>
      <c r="I181" s="25" t="s">
        <v>52</v>
      </c>
      <c r="J181" s="247">
        <v>115602</v>
      </c>
      <c r="K181" s="247"/>
      <c r="L181" s="247">
        <f t="shared" si="9"/>
        <v>115602</v>
      </c>
      <c r="M181" s="248"/>
      <c r="N181" s="248">
        <v>33907.866000000002</v>
      </c>
      <c r="O181" s="248">
        <v>31455.472000000002</v>
      </c>
      <c r="P181" s="248">
        <v>20408.712</v>
      </c>
      <c r="Q181" s="248">
        <v>0</v>
      </c>
      <c r="R181" s="248">
        <v>0</v>
      </c>
      <c r="S181" s="248">
        <v>0</v>
      </c>
      <c r="T181" s="248">
        <v>0</v>
      </c>
      <c r="U181" s="248">
        <v>0</v>
      </c>
      <c r="V181" s="248"/>
      <c r="W181" s="248"/>
      <c r="X181" s="248"/>
      <c r="Y181" s="248">
        <v>85772.05</v>
      </c>
      <c r="Z181" s="249">
        <v>115602</v>
      </c>
      <c r="AA181" s="250">
        <v>13</v>
      </c>
      <c r="AB181" s="251">
        <v>44231</v>
      </c>
      <c r="AC181" s="252">
        <v>44251</v>
      </c>
      <c r="AD181" s="249"/>
      <c r="AE181" s="248"/>
      <c r="AF181" s="251"/>
      <c r="AG181" s="251"/>
      <c r="AH181" s="249"/>
      <c r="AI181" s="248"/>
      <c r="AJ181" s="251"/>
      <c r="AK181" s="248"/>
      <c r="AL181" s="249"/>
      <c r="AM181" s="248"/>
      <c r="AN181" s="248"/>
      <c r="AO181" s="248"/>
      <c r="AP181" s="248"/>
      <c r="AQ181" s="248"/>
      <c r="AR181" s="248"/>
      <c r="AS181" s="248"/>
      <c r="AT181" s="249"/>
      <c r="AU181" s="248"/>
      <c r="AV181" s="248"/>
      <c r="AW181" s="248"/>
      <c r="AX181" s="249"/>
      <c r="AY181" s="248"/>
      <c r="AZ181" s="248"/>
      <c r="BA181" s="248"/>
      <c r="BB181" s="248">
        <f t="shared" si="10"/>
        <v>115602</v>
      </c>
      <c r="BC181" s="248">
        <f t="shared" si="8"/>
        <v>29829.949999999997</v>
      </c>
    </row>
    <row r="182" spans="2:55" s="39" customFormat="1" ht="23.25" customHeight="1">
      <c r="B182" s="22">
        <f t="shared" si="11"/>
        <v>166</v>
      </c>
      <c r="C182" s="22" t="s">
        <v>39</v>
      </c>
      <c r="D182" s="23">
        <v>30369025</v>
      </c>
      <c r="E182" s="48" t="s">
        <v>886</v>
      </c>
      <c r="F182" s="48" t="s">
        <v>700</v>
      </c>
      <c r="G182" s="26" t="s">
        <v>683</v>
      </c>
      <c r="H182" s="48" t="s">
        <v>686</v>
      </c>
      <c r="I182" s="25" t="s">
        <v>52</v>
      </c>
      <c r="J182" s="247">
        <v>40946</v>
      </c>
      <c r="K182" s="247"/>
      <c r="L182" s="247">
        <f t="shared" si="9"/>
        <v>40946</v>
      </c>
      <c r="M182" s="248"/>
      <c r="N182" s="248"/>
      <c r="O182" s="248"/>
      <c r="P182" s="248"/>
      <c r="Q182" s="248"/>
      <c r="R182" s="248"/>
      <c r="S182" s="248">
        <v>0</v>
      </c>
      <c r="T182" s="248">
        <v>0</v>
      </c>
      <c r="U182" s="248">
        <v>0</v>
      </c>
      <c r="V182" s="248"/>
      <c r="W182" s="248"/>
      <c r="X182" s="248"/>
      <c r="Y182" s="248">
        <v>0</v>
      </c>
      <c r="Z182" s="249">
        <v>2</v>
      </c>
      <c r="AA182" s="250">
        <v>13</v>
      </c>
      <c r="AB182" s="251">
        <v>44231</v>
      </c>
      <c r="AC182" s="252">
        <v>44251</v>
      </c>
      <c r="AD182" s="249"/>
      <c r="AE182" s="248"/>
      <c r="AF182" s="251"/>
      <c r="AG182" s="251"/>
      <c r="AH182" s="249"/>
      <c r="AI182" s="248"/>
      <c r="AJ182" s="251"/>
      <c r="AK182" s="248"/>
      <c r="AL182" s="249"/>
      <c r="AM182" s="248"/>
      <c r="AN182" s="248"/>
      <c r="AO182" s="248"/>
      <c r="AP182" s="248"/>
      <c r="AQ182" s="248"/>
      <c r="AR182" s="248"/>
      <c r="AS182" s="248"/>
      <c r="AT182" s="249"/>
      <c r="AU182" s="248"/>
      <c r="AV182" s="248"/>
      <c r="AW182" s="248"/>
      <c r="AX182" s="249"/>
      <c r="AY182" s="248"/>
      <c r="AZ182" s="248"/>
      <c r="BA182" s="248"/>
      <c r="BB182" s="248">
        <f t="shared" si="10"/>
        <v>2</v>
      </c>
      <c r="BC182" s="248">
        <f t="shared" si="8"/>
        <v>2</v>
      </c>
    </row>
    <row r="183" spans="2:55" s="39" customFormat="1" ht="23.25" customHeight="1">
      <c r="B183" s="22">
        <f t="shared" si="11"/>
        <v>167</v>
      </c>
      <c r="C183" s="22" t="s">
        <v>39</v>
      </c>
      <c r="D183" s="23">
        <v>40005874</v>
      </c>
      <c r="E183" s="48" t="s">
        <v>887</v>
      </c>
      <c r="F183" s="48" t="s">
        <v>317</v>
      </c>
      <c r="G183" s="26" t="s">
        <v>683</v>
      </c>
      <c r="H183" s="48" t="s">
        <v>686</v>
      </c>
      <c r="I183" s="25" t="s">
        <v>52</v>
      </c>
      <c r="J183" s="247">
        <v>100507</v>
      </c>
      <c r="K183" s="247"/>
      <c r="L183" s="247">
        <f t="shared" si="9"/>
        <v>100507</v>
      </c>
      <c r="M183" s="248"/>
      <c r="N183" s="248"/>
      <c r="O183" s="248"/>
      <c r="P183" s="248"/>
      <c r="Q183" s="248"/>
      <c r="R183" s="248"/>
      <c r="S183" s="248">
        <v>0</v>
      </c>
      <c r="T183" s="248">
        <v>0</v>
      </c>
      <c r="U183" s="248">
        <v>0</v>
      </c>
      <c r="V183" s="248"/>
      <c r="W183" s="248"/>
      <c r="X183" s="248"/>
      <c r="Y183" s="248">
        <v>0</v>
      </c>
      <c r="Z183" s="249">
        <v>3</v>
      </c>
      <c r="AA183" s="250">
        <v>13</v>
      </c>
      <c r="AB183" s="251">
        <v>44231</v>
      </c>
      <c r="AC183" s="252">
        <v>44251</v>
      </c>
      <c r="AD183" s="249"/>
      <c r="AE183" s="248"/>
      <c r="AF183" s="251"/>
      <c r="AG183" s="251"/>
      <c r="AH183" s="249"/>
      <c r="AI183" s="248"/>
      <c r="AJ183" s="251"/>
      <c r="AK183" s="248"/>
      <c r="AL183" s="249"/>
      <c r="AM183" s="248"/>
      <c r="AN183" s="248"/>
      <c r="AO183" s="248"/>
      <c r="AP183" s="248"/>
      <c r="AQ183" s="248"/>
      <c r="AR183" s="248"/>
      <c r="AS183" s="248"/>
      <c r="AT183" s="249"/>
      <c r="AU183" s="248"/>
      <c r="AV183" s="248"/>
      <c r="AW183" s="248"/>
      <c r="AX183" s="249"/>
      <c r="AY183" s="248"/>
      <c r="AZ183" s="248"/>
      <c r="BA183" s="248"/>
      <c r="BB183" s="248">
        <f t="shared" si="10"/>
        <v>3</v>
      </c>
      <c r="BC183" s="248">
        <f t="shared" si="8"/>
        <v>3</v>
      </c>
    </row>
    <row r="184" spans="2:55" s="39" customFormat="1" ht="23.25" customHeight="1">
      <c r="B184" s="22">
        <f t="shared" si="11"/>
        <v>168</v>
      </c>
      <c r="C184" s="22" t="s">
        <v>39</v>
      </c>
      <c r="D184" s="23">
        <v>30469338</v>
      </c>
      <c r="E184" s="48" t="s">
        <v>888</v>
      </c>
      <c r="F184" s="48" t="s">
        <v>700</v>
      </c>
      <c r="G184" s="26" t="s">
        <v>683</v>
      </c>
      <c r="H184" s="48" t="s">
        <v>695</v>
      </c>
      <c r="I184" s="25" t="s">
        <v>44</v>
      </c>
      <c r="J184" s="247">
        <v>706855</v>
      </c>
      <c r="K184" s="247">
        <v>462420</v>
      </c>
      <c r="L184" s="247">
        <f t="shared" si="9"/>
        <v>244435</v>
      </c>
      <c r="M184" s="248"/>
      <c r="N184" s="248">
        <v>193082.58</v>
      </c>
      <c r="O184" s="248"/>
      <c r="P184" s="248">
        <v>0</v>
      </c>
      <c r="Q184" s="248">
        <v>0</v>
      </c>
      <c r="R184" s="248">
        <v>0</v>
      </c>
      <c r="S184" s="248">
        <v>0</v>
      </c>
      <c r="T184" s="248">
        <v>0</v>
      </c>
      <c r="U184" s="248">
        <v>0</v>
      </c>
      <c r="V184" s="248"/>
      <c r="W184" s="248"/>
      <c r="X184" s="248"/>
      <c r="Y184" s="248">
        <v>193082.58</v>
      </c>
      <c r="Z184" s="249">
        <v>244435</v>
      </c>
      <c r="AA184" s="250">
        <v>13</v>
      </c>
      <c r="AB184" s="251">
        <v>44231</v>
      </c>
      <c r="AC184" s="252">
        <v>44251</v>
      </c>
      <c r="AD184" s="249"/>
      <c r="AE184" s="248"/>
      <c r="AF184" s="251"/>
      <c r="AG184" s="251"/>
      <c r="AH184" s="249"/>
      <c r="AI184" s="248"/>
      <c r="AJ184" s="251"/>
      <c r="AK184" s="248"/>
      <c r="AL184" s="249"/>
      <c r="AM184" s="248"/>
      <c r="AN184" s="248"/>
      <c r="AO184" s="248"/>
      <c r="AP184" s="248"/>
      <c r="AQ184" s="248"/>
      <c r="AR184" s="248"/>
      <c r="AS184" s="248"/>
      <c r="AT184" s="249"/>
      <c r="AU184" s="248"/>
      <c r="AV184" s="248"/>
      <c r="AW184" s="248"/>
      <c r="AX184" s="249"/>
      <c r="AY184" s="248"/>
      <c r="AZ184" s="248"/>
      <c r="BA184" s="248"/>
      <c r="BB184" s="248">
        <f t="shared" si="10"/>
        <v>244435</v>
      </c>
      <c r="BC184" s="248">
        <f t="shared" si="8"/>
        <v>51352.420000000013</v>
      </c>
    </row>
    <row r="185" spans="2:55" s="39" customFormat="1" ht="23.25" customHeight="1">
      <c r="B185" s="22">
        <f t="shared" si="11"/>
        <v>169</v>
      </c>
      <c r="C185" s="22" t="s">
        <v>39</v>
      </c>
      <c r="D185" s="23">
        <v>40007482</v>
      </c>
      <c r="E185" s="48" t="s">
        <v>889</v>
      </c>
      <c r="F185" s="48" t="s">
        <v>317</v>
      </c>
      <c r="G185" s="26" t="s">
        <v>683</v>
      </c>
      <c r="H185" s="48" t="s">
        <v>785</v>
      </c>
      <c r="I185" s="25" t="s">
        <v>52</v>
      </c>
      <c r="J185" s="247">
        <v>1859263</v>
      </c>
      <c r="K185" s="247"/>
      <c r="L185" s="247">
        <f t="shared" si="9"/>
        <v>1859263</v>
      </c>
      <c r="M185" s="248"/>
      <c r="N185" s="248"/>
      <c r="O185" s="248"/>
      <c r="P185" s="248"/>
      <c r="Q185" s="248"/>
      <c r="R185" s="248"/>
      <c r="S185" s="248">
        <v>0</v>
      </c>
      <c r="T185" s="248">
        <v>0</v>
      </c>
      <c r="U185" s="248">
        <v>0</v>
      </c>
      <c r="V185" s="248"/>
      <c r="W185" s="248"/>
      <c r="X185" s="248"/>
      <c r="Y185" s="248">
        <v>0</v>
      </c>
      <c r="Z185" s="249">
        <v>3</v>
      </c>
      <c r="AA185" s="250">
        <v>14</v>
      </c>
      <c r="AB185" s="251">
        <v>44232</v>
      </c>
      <c r="AC185" s="252">
        <v>44249</v>
      </c>
      <c r="AD185" s="249"/>
      <c r="AE185" s="248"/>
      <c r="AF185" s="251"/>
      <c r="AG185" s="251"/>
      <c r="AH185" s="249"/>
      <c r="AI185" s="248"/>
      <c r="AJ185" s="251"/>
      <c r="AK185" s="248"/>
      <c r="AL185" s="249"/>
      <c r="AM185" s="248"/>
      <c r="AN185" s="248"/>
      <c r="AO185" s="248"/>
      <c r="AP185" s="248"/>
      <c r="AQ185" s="248"/>
      <c r="AR185" s="248"/>
      <c r="AS185" s="248"/>
      <c r="AT185" s="249"/>
      <c r="AU185" s="248"/>
      <c r="AV185" s="248"/>
      <c r="AW185" s="248"/>
      <c r="AX185" s="249"/>
      <c r="AY185" s="248"/>
      <c r="AZ185" s="248"/>
      <c r="BA185" s="248"/>
      <c r="BB185" s="248">
        <f t="shared" si="10"/>
        <v>3</v>
      </c>
      <c r="BC185" s="248">
        <f t="shared" si="8"/>
        <v>3</v>
      </c>
    </row>
    <row r="186" spans="2:55" s="39" customFormat="1" ht="23.25" customHeight="1">
      <c r="B186" s="22">
        <f t="shared" si="11"/>
        <v>170</v>
      </c>
      <c r="C186" s="22" t="s">
        <v>39</v>
      </c>
      <c r="D186" s="23">
        <v>40009201</v>
      </c>
      <c r="E186" s="48" t="s">
        <v>890</v>
      </c>
      <c r="F186" s="48" t="s">
        <v>317</v>
      </c>
      <c r="G186" s="26" t="s">
        <v>683</v>
      </c>
      <c r="H186" s="48" t="s">
        <v>683</v>
      </c>
      <c r="I186" s="25" t="s">
        <v>52</v>
      </c>
      <c r="J186" s="247">
        <v>2458089</v>
      </c>
      <c r="K186" s="247"/>
      <c r="L186" s="247">
        <f t="shared" si="9"/>
        <v>2458089</v>
      </c>
      <c r="M186" s="248"/>
      <c r="N186" s="248"/>
      <c r="O186" s="248"/>
      <c r="P186" s="248"/>
      <c r="Q186" s="248"/>
      <c r="R186" s="248"/>
      <c r="S186" s="248">
        <v>0</v>
      </c>
      <c r="T186" s="248">
        <v>0</v>
      </c>
      <c r="U186" s="248">
        <v>0</v>
      </c>
      <c r="V186" s="248"/>
      <c r="W186" s="248"/>
      <c r="X186" s="248"/>
      <c r="Y186" s="248">
        <v>0</v>
      </c>
      <c r="Z186" s="249">
        <v>2</v>
      </c>
      <c r="AA186" s="250">
        <v>14</v>
      </c>
      <c r="AB186" s="251">
        <v>44232</v>
      </c>
      <c r="AC186" s="252">
        <v>44249</v>
      </c>
      <c r="AD186" s="249"/>
      <c r="AE186" s="248"/>
      <c r="AF186" s="251"/>
      <c r="AG186" s="251"/>
      <c r="AH186" s="249"/>
      <c r="AI186" s="248"/>
      <c r="AJ186" s="251"/>
      <c r="AK186" s="248"/>
      <c r="AL186" s="249"/>
      <c r="AM186" s="248"/>
      <c r="AN186" s="248"/>
      <c r="AO186" s="248"/>
      <c r="AP186" s="248"/>
      <c r="AQ186" s="248"/>
      <c r="AR186" s="248"/>
      <c r="AS186" s="248"/>
      <c r="AT186" s="249"/>
      <c r="AU186" s="248"/>
      <c r="AV186" s="248"/>
      <c r="AW186" s="248"/>
      <c r="AX186" s="249"/>
      <c r="AY186" s="248"/>
      <c r="AZ186" s="248"/>
      <c r="BA186" s="248"/>
      <c r="BB186" s="248">
        <f t="shared" si="10"/>
        <v>2</v>
      </c>
      <c r="BC186" s="248">
        <f t="shared" si="8"/>
        <v>2</v>
      </c>
    </row>
    <row r="187" spans="2:55" s="39" customFormat="1" ht="23.25" customHeight="1">
      <c r="B187" s="22">
        <f t="shared" si="11"/>
        <v>171</v>
      </c>
      <c r="C187" s="22" t="s">
        <v>39</v>
      </c>
      <c r="D187" s="23">
        <v>40002493</v>
      </c>
      <c r="E187" s="48" t="s">
        <v>891</v>
      </c>
      <c r="F187" s="48" t="s">
        <v>317</v>
      </c>
      <c r="G187" s="26" t="s">
        <v>683</v>
      </c>
      <c r="H187" s="48" t="s">
        <v>795</v>
      </c>
      <c r="I187" s="25" t="s">
        <v>52</v>
      </c>
      <c r="J187" s="247">
        <v>624217</v>
      </c>
      <c r="K187" s="247"/>
      <c r="L187" s="247">
        <f t="shared" si="9"/>
        <v>624217</v>
      </c>
      <c r="M187" s="248"/>
      <c r="N187" s="248"/>
      <c r="O187" s="248"/>
      <c r="P187" s="248"/>
      <c r="Q187" s="248"/>
      <c r="R187" s="248"/>
      <c r="S187" s="248">
        <v>0</v>
      </c>
      <c r="T187" s="248">
        <v>0</v>
      </c>
      <c r="U187" s="248">
        <v>0</v>
      </c>
      <c r="V187" s="248"/>
      <c r="W187" s="248"/>
      <c r="X187" s="248"/>
      <c r="Y187" s="248">
        <v>0</v>
      </c>
      <c r="Z187" s="249">
        <v>3</v>
      </c>
      <c r="AA187" s="250">
        <v>14</v>
      </c>
      <c r="AB187" s="251">
        <v>44232</v>
      </c>
      <c r="AC187" s="252">
        <v>44249</v>
      </c>
      <c r="AD187" s="249"/>
      <c r="AE187" s="248"/>
      <c r="AF187" s="251"/>
      <c r="AG187" s="251"/>
      <c r="AH187" s="249"/>
      <c r="AI187" s="248"/>
      <c r="AJ187" s="251"/>
      <c r="AK187" s="248"/>
      <c r="AL187" s="249"/>
      <c r="AM187" s="248"/>
      <c r="AN187" s="248"/>
      <c r="AO187" s="248"/>
      <c r="AP187" s="248"/>
      <c r="AQ187" s="248"/>
      <c r="AR187" s="248"/>
      <c r="AS187" s="248"/>
      <c r="AT187" s="249"/>
      <c r="AU187" s="248"/>
      <c r="AV187" s="248"/>
      <c r="AW187" s="248"/>
      <c r="AX187" s="249"/>
      <c r="AY187" s="248"/>
      <c r="AZ187" s="248"/>
      <c r="BA187" s="248"/>
      <c r="BB187" s="248">
        <f t="shared" si="10"/>
        <v>3</v>
      </c>
      <c r="BC187" s="248">
        <f t="shared" si="8"/>
        <v>3</v>
      </c>
    </row>
    <row r="188" spans="2:55" s="39" customFormat="1" ht="23.25" customHeight="1">
      <c r="B188" s="22">
        <f t="shared" si="11"/>
        <v>172</v>
      </c>
      <c r="C188" s="22" t="s">
        <v>39</v>
      </c>
      <c r="D188" s="23">
        <v>30484208</v>
      </c>
      <c r="E188" s="48" t="s">
        <v>892</v>
      </c>
      <c r="F188" s="48" t="s">
        <v>700</v>
      </c>
      <c r="G188" s="26" t="s">
        <v>683</v>
      </c>
      <c r="H188" s="48" t="s">
        <v>795</v>
      </c>
      <c r="I188" s="25" t="s">
        <v>52</v>
      </c>
      <c r="J188" s="247">
        <v>136554</v>
      </c>
      <c r="K188" s="247"/>
      <c r="L188" s="247">
        <f t="shared" si="9"/>
        <v>136554</v>
      </c>
      <c r="M188" s="248"/>
      <c r="N188" s="248"/>
      <c r="O188" s="248"/>
      <c r="P188" s="248"/>
      <c r="Q188" s="248"/>
      <c r="R188" s="248"/>
      <c r="S188" s="248">
        <v>0</v>
      </c>
      <c r="T188" s="248">
        <v>0</v>
      </c>
      <c r="U188" s="248">
        <v>0</v>
      </c>
      <c r="V188" s="248"/>
      <c r="W188" s="248"/>
      <c r="X188" s="248"/>
      <c r="Y188" s="248">
        <v>0</v>
      </c>
      <c r="Z188" s="249">
        <v>1</v>
      </c>
      <c r="AA188" s="250">
        <v>14</v>
      </c>
      <c r="AB188" s="251">
        <v>44232</v>
      </c>
      <c r="AC188" s="252">
        <v>44249</v>
      </c>
      <c r="AD188" s="249"/>
      <c r="AE188" s="248"/>
      <c r="AF188" s="251"/>
      <c r="AG188" s="251"/>
      <c r="AH188" s="249"/>
      <c r="AI188" s="248"/>
      <c r="AJ188" s="251"/>
      <c r="AK188" s="248"/>
      <c r="AL188" s="249"/>
      <c r="AM188" s="248"/>
      <c r="AN188" s="248"/>
      <c r="AO188" s="248"/>
      <c r="AP188" s="248"/>
      <c r="AQ188" s="248"/>
      <c r="AR188" s="248"/>
      <c r="AS188" s="248"/>
      <c r="AT188" s="249"/>
      <c r="AU188" s="248"/>
      <c r="AV188" s="248"/>
      <c r="AW188" s="248"/>
      <c r="AX188" s="249"/>
      <c r="AY188" s="248"/>
      <c r="AZ188" s="248"/>
      <c r="BA188" s="248"/>
      <c r="BB188" s="248">
        <f t="shared" si="10"/>
        <v>1</v>
      </c>
      <c r="BC188" s="248">
        <f t="shared" si="8"/>
        <v>1</v>
      </c>
    </row>
    <row r="189" spans="2:55" s="39" customFormat="1" ht="23.25" customHeight="1">
      <c r="B189" s="22">
        <f t="shared" si="11"/>
        <v>173</v>
      </c>
      <c r="C189" s="22" t="s">
        <v>39</v>
      </c>
      <c r="D189" s="23">
        <v>40010390</v>
      </c>
      <c r="E189" s="48" t="s">
        <v>893</v>
      </c>
      <c r="F189" s="48" t="s">
        <v>317</v>
      </c>
      <c r="G189" s="26" t="s">
        <v>683</v>
      </c>
      <c r="H189" s="48" t="s">
        <v>795</v>
      </c>
      <c r="I189" s="25" t="s">
        <v>52</v>
      </c>
      <c r="J189" s="247">
        <v>245801</v>
      </c>
      <c r="K189" s="247"/>
      <c r="L189" s="247">
        <f t="shared" si="9"/>
        <v>245801</v>
      </c>
      <c r="M189" s="248"/>
      <c r="N189" s="248"/>
      <c r="O189" s="248"/>
      <c r="P189" s="248"/>
      <c r="Q189" s="248"/>
      <c r="R189" s="248"/>
      <c r="S189" s="248">
        <v>0</v>
      </c>
      <c r="T189" s="248">
        <v>0</v>
      </c>
      <c r="U189" s="248">
        <v>0</v>
      </c>
      <c r="V189" s="248"/>
      <c r="W189" s="248"/>
      <c r="X189" s="248"/>
      <c r="Y189" s="248">
        <v>0</v>
      </c>
      <c r="Z189" s="249">
        <v>2</v>
      </c>
      <c r="AA189" s="250">
        <v>14</v>
      </c>
      <c r="AB189" s="251">
        <v>44232</v>
      </c>
      <c r="AC189" s="252">
        <v>44249</v>
      </c>
      <c r="AD189" s="249"/>
      <c r="AE189" s="248"/>
      <c r="AF189" s="251"/>
      <c r="AG189" s="251"/>
      <c r="AH189" s="249"/>
      <c r="AI189" s="248"/>
      <c r="AJ189" s="251"/>
      <c r="AK189" s="248"/>
      <c r="AL189" s="249"/>
      <c r="AM189" s="248"/>
      <c r="AN189" s="248"/>
      <c r="AO189" s="248"/>
      <c r="AP189" s="248"/>
      <c r="AQ189" s="248"/>
      <c r="AR189" s="248"/>
      <c r="AS189" s="248"/>
      <c r="AT189" s="249"/>
      <c r="AU189" s="248"/>
      <c r="AV189" s="248"/>
      <c r="AW189" s="248"/>
      <c r="AX189" s="249"/>
      <c r="AY189" s="248"/>
      <c r="AZ189" s="248"/>
      <c r="BA189" s="248"/>
      <c r="BB189" s="248">
        <f t="shared" si="10"/>
        <v>2</v>
      </c>
      <c r="BC189" s="248">
        <f t="shared" si="8"/>
        <v>2</v>
      </c>
    </row>
    <row r="190" spans="2:55" s="39" customFormat="1" ht="23.25" customHeight="1">
      <c r="B190" s="22">
        <f t="shared" si="11"/>
        <v>174</v>
      </c>
      <c r="C190" s="22" t="s">
        <v>39</v>
      </c>
      <c r="D190" s="23">
        <v>40004207</v>
      </c>
      <c r="E190" s="48" t="s">
        <v>894</v>
      </c>
      <c r="F190" s="48" t="s">
        <v>317</v>
      </c>
      <c r="G190" s="26" t="s">
        <v>683</v>
      </c>
      <c r="H190" s="48" t="s">
        <v>756</v>
      </c>
      <c r="I190" s="25" t="s">
        <v>52</v>
      </c>
      <c r="J190" s="247">
        <v>293554</v>
      </c>
      <c r="K190" s="247"/>
      <c r="L190" s="247">
        <f t="shared" si="9"/>
        <v>293554</v>
      </c>
      <c r="M190" s="248"/>
      <c r="N190" s="248"/>
      <c r="O190" s="248"/>
      <c r="P190" s="248"/>
      <c r="Q190" s="248"/>
      <c r="R190" s="248"/>
      <c r="S190" s="248">
        <v>0</v>
      </c>
      <c r="T190" s="248">
        <v>31135.085999999999</v>
      </c>
      <c r="U190" s="248">
        <v>27065.062999999998</v>
      </c>
      <c r="V190" s="248"/>
      <c r="W190" s="248"/>
      <c r="X190" s="248"/>
      <c r="Y190" s="248">
        <v>58200.148999999998</v>
      </c>
      <c r="Z190" s="249">
        <v>2</v>
      </c>
      <c r="AA190" s="250">
        <v>14</v>
      </c>
      <c r="AB190" s="251">
        <v>44232</v>
      </c>
      <c r="AC190" s="252">
        <v>44249</v>
      </c>
      <c r="AD190" s="249">
        <v>287260</v>
      </c>
      <c r="AE190" s="248">
        <v>23</v>
      </c>
      <c r="AF190" s="251">
        <v>44253</v>
      </c>
      <c r="AG190" s="252">
        <v>44286</v>
      </c>
      <c r="AH190" s="249"/>
      <c r="AI190" s="248"/>
      <c r="AJ190" s="251"/>
      <c r="AK190" s="248"/>
      <c r="AL190" s="249"/>
      <c r="AM190" s="248"/>
      <c r="AN190" s="248"/>
      <c r="AO190" s="248"/>
      <c r="AP190" s="248"/>
      <c r="AQ190" s="248"/>
      <c r="AR190" s="248"/>
      <c r="AS190" s="248"/>
      <c r="AT190" s="249"/>
      <c r="AU190" s="248"/>
      <c r="AV190" s="248"/>
      <c r="AW190" s="248"/>
      <c r="AX190" s="249"/>
      <c r="AY190" s="248"/>
      <c r="AZ190" s="248"/>
      <c r="BA190" s="248"/>
      <c r="BB190" s="248">
        <f t="shared" si="10"/>
        <v>287262</v>
      </c>
      <c r="BC190" s="248">
        <f t="shared" si="8"/>
        <v>229061.851</v>
      </c>
    </row>
    <row r="191" spans="2:55" s="39" customFormat="1" ht="33.75">
      <c r="B191" s="22">
        <f t="shared" si="11"/>
        <v>175</v>
      </c>
      <c r="C191" s="22" t="s">
        <v>39</v>
      </c>
      <c r="D191" s="23">
        <v>40007565</v>
      </c>
      <c r="E191" s="48" t="s">
        <v>895</v>
      </c>
      <c r="F191" s="48" t="s">
        <v>317</v>
      </c>
      <c r="G191" s="26" t="s">
        <v>683</v>
      </c>
      <c r="H191" s="48" t="s">
        <v>756</v>
      </c>
      <c r="I191" s="25" t="s">
        <v>52</v>
      </c>
      <c r="J191" s="247">
        <v>224672</v>
      </c>
      <c r="K191" s="247"/>
      <c r="L191" s="247">
        <f t="shared" si="9"/>
        <v>224672</v>
      </c>
      <c r="M191" s="248"/>
      <c r="N191" s="248"/>
      <c r="O191" s="248"/>
      <c r="P191" s="248">
        <v>34593.642</v>
      </c>
      <c r="Q191" s="248">
        <v>0</v>
      </c>
      <c r="R191" s="248">
        <v>80067.117999999988</v>
      </c>
      <c r="S191" s="248">
        <v>2954.8</v>
      </c>
      <c r="T191" s="248">
        <v>83911.258999999991</v>
      </c>
      <c r="U191" s="248">
        <v>0</v>
      </c>
      <c r="V191" s="248"/>
      <c r="W191" s="248"/>
      <c r="X191" s="248"/>
      <c r="Y191" s="248">
        <v>201526.81899999996</v>
      </c>
      <c r="Z191" s="249">
        <v>2</v>
      </c>
      <c r="AA191" s="250">
        <v>14</v>
      </c>
      <c r="AB191" s="251">
        <v>44232</v>
      </c>
      <c r="AC191" s="252">
        <v>44249</v>
      </c>
      <c r="AD191" s="249">
        <v>34591</v>
      </c>
      <c r="AE191" s="248">
        <v>28</v>
      </c>
      <c r="AF191" s="251">
        <v>44295</v>
      </c>
      <c r="AG191" s="252">
        <v>44301</v>
      </c>
      <c r="AH191" s="249">
        <v>4432</v>
      </c>
      <c r="AI191" s="248">
        <v>48</v>
      </c>
      <c r="AJ191" s="251">
        <v>44348</v>
      </c>
      <c r="AK191" s="252">
        <v>44354</v>
      </c>
      <c r="AL191" s="249">
        <v>78600</v>
      </c>
      <c r="AM191" s="248">
        <v>49</v>
      </c>
      <c r="AN191" s="251">
        <v>44348</v>
      </c>
      <c r="AO191" s="252">
        <v>44354</v>
      </c>
      <c r="AP191" s="249">
        <v>1478</v>
      </c>
      <c r="AQ191" s="248">
        <v>56</v>
      </c>
      <c r="AR191" s="248">
        <v>44371</v>
      </c>
      <c r="AS191" s="248">
        <v>44376</v>
      </c>
      <c r="AT191" s="249">
        <v>82425</v>
      </c>
      <c r="AU191" s="27">
        <v>84</v>
      </c>
      <c r="AV191" s="33">
        <v>44431</v>
      </c>
      <c r="AW191" s="33">
        <v>44433</v>
      </c>
      <c r="AX191" s="249"/>
      <c r="AY191" s="248"/>
      <c r="AZ191" s="248"/>
      <c r="BA191" s="248"/>
      <c r="BB191" s="248">
        <f t="shared" si="10"/>
        <v>201528</v>
      </c>
      <c r="BC191" s="248">
        <f t="shared" si="8"/>
        <v>1.1810000000405125</v>
      </c>
    </row>
    <row r="192" spans="2:55" s="39" customFormat="1" ht="23.25" customHeight="1">
      <c r="B192" s="22">
        <f t="shared" si="11"/>
        <v>176</v>
      </c>
      <c r="C192" s="22" t="s">
        <v>39</v>
      </c>
      <c r="D192" s="23">
        <v>40001631</v>
      </c>
      <c r="E192" s="48" t="s">
        <v>896</v>
      </c>
      <c r="F192" s="48" t="s">
        <v>317</v>
      </c>
      <c r="G192" s="26" t="s">
        <v>683</v>
      </c>
      <c r="H192" s="48" t="s">
        <v>756</v>
      </c>
      <c r="I192" s="25" t="s">
        <v>52</v>
      </c>
      <c r="J192" s="247">
        <v>707800</v>
      </c>
      <c r="K192" s="247"/>
      <c r="L192" s="247">
        <f t="shared" si="9"/>
        <v>707800</v>
      </c>
      <c r="M192" s="248"/>
      <c r="N192" s="248"/>
      <c r="O192" s="248"/>
      <c r="P192" s="248">
        <v>0</v>
      </c>
      <c r="Q192" s="248">
        <v>0</v>
      </c>
      <c r="R192" s="248">
        <v>113419.372</v>
      </c>
      <c r="S192" s="248">
        <v>207762.68400000001</v>
      </c>
      <c r="T192" s="248">
        <v>74676.127999999997</v>
      </c>
      <c r="U192" s="248">
        <v>0</v>
      </c>
      <c r="V192" s="248"/>
      <c r="W192" s="248"/>
      <c r="X192" s="248"/>
      <c r="Y192" s="248">
        <v>395858.18400000001</v>
      </c>
      <c r="Z192" s="249">
        <v>2</v>
      </c>
      <c r="AA192" s="250">
        <v>14</v>
      </c>
      <c r="AB192" s="251">
        <v>44232</v>
      </c>
      <c r="AC192" s="252">
        <v>44249</v>
      </c>
      <c r="AD192" s="249">
        <v>623222</v>
      </c>
      <c r="AE192" s="248">
        <v>23</v>
      </c>
      <c r="AF192" s="251">
        <v>44253</v>
      </c>
      <c r="AG192" s="252">
        <v>44286</v>
      </c>
      <c r="AH192" s="249"/>
      <c r="AI192" s="248"/>
      <c r="AJ192" s="251"/>
      <c r="AK192" s="248"/>
      <c r="AL192" s="249"/>
      <c r="AM192" s="248"/>
      <c r="AN192" s="248"/>
      <c r="AO192" s="248"/>
      <c r="AP192" s="249"/>
      <c r="AQ192" s="248"/>
      <c r="AR192" s="248"/>
      <c r="AS192" s="248"/>
      <c r="AT192" s="228"/>
      <c r="AU192" s="228"/>
      <c r="AV192" s="228"/>
      <c r="AW192" s="228"/>
      <c r="AX192" s="249"/>
      <c r="AY192" s="248"/>
      <c r="AZ192" s="248"/>
      <c r="BA192" s="248"/>
      <c r="BB192" s="248">
        <f t="shared" si="10"/>
        <v>623224</v>
      </c>
      <c r="BC192" s="248">
        <f t="shared" si="8"/>
        <v>227365.81599999999</v>
      </c>
    </row>
    <row r="193" spans="2:55" s="39" customFormat="1" ht="22.5">
      <c r="B193" s="22">
        <f t="shared" si="11"/>
        <v>177</v>
      </c>
      <c r="C193" s="22" t="s">
        <v>39</v>
      </c>
      <c r="D193" s="23">
        <v>40013139</v>
      </c>
      <c r="E193" s="48" t="s">
        <v>897</v>
      </c>
      <c r="F193" s="48" t="s">
        <v>317</v>
      </c>
      <c r="G193" s="26" t="s">
        <v>683</v>
      </c>
      <c r="H193" s="48" t="s">
        <v>701</v>
      </c>
      <c r="I193" s="25" t="s">
        <v>52</v>
      </c>
      <c r="J193" s="247">
        <v>1161106</v>
      </c>
      <c r="K193" s="247"/>
      <c r="L193" s="247">
        <f t="shared" si="9"/>
        <v>1161106</v>
      </c>
      <c r="M193" s="248"/>
      <c r="N193" s="248"/>
      <c r="O193" s="248"/>
      <c r="P193" s="248">
        <v>205976.272</v>
      </c>
      <c r="Q193" s="248">
        <v>0</v>
      </c>
      <c r="R193" s="248">
        <v>62828.629000000001</v>
      </c>
      <c r="S193" s="248">
        <v>0</v>
      </c>
      <c r="T193" s="248">
        <v>0</v>
      </c>
      <c r="U193" s="248">
        <v>132281.31099999999</v>
      </c>
      <c r="V193" s="248"/>
      <c r="W193" s="248"/>
      <c r="X193" s="248"/>
      <c r="Y193" s="248">
        <v>401086.212</v>
      </c>
      <c r="Z193" s="249">
        <v>1</v>
      </c>
      <c r="AA193" s="250">
        <v>14</v>
      </c>
      <c r="AB193" s="251">
        <v>44232</v>
      </c>
      <c r="AC193" s="252">
        <v>44249</v>
      </c>
      <c r="AD193" s="249">
        <v>132023</v>
      </c>
      <c r="AE193" s="248">
        <v>28</v>
      </c>
      <c r="AF193" s="251">
        <v>44295</v>
      </c>
      <c r="AG193" s="252">
        <v>44301</v>
      </c>
      <c r="AH193" s="249">
        <v>73954</v>
      </c>
      <c r="AI193" s="248">
        <v>33</v>
      </c>
      <c r="AJ193" s="251">
        <v>44307</v>
      </c>
      <c r="AK193" s="252">
        <v>44327</v>
      </c>
      <c r="AL193" s="249">
        <v>60000</v>
      </c>
      <c r="AM193" s="248">
        <v>48</v>
      </c>
      <c r="AN193" s="251">
        <v>44348</v>
      </c>
      <c r="AO193" s="252">
        <v>44354</v>
      </c>
      <c r="AP193" s="249">
        <v>5400</v>
      </c>
      <c r="AQ193" s="248">
        <v>49</v>
      </c>
      <c r="AR193" s="251">
        <v>44348</v>
      </c>
      <c r="AS193" s="252">
        <v>44354</v>
      </c>
      <c r="AT193" s="228"/>
      <c r="AU193" s="228"/>
      <c r="AV193" s="228"/>
      <c r="AW193" s="228"/>
      <c r="AX193" s="249"/>
      <c r="AY193" s="248"/>
      <c r="AZ193" s="248"/>
      <c r="BA193" s="248"/>
      <c r="BB193" s="248">
        <f t="shared" si="10"/>
        <v>271378</v>
      </c>
      <c r="BC193" s="248">
        <f t="shared" si="8"/>
        <v>-129708.212</v>
      </c>
    </row>
    <row r="194" spans="2:55" s="39" customFormat="1" ht="23.25" customHeight="1">
      <c r="B194" s="22">
        <f t="shared" si="11"/>
        <v>178</v>
      </c>
      <c r="C194" s="22" t="s">
        <v>39</v>
      </c>
      <c r="D194" s="23">
        <v>40015729</v>
      </c>
      <c r="E194" s="48" t="s">
        <v>898</v>
      </c>
      <c r="F194" s="48" t="s">
        <v>700</v>
      </c>
      <c r="G194" s="26" t="s">
        <v>683</v>
      </c>
      <c r="H194" s="48" t="s">
        <v>693</v>
      </c>
      <c r="I194" s="25" t="s">
        <v>52</v>
      </c>
      <c r="J194" s="247">
        <v>34620</v>
      </c>
      <c r="K194" s="247"/>
      <c r="L194" s="247">
        <f t="shared" si="9"/>
        <v>34620</v>
      </c>
      <c r="M194" s="248"/>
      <c r="N194" s="248"/>
      <c r="O194" s="248"/>
      <c r="P194" s="248"/>
      <c r="Q194" s="248"/>
      <c r="R194" s="248"/>
      <c r="S194" s="248">
        <v>0</v>
      </c>
      <c r="T194" s="248">
        <v>0</v>
      </c>
      <c r="U194" s="248">
        <v>0</v>
      </c>
      <c r="V194" s="248"/>
      <c r="W194" s="248"/>
      <c r="X194" s="248"/>
      <c r="Y194" s="248">
        <v>0</v>
      </c>
      <c r="Z194" s="249">
        <v>1</v>
      </c>
      <c r="AA194" s="250">
        <v>14</v>
      </c>
      <c r="AB194" s="251">
        <v>44232</v>
      </c>
      <c r="AC194" s="252">
        <v>44249</v>
      </c>
      <c r="AD194" s="249"/>
      <c r="AE194" s="248"/>
      <c r="AF194" s="251"/>
      <c r="AG194" s="251"/>
      <c r="AH194" s="249"/>
      <c r="AI194" s="248"/>
      <c r="AJ194" s="251"/>
      <c r="AK194" s="248"/>
      <c r="AL194" s="249"/>
      <c r="AM194" s="248"/>
      <c r="AN194" s="248"/>
      <c r="AO194" s="248"/>
      <c r="AP194" s="248"/>
      <c r="AQ194" s="248"/>
      <c r="AR194" s="248"/>
      <c r="AS194" s="248"/>
      <c r="AT194" s="249"/>
      <c r="AU194" s="248"/>
      <c r="AV194" s="248"/>
      <c r="AW194" s="248"/>
      <c r="AX194" s="249"/>
      <c r="AY194" s="248"/>
      <c r="AZ194" s="248"/>
      <c r="BA194" s="248"/>
      <c r="BB194" s="248">
        <f t="shared" si="10"/>
        <v>1</v>
      </c>
      <c r="BC194" s="248">
        <f t="shared" si="8"/>
        <v>1</v>
      </c>
    </row>
    <row r="195" spans="2:55" s="39" customFormat="1" ht="23.25" customHeight="1">
      <c r="B195" s="22">
        <f t="shared" si="11"/>
        <v>179</v>
      </c>
      <c r="C195" s="22" t="s">
        <v>39</v>
      </c>
      <c r="D195" s="23">
        <v>40001590</v>
      </c>
      <c r="E195" s="48" t="s">
        <v>899</v>
      </c>
      <c r="F195" s="48" t="s">
        <v>700</v>
      </c>
      <c r="G195" s="26" t="s">
        <v>683</v>
      </c>
      <c r="H195" s="48" t="s">
        <v>718</v>
      </c>
      <c r="I195" s="25" t="s">
        <v>52</v>
      </c>
      <c r="J195" s="247">
        <v>52454</v>
      </c>
      <c r="K195" s="247"/>
      <c r="L195" s="247">
        <f t="shared" si="9"/>
        <v>52454</v>
      </c>
      <c r="M195" s="248"/>
      <c r="N195" s="248"/>
      <c r="O195" s="248"/>
      <c r="P195" s="248"/>
      <c r="Q195" s="248"/>
      <c r="R195" s="248"/>
      <c r="S195" s="248">
        <v>0</v>
      </c>
      <c r="T195" s="248">
        <v>0</v>
      </c>
      <c r="U195" s="248">
        <v>0</v>
      </c>
      <c r="V195" s="248"/>
      <c r="W195" s="248"/>
      <c r="X195" s="248"/>
      <c r="Y195" s="248">
        <v>0</v>
      </c>
      <c r="Z195" s="249">
        <v>1</v>
      </c>
      <c r="AA195" s="250">
        <v>14</v>
      </c>
      <c r="AB195" s="251">
        <v>44232</v>
      </c>
      <c r="AC195" s="252">
        <v>44249</v>
      </c>
      <c r="AD195" s="249"/>
      <c r="AE195" s="248"/>
      <c r="AF195" s="251"/>
      <c r="AG195" s="251"/>
      <c r="AH195" s="249"/>
      <c r="AI195" s="248"/>
      <c r="AJ195" s="251"/>
      <c r="AK195" s="248"/>
      <c r="AL195" s="249"/>
      <c r="AM195" s="248"/>
      <c r="AN195" s="248"/>
      <c r="AO195" s="248"/>
      <c r="AP195" s="248"/>
      <c r="AQ195" s="248"/>
      <c r="AR195" s="248"/>
      <c r="AS195" s="248"/>
      <c r="AT195" s="249"/>
      <c r="AU195" s="248"/>
      <c r="AV195" s="248"/>
      <c r="AW195" s="248"/>
      <c r="AX195" s="249"/>
      <c r="AY195" s="248"/>
      <c r="AZ195" s="248"/>
      <c r="BA195" s="248"/>
      <c r="BB195" s="248">
        <f t="shared" si="10"/>
        <v>1</v>
      </c>
      <c r="BC195" s="248">
        <f t="shared" si="8"/>
        <v>1</v>
      </c>
    </row>
    <row r="196" spans="2:55" s="39" customFormat="1" ht="23.25" customHeight="1">
      <c r="B196" s="22">
        <f t="shared" si="11"/>
        <v>180</v>
      </c>
      <c r="C196" s="22" t="s">
        <v>39</v>
      </c>
      <c r="D196" s="23">
        <v>40008583</v>
      </c>
      <c r="E196" s="48" t="s">
        <v>900</v>
      </c>
      <c r="F196" s="48" t="s">
        <v>317</v>
      </c>
      <c r="G196" s="26" t="s">
        <v>683</v>
      </c>
      <c r="H196" s="48" t="s">
        <v>781</v>
      </c>
      <c r="I196" s="25" t="s">
        <v>52</v>
      </c>
      <c r="J196" s="247">
        <v>626490</v>
      </c>
      <c r="K196" s="247"/>
      <c r="L196" s="247">
        <f t="shared" si="9"/>
        <v>626490</v>
      </c>
      <c r="M196" s="248"/>
      <c r="N196" s="248"/>
      <c r="O196" s="248"/>
      <c r="P196" s="248"/>
      <c r="Q196" s="248"/>
      <c r="R196" s="248"/>
      <c r="S196" s="248">
        <v>0</v>
      </c>
      <c r="T196" s="248">
        <v>0</v>
      </c>
      <c r="U196" s="248">
        <v>0</v>
      </c>
      <c r="V196" s="248"/>
      <c r="W196" s="248"/>
      <c r="X196" s="248"/>
      <c r="Y196" s="248">
        <v>0</v>
      </c>
      <c r="Z196" s="249">
        <v>3</v>
      </c>
      <c r="AA196" s="250">
        <v>14</v>
      </c>
      <c r="AB196" s="251">
        <v>44232</v>
      </c>
      <c r="AC196" s="252">
        <v>44249</v>
      </c>
      <c r="AD196" s="249"/>
      <c r="AE196" s="248"/>
      <c r="AF196" s="251"/>
      <c r="AG196" s="251"/>
      <c r="AH196" s="249"/>
      <c r="AI196" s="248"/>
      <c r="AJ196" s="251"/>
      <c r="AK196" s="248"/>
      <c r="AL196" s="249"/>
      <c r="AM196" s="248"/>
      <c r="AN196" s="248"/>
      <c r="AO196" s="248"/>
      <c r="AP196" s="248"/>
      <c r="AQ196" s="248"/>
      <c r="AR196" s="248"/>
      <c r="AS196" s="248"/>
      <c r="AT196" s="249"/>
      <c r="AU196" s="248"/>
      <c r="AV196" s="248"/>
      <c r="AW196" s="248"/>
      <c r="AX196" s="249"/>
      <c r="AY196" s="248"/>
      <c r="AZ196" s="248"/>
      <c r="BA196" s="248"/>
      <c r="BB196" s="248">
        <f t="shared" si="10"/>
        <v>3</v>
      </c>
      <c r="BC196" s="248">
        <f t="shared" si="8"/>
        <v>3</v>
      </c>
    </row>
    <row r="197" spans="2:55" s="39" customFormat="1" ht="23.25" customHeight="1">
      <c r="B197" s="22">
        <f t="shared" si="11"/>
        <v>181</v>
      </c>
      <c r="C197" s="22" t="s">
        <v>39</v>
      </c>
      <c r="D197" s="23">
        <v>40009784</v>
      </c>
      <c r="E197" s="48" t="s">
        <v>901</v>
      </c>
      <c r="F197" s="48" t="s">
        <v>317</v>
      </c>
      <c r="G197" s="26" t="s">
        <v>683</v>
      </c>
      <c r="H197" s="48" t="s">
        <v>902</v>
      </c>
      <c r="I197" s="25" t="s">
        <v>52</v>
      </c>
      <c r="J197" s="247">
        <v>2015866</v>
      </c>
      <c r="K197" s="247"/>
      <c r="L197" s="247">
        <f t="shared" si="9"/>
        <v>2015866</v>
      </c>
      <c r="M197" s="248"/>
      <c r="N197" s="248"/>
      <c r="O197" s="248"/>
      <c r="P197" s="248"/>
      <c r="Q197" s="248"/>
      <c r="R197" s="248"/>
      <c r="S197" s="248">
        <v>0</v>
      </c>
      <c r="T197" s="248">
        <v>0</v>
      </c>
      <c r="U197" s="248">
        <v>0</v>
      </c>
      <c r="V197" s="248"/>
      <c r="W197" s="248"/>
      <c r="X197" s="248"/>
      <c r="Y197" s="248">
        <v>0</v>
      </c>
      <c r="Z197" s="249">
        <v>2</v>
      </c>
      <c r="AA197" s="250">
        <v>14</v>
      </c>
      <c r="AB197" s="251">
        <v>44232</v>
      </c>
      <c r="AC197" s="252">
        <v>44249</v>
      </c>
      <c r="AD197" s="249"/>
      <c r="AE197" s="248"/>
      <c r="AF197" s="251"/>
      <c r="AG197" s="251"/>
      <c r="AH197" s="249"/>
      <c r="AI197" s="248"/>
      <c r="AJ197" s="251"/>
      <c r="AK197" s="248"/>
      <c r="AL197" s="249"/>
      <c r="AM197" s="248"/>
      <c r="AN197" s="248"/>
      <c r="AO197" s="248"/>
      <c r="AP197" s="248"/>
      <c r="AQ197" s="248"/>
      <c r="AR197" s="248"/>
      <c r="AS197" s="248"/>
      <c r="AT197" s="249"/>
      <c r="AU197" s="248"/>
      <c r="AV197" s="248"/>
      <c r="AW197" s="248"/>
      <c r="AX197" s="249"/>
      <c r="AY197" s="248"/>
      <c r="AZ197" s="248"/>
      <c r="BA197" s="248"/>
      <c r="BB197" s="248">
        <f t="shared" si="10"/>
        <v>2</v>
      </c>
      <c r="BC197" s="248">
        <f t="shared" si="8"/>
        <v>2</v>
      </c>
    </row>
    <row r="198" spans="2:55" s="39" customFormat="1" ht="23.25" customHeight="1">
      <c r="B198" s="22">
        <f t="shared" si="11"/>
        <v>182</v>
      </c>
      <c r="C198" s="22" t="s">
        <v>39</v>
      </c>
      <c r="D198" s="23">
        <v>40015930</v>
      </c>
      <c r="E198" s="48" t="s">
        <v>903</v>
      </c>
      <c r="F198" s="48" t="s">
        <v>700</v>
      </c>
      <c r="G198" s="26" t="s">
        <v>683</v>
      </c>
      <c r="H198" s="48" t="s">
        <v>753</v>
      </c>
      <c r="I198" s="25" t="s">
        <v>52</v>
      </c>
      <c r="J198" s="247">
        <v>115924</v>
      </c>
      <c r="K198" s="247"/>
      <c r="L198" s="247">
        <f t="shared" si="9"/>
        <v>115924</v>
      </c>
      <c r="M198" s="248"/>
      <c r="N198" s="248"/>
      <c r="O198" s="248"/>
      <c r="P198" s="248"/>
      <c r="Q198" s="248"/>
      <c r="R198" s="248"/>
      <c r="S198" s="248">
        <v>0</v>
      </c>
      <c r="T198" s="248">
        <v>0</v>
      </c>
      <c r="U198" s="248">
        <v>0</v>
      </c>
      <c r="V198" s="248"/>
      <c r="W198" s="248"/>
      <c r="X198" s="248"/>
      <c r="Y198" s="248">
        <v>0</v>
      </c>
      <c r="Z198" s="249">
        <v>1</v>
      </c>
      <c r="AA198" s="250">
        <v>14</v>
      </c>
      <c r="AB198" s="251">
        <v>44232</v>
      </c>
      <c r="AC198" s="252">
        <v>44249</v>
      </c>
      <c r="AD198" s="249"/>
      <c r="AE198" s="248"/>
      <c r="AF198" s="251"/>
      <c r="AG198" s="251"/>
      <c r="AH198" s="249"/>
      <c r="AI198" s="248"/>
      <c r="AJ198" s="251"/>
      <c r="AK198" s="248"/>
      <c r="AL198" s="249"/>
      <c r="AM198" s="248"/>
      <c r="AN198" s="248"/>
      <c r="AO198" s="248"/>
      <c r="AP198" s="248"/>
      <c r="AQ198" s="248"/>
      <c r="AR198" s="248"/>
      <c r="AS198" s="248"/>
      <c r="AT198" s="249"/>
      <c r="AU198" s="248"/>
      <c r="AV198" s="248"/>
      <c r="AW198" s="248"/>
      <c r="AX198" s="249"/>
      <c r="AY198" s="248"/>
      <c r="AZ198" s="248"/>
      <c r="BA198" s="248"/>
      <c r="BB198" s="248">
        <f t="shared" si="10"/>
        <v>1</v>
      </c>
      <c r="BC198" s="248">
        <f t="shared" si="8"/>
        <v>1</v>
      </c>
    </row>
    <row r="199" spans="2:55" s="39" customFormat="1" ht="23.25" customHeight="1">
      <c r="B199" s="22">
        <f t="shared" si="11"/>
        <v>183</v>
      </c>
      <c r="C199" s="22" t="s">
        <v>39</v>
      </c>
      <c r="D199" s="23">
        <v>30485268</v>
      </c>
      <c r="E199" s="48" t="s">
        <v>904</v>
      </c>
      <c r="F199" s="48" t="s">
        <v>317</v>
      </c>
      <c r="G199" s="26" t="s">
        <v>683</v>
      </c>
      <c r="H199" s="48" t="s">
        <v>753</v>
      </c>
      <c r="I199" s="25" t="s">
        <v>52</v>
      </c>
      <c r="J199" s="247">
        <v>705131</v>
      </c>
      <c r="K199" s="247"/>
      <c r="L199" s="247">
        <f t="shared" si="9"/>
        <v>705131</v>
      </c>
      <c r="M199" s="248"/>
      <c r="N199" s="248"/>
      <c r="O199" s="248"/>
      <c r="P199" s="248">
        <v>0</v>
      </c>
      <c r="Q199" s="248">
        <v>2250</v>
      </c>
      <c r="R199" s="248">
        <v>0</v>
      </c>
      <c r="S199" s="248">
        <v>0</v>
      </c>
      <c r="T199" s="248">
        <v>12676.677</v>
      </c>
      <c r="U199" s="248">
        <v>77364.793999999994</v>
      </c>
      <c r="V199" s="248"/>
      <c r="W199" s="248"/>
      <c r="X199" s="248"/>
      <c r="Y199" s="248">
        <v>92291.47099999999</v>
      </c>
      <c r="Z199" s="249">
        <v>3</v>
      </c>
      <c r="AA199" s="250">
        <v>14</v>
      </c>
      <c r="AB199" s="251">
        <v>44232</v>
      </c>
      <c r="AC199" s="252">
        <v>44249</v>
      </c>
      <c r="AD199" s="249">
        <v>5000</v>
      </c>
      <c r="AE199" s="248">
        <v>35</v>
      </c>
      <c r="AF199" s="251">
        <v>44314</v>
      </c>
      <c r="AG199" s="252">
        <v>44327</v>
      </c>
      <c r="AH199" s="249">
        <v>81200</v>
      </c>
      <c r="AI199" s="248">
        <v>73</v>
      </c>
      <c r="AJ199" s="251">
        <v>44406</v>
      </c>
      <c r="AK199" s="252">
        <v>44410</v>
      </c>
      <c r="AL199" s="249">
        <v>4000</v>
      </c>
      <c r="AM199" s="248">
        <v>85</v>
      </c>
      <c r="AN199" s="252">
        <v>44435</v>
      </c>
      <c r="AO199" s="252">
        <v>44446</v>
      </c>
      <c r="AP199" s="248">
        <v>4000</v>
      </c>
      <c r="AQ199" s="248">
        <v>87</v>
      </c>
      <c r="AR199" s="252">
        <v>44439</v>
      </c>
      <c r="AS199" s="252">
        <v>44446</v>
      </c>
      <c r="AT199" s="249"/>
      <c r="AU199" s="248"/>
      <c r="AV199" s="248"/>
      <c r="AW199" s="248"/>
      <c r="AX199" s="249"/>
      <c r="AY199" s="248"/>
      <c r="AZ199" s="248"/>
      <c r="BA199" s="248"/>
      <c r="BB199" s="248">
        <f t="shared" si="10"/>
        <v>94203</v>
      </c>
      <c r="BC199" s="248">
        <f t="shared" si="8"/>
        <v>1911.5290000000095</v>
      </c>
    </row>
    <row r="200" spans="2:55" s="39" customFormat="1" ht="23.25" customHeight="1">
      <c r="B200" s="22">
        <f t="shared" si="11"/>
        <v>184</v>
      </c>
      <c r="C200" s="22" t="s">
        <v>39</v>
      </c>
      <c r="D200" s="23">
        <v>40003755</v>
      </c>
      <c r="E200" s="48" t="s">
        <v>905</v>
      </c>
      <c r="F200" s="48" t="s">
        <v>317</v>
      </c>
      <c r="G200" s="26" t="s">
        <v>683</v>
      </c>
      <c r="H200" s="48" t="s">
        <v>745</v>
      </c>
      <c r="I200" s="25" t="s">
        <v>52</v>
      </c>
      <c r="J200" s="247">
        <v>555043</v>
      </c>
      <c r="K200" s="247"/>
      <c r="L200" s="247">
        <f t="shared" si="9"/>
        <v>555043</v>
      </c>
      <c r="M200" s="248"/>
      <c r="N200" s="248"/>
      <c r="O200" s="248"/>
      <c r="P200" s="248">
        <v>89132.979000000007</v>
      </c>
      <c r="Q200" s="248">
        <v>0</v>
      </c>
      <c r="R200" s="248">
        <v>239270.95499999999</v>
      </c>
      <c r="S200" s="248">
        <v>70077.622000000003</v>
      </c>
      <c r="T200" s="248">
        <v>5434.2870000000003</v>
      </c>
      <c r="U200" s="248">
        <v>0</v>
      </c>
      <c r="V200" s="248"/>
      <c r="W200" s="248"/>
      <c r="X200" s="248"/>
      <c r="Y200" s="248">
        <v>403915.84299999999</v>
      </c>
      <c r="Z200" s="249">
        <v>3</v>
      </c>
      <c r="AA200" s="250">
        <v>14</v>
      </c>
      <c r="AB200" s="251">
        <v>44232</v>
      </c>
      <c r="AC200" s="252">
        <v>44249</v>
      </c>
      <c r="AD200" s="249">
        <v>535656</v>
      </c>
      <c r="AE200" s="248">
        <v>23</v>
      </c>
      <c r="AF200" s="251">
        <v>44253</v>
      </c>
      <c r="AG200" s="252">
        <v>44286</v>
      </c>
      <c r="AH200" s="249"/>
      <c r="AI200" s="248"/>
      <c r="AJ200" s="251"/>
      <c r="AK200" s="248"/>
      <c r="AL200" s="249"/>
      <c r="AM200" s="248"/>
      <c r="AN200" s="248"/>
      <c r="AO200" s="248"/>
      <c r="AP200" s="248"/>
      <c r="AQ200" s="248"/>
      <c r="AR200" s="248"/>
      <c r="AS200" s="248"/>
      <c r="AT200" s="249"/>
      <c r="AU200" s="248"/>
      <c r="AV200" s="248"/>
      <c r="AW200" s="248"/>
      <c r="AX200" s="249"/>
      <c r="AY200" s="248"/>
      <c r="AZ200" s="248"/>
      <c r="BA200" s="248"/>
      <c r="BB200" s="248">
        <f t="shared" si="10"/>
        <v>535659</v>
      </c>
      <c r="BC200" s="248">
        <f t="shared" si="8"/>
        <v>131743.15700000001</v>
      </c>
    </row>
    <row r="201" spans="2:55" s="39" customFormat="1" ht="23.25" customHeight="1">
      <c r="B201" s="22">
        <f t="shared" si="11"/>
        <v>185</v>
      </c>
      <c r="C201" s="22" t="s">
        <v>65</v>
      </c>
      <c r="D201" s="23">
        <v>30439724</v>
      </c>
      <c r="E201" s="48" t="s">
        <v>906</v>
      </c>
      <c r="F201" s="48" t="s">
        <v>317</v>
      </c>
      <c r="G201" s="26" t="s">
        <v>683</v>
      </c>
      <c r="H201" s="48" t="s">
        <v>830</v>
      </c>
      <c r="I201" s="25" t="s">
        <v>44</v>
      </c>
      <c r="J201" s="247">
        <v>171488</v>
      </c>
      <c r="K201" s="247">
        <v>53188</v>
      </c>
      <c r="L201" s="247">
        <f t="shared" si="9"/>
        <v>118300</v>
      </c>
      <c r="M201" s="248"/>
      <c r="N201" s="248"/>
      <c r="O201" s="248"/>
      <c r="P201" s="248"/>
      <c r="Q201" s="248"/>
      <c r="R201" s="248"/>
      <c r="S201" s="248">
        <v>0</v>
      </c>
      <c r="T201" s="248">
        <v>0</v>
      </c>
      <c r="U201" s="248">
        <v>8450</v>
      </c>
      <c r="V201" s="248"/>
      <c r="W201" s="248"/>
      <c r="X201" s="248"/>
      <c r="Y201" s="248">
        <v>8450</v>
      </c>
      <c r="Z201" s="249">
        <v>1</v>
      </c>
      <c r="AA201" s="250">
        <v>14</v>
      </c>
      <c r="AB201" s="251">
        <v>44232</v>
      </c>
      <c r="AC201" s="252">
        <v>44249</v>
      </c>
      <c r="AD201" s="249">
        <v>16900</v>
      </c>
      <c r="AE201" s="248">
        <v>82</v>
      </c>
      <c r="AF201" s="251">
        <v>44426</v>
      </c>
      <c r="AG201" s="251">
        <v>44431</v>
      </c>
      <c r="AH201" s="249"/>
      <c r="AI201" s="248"/>
      <c r="AJ201" s="251"/>
      <c r="AK201" s="248"/>
      <c r="AL201" s="249"/>
      <c r="AM201" s="248"/>
      <c r="AN201" s="248"/>
      <c r="AO201" s="248"/>
      <c r="AP201" s="248"/>
      <c r="AQ201" s="248"/>
      <c r="AR201" s="248"/>
      <c r="AS201" s="248"/>
      <c r="AT201" s="249"/>
      <c r="AU201" s="248"/>
      <c r="AV201" s="248"/>
      <c r="AW201" s="248"/>
      <c r="AX201" s="249"/>
      <c r="AY201" s="248"/>
      <c r="AZ201" s="248"/>
      <c r="BA201" s="248"/>
      <c r="BB201" s="248">
        <f t="shared" si="10"/>
        <v>16901</v>
      </c>
      <c r="BC201" s="248">
        <f t="shared" si="8"/>
        <v>8451</v>
      </c>
    </row>
    <row r="202" spans="2:55" s="39" customFormat="1" ht="23.25" customHeight="1">
      <c r="B202" s="22">
        <f t="shared" si="11"/>
        <v>186</v>
      </c>
      <c r="C202" s="22" t="s">
        <v>39</v>
      </c>
      <c r="D202" s="23">
        <v>40012167</v>
      </c>
      <c r="E202" s="48" t="s">
        <v>907</v>
      </c>
      <c r="F202" s="48" t="s">
        <v>317</v>
      </c>
      <c r="G202" s="26" t="s">
        <v>683</v>
      </c>
      <c r="H202" s="48" t="s">
        <v>770</v>
      </c>
      <c r="I202" s="25" t="s">
        <v>52</v>
      </c>
      <c r="J202" s="247">
        <v>163993</v>
      </c>
      <c r="K202" s="247"/>
      <c r="L202" s="247">
        <f t="shared" si="9"/>
        <v>163993</v>
      </c>
      <c r="M202" s="248"/>
      <c r="N202" s="248"/>
      <c r="O202" s="248"/>
      <c r="P202" s="248"/>
      <c r="Q202" s="248"/>
      <c r="R202" s="248"/>
      <c r="S202" s="248">
        <v>0</v>
      </c>
      <c r="T202" s="248">
        <v>0</v>
      </c>
      <c r="U202" s="248">
        <v>0</v>
      </c>
      <c r="V202" s="248"/>
      <c r="W202" s="248"/>
      <c r="X202" s="248"/>
      <c r="Y202" s="248">
        <v>0</v>
      </c>
      <c r="Z202" s="249">
        <v>3</v>
      </c>
      <c r="AA202" s="250">
        <v>14</v>
      </c>
      <c r="AB202" s="251">
        <v>44232</v>
      </c>
      <c r="AC202" s="252">
        <v>44249</v>
      </c>
      <c r="AD202" s="249">
        <v>58000</v>
      </c>
      <c r="AE202" s="248">
        <v>65</v>
      </c>
      <c r="AF202" s="251">
        <v>44377</v>
      </c>
      <c r="AG202" s="251">
        <v>44382</v>
      </c>
      <c r="AH202" s="249"/>
      <c r="AI202" s="248"/>
      <c r="AJ202" s="251"/>
      <c r="AK202" s="248"/>
      <c r="AL202" s="249"/>
      <c r="AM202" s="248"/>
      <c r="AN202" s="248"/>
      <c r="AO202" s="248"/>
      <c r="AP202" s="248"/>
      <c r="AQ202" s="248"/>
      <c r="AR202" s="248"/>
      <c r="AS202" s="248"/>
      <c r="AT202" s="249"/>
      <c r="AU202" s="248"/>
      <c r="AV202" s="248"/>
      <c r="AW202" s="248"/>
      <c r="AX202" s="249"/>
      <c r="AY202" s="248"/>
      <c r="AZ202" s="248"/>
      <c r="BA202" s="248"/>
      <c r="BB202" s="248">
        <f t="shared" si="10"/>
        <v>58003</v>
      </c>
      <c r="BC202" s="248">
        <f t="shared" si="8"/>
        <v>58003</v>
      </c>
    </row>
    <row r="203" spans="2:55" s="39" customFormat="1" ht="23.25" customHeight="1">
      <c r="B203" s="22">
        <f t="shared" si="11"/>
        <v>187</v>
      </c>
      <c r="C203" s="22" t="s">
        <v>39</v>
      </c>
      <c r="D203" s="23">
        <v>30384174</v>
      </c>
      <c r="E203" s="48" t="s">
        <v>908</v>
      </c>
      <c r="F203" s="48" t="s">
        <v>317</v>
      </c>
      <c r="G203" s="26" t="s">
        <v>683</v>
      </c>
      <c r="H203" s="48" t="s">
        <v>740</v>
      </c>
      <c r="I203" s="25" t="s">
        <v>52</v>
      </c>
      <c r="J203" s="247">
        <v>745817</v>
      </c>
      <c r="K203" s="247"/>
      <c r="L203" s="247">
        <f t="shared" si="9"/>
        <v>745817</v>
      </c>
      <c r="M203" s="248"/>
      <c r="N203" s="248"/>
      <c r="O203" s="248"/>
      <c r="P203" s="248"/>
      <c r="Q203" s="248"/>
      <c r="R203" s="248"/>
      <c r="S203" s="248">
        <v>0</v>
      </c>
      <c r="T203" s="248">
        <v>0</v>
      </c>
      <c r="U203" s="248">
        <v>0</v>
      </c>
      <c r="V203" s="248"/>
      <c r="W203" s="248"/>
      <c r="X203" s="248"/>
      <c r="Y203" s="248">
        <v>0</v>
      </c>
      <c r="Z203" s="249">
        <v>3</v>
      </c>
      <c r="AA203" s="250">
        <v>14</v>
      </c>
      <c r="AB203" s="251">
        <v>44232</v>
      </c>
      <c r="AC203" s="252">
        <v>44249</v>
      </c>
      <c r="AD203" s="249">
        <v>144414</v>
      </c>
      <c r="AE203" s="248">
        <v>38</v>
      </c>
      <c r="AF203" s="251">
        <v>44316</v>
      </c>
      <c r="AG203" s="251">
        <v>44328</v>
      </c>
      <c r="AH203" s="249">
        <v>2024</v>
      </c>
      <c r="AI203" s="248">
        <v>48</v>
      </c>
      <c r="AJ203" s="251">
        <v>44348</v>
      </c>
      <c r="AK203" s="252">
        <v>44354</v>
      </c>
      <c r="AL203" s="249">
        <v>42500</v>
      </c>
      <c r="AM203" s="248">
        <v>95</v>
      </c>
      <c r="AN203" s="252">
        <v>44460</v>
      </c>
      <c r="AO203" s="252">
        <v>44466</v>
      </c>
      <c r="AP203" s="248"/>
      <c r="AQ203" s="248"/>
      <c r="AR203" s="248"/>
      <c r="AS203" s="248"/>
      <c r="AT203" s="249"/>
      <c r="AU203" s="248"/>
      <c r="AV203" s="248"/>
      <c r="AW203" s="248"/>
      <c r="AX203" s="249"/>
      <c r="AY203" s="248"/>
      <c r="AZ203" s="248"/>
      <c r="BA203" s="248"/>
      <c r="BB203" s="248">
        <f t="shared" si="10"/>
        <v>188941</v>
      </c>
      <c r="BC203" s="248">
        <f t="shared" si="8"/>
        <v>188941</v>
      </c>
    </row>
    <row r="204" spans="2:55" s="39" customFormat="1" ht="23.25" customHeight="1">
      <c r="B204" s="22">
        <f t="shared" si="11"/>
        <v>188</v>
      </c>
      <c r="C204" s="22" t="s">
        <v>39</v>
      </c>
      <c r="D204" s="23">
        <v>30060848</v>
      </c>
      <c r="E204" s="48" t="s">
        <v>909</v>
      </c>
      <c r="F204" s="48" t="s">
        <v>317</v>
      </c>
      <c r="G204" s="26" t="s">
        <v>683</v>
      </c>
      <c r="H204" s="48" t="s">
        <v>740</v>
      </c>
      <c r="I204" s="25" t="s">
        <v>52</v>
      </c>
      <c r="J204" s="247">
        <v>346982</v>
      </c>
      <c r="K204" s="247"/>
      <c r="L204" s="247">
        <f t="shared" si="9"/>
        <v>346982</v>
      </c>
      <c r="M204" s="248"/>
      <c r="N204" s="248"/>
      <c r="O204" s="248"/>
      <c r="P204" s="248">
        <v>42054.260999999999</v>
      </c>
      <c r="Q204" s="248">
        <v>4000</v>
      </c>
      <c r="R204" s="248">
        <v>64005.936000000002</v>
      </c>
      <c r="S204" s="248">
        <v>49592.987000000001</v>
      </c>
      <c r="T204" s="248">
        <v>0</v>
      </c>
      <c r="U204" s="248">
        <v>0</v>
      </c>
      <c r="V204" s="248"/>
      <c r="W204" s="248"/>
      <c r="X204" s="248"/>
      <c r="Y204" s="248">
        <v>159653.18400000001</v>
      </c>
      <c r="Z204" s="249">
        <v>3</v>
      </c>
      <c r="AA204" s="250">
        <v>14</v>
      </c>
      <c r="AB204" s="251">
        <v>44232</v>
      </c>
      <c r="AC204" s="252">
        <v>44249</v>
      </c>
      <c r="AD204" s="249">
        <v>42053</v>
      </c>
      <c r="AE204" s="248">
        <v>32</v>
      </c>
      <c r="AF204" s="251">
        <v>44306</v>
      </c>
      <c r="AG204" s="251">
        <v>44314</v>
      </c>
      <c r="AH204" s="249">
        <v>4000</v>
      </c>
      <c r="AI204" s="248">
        <v>38</v>
      </c>
      <c r="AJ204" s="251">
        <v>44316</v>
      </c>
      <c r="AK204" s="251">
        <v>44328</v>
      </c>
      <c r="AL204" s="249">
        <v>64010</v>
      </c>
      <c r="AM204" s="248">
        <v>48</v>
      </c>
      <c r="AN204" s="251">
        <v>44348</v>
      </c>
      <c r="AO204" s="252">
        <v>44354</v>
      </c>
      <c r="AP204" s="248">
        <v>54389</v>
      </c>
      <c r="AQ204" s="248">
        <v>65</v>
      </c>
      <c r="AR204" s="252">
        <v>44377</v>
      </c>
      <c r="AS204" s="252">
        <v>44382</v>
      </c>
      <c r="AT204" s="249"/>
      <c r="AU204" s="248"/>
      <c r="AV204" s="248"/>
      <c r="AW204" s="248"/>
      <c r="AX204" s="249"/>
      <c r="AY204" s="248"/>
      <c r="AZ204" s="248"/>
      <c r="BA204" s="248"/>
      <c r="BB204" s="248">
        <f t="shared" si="10"/>
        <v>164455</v>
      </c>
      <c r="BC204" s="248">
        <f t="shared" si="8"/>
        <v>4801.8159999999916</v>
      </c>
    </row>
    <row r="205" spans="2:55" s="39" customFormat="1" ht="23.25" customHeight="1">
      <c r="B205" s="22">
        <f t="shared" si="11"/>
        <v>189</v>
      </c>
      <c r="C205" s="22" t="s">
        <v>39</v>
      </c>
      <c r="D205" s="23">
        <v>30436326</v>
      </c>
      <c r="E205" s="48" t="s">
        <v>910</v>
      </c>
      <c r="F205" s="48" t="s">
        <v>317</v>
      </c>
      <c r="G205" s="26" t="s">
        <v>683</v>
      </c>
      <c r="H205" s="48" t="s">
        <v>772</v>
      </c>
      <c r="I205" s="25" t="s">
        <v>52</v>
      </c>
      <c r="J205" s="247">
        <v>288272</v>
      </c>
      <c r="K205" s="247"/>
      <c r="L205" s="247">
        <f t="shared" si="9"/>
        <v>288272</v>
      </c>
      <c r="M205" s="248"/>
      <c r="N205" s="248"/>
      <c r="O205" s="248"/>
      <c r="P205" s="248"/>
      <c r="Q205" s="248"/>
      <c r="R205" s="248"/>
      <c r="S205" s="248">
        <v>0</v>
      </c>
      <c r="T205" s="248">
        <v>0</v>
      </c>
      <c r="U205" s="248">
        <v>0</v>
      </c>
      <c r="V205" s="248"/>
      <c r="W205" s="248"/>
      <c r="X205" s="248"/>
      <c r="Y205" s="248">
        <v>0</v>
      </c>
      <c r="Z205" s="249">
        <v>3</v>
      </c>
      <c r="AA205" s="250">
        <v>14</v>
      </c>
      <c r="AB205" s="251">
        <v>44232</v>
      </c>
      <c r="AC205" s="252">
        <v>44249</v>
      </c>
      <c r="AD205" s="249"/>
      <c r="AE205" s="248"/>
      <c r="AF205" s="251"/>
      <c r="AG205" s="251"/>
      <c r="AH205" s="249"/>
      <c r="AI205" s="248"/>
      <c r="AJ205" s="251"/>
      <c r="AK205" s="248"/>
      <c r="AL205" s="249"/>
      <c r="AM205" s="248"/>
      <c r="AN205" s="248"/>
      <c r="AO205" s="248"/>
      <c r="AP205" s="248"/>
      <c r="AQ205" s="248"/>
      <c r="AR205" s="248"/>
      <c r="AS205" s="248"/>
      <c r="AT205" s="249"/>
      <c r="AU205" s="248"/>
      <c r="AV205" s="248"/>
      <c r="AW205" s="248"/>
      <c r="AX205" s="249"/>
      <c r="AY205" s="248"/>
      <c r="AZ205" s="248"/>
      <c r="BA205" s="248"/>
      <c r="BB205" s="248">
        <f t="shared" si="10"/>
        <v>3</v>
      </c>
      <c r="BC205" s="248">
        <f t="shared" si="8"/>
        <v>3</v>
      </c>
    </row>
    <row r="206" spans="2:55" s="39" customFormat="1" ht="23.25" customHeight="1">
      <c r="B206" s="22">
        <f t="shared" si="11"/>
        <v>190</v>
      </c>
      <c r="C206" s="22" t="s">
        <v>39</v>
      </c>
      <c r="D206" s="23">
        <v>40005658</v>
      </c>
      <c r="E206" s="48" t="s">
        <v>911</v>
      </c>
      <c r="F206" s="48" t="s">
        <v>317</v>
      </c>
      <c r="G206" s="26" t="s">
        <v>683</v>
      </c>
      <c r="H206" s="48" t="s">
        <v>704</v>
      </c>
      <c r="I206" s="25" t="s">
        <v>52</v>
      </c>
      <c r="J206" s="247">
        <v>105153</v>
      </c>
      <c r="K206" s="247"/>
      <c r="L206" s="247">
        <f t="shared" si="9"/>
        <v>105153</v>
      </c>
      <c r="M206" s="248"/>
      <c r="N206" s="248"/>
      <c r="O206" s="248"/>
      <c r="P206" s="248"/>
      <c r="Q206" s="248"/>
      <c r="R206" s="248"/>
      <c r="S206" s="248">
        <v>0</v>
      </c>
      <c r="T206" s="248">
        <v>0</v>
      </c>
      <c r="U206" s="248">
        <v>0</v>
      </c>
      <c r="V206" s="248"/>
      <c r="W206" s="248"/>
      <c r="X206" s="248"/>
      <c r="Y206" s="248">
        <v>0</v>
      </c>
      <c r="Z206" s="249">
        <v>3</v>
      </c>
      <c r="AA206" s="250">
        <v>14</v>
      </c>
      <c r="AB206" s="251">
        <v>44232</v>
      </c>
      <c r="AC206" s="252">
        <v>44249</v>
      </c>
      <c r="AD206" s="249"/>
      <c r="AE206" s="248"/>
      <c r="AF206" s="251"/>
      <c r="AG206" s="251"/>
      <c r="AH206" s="249"/>
      <c r="AI206" s="248"/>
      <c r="AJ206" s="251"/>
      <c r="AK206" s="248"/>
      <c r="AL206" s="249"/>
      <c r="AM206" s="248"/>
      <c r="AN206" s="248"/>
      <c r="AO206" s="248"/>
      <c r="AP206" s="248"/>
      <c r="AQ206" s="248"/>
      <c r="AR206" s="248"/>
      <c r="AS206" s="248"/>
      <c r="AT206" s="249"/>
      <c r="AU206" s="248"/>
      <c r="AV206" s="248"/>
      <c r="AW206" s="248"/>
      <c r="AX206" s="249"/>
      <c r="AY206" s="248"/>
      <c r="AZ206" s="248"/>
      <c r="BA206" s="248"/>
      <c r="BB206" s="248">
        <f t="shared" si="10"/>
        <v>3</v>
      </c>
      <c r="BC206" s="248">
        <f t="shared" si="8"/>
        <v>3</v>
      </c>
    </row>
    <row r="207" spans="2:55" s="39" customFormat="1" ht="23.25" customHeight="1">
      <c r="B207" s="22">
        <f t="shared" si="11"/>
        <v>191</v>
      </c>
      <c r="C207" s="22" t="s">
        <v>39</v>
      </c>
      <c r="D207" s="23">
        <v>30486351</v>
      </c>
      <c r="E207" s="48" t="s">
        <v>912</v>
      </c>
      <c r="F207" s="48" t="s">
        <v>317</v>
      </c>
      <c r="G207" s="26" t="s">
        <v>683</v>
      </c>
      <c r="H207" s="48" t="s">
        <v>704</v>
      </c>
      <c r="I207" s="25" t="s">
        <v>52</v>
      </c>
      <c r="J207" s="247">
        <v>87660</v>
      </c>
      <c r="K207" s="247"/>
      <c r="L207" s="247">
        <f t="shared" si="9"/>
        <v>87660</v>
      </c>
      <c r="M207" s="248"/>
      <c r="N207" s="248"/>
      <c r="O207" s="248"/>
      <c r="P207" s="248"/>
      <c r="Q207" s="248"/>
      <c r="R207" s="248"/>
      <c r="S207" s="248">
        <v>0</v>
      </c>
      <c r="T207" s="248">
        <v>0</v>
      </c>
      <c r="U207" s="248">
        <v>0</v>
      </c>
      <c r="V207" s="248"/>
      <c r="W207" s="248"/>
      <c r="X207" s="248"/>
      <c r="Y207" s="248">
        <v>0</v>
      </c>
      <c r="Z207" s="249">
        <v>4</v>
      </c>
      <c r="AA207" s="250">
        <v>14</v>
      </c>
      <c r="AB207" s="251">
        <v>44232</v>
      </c>
      <c r="AC207" s="252">
        <v>44249</v>
      </c>
      <c r="AD207" s="249"/>
      <c r="AE207" s="248"/>
      <c r="AF207" s="251"/>
      <c r="AG207" s="251"/>
      <c r="AH207" s="249"/>
      <c r="AI207" s="248"/>
      <c r="AJ207" s="251"/>
      <c r="AK207" s="248"/>
      <c r="AL207" s="249"/>
      <c r="AM207" s="248"/>
      <c r="AN207" s="248"/>
      <c r="AO207" s="248"/>
      <c r="AP207" s="248"/>
      <c r="AQ207" s="248"/>
      <c r="AR207" s="248"/>
      <c r="AS207" s="248"/>
      <c r="AT207" s="249"/>
      <c r="AU207" s="248"/>
      <c r="AV207" s="248"/>
      <c r="AW207" s="248"/>
      <c r="AX207" s="249"/>
      <c r="AY207" s="248"/>
      <c r="AZ207" s="248"/>
      <c r="BA207" s="248"/>
      <c r="BB207" s="248">
        <f t="shared" si="10"/>
        <v>4</v>
      </c>
      <c r="BC207" s="248">
        <f t="shared" si="8"/>
        <v>4</v>
      </c>
    </row>
    <row r="208" spans="2:55" s="39" customFormat="1" ht="23.25" customHeight="1">
      <c r="B208" s="22">
        <f t="shared" si="11"/>
        <v>192</v>
      </c>
      <c r="C208" s="22" t="s">
        <v>39</v>
      </c>
      <c r="D208" s="23">
        <v>30488890</v>
      </c>
      <c r="E208" s="48" t="s">
        <v>913</v>
      </c>
      <c r="F208" s="48" t="s">
        <v>700</v>
      </c>
      <c r="G208" s="26" t="s">
        <v>683</v>
      </c>
      <c r="H208" s="48" t="s">
        <v>704</v>
      </c>
      <c r="I208" s="25" t="s">
        <v>52</v>
      </c>
      <c r="J208" s="247">
        <v>22038</v>
      </c>
      <c r="K208" s="247"/>
      <c r="L208" s="247">
        <f t="shared" si="9"/>
        <v>22038</v>
      </c>
      <c r="M208" s="248"/>
      <c r="N208" s="248"/>
      <c r="O208" s="248"/>
      <c r="P208" s="248"/>
      <c r="Q208" s="248"/>
      <c r="R208" s="248"/>
      <c r="S208" s="248">
        <v>0</v>
      </c>
      <c r="T208" s="248">
        <v>6825.2280000000001</v>
      </c>
      <c r="U208" s="248">
        <v>0</v>
      </c>
      <c r="V208" s="248"/>
      <c r="W208" s="248"/>
      <c r="X208" s="248"/>
      <c r="Y208" s="248">
        <v>6825.2280000000001</v>
      </c>
      <c r="Z208" s="249">
        <v>2</v>
      </c>
      <c r="AA208" s="250">
        <v>14</v>
      </c>
      <c r="AB208" s="251">
        <v>44232</v>
      </c>
      <c r="AC208" s="252">
        <v>44249</v>
      </c>
      <c r="AD208" s="249">
        <v>20000</v>
      </c>
      <c r="AE208" s="248">
        <v>71</v>
      </c>
      <c r="AF208" s="251">
        <v>44400</v>
      </c>
      <c r="AG208" s="251">
        <v>44405</v>
      </c>
      <c r="AH208" s="249"/>
      <c r="AI208" s="248"/>
      <c r="AJ208" s="251"/>
      <c r="AK208" s="248"/>
      <c r="AL208" s="249"/>
      <c r="AM208" s="248"/>
      <c r="AN208" s="248"/>
      <c r="AO208" s="248"/>
      <c r="AP208" s="248"/>
      <c r="AQ208" s="248"/>
      <c r="AR208" s="248"/>
      <c r="AS208" s="248"/>
      <c r="AT208" s="249"/>
      <c r="AU208" s="248"/>
      <c r="AV208" s="248"/>
      <c r="AW208" s="248"/>
      <c r="AX208" s="249"/>
      <c r="AY208" s="248"/>
      <c r="AZ208" s="248"/>
      <c r="BA208" s="248"/>
      <c r="BB208" s="248">
        <f t="shared" si="10"/>
        <v>20002</v>
      </c>
      <c r="BC208" s="248">
        <f t="shared" si="8"/>
        <v>13176.772000000001</v>
      </c>
    </row>
    <row r="209" spans="2:55" s="39" customFormat="1" ht="23.25" customHeight="1">
      <c r="B209" s="22">
        <f t="shared" si="11"/>
        <v>193</v>
      </c>
      <c r="C209" s="22" t="s">
        <v>39</v>
      </c>
      <c r="D209" s="23">
        <v>30469634</v>
      </c>
      <c r="E209" s="48" t="s">
        <v>914</v>
      </c>
      <c r="F209" s="48" t="s">
        <v>317</v>
      </c>
      <c r="G209" s="26" t="s">
        <v>683</v>
      </c>
      <c r="H209" s="48" t="s">
        <v>704</v>
      </c>
      <c r="I209" s="25" t="s">
        <v>52</v>
      </c>
      <c r="J209" s="247">
        <v>302423</v>
      </c>
      <c r="K209" s="247"/>
      <c r="L209" s="247">
        <f t="shared" si="9"/>
        <v>302423</v>
      </c>
      <c r="M209" s="248"/>
      <c r="N209" s="248"/>
      <c r="O209" s="248"/>
      <c r="P209" s="248"/>
      <c r="Q209" s="248"/>
      <c r="R209" s="248"/>
      <c r="S209" s="248">
        <v>0</v>
      </c>
      <c r="T209" s="248">
        <v>0</v>
      </c>
      <c r="U209" s="248">
        <v>0</v>
      </c>
      <c r="V209" s="248"/>
      <c r="W209" s="248"/>
      <c r="X209" s="248"/>
      <c r="Y209" s="248">
        <v>0</v>
      </c>
      <c r="Z209" s="249">
        <v>3</v>
      </c>
      <c r="AA209" s="250">
        <v>14</v>
      </c>
      <c r="AB209" s="251">
        <v>44232</v>
      </c>
      <c r="AC209" s="252">
        <v>44249</v>
      </c>
      <c r="AD209" s="249"/>
      <c r="AE209" s="248"/>
      <c r="AF209" s="251"/>
      <c r="AG209" s="251"/>
      <c r="AH209" s="249"/>
      <c r="AI209" s="248"/>
      <c r="AJ209" s="251"/>
      <c r="AK209" s="248"/>
      <c r="AL209" s="249"/>
      <c r="AM209" s="248"/>
      <c r="AN209" s="248"/>
      <c r="AO209" s="248"/>
      <c r="AP209" s="248"/>
      <c r="AQ209" s="248"/>
      <c r="AR209" s="248"/>
      <c r="AS209" s="248"/>
      <c r="AT209" s="249"/>
      <c r="AU209" s="248"/>
      <c r="AV209" s="248"/>
      <c r="AW209" s="248"/>
      <c r="AX209" s="249"/>
      <c r="AY209" s="248"/>
      <c r="AZ209" s="248"/>
      <c r="BA209" s="248"/>
      <c r="BB209" s="248">
        <f t="shared" si="10"/>
        <v>3</v>
      </c>
      <c r="BC209" s="248">
        <f t="shared" ref="BC209:BC272" si="12">BB209-Y209</f>
        <v>3</v>
      </c>
    </row>
    <row r="210" spans="2:55" s="39" customFormat="1" ht="23.25" customHeight="1">
      <c r="B210" s="22">
        <f t="shared" si="11"/>
        <v>194</v>
      </c>
      <c r="C210" s="22" t="s">
        <v>39</v>
      </c>
      <c r="D210" s="23">
        <v>30487016</v>
      </c>
      <c r="E210" s="48" t="s">
        <v>915</v>
      </c>
      <c r="F210" s="48" t="s">
        <v>317</v>
      </c>
      <c r="G210" s="26" t="s">
        <v>683</v>
      </c>
      <c r="H210" s="48" t="s">
        <v>760</v>
      </c>
      <c r="I210" s="25" t="s">
        <v>52</v>
      </c>
      <c r="J210" s="247">
        <v>993082</v>
      </c>
      <c r="K210" s="247"/>
      <c r="L210" s="247">
        <f t="shared" ref="L210:L273" si="13">J210-K210</f>
        <v>993082</v>
      </c>
      <c r="M210" s="248"/>
      <c r="N210" s="248"/>
      <c r="O210" s="248"/>
      <c r="P210" s="248"/>
      <c r="Q210" s="248"/>
      <c r="R210" s="248"/>
      <c r="S210" s="248">
        <v>0</v>
      </c>
      <c r="T210" s="248">
        <v>0</v>
      </c>
      <c r="U210" s="248">
        <v>0</v>
      </c>
      <c r="V210" s="248"/>
      <c r="W210" s="248"/>
      <c r="X210" s="248"/>
      <c r="Y210" s="248">
        <v>0</v>
      </c>
      <c r="Z210" s="249">
        <v>3</v>
      </c>
      <c r="AA210" s="250">
        <v>14</v>
      </c>
      <c r="AB210" s="251">
        <v>44232</v>
      </c>
      <c r="AC210" s="252">
        <v>44249</v>
      </c>
      <c r="AD210" s="249">
        <v>20697</v>
      </c>
      <c r="AE210" s="248">
        <v>25</v>
      </c>
      <c r="AF210" s="251">
        <v>44253</v>
      </c>
      <c r="AG210" s="251">
        <v>44273</v>
      </c>
      <c r="AH210" s="249"/>
      <c r="AI210" s="248"/>
      <c r="AJ210" s="251"/>
      <c r="AK210" s="248"/>
      <c r="AL210" s="249"/>
      <c r="AM210" s="248"/>
      <c r="AN210" s="248"/>
      <c r="AO210" s="248"/>
      <c r="AP210" s="248"/>
      <c r="AQ210" s="248"/>
      <c r="AR210" s="248"/>
      <c r="AS210" s="248"/>
      <c r="AT210" s="249"/>
      <c r="AU210" s="248"/>
      <c r="AV210" s="248"/>
      <c r="AW210" s="248"/>
      <c r="AX210" s="249"/>
      <c r="AY210" s="248"/>
      <c r="AZ210" s="248"/>
      <c r="BA210" s="248"/>
      <c r="BB210" s="248">
        <f t="shared" ref="BB210:BB273" si="14">Z210+AD210+AH210+AL210+AP210+AT210+AX210</f>
        <v>20700</v>
      </c>
      <c r="BC210" s="248">
        <f t="shared" si="12"/>
        <v>20700</v>
      </c>
    </row>
    <row r="211" spans="2:55" s="39" customFormat="1" ht="23.25" customHeight="1">
      <c r="B211" s="22">
        <f t="shared" ref="B211:B274" si="15">B210+1</f>
        <v>195</v>
      </c>
      <c r="C211" s="22" t="s">
        <v>39</v>
      </c>
      <c r="D211" s="23">
        <v>40010901</v>
      </c>
      <c r="E211" s="48" t="s">
        <v>916</v>
      </c>
      <c r="F211" s="48" t="s">
        <v>317</v>
      </c>
      <c r="G211" s="26" t="s">
        <v>683</v>
      </c>
      <c r="H211" s="48" t="s">
        <v>917</v>
      </c>
      <c r="I211" s="25" t="s">
        <v>52</v>
      </c>
      <c r="J211" s="247">
        <v>5603602</v>
      </c>
      <c r="K211" s="247"/>
      <c r="L211" s="247">
        <f t="shared" si="13"/>
        <v>5603602</v>
      </c>
      <c r="M211" s="248"/>
      <c r="N211" s="248"/>
      <c r="O211" s="248"/>
      <c r="P211" s="248"/>
      <c r="Q211" s="248"/>
      <c r="R211" s="248"/>
      <c r="S211" s="248">
        <v>0</v>
      </c>
      <c r="T211" s="248">
        <v>0</v>
      </c>
      <c r="U211" s="248">
        <v>0</v>
      </c>
      <c r="V211" s="248"/>
      <c r="W211" s="248"/>
      <c r="X211" s="248"/>
      <c r="Y211" s="248">
        <v>0</v>
      </c>
      <c r="Z211" s="249">
        <v>3</v>
      </c>
      <c r="AA211" s="250">
        <v>14</v>
      </c>
      <c r="AB211" s="251">
        <v>44232</v>
      </c>
      <c r="AC211" s="252">
        <v>44249</v>
      </c>
      <c r="AD211" s="249"/>
      <c r="AE211" s="248"/>
      <c r="AF211" s="251"/>
      <c r="AG211" s="251"/>
      <c r="AH211" s="249"/>
      <c r="AI211" s="248"/>
      <c r="AJ211" s="251"/>
      <c r="AK211" s="248"/>
      <c r="AL211" s="249"/>
      <c r="AM211" s="248"/>
      <c r="AN211" s="248"/>
      <c r="AO211" s="248"/>
      <c r="AP211" s="248"/>
      <c r="AQ211" s="248"/>
      <c r="AR211" s="248"/>
      <c r="AS211" s="248"/>
      <c r="AT211" s="249"/>
      <c r="AU211" s="248"/>
      <c r="AV211" s="248"/>
      <c r="AW211" s="248"/>
      <c r="AX211" s="249"/>
      <c r="AY211" s="248"/>
      <c r="AZ211" s="248"/>
      <c r="BA211" s="248"/>
      <c r="BB211" s="248">
        <f t="shared" si="14"/>
        <v>3</v>
      </c>
      <c r="BC211" s="248">
        <f t="shared" si="12"/>
        <v>3</v>
      </c>
    </row>
    <row r="212" spans="2:55" s="39" customFormat="1" ht="23.25" customHeight="1">
      <c r="B212" s="22">
        <f t="shared" si="15"/>
        <v>196</v>
      </c>
      <c r="C212" s="22" t="s">
        <v>39</v>
      </c>
      <c r="D212" s="23">
        <v>40006048</v>
      </c>
      <c r="E212" s="48" t="s">
        <v>918</v>
      </c>
      <c r="F212" s="48" t="s">
        <v>317</v>
      </c>
      <c r="G212" s="26" t="s">
        <v>683</v>
      </c>
      <c r="H212" s="48" t="s">
        <v>832</v>
      </c>
      <c r="I212" s="25" t="s">
        <v>52</v>
      </c>
      <c r="J212" s="247">
        <v>835921</v>
      </c>
      <c r="K212" s="247"/>
      <c r="L212" s="247">
        <f t="shared" si="13"/>
        <v>835921</v>
      </c>
      <c r="M212" s="248"/>
      <c r="N212" s="248"/>
      <c r="O212" s="248">
        <v>1846.75</v>
      </c>
      <c r="P212" s="248">
        <v>157588.68300000002</v>
      </c>
      <c r="Q212" s="248">
        <v>1846.75</v>
      </c>
      <c r="R212" s="248">
        <v>44506.233999999997</v>
      </c>
      <c r="S212" s="248">
        <v>0</v>
      </c>
      <c r="T212" s="248">
        <v>0</v>
      </c>
      <c r="U212" s="248">
        <v>59003.946000000004</v>
      </c>
      <c r="V212" s="248"/>
      <c r="W212" s="248"/>
      <c r="X212" s="248"/>
      <c r="Y212" s="248">
        <v>264792.36300000001</v>
      </c>
      <c r="Z212" s="249">
        <v>3</v>
      </c>
      <c r="AA212" s="250">
        <v>14</v>
      </c>
      <c r="AB212" s="251">
        <v>44232</v>
      </c>
      <c r="AC212" s="252">
        <v>44249</v>
      </c>
      <c r="AD212" s="249">
        <v>313076</v>
      </c>
      <c r="AE212" s="248">
        <v>23</v>
      </c>
      <c r="AF212" s="251">
        <v>44253</v>
      </c>
      <c r="AG212" s="252">
        <v>44286</v>
      </c>
      <c r="AH212" s="249">
        <v>3569</v>
      </c>
      <c r="AI212" s="248">
        <v>54</v>
      </c>
      <c r="AJ212" s="251">
        <v>44363</v>
      </c>
      <c r="AK212" s="252">
        <v>44369</v>
      </c>
      <c r="AL212" s="249"/>
      <c r="AM212" s="248"/>
      <c r="AN212" s="248"/>
      <c r="AO212" s="248"/>
      <c r="AP212" s="248"/>
      <c r="AQ212" s="248"/>
      <c r="AR212" s="248"/>
      <c r="AS212" s="248"/>
      <c r="AT212" s="249"/>
      <c r="AU212" s="248"/>
      <c r="AV212" s="248"/>
      <c r="AW212" s="248"/>
      <c r="AX212" s="249"/>
      <c r="AY212" s="248"/>
      <c r="AZ212" s="248"/>
      <c r="BA212" s="248"/>
      <c r="BB212" s="248">
        <f t="shared" si="14"/>
        <v>316648</v>
      </c>
      <c r="BC212" s="248">
        <f t="shared" si="12"/>
        <v>51855.636999999988</v>
      </c>
    </row>
    <row r="213" spans="2:55" s="39" customFormat="1" ht="23.25" customHeight="1">
      <c r="B213" s="22">
        <f t="shared" si="15"/>
        <v>197</v>
      </c>
      <c r="C213" s="22" t="s">
        <v>39</v>
      </c>
      <c r="D213" s="23">
        <v>40016451</v>
      </c>
      <c r="E213" s="48" t="s">
        <v>919</v>
      </c>
      <c r="F213" s="48" t="s">
        <v>317</v>
      </c>
      <c r="G213" s="26" t="s">
        <v>683</v>
      </c>
      <c r="H213" s="48" t="s">
        <v>832</v>
      </c>
      <c r="I213" s="25" t="s">
        <v>52</v>
      </c>
      <c r="J213" s="247">
        <v>426724</v>
      </c>
      <c r="K213" s="247"/>
      <c r="L213" s="247">
        <f t="shared" si="13"/>
        <v>426724</v>
      </c>
      <c r="M213" s="248"/>
      <c r="N213" s="248"/>
      <c r="O213" s="248"/>
      <c r="P213" s="248">
        <v>77646.192999999999</v>
      </c>
      <c r="Q213" s="248">
        <v>36053.121000000006</v>
      </c>
      <c r="R213" s="248">
        <v>0</v>
      </c>
      <c r="S213" s="248">
        <v>0</v>
      </c>
      <c r="T213" s="248">
        <v>94586.986999999994</v>
      </c>
      <c r="U213" s="248">
        <v>49105.048999999999</v>
      </c>
      <c r="V213" s="248"/>
      <c r="W213" s="248"/>
      <c r="X213" s="248"/>
      <c r="Y213" s="248">
        <v>257391.35</v>
      </c>
      <c r="Z213" s="249">
        <v>1</v>
      </c>
      <c r="AA213" s="250">
        <v>14</v>
      </c>
      <c r="AB213" s="251">
        <v>44232</v>
      </c>
      <c r="AC213" s="252">
        <v>44249</v>
      </c>
      <c r="AD213" s="249">
        <v>214442</v>
      </c>
      <c r="AE213" s="248">
        <v>23</v>
      </c>
      <c r="AF213" s="251">
        <v>44253</v>
      </c>
      <c r="AG213" s="252">
        <v>44286</v>
      </c>
      <c r="AH213" s="249">
        <v>51000</v>
      </c>
      <c r="AI213" s="248">
        <v>95</v>
      </c>
      <c r="AJ213" s="251">
        <v>44460</v>
      </c>
      <c r="AK213" s="252">
        <v>44466</v>
      </c>
      <c r="AL213" s="249"/>
      <c r="AM213" s="248"/>
      <c r="AN213" s="248"/>
      <c r="AO213" s="248"/>
      <c r="AP213" s="248"/>
      <c r="AQ213" s="248"/>
      <c r="AR213" s="248"/>
      <c r="AS213" s="248"/>
      <c r="AT213" s="249"/>
      <c r="AU213" s="248"/>
      <c r="AV213" s="248"/>
      <c r="AW213" s="248"/>
      <c r="AX213" s="249"/>
      <c r="AY213" s="248"/>
      <c r="AZ213" s="248"/>
      <c r="BA213" s="248"/>
      <c r="BB213" s="248">
        <f t="shared" si="14"/>
        <v>265443</v>
      </c>
      <c r="BC213" s="248">
        <f t="shared" si="12"/>
        <v>8051.6499999999942</v>
      </c>
    </row>
    <row r="214" spans="2:55" s="39" customFormat="1" ht="23.25" customHeight="1">
      <c r="B214" s="22">
        <f t="shared" si="15"/>
        <v>198</v>
      </c>
      <c r="C214" s="22" t="s">
        <v>39</v>
      </c>
      <c r="D214" s="23">
        <v>30452980</v>
      </c>
      <c r="E214" s="48" t="s">
        <v>920</v>
      </c>
      <c r="F214" s="48" t="s">
        <v>317</v>
      </c>
      <c r="G214" s="26" t="s">
        <v>683</v>
      </c>
      <c r="H214" s="48" t="s">
        <v>683</v>
      </c>
      <c r="I214" s="25" t="s">
        <v>52</v>
      </c>
      <c r="J214" s="247">
        <v>134839</v>
      </c>
      <c r="K214" s="247"/>
      <c r="L214" s="247">
        <f t="shared" si="13"/>
        <v>134839</v>
      </c>
      <c r="M214" s="248"/>
      <c r="N214" s="248"/>
      <c r="O214" s="248"/>
      <c r="P214" s="248"/>
      <c r="Q214" s="248"/>
      <c r="R214" s="248"/>
      <c r="S214" s="248">
        <v>0</v>
      </c>
      <c r="T214" s="248">
        <v>0</v>
      </c>
      <c r="U214" s="248">
        <v>0</v>
      </c>
      <c r="V214" s="248"/>
      <c r="W214" s="248"/>
      <c r="X214" s="248"/>
      <c r="Y214" s="248">
        <v>0</v>
      </c>
      <c r="Z214" s="249">
        <v>3</v>
      </c>
      <c r="AA214" s="250">
        <v>14</v>
      </c>
      <c r="AB214" s="251">
        <v>44232</v>
      </c>
      <c r="AC214" s="252">
        <v>44249</v>
      </c>
      <c r="AD214" s="249"/>
      <c r="AE214" s="248"/>
      <c r="AF214" s="251"/>
      <c r="AG214" s="251"/>
      <c r="AH214" s="249"/>
      <c r="AI214" s="248"/>
      <c r="AJ214" s="251"/>
      <c r="AK214" s="248"/>
      <c r="AL214" s="249"/>
      <c r="AM214" s="248"/>
      <c r="AN214" s="248"/>
      <c r="AO214" s="248"/>
      <c r="AP214" s="248"/>
      <c r="AQ214" s="248"/>
      <c r="AR214" s="248"/>
      <c r="AS214" s="248"/>
      <c r="AT214" s="249"/>
      <c r="AU214" s="248"/>
      <c r="AV214" s="248"/>
      <c r="AW214" s="248"/>
      <c r="AX214" s="249"/>
      <c r="AY214" s="248"/>
      <c r="AZ214" s="248"/>
      <c r="BA214" s="248"/>
      <c r="BB214" s="248">
        <f t="shared" si="14"/>
        <v>3</v>
      </c>
      <c r="BC214" s="248">
        <f t="shared" si="12"/>
        <v>3</v>
      </c>
    </row>
    <row r="215" spans="2:55" s="39" customFormat="1" ht="23.25" customHeight="1">
      <c r="B215" s="22">
        <f t="shared" si="15"/>
        <v>199</v>
      </c>
      <c r="C215" s="22" t="s">
        <v>39</v>
      </c>
      <c r="D215" s="23">
        <v>30464322</v>
      </c>
      <c r="E215" s="48" t="s">
        <v>921</v>
      </c>
      <c r="F215" s="48" t="s">
        <v>317</v>
      </c>
      <c r="G215" s="26" t="s">
        <v>683</v>
      </c>
      <c r="H215" s="48" t="s">
        <v>683</v>
      </c>
      <c r="I215" s="25" t="s">
        <v>52</v>
      </c>
      <c r="J215" s="247">
        <v>1332568</v>
      </c>
      <c r="K215" s="247"/>
      <c r="L215" s="247">
        <f t="shared" si="13"/>
        <v>1332568</v>
      </c>
      <c r="M215" s="248"/>
      <c r="N215" s="248"/>
      <c r="O215" s="248"/>
      <c r="P215" s="248"/>
      <c r="Q215" s="248"/>
      <c r="R215" s="248"/>
      <c r="S215" s="248">
        <v>0</v>
      </c>
      <c r="T215" s="248">
        <v>0</v>
      </c>
      <c r="U215" s="248">
        <v>58829.008999999998</v>
      </c>
      <c r="V215" s="248"/>
      <c r="W215" s="248"/>
      <c r="X215" s="248"/>
      <c r="Y215" s="248">
        <v>58829.008999999998</v>
      </c>
      <c r="Z215" s="249">
        <v>3</v>
      </c>
      <c r="AA215" s="250">
        <v>14</v>
      </c>
      <c r="AB215" s="251">
        <v>44232</v>
      </c>
      <c r="AC215" s="252">
        <v>44249</v>
      </c>
      <c r="AD215" s="249"/>
      <c r="AE215" s="248"/>
      <c r="AF215" s="251"/>
      <c r="AG215" s="251"/>
      <c r="AH215" s="249"/>
      <c r="AI215" s="248"/>
      <c r="AJ215" s="251"/>
      <c r="AK215" s="248"/>
      <c r="AL215" s="249"/>
      <c r="AM215" s="248"/>
      <c r="AN215" s="248"/>
      <c r="AO215" s="248"/>
      <c r="AP215" s="248"/>
      <c r="AQ215" s="248"/>
      <c r="AR215" s="248"/>
      <c r="AS215" s="248"/>
      <c r="AT215" s="249"/>
      <c r="AU215" s="248"/>
      <c r="AV215" s="248"/>
      <c r="AW215" s="248"/>
      <c r="AX215" s="249"/>
      <c r="AY215" s="248"/>
      <c r="AZ215" s="248"/>
      <c r="BA215" s="248"/>
      <c r="BB215" s="248">
        <f t="shared" si="14"/>
        <v>3</v>
      </c>
      <c r="BC215" s="248">
        <f t="shared" si="12"/>
        <v>-58826.008999999998</v>
      </c>
    </row>
    <row r="216" spans="2:55" s="39" customFormat="1" ht="33.75">
      <c r="B216" s="22">
        <f t="shared" si="15"/>
        <v>200</v>
      </c>
      <c r="C216" s="22" t="s">
        <v>39</v>
      </c>
      <c r="D216" s="23">
        <v>40017347</v>
      </c>
      <c r="E216" s="48" t="s">
        <v>922</v>
      </c>
      <c r="F216" s="48" t="s">
        <v>700</v>
      </c>
      <c r="G216" s="26" t="s">
        <v>683</v>
      </c>
      <c r="H216" s="48" t="s">
        <v>683</v>
      </c>
      <c r="I216" s="25" t="s">
        <v>52</v>
      </c>
      <c r="J216" s="247">
        <v>50784</v>
      </c>
      <c r="K216" s="247"/>
      <c r="L216" s="247">
        <f t="shared" si="13"/>
        <v>50784</v>
      </c>
      <c r="M216" s="248"/>
      <c r="N216" s="248"/>
      <c r="O216" s="248"/>
      <c r="P216" s="248"/>
      <c r="Q216" s="248"/>
      <c r="R216" s="248"/>
      <c r="S216" s="248">
        <v>0</v>
      </c>
      <c r="T216" s="248">
        <v>0</v>
      </c>
      <c r="U216" s="248">
        <v>7752</v>
      </c>
      <c r="V216" s="248"/>
      <c r="W216" s="248"/>
      <c r="X216" s="248"/>
      <c r="Y216" s="248">
        <v>7752</v>
      </c>
      <c r="Z216" s="249">
        <v>2</v>
      </c>
      <c r="AA216" s="250">
        <v>14</v>
      </c>
      <c r="AB216" s="251">
        <v>44232</v>
      </c>
      <c r="AC216" s="252">
        <v>44249</v>
      </c>
      <c r="AD216" s="249">
        <v>1025</v>
      </c>
      <c r="AE216" s="248">
        <v>49</v>
      </c>
      <c r="AF216" s="251">
        <v>44348</v>
      </c>
      <c r="AG216" s="252">
        <v>44354</v>
      </c>
      <c r="AH216" s="249">
        <v>9000</v>
      </c>
      <c r="AI216" s="248">
        <v>85</v>
      </c>
      <c r="AJ216" s="251">
        <v>44435</v>
      </c>
      <c r="AK216" s="252">
        <v>44446</v>
      </c>
      <c r="AL216" s="249">
        <v>10000</v>
      </c>
      <c r="AM216" s="248">
        <v>87</v>
      </c>
      <c r="AN216" s="252">
        <v>44439</v>
      </c>
      <c r="AO216" s="252">
        <v>44446</v>
      </c>
      <c r="AP216" s="248"/>
      <c r="AQ216" s="248"/>
      <c r="AR216" s="248"/>
      <c r="AS216" s="248"/>
      <c r="AT216" s="249"/>
      <c r="AU216" s="248"/>
      <c r="AV216" s="248"/>
      <c r="AW216" s="248"/>
      <c r="AX216" s="249"/>
      <c r="AY216" s="248"/>
      <c r="AZ216" s="248"/>
      <c r="BA216" s="248"/>
      <c r="BB216" s="248">
        <f t="shared" si="14"/>
        <v>20027</v>
      </c>
      <c r="BC216" s="248">
        <f t="shared" si="12"/>
        <v>12275</v>
      </c>
    </row>
    <row r="217" spans="2:55" s="39" customFormat="1" ht="23.25" customHeight="1">
      <c r="B217" s="22">
        <f t="shared" si="15"/>
        <v>201</v>
      </c>
      <c r="C217" s="22" t="s">
        <v>39</v>
      </c>
      <c r="D217" s="23">
        <v>40009387</v>
      </c>
      <c r="E217" s="48" t="s">
        <v>923</v>
      </c>
      <c r="F217" s="48" t="s">
        <v>317</v>
      </c>
      <c r="G217" s="26" t="s">
        <v>683</v>
      </c>
      <c r="H217" s="48" t="s">
        <v>686</v>
      </c>
      <c r="I217" s="25" t="s">
        <v>52</v>
      </c>
      <c r="J217" s="247">
        <v>1100264</v>
      </c>
      <c r="K217" s="247"/>
      <c r="L217" s="247">
        <f t="shared" si="13"/>
        <v>1100264</v>
      </c>
      <c r="M217" s="248"/>
      <c r="N217" s="248"/>
      <c r="O217" s="248"/>
      <c r="P217" s="248"/>
      <c r="Q217" s="248"/>
      <c r="R217" s="248"/>
      <c r="S217" s="248">
        <v>0</v>
      </c>
      <c r="T217" s="248">
        <v>102523.408</v>
      </c>
      <c r="U217" s="248">
        <v>203461.51500000001</v>
      </c>
      <c r="V217" s="248"/>
      <c r="W217" s="248"/>
      <c r="X217" s="248"/>
      <c r="Y217" s="248">
        <v>305984.92300000001</v>
      </c>
      <c r="Z217" s="249">
        <v>3</v>
      </c>
      <c r="AA217" s="250">
        <v>14</v>
      </c>
      <c r="AB217" s="251">
        <v>44232</v>
      </c>
      <c r="AC217" s="252">
        <v>44249</v>
      </c>
      <c r="AD217" s="249">
        <v>93000</v>
      </c>
      <c r="AE217" s="248">
        <v>82</v>
      </c>
      <c r="AF217" s="251">
        <v>44245</v>
      </c>
      <c r="AG217" s="251">
        <v>44431</v>
      </c>
      <c r="AH217" s="249">
        <v>10000</v>
      </c>
      <c r="AI217" s="248">
        <v>84</v>
      </c>
      <c r="AJ217" s="251">
        <v>44431</v>
      </c>
      <c r="AK217" s="252">
        <v>44433</v>
      </c>
      <c r="AL217" s="249">
        <v>102000</v>
      </c>
      <c r="AM217" s="248">
        <v>85</v>
      </c>
      <c r="AN217" s="252">
        <v>44435</v>
      </c>
      <c r="AO217" s="252">
        <v>44446</v>
      </c>
      <c r="AP217" s="248">
        <v>95000</v>
      </c>
      <c r="AQ217" s="248">
        <v>87</v>
      </c>
      <c r="AR217" s="252">
        <v>44439</v>
      </c>
      <c r="AS217" s="252">
        <v>44446</v>
      </c>
      <c r="AT217" s="249"/>
      <c r="AU217" s="248"/>
      <c r="AV217" s="248"/>
      <c r="AW217" s="248"/>
      <c r="AX217" s="249"/>
      <c r="AY217" s="248"/>
      <c r="AZ217" s="248"/>
      <c r="BA217" s="248"/>
      <c r="BB217" s="248">
        <f t="shared" si="14"/>
        <v>300003</v>
      </c>
      <c r="BC217" s="248">
        <f t="shared" si="12"/>
        <v>-5981.9230000000098</v>
      </c>
    </row>
    <row r="218" spans="2:55" s="39" customFormat="1" ht="23.25" customHeight="1">
      <c r="B218" s="22">
        <f t="shared" si="15"/>
        <v>202</v>
      </c>
      <c r="C218" s="22" t="s">
        <v>39</v>
      </c>
      <c r="D218" s="23">
        <v>30476439</v>
      </c>
      <c r="E218" s="48" t="s">
        <v>924</v>
      </c>
      <c r="F218" s="48" t="s">
        <v>317</v>
      </c>
      <c r="G218" s="26" t="s">
        <v>683</v>
      </c>
      <c r="H218" s="48" t="s">
        <v>686</v>
      </c>
      <c r="I218" s="25" t="s">
        <v>52</v>
      </c>
      <c r="J218" s="247">
        <v>198797</v>
      </c>
      <c r="K218" s="247"/>
      <c r="L218" s="247">
        <f t="shared" si="13"/>
        <v>198797</v>
      </c>
      <c r="M218" s="248"/>
      <c r="N218" s="248"/>
      <c r="O218" s="248"/>
      <c r="P218" s="248"/>
      <c r="Q218" s="248"/>
      <c r="R218" s="248"/>
      <c r="S218" s="248">
        <v>0</v>
      </c>
      <c r="T218" s="248">
        <v>0</v>
      </c>
      <c r="U218" s="248">
        <v>0</v>
      </c>
      <c r="V218" s="248"/>
      <c r="W218" s="248"/>
      <c r="X218" s="248"/>
      <c r="Y218" s="248">
        <v>0</v>
      </c>
      <c r="Z218" s="249">
        <v>4</v>
      </c>
      <c r="AA218" s="250">
        <v>14</v>
      </c>
      <c r="AB218" s="251">
        <v>44232</v>
      </c>
      <c r="AC218" s="252">
        <v>44249</v>
      </c>
      <c r="AD218" s="249"/>
      <c r="AE218" s="248"/>
      <c r="AF218" s="251"/>
      <c r="AG218" s="251"/>
      <c r="AH218" s="249"/>
      <c r="AI218" s="248"/>
      <c r="AJ218" s="251"/>
      <c r="AK218" s="248"/>
      <c r="AL218" s="249"/>
      <c r="AM218" s="248"/>
      <c r="AN218" s="248"/>
      <c r="AO218" s="248"/>
      <c r="AP218" s="248"/>
      <c r="AQ218" s="248"/>
      <c r="AR218" s="248"/>
      <c r="AS218" s="248"/>
      <c r="AT218" s="249"/>
      <c r="AU218" s="248"/>
      <c r="AV218" s="248"/>
      <c r="AW218" s="248"/>
      <c r="AX218" s="249"/>
      <c r="AY218" s="248"/>
      <c r="AZ218" s="248"/>
      <c r="BA218" s="248"/>
      <c r="BB218" s="248">
        <f t="shared" si="14"/>
        <v>4</v>
      </c>
      <c r="BC218" s="248">
        <f t="shared" si="12"/>
        <v>4</v>
      </c>
    </row>
    <row r="219" spans="2:55" s="39" customFormat="1" ht="23.25" customHeight="1">
      <c r="B219" s="22">
        <f t="shared" si="15"/>
        <v>203</v>
      </c>
      <c r="C219" s="22" t="s">
        <v>39</v>
      </c>
      <c r="D219" s="23">
        <v>40002098</v>
      </c>
      <c r="E219" s="48" t="s">
        <v>925</v>
      </c>
      <c r="F219" s="48" t="s">
        <v>317</v>
      </c>
      <c r="G219" s="26" t="s">
        <v>683</v>
      </c>
      <c r="H219" s="48" t="s">
        <v>686</v>
      </c>
      <c r="I219" s="25" t="s">
        <v>52</v>
      </c>
      <c r="J219" s="247">
        <v>727793</v>
      </c>
      <c r="K219" s="247"/>
      <c r="L219" s="247">
        <f t="shared" si="13"/>
        <v>727793</v>
      </c>
      <c r="M219" s="248"/>
      <c r="N219" s="248"/>
      <c r="O219" s="248"/>
      <c r="P219" s="248"/>
      <c r="Q219" s="248"/>
      <c r="R219" s="248"/>
      <c r="S219" s="248">
        <v>0</v>
      </c>
      <c r="T219" s="248">
        <v>0</v>
      </c>
      <c r="U219" s="248">
        <v>0</v>
      </c>
      <c r="V219" s="248"/>
      <c r="W219" s="248"/>
      <c r="X219" s="248"/>
      <c r="Y219" s="248">
        <v>0</v>
      </c>
      <c r="Z219" s="249">
        <v>3</v>
      </c>
      <c r="AA219" s="250">
        <v>14</v>
      </c>
      <c r="AB219" s="251">
        <v>44232</v>
      </c>
      <c r="AC219" s="252">
        <v>44249</v>
      </c>
      <c r="AD219" s="249"/>
      <c r="AE219" s="248"/>
      <c r="AF219" s="251"/>
      <c r="AG219" s="251"/>
      <c r="AH219" s="249"/>
      <c r="AI219" s="248"/>
      <c r="AJ219" s="251"/>
      <c r="AK219" s="248"/>
      <c r="AL219" s="249"/>
      <c r="AM219" s="248"/>
      <c r="AN219" s="248"/>
      <c r="AO219" s="248"/>
      <c r="AP219" s="248"/>
      <c r="AQ219" s="248"/>
      <c r="AR219" s="248"/>
      <c r="AS219" s="248"/>
      <c r="AT219" s="249"/>
      <c r="AU219" s="248"/>
      <c r="AV219" s="248"/>
      <c r="AW219" s="248"/>
      <c r="AX219" s="249"/>
      <c r="AY219" s="248"/>
      <c r="AZ219" s="248"/>
      <c r="BA219" s="248"/>
      <c r="BB219" s="248">
        <f t="shared" si="14"/>
        <v>3</v>
      </c>
      <c r="BC219" s="248">
        <f t="shared" si="12"/>
        <v>3</v>
      </c>
    </row>
    <row r="220" spans="2:55" s="39" customFormat="1" ht="23.25" customHeight="1">
      <c r="B220" s="22">
        <f t="shared" si="15"/>
        <v>204</v>
      </c>
      <c r="C220" s="22" t="s">
        <v>39</v>
      </c>
      <c r="D220" s="23">
        <v>40017201</v>
      </c>
      <c r="E220" s="48" t="s">
        <v>926</v>
      </c>
      <c r="F220" s="48" t="s">
        <v>700</v>
      </c>
      <c r="G220" s="26" t="s">
        <v>683</v>
      </c>
      <c r="H220" s="48" t="s">
        <v>686</v>
      </c>
      <c r="I220" s="25" t="s">
        <v>52</v>
      </c>
      <c r="J220" s="247">
        <v>1517713</v>
      </c>
      <c r="K220" s="247"/>
      <c r="L220" s="247">
        <f t="shared" si="13"/>
        <v>1517713</v>
      </c>
      <c r="M220" s="248"/>
      <c r="N220" s="248"/>
      <c r="O220" s="248"/>
      <c r="P220" s="248"/>
      <c r="Q220" s="248"/>
      <c r="R220" s="248"/>
      <c r="S220" s="248">
        <v>0</v>
      </c>
      <c r="T220" s="248">
        <v>0</v>
      </c>
      <c r="U220" s="248">
        <v>1058389.6910000001</v>
      </c>
      <c r="V220" s="248"/>
      <c r="W220" s="248"/>
      <c r="X220" s="248"/>
      <c r="Y220" s="248">
        <v>1058389.6910000001</v>
      </c>
      <c r="Z220" s="249">
        <v>1</v>
      </c>
      <c r="AA220" s="250">
        <v>14</v>
      </c>
      <c r="AB220" s="251">
        <v>44232</v>
      </c>
      <c r="AC220" s="252">
        <v>44249</v>
      </c>
      <c r="AD220" s="249">
        <v>1100001</v>
      </c>
      <c r="AE220" s="248">
        <v>49</v>
      </c>
      <c r="AF220" s="251">
        <v>44348</v>
      </c>
      <c r="AG220" s="252">
        <v>44354</v>
      </c>
      <c r="AH220" s="249"/>
      <c r="AI220" s="248"/>
      <c r="AJ220" s="251"/>
      <c r="AK220" s="248"/>
      <c r="AL220" s="249"/>
      <c r="AM220" s="248"/>
      <c r="AN220" s="248"/>
      <c r="AO220" s="248"/>
      <c r="AP220" s="248"/>
      <c r="AQ220" s="248"/>
      <c r="AR220" s="248"/>
      <c r="AS220" s="248"/>
      <c r="AT220" s="249"/>
      <c r="AU220" s="248"/>
      <c r="AV220" s="248"/>
      <c r="AW220" s="248"/>
      <c r="AX220" s="249"/>
      <c r="AY220" s="248"/>
      <c r="AZ220" s="248"/>
      <c r="BA220" s="248"/>
      <c r="BB220" s="248">
        <f t="shared" si="14"/>
        <v>1100002</v>
      </c>
      <c r="BC220" s="248">
        <f t="shared" si="12"/>
        <v>41612.308999999892</v>
      </c>
    </row>
    <row r="221" spans="2:55" s="39" customFormat="1" ht="23.25" customHeight="1">
      <c r="B221" s="22">
        <f t="shared" si="15"/>
        <v>205</v>
      </c>
      <c r="C221" s="22" t="s">
        <v>39</v>
      </c>
      <c r="D221" s="23">
        <v>30085253</v>
      </c>
      <c r="E221" s="48" t="s">
        <v>927</v>
      </c>
      <c r="F221" s="48" t="s">
        <v>317</v>
      </c>
      <c r="G221" s="26" t="s">
        <v>683</v>
      </c>
      <c r="H221" s="48" t="s">
        <v>830</v>
      </c>
      <c r="I221" s="25" t="s">
        <v>44</v>
      </c>
      <c r="J221" s="247">
        <v>1136354</v>
      </c>
      <c r="K221" s="247">
        <v>7554</v>
      </c>
      <c r="L221" s="247">
        <f t="shared" si="13"/>
        <v>1128800</v>
      </c>
      <c r="M221" s="248"/>
      <c r="N221" s="248"/>
      <c r="O221" s="248"/>
      <c r="P221" s="248"/>
      <c r="Q221" s="248"/>
      <c r="R221" s="248"/>
      <c r="S221" s="248">
        <v>0</v>
      </c>
      <c r="T221" s="248">
        <v>0</v>
      </c>
      <c r="U221" s="248">
        <v>0</v>
      </c>
      <c r="V221" s="248"/>
      <c r="W221" s="248"/>
      <c r="X221" s="248"/>
      <c r="Y221" s="248">
        <v>0</v>
      </c>
      <c r="Z221" s="249">
        <v>3</v>
      </c>
      <c r="AA221" s="250">
        <v>14</v>
      </c>
      <c r="AB221" s="251">
        <v>44232</v>
      </c>
      <c r="AC221" s="252">
        <v>44249</v>
      </c>
      <c r="AD221" s="249"/>
      <c r="AE221" s="248"/>
      <c r="AF221" s="251"/>
      <c r="AG221" s="251"/>
      <c r="AH221" s="249"/>
      <c r="AI221" s="248"/>
      <c r="AJ221" s="251"/>
      <c r="AK221" s="248"/>
      <c r="AL221" s="249"/>
      <c r="AM221" s="248"/>
      <c r="AN221" s="248"/>
      <c r="AO221" s="248"/>
      <c r="AP221" s="248"/>
      <c r="AQ221" s="248"/>
      <c r="AR221" s="248"/>
      <c r="AS221" s="248"/>
      <c r="AT221" s="249"/>
      <c r="AU221" s="248"/>
      <c r="AV221" s="248"/>
      <c r="AW221" s="248"/>
      <c r="AX221" s="249"/>
      <c r="AY221" s="248"/>
      <c r="AZ221" s="248"/>
      <c r="BA221" s="248"/>
      <c r="BB221" s="248">
        <f t="shared" si="14"/>
        <v>3</v>
      </c>
      <c r="BC221" s="248">
        <f t="shared" si="12"/>
        <v>3</v>
      </c>
    </row>
    <row r="222" spans="2:55" s="39" customFormat="1" ht="23.25" customHeight="1">
      <c r="B222" s="22">
        <f t="shared" si="15"/>
        <v>206</v>
      </c>
      <c r="C222" s="22" t="s">
        <v>39</v>
      </c>
      <c r="D222" s="23">
        <v>40008132</v>
      </c>
      <c r="E222" s="48" t="s">
        <v>928</v>
      </c>
      <c r="F222" s="48" t="s">
        <v>317</v>
      </c>
      <c r="G222" s="26" t="s">
        <v>683</v>
      </c>
      <c r="H222" s="48" t="s">
        <v>758</v>
      </c>
      <c r="I222" s="25" t="s">
        <v>52</v>
      </c>
      <c r="J222" s="247">
        <v>937916</v>
      </c>
      <c r="K222" s="247"/>
      <c r="L222" s="247">
        <f t="shared" si="13"/>
        <v>937916</v>
      </c>
      <c r="M222" s="248"/>
      <c r="N222" s="248"/>
      <c r="O222" s="248"/>
      <c r="P222" s="248"/>
      <c r="Q222" s="248"/>
      <c r="R222" s="248"/>
      <c r="S222" s="248">
        <v>0</v>
      </c>
      <c r="T222" s="248">
        <v>0</v>
      </c>
      <c r="U222" s="248">
        <v>454872.67000000004</v>
      </c>
      <c r="V222" s="248"/>
      <c r="W222" s="248"/>
      <c r="X222" s="248"/>
      <c r="Y222" s="248">
        <v>454872.67000000004</v>
      </c>
      <c r="Z222" s="249">
        <v>2</v>
      </c>
      <c r="AA222" s="250">
        <v>14</v>
      </c>
      <c r="AB222" s="251">
        <v>44232</v>
      </c>
      <c r="AC222" s="252">
        <v>44249</v>
      </c>
      <c r="AD222" s="249">
        <v>511000</v>
      </c>
      <c r="AE222" s="248">
        <v>23</v>
      </c>
      <c r="AF222" s="251">
        <v>44253</v>
      </c>
      <c r="AG222" s="252">
        <v>44286</v>
      </c>
      <c r="AH222" s="249"/>
      <c r="AI222" s="248"/>
      <c r="AJ222" s="251"/>
      <c r="AK222" s="248"/>
      <c r="AL222" s="249"/>
      <c r="AM222" s="248"/>
      <c r="AN222" s="248"/>
      <c r="AO222" s="248"/>
      <c r="AP222" s="248"/>
      <c r="AQ222" s="248"/>
      <c r="AR222" s="248"/>
      <c r="AS222" s="248"/>
      <c r="AT222" s="249"/>
      <c r="AU222" s="248"/>
      <c r="AV222" s="248"/>
      <c r="AW222" s="248"/>
      <c r="AX222" s="249"/>
      <c r="AY222" s="248"/>
      <c r="AZ222" s="248"/>
      <c r="BA222" s="248"/>
      <c r="BB222" s="248">
        <f t="shared" si="14"/>
        <v>511002</v>
      </c>
      <c r="BC222" s="248">
        <f t="shared" si="12"/>
        <v>56129.329999999958</v>
      </c>
    </row>
    <row r="223" spans="2:55" s="39" customFormat="1" ht="23.25" customHeight="1">
      <c r="B223" s="22">
        <f t="shared" si="15"/>
        <v>207</v>
      </c>
      <c r="C223" s="22" t="s">
        <v>39</v>
      </c>
      <c r="D223" s="23">
        <v>30176826</v>
      </c>
      <c r="E223" s="48" t="s">
        <v>929</v>
      </c>
      <c r="F223" s="48" t="s">
        <v>317</v>
      </c>
      <c r="G223" s="26" t="s">
        <v>683</v>
      </c>
      <c r="H223" s="48" t="s">
        <v>683</v>
      </c>
      <c r="I223" s="25" t="s">
        <v>52</v>
      </c>
      <c r="J223" s="247">
        <v>754447</v>
      </c>
      <c r="K223" s="247"/>
      <c r="L223" s="247">
        <f t="shared" si="13"/>
        <v>754447</v>
      </c>
      <c r="M223" s="248"/>
      <c r="N223" s="248"/>
      <c r="O223" s="248"/>
      <c r="P223" s="248">
        <v>0</v>
      </c>
      <c r="Q223" s="248">
        <v>0</v>
      </c>
      <c r="R223" s="248">
        <v>120123.618</v>
      </c>
      <c r="S223" s="248">
        <v>43251.165000000001</v>
      </c>
      <c r="T223" s="248">
        <v>12495.380999999999</v>
      </c>
      <c r="U223" s="248">
        <v>120915.378</v>
      </c>
      <c r="V223" s="248"/>
      <c r="W223" s="248"/>
      <c r="X223" s="248"/>
      <c r="Y223" s="248">
        <v>296785.54200000002</v>
      </c>
      <c r="Z223" s="249">
        <v>4</v>
      </c>
      <c r="AA223" s="250">
        <v>14</v>
      </c>
      <c r="AB223" s="251">
        <v>44232</v>
      </c>
      <c r="AC223" s="252">
        <v>44249</v>
      </c>
      <c r="AD223" s="249">
        <v>427372</v>
      </c>
      <c r="AE223" s="248">
        <v>35</v>
      </c>
      <c r="AF223" s="251">
        <v>44314</v>
      </c>
      <c r="AG223" s="252">
        <v>44327</v>
      </c>
      <c r="AH223" s="249"/>
      <c r="AI223" s="248"/>
      <c r="AJ223" s="251"/>
      <c r="AK223" s="248"/>
      <c r="AL223" s="249"/>
      <c r="AM223" s="248"/>
      <c r="AN223" s="248"/>
      <c r="AO223" s="248"/>
      <c r="AP223" s="248"/>
      <c r="AQ223" s="248"/>
      <c r="AR223" s="248"/>
      <c r="AS223" s="248"/>
      <c r="AT223" s="249"/>
      <c r="AU223" s="248"/>
      <c r="AV223" s="248"/>
      <c r="AW223" s="248"/>
      <c r="AX223" s="249"/>
      <c r="AY223" s="248"/>
      <c r="AZ223" s="248"/>
      <c r="BA223" s="248"/>
      <c r="BB223" s="248">
        <f t="shared" si="14"/>
        <v>427376</v>
      </c>
      <c r="BC223" s="248">
        <f t="shared" si="12"/>
        <v>130590.45799999998</v>
      </c>
    </row>
    <row r="224" spans="2:55" s="39" customFormat="1" ht="23.25" customHeight="1">
      <c r="B224" s="22">
        <f t="shared" si="15"/>
        <v>208</v>
      </c>
      <c r="C224" s="22" t="s">
        <v>39</v>
      </c>
      <c r="D224" s="23">
        <v>30459937</v>
      </c>
      <c r="E224" s="48" t="s">
        <v>930</v>
      </c>
      <c r="F224" s="48" t="s">
        <v>700</v>
      </c>
      <c r="G224" s="26" t="s">
        <v>683</v>
      </c>
      <c r="H224" s="48" t="s">
        <v>732</v>
      </c>
      <c r="I224" s="25" t="s">
        <v>44</v>
      </c>
      <c r="J224" s="247">
        <v>29143</v>
      </c>
      <c r="K224" s="247">
        <v>17826</v>
      </c>
      <c r="L224" s="247">
        <f t="shared" si="13"/>
        <v>11317</v>
      </c>
      <c r="M224" s="248"/>
      <c r="N224" s="248">
        <v>7189.98</v>
      </c>
      <c r="O224" s="248"/>
      <c r="P224" s="248">
        <v>0</v>
      </c>
      <c r="Q224" s="248">
        <v>0</v>
      </c>
      <c r="R224" s="248">
        <v>0</v>
      </c>
      <c r="S224" s="248">
        <v>0</v>
      </c>
      <c r="T224" s="248">
        <v>0</v>
      </c>
      <c r="U224" s="248">
        <v>0</v>
      </c>
      <c r="V224" s="248"/>
      <c r="W224" s="248"/>
      <c r="X224" s="248"/>
      <c r="Y224" s="248">
        <v>7189.98</v>
      </c>
      <c r="Z224" s="249">
        <v>7190</v>
      </c>
      <c r="AA224" s="250">
        <v>14</v>
      </c>
      <c r="AB224" s="251">
        <v>44232</v>
      </c>
      <c r="AC224" s="252">
        <v>44249</v>
      </c>
      <c r="AD224" s="249"/>
      <c r="AE224" s="248"/>
      <c r="AF224" s="251"/>
      <c r="AG224" s="251"/>
      <c r="AH224" s="249"/>
      <c r="AI224" s="248"/>
      <c r="AJ224" s="251"/>
      <c r="AK224" s="248"/>
      <c r="AL224" s="249"/>
      <c r="AM224" s="248"/>
      <c r="AN224" s="248"/>
      <c r="AO224" s="248"/>
      <c r="AP224" s="248"/>
      <c r="AQ224" s="248"/>
      <c r="AR224" s="248"/>
      <c r="AS224" s="248"/>
      <c r="AT224" s="249"/>
      <c r="AU224" s="248"/>
      <c r="AV224" s="248"/>
      <c r="AW224" s="248"/>
      <c r="AX224" s="249"/>
      <c r="AY224" s="248"/>
      <c r="AZ224" s="248"/>
      <c r="BA224" s="248"/>
      <c r="BB224" s="248">
        <f t="shared" si="14"/>
        <v>7190</v>
      </c>
      <c r="BC224" s="248">
        <f t="shared" si="12"/>
        <v>2.0000000000436557E-2</v>
      </c>
    </row>
    <row r="225" spans="2:55" s="39" customFormat="1" ht="23.25" customHeight="1">
      <c r="B225" s="22">
        <f t="shared" si="15"/>
        <v>209</v>
      </c>
      <c r="C225" s="22" t="s">
        <v>39</v>
      </c>
      <c r="D225" s="23">
        <v>40007895</v>
      </c>
      <c r="E225" s="48" t="s">
        <v>931</v>
      </c>
      <c r="F225" s="48" t="s">
        <v>700</v>
      </c>
      <c r="G225" s="26" t="s">
        <v>683</v>
      </c>
      <c r="H225" s="48" t="s">
        <v>732</v>
      </c>
      <c r="I225" s="25" t="s">
        <v>52</v>
      </c>
      <c r="J225" s="247">
        <v>200000</v>
      </c>
      <c r="K225" s="247"/>
      <c r="L225" s="247">
        <f t="shared" si="13"/>
        <v>200000</v>
      </c>
      <c r="M225" s="248"/>
      <c r="N225" s="248"/>
      <c r="O225" s="248"/>
      <c r="P225" s="248"/>
      <c r="Q225" s="248"/>
      <c r="R225" s="248"/>
      <c r="S225" s="248">
        <v>0</v>
      </c>
      <c r="T225" s="248">
        <v>0</v>
      </c>
      <c r="U225" s="248">
        <v>0</v>
      </c>
      <c r="V225" s="248"/>
      <c r="W225" s="248"/>
      <c r="X225" s="248"/>
      <c r="Y225" s="248">
        <v>0</v>
      </c>
      <c r="Z225" s="249">
        <v>200000</v>
      </c>
      <c r="AA225" s="250">
        <v>14</v>
      </c>
      <c r="AB225" s="251">
        <v>44232</v>
      </c>
      <c r="AC225" s="252">
        <v>44249</v>
      </c>
      <c r="AD225" s="249"/>
      <c r="AE225" s="248"/>
      <c r="AF225" s="251"/>
      <c r="AG225" s="251"/>
      <c r="AH225" s="249"/>
      <c r="AI225" s="248"/>
      <c r="AJ225" s="251"/>
      <c r="AK225" s="248"/>
      <c r="AL225" s="249"/>
      <c r="AM225" s="248"/>
      <c r="AN225" s="248"/>
      <c r="AO225" s="248"/>
      <c r="AP225" s="248"/>
      <c r="AQ225" s="248"/>
      <c r="AR225" s="248"/>
      <c r="AS225" s="248"/>
      <c r="AT225" s="249"/>
      <c r="AU225" s="248"/>
      <c r="AV225" s="248"/>
      <c r="AW225" s="248"/>
      <c r="AX225" s="249"/>
      <c r="AY225" s="248"/>
      <c r="AZ225" s="248"/>
      <c r="BA225" s="248"/>
      <c r="BB225" s="248">
        <f t="shared" si="14"/>
        <v>200000</v>
      </c>
      <c r="BC225" s="248">
        <f t="shared" si="12"/>
        <v>200000</v>
      </c>
    </row>
    <row r="226" spans="2:55" s="39" customFormat="1" ht="23.25" customHeight="1">
      <c r="B226" s="22">
        <f t="shared" si="15"/>
        <v>210</v>
      </c>
      <c r="C226" s="22" t="s">
        <v>39</v>
      </c>
      <c r="D226" s="23">
        <v>40012274</v>
      </c>
      <c r="E226" s="48" t="s">
        <v>932</v>
      </c>
      <c r="F226" s="48" t="s">
        <v>317</v>
      </c>
      <c r="G226" s="26" t="s">
        <v>683</v>
      </c>
      <c r="H226" s="48" t="s">
        <v>683</v>
      </c>
      <c r="I226" s="25" t="s">
        <v>52</v>
      </c>
      <c r="J226" s="247">
        <v>2470991</v>
      </c>
      <c r="K226" s="247"/>
      <c r="L226" s="247">
        <f t="shared" si="13"/>
        <v>2470991</v>
      </c>
      <c r="M226" s="248"/>
      <c r="N226" s="248"/>
      <c r="O226" s="248"/>
      <c r="P226" s="248"/>
      <c r="Q226" s="248"/>
      <c r="R226" s="248"/>
      <c r="S226" s="248">
        <v>386495.96</v>
      </c>
      <c r="T226" s="248">
        <v>155691.557</v>
      </c>
      <c r="U226" s="248">
        <v>0</v>
      </c>
      <c r="V226" s="248"/>
      <c r="W226" s="248"/>
      <c r="X226" s="248"/>
      <c r="Y226" s="248">
        <v>542187.51699999999</v>
      </c>
      <c r="Z226" s="249">
        <v>1630928</v>
      </c>
      <c r="AA226" s="250">
        <v>15</v>
      </c>
      <c r="AB226" s="251">
        <v>44232</v>
      </c>
      <c r="AC226" s="252">
        <v>44249</v>
      </c>
      <c r="AD226" s="249">
        <v>-400000</v>
      </c>
      <c r="AE226" s="248">
        <v>49</v>
      </c>
      <c r="AF226" s="251">
        <v>44348</v>
      </c>
      <c r="AG226" s="252">
        <v>44354</v>
      </c>
      <c r="AH226" s="249">
        <v>47017</v>
      </c>
      <c r="AI226" s="248">
        <v>73</v>
      </c>
      <c r="AJ226" s="251">
        <v>44406</v>
      </c>
      <c r="AK226" s="252">
        <v>44410</v>
      </c>
      <c r="AL226" s="249"/>
      <c r="AM226" s="248"/>
      <c r="AN226" s="248"/>
      <c r="AO226" s="248"/>
      <c r="AP226" s="248"/>
      <c r="AQ226" s="248"/>
      <c r="AR226" s="248"/>
      <c r="AS226" s="248"/>
      <c r="AT226" s="249"/>
      <c r="AU226" s="248"/>
      <c r="AV226" s="248"/>
      <c r="AW226" s="248"/>
      <c r="AX226" s="249"/>
      <c r="AY226" s="248"/>
      <c r="AZ226" s="248"/>
      <c r="BA226" s="248"/>
      <c r="BB226" s="248">
        <f t="shared" si="14"/>
        <v>1277945</v>
      </c>
      <c r="BC226" s="248">
        <f t="shared" si="12"/>
        <v>735757.48300000001</v>
      </c>
    </row>
    <row r="227" spans="2:55" s="39" customFormat="1" ht="23.25" customHeight="1">
      <c r="B227" s="22">
        <f t="shared" si="15"/>
        <v>211</v>
      </c>
      <c r="C227" s="22" t="s">
        <v>39</v>
      </c>
      <c r="D227" s="23">
        <v>30480199</v>
      </c>
      <c r="E227" s="48" t="s">
        <v>933</v>
      </c>
      <c r="F227" s="48" t="s">
        <v>317</v>
      </c>
      <c r="G227" s="26" t="s">
        <v>683</v>
      </c>
      <c r="H227" s="48" t="s">
        <v>683</v>
      </c>
      <c r="I227" s="25" t="s">
        <v>44</v>
      </c>
      <c r="J227" s="247">
        <v>499690</v>
      </c>
      <c r="K227" s="247"/>
      <c r="L227" s="247">
        <f t="shared" si="13"/>
        <v>499690</v>
      </c>
      <c r="M227" s="248"/>
      <c r="N227" s="248"/>
      <c r="O227" s="248">
        <v>9907.5150000000012</v>
      </c>
      <c r="P227" s="248">
        <v>3067.9160000000002</v>
      </c>
      <c r="Q227" s="248">
        <v>0</v>
      </c>
      <c r="R227" s="248">
        <v>0</v>
      </c>
      <c r="S227" s="248">
        <v>474496.49900000001</v>
      </c>
      <c r="T227" s="248">
        <v>0</v>
      </c>
      <c r="U227" s="248">
        <v>253.69800000000001</v>
      </c>
      <c r="V227" s="248"/>
      <c r="W227" s="248"/>
      <c r="X227" s="248"/>
      <c r="Y227" s="248">
        <v>487725.62799999997</v>
      </c>
      <c r="Z227" s="249">
        <v>499688</v>
      </c>
      <c r="AA227" s="250">
        <v>22</v>
      </c>
      <c r="AB227" s="251">
        <v>44253</v>
      </c>
      <c r="AC227" s="252">
        <v>44279</v>
      </c>
      <c r="AD227" s="249"/>
      <c r="AE227" s="248"/>
      <c r="AF227" s="251"/>
      <c r="AG227" s="251"/>
      <c r="AH227" s="249"/>
      <c r="AI227" s="248"/>
      <c r="AJ227" s="251"/>
      <c r="AK227" s="248"/>
      <c r="AL227" s="249"/>
      <c r="AM227" s="248"/>
      <c r="AN227" s="248"/>
      <c r="AO227" s="248"/>
      <c r="AP227" s="248"/>
      <c r="AQ227" s="248"/>
      <c r="AR227" s="248"/>
      <c r="AS227" s="248"/>
      <c r="AT227" s="249"/>
      <c r="AU227" s="248"/>
      <c r="AV227" s="248"/>
      <c r="AW227" s="248"/>
      <c r="AX227" s="249"/>
      <c r="AY227" s="248"/>
      <c r="AZ227" s="248"/>
      <c r="BA227" s="248"/>
      <c r="BB227" s="248">
        <f t="shared" si="14"/>
        <v>499688</v>
      </c>
      <c r="BC227" s="248">
        <f t="shared" si="12"/>
        <v>11962.372000000032</v>
      </c>
    </row>
    <row r="228" spans="2:55" s="39" customFormat="1" ht="23.25" customHeight="1">
      <c r="B228" s="22">
        <f t="shared" si="15"/>
        <v>212</v>
      </c>
      <c r="C228" s="22" t="s">
        <v>65</v>
      </c>
      <c r="D228" s="23">
        <v>40003787</v>
      </c>
      <c r="E228" s="48" t="s">
        <v>934</v>
      </c>
      <c r="F228" s="48" t="s">
        <v>317</v>
      </c>
      <c r="G228" s="26" t="s">
        <v>683</v>
      </c>
      <c r="H228" s="48" t="s">
        <v>686</v>
      </c>
      <c r="I228" s="25" t="s">
        <v>52</v>
      </c>
      <c r="J228" s="247">
        <v>325947</v>
      </c>
      <c r="K228" s="247"/>
      <c r="L228" s="247">
        <f t="shared" si="13"/>
        <v>325947</v>
      </c>
      <c r="M228" s="248"/>
      <c r="N228" s="248"/>
      <c r="O228" s="248"/>
      <c r="P228" s="248"/>
      <c r="Q228" s="248"/>
      <c r="R228" s="248"/>
      <c r="S228" s="248">
        <v>0</v>
      </c>
      <c r="T228" s="248">
        <v>0</v>
      </c>
      <c r="U228" s="248">
        <v>54000</v>
      </c>
      <c r="V228" s="248"/>
      <c r="W228" s="248"/>
      <c r="X228" s="248"/>
      <c r="Y228" s="248">
        <v>54000</v>
      </c>
      <c r="Z228" s="249">
        <v>108650</v>
      </c>
      <c r="AA228" s="250">
        <v>22</v>
      </c>
      <c r="AB228" s="251">
        <v>44253</v>
      </c>
      <c r="AC228" s="252">
        <v>44279</v>
      </c>
      <c r="AD228" s="249"/>
      <c r="AE228" s="248"/>
      <c r="AF228" s="251"/>
      <c r="AG228" s="251"/>
      <c r="AH228" s="249"/>
      <c r="AI228" s="248"/>
      <c r="AJ228" s="251"/>
      <c r="AK228" s="248"/>
      <c r="AL228" s="249"/>
      <c r="AM228" s="248"/>
      <c r="AN228" s="248"/>
      <c r="AO228" s="248"/>
      <c r="AP228" s="248"/>
      <c r="AQ228" s="248"/>
      <c r="AR228" s="248"/>
      <c r="AS228" s="248"/>
      <c r="AT228" s="249"/>
      <c r="AU228" s="248"/>
      <c r="AV228" s="248"/>
      <c r="AW228" s="248"/>
      <c r="AX228" s="249"/>
      <c r="AY228" s="248"/>
      <c r="AZ228" s="248"/>
      <c r="BA228" s="248"/>
      <c r="BB228" s="248">
        <f t="shared" si="14"/>
        <v>108650</v>
      </c>
      <c r="BC228" s="248">
        <f t="shared" si="12"/>
        <v>54650</v>
      </c>
    </row>
    <row r="229" spans="2:55" s="39" customFormat="1" ht="23.25" customHeight="1">
      <c r="B229" s="22">
        <f t="shared" si="15"/>
        <v>213</v>
      </c>
      <c r="C229" s="22" t="s">
        <v>39</v>
      </c>
      <c r="D229" s="23">
        <v>30475089</v>
      </c>
      <c r="E229" s="48" t="s">
        <v>935</v>
      </c>
      <c r="F229" s="48" t="s">
        <v>317</v>
      </c>
      <c r="G229" s="26" t="s">
        <v>683</v>
      </c>
      <c r="H229" s="48" t="s">
        <v>693</v>
      </c>
      <c r="I229" s="25" t="s">
        <v>44</v>
      </c>
      <c r="J229" s="247">
        <v>167597</v>
      </c>
      <c r="K229" s="247">
        <v>77847</v>
      </c>
      <c r="L229" s="247">
        <f t="shared" si="13"/>
        <v>89750</v>
      </c>
      <c r="M229" s="248"/>
      <c r="N229" s="248"/>
      <c r="O229" s="248"/>
      <c r="P229" s="248"/>
      <c r="Q229" s="248"/>
      <c r="R229" s="248"/>
      <c r="S229" s="248">
        <v>0</v>
      </c>
      <c r="T229" s="248">
        <v>0</v>
      </c>
      <c r="U229" s="248">
        <v>0</v>
      </c>
      <c r="V229" s="248"/>
      <c r="W229" s="248"/>
      <c r="X229" s="248"/>
      <c r="Y229" s="248">
        <v>0</v>
      </c>
      <c r="Z229" s="249">
        <v>89750</v>
      </c>
      <c r="AA229" s="250">
        <v>23</v>
      </c>
      <c r="AB229" s="251">
        <v>44253</v>
      </c>
      <c r="AC229" s="252">
        <v>44286</v>
      </c>
      <c r="AD229" s="249"/>
      <c r="AE229" s="248"/>
      <c r="AF229" s="251"/>
      <c r="AG229" s="251"/>
      <c r="AH229" s="249"/>
      <c r="AI229" s="248"/>
      <c r="AJ229" s="251"/>
      <c r="AK229" s="248"/>
      <c r="AL229" s="249"/>
      <c r="AM229" s="248"/>
      <c r="AN229" s="248"/>
      <c r="AO229" s="248"/>
      <c r="AP229" s="248"/>
      <c r="AQ229" s="248"/>
      <c r="AR229" s="248"/>
      <c r="AS229" s="248"/>
      <c r="AT229" s="249"/>
      <c r="AU229" s="248"/>
      <c r="AV229" s="248"/>
      <c r="AW229" s="248"/>
      <c r="AX229" s="249"/>
      <c r="AY229" s="248"/>
      <c r="AZ229" s="248"/>
      <c r="BA229" s="248"/>
      <c r="BB229" s="248">
        <f t="shared" si="14"/>
        <v>89750</v>
      </c>
      <c r="BC229" s="248">
        <f t="shared" si="12"/>
        <v>89750</v>
      </c>
    </row>
    <row r="230" spans="2:55" s="39" customFormat="1" ht="23.25" customHeight="1">
      <c r="B230" s="22">
        <f t="shared" si="15"/>
        <v>214</v>
      </c>
      <c r="C230" s="22" t="s">
        <v>39</v>
      </c>
      <c r="D230" s="23">
        <v>30129298</v>
      </c>
      <c r="E230" s="48" t="s">
        <v>936</v>
      </c>
      <c r="F230" s="48" t="s">
        <v>317</v>
      </c>
      <c r="G230" s="26" t="s">
        <v>683</v>
      </c>
      <c r="H230" s="48" t="s">
        <v>695</v>
      </c>
      <c r="I230" s="25" t="s">
        <v>44</v>
      </c>
      <c r="J230" s="247">
        <v>184314</v>
      </c>
      <c r="K230" s="247">
        <v>160023</v>
      </c>
      <c r="L230" s="247">
        <f t="shared" si="13"/>
        <v>24291</v>
      </c>
      <c r="M230" s="248"/>
      <c r="N230" s="248"/>
      <c r="O230" s="248"/>
      <c r="P230" s="248"/>
      <c r="Q230" s="248"/>
      <c r="R230" s="248"/>
      <c r="S230" s="248">
        <v>0</v>
      </c>
      <c r="T230" s="248">
        <v>0</v>
      </c>
      <c r="U230" s="248">
        <v>0</v>
      </c>
      <c r="V230" s="248"/>
      <c r="W230" s="248"/>
      <c r="X230" s="248"/>
      <c r="Y230" s="248">
        <v>0</v>
      </c>
      <c r="Z230" s="249">
        <v>24291</v>
      </c>
      <c r="AA230" s="250">
        <v>23</v>
      </c>
      <c r="AB230" s="251">
        <v>44253</v>
      </c>
      <c r="AC230" s="252">
        <v>44286</v>
      </c>
      <c r="AD230" s="249"/>
      <c r="AE230" s="248"/>
      <c r="AF230" s="251"/>
      <c r="AG230" s="251"/>
      <c r="AH230" s="249"/>
      <c r="AI230" s="248"/>
      <c r="AJ230" s="251"/>
      <c r="AK230" s="248"/>
      <c r="AL230" s="249"/>
      <c r="AM230" s="248"/>
      <c r="AN230" s="248"/>
      <c r="AO230" s="248"/>
      <c r="AP230" s="248"/>
      <c r="AQ230" s="248"/>
      <c r="AR230" s="248"/>
      <c r="AS230" s="248"/>
      <c r="AT230" s="249"/>
      <c r="AU230" s="248"/>
      <c r="AV230" s="248"/>
      <c r="AW230" s="248"/>
      <c r="AX230" s="249"/>
      <c r="AY230" s="248"/>
      <c r="AZ230" s="248"/>
      <c r="BA230" s="248"/>
      <c r="BB230" s="248">
        <f t="shared" si="14"/>
        <v>24291</v>
      </c>
      <c r="BC230" s="248">
        <f t="shared" si="12"/>
        <v>24291</v>
      </c>
    </row>
    <row r="231" spans="2:55" s="39" customFormat="1" ht="23.25" customHeight="1">
      <c r="B231" s="22">
        <f t="shared" si="15"/>
        <v>215</v>
      </c>
      <c r="C231" s="22" t="s">
        <v>39</v>
      </c>
      <c r="D231" s="23">
        <v>30485513</v>
      </c>
      <c r="E231" s="48" t="s">
        <v>937</v>
      </c>
      <c r="F231" s="48" t="s">
        <v>700</v>
      </c>
      <c r="G231" s="26" t="s">
        <v>683</v>
      </c>
      <c r="H231" s="48" t="s">
        <v>693</v>
      </c>
      <c r="I231" s="25" t="s">
        <v>44</v>
      </c>
      <c r="J231" s="247">
        <v>48307</v>
      </c>
      <c r="K231" s="247">
        <v>21470</v>
      </c>
      <c r="L231" s="247">
        <f t="shared" si="13"/>
        <v>26837</v>
      </c>
      <c r="M231" s="248"/>
      <c r="N231" s="248"/>
      <c r="O231" s="248"/>
      <c r="P231" s="248"/>
      <c r="Q231" s="248"/>
      <c r="R231" s="248"/>
      <c r="S231" s="248">
        <v>0</v>
      </c>
      <c r="T231" s="248">
        <v>8945.5280000000002</v>
      </c>
      <c r="U231" s="248">
        <v>0</v>
      </c>
      <c r="V231" s="248"/>
      <c r="W231" s="248"/>
      <c r="X231" s="248"/>
      <c r="Y231" s="248">
        <v>8945.5280000000002</v>
      </c>
      <c r="Z231" s="249">
        <v>26837</v>
      </c>
      <c r="AA231" s="250">
        <v>23</v>
      </c>
      <c r="AB231" s="251">
        <v>44253</v>
      </c>
      <c r="AC231" s="252">
        <v>44286</v>
      </c>
      <c r="AD231" s="249"/>
      <c r="AE231" s="248"/>
      <c r="AF231" s="251"/>
      <c r="AG231" s="251"/>
      <c r="AH231" s="249"/>
      <c r="AI231" s="248"/>
      <c r="AJ231" s="251"/>
      <c r="AK231" s="248"/>
      <c r="AL231" s="249"/>
      <c r="AM231" s="248"/>
      <c r="AN231" s="248"/>
      <c r="AO231" s="248"/>
      <c r="AP231" s="248"/>
      <c r="AQ231" s="248"/>
      <c r="AR231" s="248"/>
      <c r="AS231" s="248"/>
      <c r="AT231" s="249"/>
      <c r="AU231" s="248"/>
      <c r="AV231" s="248"/>
      <c r="AW231" s="248"/>
      <c r="AX231" s="249"/>
      <c r="AY231" s="248"/>
      <c r="AZ231" s="248"/>
      <c r="BA231" s="248"/>
      <c r="BB231" s="248">
        <f t="shared" si="14"/>
        <v>26837</v>
      </c>
      <c r="BC231" s="248">
        <f t="shared" si="12"/>
        <v>17891.472000000002</v>
      </c>
    </row>
    <row r="232" spans="2:55" s="39" customFormat="1" ht="23.25" customHeight="1">
      <c r="B232" s="22">
        <f t="shared" si="15"/>
        <v>216</v>
      </c>
      <c r="C232" s="22" t="s">
        <v>39</v>
      </c>
      <c r="D232" s="23">
        <v>30091326</v>
      </c>
      <c r="E232" s="48" t="s">
        <v>938</v>
      </c>
      <c r="F232" s="48" t="s">
        <v>317</v>
      </c>
      <c r="G232" s="26" t="s">
        <v>683</v>
      </c>
      <c r="H232" s="48" t="s">
        <v>732</v>
      </c>
      <c r="I232" s="25" t="s">
        <v>52</v>
      </c>
      <c r="J232" s="247">
        <v>8123643</v>
      </c>
      <c r="K232" s="247"/>
      <c r="L232" s="247">
        <f t="shared" si="13"/>
        <v>8123643</v>
      </c>
      <c r="M232" s="248"/>
      <c r="N232" s="248"/>
      <c r="O232" s="248"/>
      <c r="P232" s="248"/>
      <c r="Q232" s="248"/>
      <c r="R232" s="248"/>
      <c r="S232" s="248">
        <v>0</v>
      </c>
      <c r="T232" s="248">
        <v>0</v>
      </c>
      <c r="U232" s="248">
        <v>0</v>
      </c>
      <c r="V232" s="248"/>
      <c r="W232" s="248"/>
      <c r="X232" s="248"/>
      <c r="Y232" s="248">
        <v>0</v>
      </c>
      <c r="Z232" s="249">
        <v>16214</v>
      </c>
      <c r="AA232" s="250">
        <v>23</v>
      </c>
      <c r="AB232" s="251">
        <v>44253</v>
      </c>
      <c r="AC232" s="252">
        <v>44286</v>
      </c>
      <c r="AD232" s="249"/>
      <c r="AE232" s="248"/>
      <c r="AF232" s="251"/>
      <c r="AG232" s="251"/>
      <c r="AH232" s="249"/>
      <c r="AI232" s="248"/>
      <c r="AJ232" s="251"/>
      <c r="AK232" s="248"/>
      <c r="AL232" s="249"/>
      <c r="AM232" s="248"/>
      <c r="AN232" s="248"/>
      <c r="AO232" s="248"/>
      <c r="AP232" s="248"/>
      <c r="AQ232" s="248"/>
      <c r="AR232" s="248"/>
      <c r="AS232" s="248"/>
      <c r="AT232" s="249"/>
      <c r="AU232" s="248"/>
      <c r="AV232" s="248"/>
      <c r="AW232" s="248"/>
      <c r="AX232" s="249"/>
      <c r="AY232" s="248"/>
      <c r="AZ232" s="248"/>
      <c r="BA232" s="248"/>
      <c r="BB232" s="248">
        <f t="shared" si="14"/>
        <v>16214</v>
      </c>
      <c r="BC232" s="248">
        <f t="shared" si="12"/>
        <v>16214</v>
      </c>
    </row>
    <row r="233" spans="2:55" s="39" customFormat="1" ht="23.25" customHeight="1">
      <c r="B233" s="22">
        <f t="shared" si="15"/>
        <v>217</v>
      </c>
      <c r="C233" s="22" t="s">
        <v>39</v>
      </c>
      <c r="D233" s="23">
        <v>30416872</v>
      </c>
      <c r="E233" s="48" t="s">
        <v>939</v>
      </c>
      <c r="F233" s="48" t="s">
        <v>700</v>
      </c>
      <c r="G233" s="26" t="s">
        <v>683</v>
      </c>
      <c r="H233" s="48" t="s">
        <v>807</v>
      </c>
      <c r="I233" s="25" t="s">
        <v>52</v>
      </c>
      <c r="J233" s="247">
        <v>406688</v>
      </c>
      <c r="K233" s="247"/>
      <c r="L233" s="247">
        <f t="shared" si="13"/>
        <v>406688</v>
      </c>
      <c r="M233" s="248"/>
      <c r="N233" s="248"/>
      <c r="O233" s="248"/>
      <c r="P233" s="248"/>
      <c r="Q233" s="248"/>
      <c r="R233" s="248"/>
      <c r="S233" s="248">
        <v>0</v>
      </c>
      <c r="T233" s="248">
        <v>0</v>
      </c>
      <c r="U233" s="248">
        <v>0</v>
      </c>
      <c r="V233" s="248"/>
      <c r="W233" s="248"/>
      <c r="X233" s="248"/>
      <c r="Y233" s="248">
        <v>0</v>
      </c>
      <c r="Z233" s="249">
        <v>335154</v>
      </c>
      <c r="AA233" s="250">
        <v>23</v>
      </c>
      <c r="AB233" s="251">
        <v>44253</v>
      </c>
      <c r="AC233" s="252">
        <v>44286</v>
      </c>
      <c r="AD233" s="249">
        <v>-100000</v>
      </c>
      <c r="AE233" s="248">
        <v>84</v>
      </c>
      <c r="AF233" s="251">
        <v>44431</v>
      </c>
      <c r="AG233" s="251">
        <v>44433</v>
      </c>
      <c r="AH233" s="249"/>
      <c r="AI233" s="248"/>
      <c r="AJ233" s="251"/>
      <c r="AK233" s="248"/>
      <c r="AL233" s="249"/>
      <c r="AM233" s="248"/>
      <c r="AN233" s="248"/>
      <c r="AO233" s="248"/>
      <c r="AP233" s="248"/>
      <c r="AQ233" s="248"/>
      <c r="AR233" s="248"/>
      <c r="AS233" s="248"/>
      <c r="AT233" s="249"/>
      <c r="AU233" s="248"/>
      <c r="AV233" s="248"/>
      <c r="AW233" s="248"/>
      <c r="AX233" s="249"/>
      <c r="AY233" s="248"/>
      <c r="AZ233" s="248"/>
      <c r="BA233" s="248"/>
      <c r="BB233" s="248">
        <f t="shared" si="14"/>
        <v>235154</v>
      </c>
      <c r="BC233" s="248">
        <f t="shared" si="12"/>
        <v>235154</v>
      </c>
    </row>
    <row r="234" spans="2:55" s="39" customFormat="1" ht="23.25" customHeight="1">
      <c r="B234" s="22">
        <f t="shared" si="15"/>
        <v>218</v>
      </c>
      <c r="C234" s="22" t="s">
        <v>39</v>
      </c>
      <c r="D234" s="23">
        <v>30459830</v>
      </c>
      <c r="E234" s="48" t="s">
        <v>940</v>
      </c>
      <c r="F234" s="48" t="s">
        <v>317</v>
      </c>
      <c r="G234" s="26" t="s">
        <v>683</v>
      </c>
      <c r="H234" s="48" t="s">
        <v>683</v>
      </c>
      <c r="I234" s="25" t="s">
        <v>52</v>
      </c>
      <c r="J234" s="247">
        <v>6707457</v>
      </c>
      <c r="K234" s="247"/>
      <c r="L234" s="247">
        <f t="shared" si="13"/>
        <v>6707457</v>
      </c>
      <c r="M234" s="248"/>
      <c r="N234" s="248"/>
      <c r="O234" s="248"/>
      <c r="P234" s="248"/>
      <c r="Q234" s="248"/>
      <c r="R234" s="248"/>
      <c r="S234" s="248">
        <v>0</v>
      </c>
      <c r="T234" s="248">
        <v>0</v>
      </c>
      <c r="U234" s="248">
        <v>0</v>
      </c>
      <c r="V234" s="248"/>
      <c r="W234" s="248"/>
      <c r="X234" s="248"/>
      <c r="Y234" s="248">
        <v>0</v>
      </c>
      <c r="Z234" s="249">
        <v>15739</v>
      </c>
      <c r="AA234" s="250">
        <v>23</v>
      </c>
      <c r="AB234" s="251">
        <v>44253</v>
      </c>
      <c r="AC234" s="252">
        <v>44286</v>
      </c>
      <c r="AD234" s="249"/>
      <c r="AE234" s="248"/>
      <c r="AF234" s="251"/>
      <c r="AG234" s="251"/>
      <c r="AH234" s="249"/>
      <c r="AI234" s="248"/>
      <c r="AJ234" s="251"/>
      <c r="AK234" s="248"/>
      <c r="AL234" s="249"/>
      <c r="AM234" s="248"/>
      <c r="AN234" s="248"/>
      <c r="AO234" s="248"/>
      <c r="AP234" s="248"/>
      <c r="AQ234" s="248"/>
      <c r="AR234" s="248"/>
      <c r="AS234" s="248"/>
      <c r="AT234" s="249"/>
      <c r="AU234" s="248"/>
      <c r="AV234" s="248"/>
      <c r="AW234" s="248"/>
      <c r="AX234" s="249"/>
      <c r="AY234" s="248"/>
      <c r="AZ234" s="248"/>
      <c r="BA234" s="248"/>
      <c r="BB234" s="248">
        <f t="shared" si="14"/>
        <v>15739</v>
      </c>
      <c r="BC234" s="248">
        <f t="shared" si="12"/>
        <v>15739</v>
      </c>
    </row>
    <row r="235" spans="2:55" s="39" customFormat="1" ht="23.25" customHeight="1">
      <c r="B235" s="22">
        <f t="shared" si="15"/>
        <v>219</v>
      </c>
      <c r="C235" s="22" t="s">
        <v>39</v>
      </c>
      <c r="D235" s="23">
        <v>30397336</v>
      </c>
      <c r="E235" s="48" t="s">
        <v>941</v>
      </c>
      <c r="F235" s="48" t="s">
        <v>317</v>
      </c>
      <c r="G235" s="26" t="s">
        <v>683</v>
      </c>
      <c r="H235" s="48" t="s">
        <v>756</v>
      </c>
      <c r="I235" s="25" t="s">
        <v>52</v>
      </c>
      <c r="J235" s="247">
        <v>5612456</v>
      </c>
      <c r="K235" s="247"/>
      <c r="L235" s="247">
        <f t="shared" si="13"/>
        <v>5612456</v>
      </c>
      <c r="M235" s="248"/>
      <c r="N235" s="248"/>
      <c r="O235" s="248"/>
      <c r="P235" s="248">
        <v>0</v>
      </c>
      <c r="Q235" s="248">
        <v>0</v>
      </c>
      <c r="R235" s="248">
        <v>318301.897</v>
      </c>
      <c r="S235" s="248">
        <v>0</v>
      </c>
      <c r="T235" s="248">
        <v>272980.685</v>
      </c>
      <c r="U235" s="248">
        <v>205934.58900000001</v>
      </c>
      <c r="V235" s="248"/>
      <c r="W235" s="248"/>
      <c r="X235" s="248"/>
      <c r="Y235" s="248">
        <v>797217.17099999997</v>
      </c>
      <c r="Z235" s="249">
        <v>900002</v>
      </c>
      <c r="AA235" s="250">
        <v>23</v>
      </c>
      <c r="AB235" s="251">
        <v>44253</v>
      </c>
      <c r="AC235" s="252">
        <v>44286</v>
      </c>
      <c r="AD235" s="249">
        <v>-100000</v>
      </c>
      <c r="AE235" s="248">
        <v>84</v>
      </c>
      <c r="AF235" s="251">
        <v>44431</v>
      </c>
      <c r="AG235" s="251">
        <v>44433</v>
      </c>
      <c r="AH235" s="249"/>
      <c r="AI235" s="248"/>
      <c r="AJ235" s="251"/>
      <c r="AK235" s="248"/>
      <c r="AL235" s="249"/>
      <c r="AM235" s="248"/>
      <c r="AN235" s="248"/>
      <c r="AO235" s="248"/>
      <c r="AP235" s="248"/>
      <c r="AQ235" s="248"/>
      <c r="AR235" s="248"/>
      <c r="AS235" s="248"/>
      <c r="AT235" s="249"/>
      <c r="AU235" s="248"/>
      <c r="AV235" s="248"/>
      <c r="AW235" s="248"/>
      <c r="AX235" s="249"/>
      <c r="AY235" s="248"/>
      <c r="AZ235" s="248"/>
      <c r="BA235" s="248"/>
      <c r="BB235" s="248">
        <f t="shared" si="14"/>
        <v>800002</v>
      </c>
      <c r="BC235" s="248">
        <f t="shared" si="12"/>
        <v>2784.829000000027</v>
      </c>
    </row>
    <row r="236" spans="2:55" s="39" customFormat="1" ht="23.25" customHeight="1">
      <c r="B236" s="22">
        <f t="shared" si="15"/>
        <v>220</v>
      </c>
      <c r="C236" s="22" t="s">
        <v>39</v>
      </c>
      <c r="D236" s="23">
        <v>40015725</v>
      </c>
      <c r="E236" s="48" t="s">
        <v>942</v>
      </c>
      <c r="F236" s="48" t="s">
        <v>317</v>
      </c>
      <c r="G236" s="26" t="s">
        <v>683</v>
      </c>
      <c r="H236" s="48" t="s">
        <v>683</v>
      </c>
      <c r="I236" s="25" t="s">
        <v>52</v>
      </c>
      <c r="J236" s="247">
        <v>3691119</v>
      </c>
      <c r="K236" s="247"/>
      <c r="L236" s="247">
        <f t="shared" si="13"/>
        <v>3691119</v>
      </c>
      <c r="M236" s="248"/>
      <c r="N236" s="248"/>
      <c r="O236" s="248"/>
      <c r="P236" s="248"/>
      <c r="Q236" s="248"/>
      <c r="R236" s="248"/>
      <c r="S236" s="248">
        <v>0</v>
      </c>
      <c r="T236" s="248">
        <v>0</v>
      </c>
      <c r="U236" s="248">
        <v>0</v>
      </c>
      <c r="V236" s="248"/>
      <c r="W236" s="248"/>
      <c r="X236" s="248"/>
      <c r="Y236" s="248">
        <v>0</v>
      </c>
      <c r="Z236" s="249">
        <v>1</v>
      </c>
      <c r="AA236" s="250">
        <v>23</v>
      </c>
      <c r="AB236" s="251">
        <v>44253</v>
      </c>
      <c r="AC236" s="252">
        <v>44286</v>
      </c>
      <c r="AD236" s="249"/>
      <c r="AE236" s="248"/>
      <c r="AF236" s="251"/>
      <c r="AG236" s="251"/>
      <c r="AH236" s="249"/>
      <c r="AI236" s="248"/>
      <c r="AJ236" s="251"/>
      <c r="AK236" s="248"/>
      <c r="AL236" s="249"/>
      <c r="AM236" s="248"/>
      <c r="AN236" s="248"/>
      <c r="AO236" s="248"/>
      <c r="AP236" s="248"/>
      <c r="AQ236" s="248"/>
      <c r="AR236" s="248"/>
      <c r="AS236" s="248"/>
      <c r="AT236" s="249"/>
      <c r="AU236" s="248"/>
      <c r="AV236" s="248"/>
      <c r="AW236" s="248"/>
      <c r="AX236" s="249"/>
      <c r="AY236" s="248"/>
      <c r="AZ236" s="248"/>
      <c r="BA236" s="248"/>
      <c r="BB236" s="248">
        <f t="shared" si="14"/>
        <v>1</v>
      </c>
      <c r="BC236" s="248">
        <f t="shared" si="12"/>
        <v>1</v>
      </c>
    </row>
    <row r="237" spans="2:55" s="39" customFormat="1" ht="23.25" customHeight="1">
      <c r="B237" s="22">
        <f t="shared" si="15"/>
        <v>221</v>
      </c>
      <c r="C237" s="22" t="s">
        <v>39</v>
      </c>
      <c r="D237" s="23">
        <v>30482140</v>
      </c>
      <c r="E237" s="48" t="s">
        <v>943</v>
      </c>
      <c r="F237" s="48" t="s">
        <v>317</v>
      </c>
      <c r="G237" s="26" t="s">
        <v>683</v>
      </c>
      <c r="H237" s="48" t="s">
        <v>745</v>
      </c>
      <c r="I237" s="25" t="s">
        <v>52</v>
      </c>
      <c r="J237" s="247">
        <v>1009253</v>
      </c>
      <c r="K237" s="247"/>
      <c r="L237" s="247">
        <f t="shared" si="13"/>
        <v>1009253</v>
      </c>
      <c r="M237" s="248"/>
      <c r="N237" s="248"/>
      <c r="O237" s="248"/>
      <c r="P237" s="248">
        <v>0</v>
      </c>
      <c r="Q237" s="248">
        <v>0</v>
      </c>
      <c r="R237" s="248">
        <v>178927.52799999999</v>
      </c>
      <c r="S237" s="248">
        <v>0</v>
      </c>
      <c r="T237" s="248">
        <v>124323.554</v>
      </c>
      <c r="U237" s="248">
        <v>0</v>
      </c>
      <c r="V237" s="248"/>
      <c r="W237" s="248"/>
      <c r="X237" s="248"/>
      <c r="Y237" s="248">
        <v>303251.08199999999</v>
      </c>
      <c r="Z237" s="249">
        <v>545472</v>
      </c>
      <c r="AA237" s="250">
        <v>23</v>
      </c>
      <c r="AB237" s="251">
        <v>44253</v>
      </c>
      <c r="AC237" s="252">
        <v>44286</v>
      </c>
      <c r="AD237" s="249">
        <v>10000</v>
      </c>
      <c r="AE237" s="248">
        <v>95</v>
      </c>
      <c r="AF237" s="251">
        <v>44460</v>
      </c>
      <c r="AG237" s="251">
        <v>44466</v>
      </c>
      <c r="AH237" s="249"/>
      <c r="AI237" s="248"/>
      <c r="AJ237" s="251"/>
      <c r="AK237" s="248"/>
      <c r="AL237" s="249"/>
      <c r="AM237" s="248"/>
      <c r="AN237" s="248"/>
      <c r="AO237" s="248"/>
      <c r="AP237" s="248"/>
      <c r="AQ237" s="248"/>
      <c r="AR237" s="248"/>
      <c r="AS237" s="248"/>
      <c r="AT237" s="249"/>
      <c r="AU237" s="248"/>
      <c r="AV237" s="248"/>
      <c r="AW237" s="248"/>
      <c r="AX237" s="249"/>
      <c r="AY237" s="248"/>
      <c r="AZ237" s="248"/>
      <c r="BA237" s="248"/>
      <c r="BB237" s="248">
        <f t="shared" si="14"/>
        <v>555472</v>
      </c>
      <c r="BC237" s="248">
        <f t="shared" si="12"/>
        <v>252220.91800000001</v>
      </c>
    </row>
    <row r="238" spans="2:55" s="39" customFormat="1" ht="23.25" customHeight="1">
      <c r="B238" s="22">
        <f t="shared" si="15"/>
        <v>222</v>
      </c>
      <c r="C238" s="22" t="s">
        <v>39</v>
      </c>
      <c r="D238" s="23">
        <v>40005962</v>
      </c>
      <c r="E238" s="48" t="s">
        <v>944</v>
      </c>
      <c r="F238" s="48" t="s">
        <v>317</v>
      </c>
      <c r="G238" s="26" t="s">
        <v>683</v>
      </c>
      <c r="H238" s="48" t="s">
        <v>698</v>
      </c>
      <c r="I238" s="25" t="s">
        <v>52</v>
      </c>
      <c r="J238" s="247">
        <v>2659864</v>
      </c>
      <c r="K238" s="247"/>
      <c r="L238" s="247">
        <f t="shared" si="13"/>
        <v>2659864</v>
      </c>
      <c r="M238" s="248"/>
      <c r="N238" s="248"/>
      <c r="O238" s="248"/>
      <c r="P238" s="248">
        <v>0</v>
      </c>
      <c r="Q238" s="248">
        <v>0</v>
      </c>
      <c r="R238" s="248">
        <v>311092.44300000003</v>
      </c>
      <c r="S238" s="248">
        <v>262564.03899999999</v>
      </c>
      <c r="T238" s="248">
        <v>241271.30300000001</v>
      </c>
      <c r="U238" s="248">
        <v>4093.0340000000001</v>
      </c>
      <c r="V238" s="248"/>
      <c r="W238" s="248"/>
      <c r="X238" s="248"/>
      <c r="Y238" s="248">
        <v>819020.81900000013</v>
      </c>
      <c r="Z238" s="249">
        <v>531303</v>
      </c>
      <c r="AA238" s="250">
        <v>23</v>
      </c>
      <c r="AB238" s="251">
        <v>44253</v>
      </c>
      <c r="AC238" s="252">
        <v>44286</v>
      </c>
      <c r="AD238" s="249">
        <v>50000</v>
      </c>
      <c r="AE238" s="248">
        <v>65</v>
      </c>
      <c r="AF238" s="251">
        <v>44377</v>
      </c>
      <c r="AG238" s="251">
        <v>44382</v>
      </c>
      <c r="AH238" s="249">
        <v>241000</v>
      </c>
      <c r="AI238" s="248">
        <v>84</v>
      </c>
      <c r="AJ238" s="251">
        <v>44431</v>
      </c>
      <c r="AK238" s="252">
        <v>44433</v>
      </c>
      <c r="AL238" s="249"/>
      <c r="AM238" s="248"/>
      <c r="AN238" s="248"/>
      <c r="AO238" s="248"/>
      <c r="AP238" s="248"/>
      <c r="AQ238" s="248"/>
      <c r="AR238" s="248"/>
      <c r="AS238" s="248"/>
      <c r="AT238" s="249"/>
      <c r="AU238" s="248"/>
      <c r="AV238" s="248"/>
      <c r="AW238" s="248"/>
      <c r="AX238" s="249"/>
      <c r="AY238" s="248"/>
      <c r="AZ238" s="248"/>
      <c r="BA238" s="248"/>
      <c r="BB238" s="248">
        <f t="shared" si="14"/>
        <v>822303</v>
      </c>
      <c r="BC238" s="248">
        <f t="shared" si="12"/>
        <v>3282.1809999998659</v>
      </c>
    </row>
    <row r="239" spans="2:55" s="39" customFormat="1" ht="23.25" customHeight="1">
      <c r="B239" s="22">
        <f t="shared" si="15"/>
        <v>223</v>
      </c>
      <c r="C239" s="22" t="s">
        <v>39</v>
      </c>
      <c r="D239" s="23">
        <v>30398026</v>
      </c>
      <c r="E239" s="48" t="s">
        <v>945</v>
      </c>
      <c r="F239" s="48" t="s">
        <v>700</v>
      </c>
      <c r="G239" s="26" t="s">
        <v>683</v>
      </c>
      <c r="H239" s="48" t="s">
        <v>683</v>
      </c>
      <c r="I239" s="25" t="s">
        <v>44</v>
      </c>
      <c r="J239" s="247">
        <v>34288</v>
      </c>
      <c r="K239" s="247">
        <v>15999</v>
      </c>
      <c r="L239" s="247">
        <f t="shared" si="13"/>
        <v>18289</v>
      </c>
      <c r="M239" s="248"/>
      <c r="N239" s="248"/>
      <c r="O239" s="248"/>
      <c r="P239" s="248"/>
      <c r="Q239" s="248"/>
      <c r="R239" s="248"/>
      <c r="S239" s="248">
        <v>0</v>
      </c>
      <c r="T239" s="248">
        <v>0</v>
      </c>
      <c r="U239" s="248">
        <v>0</v>
      </c>
      <c r="V239" s="248"/>
      <c r="W239" s="248"/>
      <c r="X239" s="248"/>
      <c r="Y239" s="248">
        <v>0</v>
      </c>
      <c r="Z239" s="249">
        <v>15251</v>
      </c>
      <c r="AA239" s="250">
        <v>23</v>
      </c>
      <c r="AB239" s="251">
        <v>44253</v>
      </c>
      <c r="AC239" s="252">
        <v>44286</v>
      </c>
      <c r="AD239" s="249"/>
      <c r="AE239" s="248"/>
      <c r="AF239" s="251"/>
      <c r="AG239" s="251"/>
      <c r="AH239" s="249"/>
      <c r="AI239" s="248"/>
      <c r="AJ239" s="251"/>
      <c r="AK239" s="248"/>
      <c r="AL239" s="249"/>
      <c r="AM239" s="248"/>
      <c r="AN239" s="248"/>
      <c r="AO239" s="248"/>
      <c r="AP239" s="248"/>
      <c r="AQ239" s="248"/>
      <c r="AR239" s="248"/>
      <c r="AS239" s="248"/>
      <c r="AT239" s="249"/>
      <c r="AU239" s="248"/>
      <c r="AV239" s="248"/>
      <c r="AW239" s="248"/>
      <c r="AX239" s="249"/>
      <c r="AY239" s="248"/>
      <c r="AZ239" s="248"/>
      <c r="BA239" s="248"/>
      <c r="BB239" s="248">
        <f t="shared" si="14"/>
        <v>15251</v>
      </c>
      <c r="BC239" s="248">
        <f t="shared" si="12"/>
        <v>15251</v>
      </c>
    </row>
    <row r="240" spans="2:55" s="39" customFormat="1" ht="23.25" customHeight="1">
      <c r="B240" s="22">
        <f t="shared" si="15"/>
        <v>224</v>
      </c>
      <c r="C240" s="22" t="s">
        <v>39</v>
      </c>
      <c r="D240" s="23">
        <v>30459096</v>
      </c>
      <c r="E240" s="48" t="s">
        <v>946</v>
      </c>
      <c r="F240" s="48" t="s">
        <v>317</v>
      </c>
      <c r="G240" s="26" t="s">
        <v>683</v>
      </c>
      <c r="H240" s="48" t="s">
        <v>902</v>
      </c>
      <c r="I240" s="25" t="s">
        <v>52</v>
      </c>
      <c r="J240" s="247">
        <v>214416</v>
      </c>
      <c r="K240" s="247"/>
      <c r="L240" s="247">
        <f t="shared" si="13"/>
        <v>214416</v>
      </c>
      <c r="M240" s="248"/>
      <c r="N240" s="248"/>
      <c r="O240" s="248"/>
      <c r="P240" s="248"/>
      <c r="Q240" s="248"/>
      <c r="R240" s="248"/>
      <c r="S240" s="248">
        <v>0</v>
      </c>
      <c r="T240" s="248">
        <v>0</v>
      </c>
      <c r="U240" s="248">
        <v>0</v>
      </c>
      <c r="V240" s="248"/>
      <c r="W240" s="248"/>
      <c r="X240" s="248"/>
      <c r="Y240" s="248">
        <v>0</v>
      </c>
      <c r="Z240" s="249">
        <v>213338</v>
      </c>
      <c r="AA240" s="250">
        <v>25</v>
      </c>
      <c r="AB240" s="251">
        <v>44253</v>
      </c>
      <c r="AC240" s="252">
        <v>44273</v>
      </c>
      <c r="AD240" s="249"/>
      <c r="AE240" s="248"/>
      <c r="AF240" s="251"/>
      <c r="AG240" s="251"/>
      <c r="AH240" s="249"/>
      <c r="AI240" s="248"/>
      <c r="AJ240" s="251"/>
      <c r="AK240" s="248"/>
      <c r="AL240" s="249"/>
      <c r="AM240" s="248"/>
      <c r="AN240" s="248"/>
      <c r="AO240" s="248"/>
      <c r="AP240" s="248"/>
      <c r="AQ240" s="248"/>
      <c r="AR240" s="248"/>
      <c r="AS240" s="248"/>
      <c r="AT240" s="249"/>
      <c r="AU240" s="248"/>
      <c r="AV240" s="248"/>
      <c r="AW240" s="248"/>
      <c r="AX240" s="249"/>
      <c r="AY240" s="248"/>
      <c r="AZ240" s="248"/>
      <c r="BA240" s="248"/>
      <c r="BB240" s="248">
        <f t="shared" si="14"/>
        <v>213338</v>
      </c>
      <c r="BC240" s="248">
        <f t="shared" si="12"/>
        <v>213338</v>
      </c>
    </row>
    <row r="241" spans="2:55" s="39" customFormat="1" ht="23.25" customHeight="1">
      <c r="B241" s="22">
        <f t="shared" si="15"/>
        <v>225</v>
      </c>
      <c r="C241" s="22" t="s">
        <v>39</v>
      </c>
      <c r="D241" s="23">
        <v>40008791</v>
      </c>
      <c r="E241" s="48" t="s">
        <v>947</v>
      </c>
      <c r="F241" s="48" t="s">
        <v>317</v>
      </c>
      <c r="G241" s="26" t="s">
        <v>683</v>
      </c>
      <c r="H241" s="48" t="s">
        <v>693</v>
      </c>
      <c r="I241" s="25" t="s">
        <v>52</v>
      </c>
      <c r="J241" s="247">
        <v>186101</v>
      </c>
      <c r="K241" s="247"/>
      <c r="L241" s="247">
        <f t="shared" si="13"/>
        <v>186101</v>
      </c>
      <c r="M241" s="248"/>
      <c r="N241" s="248"/>
      <c r="O241" s="248"/>
      <c r="P241" s="248">
        <v>1500</v>
      </c>
      <c r="Q241" s="248">
        <v>34264.534</v>
      </c>
      <c r="R241" s="248">
        <v>42063.794999999998</v>
      </c>
      <c r="S241" s="248">
        <v>1500</v>
      </c>
      <c r="T241" s="248">
        <v>39096.053999999996</v>
      </c>
      <c r="U241" s="248">
        <v>0</v>
      </c>
      <c r="V241" s="248"/>
      <c r="W241" s="248"/>
      <c r="X241" s="248"/>
      <c r="Y241" s="248">
        <v>118424.383</v>
      </c>
      <c r="Z241" s="249">
        <v>171001</v>
      </c>
      <c r="AA241" s="250">
        <v>25</v>
      </c>
      <c r="AB241" s="251">
        <v>44253</v>
      </c>
      <c r="AC241" s="252">
        <v>44273</v>
      </c>
      <c r="AD241" s="249"/>
      <c r="AE241" s="248"/>
      <c r="AF241" s="251"/>
      <c r="AG241" s="251"/>
      <c r="AH241" s="249"/>
      <c r="AI241" s="248"/>
      <c r="AJ241" s="251"/>
      <c r="AK241" s="248"/>
      <c r="AL241" s="249"/>
      <c r="AM241" s="248"/>
      <c r="AN241" s="248"/>
      <c r="AO241" s="248"/>
      <c r="AP241" s="248"/>
      <c r="AQ241" s="248"/>
      <c r="AR241" s="248"/>
      <c r="AS241" s="248"/>
      <c r="AT241" s="249"/>
      <c r="AU241" s="248"/>
      <c r="AV241" s="248"/>
      <c r="AW241" s="248"/>
      <c r="AX241" s="249"/>
      <c r="AY241" s="248"/>
      <c r="AZ241" s="248"/>
      <c r="BA241" s="248"/>
      <c r="BB241" s="248">
        <f t="shared" si="14"/>
        <v>171001</v>
      </c>
      <c r="BC241" s="248">
        <f t="shared" si="12"/>
        <v>52576.616999999998</v>
      </c>
    </row>
    <row r="242" spans="2:55" s="39" customFormat="1" ht="23.25" customHeight="1">
      <c r="B242" s="22">
        <f t="shared" si="15"/>
        <v>226</v>
      </c>
      <c r="C242" s="22" t="s">
        <v>39</v>
      </c>
      <c r="D242" s="23">
        <v>30481728</v>
      </c>
      <c r="E242" s="48" t="s">
        <v>948</v>
      </c>
      <c r="F242" s="48" t="s">
        <v>317</v>
      </c>
      <c r="G242" s="26" t="s">
        <v>683</v>
      </c>
      <c r="H242" s="48" t="s">
        <v>693</v>
      </c>
      <c r="I242" s="25" t="s">
        <v>52</v>
      </c>
      <c r="J242" s="247">
        <v>208012</v>
      </c>
      <c r="K242" s="247"/>
      <c r="L242" s="247">
        <f t="shared" si="13"/>
        <v>208012</v>
      </c>
      <c r="M242" s="248"/>
      <c r="N242" s="248"/>
      <c r="O242" s="248">
        <v>1359.4</v>
      </c>
      <c r="P242" s="248">
        <v>64306.873</v>
      </c>
      <c r="Q242" s="248">
        <v>0</v>
      </c>
      <c r="R242" s="248">
        <v>0</v>
      </c>
      <c r="S242" s="248">
        <v>0</v>
      </c>
      <c r="T242" s="248">
        <v>0</v>
      </c>
      <c r="U242" s="248">
        <v>0</v>
      </c>
      <c r="V242" s="248"/>
      <c r="W242" s="248"/>
      <c r="X242" s="248"/>
      <c r="Y242" s="248">
        <v>65666.273000000001</v>
      </c>
      <c r="Z242" s="249">
        <v>205849</v>
      </c>
      <c r="AA242" s="250">
        <v>25</v>
      </c>
      <c r="AB242" s="251">
        <v>44253</v>
      </c>
      <c r="AC242" s="252">
        <v>44273</v>
      </c>
      <c r="AD242" s="249"/>
      <c r="AE242" s="248"/>
      <c r="AF242" s="251"/>
      <c r="AG242" s="251"/>
      <c r="AH242" s="249"/>
      <c r="AI242" s="248"/>
      <c r="AJ242" s="251"/>
      <c r="AK242" s="248"/>
      <c r="AL242" s="249"/>
      <c r="AM242" s="248"/>
      <c r="AN242" s="248"/>
      <c r="AO242" s="248"/>
      <c r="AP242" s="248"/>
      <c r="AQ242" s="248"/>
      <c r="AR242" s="248"/>
      <c r="AS242" s="248"/>
      <c r="AT242" s="249"/>
      <c r="AU242" s="248"/>
      <c r="AV242" s="248"/>
      <c r="AW242" s="248"/>
      <c r="AX242" s="249"/>
      <c r="AY242" s="248"/>
      <c r="AZ242" s="248"/>
      <c r="BA242" s="248"/>
      <c r="BB242" s="248">
        <f t="shared" si="14"/>
        <v>205849</v>
      </c>
      <c r="BC242" s="248">
        <f t="shared" si="12"/>
        <v>140182.72700000001</v>
      </c>
    </row>
    <row r="243" spans="2:55" s="39" customFormat="1" ht="23.25" customHeight="1">
      <c r="B243" s="22">
        <f t="shared" si="15"/>
        <v>227</v>
      </c>
      <c r="C243" s="22" t="s">
        <v>39</v>
      </c>
      <c r="D243" s="23">
        <v>40007797</v>
      </c>
      <c r="E243" s="48" t="s">
        <v>949</v>
      </c>
      <c r="F243" s="48" t="s">
        <v>317</v>
      </c>
      <c r="G243" s="26" t="s">
        <v>683</v>
      </c>
      <c r="H243" s="48" t="s">
        <v>716</v>
      </c>
      <c r="I243" s="25" t="s">
        <v>52</v>
      </c>
      <c r="J243" s="247">
        <v>94323</v>
      </c>
      <c r="K243" s="247"/>
      <c r="L243" s="247">
        <f t="shared" si="13"/>
        <v>94323</v>
      </c>
      <c r="M243" s="248"/>
      <c r="N243" s="248"/>
      <c r="O243" s="248"/>
      <c r="P243" s="248"/>
      <c r="Q243" s="248"/>
      <c r="R243" s="248"/>
      <c r="S243" s="248">
        <v>0</v>
      </c>
      <c r="T243" s="248">
        <v>0</v>
      </c>
      <c r="U243" s="248">
        <v>0</v>
      </c>
      <c r="V243" s="248"/>
      <c r="W243" s="248"/>
      <c r="X243" s="248"/>
      <c r="Y243" s="248">
        <v>0</v>
      </c>
      <c r="Z243" s="249">
        <v>92612</v>
      </c>
      <c r="AA243" s="250">
        <v>25</v>
      </c>
      <c r="AB243" s="251">
        <v>44253</v>
      </c>
      <c r="AC243" s="252">
        <v>44273</v>
      </c>
      <c r="AD243" s="249"/>
      <c r="AE243" s="248"/>
      <c r="AF243" s="251"/>
      <c r="AG243" s="251"/>
      <c r="AH243" s="249"/>
      <c r="AI243" s="248"/>
      <c r="AJ243" s="251"/>
      <c r="AK243" s="248"/>
      <c r="AL243" s="249"/>
      <c r="AM243" s="248"/>
      <c r="AN243" s="248"/>
      <c r="AO243" s="248"/>
      <c r="AP243" s="248"/>
      <c r="AQ243" s="248"/>
      <c r="AR243" s="248"/>
      <c r="AS243" s="248"/>
      <c r="AT243" s="249"/>
      <c r="AU243" s="248"/>
      <c r="AV243" s="248"/>
      <c r="AW243" s="248"/>
      <c r="AX243" s="249"/>
      <c r="AY243" s="248"/>
      <c r="AZ243" s="248"/>
      <c r="BA243" s="248"/>
      <c r="BB243" s="248">
        <f t="shared" si="14"/>
        <v>92612</v>
      </c>
      <c r="BC243" s="248">
        <f t="shared" si="12"/>
        <v>92612</v>
      </c>
    </row>
    <row r="244" spans="2:55" s="39" customFormat="1" ht="23.25" customHeight="1">
      <c r="B244" s="22">
        <f t="shared" si="15"/>
        <v>228</v>
      </c>
      <c r="C244" s="22" t="s">
        <v>39</v>
      </c>
      <c r="D244" s="23">
        <v>40017130</v>
      </c>
      <c r="E244" s="48" t="s">
        <v>950</v>
      </c>
      <c r="F244" s="48" t="s">
        <v>317</v>
      </c>
      <c r="G244" s="26" t="s">
        <v>683</v>
      </c>
      <c r="H244" s="48" t="s">
        <v>770</v>
      </c>
      <c r="I244" s="25" t="s">
        <v>52</v>
      </c>
      <c r="J244" s="247">
        <v>453796</v>
      </c>
      <c r="K244" s="247"/>
      <c r="L244" s="247">
        <f t="shared" si="13"/>
        <v>453796</v>
      </c>
      <c r="M244" s="248"/>
      <c r="N244" s="248"/>
      <c r="O244" s="248"/>
      <c r="P244" s="248"/>
      <c r="Q244" s="248"/>
      <c r="R244" s="248"/>
      <c r="S244" s="248">
        <v>0</v>
      </c>
      <c r="T244" s="248">
        <v>0</v>
      </c>
      <c r="U244" s="248">
        <v>0</v>
      </c>
      <c r="V244" s="248"/>
      <c r="W244" s="248"/>
      <c r="X244" s="248"/>
      <c r="Y244" s="248">
        <v>0</v>
      </c>
      <c r="Z244" s="249">
        <v>269401</v>
      </c>
      <c r="AA244" s="250">
        <v>25</v>
      </c>
      <c r="AB244" s="251">
        <v>44253</v>
      </c>
      <c r="AC244" s="252">
        <v>44273</v>
      </c>
      <c r="AD244" s="249"/>
      <c r="AE244" s="248"/>
      <c r="AF244" s="251"/>
      <c r="AG244" s="251"/>
      <c r="AH244" s="249"/>
      <c r="AI244" s="248"/>
      <c r="AJ244" s="251"/>
      <c r="AK244" s="248"/>
      <c r="AL244" s="249"/>
      <c r="AM244" s="248"/>
      <c r="AN244" s="248"/>
      <c r="AO244" s="248"/>
      <c r="AP244" s="248"/>
      <c r="AQ244" s="248"/>
      <c r="AR244" s="248"/>
      <c r="AS244" s="248"/>
      <c r="AT244" s="249"/>
      <c r="AU244" s="248"/>
      <c r="AV244" s="248"/>
      <c r="AW244" s="248"/>
      <c r="AX244" s="249"/>
      <c r="AY244" s="248"/>
      <c r="AZ244" s="248"/>
      <c r="BA244" s="248"/>
      <c r="BB244" s="248">
        <f t="shared" si="14"/>
        <v>269401</v>
      </c>
      <c r="BC244" s="248">
        <f t="shared" si="12"/>
        <v>269401</v>
      </c>
    </row>
    <row r="245" spans="2:55" s="39" customFormat="1" ht="23.25" customHeight="1">
      <c r="B245" s="22">
        <f t="shared" si="15"/>
        <v>229</v>
      </c>
      <c r="C245" s="22" t="s">
        <v>39</v>
      </c>
      <c r="D245" s="23">
        <v>40014055</v>
      </c>
      <c r="E245" s="48" t="s">
        <v>951</v>
      </c>
      <c r="F245" s="48" t="s">
        <v>317</v>
      </c>
      <c r="G245" s="26" t="s">
        <v>683</v>
      </c>
      <c r="H245" s="48" t="s">
        <v>830</v>
      </c>
      <c r="I245" s="25" t="s">
        <v>52</v>
      </c>
      <c r="J245" s="247">
        <v>501924</v>
      </c>
      <c r="K245" s="247"/>
      <c r="L245" s="247">
        <f t="shared" si="13"/>
        <v>501924</v>
      </c>
      <c r="M245" s="248"/>
      <c r="N245" s="248"/>
      <c r="O245" s="248"/>
      <c r="P245" s="248"/>
      <c r="Q245" s="248"/>
      <c r="R245" s="248"/>
      <c r="S245" s="248">
        <v>0</v>
      </c>
      <c r="T245" s="248">
        <v>56343.491000000002</v>
      </c>
      <c r="U245" s="248">
        <v>112094.823</v>
      </c>
      <c r="V245" s="248"/>
      <c r="W245" s="248"/>
      <c r="X245" s="248"/>
      <c r="Y245" s="248">
        <v>168438.31400000001</v>
      </c>
      <c r="Z245" s="249">
        <v>240001</v>
      </c>
      <c r="AA245" s="250">
        <v>25</v>
      </c>
      <c r="AB245" s="251">
        <v>44253</v>
      </c>
      <c r="AC245" s="252">
        <v>44273</v>
      </c>
      <c r="AD245" s="249"/>
      <c r="AE245" s="248"/>
      <c r="AF245" s="251"/>
      <c r="AG245" s="251"/>
      <c r="AH245" s="249"/>
      <c r="AI245" s="248"/>
      <c r="AJ245" s="251"/>
      <c r="AK245" s="248"/>
      <c r="AL245" s="249"/>
      <c r="AM245" s="248"/>
      <c r="AN245" s="248"/>
      <c r="AO245" s="248"/>
      <c r="AP245" s="248"/>
      <c r="AQ245" s="248"/>
      <c r="AR245" s="248"/>
      <c r="AS245" s="248"/>
      <c r="AT245" s="249"/>
      <c r="AU245" s="248"/>
      <c r="AV245" s="248"/>
      <c r="AW245" s="248"/>
      <c r="AX245" s="249"/>
      <c r="AY245" s="248"/>
      <c r="AZ245" s="248"/>
      <c r="BA245" s="248"/>
      <c r="BB245" s="248">
        <f t="shared" si="14"/>
        <v>240001</v>
      </c>
      <c r="BC245" s="248">
        <f t="shared" si="12"/>
        <v>71562.685999999987</v>
      </c>
    </row>
    <row r="246" spans="2:55" s="39" customFormat="1" ht="23.25" customHeight="1">
      <c r="B246" s="22">
        <f t="shared" si="15"/>
        <v>230</v>
      </c>
      <c r="C246" s="22" t="s">
        <v>39</v>
      </c>
      <c r="D246" s="23">
        <v>30459759</v>
      </c>
      <c r="E246" s="48" t="s">
        <v>952</v>
      </c>
      <c r="F246" s="48" t="s">
        <v>317</v>
      </c>
      <c r="G246" s="26" t="s">
        <v>683</v>
      </c>
      <c r="H246" s="48" t="s">
        <v>737</v>
      </c>
      <c r="I246" s="25" t="s">
        <v>52</v>
      </c>
      <c r="J246" s="247">
        <v>70406</v>
      </c>
      <c r="K246" s="247"/>
      <c r="L246" s="247">
        <f t="shared" si="13"/>
        <v>70406</v>
      </c>
      <c r="M246" s="248"/>
      <c r="N246" s="248"/>
      <c r="O246" s="248"/>
      <c r="P246" s="248"/>
      <c r="Q246" s="248"/>
      <c r="R246" s="248"/>
      <c r="S246" s="248">
        <v>0</v>
      </c>
      <c r="T246" s="248">
        <v>0</v>
      </c>
      <c r="U246" s="248">
        <v>0</v>
      </c>
      <c r="V246" s="248"/>
      <c r="W246" s="248"/>
      <c r="X246" s="248"/>
      <c r="Y246" s="248">
        <v>0</v>
      </c>
      <c r="Z246" s="249">
        <v>68161</v>
      </c>
      <c r="AA246" s="250">
        <v>25</v>
      </c>
      <c r="AB246" s="251">
        <v>44253</v>
      </c>
      <c r="AC246" s="252">
        <v>44273</v>
      </c>
      <c r="AD246" s="249"/>
      <c r="AE246" s="248"/>
      <c r="AF246" s="251"/>
      <c r="AG246" s="251"/>
      <c r="AH246" s="249"/>
      <c r="AI246" s="248"/>
      <c r="AJ246" s="251"/>
      <c r="AK246" s="248"/>
      <c r="AL246" s="249"/>
      <c r="AM246" s="248"/>
      <c r="AN246" s="248"/>
      <c r="AO246" s="248"/>
      <c r="AP246" s="248"/>
      <c r="AQ246" s="248"/>
      <c r="AR246" s="248"/>
      <c r="AS246" s="248"/>
      <c r="AT246" s="249"/>
      <c r="AU246" s="248"/>
      <c r="AV246" s="248"/>
      <c r="AW246" s="248"/>
      <c r="AX246" s="249"/>
      <c r="AY246" s="248"/>
      <c r="AZ246" s="248"/>
      <c r="BA246" s="248"/>
      <c r="BB246" s="248">
        <f t="shared" si="14"/>
        <v>68161</v>
      </c>
      <c r="BC246" s="248">
        <f t="shared" si="12"/>
        <v>68161</v>
      </c>
    </row>
    <row r="247" spans="2:55" s="39" customFormat="1" ht="23.25" customHeight="1">
      <c r="B247" s="22">
        <f t="shared" si="15"/>
        <v>231</v>
      </c>
      <c r="C247" s="22" t="s">
        <v>39</v>
      </c>
      <c r="D247" s="23">
        <v>30439372</v>
      </c>
      <c r="E247" s="48" t="s">
        <v>953</v>
      </c>
      <c r="F247" s="48" t="s">
        <v>317</v>
      </c>
      <c r="G247" s="26" t="s">
        <v>683</v>
      </c>
      <c r="H247" s="48" t="s">
        <v>825</v>
      </c>
      <c r="I247" s="25" t="s">
        <v>52</v>
      </c>
      <c r="J247" s="247">
        <v>1461479</v>
      </c>
      <c r="K247" s="247"/>
      <c r="L247" s="247">
        <f t="shared" si="13"/>
        <v>1461479</v>
      </c>
      <c r="M247" s="248"/>
      <c r="N247" s="248"/>
      <c r="O247" s="248"/>
      <c r="P247" s="248"/>
      <c r="Q247" s="248"/>
      <c r="R247" s="248"/>
      <c r="S247" s="248">
        <v>0</v>
      </c>
      <c r="T247" s="248">
        <v>0</v>
      </c>
      <c r="U247" s="248">
        <v>0</v>
      </c>
      <c r="V247" s="248"/>
      <c r="W247" s="248"/>
      <c r="X247" s="248"/>
      <c r="Y247" s="248">
        <v>0</v>
      </c>
      <c r="Z247" s="249">
        <v>35004</v>
      </c>
      <c r="AA247" s="250">
        <v>25</v>
      </c>
      <c r="AB247" s="251">
        <v>44253</v>
      </c>
      <c r="AC247" s="252">
        <v>44273</v>
      </c>
      <c r="AD247" s="249"/>
      <c r="AE247" s="248"/>
      <c r="AF247" s="251"/>
      <c r="AG247" s="251"/>
      <c r="AH247" s="249"/>
      <c r="AI247" s="248"/>
      <c r="AJ247" s="251"/>
      <c r="AK247" s="248"/>
      <c r="AL247" s="249"/>
      <c r="AM247" s="248"/>
      <c r="AN247" s="248"/>
      <c r="AO247" s="248"/>
      <c r="AP247" s="248"/>
      <c r="AQ247" s="248"/>
      <c r="AR247" s="248"/>
      <c r="AS247" s="248"/>
      <c r="AT247" s="249"/>
      <c r="AU247" s="248"/>
      <c r="AV247" s="248"/>
      <c r="AW247" s="248"/>
      <c r="AX247" s="249"/>
      <c r="AY247" s="248"/>
      <c r="AZ247" s="248"/>
      <c r="BA247" s="248"/>
      <c r="BB247" s="248">
        <f t="shared" si="14"/>
        <v>35004</v>
      </c>
      <c r="BC247" s="248">
        <f t="shared" si="12"/>
        <v>35004</v>
      </c>
    </row>
    <row r="248" spans="2:55" s="39" customFormat="1" ht="23.25" customHeight="1">
      <c r="B248" s="22">
        <f t="shared" si="15"/>
        <v>232</v>
      </c>
      <c r="C248" s="22" t="s">
        <v>39</v>
      </c>
      <c r="D248" s="23">
        <v>30454127</v>
      </c>
      <c r="E248" s="48" t="s">
        <v>954</v>
      </c>
      <c r="F248" s="48" t="s">
        <v>317</v>
      </c>
      <c r="G248" s="26" t="s">
        <v>683</v>
      </c>
      <c r="H248" s="48" t="s">
        <v>756</v>
      </c>
      <c r="I248" s="25" t="s">
        <v>52</v>
      </c>
      <c r="J248" s="247">
        <v>245191</v>
      </c>
      <c r="K248" s="247"/>
      <c r="L248" s="247">
        <f t="shared" si="13"/>
        <v>245191</v>
      </c>
      <c r="M248" s="248"/>
      <c r="N248" s="248"/>
      <c r="O248" s="248"/>
      <c r="P248" s="248">
        <v>22307.814999999999</v>
      </c>
      <c r="Q248" s="248">
        <v>0</v>
      </c>
      <c r="R248" s="248">
        <v>0</v>
      </c>
      <c r="S248" s="248">
        <v>0</v>
      </c>
      <c r="T248" s="248">
        <v>162692.185</v>
      </c>
      <c r="U248" s="248">
        <v>12174.4</v>
      </c>
      <c r="V248" s="248"/>
      <c r="W248" s="248"/>
      <c r="X248" s="248"/>
      <c r="Y248" s="248">
        <v>197174.39999999999</v>
      </c>
      <c r="Z248" s="249">
        <v>200001</v>
      </c>
      <c r="AA248" s="250">
        <v>25</v>
      </c>
      <c r="AB248" s="251">
        <v>44253</v>
      </c>
      <c r="AC248" s="252">
        <v>44273</v>
      </c>
      <c r="AD248" s="249">
        <v>300</v>
      </c>
      <c r="AE248" s="248">
        <v>95</v>
      </c>
      <c r="AF248" s="251">
        <v>44460</v>
      </c>
      <c r="AG248" s="251">
        <v>44466</v>
      </c>
      <c r="AH248" s="249"/>
      <c r="AI248" s="248"/>
      <c r="AJ248" s="251"/>
      <c r="AK248" s="248"/>
      <c r="AL248" s="249"/>
      <c r="AM248" s="248"/>
      <c r="AN248" s="248"/>
      <c r="AO248" s="248"/>
      <c r="AP248" s="248"/>
      <c r="AQ248" s="248"/>
      <c r="AR248" s="248"/>
      <c r="AS248" s="248"/>
      <c r="AT248" s="249"/>
      <c r="AU248" s="248"/>
      <c r="AV248" s="248"/>
      <c r="AW248" s="248"/>
      <c r="AX248" s="249"/>
      <c r="AY248" s="248"/>
      <c r="AZ248" s="248"/>
      <c r="BA248" s="248"/>
      <c r="BB248" s="248">
        <f t="shared" si="14"/>
        <v>200301</v>
      </c>
      <c r="BC248" s="248">
        <f t="shared" si="12"/>
        <v>3126.6000000000058</v>
      </c>
    </row>
    <row r="249" spans="2:55" s="39" customFormat="1" ht="23.25" customHeight="1">
      <c r="B249" s="22">
        <f t="shared" si="15"/>
        <v>233</v>
      </c>
      <c r="C249" s="22" t="s">
        <v>65</v>
      </c>
      <c r="D249" s="23">
        <v>30349031</v>
      </c>
      <c r="E249" s="48" t="s">
        <v>955</v>
      </c>
      <c r="F249" s="48" t="s">
        <v>317</v>
      </c>
      <c r="G249" s="26" t="s">
        <v>683</v>
      </c>
      <c r="H249" s="48" t="s">
        <v>693</v>
      </c>
      <c r="I249" s="25" t="s">
        <v>52</v>
      </c>
      <c r="J249" s="247">
        <v>232547</v>
      </c>
      <c r="K249" s="247"/>
      <c r="L249" s="247">
        <f t="shared" si="13"/>
        <v>232547</v>
      </c>
      <c r="M249" s="248"/>
      <c r="N249" s="248"/>
      <c r="O249" s="248"/>
      <c r="P249" s="248">
        <v>0</v>
      </c>
      <c r="Q249" s="248">
        <v>54750</v>
      </c>
      <c r="R249" s="248">
        <v>0</v>
      </c>
      <c r="S249" s="248">
        <v>0</v>
      </c>
      <c r="T249" s="248">
        <v>0</v>
      </c>
      <c r="U249" s="248">
        <v>0</v>
      </c>
      <c r="V249" s="248"/>
      <c r="W249" s="248"/>
      <c r="X249" s="248"/>
      <c r="Y249" s="248">
        <v>54750</v>
      </c>
      <c r="Z249" s="249">
        <v>79189</v>
      </c>
      <c r="AA249" s="250">
        <v>25</v>
      </c>
      <c r="AB249" s="251">
        <v>44253</v>
      </c>
      <c r="AC249" s="252">
        <v>44273</v>
      </c>
      <c r="AD249" s="249"/>
      <c r="AE249" s="248"/>
      <c r="AF249" s="251"/>
      <c r="AG249" s="251"/>
      <c r="AH249" s="249"/>
      <c r="AI249" s="248"/>
      <c r="AJ249" s="251"/>
      <c r="AK249" s="248"/>
      <c r="AL249" s="249"/>
      <c r="AM249" s="248"/>
      <c r="AN249" s="248"/>
      <c r="AO249" s="248"/>
      <c r="AP249" s="248"/>
      <c r="AQ249" s="248"/>
      <c r="AR249" s="248"/>
      <c r="AS249" s="248"/>
      <c r="AT249" s="249"/>
      <c r="AU249" s="248"/>
      <c r="AV249" s="248"/>
      <c r="AW249" s="248"/>
      <c r="AX249" s="249"/>
      <c r="AY249" s="248"/>
      <c r="AZ249" s="248"/>
      <c r="BA249" s="248"/>
      <c r="BB249" s="248">
        <f t="shared" si="14"/>
        <v>79189</v>
      </c>
      <c r="BC249" s="248">
        <f t="shared" si="12"/>
        <v>24439</v>
      </c>
    </row>
    <row r="250" spans="2:55" s="39" customFormat="1" ht="23.25" customHeight="1">
      <c r="B250" s="22">
        <f t="shared" si="15"/>
        <v>234</v>
      </c>
      <c r="C250" s="22" t="s">
        <v>39</v>
      </c>
      <c r="D250" s="23">
        <v>30420432</v>
      </c>
      <c r="E250" s="48" t="s">
        <v>956</v>
      </c>
      <c r="F250" s="48" t="s">
        <v>317</v>
      </c>
      <c r="G250" s="26" t="s">
        <v>683</v>
      </c>
      <c r="H250" s="48" t="s">
        <v>745</v>
      </c>
      <c r="I250" s="25" t="s">
        <v>44</v>
      </c>
      <c r="J250" s="247">
        <v>172061</v>
      </c>
      <c r="K250" s="247">
        <v>154184</v>
      </c>
      <c r="L250" s="247">
        <f t="shared" si="13"/>
        <v>17877</v>
      </c>
      <c r="M250" s="248"/>
      <c r="N250" s="248"/>
      <c r="O250" s="248"/>
      <c r="P250" s="248"/>
      <c r="Q250" s="248"/>
      <c r="R250" s="248"/>
      <c r="S250" s="248">
        <v>0</v>
      </c>
      <c r="T250" s="248">
        <v>14354.42</v>
      </c>
      <c r="U250" s="248">
        <v>0</v>
      </c>
      <c r="V250" s="248"/>
      <c r="W250" s="248"/>
      <c r="X250" s="248"/>
      <c r="Y250" s="248">
        <v>14354.42</v>
      </c>
      <c r="Z250" s="249">
        <v>14356</v>
      </c>
      <c r="AA250" s="250">
        <v>25</v>
      </c>
      <c r="AB250" s="251">
        <v>44253</v>
      </c>
      <c r="AC250" s="252">
        <v>44273</v>
      </c>
      <c r="AD250" s="249"/>
      <c r="AE250" s="248"/>
      <c r="AF250" s="251"/>
      <c r="AG250" s="251"/>
      <c r="AH250" s="249"/>
      <c r="AI250" s="248"/>
      <c r="AJ250" s="251"/>
      <c r="AK250" s="248"/>
      <c r="AL250" s="249"/>
      <c r="AM250" s="248"/>
      <c r="AN250" s="248"/>
      <c r="AO250" s="248"/>
      <c r="AP250" s="248"/>
      <c r="AQ250" s="248"/>
      <c r="AR250" s="248"/>
      <c r="AS250" s="248"/>
      <c r="AT250" s="249"/>
      <c r="AU250" s="248"/>
      <c r="AV250" s="248"/>
      <c r="AW250" s="248"/>
      <c r="AX250" s="249"/>
      <c r="AY250" s="248"/>
      <c r="AZ250" s="248"/>
      <c r="BA250" s="248"/>
      <c r="BB250" s="248">
        <f t="shared" si="14"/>
        <v>14356</v>
      </c>
      <c r="BC250" s="248">
        <f t="shared" si="12"/>
        <v>1.5799999999999272</v>
      </c>
    </row>
    <row r="251" spans="2:55" s="39" customFormat="1" ht="23.25" customHeight="1">
      <c r="B251" s="22">
        <f t="shared" si="15"/>
        <v>235</v>
      </c>
      <c r="C251" s="22" t="s">
        <v>39</v>
      </c>
      <c r="D251" s="23">
        <v>30071172</v>
      </c>
      <c r="E251" s="48" t="s">
        <v>957</v>
      </c>
      <c r="F251" s="48" t="s">
        <v>700</v>
      </c>
      <c r="G251" s="26" t="s">
        <v>683</v>
      </c>
      <c r="H251" s="48" t="s">
        <v>704</v>
      </c>
      <c r="I251" s="25" t="s">
        <v>44</v>
      </c>
      <c r="J251" s="247">
        <v>189977</v>
      </c>
      <c r="K251" s="247">
        <v>121078</v>
      </c>
      <c r="L251" s="247">
        <f t="shared" si="13"/>
        <v>68899</v>
      </c>
      <c r="M251" s="248"/>
      <c r="N251" s="248"/>
      <c r="O251" s="248"/>
      <c r="P251" s="248">
        <v>0</v>
      </c>
      <c r="Q251" s="248">
        <v>0</v>
      </c>
      <c r="R251" s="248">
        <v>16200</v>
      </c>
      <c r="S251" s="248">
        <v>0</v>
      </c>
      <c r="T251" s="248">
        <v>0</v>
      </c>
      <c r="U251" s="248">
        <v>0</v>
      </c>
      <c r="V251" s="248"/>
      <c r="W251" s="248"/>
      <c r="X251" s="248"/>
      <c r="Y251" s="248">
        <v>16200</v>
      </c>
      <c r="Z251" s="249">
        <v>16201</v>
      </c>
      <c r="AA251" s="250">
        <v>27</v>
      </c>
      <c r="AB251" s="251">
        <v>44274</v>
      </c>
      <c r="AC251" s="252">
        <v>44279</v>
      </c>
      <c r="AD251" s="249">
        <v>16200</v>
      </c>
      <c r="AE251" s="248">
        <v>75</v>
      </c>
      <c r="AF251" s="251">
        <v>44406</v>
      </c>
      <c r="AG251" s="251">
        <v>44413</v>
      </c>
      <c r="AH251" s="249"/>
      <c r="AI251" s="248"/>
      <c r="AJ251" s="251"/>
      <c r="AK251" s="248"/>
      <c r="AL251" s="249"/>
      <c r="AM251" s="248"/>
      <c r="AN251" s="248"/>
      <c r="AO251" s="248"/>
      <c r="AP251" s="248"/>
      <c r="AQ251" s="248"/>
      <c r="AR251" s="248"/>
      <c r="AS251" s="248"/>
      <c r="AT251" s="249"/>
      <c r="AU251" s="248"/>
      <c r="AV251" s="248"/>
      <c r="AW251" s="248"/>
      <c r="AX251" s="249"/>
      <c r="AY251" s="248"/>
      <c r="AZ251" s="248"/>
      <c r="BA251" s="248"/>
      <c r="BB251" s="248">
        <f t="shared" si="14"/>
        <v>32401</v>
      </c>
      <c r="BC251" s="248">
        <f t="shared" si="12"/>
        <v>16201</v>
      </c>
    </row>
    <row r="252" spans="2:55" s="39" customFormat="1" ht="23.25" customHeight="1">
      <c r="B252" s="22">
        <f t="shared" si="15"/>
        <v>236</v>
      </c>
      <c r="C252" s="22" t="s">
        <v>39</v>
      </c>
      <c r="D252" s="23">
        <v>30114635</v>
      </c>
      <c r="E252" s="48" t="s">
        <v>958</v>
      </c>
      <c r="F252" s="48" t="s">
        <v>317</v>
      </c>
      <c r="G252" s="26" t="s">
        <v>683</v>
      </c>
      <c r="H252" s="48" t="s">
        <v>745</v>
      </c>
      <c r="I252" s="25" t="s">
        <v>44</v>
      </c>
      <c r="J252" s="247">
        <v>1515139</v>
      </c>
      <c r="K252" s="247">
        <v>1080935</v>
      </c>
      <c r="L252" s="247">
        <f t="shared" si="13"/>
        <v>434204</v>
      </c>
      <c r="M252" s="248"/>
      <c r="N252" s="248"/>
      <c r="O252" s="248"/>
      <c r="P252" s="248">
        <v>0</v>
      </c>
      <c r="Q252" s="248">
        <v>0</v>
      </c>
      <c r="R252" s="248">
        <v>266050.63</v>
      </c>
      <c r="S252" s="248">
        <v>0</v>
      </c>
      <c r="T252" s="248">
        <v>0</v>
      </c>
      <c r="U252" s="248">
        <v>0</v>
      </c>
      <c r="V252" s="248"/>
      <c r="W252" s="248"/>
      <c r="X252" s="248"/>
      <c r="Y252" s="248">
        <v>266050.63</v>
      </c>
      <c r="Z252" s="249">
        <v>266052</v>
      </c>
      <c r="AA252" s="250">
        <v>28</v>
      </c>
      <c r="AB252" s="251">
        <v>44295</v>
      </c>
      <c r="AC252" s="252">
        <v>44301</v>
      </c>
      <c r="AD252" s="249">
        <v>33291</v>
      </c>
      <c r="AE252" s="248">
        <v>54</v>
      </c>
      <c r="AF252" s="251">
        <v>44363</v>
      </c>
      <c r="AG252" s="251">
        <v>44369</v>
      </c>
      <c r="AH252" s="249"/>
      <c r="AI252" s="248"/>
      <c r="AJ252" s="251"/>
      <c r="AK252" s="248"/>
      <c r="AL252" s="249"/>
      <c r="AM252" s="248"/>
      <c r="AN252" s="248"/>
      <c r="AO252" s="248"/>
      <c r="AP252" s="248"/>
      <c r="AQ252" s="248"/>
      <c r="AR252" s="248"/>
      <c r="AS252" s="248"/>
      <c r="AT252" s="249"/>
      <c r="AU252" s="248"/>
      <c r="AV252" s="248"/>
      <c r="AW252" s="248"/>
      <c r="AX252" s="249"/>
      <c r="AY252" s="248"/>
      <c r="AZ252" s="248"/>
      <c r="BA252" s="248"/>
      <c r="BB252" s="248">
        <f t="shared" si="14"/>
        <v>299343</v>
      </c>
      <c r="BC252" s="248">
        <f t="shared" si="12"/>
        <v>33292.369999999995</v>
      </c>
    </row>
    <row r="253" spans="2:55" s="39" customFormat="1" ht="23.25" customHeight="1">
      <c r="B253" s="22">
        <f t="shared" si="15"/>
        <v>237</v>
      </c>
      <c r="C253" s="22" t="s">
        <v>39</v>
      </c>
      <c r="D253" s="23">
        <v>30406023</v>
      </c>
      <c r="E253" s="48" t="s">
        <v>959</v>
      </c>
      <c r="F253" s="48" t="s">
        <v>317</v>
      </c>
      <c r="G253" s="26" t="s">
        <v>683</v>
      </c>
      <c r="H253" s="48" t="s">
        <v>756</v>
      </c>
      <c r="I253" s="25" t="s">
        <v>52</v>
      </c>
      <c r="J253" s="247">
        <v>262992</v>
      </c>
      <c r="K253" s="247"/>
      <c r="L253" s="247">
        <f t="shared" si="13"/>
        <v>262992</v>
      </c>
      <c r="M253" s="248"/>
      <c r="N253" s="248"/>
      <c r="O253" s="248"/>
      <c r="P253" s="248"/>
      <c r="Q253" s="248"/>
      <c r="R253" s="248"/>
      <c r="S253" s="248">
        <v>0</v>
      </c>
      <c r="T253" s="248">
        <v>0</v>
      </c>
      <c r="U253" s="248">
        <v>0</v>
      </c>
      <c r="V253" s="248"/>
      <c r="W253" s="248"/>
      <c r="X253" s="248"/>
      <c r="Y253" s="248">
        <v>0</v>
      </c>
      <c r="Z253" s="249">
        <v>4</v>
      </c>
      <c r="AA253" s="250">
        <v>32</v>
      </c>
      <c r="AB253" s="251">
        <v>44306</v>
      </c>
      <c r="AC253" s="252">
        <v>44314</v>
      </c>
      <c r="AD253" s="249"/>
      <c r="AE253" s="248"/>
      <c r="AF253" s="251"/>
      <c r="AG253" s="251"/>
      <c r="AH253" s="249"/>
      <c r="AI253" s="248"/>
      <c r="AJ253" s="251"/>
      <c r="AK253" s="248"/>
      <c r="AL253" s="249"/>
      <c r="AM253" s="248"/>
      <c r="AN253" s="248"/>
      <c r="AO253" s="248"/>
      <c r="AP253" s="248"/>
      <c r="AQ253" s="248"/>
      <c r="AR253" s="248"/>
      <c r="AS253" s="248"/>
      <c r="AT253" s="249"/>
      <c r="AU253" s="248"/>
      <c r="AV253" s="248"/>
      <c r="AW253" s="248"/>
      <c r="AX253" s="249"/>
      <c r="AY253" s="248"/>
      <c r="AZ253" s="248"/>
      <c r="BA253" s="248"/>
      <c r="BB253" s="248">
        <f t="shared" si="14"/>
        <v>4</v>
      </c>
      <c r="BC253" s="248">
        <f t="shared" si="12"/>
        <v>4</v>
      </c>
    </row>
    <row r="254" spans="2:55" s="39" customFormat="1" ht="23.25" customHeight="1">
      <c r="B254" s="22">
        <f t="shared" si="15"/>
        <v>238</v>
      </c>
      <c r="C254" s="22" t="s">
        <v>65</v>
      </c>
      <c r="D254" s="23">
        <v>40019005</v>
      </c>
      <c r="E254" s="48" t="s">
        <v>960</v>
      </c>
      <c r="F254" s="48" t="s">
        <v>317</v>
      </c>
      <c r="G254" s="26" t="s">
        <v>683</v>
      </c>
      <c r="H254" s="48" t="s">
        <v>737</v>
      </c>
      <c r="I254" s="25" t="s">
        <v>52</v>
      </c>
      <c r="J254" s="247">
        <v>46012</v>
      </c>
      <c r="K254" s="247"/>
      <c r="L254" s="247">
        <f t="shared" si="13"/>
        <v>46012</v>
      </c>
      <c r="M254" s="248"/>
      <c r="N254" s="248"/>
      <c r="O254" s="248"/>
      <c r="P254" s="248"/>
      <c r="Q254" s="248"/>
      <c r="R254" s="248"/>
      <c r="S254" s="248">
        <v>0</v>
      </c>
      <c r="T254" s="248">
        <v>0</v>
      </c>
      <c r="U254" s="248">
        <v>0</v>
      </c>
      <c r="V254" s="248"/>
      <c r="W254" s="248"/>
      <c r="X254" s="248"/>
      <c r="Y254" s="248">
        <v>0</v>
      </c>
      <c r="Z254" s="249">
        <v>1</v>
      </c>
      <c r="AA254" s="250">
        <v>32</v>
      </c>
      <c r="AB254" s="251">
        <v>44306</v>
      </c>
      <c r="AC254" s="252">
        <v>44314</v>
      </c>
      <c r="AD254" s="249"/>
      <c r="AE254" s="248"/>
      <c r="AF254" s="251"/>
      <c r="AG254" s="251"/>
      <c r="AH254" s="249"/>
      <c r="AI254" s="248"/>
      <c r="AJ254" s="251"/>
      <c r="AK254" s="248"/>
      <c r="AL254" s="249"/>
      <c r="AM254" s="248"/>
      <c r="AN254" s="248"/>
      <c r="AO254" s="248"/>
      <c r="AP254" s="248"/>
      <c r="AQ254" s="248"/>
      <c r="AR254" s="248"/>
      <c r="AS254" s="248"/>
      <c r="AT254" s="249"/>
      <c r="AU254" s="248"/>
      <c r="AV254" s="248"/>
      <c r="AW254" s="248"/>
      <c r="AX254" s="249"/>
      <c r="AY254" s="248"/>
      <c r="AZ254" s="248"/>
      <c r="BA254" s="248"/>
      <c r="BB254" s="248">
        <f t="shared" si="14"/>
        <v>1</v>
      </c>
      <c r="BC254" s="248">
        <f t="shared" si="12"/>
        <v>1</v>
      </c>
    </row>
    <row r="255" spans="2:55" s="39" customFormat="1" ht="23.25" customHeight="1">
      <c r="B255" s="22">
        <f t="shared" si="15"/>
        <v>239</v>
      </c>
      <c r="C255" s="22" t="s">
        <v>39</v>
      </c>
      <c r="D255" s="23">
        <v>40019807</v>
      </c>
      <c r="E255" s="48" t="s">
        <v>961</v>
      </c>
      <c r="F255" s="48" t="s">
        <v>317</v>
      </c>
      <c r="G255" s="26" t="s">
        <v>683</v>
      </c>
      <c r="H255" s="48" t="s">
        <v>688</v>
      </c>
      <c r="I255" s="25" t="s">
        <v>52</v>
      </c>
      <c r="J255" s="247">
        <v>1172639</v>
      </c>
      <c r="K255" s="247"/>
      <c r="L255" s="247">
        <f t="shared" si="13"/>
        <v>1172639</v>
      </c>
      <c r="M255" s="248"/>
      <c r="N255" s="248"/>
      <c r="O255" s="248"/>
      <c r="P255" s="248"/>
      <c r="Q255" s="248"/>
      <c r="R255" s="248"/>
      <c r="S255" s="248">
        <v>0</v>
      </c>
      <c r="T255" s="248">
        <v>0</v>
      </c>
      <c r="U255" s="248">
        <v>0</v>
      </c>
      <c r="V255" s="248"/>
      <c r="W255" s="248"/>
      <c r="X255" s="248"/>
      <c r="Y255" s="248">
        <v>0</v>
      </c>
      <c r="Z255" s="249">
        <v>2</v>
      </c>
      <c r="AA255" s="250">
        <v>32</v>
      </c>
      <c r="AB255" s="251">
        <v>44306</v>
      </c>
      <c r="AC255" s="252">
        <v>44314</v>
      </c>
      <c r="AD255" s="249"/>
      <c r="AE255" s="248"/>
      <c r="AF255" s="251"/>
      <c r="AG255" s="251"/>
      <c r="AH255" s="249"/>
      <c r="AI255" s="248"/>
      <c r="AJ255" s="251"/>
      <c r="AK255" s="248"/>
      <c r="AL255" s="249"/>
      <c r="AM255" s="248"/>
      <c r="AN255" s="248"/>
      <c r="AO255" s="248"/>
      <c r="AP255" s="248"/>
      <c r="AQ255" s="248"/>
      <c r="AR255" s="248"/>
      <c r="AS255" s="248"/>
      <c r="AT255" s="249"/>
      <c r="AU255" s="248"/>
      <c r="AV255" s="248"/>
      <c r="AW255" s="248"/>
      <c r="AX255" s="249"/>
      <c r="AY255" s="248"/>
      <c r="AZ255" s="248"/>
      <c r="BA255" s="248"/>
      <c r="BB255" s="248">
        <f t="shared" si="14"/>
        <v>2</v>
      </c>
      <c r="BC255" s="248">
        <f t="shared" si="12"/>
        <v>2</v>
      </c>
    </row>
    <row r="256" spans="2:55" s="39" customFormat="1" ht="23.25" customHeight="1">
      <c r="B256" s="22">
        <f t="shared" si="15"/>
        <v>240</v>
      </c>
      <c r="C256" s="22" t="s">
        <v>39</v>
      </c>
      <c r="D256" s="23">
        <v>40021193</v>
      </c>
      <c r="E256" s="48" t="s">
        <v>962</v>
      </c>
      <c r="F256" s="48" t="s">
        <v>317</v>
      </c>
      <c r="G256" s="26" t="s">
        <v>683</v>
      </c>
      <c r="H256" s="48" t="s">
        <v>756</v>
      </c>
      <c r="I256" s="25" t="s">
        <v>52</v>
      </c>
      <c r="J256" s="247">
        <v>685294</v>
      </c>
      <c r="K256" s="247"/>
      <c r="L256" s="247">
        <f t="shared" si="13"/>
        <v>685294</v>
      </c>
      <c r="M256" s="248"/>
      <c r="N256" s="248"/>
      <c r="O256" s="248"/>
      <c r="P256" s="248"/>
      <c r="Q256" s="248"/>
      <c r="R256" s="248"/>
      <c r="S256" s="248">
        <v>0</v>
      </c>
      <c r="T256" s="248">
        <v>0</v>
      </c>
      <c r="U256" s="248">
        <v>0</v>
      </c>
      <c r="V256" s="248"/>
      <c r="W256" s="248"/>
      <c r="X256" s="248"/>
      <c r="Y256" s="248">
        <v>0</v>
      </c>
      <c r="Z256" s="249">
        <v>3</v>
      </c>
      <c r="AA256" s="250">
        <v>32</v>
      </c>
      <c r="AB256" s="251">
        <v>44306</v>
      </c>
      <c r="AC256" s="252">
        <v>44314</v>
      </c>
      <c r="AD256" s="249"/>
      <c r="AE256" s="248"/>
      <c r="AF256" s="251"/>
      <c r="AG256" s="251"/>
      <c r="AH256" s="249"/>
      <c r="AI256" s="248"/>
      <c r="AJ256" s="251"/>
      <c r="AK256" s="248"/>
      <c r="AL256" s="249"/>
      <c r="AM256" s="248"/>
      <c r="AN256" s="248"/>
      <c r="AO256" s="248"/>
      <c r="AP256" s="248"/>
      <c r="AQ256" s="248"/>
      <c r="AR256" s="248"/>
      <c r="AS256" s="248"/>
      <c r="AT256" s="249"/>
      <c r="AU256" s="248"/>
      <c r="AV256" s="248"/>
      <c r="AW256" s="248"/>
      <c r="AX256" s="249"/>
      <c r="AY256" s="248"/>
      <c r="AZ256" s="248"/>
      <c r="BA256" s="248"/>
      <c r="BB256" s="248">
        <f t="shared" si="14"/>
        <v>3</v>
      </c>
      <c r="BC256" s="248">
        <f t="shared" si="12"/>
        <v>3</v>
      </c>
    </row>
    <row r="257" spans="2:55" s="39" customFormat="1" ht="23.25" customHeight="1">
      <c r="B257" s="22">
        <f t="shared" si="15"/>
        <v>241</v>
      </c>
      <c r="C257" s="22" t="s">
        <v>39</v>
      </c>
      <c r="D257" s="23">
        <v>40025047</v>
      </c>
      <c r="E257" s="48" t="s">
        <v>963</v>
      </c>
      <c r="F257" s="48" t="s">
        <v>700</v>
      </c>
      <c r="G257" s="26" t="s">
        <v>683</v>
      </c>
      <c r="H257" s="48" t="s">
        <v>688</v>
      </c>
      <c r="I257" s="25" t="s">
        <v>52</v>
      </c>
      <c r="J257" s="247">
        <v>21964</v>
      </c>
      <c r="K257" s="247"/>
      <c r="L257" s="247">
        <f t="shared" si="13"/>
        <v>21964</v>
      </c>
      <c r="M257" s="248"/>
      <c r="N257" s="248"/>
      <c r="O257" s="248"/>
      <c r="P257" s="248"/>
      <c r="Q257" s="248"/>
      <c r="R257" s="248"/>
      <c r="S257" s="248">
        <v>0</v>
      </c>
      <c r="T257" s="248">
        <v>0</v>
      </c>
      <c r="U257" s="248">
        <v>0</v>
      </c>
      <c r="V257" s="248"/>
      <c r="W257" s="248"/>
      <c r="X257" s="248"/>
      <c r="Y257" s="248">
        <v>0</v>
      </c>
      <c r="Z257" s="249">
        <v>1</v>
      </c>
      <c r="AA257" s="250">
        <v>32</v>
      </c>
      <c r="AB257" s="251">
        <v>44306</v>
      </c>
      <c r="AC257" s="252">
        <v>44314</v>
      </c>
      <c r="AD257" s="249"/>
      <c r="AE257" s="248"/>
      <c r="AF257" s="251"/>
      <c r="AG257" s="251"/>
      <c r="AH257" s="249"/>
      <c r="AI257" s="248"/>
      <c r="AJ257" s="251"/>
      <c r="AK257" s="248"/>
      <c r="AL257" s="249"/>
      <c r="AM257" s="248"/>
      <c r="AN257" s="248"/>
      <c r="AO257" s="248"/>
      <c r="AP257" s="248"/>
      <c r="AQ257" s="248"/>
      <c r="AR257" s="248"/>
      <c r="AS257" s="248"/>
      <c r="AT257" s="249"/>
      <c r="AU257" s="248"/>
      <c r="AV257" s="248"/>
      <c r="AW257" s="248"/>
      <c r="AX257" s="249"/>
      <c r="AY257" s="248"/>
      <c r="AZ257" s="248"/>
      <c r="BA257" s="248"/>
      <c r="BB257" s="248">
        <f t="shared" si="14"/>
        <v>1</v>
      </c>
      <c r="BC257" s="248">
        <f t="shared" si="12"/>
        <v>1</v>
      </c>
    </row>
    <row r="258" spans="2:55" s="39" customFormat="1" ht="23.25" customHeight="1">
      <c r="B258" s="22">
        <f t="shared" si="15"/>
        <v>242</v>
      </c>
      <c r="C258" s="22" t="s">
        <v>39</v>
      </c>
      <c r="D258" s="23">
        <v>30121859</v>
      </c>
      <c r="E258" s="48" t="s">
        <v>964</v>
      </c>
      <c r="F258" s="48" t="s">
        <v>317</v>
      </c>
      <c r="G258" s="26" t="s">
        <v>683</v>
      </c>
      <c r="H258" s="48" t="s">
        <v>772</v>
      </c>
      <c r="I258" s="25" t="s">
        <v>52</v>
      </c>
      <c r="J258" s="247">
        <v>1359597</v>
      </c>
      <c r="K258" s="247"/>
      <c r="L258" s="247">
        <f t="shared" si="13"/>
        <v>1359597</v>
      </c>
      <c r="M258" s="248"/>
      <c r="N258" s="248"/>
      <c r="O258" s="248"/>
      <c r="P258" s="248"/>
      <c r="Q258" s="248"/>
      <c r="R258" s="248"/>
      <c r="S258" s="248">
        <v>0</v>
      </c>
      <c r="T258" s="248">
        <v>0</v>
      </c>
      <c r="U258" s="248">
        <v>0</v>
      </c>
      <c r="V258" s="248"/>
      <c r="W258" s="248"/>
      <c r="X258" s="248"/>
      <c r="Y258" s="248">
        <v>0</v>
      </c>
      <c r="Z258" s="249">
        <v>2</v>
      </c>
      <c r="AA258" s="250">
        <v>32</v>
      </c>
      <c r="AB258" s="251">
        <v>44306</v>
      </c>
      <c r="AC258" s="252">
        <v>44314</v>
      </c>
      <c r="AD258" s="249"/>
      <c r="AE258" s="248"/>
      <c r="AF258" s="251"/>
      <c r="AG258" s="251"/>
      <c r="AH258" s="249"/>
      <c r="AI258" s="248"/>
      <c r="AJ258" s="251"/>
      <c r="AK258" s="248"/>
      <c r="AL258" s="249"/>
      <c r="AM258" s="248"/>
      <c r="AN258" s="248"/>
      <c r="AO258" s="248"/>
      <c r="AP258" s="248"/>
      <c r="AQ258" s="248"/>
      <c r="AR258" s="248"/>
      <c r="AS258" s="248"/>
      <c r="AT258" s="249"/>
      <c r="AU258" s="248"/>
      <c r="AV258" s="248"/>
      <c r="AW258" s="248"/>
      <c r="AX258" s="249"/>
      <c r="AY258" s="248"/>
      <c r="AZ258" s="248"/>
      <c r="BA258" s="248"/>
      <c r="BB258" s="248">
        <f t="shared" si="14"/>
        <v>2</v>
      </c>
      <c r="BC258" s="248">
        <f t="shared" si="12"/>
        <v>2</v>
      </c>
    </row>
    <row r="259" spans="2:55" s="39" customFormat="1" ht="23.25" customHeight="1">
      <c r="B259" s="22">
        <f t="shared" si="15"/>
        <v>243</v>
      </c>
      <c r="C259" s="22" t="s">
        <v>39</v>
      </c>
      <c r="D259" s="23">
        <v>30403874</v>
      </c>
      <c r="E259" s="48" t="s">
        <v>965</v>
      </c>
      <c r="F259" s="48" t="s">
        <v>700</v>
      </c>
      <c r="G259" s="26" t="s">
        <v>683</v>
      </c>
      <c r="H259" s="48" t="s">
        <v>742</v>
      </c>
      <c r="I259" s="25" t="s">
        <v>52</v>
      </c>
      <c r="J259" s="247">
        <v>92261</v>
      </c>
      <c r="K259" s="247"/>
      <c r="L259" s="247">
        <f t="shared" si="13"/>
        <v>92261</v>
      </c>
      <c r="M259" s="248"/>
      <c r="N259" s="248"/>
      <c r="O259" s="248"/>
      <c r="P259" s="248"/>
      <c r="Q259" s="248"/>
      <c r="R259" s="248"/>
      <c r="S259" s="248">
        <v>0</v>
      </c>
      <c r="T259" s="248">
        <v>0</v>
      </c>
      <c r="U259" s="248">
        <v>0</v>
      </c>
      <c r="V259" s="248"/>
      <c r="W259" s="248"/>
      <c r="X259" s="248"/>
      <c r="Y259" s="248">
        <v>0</v>
      </c>
      <c r="Z259" s="249">
        <v>1</v>
      </c>
      <c r="AA259" s="250">
        <v>32</v>
      </c>
      <c r="AB259" s="251">
        <v>44306</v>
      </c>
      <c r="AC259" s="252">
        <v>44314</v>
      </c>
      <c r="AD259" s="249"/>
      <c r="AE259" s="248"/>
      <c r="AF259" s="251"/>
      <c r="AG259" s="251"/>
      <c r="AH259" s="249"/>
      <c r="AI259" s="248"/>
      <c r="AJ259" s="251"/>
      <c r="AK259" s="248"/>
      <c r="AL259" s="249"/>
      <c r="AM259" s="248"/>
      <c r="AN259" s="248"/>
      <c r="AO259" s="248"/>
      <c r="AP259" s="248"/>
      <c r="AQ259" s="248"/>
      <c r="AR259" s="248"/>
      <c r="AS259" s="248"/>
      <c r="AT259" s="249"/>
      <c r="AU259" s="248"/>
      <c r="AV259" s="248"/>
      <c r="AW259" s="248"/>
      <c r="AX259" s="249"/>
      <c r="AY259" s="248"/>
      <c r="AZ259" s="248"/>
      <c r="BA259" s="248"/>
      <c r="BB259" s="248">
        <f t="shared" si="14"/>
        <v>1</v>
      </c>
      <c r="BC259" s="248">
        <f t="shared" si="12"/>
        <v>1</v>
      </c>
    </row>
    <row r="260" spans="2:55" s="39" customFormat="1" ht="23.25" customHeight="1">
      <c r="B260" s="22">
        <f t="shared" si="15"/>
        <v>244</v>
      </c>
      <c r="C260" s="22" t="s">
        <v>39</v>
      </c>
      <c r="D260" s="23">
        <v>30482607</v>
      </c>
      <c r="E260" s="48" t="s">
        <v>966</v>
      </c>
      <c r="F260" s="48" t="s">
        <v>317</v>
      </c>
      <c r="G260" s="26" t="s">
        <v>683</v>
      </c>
      <c r="H260" s="48" t="s">
        <v>704</v>
      </c>
      <c r="I260" s="25" t="s">
        <v>52</v>
      </c>
      <c r="J260" s="247">
        <v>120316</v>
      </c>
      <c r="K260" s="247"/>
      <c r="L260" s="247">
        <f t="shared" si="13"/>
        <v>120316</v>
      </c>
      <c r="M260" s="248"/>
      <c r="N260" s="248"/>
      <c r="O260" s="248"/>
      <c r="P260" s="248"/>
      <c r="Q260" s="248"/>
      <c r="R260" s="248"/>
      <c r="S260" s="248">
        <v>0</v>
      </c>
      <c r="T260" s="248">
        <v>0</v>
      </c>
      <c r="U260" s="248">
        <v>0</v>
      </c>
      <c r="V260" s="248"/>
      <c r="W260" s="248"/>
      <c r="X260" s="248"/>
      <c r="Y260" s="248">
        <v>0</v>
      </c>
      <c r="Z260" s="249">
        <v>3</v>
      </c>
      <c r="AA260" s="250">
        <v>32</v>
      </c>
      <c r="AB260" s="251">
        <v>44306</v>
      </c>
      <c r="AC260" s="252">
        <v>44314</v>
      </c>
      <c r="AD260" s="249"/>
      <c r="AE260" s="248"/>
      <c r="AF260" s="251"/>
      <c r="AG260" s="251"/>
      <c r="AH260" s="249"/>
      <c r="AI260" s="248"/>
      <c r="AJ260" s="251"/>
      <c r="AK260" s="248"/>
      <c r="AL260" s="249"/>
      <c r="AM260" s="248"/>
      <c r="AN260" s="248"/>
      <c r="AO260" s="248"/>
      <c r="AP260" s="248"/>
      <c r="AQ260" s="248"/>
      <c r="AR260" s="248"/>
      <c r="AS260" s="248"/>
      <c r="AT260" s="249"/>
      <c r="AU260" s="248"/>
      <c r="AV260" s="248"/>
      <c r="AW260" s="248"/>
      <c r="AX260" s="249"/>
      <c r="AY260" s="248"/>
      <c r="AZ260" s="248"/>
      <c r="BA260" s="248"/>
      <c r="BB260" s="248">
        <f t="shared" si="14"/>
        <v>3</v>
      </c>
      <c r="BC260" s="248">
        <f t="shared" si="12"/>
        <v>3</v>
      </c>
    </row>
    <row r="261" spans="2:55" s="39" customFormat="1" ht="23.25" customHeight="1">
      <c r="B261" s="22">
        <f t="shared" si="15"/>
        <v>245</v>
      </c>
      <c r="C261" s="22" t="s">
        <v>39</v>
      </c>
      <c r="D261" s="23">
        <v>30483094</v>
      </c>
      <c r="E261" s="48" t="s">
        <v>967</v>
      </c>
      <c r="F261" s="48" t="s">
        <v>317</v>
      </c>
      <c r="G261" s="26" t="s">
        <v>683</v>
      </c>
      <c r="H261" s="48" t="s">
        <v>704</v>
      </c>
      <c r="I261" s="25" t="s">
        <v>52</v>
      </c>
      <c r="J261" s="247">
        <v>128231</v>
      </c>
      <c r="K261" s="247"/>
      <c r="L261" s="247">
        <f t="shared" si="13"/>
        <v>128231</v>
      </c>
      <c r="M261" s="248"/>
      <c r="N261" s="248"/>
      <c r="O261" s="248"/>
      <c r="P261" s="248"/>
      <c r="Q261" s="248"/>
      <c r="R261" s="248"/>
      <c r="S261" s="248">
        <v>0</v>
      </c>
      <c r="T261" s="248">
        <v>0</v>
      </c>
      <c r="U261" s="248">
        <v>0</v>
      </c>
      <c r="V261" s="248"/>
      <c r="W261" s="248"/>
      <c r="X261" s="248"/>
      <c r="Y261" s="248">
        <v>0</v>
      </c>
      <c r="Z261" s="249">
        <v>3</v>
      </c>
      <c r="AA261" s="250">
        <v>32</v>
      </c>
      <c r="AB261" s="251">
        <v>44306</v>
      </c>
      <c r="AC261" s="252">
        <v>44314</v>
      </c>
      <c r="AD261" s="249"/>
      <c r="AE261" s="248"/>
      <c r="AF261" s="251"/>
      <c r="AG261" s="251"/>
      <c r="AH261" s="249"/>
      <c r="AI261" s="248"/>
      <c r="AJ261" s="251"/>
      <c r="AK261" s="248"/>
      <c r="AL261" s="249"/>
      <c r="AM261" s="248"/>
      <c r="AN261" s="248"/>
      <c r="AO261" s="248"/>
      <c r="AP261" s="248"/>
      <c r="AQ261" s="248"/>
      <c r="AR261" s="248"/>
      <c r="AS261" s="248"/>
      <c r="AT261" s="249"/>
      <c r="AU261" s="248"/>
      <c r="AV261" s="248"/>
      <c r="AW261" s="248"/>
      <c r="AX261" s="249"/>
      <c r="AY261" s="248"/>
      <c r="AZ261" s="248"/>
      <c r="BA261" s="248"/>
      <c r="BB261" s="248">
        <f t="shared" si="14"/>
        <v>3</v>
      </c>
      <c r="BC261" s="248">
        <f t="shared" si="12"/>
        <v>3</v>
      </c>
    </row>
    <row r="262" spans="2:55" s="39" customFormat="1" ht="23.25" customHeight="1">
      <c r="B262" s="22">
        <f t="shared" si="15"/>
        <v>246</v>
      </c>
      <c r="C262" s="22" t="s">
        <v>39</v>
      </c>
      <c r="D262" s="23">
        <v>40001069</v>
      </c>
      <c r="E262" s="48" t="s">
        <v>968</v>
      </c>
      <c r="F262" s="48" t="s">
        <v>317</v>
      </c>
      <c r="G262" s="26" t="s">
        <v>683</v>
      </c>
      <c r="H262" s="48" t="s">
        <v>706</v>
      </c>
      <c r="I262" s="25" t="s">
        <v>52</v>
      </c>
      <c r="J262" s="247">
        <v>988374</v>
      </c>
      <c r="K262" s="247"/>
      <c r="L262" s="247">
        <f t="shared" si="13"/>
        <v>988374</v>
      </c>
      <c r="M262" s="248"/>
      <c r="N262" s="248"/>
      <c r="O262" s="248"/>
      <c r="P262" s="248"/>
      <c r="Q262" s="248"/>
      <c r="R262" s="248"/>
      <c r="S262" s="248">
        <v>0</v>
      </c>
      <c r="T262" s="248">
        <v>0</v>
      </c>
      <c r="U262" s="248">
        <v>0</v>
      </c>
      <c r="V262" s="248"/>
      <c r="W262" s="248"/>
      <c r="X262" s="248"/>
      <c r="Y262" s="248">
        <v>0</v>
      </c>
      <c r="Z262" s="249">
        <v>3</v>
      </c>
      <c r="AA262" s="250">
        <v>32</v>
      </c>
      <c r="AB262" s="251">
        <v>44306</v>
      </c>
      <c r="AC262" s="252">
        <v>44314</v>
      </c>
      <c r="AD262" s="249"/>
      <c r="AE262" s="248"/>
      <c r="AF262" s="251"/>
      <c r="AG262" s="251"/>
      <c r="AH262" s="249"/>
      <c r="AI262" s="248"/>
      <c r="AJ262" s="251"/>
      <c r="AK262" s="248"/>
      <c r="AL262" s="249"/>
      <c r="AM262" s="248"/>
      <c r="AN262" s="248"/>
      <c r="AO262" s="248"/>
      <c r="AP262" s="248"/>
      <c r="AQ262" s="248"/>
      <c r="AR262" s="248"/>
      <c r="AS262" s="248"/>
      <c r="AT262" s="249"/>
      <c r="AU262" s="248"/>
      <c r="AV262" s="248"/>
      <c r="AW262" s="248"/>
      <c r="AX262" s="249"/>
      <c r="AY262" s="248"/>
      <c r="AZ262" s="248"/>
      <c r="BA262" s="248"/>
      <c r="BB262" s="248">
        <f t="shared" si="14"/>
        <v>3</v>
      </c>
      <c r="BC262" s="248">
        <f t="shared" si="12"/>
        <v>3</v>
      </c>
    </row>
    <row r="263" spans="2:55" s="39" customFormat="1" ht="23.25" customHeight="1">
      <c r="B263" s="22">
        <f t="shared" si="15"/>
        <v>247</v>
      </c>
      <c r="C263" s="22" t="s">
        <v>39</v>
      </c>
      <c r="D263" s="23">
        <v>40001870</v>
      </c>
      <c r="E263" s="48" t="s">
        <v>969</v>
      </c>
      <c r="F263" s="48" t="s">
        <v>317</v>
      </c>
      <c r="G263" s="26" t="s">
        <v>683</v>
      </c>
      <c r="H263" s="48" t="s">
        <v>807</v>
      </c>
      <c r="I263" s="25" t="s">
        <v>52</v>
      </c>
      <c r="J263" s="247">
        <v>1130555</v>
      </c>
      <c r="K263" s="247"/>
      <c r="L263" s="247">
        <f t="shared" si="13"/>
        <v>1130555</v>
      </c>
      <c r="M263" s="248"/>
      <c r="N263" s="248"/>
      <c r="O263" s="248"/>
      <c r="P263" s="248"/>
      <c r="Q263" s="248"/>
      <c r="R263" s="248"/>
      <c r="S263" s="248">
        <v>0</v>
      </c>
      <c r="T263" s="248">
        <v>0</v>
      </c>
      <c r="U263" s="248">
        <v>0</v>
      </c>
      <c r="V263" s="248"/>
      <c r="W263" s="248"/>
      <c r="X263" s="248"/>
      <c r="Y263" s="248">
        <v>0</v>
      </c>
      <c r="Z263" s="249">
        <v>2</v>
      </c>
      <c r="AA263" s="250">
        <v>32</v>
      </c>
      <c r="AB263" s="251">
        <v>44306</v>
      </c>
      <c r="AC263" s="252">
        <v>44314</v>
      </c>
      <c r="AD263" s="249"/>
      <c r="AE263" s="248"/>
      <c r="AF263" s="251"/>
      <c r="AG263" s="251"/>
      <c r="AH263" s="249"/>
      <c r="AI263" s="248"/>
      <c r="AJ263" s="251"/>
      <c r="AK263" s="248"/>
      <c r="AL263" s="249"/>
      <c r="AM263" s="248"/>
      <c r="AN263" s="248"/>
      <c r="AO263" s="248"/>
      <c r="AP263" s="248"/>
      <c r="AQ263" s="248"/>
      <c r="AR263" s="248"/>
      <c r="AS263" s="248"/>
      <c r="AT263" s="249"/>
      <c r="AU263" s="248"/>
      <c r="AV263" s="248"/>
      <c r="AW263" s="248"/>
      <c r="AX263" s="249"/>
      <c r="AY263" s="248"/>
      <c r="AZ263" s="248"/>
      <c r="BA263" s="248"/>
      <c r="BB263" s="248">
        <f t="shared" si="14"/>
        <v>2</v>
      </c>
      <c r="BC263" s="248">
        <f t="shared" si="12"/>
        <v>2</v>
      </c>
    </row>
    <row r="264" spans="2:55" s="39" customFormat="1" ht="23.25" customHeight="1">
      <c r="B264" s="22">
        <f t="shared" si="15"/>
        <v>248</v>
      </c>
      <c r="C264" s="22" t="s">
        <v>39</v>
      </c>
      <c r="D264" s="23">
        <v>40002915</v>
      </c>
      <c r="E264" s="48" t="s">
        <v>970</v>
      </c>
      <c r="F264" s="48" t="s">
        <v>317</v>
      </c>
      <c r="G264" s="26" t="s">
        <v>683</v>
      </c>
      <c r="H264" s="48" t="s">
        <v>693</v>
      </c>
      <c r="I264" s="25" t="s">
        <v>52</v>
      </c>
      <c r="J264" s="247">
        <v>414519</v>
      </c>
      <c r="K264" s="247"/>
      <c r="L264" s="247">
        <f t="shared" si="13"/>
        <v>414519</v>
      </c>
      <c r="M264" s="248"/>
      <c r="N264" s="248"/>
      <c r="O264" s="248"/>
      <c r="P264" s="248"/>
      <c r="Q264" s="248"/>
      <c r="R264" s="248"/>
      <c r="S264" s="248">
        <v>0</v>
      </c>
      <c r="T264" s="248">
        <v>0</v>
      </c>
      <c r="U264" s="248">
        <v>0</v>
      </c>
      <c r="V264" s="248"/>
      <c r="W264" s="248"/>
      <c r="X264" s="248"/>
      <c r="Y264" s="248">
        <v>0</v>
      </c>
      <c r="Z264" s="249">
        <v>4</v>
      </c>
      <c r="AA264" s="250">
        <v>32</v>
      </c>
      <c r="AB264" s="251">
        <v>44306</v>
      </c>
      <c r="AC264" s="252">
        <v>44314</v>
      </c>
      <c r="AD264" s="249"/>
      <c r="AE264" s="248"/>
      <c r="AF264" s="251"/>
      <c r="AG264" s="251"/>
      <c r="AH264" s="249"/>
      <c r="AI264" s="248"/>
      <c r="AJ264" s="251"/>
      <c r="AK264" s="248"/>
      <c r="AL264" s="249"/>
      <c r="AM264" s="248"/>
      <c r="AN264" s="248"/>
      <c r="AO264" s="248"/>
      <c r="AP264" s="248"/>
      <c r="AQ264" s="248"/>
      <c r="AR264" s="248"/>
      <c r="AS264" s="248"/>
      <c r="AT264" s="249"/>
      <c r="AU264" s="248"/>
      <c r="AV264" s="248"/>
      <c r="AW264" s="248"/>
      <c r="AX264" s="249"/>
      <c r="AY264" s="248"/>
      <c r="AZ264" s="248"/>
      <c r="BA264" s="248"/>
      <c r="BB264" s="248">
        <f t="shared" si="14"/>
        <v>4</v>
      </c>
      <c r="BC264" s="248">
        <f t="shared" si="12"/>
        <v>4</v>
      </c>
    </row>
    <row r="265" spans="2:55" s="39" customFormat="1" ht="23.25" customHeight="1">
      <c r="B265" s="22">
        <f t="shared" si="15"/>
        <v>249</v>
      </c>
      <c r="C265" s="22" t="s">
        <v>39</v>
      </c>
      <c r="D265" s="23">
        <v>40003441</v>
      </c>
      <c r="E265" s="48" t="s">
        <v>971</v>
      </c>
      <c r="F265" s="48" t="s">
        <v>317</v>
      </c>
      <c r="G265" s="26" t="s">
        <v>683</v>
      </c>
      <c r="H265" s="48" t="s">
        <v>704</v>
      </c>
      <c r="I265" s="25" t="s">
        <v>52</v>
      </c>
      <c r="J265" s="247">
        <v>1261358</v>
      </c>
      <c r="K265" s="247"/>
      <c r="L265" s="247">
        <f t="shared" si="13"/>
        <v>1261358</v>
      </c>
      <c r="M265" s="248"/>
      <c r="N265" s="248"/>
      <c r="O265" s="248"/>
      <c r="P265" s="248"/>
      <c r="Q265" s="248"/>
      <c r="R265" s="248"/>
      <c r="S265" s="248">
        <v>0</v>
      </c>
      <c r="T265" s="248">
        <v>0</v>
      </c>
      <c r="U265" s="248">
        <v>0</v>
      </c>
      <c r="V265" s="248"/>
      <c r="W265" s="248"/>
      <c r="X265" s="248"/>
      <c r="Y265" s="248">
        <v>0</v>
      </c>
      <c r="Z265" s="249">
        <v>3</v>
      </c>
      <c r="AA265" s="250">
        <v>32</v>
      </c>
      <c r="AB265" s="251">
        <v>44306</v>
      </c>
      <c r="AC265" s="252">
        <v>44314</v>
      </c>
      <c r="AD265" s="249"/>
      <c r="AE265" s="248"/>
      <c r="AF265" s="251"/>
      <c r="AG265" s="251"/>
      <c r="AH265" s="249"/>
      <c r="AI265" s="248"/>
      <c r="AJ265" s="251"/>
      <c r="AK265" s="248"/>
      <c r="AL265" s="249"/>
      <c r="AM265" s="248"/>
      <c r="AN265" s="248"/>
      <c r="AO265" s="248"/>
      <c r="AP265" s="248"/>
      <c r="AQ265" s="248"/>
      <c r="AR265" s="248"/>
      <c r="AS265" s="248"/>
      <c r="AT265" s="249"/>
      <c r="AU265" s="248"/>
      <c r="AV265" s="248"/>
      <c r="AW265" s="248"/>
      <c r="AX265" s="249"/>
      <c r="AY265" s="248"/>
      <c r="AZ265" s="248"/>
      <c r="BA265" s="248"/>
      <c r="BB265" s="248">
        <f t="shared" si="14"/>
        <v>3</v>
      </c>
      <c r="BC265" s="248">
        <f t="shared" si="12"/>
        <v>3</v>
      </c>
    </row>
    <row r="266" spans="2:55" s="39" customFormat="1" ht="23.25" customHeight="1">
      <c r="B266" s="22">
        <f t="shared" si="15"/>
        <v>250</v>
      </c>
      <c r="C266" s="22" t="s">
        <v>39</v>
      </c>
      <c r="D266" s="23">
        <v>40004657</v>
      </c>
      <c r="E266" s="48" t="s">
        <v>972</v>
      </c>
      <c r="F266" s="48" t="s">
        <v>700</v>
      </c>
      <c r="G266" s="26" t="s">
        <v>683</v>
      </c>
      <c r="H266" s="48" t="s">
        <v>683</v>
      </c>
      <c r="I266" s="25" t="s">
        <v>52</v>
      </c>
      <c r="J266" s="247">
        <v>33279</v>
      </c>
      <c r="K266" s="247"/>
      <c r="L266" s="247">
        <f t="shared" si="13"/>
        <v>33279</v>
      </c>
      <c r="M266" s="248"/>
      <c r="N266" s="248"/>
      <c r="O266" s="248"/>
      <c r="P266" s="248"/>
      <c r="Q266" s="248"/>
      <c r="R266" s="248"/>
      <c r="S266" s="248">
        <v>0</v>
      </c>
      <c r="T266" s="248">
        <v>0</v>
      </c>
      <c r="U266" s="248">
        <v>0</v>
      </c>
      <c r="V266" s="248"/>
      <c r="W266" s="248"/>
      <c r="X266" s="248"/>
      <c r="Y266" s="248">
        <v>0</v>
      </c>
      <c r="Z266" s="249">
        <v>2</v>
      </c>
      <c r="AA266" s="250">
        <v>32</v>
      </c>
      <c r="AB266" s="251">
        <v>44306</v>
      </c>
      <c r="AC266" s="252">
        <v>44314</v>
      </c>
      <c r="AD266" s="249"/>
      <c r="AE266" s="248"/>
      <c r="AF266" s="251"/>
      <c r="AG266" s="251"/>
      <c r="AH266" s="249"/>
      <c r="AI266" s="248"/>
      <c r="AJ266" s="251"/>
      <c r="AK266" s="248"/>
      <c r="AL266" s="249"/>
      <c r="AM266" s="248"/>
      <c r="AN266" s="248"/>
      <c r="AO266" s="248"/>
      <c r="AP266" s="248"/>
      <c r="AQ266" s="248"/>
      <c r="AR266" s="248"/>
      <c r="AS266" s="248"/>
      <c r="AT266" s="249"/>
      <c r="AU266" s="248"/>
      <c r="AV266" s="248"/>
      <c r="AW266" s="248"/>
      <c r="AX266" s="249"/>
      <c r="AY266" s="248"/>
      <c r="AZ266" s="248"/>
      <c r="BA266" s="248"/>
      <c r="BB266" s="248">
        <f t="shared" si="14"/>
        <v>2</v>
      </c>
      <c r="BC266" s="248">
        <f t="shared" si="12"/>
        <v>2</v>
      </c>
    </row>
    <row r="267" spans="2:55" s="39" customFormat="1" ht="23.25" customHeight="1">
      <c r="B267" s="22">
        <f t="shared" si="15"/>
        <v>251</v>
      </c>
      <c r="C267" s="22" t="s">
        <v>39</v>
      </c>
      <c r="D267" s="23">
        <v>40009482</v>
      </c>
      <c r="E267" s="48" t="s">
        <v>973</v>
      </c>
      <c r="F267" s="48" t="s">
        <v>317</v>
      </c>
      <c r="G267" s="26" t="s">
        <v>683</v>
      </c>
      <c r="H267" s="48" t="s">
        <v>758</v>
      </c>
      <c r="I267" s="25" t="s">
        <v>52</v>
      </c>
      <c r="J267" s="247">
        <v>1554235</v>
      </c>
      <c r="K267" s="247"/>
      <c r="L267" s="247">
        <f t="shared" si="13"/>
        <v>1554235</v>
      </c>
      <c r="M267" s="248"/>
      <c r="N267" s="248"/>
      <c r="O267" s="248"/>
      <c r="P267" s="248"/>
      <c r="Q267" s="248"/>
      <c r="R267" s="248"/>
      <c r="S267" s="248">
        <v>0</v>
      </c>
      <c r="T267" s="248">
        <v>0</v>
      </c>
      <c r="U267" s="248">
        <v>0</v>
      </c>
      <c r="V267" s="248"/>
      <c r="W267" s="248"/>
      <c r="X267" s="248"/>
      <c r="Y267" s="248">
        <v>0</v>
      </c>
      <c r="Z267" s="249">
        <v>3</v>
      </c>
      <c r="AA267" s="250">
        <v>32</v>
      </c>
      <c r="AB267" s="251">
        <v>44306</v>
      </c>
      <c r="AC267" s="252">
        <v>44314</v>
      </c>
      <c r="AD267" s="249"/>
      <c r="AE267" s="248"/>
      <c r="AF267" s="251"/>
      <c r="AG267" s="251"/>
      <c r="AH267" s="249"/>
      <c r="AI267" s="248"/>
      <c r="AJ267" s="251"/>
      <c r="AK267" s="248"/>
      <c r="AL267" s="249"/>
      <c r="AM267" s="248"/>
      <c r="AN267" s="248"/>
      <c r="AO267" s="248"/>
      <c r="AP267" s="248"/>
      <c r="AQ267" s="248"/>
      <c r="AR267" s="248"/>
      <c r="AS267" s="248"/>
      <c r="AT267" s="249"/>
      <c r="AU267" s="248"/>
      <c r="AV267" s="248"/>
      <c r="AW267" s="248"/>
      <c r="AX267" s="249"/>
      <c r="AY267" s="248"/>
      <c r="AZ267" s="248"/>
      <c r="BA267" s="248"/>
      <c r="BB267" s="248">
        <f t="shared" si="14"/>
        <v>3</v>
      </c>
      <c r="BC267" s="248">
        <f t="shared" si="12"/>
        <v>3</v>
      </c>
    </row>
    <row r="268" spans="2:55" s="39" customFormat="1" ht="23.25" customHeight="1">
      <c r="B268" s="22">
        <f t="shared" si="15"/>
        <v>252</v>
      </c>
      <c r="C268" s="22" t="s">
        <v>39</v>
      </c>
      <c r="D268" s="23">
        <v>40009866</v>
      </c>
      <c r="E268" s="48" t="s">
        <v>974</v>
      </c>
      <c r="F268" s="48" t="s">
        <v>317</v>
      </c>
      <c r="G268" s="26" t="s">
        <v>683</v>
      </c>
      <c r="H268" s="48" t="s">
        <v>975</v>
      </c>
      <c r="I268" s="25" t="s">
        <v>52</v>
      </c>
      <c r="J268" s="247">
        <v>2931712</v>
      </c>
      <c r="K268" s="247"/>
      <c r="L268" s="247">
        <f t="shared" si="13"/>
        <v>2931712</v>
      </c>
      <c r="M268" s="248"/>
      <c r="N268" s="248"/>
      <c r="O268" s="248"/>
      <c r="P268" s="248"/>
      <c r="Q268" s="248"/>
      <c r="R268" s="248"/>
      <c r="S268" s="248">
        <v>0</v>
      </c>
      <c r="T268" s="248">
        <v>0</v>
      </c>
      <c r="U268" s="248">
        <v>0</v>
      </c>
      <c r="V268" s="248"/>
      <c r="W268" s="248"/>
      <c r="X268" s="248"/>
      <c r="Y268" s="248">
        <v>0</v>
      </c>
      <c r="Z268" s="249">
        <v>4</v>
      </c>
      <c r="AA268" s="250">
        <v>32</v>
      </c>
      <c r="AB268" s="251">
        <v>44306</v>
      </c>
      <c r="AC268" s="252">
        <v>44314</v>
      </c>
      <c r="AD268" s="249"/>
      <c r="AE268" s="248"/>
      <c r="AF268" s="251"/>
      <c r="AG268" s="251"/>
      <c r="AH268" s="249"/>
      <c r="AI268" s="248"/>
      <c r="AJ268" s="251"/>
      <c r="AK268" s="248"/>
      <c r="AL268" s="249"/>
      <c r="AM268" s="248"/>
      <c r="AN268" s="248"/>
      <c r="AO268" s="248"/>
      <c r="AP268" s="248"/>
      <c r="AQ268" s="248"/>
      <c r="AR268" s="248"/>
      <c r="AS268" s="248"/>
      <c r="AT268" s="249"/>
      <c r="AU268" s="248"/>
      <c r="AV268" s="248"/>
      <c r="AW268" s="248"/>
      <c r="AX268" s="249"/>
      <c r="AY268" s="248"/>
      <c r="AZ268" s="248"/>
      <c r="BA268" s="248"/>
      <c r="BB268" s="248">
        <f t="shared" si="14"/>
        <v>4</v>
      </c>
      <c r="BC268" s="248">
        <f t="shared" si="12"/>
        <v>4</v>
      </c>
    </row>
    <row r="269" spans="2:55" s="39" customFormat="1" ht="23.25" customHeight="1">
      <c r="B269" s="22">
        <f t="shared" si="15"/>
        <v>253</v>
      </c>
      <c r="C269" s="22" t="s">
        <v>39</v>
      </c>
      <c r="D269" s="23">
        <v>40012279</v>
      </c>
      <c r="E269" s="48" t="s">
        <v>976</v>
      </c>
      <c r="F269" s="48" t="s">
        <v>317</v>
      </c>
      <c r="G269" s="26" t="s">
        <v>683</v>
      </c>
      <c r="H269" s="48" t="s">
        <v>686</v>
      </c>
      <c r="I269" s="25" t="s">
        <v>52</v>
      </c>
      <c r="J269" s="247">
        <v>559251</v>
      </c>
      <c r="K269" s="247"/>
      <c r="L269" s="247">
        <f t="shared" si="13"/>
        <v>559251</v>
      </c>
      <c r="M269" s="248"/>
      <c r="N269" s="248"/>
      <c r="O269" s="248"/>
      <c r="P269" s="248"/>
      <c r="Q269" s="248"/>
      <c r="R269" s="248"/>
      <c r="S269" s="248">
        <v>0</v>
      </c>
      <c r="T269" s="248">
        <v>0</v>
      </c>
      <c r="U269" s="248">
        <v>0</v>
      </c>
      <c r="V269" s="248"/>
      <c r="W269" s="248"/>
      <c r="X269" s="248"/>
      <c r="Y269" s="248">
        <v>0</v>
      </c>
      <c r="Z269" s="249">
        <v>3</v>
      </c>
      <c r="AA269" s="250">
        <v>32</v>
      </c>
      <c r="AB269" s="251">
        <v>44306</v>
      </c>
      <c r="AC269" s="252">
        <v>44314</v>
      </c>
      <c r="AD269" s="249"/>
      <c r="AE269" s="248"/>
      <c r="AF269" s="251"/>
      <c r="AG269" s="251"/>
      <c r="AH269" s="249"/>
      <c r="AI269" s="248"/>
      <c r="AJ269" s="251"/>
      <c r="AK269" s="248"/>
      <c r="AL269" s="249"/>
      <c r="AM269" s="248"/>
      <c r="AN269" s="248"/>
      <c r="AO269" s="248"/>
      <c r="AP269" s="248"/>
      <c r="AQ269" s="248"/>
      <c r="AR269" s="248"/>
      <c r="AS269" s="248"/>
      <c r="AT269" s="249"/>
      <c r="AU269" s="248"/>
      <c r="AV269" s="248"/>
      <c r="AW269" s="248"/>
      <c r="AX269" s="249"/>
      <c r="AY269" s="248"/>
      <c r="AZ269" s="248"/>
      <c r="BA269" s="248"/>
      <c r="BB269" s="248">
        <f t="shared" si="14"/>
        <v>3</v>
      </c>
      <c r="BC269" s="248">
        <f t="shared" si="12"/>
        <v>3</v>
      </c>
    </row>
    <row r="270" spans="2:55" s="39" customFormat="1" ht="23.25" customHeight="1">
      <c r="B270" s="22">
        <f t="shared" si="15"/>
        <v>254</v>
      </c>
      <c r="C270" s="22" t="s">
        <v>39</v>
      </c>
      <c r="D270" s="23">
        <v>40013141</v>
      </c>
      <c r="E270" s="48" t="s">
        <v>977</v>
      </c>
      <c r="F270" s="48" t="s">
        <v>317</v>
      </c>
      <c r="G270" s="26" t="s">
        <v>683</v>
      </c>
      <c r="H270" s="48" t="s">
        <v>701</v>
      </c>
      <c r="I270" s="25" t="s">
        <v>52</v>
      </c>
      <c r="J270" s="247">
        <v>1653946</v>
      </c>
      <c r="K270" s="247"/>
      <c r="L270" s="247">
        <f t="shared" si="13"/>
        <v>1653946</v>
      </c>
      <c r="M270" s="248"/>
      <c r="N270" s="248"/>
      <c r="O270" s="248"/>
      <c r="P270" s="248"/>
      <c r="Q270" s="248"/>
      <c r="R270" s="248"/>
      <c r="S270" s="248">
        <v>0</v>
      </c>
      <c r="T270" s="248">
        <v>0</v>
      </c>
      <c r="U270" s="248">
        <v>0</v>
      </c>
      <c r="V270" s="248"/>
      <c r="W270" s="248"/>
      <c r="X270" s="248"/>
      <c r="Y270" s="248">
        <v>0</v>
      </c>
      <c r="Z270" s="249">
        <v>3</v>
      </c>
      <c r="AA270" s="250">
        <v>32</v>
      </c>
      <c r="AB270" s="251">
        <v>44306</v>
      </c>
      <c r="AC270" s="252">
        <v>44314</v>
      </c>
      <c r="AD270" s="249"/>
      <c r="AE270" s="248"/>
      <c r="AF270" s="251"/>
      <c r="AG270" s="251"/>
      <c r="AH270" s="249"/>
      <c r="AI270" s="248"/>
      <c r="AJ270" s="251"/>
      <c r="AK270" s="248"/>
      <c r="AL270" s="249"/>
      <c r="AM270" s="248"/>
      <c r="AN270" s="248"/>
      <c r="AO270" s="248"/>
      <c r="AP270" s="248"/>
      <c r="AQ270" s="248"/>
      <c r="AR270" s="248"/>
      <c r="AS270" s="248"/>
      <c r="AT270" s="249"/>
      <c r="AU270" s="248"/>
      <c r="AV270" s="248"/>
      <c r="AW270" s="248"/>
      <c r="AX270" s="249"/>
      <c r="AY270" s="248"/>
      <c r="AZ270" s="248"/>
      <c r="BA270" s="248"/>
      <c r="BB270" s="248">
        <f t="shared" si="14"/>
        <v>3</v>
      </c>
      <c r="BC270" s="248">
        <f t="shared" si="12"/>
        <v>3</v>
      </c>
    </row>
    <row r="271" spans="2:55" s="39" customFormat="1" ht="23.25" customHeight="1">
      <c r="B271" s="22">
        <f t="shared" si="15"/>
        <v>255</v>
      </c>
      <c r="C271" s="22" t="s">
        <v>39</v>
      </c>
      <c r="D271" s="23">
        <v>40014085</v>
      </c>
      <c r="E271" s="48" t="s">
        <v>978</v>
      </c>
      <c r="F271" s="48" t="s">
        <v>317</v>
      </c>
      <c r="G271" s="26" t="s">
        <v>683</v>
      </c>
      <c r="H271" s="48" t="s">
        <v>686</v>
      </c>
      <c r="I271" s="25" t="s">
        <v>52</v>
      </c>
      <c r="J271" s="247">
        <v>162974</v>
      </c>
      <c r="K271" s="247"/>
      <c r="L271" s="247">
        <f t="shared" si="13"/>
        <v>162974</v>
      </c>
      <c r="M271" s="248"/>
      <c r="N271" s="248"/>
      <c r="O271" s="248"/>
      <c r="P271" s="248"/>
      <c r="Q271" s="248"/>
      <c r="R271" s="248"/>
      <c r="S271" s="248">
        <v>0</v>
      </c>
      <c r="T271" s="248">
        <v>0</v>
      </c>
      <c r="U271" s="248">
        <v>0</v>
      </c>
      <c r="V271" s="248"/>
      <c r="W271" s="248"/>
      <c r="X271" s="248"/>
      <c r="Y271" s="248">
        <v>0</v>
      </c>
      <c r="Z271" s="249">
        <v>3</v>
      </c>
      <c r="AA271" s="250">
        <v>32</v>
      </c>
      <c r="AB271" s="251">
        <v>44306</v>
      </c>
      <c r="AC271" s="252">
        <v>44314</v>
      </c>
      <c r="AD271" s="249"/>
      <c r="AE271" s="248"/>
      <c r="AF271" s="251"/>
      <c r="AG271" s="251"/>
      <c r="AH271" s="249"/>
      <c r="AI271" s="248"/>
      <c r="AJ271" s="251"/>
      <c r="AK271" s="248"/>
      <c r="AL271" s="249"/>
      <c r="AM271" s="248"/>
      <c r="AN271" s="248"/>
      <c r="AO271" s="248"/>
      <c r="AP271" s="248"/>
      <c r="AQ271" s="248"/>
      <c r="AR271" s="248"/>
      <c r="AS271" s="248"/>
      <c r="AT271" s="249"/>
      <c r="AU271" s="248"/>
      <c r="AV271" s="248"/>
      <c r="AW271" s="248"/>
      <c r="AX271" s="249"/>
      <c r="AY271" s="248"/>
      <c r="AZ271" s="248"/>
      <c r="BA271" s="248"/>
      <c r="BB271" s="248">
        <f t="shared" si="14"/>
        <v>3</v>
      </c>
      <c r="BC271" s="248">
        <f t="shared" si="12"/>
        <v>3</v>
      </c>
    </row>
    <row r="272" spans="2:55" s="39" customFormat="1" ht="23.25" customHeight="1">
      <c r="B272" s="22">
        <f t="shared" si="15"/>
        <v>256</v>
      </c>
      <c r="C272" s="22" t="s">
        <v>39</v>
      </c>
      <c r="D272" s="23">
        <v>40014807</v>
      </c>
      <c r="E272" s="48" t="s">
        <v>979</v>
      </c>
      <c r="F272" s="48" t="s">
        <v>317</v>
      </c>
      <c r="G272" s="26" t="s">
        <v>683</v>
      </c>
      <c r="H272" s="48" t="s">
        <v>772</v>
      </c>
      <c r="I272" s="25" t="s">
        <v>52</v>
      </c>
      <c r="J272" s="247">
        <v>734923</v>
      </c>
      <c r="K272" s="247"/>
      <c r="L272" s="247">
        <f t="shared" si="13"/>
        <v>734923</v>
      </c>
      <c r="M272" s="248"/>
      <c r="N272" s="248"/>
      <c r="O272" s="248"/>
      <c r="P272" s="248"/>
      <c r="Q272" s="248"/>
      <c r="R272" s="248"/>
      <c r="S272" s="248">
        <v>0</v>
      </c>
      <c r="T272" s="248">
        <v>0</v>
      </c>
      <c r="U272" s="248">
        <v>0</v>
      </c>
      <c r="V272" s="248"/>
      <c r="W272" s="248"/>
      <c r="X272" s="248"/>
      <c r="Y272" s="248">
        <v>0</v>
      </c>
      <c r="Z272" s="249">
        <v>2</v>
      </c>
      <c r="AA272" s="250">
        <v>32</v>
      </c>
      <c r="AB272" s="251">
        <v>44306</v>
      </c>
      <c r="AC272" s="252">
        <v>44314</v>
      </c>
      <c r="AD272" s="249"/>
      <c r="AE272" s="248"/>
      <c r="AF272" s="251"/>
      <c r="AG272" s="251"/>
      <c r="AH272" s="249"/>
      <c r="AI272" s="248"/>
      <c r="AJ272" s="251"/>
      <c r="AK272" s="248"/>
      <c r="AL272" s="249"/>
      <c r="AM272" s="248"/>
      <c r="AN272" s="248"/>
      <c r="AO272" s="248"/>
      <c r="AP272" s="248"/>
      <c r="AQ272" s="248"/>
      <c r="AR272" s="248"/>
      <c r="AS272" s="248"/>
      <c r="AT272" s="249"/>
      <c r="AU272" s="248"/>
      <c r="AV272" s="248"/>
      <c r="AW272" s="248"/>
      <c r="AX272" s="249"/>
      <c r="AY272" s="248"/>
      <c r="AZ272" s="248"/>
      <c r="BA272" s="248"/>
      <c r="BB272" s="248">
        <f t="shared" si="14"/>
        <v>2</v>
      </c>
      <c r="BC272" s="248">
        <f t="shared" si="12"/>
        <v>2</v>
      </c>
    </row>
    <row r="273" spans="2:55" s="39" customFormat="1" ht="23.25" customHeight="1">
      <c r="B273" s="22">
        <f t="shared" si="15"/>
        <v>257</v>
      </c>
      <c r="C273" s="22" t="s">
        <v>39</v>
      </c>
      <c r="D273" s="23">
        <v>40014812</v>
      </c>
      <c r="E273" s="48" t="s">
        <v>980</v>
      </c>
      <c r="F273" s="48" t="s">
        <v>317</v>
      </c>
      <c r="G273" s="26" t="s">
        <v>683</v>
      </c>
      <c r="H273" s="48" t="s">
        <v>772</v>
      </c>
      <c r="I273" s="25" t="s">
        <v>52</v>
      </c>
      <c r="J273" s="247">
        <v>611432</v>
      </c>
      <c r="K273" s="247"/>
      <c r="L273" s="247">
        <f t="shared" si="13"/>
        <v>611432</v>
      </c>
      <c r="M273" s="248"/>
      <c r="N273" s="248"/>
      <c r="O273" s="248"/>
      <c r="P273" s="248"/>
      <c r="Q273" s="248"/>
      <c r="R273" s="248"/>
      <c r="S273" s="248">
        <v>0</v>
      </c>
      <c r="T273" s="248">
        <v>0</v>
      </c>
      <c r="U273" s="248">
        <v>0</v>
      </c>
      <c r="V273" s="248"/>
      <c r="W273" s="248"/>
      <c r="X273" s="248"/>
      <c r="Y273" s="248">
        <v>0</v>
      </c>
      <c r="Z273" s="249">
        <v>3</v>
      </c>
      <c r="AA273" s="250">
        <v>32</v>
      </c>
      <c r="AB273" s="251">
        <v>44306</v>
      </c>
      <c r="AC273" s="252">
        <v>44314</v>
      </c>
      <c r="AD273" s="249"/>
      <c r="AE273" s="248"/>
      <c r="AF273" s="251"/>
      <c r="AG273" s="251"/>
      <c r="AH273" s="249"/>
      <c r="AI273" s="248"/>
      <c r="AJ273" s="251"/>
      <c r="AK273" s="248"/>
      <c r="AL273" s="249"/>
      <c r="AM273" s="248"/>
      <c r="AN273" s="248"/>
      <c r="AO273" s="248"/>
      <c r="AP273" s="248"/>
      <c r="AQ273" s="248"/>
      <c r="AR273" s="248"/>
      <c r="AS273" s="248"/>
      <c r="AT273" s="249"/>
      <c r="AU273" s="248"/>
      <c r="AV273" s="248"/>
      <c r="AW273" s="248"/>
      <c r="AX273" s="249"/>
      <c r="AY273" s="248"/>
      <c r="AZ273" s="248"/>
      <c r="BA273" s="248"/>
      <c r="BB273" s="248">
        <f t="shared" si="14"/>
        <v>3</v>
      </c>
      <c r="BC273" s="248">
        <f t="shared" ref="BC273:BC336" si="16">BB273-Y273</f>
        <v>3</v>
      </c>
    </row>
    <row r="274" spans="2:55" s="39" customFormat="1" ht="23.25" customHeight="1">
      <c r="B274" s="22">
        <f t="shared" si="15"/>
        <v>258</v>
      </c>
      <c r="C274" s="22" t="s">
        <v>39</v>
      </c>
      <c r="D274" s="23">
        <v>40015265</v>
      </c>
      <c r="E274" s="48" t="s">
        <v>981</v>
      </c>
      <c r="F274" s="48" t="s">
        <v>700</v>
      </c>
      <c r="G274" s="26" t="s">
        <v>683</v>
      </c>
      <c r="H274" s="48" t="s">
        <v>706</v>
      </c>
      <c r="I274" s="25" t="s">
        <v>52</v>
      </c>
      <c r="J274" s="247">
        <v>26857</v>
      </c>
      <c r="K274" s="247"/>
      <c r="L274" s="247">
        <f t="shared" ref="L274:L337" si="17">J274-K274</f>
        <v>26857</v>
      </c>
      <c r="M274" s="248"/>
      <c r="N274" s="248"/>
      <c r="O274" s="248"/>
      <c r="P274" s="248"/>
      <c r="Q274" s="248"/>
      <c r="R274" s="248"/>
      <c r="S274" s="248">
        <v>0</v>
      </c>
      <c r="T274" s="248">
        <v>0</v>
      </c>
      <c r="U274" s="248">
        <v>0</v>
      </c>
      <c r="V274" s="248"/>
      <c r="W274" s="248"/>
      <c r="X274" s="248"/>
      <c r="Y274" s="248">
        <v>0</v>
      </c>
      <c r="Z274" s="249">
        <v>2</v>
      </c>
      <c r="AA274" s="250">
        <v>32</v>
      </c>
      <c r="AB274" s="251">
        <v>44306</v>
      </c>
      <c r="AC274" s="252">
        <v>44314</v>
      </c>
      <c r="AD274" s="249"/>
      <c r="AE274" s="248"/>
      <c r="AF274" s="251"/>
      <c r="AG274" s="251"/>
      <c r="AH274" s="249"/>
      <c r="AI274" s="248"/>
      <c r="AJ274" s="251"/>
      <c r="AK274" s="248"/>
      <c r="AL274" s="249"/>
      <c r="AM274" s="248"/>
      <c r="AN274" s="248"/>
      <c r="AO274" s="248"/>
      <c r="AP274" s="248"/>
      <c r="AQ274" s="248"/>
      <c r="AR274" s="248"/>
      <c r="AS274" s="248"/>
      <c r="AT274" s="249"/>
      <c r="AU274" s="248"/>
      <c r="AV274" s="248"/>
      <c r="AW274" s="248"/>
      <c r="AX274" s="249"/>
      <c r="AY274" s="248"/>
      <c r="AZ274" s="248"/>
      <c r="BA274" s="248"/>
      <c r="BB274" s="248">
        <f t="shared" ref="BB274:BB337" si="18">Z274+AD274+AH274+AL274+AP274+AT274+AX274</f>
        <v>2</v>
      </c>
      <c r="BC274" s="248">
        <f t="shared" si="16"/>
        <v>2</v>
      </c>
    </row>
    <row r="275" spans="2:55" s="39" customFormat="1" ht="23.25" customHeight="1">
      <c r="B275" s="22">
        <f t="shared" ref="B275:B338" si="19">B274+1</f>
        <v>259</v>
      </c>
      <c r="C275" s="22" t="s">
        <v>39</v>
      </c>
      <c r="D275" s="23">
        <v>40017777</v>
      </c>
      <c r="E275" s="48" t="s">
        <v>982</v>
      </c>
      <c r="F275" s="48" t="s">
        <v>317</v>
      </c>
      <c r="G275" s="26" t="s">
        <v>683</v>
      </c>
      <c r="H275" s="48" t="s">
        <v>983</v>
      </c>
      <c r="I275" s="25" t="s">
        <v>52</v>
      </c>
      <c r="J275" s="247">
        <v>293568</v>
      </c>
      <c r="K275" s="247"/>
      <c r="L275" s="247">
        <f t="shared" si="17"/>
        <v>293568</v>
      </c>
      <c r="M275" s="248"/>
      <c r="N275" s="248"/>
      <c r="O275" s="248"/>
      <c r="P275" s="248"/>
      <c r="Q275" s="248"/>
      <c r="R275" s="248"/>
      <c r="S275" s="248">
        <v>0</v>
      </c>
      <c r="T275" s="248">
        <v>0</v>
      </c>
      <c r="U275" s="248">
        <v>0</v>
      </c>
      <c r="V275" s="248"/>
      <c r="W275" s="248"/>
      <c r="X275" s="248"/>
      <c r="Y275" s="248">
        <v>0</v>
      </c>
      <c r="Z275" s="249">
        <v>2</v>
      </c>
      <c r="AA275" s="250">
        <v>32</v>
      </c>
      <c r="AB275" s="251">
        <v>44306</v>
      </c>
      <c r="AC275" s="252">
        <v>44314</v>
      </c>
      <c r="AD275" s="249"/>
      <c r="AE275" s="248"/>
      <c r="AF275" s="251"/>
      <c r="AG275" s="251"/>
      <c r="AH275" s="249"/>
      <c r="AI275" s="248"/>
      <c r="AJ275" s="251"/>
      <c r="AK275" s="248"/>
      <c r="AL275" s="249"/>
      <c r="AM275" s="248"/>
      <c r="AN275" s="248"/>
      <c r="AO275" s="248"/>
      <c r="AP275" s="248"/>
      <c r="AQ275" s="248"/>
      <c r="AR275" s="248"/>
      <c r="AS275" s="248"/>
      <c r="AT275" s="249"/>
      <c r="AU275" s="248"/>
      <c r="AV275" s="248"/>
      <c r="AW275" s="248"/>
      <c r="AX275" s="249"/>
      <c r="AY275" s="248"/>
      <c r="AZ275" s="248"/>
      <c r="BA275" s="248"/>
      <c r="BB275" s="248">
        <f t="shared" si="18"/>
        <v>2</v>
      </c>
      <c r="BC275" s="248">
        <f t="shared" si="16"/>
        <v>2</v>
      </c>
    </row>
    <row r="276" spans="2:55" s="39" customFormat="1" ht="23.25" customHeight="1">
      <c r="B276" s="22">
        <f t="shared" si="19"/>
        <v>260</v>
      </c>
      <c r="C276" s="22" t="s">
        <v>39</v>
      </c>
      <c r="D276" s="23">
        <v>40017781</v>
      </c>
      <c r="E276" s="48" t="s">
        <v>984</v>
      </c>
      <c r="F276" s="48" t="s">
        <v>700</v>
      </c>
      <c r="G276" s="26" t="s">
        <v>683</v>
      </c>
      <c r="H276" s="48" t="s">
        <v>706</v>
      </c>
      <c r="I276" s="25" t="s">
        <v>52</v>
      </c>
      <c r="J276" s="247">
        <v>29243</v>
      </c>
      <c r="K276" s="247"/>
      <c r="L276" s="247">
        <f t="shared" si="17"/>
        <v>29243</v>
      </c>
      <c r="M276" s="248"/>
      <c r="N276" s="248"/>
      <c r="O276" s="248"/>
      <c r="P276" s="248"/>
      <c r="Q276" s="248"/>
      <c r="R276" s="248"/>
      <c r="S276" s="248">
        <v>0</v>
      </c>
      <c r="T276" s="248">
        <v>0</v>
      </c>
      <c r="U276" s="248">
        <v>0</v>
      </c>
      <c r="V276" s="248"/>
      <c r="W276" s="248"/>
      <c r="X276" s="248"/>
      <c r="Y276" s="248">
        <v>0</v>
      </c>
      <c r="Z276" s="249">
        <v>2</v>
      </c>
      <c r="AA276" s="250">
        <v>32</v>
      </c>
      <c r="AB276" s="251">
        <v>44306</v>
      </c>
      <c r="AC276" s="252">
        <v>44314</v>
      </c>
      <c r="AD276" s="249"/>
      <c r="AE276" s="248"/>
      <c r="AF276" s="251"/>
      <c r="AG276" s="251"/>
      <c r="AH276" s="249"/>
      <c r="AI276" s="248"/>
      <c r="AJ276" s="251"/>
      <c r="AK276" s="248"/>
      <c r="AL276" s="249"/>
      <c r="AM276" s="248"/>
      <c r="AN276" s="248"/>
      <c r="AO276" s="248"/>
      <c r="AP276" s="248"/>
      <c r="AQ276" s="248"/>
      <c r="AR276" s="248"/>
      <c r="AS276" s="248"/>
      <c r="AT276" s="249"/>
      <c r="AU276" s="248"/>
      <c r="AV276" s="248"/>
      <c r="AW276" s="248"/>
      <c r="AX276" s="249"/>
      <c r="AY276" s="248"/>
      <c r="AZ276" s="248"/>
      <c r="BA276" s="248"/>
      <c r="BB276" s="248">
        <f t="shared" si="18"/>
        <v>2</v>
      </c>
      <c r="BC276" s="248">
        <f t="shared" si="16"/>
        <v>2</v>
      </c>
    </row>
    <row r="277" spans="2:55" s="39" customFormat="1" ht="23.25" customHeight="1">
      <c r="B277" s="22">
        <f t="shared" si="19"/>
        <v>261</v>
      </c>
      <c r="C277" s="22" t="s">
        <v>39</v>
      </c>
      <c r="D277" s="23">
        <v>40020833</v>
      </c>
      <c r="E277" s="48" t="s">
        <v>985</v>
      </c>
      <c r="F277" s="48" t="s">
        <v>317</v>
      </c>
      <c r="G277" s="26" t="s">
        <v>683</v>
      </c>
      <c r="H277" s="48" t="s">
        <v>706</v>
      </c>
      <c r="I277" s="25" t="s">
        <v>52</v>
      </c>
      <c r="J277" s="247">
        <v>600026</v>
      </c>
      <c r="K277" s="247"/>
      <c r="L277" s="247">
        <f t="shared" si="17"/>
        <v>600026</v>
      </c>
      <c r="M277" s="248"/>
      <c r="N277" s="248"/>
      <c r="O277" s="248"/>
      <c r="P277" s="248"/>
      <c r="Q277" s="248"/>
      <c r="R277" s="248"/>
      <c r="S277" s="248">
        <v>0</v>
      </c>
      <c r="T277" s="248">
        <v>0</v>
      </c>
      <c r="U277" s="248">
        <v>0</v>
      </c>
      <c r="V277" s="248"/>
      <c r="W277" s="248"/>
      <c r="X277" s="248"/>
      <c r="Y277" s="248">
        <v>0</v>
      </c>
      <c r="Z277" s="249">
        <v>3</v>
      </c>
      <c r="AA277" s="250">
        <v>32</v>
      </c>
      <c r="AB277" s="251">
        <v>44306</v>
      </c>
      <c r="AC277" s="252">
        <v>44314</v>
      </c>
      <c r="AD277" s="249"/>
      <c r="AE277" s="248"/>
      <c r="AF277" s="251"/>
      <c r="AG277" s="251"/>
      <c r="AH277" s="249"/>
      <c r="AI277" s="248"/>
      <c r="AJ277" s="251"/>
      <c r="AK277" s="248"/>
      <c r="AL277" s="249"/>
      <c r="AM277" s="248"/>
      <c r="AN277" s="248"/>
      <c r="AO277" s="248"/>
      <c r="AP277" s="248"/>
      <c r="AQ277" s="248"/>
      <c r="AR277" s="248"/>
      <c r="AS277" s="248"/>
      <c r="AT277" s="249"/>
      <c r="AU277" s="248"/>
      <c r="AV277" s="248"/>
      <c r="AW277" s="248"/>
      <c r="AX277" s="249"/>
      <c r="AY277" s="248"/>
      <c r="AZ277" s="248"/>
      <c r="BA277" s="248"/>
      <c r="BB277" s="248">
        <f t="shared" si="18"/>
        <v>3</v>
      </c>
      <c r="BC277" s="248">
        <f t="shared" si="16"/>
        <v>3</v>
      </c>
    </row>
    <row r="278" spans="2:55" s="39" customFormat="1" ht="23.25" customHeight="1">
      <c r="B278" s="22">
        <f t="shared" si="19"/>
        <v>262</v>
      </c>
      <c r="C278" s="22" t="s">
        <v>39</v>
      </c>
      <c r="D278" s="23">
        <v>40021586</v>
      </c>
      <c r="E278" s="48" t="s">
        <v>986</v>
      </c>
      <c r="F278" s="48" t="s">
        <v>700</v>
      </c>
      <c r="G278" s="26" t="s">
        <v>683</v>
      </c>
      <c r="H278" s="48" t="s">
        <v>683</v>
      </c>
      <c r="I278" s="25" t="s">
        <v>52</v>
      </c>
      <c r="J278" s="247">
        <v>106468</v>
      </c>
      <c r="K278" s="247"/>
      <c r="L278" s="247">
        <f t="shared" si="17"/>
        <v>106468</v>
      </c>
      <c r="M278" s="248"/>
      <c r="N278" s="248"/>
      <c r="O278" s="248"/>
      <c r="P278" s="248"/>
      <c r="Q278" s="248"/>
      <c r="R278" s="248"/>
      <c r="S278" s="248">
        <v>0</v>
      </c>
      <c r="T278" s="248">
        <v>0</v>
      </c>
      <c r="U278" s="248">
        <v>0</v>
      </c>
      <c r="V278" s="248"/>
      <c r="W278" s="248"/>
      <c r="X278" s="248"/>
      <c r="Y278" s="248">
        <v>0</v>
      </c>
      <c r="Z278" s="249">
        <v>1</v>
      </c>
      <c r="AA278" s="250">
        <v>32</v>
      </c>
      <c r="AB278" s="251">
        <v>44306</v>
      </c>
      <c r="AC278" s="252">
        <v>44314</v>
      </c>
      <c r="AD278" s="249"/>
      <c r="AE278" s="248"/>
      <c r="AF278" s="251"/>
      <c r="AG278" s="251"/>
      <c r="AH278" s="249"/>
      <c r="AI278" s="248"/>
      <c r="AJ278" s="251"/>
      <c r="AK278" s="248"/>
      <c r="AL278" s="249"/>
      <c r="AM278" s="248"/>
      <c r="AN278" s="248"/>
      <c r="AO278" s="248"/>
      <c r="AP278" s="248"/>
      <c r="AQ278" s="248"/>
      <c r="AR278" s="248"/>
      <c r="AS278" s="248"/>
      <c r="AT278" s="249"/>
      <c r="AU278" s="248"/>
      <c r="AV278" s="248"/>
      <c r="AW278" s="248"/>
      <c r="AX278" s="249"/>
      <c r="AY278" s="248"/>
      <c r="AZ278" s="248"/>
      <c r="BA278" s="248"/>
      <c r="BB278" s="248">
        <f t="shared" si="18"/>
        <v>1</v>
      </c>
      <c r="BC278" s="248">
        <f t="shared" si="16"/>
        <v>1</v>
      </c>
    </row>
    <row r="279" spans="2:55" s="39" customFormat="1" ht="23.25" customHeight="1">
      <c r="B279" s="22">
        <f t="shared" si="19"/>
        <v>263</v>
      </c>
      <c r="C279" s="22" t="s">
        <v>39</v>
      </c>
      <c r="D279" s="23">
        <v>40022716</v>
      </c>
      <c r="E279" s="48" t="s">
        <v>987</v>
      </c>
      <c r="F279" s="48" t="s">
        <v>317</v>
      </c>
      <c r="G279" s="26" t="s">
        <v>683</v>
      </c>
      <c r="H279" s="48" t="s">
        <v>706</v>
      </c>
      <c r="I279" s="25" t="s">
        <v>52</v>
      </c>
      <c r="J279" s="247">
        <v>659631</v>
      </c>
      <c r="K279" s="247"/>
      <c r="L279" s="247">
        <f t="shared" si="17"/>
        <v>659631</v>
      </c>
      <c r="M279" s="248"/>
      <c r="N279" s="248"/>
      <c r="O279" s="248"/>
      <c r="P279" s="248"/>
      <c r="Q279" s="248"/>
      <c r="R279" s="248"/>
      <c r="S279" s="248">
        <v>0</v>
      </c>
      <c r="T279" s="248">
        <v>0</v>
      </c>
      <c r="U279" s="248">
        <v>0</v>
      </c>
      <c r="V279" s="248"/>
      <c r="W279" s="248"/>
      <c r="X279" s="248"/>
      <c r="Y279" s="248">
        <v>0</v>
      </c>
      <c r="Z279" s="249">
        <v>3</v>
      </c>
      <c r="AA279" s="250">
        <v>32</v>
      </c>
      <c r="AB279" s="251">
        <v>44306</v>
      </c>
      <c r="AC279" s="252">
        <v>44314</v>
      </c>
      <c r="AD279" s="249"/>
      <c r="AE279" s="248"/>
      <c r="AF279" s="251"/>
      <c r="AG279" s="251"/>
      <c r="AH279" s="249"/>
      <c r="AI279" s="248"/>
      <c r="AJ279" s="251"/>
      <c r="AK279" s="248"/>
      <c r="AL279" s="249"/>
      <c r="AM279" s="248"/>
      <c r="AN279" s="248"/>
      <c r="AO279" s="248"/>
      <c r="AP279" s="248"/>
      <c r="AQ279" s="248"/>
      <c r="AR279" s="248"/>
      <c r="AS279" s="248"/>
      <c r="AT279" s="249"/>
      <c r="AU279" s="248"/>
      <c r="AV279" s="248"/>
      <c r="AW279" s="248"/>
      <c r="AX279" s="249"/>
      <c r="AY279" s="248"/>
      <c r="AZ279" s="248"/>
      <c r="BA279" s="248"/>
      <c r="BB279" s="248">
        <f t="shared" si="18"/>
        <v>3</v>
      </c>
      <c r="BC279" s="248">
        <f t="shared" si="16"/>
        <v>3</v>
      </c>
    </row>
    <row r="280" spans="2:55" s="39" customFormat="1" ht="23.25" customHeight="1">
      <c r="B280" s="22">
        <f t="shared" si="19"/>
        <v>264</v>
      </c>
      <c r="C280" s="22" t="s">
        <v>39</v>
      </c>
      <c r="D280" s="23">
        <v>40022954</v>
      </c>
      <c r="E280" s="48" t="s">
        <v>988</v>
      </c>
      <c r="F280" s="48" t="s">
        <v>317</v>
      </c>
      <c r="G280" s="26" t="s">
        <v>683</v>
      </c>
      <c r="H280" s="48" t="s">
        <v>772</v>
      </c>
      <c r="I280" s="25" t="s">
        <v>52</v>
      </c>
      <c r="J280" s="247">
        <v>283905</v>
      </c>
      <c r="K280" s="247"/>
      <c r="L280" s="247">
        <f t="shared" si="17"/>
        <v>283905</v>
      </c>
      <c r="M280" s="248"/>
      <c r="N280" s="248"/>
      <c r="O280" s="248"/>
      <c r="P280" s="248"/>
      <c r="Q280" s="248"/>
      <c r="R280" s="248"/>
      <c r="S280" s="248">
        <v>0</v>
      </c>
      <c r="T280" s="248">
        <v>0</v>
      </c>
      <c r="U280" s="248">
        <v>0</v>
      </c>
      <c r="V280" s="248"/>
      <c r="W280" s="248"/>
      <c r="X280" s="248"/>
      <c r="Y280" s="248">
        <v>0</v>
      </c>
      <c r="Z280" s="249">
        <v>2</v>
      </c>
      <c r="AA280" s="250">
        <v>32</v>
      </c>
      <c r="AB280" s="251">
        <v>44306</v>
      </c>
      <c r="AC280" s="252">
        <v>44314</v>
      </c>
      <c r="AD280" s="249"/>
      <c r="AE280" s="248"/>
      <c r="AF280" s="251"/>
      <c r="AG280" s="251"/>
      <c r="AH280" s="249"/>
      <c r="AI280" s="248"/>
      <c r="AJ280" s="251"/>
      <c r="AK280" s="248"/>
      <c r="AL280" s="249"/>
      <c r="AM280" s="248"/>
      <c r="AN280" s="248"/>
      <c r="AO280" s="248"/>
      <c r="AP280" s="248"/>
      <c r="AQ280" s="248"/>
      <c r="AR280" s="248"/>
      <c r="AS280" s="248"/>
      <c r="AT280" s="249"/>
      <c r="AU280" s="248"/>
      <c r="AV280" s="248"/>
      <c r="AW280" s="248"/>
      <c r="AX280" s="249"/>
      <c r="AY280" s="248"/>
      <c r="AZ280" s="248"/>
      <c r="BA280" s="248"/>
      <c r="BB280" s="248">
        <f t="shared" si="18"/>
        <v>2</v>
      </c>
      <c r="BC280" s="248">
        <f t="shared" si="16"/>
        <v>2</v>
      </c>
    </row>
    <row r="281" spans="2:55" s="39" customFormat="1" ht="23.25" customHeight="1">
      <c r="B281" s="22">
        <f t="shared" si="19"/>
        <v>265</v>
      </c>
      <c r="C281" s="22" t="s">
        <v>39</v>
      </c>
      <c r="D281" s="23">
        <v>40024013</v>
      </c>
      <c r="E281" s="48" t="s">
        <v>989</v>
      </c>
      <c r="F281" s="48" t="s">
        <v>317</v>
      </c>
      <c r="G281" s="26" t="s">
        <v>683</v>
      </c>
      <c r="H281" s="48" t="s">
        <v>706</v>
      </c>
      <c r="I281" s="25" t="s">
        <v>52</v>
      </c>
      <c r="J281" s="247">
        <v>347593</v>
      </c>
      <c r="K281" s="247"/>
      <c r="L281" s="247">
        <f t="shared" si="17"/>
        <v>347593</v>
      </c>
      <c r="M281" s="248"/>
      <c r="N281" s="248"/>
      <c r="O281" s="248"/>
      <c r="P281" s="248"/>
      <c r="Q281" s="248"/>
      <c r="R281" s="248"/>
      <c r="S281" s="248">
        <v>0</v>
      </c>
      <c r="T281" s="248">
        <v>0</v>
      </c>
      <c r="U281" s="248">
        <v>0</v>
      </c>
      <c r="V281" s="248"/>
      <c r="W281" s="248"/>
      <c r="X281" s="248"/>
      <c r="Y281" s="248">
        <v>0</v>
      </c>
      <c r="Z281" s="249">
        <v>1</v>
      </c>
      <c r="AA281" s="250">
        <v>32</v>
      </c>
      <c r="AB281" s="251">
        <v>44306</v>
      </c>
      <c r="AC281" s="252">
        <v>44314</v>
      </c>
      <c r="AD281" s="249"/>
      <c r="AE281" s="248"/>
      <c r="AF281" s="251"/>
      <c r="AG281" s="251"/>
      <c r="AH281" s="249"/>
      <c r="AI281" s="248"/>
      <c r="AJ281" s="251"/>
      <c r="AK281" s="248"/>
      <c r="AL281" s="249"/>
      <c r="AM281" s="248"/>
      <c r="AN281" s="248"/>
      <c r="AO281" s="248"/>
      <c r="AP281" s="248"/>
      <c r="AQ281" s="248"/>
      <c r="AR281" s="248"/>
      <c r="AS281" s="248"/>
      <c r="AT281" s="249"/>
      <c r="AU281" s="248"/>
      <c r="AV281" s="248"/>
      <c r="AW281" s="248"/>
      <c r="AX281" s="249"/>
      <c r="AY281" s="248"/>
      <c r="AZ281" s="248"/>
      <c r="BA281" s="248"/>
      <c r="BB281" s="248">
        <f t="shared" si="18"/>
        <v>1</v>
      </c>
      <c r="BC281" s="248">
        <f t="shared" si="16"/>
        <v>1</v>
      </c>
    </row>
    <row r="282" spans="2:55" s="39" customFormat="1" ht="23.25" customHeight="1">
      <c r="B282" s="22">
        <f t="shared" si="19"/>
        <v>266</v>
      </c>
      <c r="C282" s="22" t="s">
        <v>39</v>
      </c>
      <c r="D282" s="23">
        <v>40025804</v>
      </c>
      <c r="E282" s="48" t="s">
        <v>990</v>
      </c>
      <c r="F282" s="48" t="s">
        <v>317</v>
      </c>
      <c r="G282" s="26" t="s">
        <v>683</v>
      </c>
      <c r="H282" s="48" t="s">
        <v>770</v>
      </c>
      <c r="I282" s="25" t="s">
        <v>52</v>
      </c>
      <c r="J282" s="247">
        <v>358738</v>
      </c>
      <c r="K282" s="247"/>
      <c r="L282" s="247">
        <f t="shared" si="17"/>
        <v>358738</v>
      </c>
      <c r="M282" s="248"/>
      <c r="N282" s="248"/>
      <c r="O282" s="248"/>
      <c r="P282" s="248"/>
      <c r="Q282" s="248"/>
      <c r="R282" s="248"/>
      <c r="S282" s="248">
        <v>0</v>
      </c>
      <c r="T282" s="248">
        <v>0</v>
      </c>
      <c r="U282" s="248">
        <v>0</v>
      </c>
      <c r="V282" s="248"/>
      <c r="W282" s="248"/>
      <c r="X282" s="248"/>
      <c r="Y282" s="248">
        <v>0</v>
      </c>
      <c r="Z282" s="249">
        <v>3</v>
      </c>
      <c r="AA282" s="250">
        <v>32</v>
      </c>
      <c r="AB282" s="251">
        <v>44306</v>
      </c>
      <c r="AC282" s="252">
        <v>44314</v>
      </c>
      <c r="AD282" s="249"/>
      <c r="AE282" s="248"/>
      <c r="AF282" s="251"/>
      <c r="AG282" s="251"/>
      <c r="AH282" s="249"/>
      <c r="AI282" s="248"/>
      <c r="AJ282" s="251"/>
      <c r="AK282" s="248"/>
      <c r="AL282" s="249"/>
      <c r="AM282" s="248"/>
      <c r="AN282" s="248"/>
      <c r="AO282" s="248"/>
      <c r="AP282" s="248"/>
      <c r="AQ282" s="248"/>
      <c r="AR282" s="248"/>
      <c r="AS282" s="248"/>
      <c r="AT282" s="249"/>
      <c r="AU282" s="248"/>
      <c r="AV282" s="248"/>
      <c r="AW282" s="248"/>
      <c r="AX282" s="249"/>
      <c r="AY282" s="248"/>
      <c r="AZ282" s="248"/>
      <c r="BA282" s="248"/>
      <c r="BB282" s="248">
        <f t="shared" si="18"/>
        <v>3</v>
      </c>
      <c r="BC282" s="248">
        <f t="shared" si="16"/>
        <v>3</v>
      </c>
    </row>
    <row r="283" spans="2:55" s="39" customFormat="1" ht="23.25" customHeight="1">
      <c r="B283" s="22">
        <f t="shared" si="19"/>
        <v>267</v>
      </c>
      <c r="C283" s="22" t="s">
        <v>39</v>
      </c>
      <c r="D283" s="23">
        <v>40026255</v>
      </c>
      <c r="E283" s="48" t="s">
        <v>991</v>
      </c>
      <c r="F283" s="48" t="s">
        <v>317</v>
      </c>
      <c r="G283" s="26" t="s">
        <v>683</v>
      </c>
      <c r="H283" s="48" t="s">
        <v>686</v>
      </c>
      <c r="I283" s="25" t="s">
        <v>52</v>
      </c>
      <c r="J283" s="247">
        <v>943621</v>
      </c>
      <c r="K283" s="247"/>
      <c r="L283" s="247">
        <f t="shared" si="17"/>
        <v>943621</v>
      </c>
      <c r="M283" s="248"/>
      <c r="N283" s="248"/>
      <c r="O283" s="248"/>
      <c r="P283" s="248"/>
      <c r="Q283" s="248"/>
      <c r="R283" s="248"/>
      <c r="S283" s="248">
        <v>0</v>
      </c>
      <c r="T283" s="248">
        <v>0</v>
      </c>
      <c r="U283" s="248">
        <v>0</v>
      </c>
      <c r="V283" s="248"/>
      <c r="W283" s="248"/>
      <c r="X283" s="248"/>
      <c r="Y283" s="248">
        <v>0</v>
      </c>
      <c r="Z283" s="249">
        <v>3</v>
      </c>
      <c r="AA283" s="250">
        <v>32</v>
      </c>
      <c r="AB283" s="251">
        <v>44306</v>
      </c>
      <c r="AC283" s="252">
        <v>44314</v>
      </c>
      <c r="AD283" s="249"/>
      <c r="AE283" s="248"/>
      <c r="AF283" s="251"/>
      <c r="AG283" s="251"/>
      <c r="AH283" s="249"/>
      <c r="AI283" s="248"/>
      <c r="AJ283" s="251"/>
      <c r="AK283" s="248"/>
      <c r="AL283" s="249"/>
      <c r="AM283" s="248"/>
      <c r="AN283" s="248"/>
      <c r="AO283" s="248"/>
      <c r="AP283" s="248"/>
      <c r="AQ283" s="248"/>
      <c r="AR283" s="248"/>
      <c r="AS283" s="248"/>
      <c r="AT283" s="249"/>
      <c r="AU283" s="248"/>
      <c r="AV283" s="248"/>
      <c r="AW283" s="248"/>
      <c r="AX283" s="249"/>
      <c r="AY283" s="248"/>
      <c r="AZ283" s="248"/>
      <c r="BA283" s="248"/>
      <c r="BB283" s="248">
        <f t="shared" si="18"/>
        <v>3</v>
      </c>
      <c r="BC283" s="248">
        <f t="shared" si="16"/>
        <v>3</v>
      </c>
    </row>
    <row r="284" spans="2:55" s="39" customFormat="1" ht="23.25" customHeight="1">
      <c r="B284" s="22">
        <f t="shared" si="19"/>
        <v>268</v>
      </c>
      <c r="C284" s="22" t="s">
        <v>39</v>
      </c>
      <c r="D284" s="23">
        <v>40028023</v>
      </c>
      <c r="E284" s="48" t="s">
        <v>992</v>
      </c>
      <c r="F284" s="48" t="s">
        <v>317</v>
      </c>
      <c r="G284" s="26" t="s">
        <v>683</v>
      </c>
      <c r="H284" s="48" t="s">
        <v>686</v>
      </c>
      <c r="I284" s="25" t="s">
        <v>52</v>
      </c>
      <c r="J284" s="247">
        <v>76769</v>
      </c>
      <c r="K284" s="247"/>
      <c r="L284" s="247">
        <f t="shared" si="17"/>
        <v>76769</v>
      </c>
      <c r="M284" s="248"/>
      <c r="N284" s="248"/>
      <c r="O284" s="248"/>
      <c r="P284" s="248"/>
      <c r="Q284" s="248"/>
      <c r="R284" s="248"/>
      <c r="S284" s="248">
        <v>0</v>
      </c>
      <c r="T284" s="248">
        <v>0</v>
      </c>
      <c r="U284" s="248">
        <v>0</v>
      </c>
      <c r="V284" s="248"/>
      <c r="W284" s="248"/>
      <c r="X284" s="248"/>
      <c r="Y284" s="248">
        <v>0</v>
      </c>
      <c r="Z284" s="249">
        <v>3</v>
      </c>
      <c r="AA284" s="250">
        <v>32</v>
      </c>
      <c r="AB284" s="251">
        <v>44306</v>
      </c>
      <c r="AC284" s="252">
        <v>44314</v>
      </c>
      <c r="AD284" s="249"/>
      <c r="AE284" s="248"/>
      <c r="AF284" s="251"/>
      <c r="AG284" s="251"/>
      <c r="AH284" s="249"/>
      <c r="AI284" s="248"/>
      <c r="AJ284" s="251"/>
      <c r="AK284" s="248"/>
      <c r="AL284" s="249"/>
      <c r="AM284" s="248"/>
      <c r="AN284" s="248"/>
      <c r="AO284" s="248"/>
      <c r="AP284" s="248"/>
      <c r="AQ284" s="248"/>
      <c r="AR284" s="248"/>
      <c r="AS284" s="248"/>
      <c r="AT284" s="249"/>
      <c r="AU284" s="248"/>
      <c r="AV284" s="248"/>
      <c r="AW284" s="248"/>
      <c r="AX284" s="249"/>
      <c r="AY284" s="248"/>
      <c r="AZ284" s="248"/>
      <c r="BA284" s="248"/>
      <c r="BB284" s="248">
        <f t="shared" si="18"/>
        <v>3</v>
      </c>
      <c r="BC284" s="248">
        <f t="shared" si="16"/>
        <v>3</v>
      </c>
    </row>
    <row r="285" spans="2:55" s="39" customFormat="1" ht="23.25" customHeight="1">
      <c r="B285" s="22">
        <f t="shared" si="19"/>
        <v>269</v>
      </c>
      <c r="C285" s="22" t="s">
        <v>65</v>
      </c>
      <c r="D285" s="23">
        <v>40027329</v>
      </c>
      <c r="E285" s="48" t="s">
        <v>993</v>
      </c>
      <c r="F285" s="48" t="s">
        <v>317</v>
      </c>
      <c r="G285" s="26" t="s">
        <v>683</v>
      </c>
      <c r="H285" s="48" t="s">
        <v>770</v>
      </c>
      <c r="I285" s="25" t="s">
        <v>52</v>
      </c>
      <c r="J285" s="247">
        <v>71097</v>
      </c>
      <c r="K285" s="247"/>
      <c r="L285" s="247">
        <f t="shared" si="17"/>
        <v>71097</v>
      </c>
      <c r="M285" s="248"/>
      <c r="N285" s="248"/>
      <c r="O285" s="248"/>
      <c r="P285" s="248"/>
      <c r="Q285" s="248"/>
      <c r="R285" s="248"/>
      <c r="S285" s="248">
        <v>0</v>
      </c>
      <c r="T285" s="248">
        <v>0</v>
      </c>
      <c r="U285" s="248">
        <v>0</v>
      </c>
      <c r="V285" s="248"/>
      <c r="W285" s="248"/>
      <c r="X285" s="248"/>
      <c r="Y285" s="248">
        <v>0</v>
      </c>
      <c r="Z285" s="249">
        <v>1</v>
      </c>
      <c r="AA285" s="250">
        <v>32</v>
      </c>
      <c r="AB285" s="251">
        <v>44306</v>
      </c>
      <c r="AC285" s="252">
        <v>44314</v>
      </c>
      <c r="AD285" s="249"/>
      <c r="AE285" s="248"/>
      <c r="AF285" s="251"/>
      <c r="AG285" s="251"/>
      <c r="AH285" s="249"/>
      <c r="AI285" s="248"/>
      <c r="AJ285" s="251"/>
      <c r="AK285" s="248"/>
      <c r="AL285" s="249"/>
      <c r="AM285" s="248"/>
      <c r="AN285" s="248"/>
      <c r="AO285" s="248"/>
      <c r="AP285" s="248"/>
      <c r="AQ285" s="248"/>
      <c r="AR285" s="248"/>
      <c r="AS285" s="248"/>
      <c r="AT285" s="249"/>
      <c r="AU285" s="248"/>
      <c r="AV285" s="248"/>
      <c r="AW285" s="248"/>
      <c r="AX285" s="249"/>
      <c r="AY285" s="248"/>
      <c r="AZ285" s="248"/>
      <c r="BA285" s="248"/>
      <c r="BB285" s="248">
        <f t="shared" si="18"/>
        <v>1</v>
      </c>
      <c r="BC285" s="248">
        <f t="shared" si="16"/>
        <v>1</v>
      </c>
    </row>
    <row r="286" spans="2:55" s="39" customFormat="1" ht="23.25" customHeight="1">
      <c r="B286" s="22">
        <f t="shared" si="19"/>
        <v>270</v>
      </c>
      <c r="C286" s="22" t="s">
        <v>65</v>
      </c>
      <c r="D286" s="23">
        <v>40022472</v>
      </c>
      <c r="E286" s="48" t="s">
        <v>994</v>
      </c>
      <c r="F286" s="48" t="s">
        <v>317</v>
      </c>
      <c r="G286" s="26" t="s">
        <v>683</v>
      </c>
      <c r="H286" s="48" t="s">
        <v>790</v>
      </c>
      <c r="I286" s="25" t="s">
        <v>52</v>
      </c>
      <c r="J286" s="247">
        <v>287476</v>
      </c>
      <c r="K286" s="247"/>
      <c r="L286" s="247">
        <f t="shared" si="17"/>
        <v>287476</v>
      </c>
      <c r="M286" s="248"/>
      <c r="N286" s="248"/>
      <c r="O286" s="248"/>
      <c r="P286" s="248"/>
      <c r="Q286" s="248"/>
      <c r="R286" s="248"/>
      <c r="S286" s="248">
        <v>0</v>
      </c>
      <c r="T286" s="248">
        <v>0</v>
      </c>
      <c r="U286" s="248">
        <v>0</v>
      </c>
      <c r="V286" s="248"/>
      <c r="W286" s="248"/>
      <c r="X286" s="248"/>
      <c r="Y286" s="248">
        <v>0</v>
      </c>
      <c r="Z286" s="249">
        <v>1</v>
      </c>
      <c r="AA286" s="250">
        <v>32</v>
      </c>
      <c r="AB286" s="251">
        <v>44306</v>
      </c>
      <c r="AC286" s="252">
        <v>44314</v>
      </c>
      <c r="AD286" s="249"/>
      <c r="AE286" s="248"/>
      <c r="AF286" s="251"/>
      <c r="AG286" s="251"/>
      <c r="AH286" s="249"/>
      <c r="AI286" s="248"/>
      <c r="AJ286" s="251"/>
      <c r="AK286" s="248"/>
      <c r="AL286" s="249"/>
      <c r="AM286" s="248"/>
      <c r="AN286" s="248"/>
      <c r="AO286" s="248"/>
      <c r="AP286" s="248"/>
      <c r="AQ286" s="248"/>
      <c r="AR286" s="248"/>
      <c r="AS286" s="248"/>
      <c r="AT286" s="249"/>
      <c r="AU286" s="248"/>
      <c r="AV286" s="248"/>
      <c r="AW286" s="248"/>
      <c r="AX286" s="249"/>
      <c r="AY286" s="248"/>
      <c r="AZ286" s="248"/>
      <c r="BA286" s="248"/>
      <c r="BB286" s="248">
        <f t="shared" si="18"/>
        <v>1</v>
      </c>
      <c r="BC286" s="248">
        <f t="shared" si="16"/>
        <v>1</v>
      </c>
    </row>
    <row r="287" spans="2:55" s="39" customFormat="1" ht="23.25" customHeight="1">
      <c r="B287" s="22">
        <f t="shared" si="19"/>
        <v>271</v>
      </c>
      <c r="C287" s="22" t="s">
        <v>65</v>
      </c>
      <c r="D287" s="23">
        <v>40011488</v>
      </c>
      <c r="E287" s="48" t="s">
        <v>995</v>
      </c>
      <c r="F287" s="48" t="s">
        <v>317</v>
      </c>
      <c r="G287" s="26" t="s">
        <v>683</v>
      </c>
      <c r="H287" s="48" t="s">
        <v>745</v>
      </c>
      <c r="I287" s="25" t="s">
        <v>52</v>
      </c>
      <c r="J287" s="247">
        <v>206840</v>
      </c>
      <c r="K287" s="247"/>
      <c r="L287" s="247">
        <f t="shared" si="17"/>
        <v>206840</v>
      </c>
      <c r="M287" s="248"/>
      <c r="N287" s="248"/>
      <c r="O287" s="248"/>
      <c r="P287" s="248"/>
      <c r="Q287" s="248"/>
      <c r="R287" s="248"/>
      <c r="S287" s="248">
        <v>0</v>
      </c>
      <c r="T287" s="248">
        <v>0</v>
      </c>
      <c r="U287" s="248">
        <v>0</v>
      </c>
      <c r="V287" s="248"/>
      <c r="W287" s="248"/>
      <c r="X287" s="248"/>
      <c r="Y287" s="248">
        <v>0</v>
      </c>
      <c r="Z287" s="249">
        <v>2</v>
      </c>
      <c r="AA287" s="250">
        <v>32</v>
      </c>
      <c r="AB287" s="251">
        <v>44306</v>
      </c>
      <c r="AC287" s="252">
        <v>44314</v>
      </c>
      <c r="AD287" s="249"/>
      <c r="AE287" s="248"/>
      <c r="AF287" s="251"/>
      <c r="AG287" s="251"/>
      <c r="AH287" s="249"/>
      <c r="AI287" s="248"/>
      <c r="AJ287" s="251"/>
      <c r="AK287" s="248"/>
      <c r="AL287" s="249"/>
      <c r="AM287" s="248"/>
      <c r="AN287" s="248"/>
      <c r="AO287" s="248"/>
      <c r="AP287" s="248"/>
      <c r="AQ287" s="248"/>
      <c r="AR287" s="248"/>
      <c r="AS287" s="248"/>
      <c r="AT287" s="249"/>
      <c r="AU287" s="248"/>
      <c r="AV287" s="248"/>
      <c r="AW287" s="248"/>
      <c r="AX287" s="249"/>
      <c r="AY287" s="248"/>
      <c r="AZ287" s="248"/>
      <c r="BA287" s="248"/>
      <c r="BB287" s="248">
        <f t="shared" si="18"/>
        <v>2</v>
      </c>
      <c r="BC287" s="248">
        <f t="shared" si="16"/>
        <v>2</v>
      </c>
    </row>
    <row r="288" spans="2:55" s="39" customFormat="1" ht="23.25" customHeight="1">
      <c r="B288" s="22">
        <f t="shared" si="19"/>
        <v>272</v>
      </c>
      <c r="C288" s="22" t="s">
        <v>39</v>
      </c>
      <c r="D288" s="23">
        <v>40019613</v>
      </c>
      <c r="E288" s="48" t="s">
        <v>996</v>
      </c>
      <c r="F288" s="48" t="s">
        <v>317</v>
      </c>
      <c r="G288" s="26" t="s">
        <v>683</v>
      </c>
      <c r="H288" s="48" t="s">
        <v>737</v>
      </c>
      <c r="I288" s="25" t="s">
        <v>52</v>
      </c>
      <c r="J288" s="247">
        <v>176024</v>
      </c>
      <c r="K288" s="247"/>
      <c r="L288" s="247">
        <f t="shared" si="17"/>
        <v>176024</v>
      </c>
      <c r="M288" s="248"/>
      <c r="N288" s="248"/>
      <c r="O288" s="248"/>
      <c r="P288" s="248"/>
      <c r="Q288" s="248"/>
      <c r="R288" s="248"/>
      <c r="S288" s="248">
        <v>0</v>
      </c>
      <c r="T288" s="248">
        <v>0</v>
      </c>
      <c r="U288" s="248">
        <v>0</v>
      </c>
      <c r="V288" s="248"/>
      <c r="W288" s="248"/>
      <c r="X288" s="248"/>
      <c r="Y288" s="248">
        <v>0</v>
      </c>
      <c r="Z288" s="249">
        <v>1</v>
      </c>
      <c r="AA288" s="250">
        <v>32</v>
      </c>
      <c r="AB288" s="251">
        <v>44306</v>
      </c>
      <c r="AC288" s="252">
        <v>44314</v>
      </c>
      <c r="AD288" s="249"/>
      <c r="AE288" s="248"/>
      <c r="AF288" s="251"/>
      <c r="AG288" s="251"/>
      <c r="AH288" s="249"/>
      <c r="AI288" s="248"/>
      <c r="AJ288" s="251"/>
      <c r="AK288" s="248"/>
      <c r="AL288" s="249"/>
      <c r="AM288" s="248"/>
      <c r="AN288" s="248"/>
      <c r="AO288" s="248"/>
      <c r="AP288" s="248"/>
      <c r="AQ288" s="248"/>
      <c r="AR288" s="248"/>
      <c r="AS288" s="248"/>
      <c r="AT288" s="249"/>
      <c r="AU288" s="248"/>
      <c r="AV288" s="248"/>
      <c r="AW288" s="248"/>
      <c r="AX288" s="249"/>
      <c r="AY288" s="248"/>
      <c r="AZ288" s="248"/>
      <c r="BA288" s="248"/>
      <c r="BB288" s="248">
        <f t="shared" si="18"/>
        <v>1</v>
      </c>
      <c r="BC288" s="248">
        <f t="shared" si="16"/>
        <v>1</v>
      </c>
    </row>
    <row r="289" spans="2:55" s="39" customFormat="1" ht="23.25" customHeight="1">
      <c r="B289" s="22">
        <f t="shared" si="19"/>
        <v>273</v>
      </c>
      <c r="C289" s="22" t="s">
        <v>39</v>
      </c>
      <c r="D289" s="23">
        <v>40001842</v>
      </c>
      <c r="E289" s="48" t="s">
        <v>997</v>
      </c>
      <c r="F289" s="48" t="s">
        <v>317</v>
      </c>
      <c r="G289" s="26" t="s">
        <v>683</v>
      </c>
      <c r="H289" s="48" t="s">
        <v>683</v>
      </c>
      <c r="I289" s="25" t="s">
        <v>52</v>
      </c>
      <c r="J289" s="247">
        <v>3020372</v>
      </c>
      <c r="K289" s="247"/>
      <c r="L289" s="247">
        <f t="shared" si="17"/>
        <v>3020372</v>
      </c>
      <c r="M289" s="248"/>
      <c r="N289" s="248"/>
      <c r="O289" s="248"/>
      <c r="P289" s="248"/>
      <c r="Q289" s="248"/>
      <c r="R289" s="248"/>
      <c r="S289" s="248">
        <v>0</v>
      </c>
      <c r="T289" s="248">
        <v>0</v>
      </c>
      <c r="U289" s="248">
        <v>0</v>
      </c>
      <c r="V289" s="248"/>
      <c r="W289" s="248"/>
      <c r="X289" s="248"/>
      <c r="Y289" s="248">
        <v>0</v>
      </c>
      <c r="Z289" s="249">
        <v>2</v>
      </c>
      <c r="AA289" s="250">
        <v>32</v>
      </c>
      <c r="AB289" s="251">
        <v>44306</v>
      </c>
      <c r="AC289" s="252">
        <v>44314</v>
      </c>
      <c r="AD289" s="249"/>
      <c r="AE289" s="248"/>
      <c r="AF289" s="251"/>
      <c r="AG289" s="251"/>
      <c r="AH289" s="249"/>
      <c r="AI289" s="248"/>
      <c r="AJ289" s="251"/>
      <c r="AK289" s="248"/>
      <c r="AL289" s="249"/>
      <c r="AM289" s="248"/>
      <c r="AN289" s="248"/>
      <c r="AO289" s="248"/>
      <c r="AP289" s="248"/>
      <c r="AQ289" s="248"/>
      <c r="AR289" s="248"/>
      <c r="AS289" s="248"/>
      <c r="AT289" s="249"/>
      <c r="AU289" s="248"/>
      <c r="AV289" s="248"/>
      <c r="AW289" s="248"/>
      <c r="AX289" s="249"/>
      <c r="AY289" s="248"/>
      <c r="AZ289" s="248"/>
      <c r="BA289" s="248"/>
      <c r="BB289" s="248">
        <f t="shared" si="18"/>
        <v>2</v>
      </c>
      <c r="BC289" s="248">
        <f t="shared" si="16"/>
        <v>2</v>
      </c>
    </row>
    <row r="290" spans="2:55" s="39" customFormat="1" ht="23.25" customHeight="1">
      <c r="B290" s="22">
        <f t="shared" si="19"/>
        <v>274</v>
      </c>
      <c r="C290" s="22" t="s">
        <v>39</v>
      </c>
      <c r="D290" s="23">
        <v>30485699</v>
      </c>
      <c r="E290" s="48" t="s">
        <v>998</v>
      </c>
      <c r="F290" s="48" t="s">
        <v>317</v>
      </c>
      <c r="G290" s="26" t="s">
        <v>683</v>
      </c>
      <c r="H290" s="48" t="s">
        <v>749</v>
      </c>
      <c r="I290" s="25" t="s">
        <v>52</v>
      </c>
      <c r="J290" s="247">
        <v>362110</v>
      </c>
      <c r="K290" s="247"/>
      <c r="L290" s="247">
        <f t="shared" si="17"/>
        <v>362110</v>
      </c>
      <c r="M290" s="248"/>
      <c r="N290" s="248"/>
      <c r="O290" s="248"/>
      <c r="P290" s="248"/>
      <c r="Q290" s="248"/>
      <c r="R290" s="248"/>
      <c r="S290" s="248">
        <v>0</v>
      </c>
      <c r="T290" s="248">
        <v>0</v>
      </c>
      <c r="U290" s="248">
        <v>0</v>
      </c>
      <c r="V290" s="248"/>
      <c r="W290" s="248"/>
      <c r="X290" s="248"/>
      <c r="Y290" s="248">
        <v>0</v>
      </c>
      <c r="Z290" s="249">
        <v>3</v>
      </c>
      <c r="AA290" s="250">
        <v>32</v>
      </c>
      <c r="AB290" s="251">
        <v>44306</v>
      </c>
      <c r="AC290" s="252">
        <v>44314</v>
      </c>
      <c r="AD290" s="249"/>
      <c r="AE290" s="248"/>
      <c r="AF290" s="251"/>
      <c r="AG290" s="251"/>
      <c r="AH290" s="249"/>
      <c r="AI290" s="248"/>
      <c r="AJ290" s="251"/>
      <c r="AK290" s="248"/>
      <c r="AL290" s="249"/>
      <c r="AM290" s="248"/>
      <c r="AN290" s="248"/>
      <c r="AO290" s="248"/>
      <c r="AP290" s="248"/>
      <c r="AQ290" s="248"/>
      <c r="AR290" s="248"/>
      <c r="AS290" s="248"/>
      <c r="AT290" s="249"/>
      <c r="AU290" s="248"/>
      <c r="AV290" s="248"/>
      <c r="AW290" s="248"/>
      <c r="AX290" s="249"/>
      <c r="AY290" s="248"/>
      <c r="AZ290" s="248"/>
      <c r="BA290" s="248"/>
      <c r="BB290" s="248">
        <f t="shared" si="18"/>
        <v>3</v>
      </c>
      <c r="BC290" s="248">
        <f t="shared" si="16"/>
        <v>3</v>
      </c>
    </row>
    <row r="291" spans="2:55" s="39" customFormat="1" ht="23.25" customHeight="1">
      <c r="B291" s="22">
        <f t="shared" si="19"/>
        <v>275</v>
      </c>
      <c r="C291" s="22" t="s">
        <v>39</v>
      </c>
      <c r="D291" s="23">
        <v>30441774</v>
      </c>
      <c r="E291" s="48" t="s">
        <v>999</v>
      </c>
      <c r="F291" s="48" t="s">
        <v>317</v>
      </c>
      <c r="G291" s="26" t="s">
        <v>683</v>
      </c>
      <c r="H291" s="48" t="s">
        <v>758</v>
      </c>
      <c r="I291" s="25" t="s">
        <v>52</v>
      </c>
      <c r="J291" s="247">
        <v>169303</v>
      </c>
      <c r="K291" s="247"/>
      <c r="L291" s="247">
        <f t="shared" si="17"/>
        <v>169303</v>
      </c>
      <c r="M291" s="248"/>
      <c r="N291" s="248"/>
      <c r="O291" s="248"/>
      <c r="P291" s="248"/>
      <c r="Q291" s="248"/>
      <c r="R291" s="248"/>
      <c r="S291" s="248">
        <v>0</v>
      </c>
      <c r="T291" s="248">
        <v>0</v>
      </c>
      <c r="U291" s="248">
        <v>0</v>
      </c>
      <c r="V291" s="248"/>
      <c r="W291" s="248"/>
      <c r="X291" s="248"/>
      <c r="Y291" s="248">
        <v>0</v>
      </c>
      <c r="Z291" s="249">
        <v>1</v>
      </c>
      <c r="AA291" s="250">
        <v>32</v>
      </c>
      <c r="AB291" s="251">
        <v>44306</v>
      </c>
      <c r="AC291" s="252">
        <v>44314</v>
      </c>
      <c r="AD291" s="249"/>
      <c r="AE291" s="248"/>
      <c r="AF291" s="251"/>
      <c r="AG291" s="251"/>
      <c r="AH291" s="249"/>
      <c r="AI291" s="248"/>
      <c r="AJ291" s="251"/>
      <c r="AK291" s="248"/>
      <c r="AL291" s="249"/>
      <c r="AM291" s="248"/>
      <c r="AN291" s="248"/>
      <c r="AO291" s="248"/>
      <c r="AP291" s="248"/>
      <c r="AQ291" s="248"/>
      <c r="AR291" s="248"/>
      <c r="AS291" s="248"/>
      <c r="AT291" s="249"/>
      <c r="AU291" s="248"/>
      <c r="AV291" s="248"/>
      <c r="AW291" s="248"/>
      <c r="AX291" s="249"/>
      <c r="AY291" s="248"/>
      <c r="AZ291" s="248"/>
      <c r="BA291" s="248"/>
      <c r="BB291" s="248">
        <f t="shared" si="18"/>
        <v>1</v>
      </c>
      <c r="BC291" s="248">
        <f t="shared" si="16"/>
        <v>1</v>
      </c>
    </row>
    <row r="292" spans="2:55" s="39" customFormat="1" ht="23.25" customHeight="1">
      <c r="B292" s="22">
        <f t="shared" si="19"/>
        <v>276</v>
      </c>
      <c r="C292" s="22" t="s">
        <v>65</v>
      </c>
      <c r="D292" s="23">
        <v>40020052</v>
      </c>
      <c r="E292" s="48" t="s">
        <v>1000</v>
      </c>
      <c r="F292" s="48" t="s">
        <v>317</v>
      </c>
      <c r="G292" s="26" t="s">
        <v>683</v>
      </c>
      <c r="H292" s="48" t="s">
        <v>772</v>
      </c>
      <c r="I292" s="25" t="s">
        <v>52</v>
      </c>
      <c r="J292" s="247">
        <v>245955</v>
      </c>
      <c r="K292" s="247"/>
      <c r="L292" s="247">
        <f t="shared" si="17"/>
        <v>245955</v>
      </c>
      <c r="M292" s="248"/>
      <c r="N292" s="248"/>
      <c r="O292" s="248"/>
      <c r="P292" s="248"/>
      <c r="Q292" s="248"/>
      <c r="R292" s="248"/>
      <c r="S292" s="248">
        <v>0</v>
      </c>
      <c r="T292" s="248">
        <v>0</v>
      </c>
      <c r="U292" s="248">
        <v>0</v>
      </c>
      <c r="V292" s="248"/>
      <c r="W292" s="248"/>
      <c r="X292" s="248"/>
      <c r="Y292" s="248">
        <v>0</v>
      </c>
      <c r="Z292" s="249">
        <v>1</v>
      </c>
      <c r="AA292" s="250">
        <v>32</v>
      </c>
      <c r="AB292" s="251">
        <v>44306</v>
      </c>
      <c r="AC292" s="252">
        <v>44314</v>
      </c>
      <c r="AD292" s="249"/>
      <c r="AE292" s="248"/>
      <c r="AF292" s="251"/>
      <c r="AG292" s="251"/>
      <c r="AH292" s="249"/>
      <c r="AI292" s="248"/>
      <c r="AJ292" s="251"/>
      <c r="AK292" s="248"/>
      <c r="AL292" s="249"/>
      <c r="AM292" s="248"/>
      <c r="AN292" s="248"/>
      <c r="AO292" s="248"/>
      <c r="AP292" s="248"/>
      <c r="AQ292" s="248"/>
      <c r="AR292" s="248"/>
      <c r="AS292" s="248"/>
      <c r="AT292" s="249"/>
      <c r="AU292" s="248"/>
      <c r="AV292" s="248"/>
      <c r="AW292" s="248"/>
      <c r="AX292" s="249"/>
      <c r="AY292" s="248"/>
      <c r="AZ292" s="248"/>
      <c r="BA292" s="248"/>
      <c r="BB292" s="248">
        <f t="shared" si="18"/>
        <v>1</v>
      </c>
      <c r="BC292" s="248">
        <f t="shared" si="16"/>
        <v>1</v>
      </c>
    </row>
    <row r="293" spans="2:55" s="39" customFormat="1" ht="23.25" customHeight="1">
      <c r="B293" s="22">
        <f t="shared" si="19"/>
        <v>277</v>
      </c>
      <c r="C293" s="22" t="s">
        <v>39</v>
      </c>
      <c r="D293" s="23">
        <v>40007778</v>
      </c>
      <c r="E293" s="48" t="s">
        <v>1001</v>
      </c>
      <c r="F293" s="48" t="s">
        <v>700</v>
      </c>
      <c r="G293" s="26" t="s">
        <v>683</v>
      </c>
      <c r="H293" s="48" t="s">
        <v>825</v>
      </c>
      <c r="I293" s="25" t="s">
        <v>52</v>
      </c>
      <c r="J293" s="247">
        <v>96516</v>
      </c>
      <c r="K293" s="247"/>
      <c r="L293" s="247">
        <f t="shared" si="17"/>
        <v>96516</v>
      </c>
      <c r="M293" s="248"/>
      <c r="N293" s="248"/>
      <c r="O293" s="248"/>
      <c r="P293" s="248"/>
      <c r="Q293" s="248"/>
      <c r="R293" s="248"/>
      <c r="S293" s="248">
        <v>0</v>
      </c>
      <c r="T293" s="248">
        <v>0</v>
      </c>
      <c r="U293" s="248">
        <v>0</v>
      </c>
      <c r="V293" s="248"/>
      <c r="W293" s="248"/>
      <c r="X293" s="248"/>
      <c r="Y293" s="248">
        <v>0</v>
      </c>
      <c r="Z293" s="249">
        <v>8200</v>
      </c>
      <c r="AA293" s="250">
        <v>33</v>
      </c>
      <c r="AB293" s="251">
        <v>44307</v>
      </c>
      <c r="AC293" s="252">
        <v>44327</v>
      </c>
      <c r="AD293" s="249"/>
      <c r="AE293" s="248"/>
      <c r="AF293" s="251"/>
      <c r="AG293" s="251"/>
      <c r="AH293" s="249"/>
      <c r="AI293" s="248"/>
      <c r="AJ293" s="251"/>
      <c r="AK293" s="248"/>
      <c r="AL293" s="249"/>
      <c r="AM293" s="248"/>
      <c r="AN293" s="248"/>
      <c r="AO293" s="248"/>
      <c r="AP293" s="248"/>
      <c r="AQ293" s="248"/>
      <c r="AR293" s="248"/>
      <c r="AS293" s="248"/>
      <c r="AT293" s="249"/>
      <c r="AU293" s="248"/>
      <c r="AV293" s="248"/>
      <c r="AW293" s="248"/>
      <c r="AX293" s="249"/>
      <c r="AY293" s="248"/>
      <c r="AZ293" s="248"/>
      <c r="BA293" s="248"/>
      <c r="BB293" s="248">
        <f t="shared" si="18"/>
        <v>8200</v>
      </c>
      <c r="BC293" s="248">
        <f t="shared" si="16"/>
        <v>8200</v>
      </c>
    </row>
    <row r="294" spans="2:55" s="39" customFormat="1" ht="23.25" customHeight="1">
      <c r="B294" s="22">
        <f t="shared" si="19"/>
        <v>278</v>
      </c>
      <c r="C294" s="22" t="s">
        <v>39</v>
      </c>
      <c r="D294" s="23">
        <v>30078506</v>
      </c>
      <c r="E294" s="48" t="s">
        <v>1002</v>
      </c>
      <c r="F294" s="48" t="s">
        <v>700</v>
      </c>
      <c r="G294" s="26" t="s">
        <v>683</v>
      </c>
      <c r="H294" s="48" t="s">
        <v>785</v>
      </c>
      <c r="I294" s="25" t="s">
        <v>44</v>
      </c>
      <c r="J294" s="247">
        <v>147877</v>
      </c>
      <c r="K294" s="247">
        <v>107393</v>
      </c>
      <c r="L294" s="247">
        <f t="shared" si="17"/>
        <v>40484</v>
      </c>
      <c r="M294" s="248"/>
      <c r="N294" s="248"/>
      <c r="O294" s="248"/>
      <c r="P294" s="248">
        <v>0</v>
      </c>
      <c r="Q294" s="248">
        <v>0</v>
      </c>
      <c r="R294" s="248">
        <v>36396.15</v>
      </c>
      <c r="S294" s="248">
        <v>0</v>
      </c>
      <c r="T294" s="248">
        <v>0</v>
      </c>
      <c r="U294" s="248">
        <v>0</v>
      </c>
      <c r="V294" s="248"/>
      <c r="W294" s="248"/>
      <c r="X294" s="248"/>
      <c r="Y294" s="248">
        <v>36396.15</v>
      </c>
      <c r="Z294" s="249">
        <v>36396</v>
      </c>
      <c r="AA294" s="250">
        <v>33</v>
      </c>
      <c r="AB294" s="251">
        <v>44307</v>
      </c>
      <c r="AC294" s="252">
        <v>44327</v>
      </c>
      <c r="AD294" s="249">
        <v>4000</v>
      </c>
      <c r="AE294" s="248">
        <v>48</v>
      </c>
      <c r="AF294" s="251">
        <v>44348</v>
      </c>
      <c r="AG294" s="252">
        <v>44354</v>
      </c>
      <c r="AH294" s="249"/>
      <c r="AI294" s="248"/>
      <c r="AJ294" s="251"/>
      <c r="AK294" s="248"/>
      <c r="AL294" s="249"/>
      <c r="AM294" s="248"/>
      <c r="AN294" s="248"/>
      <c r="AO294" s="248"/>
      <c r="AP294" s="248"/>
      <c r="AQ294" s="248"/>
      <c r="AR294" s="248"/>
      <c r="AS294" s="248"/>
      <c r="AT294" s="249"/>
      <c r="AU294" s="248"/>
      <c r="AV294" s="248"/>
      <c r="AW294" s="248"/>
      <c r="AX294" s="249"/>
      <c r="AY294" s="248"/>
      <c r="AZ294" s="248"/>
      <c r="BA294" s="248"/>
      <c r="BB294" s="248">
        <f t="shared" si="18"/>
        <v>40396</v>
      </c>
      <c r="BC294" s="248">
        <f t="shared" si="16"/>
        <v>3999.8499999999985</v>
      </c>
    </row>
    <row r="295" spans="2:55" s="39" customFormat="1" ht="23.25" customHeight="1">
      <c r="B295" s="22">
        <f t="shared" si="19"/>
        <v>279</v>
      </c>
      <c r="C295" s="22" t="s">
        <v>39</v>
      </c>
      <c r="D295" s="23">
        <v>30137113</v>
      </c>
      <c r="E295" s="48" t="s">
        <v>1003</v>
      </c>
      <c r="F295" s="48" t="s">
        <v>317</v>
      </c>
      <c r="G295" s="26" t="s">
        <v>683</v>
      </c>
      <c r="H295" s="48" t="s">
        <v>742</v>
      </c>
      <c r="I295" s="25" t="str">
        <f>VLOOKUP(D295,[5]Hoja1!$G$5:$H$360,2,0)</f>
        <v>A</v>
      </c>
      <c r="J295" s="247">
        <f>VLOOKUP(D295,[5]Hoja1!$G$267:$W$359,17,0)</f>
        <v>2426328</v>
      </c>
      <c r="K295" s="247">
        <f>VLOOKUP(D295,[5]Hoja1!$G$44:$I$358,3,0)</f>
        <v>84528</v>
      </c>
      <c r="L295" s="247">
        <f t="shared" si="17"/>
        <v>2341800</v>
      </c>
      <c r="M295" s="248"/>
      <c r="N295" s="248"/>
      <c r="O295" s="248"/>
      <c r="P295" s="248"/>
      <c r="Q295" s="248">
        <v>0</v>
      </c>
      <c r="R295" s="248">
        <v>0</v>
      </c>
      <c r="S295" s="248">
        <v>0</v>
      </c>
      <c r="T295" s="248">
        <v>0</v>
      </c>
      <c r="U295" s="248">
        <v>0</v>
      </c>
      <c r="V295" s="248"/>
      <c r="W295" s="248"/>
      <c r="X295" s="248"/>
      <c r="Y295" s="248">
        <v>0</v>
      </c>
      <c r="Z295" s="249">
        <v>3</v>
      </c>
      <c r="AA295" s="250">
        <v>35</v>
      </c>
      <c r="AB295" s="251">
        <v>44314</v>
      </c>
      <c r="AC295" s="252">
        <v>44327</v>
      </c>
      <c r="AD295" s="249"/>
      <c r="AE295" s="248"/>
      <c r="AF295" s="251"/>
      <c r="AG295" s="251"/>
      <c r="AH295" s="249"/>
      <c r="AI295" s="248"/>
      <c r="AJ295" s="251"/>
      <c r="AK295" s="248"/>
      <c r="AL295" s="249"/>
      <c r="AM295" s="248"/>
      <c r="AN295" s="248"/>
      <c r="AO295" s="248"/>
      <c r="AP295" s="248"/>
      <c r="AQ295" s="248"/>
      <c r="AR295" s="248"/>
      <c r="AS295" s="248"/>
      <c r="AT295" s="249"/>
      <c r="AU295" s="248"/>
      <c r="AV295" s="248"/>
      <c r="AW295" s="248"/>
      <c r="AX295" s="249"/>
      <c r="AY295" s="248"/>
      <c r="AZ295" s="248"/>
      <c r="BA295" s="248"/>
      <c r="BB295" s="248">
        <f t="shared" si="18"/>
        <v>3</v>
      </c>
      <c r="BC295" s="248">
        <f t="shared" si="16"/>
        <v>3</v>
      </c>
    </row>
    <row r="296" spans="2:55" s="39" customFormat="1" ht="23.25" customHeight="1">
      <c r="B296" s="22">
        <f t="shared" si="19"/>
        <v>280</v>
      </c>
      <c r="C296" s="22" t="s">
        <v>39</v>
      </c>
      <c r="D296" s="23">
        <v>30136961</v>
      </c>
      <c r="E296" s="48" t="s">
        <v>1004</v>
      </c>
      <c r="F296" s="48" t="s">
        <v>317</v>
      </c>
      <c r="G296" s="26" t="s">
        <v>683</v>
      </c>
      <c r="H296" s="48" t="s">
        <v>683</v>
      </c>
      <c r="I296" s="25" t="str">
        <f>VLOOKUP(D296,[5]Hoja1!$G$5:$H$360,2,0)</f>
        <v>A</v>
      </c>
      <c r="J296" s="247">
        <f>VLOOKUP(D296,[5]Hoja1!$G$267:$W$359,17,0)</f>
        <v>6674476</v>
      </c>
      <c r="K296" s="247">
        <f>VLOOKUP(D296,[5]Hoja1!$G$44:$I$358,3,0)</f>
        <v>4005861</v>
      </c>
      <c r="L296" s="247">
        <f t="shared" si="17"/>
        <v>2668615</v>
      </c>
      <c r="M296" s="248"/>
      <c r="N296" s="248"/>
      <c r="O296" s="248"/>
      <c r="P296" s="248">
        <v>0</v>
      </c>
      <c r="Q296" s="248">
        <v>130120.36</v>
      </c>
      <c r="R296" s="248">
        <v>0</v>
      </c>
      <c r="S296" s="248">
        <v>0</v>
      </c>
      <c r="T296" s="248">
        <v>0</v>
      </c>
      <c r="U296" s="248">
        <v>0</v>
      </c>
      <c r="V296" s="248"/>
      <c r="W296" s="248"/>
      <c r="X296" s="248"/>
      <c r="Y296" s="248">
        <v>130120.36</v>
      </c>
      <c r="Z296" s="249">
        <v>130125</v>
      </c>
      <c r="AA296" s="250">
        <v>35</v>
      </c>
      <c r="AB296" s="251">
        <v>44314</v>
      </c>
      <c r="AC296" s="252">
        <v>44327</v>
      </c>
      <c r="AD296" s="249"/>
      <c r="AE296" s="248"/>
      <c r="AF296" s="251"/>
      <c r="AG296" s="251"/>
      <c r="AH296" s="249"/>
      <c r="AI296" s="248"/>
      <c r="AJ296" s="251"/>
      <c r="AK296" s="248"/>
      <c r="AL296" s="249"/>
      <c r="AM296" s="248"/>
      <c r="AN296" s="248"/>
      <c r="AO296" s="248"/>
      <c r="AP296" s="248"/>
      <c r="AQ296" s="248"/>
      <c r="AR296" s="248"/>
      <c r="AS296" s="248"/>
      <c r="AT296" s="249"/>
      <c r="AU296" s="248"/>
      <c r="AV296" s="248"/>
      <c r="AW296" s="248"/>
      <c r="AX296" s="249"/>
      <c r="AY296" s="248"/>
      <c r="AZ296" s="248"/>
      <c r="BA296" s="248"/>
      <c r="BB296" s="248">
        <f t="shared" si="18"/>
        <v>130125</v>
      </c>
      <c r="BC296" s="248">
        <f t="shared" si="16"/>
        <v>4.6399999999994179</v>
      </c>
    </row>
    <row r="297" spans="2:55" s="39" customFormat="1" ht="23.25" customHeight="1">
      <c r="B297" s="22">
        <f t="shared" si="19"/>
        <v>281</v>
      </c>
      <c r="C297" s="22" t="s">
        <v>65</v>
      </c>
      <c r="D297" s="23">
        <v>30443973</v>
      </c>
      <c r="E297" s="48" t="s">
        <v>1005</v>
      </c>
      <c r="F297" s="48" t="s">
        <v>317</v>
      </c>
      <c r="G297" s="26" t="s">
        <v>683</v>
      </c>
      <c r="H297" s="48" t="s">
        <v>785</v>
      </c>
      <c r="I297" s="25" t="str">
        <f>VLOOKUP(D297,[5]Hoja1!$G$5:$H$360,2,0)</f>
        <v>A</v>
      </c>
      <c r="J297" s="247">
        <f>VLOOKUP(D297,[5]Hoja1!$G$267:$W$359,17,0)</f>
        <v>156844</v>
      </c>
      <c r="K297" s="247">
        <f>VLOOKUP(D297,[5]Hoja1!$G$44:$I$358,3,0)</f>
        <v>142615</v>
      </c>
      <c r="L297" s="247">
        <f t="shared" si="17"/>
        <v>14229</v>
      </c>
      <c r="M297" s="248"/>
      <c r="N297" s="248"/>
      <c r="O297" s="248"/>
      <c r="P297" s="248"/>
      <c r="Q297" s="248"/>
      <c r="R297" s="248"/>
      <c r="S297" s="248">
        <v>0</v>
      </c>
      <c r="T297" s="248">
        <v>0</v>
      </c>
      <c r="U297" s="248">
        <v>0</v>
      </c>
      <c r="V297" s="248"/>
      <c r="W297" s="248"/>
      <c r="X297" s="248"/>
      <c r="Y297" s="248">
        <v>0</v>
      </c>
      <c r="Z297" s="249">
        <v>1</v>
      </c>
      <c r="AA297" s="250">
        <v>39</v>
      </c>
      <c r="AB297" s="251">
        <v>44316</v>
      </c>
      <c r="AC297" s="252">
        <v>44330</v>
      </c>
      <c r="AD297" s="249"/>
      <c r="AE297" s="248"/>
      <c r="AF297" s="251"/>
      <c r="AG297" s="251"/>
      <c r="AH297" s="249"/>
      <c r="AI297" s="248"/>
      <c r="AJ297" s="251"/>
      <c r="AK297" s="248"/>
      <c r="AL297" s="249"/>
      <c r="AM297" s="248"/>
      <c r="AN297" s="248"/>
      <c r="AO297" s="248"/>
      <c r="AP297" s="248"/>
      <c r="AQ297" s="248"/>
      <c r="AR297" s="248"/>
      <c r="AS297" s="248"/>
      <c r="AT297" s="249"/>
      <c r="AU297" s="248"/>
      <c r="AV297" s="248"/>
      <c r="AW297" s="248"/>
      <c r="AX297" s="249"/>
      <c r="AY297" s="248"/>
      <c r="AZ297" s="248"/>
      <c r="BA297" s="248"/>
      <c r="BB297" s="248">
        <f t="shared" si="18"/>
        <v>1</v>
      </c>
      <c r="BC297" s="248">
        <f t="shared" si="16"/>
        <v>1</v>
      </c>
    </row>
    <row r="298" spans="2:55" s="39" customFormat="1" ht="23.25" customHeight="1">
      <c r="B298" s="22">
        <f t="shared" si="19"/>
        <v>282</v>
      </c>
      <c r="C298" s="22" t="s">
        <v>65</v>
      </c>
      <c r="D298" s="23">
        <v>40000975</v>
      </c>
      <c r="E298" s="48" t="s">
        <v>1006</v>
      </c>
      <c r="F298" s="48" t="s">
        <v>317</v>
      </c>
      <c r="G298" s="26" t="s">
        <v>683</v>
      </c>
      <c r="H298" s="48" t="s">
        <v>716</v>
      </c>
      <c r="I298" s="25" t="str">
        <f>VLOOKUP(D298,[5]Hoja1!$G$5:$H$360,2,0)</f>
        <v>A</v>
      </c>
      <c r="J298" s="247">
        <f>VLOOKUP(D298,[5]Hoja1!$G$267:$W$359,17,0)</f>
        <v>53215</v>
      </c>
      <c r="K298" s="247">
        <f>VLOOKUP(D298,[5]Hoja1!$G$44:$I$358,3,0)</f>
        <v>50572</v>
      </c>
      <c r="L298" s="247">
        <f t="shared" si="17"/>
        <v>2643</v>
      </c>
      <c r="M298" s="248"/>
      <c r="N298" s="248"/>
      <c r="O298" s="248"/>
      <c r="P298" s="248"/>
      <c r="Q298" s="248"/>
      <c r="R298" s="248"/>
      <c r="S298" s="248">
        <v>0</v>
      </c>
      <c r="T298" s="248">
        <v>0</v>
      </c>
      <c r="U298" s="248">
        <v>0</v>
      </c>
      <c r="V298" s="248"/>
      <c r="W298" s="248"/>
      <c r="X298" s="248"/>
      <c r="Y298" s="248">
        <v>0</v>
      </c>
      <c r="Z298" s="249">
        <v>2</v>
      </c>
      <c r="AA298" s="250">
        <v>39</v>
      </c>
      <c r="AB298" s="251">
        <v>44316</v>
      </c>
      <c r="AC298" s="252">
        <v>44330</v>
      </c>
      <c r="AD298" s="249"/>
      <c r="AE298" s="248"/>
      <c r="AF298" s="251"/>
      <c r="AG298" s="251"/>
      <c r="AH298" s="249"/>
      <c r="AI298" s="248"/>
      <c r="AJ298" s="251"/>
      <c r="AK298" s="248"/>
      <c r="AL298" s="249"/>
      <c r="AM298" s="248"/>
      <c r="AN298" s="248"/>
      <c r="AO298" s="248"/>
      <c r="AP298" s="248"/>
      <c r="AQ298" s="248"/>
      <c r="AR298" s="248"/>
      <c r="AS298" s="248"/>
      <c r="AT298" s="249"/>
      <c r="AU298" s="248"/>
      <c r="AV298" s="248"/>
      <c r="AW298" s="248"/>
      <c r="AX298" s="249"/>
      <c r="AY298" s="248"/>
      <c r="AZ298" s="248"/>
      <c r="BA298" s="248"/>
      <c r="BB298" s="248">
        <f t="shared" si="18"/>
        <v>2</v>
      </c>
      <c r="BC298" s="248">
        <f t="shared" si="16"/>
        <v>2</v>
      </c>
    </row>
    <row r="299" spans="2:55" s="39" customFormat="1" ht="23.25" customHeight="1">
      <c r="B299" s="22">
        <f t="shared" si="19"/>
        <v>283</v>
      </c>
      <c r="C299" s="22" t="s">
        <v>65</v>
      </c>
      <c r="D299" s="23">
        <v>30485939</v>
      </c>
      <c r="E299" s="48" t="s">
        <v>1007</v>
      </c>
      <c r="F299" s="48" t="s">
        <v>317</v>
      </c>
      <c r="G299" s="26" t="s">
        <v>683</v>
      </c>
      <c r="H299" s="48" t="s">
        <v>742</v>
      </c>
      <c r="I299" s="25" t="str">
        <f>VLOOKUP(D299,[5]Hoja1!$G$5:$H$360,2,0)</f>
        <v>A</v>
      </c>
      <c r="J299" s="247">
        <f>VLOOKUP(D299,[5]Hoja1!$G$267:$W$359,17,0)</f>
        <v>56788</v>
      </c>
      <c r="K299" s="247">
        <f>VLOOKUP(D299,[5]Hoja1!$G$44:$I$358,3,0)</f>
        <v>49068</v>
      </c>
      <c r="L299" s="247">
        <f t="shared" si="17"/>
        <v>7720</v>
      </c>
      <c r="M299" s="248"/>
      <c r="N299" s="248"/>
      <c r="O299" s="248"/>
      <c r="P299" s="248"/>
      <c r="Q299" s="248"/>
      <c r="R299" s="248"/>
      <c r="S299" s="248">
        <v>0</v>
      </c>
      <c r="T299" s="248">
        <v>0</v>
      </c>
      <c r="U299" s="248">
        <v>0</v>
      </c>
      <c r="V299" s="248"/>
      <c r="W299" s="248"/>
      <c r="X299" s="248"/>
      <c r="Y299" s="248">
        <v>0</v>
      </c>
      <c r="Z299" s="249">
        <v>2</v>
      </c>
      <c r="AA299" s="250">
        <v>39</v>
      </c>
      <c r="AB299" s="251">
        <v>44316</v>
      </c>
      <c r="AC299" s="252">
        <v>44330</v>
      </c>
      <c r="AD299" s="249"/>
      <c r="AE299" s="248"/>
      <c r="AF299" s="251"/>
      <c r="AG299" s="251"/>
      <c r="AH299" s="249"/>
      <c r="AI299" s="248"/>
      <c r="AJ299" s="251"/>
      <c r="AK299" s="248"/>
      <c r="AL299" s="249"/>
      <c r="AM299" s="248"/>
      <c r="AN299" s="248"/>
      <c r="AO299" s="248"/>
      <c r="AP299" s="248"/>
      <c r="AQ299" s="248"/>
      <c r="AR299" s="248"/>
      <c r="AS299" s="248"/>
      <c r="AT299" s="249"/>
      <c r="AU299" s="248"/>
      <c r="AV299" s="248"/>
      <c r="AW299" s="248"/>
      <c r="AX299" s="249"/>
      <c r="AY299" s="248"/>
      <c r="AZ299" s="248"/>
      <c r="BA299" s="248"/>
      <c r="BB299" s="248">
        <f t="shared" si="18"/>
        <v>2</v>
      </c>
      <c r="BC299" s="248">
        <f t="shared" si="16"/>
        <v>2</v>
      </c>
    </row>
    <row r="300" spans="2:55" s="39" customFormat="1" ht="23.25" customHeight="1">
      <c r="B300" s="22">
        <f t="shared" si="19"/>
        <v>284</v>
      </c>
      <c r="C300" s="22" t="s">
        <v>65</v>
      </c>
      <c r="D300" s="23">
        <v>30485993</v>
      </c>
      <c r="E300" s="48" t="s">
        <v>1008</v>
      </c>
      <c r="F300" s="48" t="s">
        <v>317</v>
      </c>
      <c r="G300" s="26" t="s">
        <v>683</v>
      </c>
      <c r="H300" s="48" t="s">
        <v>706</v>
      </c>
      <c r="I300" s="25" t="str">
        <f>VLOOKUP(D300,[5]Hoja1!$G$5:$H$360,2,0)</f>
        <v>A</v>
      </c>
      <c r="J300" s="247">
        <f>VLOOKUP(D300,[5]Hoja1!$G$267:$W$359,17,0)</f>
        <v>187360</v>
      </c>
      <c r="K300" s="247">
        <f>VLOOKUP(D300,[5]Hoja1!$G$44:$I$358,3,0)</f>
        <v>49677</v>
      </c>
      <c r="L300" s="247">
        <f t="shared" si="17"/>
        <v>137683</v>
      </c>
      <c r="M300" s="248"/>
      <c r="N300" s="248"/>
      <c r="O300" s="248"/>
      <c r="P300" s="248"/>
      <c r="Q300" s="248"/>
      <c r="R300" s="248"/>
      <c r="S300" s="248">
        <v>0</v>
      </c>
      <c r="T300" s="248">
        <v>0</v>
      </c>
      <c r="U300" s="248">
        <v>0</v>
      </c>
      <c r="V300" s="248"/>
      <c r="W300" s="248"/>
      <c r="X300" s="248"/>
      <c r="Y300" s="248">
        <v>0</v>
      </c>
      <c r="Z300" s="249">
        <v>1</v>
      </c>
      <c r="AA300" s="250">
        <v>39</v>
      </c>
      <c r="AB300" s="251">
        <v>44316</v>
      </c>
      <c r="AC300" s="252">
        <v>44330</v>
      </c>
      <c r="AD300" s="249"/>
      <c r="AE300" s="248"/>
      <c r="AF300" s="251"/>
      <c r="AG300" s="251"/>
      <c r="AH300" s="249"/>
      <c r="AI300" s="248"/>
      <c r="AJ300" s="251"/>
      <c r="AK300" s="248"/>
      <c r="AL300" s="249"/>
      <c r="AM300" s="248"/>
      <c r="AN300" s="248"/>
      <c r="AO300" s="248"/>
      <c r="AP300" s="248"/>
      <c r="AQ300" s="248"/>
      <c r="AR300" s="248"/>
      <c r="AS300" s="248"/>
      <c r="AT300" s="249"/>
      <c r="AU300" s="248"/>
      <c r="AV300" s="248"/>
      <c r="AW300" s="248"/>
      <c r="AX300" s="249"/>
      <c r="AY300" s="248"/>
      <c r="AZ300" s="248"/>
      <c r="BA300" s="248"/>
      <c r="BB300" s="248">
        <f t="shared" si="18"/>
        <v>1</v>
      </c>
      <c r="BC300" s="248">
        <f t="shared" si="16"/>
        <v>1</v>
      </c>
    </row>
    <row r="301" spans="2:55" s="39" customFormat="1" ht="23.25" customHeight="1">
      <c r="B301" s="22">
        <f t="shared" si="19"/>
        <v>285</v>
      </c>
      <c r="C301" s="22" t="s">
        <v>65</v>
      </c>
      <c r="D301" s="23">
        <v>40007873</v>
      </c>
      <c r="E301" s="48" t="s">
        <v>1009</v>
      </c>
      <c r="F301" s="48" t="s">
        <v>317</v>
      </c>
      <c r="G301" s="26" t="s">
        <v>683</v>
      </c>
      <c r="H301" s="48" t="s">
        <v>902</v>
      </c>
      <c r="I301" s="25" t="str">
        <f>VLOOKUP(D301,[5]Hoja1!$G$5:$H$360,2,0)</f>
        <v>N</v>
      </c>
      <c r="J301" s="247">
        <f>VLOOKUP(D301,[5]Hoja1!$G$267:$W$359,17,0)</f>
        <v>71006</v>
      </c>
      <c r="K301" s="247">
        <f>VLOOKUP(D301,[5]Hoja1!$G$44:$I$358,3,0)</f>
        <v>0</v>
      </c>
      <c r="L301" s="247">
        <f t="shared" si="17"/>
        <v>71006</v>
      </c>
      <c r="M301" s="248"/>
      <c r="N301" s="248"/>
      <c r="O301" s="248"/>
      <c r="P301" s="248"/>
      <c r="Q301" s="248"/>
      <c r="R301" s="248"/>
      <c r="S301" s="248">
        <v>0</v>
      </c>
      <c r="T301" s="248">
        <v>5981.25</v>
      </c>
      <c r="U301" s="248">
        <v>0</v>
      </c>
      <c r="V301" s="248"/>
      <c r="W301" s="248"/>
      <c r="X301" s="248"/>
      <c r="Y301" s="248">
        <v>5981.25</v>
      </c>
      <c r="Z301" s="249">
        <v>59813</v>
      </c>
      <c r="AA301" s="250">
        <v>39</v>
      </c>
      <c r="AB301" s="251">
        <v>44316</v>
      </c>
      <c r="AC301" s="252">
        <v>44330</v>
      </c>
      <c r="AD301" s="249"/>
      <c r="AE301" s="248"/>
      <c r="AF301" s="251"/>
      <c r="AG301" s="251"/>
      <c r="AH301" s="249"/>
      <c r="AI301" s="248"/>
      <c r="AJ301" s="251"/>
      <c r="AK301" s="248"/>
      <c r="AL301" s="249"/>
      <c r="AM301" s="248"/>
      <c r="AN301" s="248"/>
      <c r="AO301" s="248"/>
      <c r="AP301" s="248"/>
      <c r="AQ301" s="248"/>
      <c r="AR301" s="248"/>
      <c r="AS301" s="248"/>
      <c r="AT301" s="249"/>
      <c r="AU301" s="248"/>
      <c r="AV301" s="248"/>
      <c r="AW301" s="248"/>
      <c r="AX301" s="249"/>
      <c r="AY301" s="248"/>
      <c r="AZ301" s="248"/>
      <c r="BA301" s="248"/>
      <c r="BB301" s="248">
        <f t="shared" si="18"/>
        <v>59813</v>
      </c>
      <c r="BC301" s="248">
        <f t="shared" si="16"/>
        <v>53831.75</v>
      </c>
    </row>
    <row r="302" spans="2:55" s="39" customFormat="1" ht="23.25" customHeight="1">
      <c r="B302" s="22">
        <f t="shared" si="19"/>
        <v>286</v>
      </c>
      <c r="C302" s="22" t="s">
        <v>39</v>
      </c>
      <c r="D302" s="23">
        <v>30465048</v>
      </c>
      <c r="E302" s="48" t="s">
        <v>1010</v>
      </c>
      <c r="F302" s="48" t="s">
        <v>317</v>
      </c>
      <c r="G302" s="26" t="s">
        <v>683</v>
      </c>
      <c r="H302" s="48" t="s">
        <v>686</v>
      </c>
      <c r="I302" s="25" t="str">
        <f>VLOOKUP(D302,[5]Hoja1!$G$5:$H$360,2,0)</f>
        <v>A</v>
      </c>
      <c r="J302" s="247">
        <f>VLOOKUP(D302,[5]Hoja1!$G$267:$W$359,17,0)</f>
        <v>6241491</v>
      </c>
      <c r="K302" s="247">
        <f>VLOOKUP(D302,[5]Hoja1!$G$44:$I$358,3,0)</f>
        <v>6228157</v>
      </c>
      <c r="L302" s="247">
        <f t="shared" si="17"/>
        <v>13334</v>
      </c>
      <c r="M302" s="248"/>
      <c r="N302" s="248"/>
      <c r="O302" s="248"/>
      <c r="P302" s="248"/>
      <c r="Q302" s="248"/>
      <c r="R302" s="248"/>
      <c r="S302" s="248">
        <v>0</v>
      </c>
      <c r="T302" s="248">
        <v>0</v>
      </c>
      <c r="U302" s="248">
        <v>0</v>
      </c>
      <c r="V302" s="248"/>
      <c r="W302" s="248"/>
      <c r="X302" s="248"/>
      <c r="Y302" s="248">
        <v>0</v>
      </c>
      <c r="Z302" s="249">
        <v>1</v>
      </c>
      <c r="AA302" s="250">
        <v>39</v>
      </c>
      <c r="AB302" s="251">
        <v>44316</v>
      </c>
      <c r="AC302" s="252">
        <v>44330</v>
      </c>
      <c r="AD302" s="249"/>
      <c r="AE302" s="248"/>
      <c r="AF302" s="251"/>
      <c r="AG302" s="251"/>
      <c r="AH302" s="249"/>
      <c r="AI302" s="248"/>
      <c r="AJ302" s="251"/>
      <c r="AK302" s="248"/>
      <c r="AL302" s="249"/>
      <c r="AM302" s="248"/>
      <c r="AN302" s="248"/>
      <c r="AO302" s="248"/>
      <c r="AP302" s="248"/>
      <c r="AQ302" s="248"/>
      <c r="AR302" s="248"/>
      <c r="AS302" s="248"/>
      <c r="AT302" s="249"/>
      <c r="AU302" s="248"/>
      <c r="AV302" s="248"/>
      <c r="AW302" s="248"/>
      <c r="AX302" s="249"/>
      <c r="AY302" s="248"/>
      <c r="AZ302" s="248"/>
      <c r="BA302" s="248"/>
      <c r="BB302" s="248">
        <f t="shared" si="18"/>
        <v>1</v>
      </c>
      <c r="BC302" s="248">
        <f t="shared" si="16"/>
        <v>1</v>
      </c>
    </row>
    <row r="303" spans="2:55" s="39" customFormat="1" ht="23.25" customHeight="1">
      <c r="B303" s="22">
        <f t="shared" si="19"/>
        <v>287</v>
      </c>
      <c r="C303" s="22" t="s">
        <v>39</v>
      </c>
      <c r="D303" s="23">
        <v>30458866</v>
      </c>
      <c r="E303" s="48" t="s">
        <v>1011</v>
      </c>
      <c r="F303" s="48" t="s">
        <v>700</v>
      </c>
      <c r="G303" s="26" t="s">
        <v>683</v>
      </c>
      <c r="H303" s="48" t="s">
        <v>704</v>
      </c>
      <c r="I303" s="25" t="str">
        <f>VLOOKUP(D303,[5]Hoja1!$G$5:$H$360,2,0)</f>
        <v>A</v>
      </c>
      <c r="J303" s="247">
        <f>VLOOKUP(D303,[5]Hoja1!$G$267:$W$359,17,0)</f>
        <v>116434</v>
      </c>
      <c r="K303" s="247">
        <f>VLOOKUP(D303,[5]Hoja1!$G$44:$I$358,3,0)</f>
        <v>114771</v>
      </c>
      <c r="L303" s="247">
        <f t="shared" si="17"/>
        <v>1663</v>
      </c>
      <c r="M303" s="248"/>
      <c r="N303" s="248"/>
      <c r="O303" s="248"/>
      <c r="P303" s="248"/>
      <c r="Q303" s="248"/>
      <c r="R303" s="248"/>
      <c r="S303" s="248">
        <v>0</v>
      </c>
      <c r="T303" s="248">
        <v>0</v>
      </c>
      <c r="U303" s="248">
        <v>0</v>
      </c>
      <c r="V303" s="248"/>
      <c r="W303" s="248"/>
      <c r="X303" s="248"/>
      <c r="Y303" s="248">
        <v>0</v>
      </c>
      <c r="Z303" s="249">
        <v>1</v>
      </c>
      <c r="AA303" s="250">
        <v>39</v>
      </c>
      <c r="AB303" s="251">
        <v>44316</v>
      </c>
      <c r="AC303" s="252">
        <v>44330</v>
      </c>
      <c r="AD303" s="249">
        <v>1000</v>
      </c>
      <c r="AE303" s="248">
        <v>87</v>
      </c>
      <c r="AF303" s="251">
        <v>44439</v>
      </c>
      <c r="AG303" s="251">
        <v>44446</v>
      </c>
      <c r="AH303" s="249"/>
      <c r="AI303" s="248"/>
      <c r="AJ303" s="251"/>
      <c r="AK303" s="248"/>
      <c r="AL303" s="249"/>
      <c r="AM303" s="248"/>
      <c r="AN303" s="248"/>
      <c r="AO303" s="248"/>
      <c r="AP303" s="248"/>
      <c r="AQ303" s="248"/>
      <c r="AR303" s="248"/>
      <c r="AS303" s="248"/>
      <c r="AT303" s="249"/>
      <c r="AU303" s="248"/>
      <c r="AV303" s="248"/>
      <c r="AW303" s="248"/>
      <c r="AX303" s="249"/>
      <c r="AY303" s="248"/>
      <c r="AZ303" s="248"/>
      <c r="BA303" s="248"/>
      <c r="BB303" s="248">
        <f t="shared" si="18"/>
        <v>1001</v>
      </c>
      <c r="BC303" s="248">
        <f t="shared" si="16"/>
        <v>1001</v>
      </c>
    </row>
    <row r="304" spans="2:55" s="39" customFormat="1" ht="23.25" customHeight="1">
      <c r="B304" s="22">
        <f t="shared" si="19"/>
        <v>288</v>
      </c>
      <c r="C304" s="22" t="s">
        <v>39</v>
      </c>
      <c r="D304" s="23">
        <v>30273122</v>
      </c>
      <c r="E304" s="48" t="s">
        <v>1012</v>
      </c>
      <c r="F304" s="48" t="s">
        <v>317</v>
      </c>
      <c r="G304" s="26" t="s">
        <v>683</v>
      </c>
      <c r="H304" s="48" t="s">
        <v>812</v>
      </c>
      <c r="I304" s="25" t="str">
        <f>VLOOKUP(D304,[5]Hoja1!$G$5:$H$360,2,0)</f>
        <v>A</v>
      </c>
      <c r="J304" s="247">
        <f>VLOOKUP(D304,[5]Hoja1!$G$267:$W$359,17,0)</f>
        <v>393631</v>
      </c>
      <c r="K304" s="247">
        <f>VLOOKUP(D304,[5]Hoja1!$G$44:$I$358,3,0)</f>
        <v>351783</v>
      </c>
      <c r="L304" s="247">
        <f t="shared" si="17"/>
        <v>41848</v>
      </c>
      <c r="M304" s="248"/>
      <c r="N304" s="248"/>
      <c r="O304" s="248"/>
      <c r="P304" s="248"/>
      <c r="Q304" s="248"/>
      <c r="R304" s="248"/>
      <c r="S304" s="248">
        <v>0</v>
      </c>
      <c r="T304" s="248">
        <v>0</v>
      </c>
      <c r="U304" s="248">
        <v>0</v>
      </c>
      <c r="V304" s="248"/>
      <c r="W304" s="248"/>
      <c r="X304" s="248"/>
      <c r="Y304" s="248">
        <v>0</v>
      </c>
      <c r="Z304" s="249">
        <v>1</v>
      </c>
      <c r="AA304" s="250">
        <v>39</v>
      </c>
      <c r="AB304" s="251">
        <v>44316</v>
      </c>
      <c r="AC304" s="252">
        <v>44330</v>
      </c>
      <c r="AD304" s="249"/>
      <c r="AE304" s="248"/>
      <c r="AF304" s="251"/>
      <c r="AG304" s="251"/>
      <c r="AH304" s="249"/>
      <c r="AI304" s="248"/>
      <c r="AJ304" s="251"/>
      <c r="AK304" s="248"/>
      <c r="AL304" s="249"/>
      <c r="AM304" s="248"/>
      <c r="AN304" s="248"/>
      <c r="AO304" s="248"/>
      <c r="AP304" s="248"/>
      <c r="AQ304" s="248"/>
      <c r="AR304" s="248"/>
      <c r="AS304" s="248"/>
      <c r="AT304" s="249"/>
      <c r="AU304" s="248"/>
      <c r="AV304" s="248"/>
      <c r="AW304" s="248"/>
      <c r="AX304" s="249"/>
      <c r="AY304" s="248"/>
      <c r="AZ304" s="248"/>
      <c r="BA304" s="248"/>
      <c r="BB304" s="248">
        <f t="shared" si="18"/>
        <v>1</v>
      </c>
      <c r="BC304" s="248">
        <f t="shared" si="16"/>
        <v>1</v>
      </c>
    </row>
    <row r="305" spans="2:55" s="39" customFormat="1" ht="23.25" customHeight="1">
      <c r="B305" s="22">
        <f t="shared" si="19"/>
        <v>289</v>
      </c>
      <c r="C305" s="22" t="s">
        <v>39</v>
      </c>
      <c r="D305" s="23">
        <v>40003284</v>
      </c>
      <c r="E305" s="48" t="s">
        <v>1013</v>
      </c>
      <c r="F305" s="48" t="s">
        <v>317</v>
      </c>
      <c r="G305" s="26" t="s">
        <v>683</v>
      </c>
      <c r="H305" s="48" t="s">
        <v>832</v>
      </c>
      <c r="I305" s="25" t="str">
        <f>VLOOKUP(D305,[5]Hoja1!$G$5:$H$360,2,0)</f>
        <v>A</v>
      </c>
      <c r="J305" s="247">
        <f>VLOOKUP(D305,[5]Hoja1!$G$267:$W$359,17,0)</f>
        <v>102218</v>
      </c>
      <c r="K305" s="247">
        <f>VLOOKUP(D305,[5]Hoja1!$G$44:$I$358,3,0)</f>
        <v>95020</v>
      </c>
      <c r="L305" s="247">
        <f t="shared" si="17"/>
        <v>7198</v>
      </c>
      <c r="M305" s="248"/>
      <c r="N305" s="248"/>
      <c r="O305" s="248"/>
      <c r="P305" s="248"/>
      <c r="Q305" s="248"/>
      <c r="R305" s="248"/>
      <c r="S305" s="248">
        <v>0</v>
      </c>
      <c r="T305" s="248">
        <v>0</v>
      </c>
      <c r="U305" s="248">
        <v>0</v>
      </c>
      <c r="V305" s="248"/>
      <c r="W305" s="248"/>
      <c r="X305" s="248"/>
      <c r="Y305" s="248">
        <v>0</v>
      </c>
      <c r="Z305" s="249">
        <v>2</v>
      </c>
      <c r="AA305" s="250">
        <v>39</v>
      </c>
      <c r="AB305" s="251">
        <v>44316</v>
      </c>
      <c r="AC305" s="252">
        <v>44330</v>
      </c>
      <c r="AD305" s="249"/>
      <c r="AE305" s="248"/>
      <c r="AF305" s="251"/>
      <c r="AG305" s="251"/>
      <c r="AH305" s="249"/>
      <c r="AI305" s="248"/>
      <c r="AJ305" s="251"/>
      <c r="AK305" s="248"/>
      <c r="AL305" s="249"/>
      <c r="AM305" s="248"/>
      <c r="AN305" s="248"/>
      <c r="AO305" s="248"/>
      <c r="AP305" s="248"/>
      <c r="AQ305" s="248"/>
      <c r="AR305" s="248"/>
      <c r="AS305" s="248"/>
      <c r="AT305" s="249"/>
      <c r="AU305" s="248"/>
      <c r="AV305" s="248"/>
      <c r="AW305" s="248"/>
      <c r="AX305" s="249"/>
      <c r="AY305" s="248"/>
      <c r="AZ305" s="248"/>
      <c r="BA305" s="248"/>
      <c r="BB305" s="248">
        <f t="shared" si="18"/>
        <v>2</v>
      </c>
      <c r="BC305" s="248">
        <f t="shared" si="16"/>
        <v>2</v>
      </c>
    </row>
    <row r="306" spans="2:55" s="39" customFormat="1" ht="23.25" customHeight="1">
      <c r="B306" s="22">
        <f t="shared" si="19"/>
        <v>290</v>
      </c>
      <c r="C306" s="22" t="s">
        <v>39</v>
      </c>
      <c r="D306" s="23">
        <v>30104012</v>
      </c>
      <c r="E306" s="48" t="s">
        <v>1014</v>
      </c>
      <c r="F306" s="48" t="s">
        <v>317</v>
      </c>
      <c r="G306" s="26" t="s">
        <v>683</v>
      </c>
      <c r="H306" s="48" t="s">
        <v>745</v>
      </c>
      <c r="I306" s="25" t="str">
        <f>VLOOKUP(D306,[5]Hoja1!$G$5:$H$360,2,0)</f>
        <v>A</v>
      </c>
      <c r="J306" s="247">
        <f>VLOOKUP(D306,[5]Hoja1!$G$267:$W$359,17,0)</f>
        <v>2477002</v>
      </c>
      <c r="K306" s="247">
        <f>VLOOKUP(D306,[5]Hoja1!$G$44:$I$358,3,0)</f>
        <v>2255681</v>
      </c>
      <c r="L306" s="247">
        <f t="shared" si="17"/>
        <v>221321</v>
      </c>
      <c r="M306" s="248"/>
      <c r="N306" s="248"/>
      <c r="O306" s="248"/>
      <c r="P306" s="248"/>
      <c r="Q306" s="248"/>
      <c r="R306" s="248"/>
      <c r="S306" s="248">
        <v>0</v>
      </c>
      <c r="T306" s="248">
        <v>0</v>
      </c>
      <c r="U306" s="248">
        <v>0</v>
      </c>
      <c r="V306" s="248"/>
      <c r="W306" s="248"/>
      <c r="X306" s="248"/>
      <c r="Y306" s="248">
        <v>0</v>
      </c>
      <c r="Z306" s="249">
        <v>2</v>
      </c>
      <c r="AA306" s="250">
        <v>39</v>
      </c>
      <c r="AB306" s="251">
        <v>44316</v>
      </c>
      <c r="AC306" s="252">
        <v>44330</v>
      </c>
      <c r="AD306" s="249"/>
      <c r="AE306" s="248"/>
      <c r="AF306" s="251"/>
      <c r="AG306" s="251"/>
      <c r="AH306" s="249"/>
      <c r="AI306" s="248"/>
      <c r="AJ306" s="251"/>
      <c r="AK306" s="248"/>
      <c r="AL306" s="249"/>
      <c r="AM306" s="248"/>
      <c r="AN306" s="248"/>
      <c r="AO306" s="248"/>
      <c r="AP306" s="248"/>
      <c r="AQ306" s="248"/>
      <c r="AR306" s="248"/>
      <c r="AS306" s="248"/>
      <c r="AT306" s="249"/>
      <c r="AU306" s="248"/>
      <c r="AV306" s="248"/>
      <c r="AW306" s="248"/>
      <c r="AX306" s="249"/>
      <c r="AY306" s="248"/>
      <c r="AZ306" s="248"/>
      <c r="BA306" s="248"/>
      <c r="BB306" s="248">
        <f t="shared" si="18"/>
        <v>2</v>
      </c>
      <c r="BC306" s="248">
        <f t="shared" si="16"/>
        <v>2</v>
      </c>
    </row>
    <row r="307" spans="2:55" s="39" customFormat="1" ht="23.25" customHeight="1">
      <c r="B307" s="22">
        <f t="shared" si="19"/>
        <v>291</v>
      </c>
      <c r="C307" s="22" t="s">
        <v>39</v>
      </c>
      <c r="D307" s="23">
        <v>30469836</v>
      </c>
      <c r="E307" s="48" t="s">
        <v>1015</v>
      </c>
      <c r="F307" s="48" t="s">
        <v>317</v>
      </c>
      <c r="G307" s="26" t="s">
        <v>683</v>
      </c>
      <c r="H307" s="48" t="s">
        <v>830</v>
      </c>
      <c r="I307" s="25" t="str">
        <f>VLOOKUP(D307,[5]Hoja1!$G$5:$H$360,2,0)</f>
        <v>A</v>
      </c>
      <c r="J307" s="247">
        <f>VLOOKUP(D307,[5]Hoja1!$G$267:$W$359,17,0)</f>
        <v>484660</v>
      </c>
      <c r="K307" s="247">
        <f>VLOOKUP(D307,[5]Hoja1!$G$44:$I$358,3,0)</f>
        <v>471189</v>
      </c>
      <c r="L307" s="247">
        <f t="shared" si="17"/>
        <v>13471</v>
      </c>
      <c r="M307" s="248"/>
      <c r="N307" s="248"/>
      <c r="O307" s="248"/>
      <c r="P307" s="248"/>
      <c r="Q307" s="248"/>
      <c r="R307" s="248"/>
      <c r="S307" s="248">
        <v>0</v>
      </c>
      <c r="T307" s="248">
        <v>0</v>
      </c>
      <c r="U307" s="248">
        <v>0</v>
      </c>
      <c r="V307" s="248"/>
      <c r="W307" s="248"/>
      <c r="X307" s="248"/>
      <c r="Y307" s="248">
        <v>0</v>
      </c>
      <c r="Z307" s="249">
        <v>3</v>
      </c>
      <c r="AA307" s="250">
        <v>39</v>
      </c>
      <c r="AB307" s="251">
        <v>44316</v>
      </c>
      <c r="AC307" s="252">
        <v>44330</v>
      </c>
      <c r="AD307" s="249"/>
      <c r="AE307" s="248"/>
      <c r="AF307" s="251"/>
      <c r="AG307" s="251"/>
      <c r="AH307" s="249"/>
      <c r="AI307" s="248"/>
      <c r="AJ307" s="251"/>
      <c r="AK307" s="248"/>
      <c r="AL307" s="249"/>
      <c r="AM307" s="248"/>
      <c r="AN307" s="248"/>
      <c r="AO307" s="248"/>
      <c r="AP307" s="248"/>
      <c r="AQ307" s="248"/>
      <c r="AR307" s="248"/>
      <c r="AS307" s="248"/>
      <c r="AT307" s="249"/>
      <c r="AU307" s="248"/>
      <c r="AV307" s="248"/>
      <c r="AW307" s="248"/>
      <c r="AX307" s="249"/>
      <c r="AY307" s="248"/>
      <c r="AZ307" s="248"/>
      <c r="BA307" s="248"/>
      <c r="BB307" s="248">
        <f t="shared" si="18"/>
        <v>3</v>
      </c>
      <c r="BC307" s="248">
        <f t="shared" si="16"/>
        <v>3</v>
      </c>
    </row>
    <row r="308" spans="2:55" s="39" customFormat="1" ht="23.25" customHeight="1">
      <c r="B308" s="22">
        <f t="shared" si="19"/>
        <v>292</v>
      </c>
      <c r="C308" s="22" t="s">
        <v>39</v>
      </c>
      <c r="D308" s="23">
        <v>30128325</v>
      </c>
      <c r="E308" s="48" t="s">
        <v>1016</v>
      </c>
      <c r="F308" s="48" t="s">
        <v>317</v>
      </c>
      <c r="G308" s="26" t="s">
        <v>683</v>
      </c>
      <c r="H308" s="48" t="s">
        <v>732</v>
      </c>
      <c r="I308" s="25" t="str">
        <f>VLOOKUP(D308,[5]Hoja1!$G$5:$H$360,2,0)</f>
        <v>A</v>
      </c>
      <c r="J308" s="247">
        <f>VLOOKUP(D308,[5]Hoja1!$G$267:$W$359,17,0)</f>
        <v>3542751</v>
      </c>
      <c r="K308" s="247">
        <f>VLOOKUP(D308,[5]Hoja1!$G$44:$I$358,3,0)</f>
        <v>3321907</v>
      </c>
      <c r="L308" s="247">
        <f t="shared" si="17"/>
        <v>220844</v>
      </c>
      <c r="M308" s="248"/>
      <c r="N308" s="248"/>
      <c r="O308" s="248"/>
      <c r="P308" s="248"/>
      <c r="Q308" s="248"/>
      <c r="R308" s="248"/>
      <c r="S308" s="248">
        <v>0</v>
      </c>
      <c r="T308" s="248">
        <v>0</v>
      </c>
      <c r="U308" s="248">
        <v>0</v>
      </c>
      <c r="V308" s="248"/>
      <c r="W308" s="248"/>
      <c r="X308" s="248"/>
      <c r="Y308" s="248">
        <v>0</v>
      </c>
      <c r="Z308" s="249">
        <v>2</v>
      </c>
      <c r="AA308" s="250">
        <v>39</v>
      </c>
      <c r="AB308" s="251">
        <v>44316</v>
      </c>
      <c r="AC308" s="252">
        <v>44330</v>
      </c>
      <c r="AD308" s="249"/>
      <c r="AE308" s="248"/>
      <c r="AF308" s="251"/>
      <c r="AG308" s="251"/>
      <c r="AH308" s="249"/>
      <c r="AI308" s="248"/>
      <c r="AJ308" s="251"/>
      <c r="AK308" s="248"/>
      <c r="AL308" s="249"/>
      <c r="AM308" s="248"/>
      <c r="AN308" s="248"/>
      <c r="AO308" s="248"/>
      <c r="AP308" s="248"/>
      <c r="AQ308" s="248"/>
      <c r="AR308" s="248"/>
      <c r="AS308" s="248"/>
      <c r="AT308" s="249"/>
      <c r="AU308" s="248"/>
      <c r="AV308" s="248"/>
      <c r="AW308" s="248"/>
      <c r="AX308" s="249"/>
      <c r="AY308" s="248"/>
      <c r="AZ308" s="248"/>
      <c r="BA308" s="248"/>
      <c r="BB308" s="248">
        <f t="shared" si="18"/>
        <v>2</v>
      </c>
      <c r="BC308" s="248">
        <f t="shared" si="16"/>
        <v>2</v>
      </c>
    </row>
    <row r="309" spans="2:55" s="39" customFormat="1" ht="23.25" customHeight="1">
      <c r="B309" s="22">
        <f t="shared" si="19"/>
        <v>293</v>
      </c>
      <c r="C309" s="22" t="s">
        <v>39</v>
      </c>
      <c r="D309" s="23">
        <v>30387723</v>
      </c>
      <c r="E309" s="48" t="s">
        <v>1017</v>
      </c>
      <c r="F309" s="48" t="s">
        <v>317</v>
      </c>
      <c r="G309" s="26" t="s">
        <v>683</v>
      </c>
      <c r="H309" s="48" t="s">
        <v>758</v>
      </c>
      <c r="I309" s="25" t="str">
        <f>VLOOKUP(D309,[5]Hoja1!$G$5:$H$360,2,0)</f>
        <v>A</v>
      </c>
      <c r="J309" s="247">
        <f>VLOOKUP(D309,[5]Hoja1!$G$267:$W$359,17,0)</f>
        <v>609967</v>
      </c>
      <c r="K309" s="247">
        <f>VLOOKUP(D309,[5]Hoja1!$G$44:$I$358,3,0)</f>
        <v>588650</v>
      </c>
      <c r="L309" s="247">
        <f t="shared" si="17"/>
        <v>21317</v>
      </c>
      <c r="M309" s="248"/>
      <c r="N309" s="248"/>
      <c r="O309" s="248"/>
      <c r="P309" s="248"/>
      <c r="Q309" s="248"/>
      <c r="R309" s="248"/>
      <c r="S309" s="248">
        <v>0</v>
      </c>
      <c r="T309" s="248">
        <v>0</v>
      </c>
      <c r="U309" s="248">
        <v>0</v>
      </c>
      <c r="V309" s="248"/>
      <c r="W309" s="248"/>
      <c r="X309" s="248"/>
      <c r="Y309" s="248">
        <v>0</v>
      </c>
      <c r="Z309" s="249">
        <v>1</v>
      </c>
      <c r="AA309" s="250">
        <v>39</v>
      </c>
      <c r="AB309" s="251">
        <v>44316</v>
      </c>
      <c r="AC309" s="252">
        <v>44330</v>
      </c>
      <c r="AD309" s="249"/>
      <c r="AE309" s="248"/>
      <c r="AF309" s="251"/>
      <c r="AG309" s="251"/>
      <c r="AH309" s="249"/>
      <c r="AI309" s="248"/>
      <c r="AJ309" s="251"/>
      <c r="AK309" s="248"/>
      <c r="AL309" s="249"/>
      <c r="AM309" s="248"/>
      <c r="AN309" s="248"/>
      <c r="AO309" s="248"/>
      <c r="AP309" s="248"/>
      <c r="AQ309" s="248"/>
      <c r="AR309" s="248"/>
      <c r="AS309" s="248"/>
      <c r="AT309" s="249"/>
      <c r="AU309" s="248"/>
      <c r="AV309" s="248"/>
      <c r="AW309" s="248"/>
      <c r="AX309" s="249"/>
      <c r="AY309" s="248"/>
      <c r="AZ309" s="248"/>
      <c r="BA309" s="248"/>
      <c r="BB309" s="248">
        <f t="shared" si="18"/>
        <v>1</v>
      </c>
      <c r="BC309" s="248">
        <f t="shared" si="16"/>
        <v>1</v>
      </c>
    </row>
    <row r="310" spans="2:55" s="39" customFormat="1" ht="23.25" customHeight="1">
      <c r="B310" s="22">
        <f t="shared" si="19"/>
        <v>294</v>
      </c>
      <c r="C310" s="22" t="s">
        <v>39</v>
      </c>
      <c r="D310" s="23">
        <v>30408824</v>
      </c>
      <c r="E310" s="48" t="s">
        <v>1018</v>
      </c>
      <c r="F310" s="48" t="s">
        <v>317</v>
      </c>
      <c r="G310" s="26" t="s">
        <v>683</v>
      </c>
      <c r="H310" s="48" t="s">
        <v>758</v>
      </c>
      <c r="I310" s="25" t="str">
        <f>VLOOKUP(D310,[5]Hoja1!$G$5:$H$360,2,0)</f>
        <v>A</v>
      </c>
      <c r="J310" s="247">
        <f>VLOOKUP(D310,[5]Hoja1!$G$267:$W$359,17,0)</f>
        <v>336254</v>
      </c>
      <c r="K310" s="247">
        <f>VLOOKUP(D310,[5]Hoja1!$G$44:$I$358,3,0)</f>
        <v>272278</v>
      </c>
      <c r="L310" s="247">
        <f t="shared" si="17"/>
        <v>63976</v>
      </c>
      <c r="M310" s="248"/>
      <c r="N310" s="248"/>
      <c r="O310" s="248"/>
      <c r="P310" s="248"/>
      <c r="Q310" s="248"/>
      <c r="R310" s="248"/>
      <c r="S310" s="248">
        <v>0</v>
      </c>
      <c r="T310" s="248">
        <v>0</v>
      </c>
      <c r="U310" s="248">
        <v>0</v>
      </c>
      <c r="V310" s="248"/>
      <c r="W310" s="248"/>
      <c r="X310" s="248"/>
      <c r="Y310" s="248">
        <v>0</v>
      </c>
      <c r="Z310" s="249">
        <v>2</v>
      </c>
      <c r="AA310" s="250">
        <v>39</v>
      </c>
      <c r="AB310" s="251">
        <v>44316</v>
      </c>
      <c r="AC310" s="252">
        <v>44330</v>
      </c>
      <c r="AD310" s="249"/>
      <c r="AE310" s="248"/>
      <c r="AF310" s="251"/>
      <c r="AG310" s="251"/>
      <c r="AH310" s="249"/>
      <c r="AI310" s="248"/>
      <c r="AJ310" s="251"/>
      <c r="AK310" s="248"/>
      <c r="AL310" s="249"/>
      <c r="AM310" s="248"/>
      <c r="AN310" s="248"/>
      <c r="AO310" s="248"/>
      <c r="AP310" s="248"/>
      <c r="AQ310" s="248"/>
      <c r="AR310" s="248"/>
      <c r="AS310" s="248"/>
      <c r="AT310" s="249"/>
      <c r="AU310" s="248"/>
      <c r="AV310" s="248"/>
      <c r="AW310" s="248"/>
      <c r="AX310" s="249"/>
      <c r="AY310" s="248"/>
      <c r="AZ310" s="248"/>
      <c r="BA310" s="248"/>
      <c r="BB310" s="248">
        <f t="shared" si="18"/>
        <v>2</v>
      </c>
      <c r="BC310" s="248">
        <f t="shared" si="16"/>
        <v>2</v>
      </c>
    </row>
    <row r="311" spans="2:55" s="39" customFormat="1" ht="23.25" customHeight="1">
      <c r="B311" s="22">
        <f t="shared" si="19"/>
        <v>295</v>
      </c>
      <c r="C311" s="22" t="s">
        <v>39</v>
      </c>
      <c r="D311" s="23">
        <v>30404676</v>
      </c>
      <c r="E311" s="48" t="s">
        <v>1019</v>
      </c>
      <c r="F311" s="48" t="s">
        <v>317</v>
      </c>
      <c r="G311" s="26" t="s">
        <v>683</v>
      </c>
      <c r="H311" s="48" t="s">
        <v>688</v>
      </c>
      <c r="I311" s="25" t="str">
        <f>VLOOKUP(D311,[5]Hoja1!$G$5:$H$360,2,0)</f>
        <v>A</v>
      </c>
      <c r="J311" s="247">
        <f>VLOOKUP(D311,[5]Hoja1!$G$267:$W$359,17,0)</f>
        <v>1388170</v>
      </c>
      <c r="K311" s="247">
        <f>VLOOKUP(D311,[5]Hoja1!$G$44:$I$358,3,0)</f>
        <v>1374363</v>
      </c>
      <c r="L311" s="247">
        <f t="shared" si="17"/>
        <v>13807</v>
      </c>
      <c r="M311" s="248"/>
      <c r="N311" s="248"/>
      <c r="O311" s="248"/>
      <c r="P311" s="248"/>
      <c r="Q311" s="248"/>
      <c r="R311" s="248"/>
      <c r="S311" s="248">
        <v>0</v>
      </c>
      <c r="T311" s="248">
        <v>0</v>
      </c>
      <c r="U311" s="248">
        <v>0</v>
      </c>
      <c r="V311" s="248"/>
      <c r="W311" s="248"/>
      <c r="X311" s="248"/>
      <c r="Y311" s="248">
        <v>0</v>
      </c>
      <c r="Z311" s="249">
        <v>2</v>
      </c>
      <c r="AA311" s="250">
        <v>39</v>
      </c>
      <c r="AB311" s="251">
        <v>44316</v>
      </c>
      <c r="AC311" s="252">
        <v>44330</v>
      </c>
      <c r="AD311" s="249"/>
      <c r="AE311" s="248"/>
      <c r="AF311" s="251"/>
      <c r="AG311" s="251"/>
      <c r="AH311" s="249"/>
      <c r="AI311" s="248"/>
      <c r="AJ311" s="251"/>
      <c r="AK311" s="248"/>
      <c r="AL311" s="249"/>
      <c r="AM311" s="248"/>
      <c r="AN311" s="248"/>
      <c r="AO311" s="248"/>
      <c r="AP311" s="248"/>
      <c r="AQ311" s="248"/>
      <c r="AR311" s="248"/>
      <c r="AS311" s="248"/>
      <c r="AT311" s="249"/>
      <c r="AU311" s="248"/>
      <c r="AV311" s="248"/>
      <c r="AW311" s="248"/>
      <c r="AX311" s="249"/>
      <c r="AY311" s="248"/>
      <c r="AZ311" s="248"/>
      <c r="BA311" s="248"/>
      <c r="BB311" s="248">
        <f t="shared" si="18"/>
        <v>2</v>
      </c>
      <c r="BC311" s="248">
        <f t="shared" si="16"/>
        <v>2</v>
      </c>
    </row>
    <row r="312" spans="2:55" s="39" customFormat="1" ht="23.25" customHeight="1">
      <c r="B312" s="22">
        <f t="shared" si="19"/>
        <v>296</v>
      </c>
      <c r="C312" s="22" t="s">
        <v>39</v>
      </c>
      <c r="D312" s="23">
        <v>30486848</v>
      </c>
      <c r="E312" s="48" t="s">
        <v>1020</v>
      </c>
      <c r="F312" s="48" t="s">
        <v>317</v>
      </c>
      <c r="G312" s="26" t="s">
        <v>683</v>
      </c>
      <c r="H312" s="48" t="s">
        <v>781</v>
      </c>
      <c r="I312" s="25" t="str">
        <f>VLOOKUP(D312,[5]Hoja1!$G$5:$H$360,2,0)</f>
        <v>A</v>
      </c>
      <c r="J312" s="247">
        <f>VLOOKUP(D312,[5]Hoja1!$G$267:$W$359,17,0)</f>
        <v>287825</v>
      </c>
      <c r="K312" s="247">
        <f>VLOOKUP(D312,[5]Hoja1!$G$44:$I$358,3,0)</f>
        <v>250850</v>
      </c>
      <c r="L312" s="247">
        <f t="shared" si="17"/>
        <v>36975</v>
      </c>
      <c r="M312" s="248"/>
      <c r="N312" s="248"/>
      <c r="O312" s="248"/>
      <c r="P312" s="248"/>
      <c r="Q312" s="248"/>
      <c r="R312" s="248"/>
      <c r="S312" s="248">
        <v>0</v>
      </c>
      <c r="T312" s="248">
        <v>0</v>
      </c>
      <c r="U312" s="248">
        <v>0</v>
      </c>
      <c r="V312" s="248"/>
      <c r="W312" s="248"/>
      <c r="X312" s="248"/>
      <c r="Y312" s="248">
        <v>0</v>
      </c>
      <c r="Z312" s="249">
        <v>2</v>
      </c>
      <c r="AA312" s="250">
        <v>39</v>
      </c>
      <c r="AB312" s="251">
        <v>44316</v>
      </c>
      <c r="AC312" s="252">
        <v>44330</v>
      </c>
      <c r="AD312" s="249"/>
      <c r="AE312" s="248"/>
      <c r="AF312" s="251"/>
      <c r="AG312" s="251"/>
      <c r="AH312" s="249"/>
      <c r="AI312" s="248"/>
      <c r="AJ312" s="251"/>
      <c r="AK312" s="248"/>
      <c r="AL312" s="249"/>
      <c r="AM312" s="248"/>
      <c r="AN312" s="248"/>
      <c r="AO312" s="248"/>
      <c r="AP312" s="248"/>
      <c r="AQ312" s="248"/>
      <c r="AR312" s="248"/>
      <c r="AS312" s="248"/>
      <c r="AT312" s="249"/>
      <c r="AU312" s="248"/>
      <c r="AV312" s="248"/>
      <c r="AW312" s="248"/>
      <c r="AX312" s="249"/>
      <c r="AY312" s="248"/>
      <c r="AZ312" s="248"/>
      <c r="BA312" s="248"/>
      <c r="BB312" s="248">
        <f t="shared" si="18"/>
        <v>2</v>
      </c>
      <c r="BC312" s="248">
        <f t="shared" si="16"/>
        <v>2</v>
      </c>
    </row>
    <row r="313" spans="2:55" s="39" customFormat="1" ht="23.25" customHeight="1">
      <c r="B313" s="22">
        <f t="shared" si="19"/>
        <v>297</v>
      </c>
      <c r="C313" s="22" t="s">
        <v>39</v>
      </c>
      <c r="D313" s="23">
        <v>30486910</v>
      </c>
      <c r="E313" s="48" t="s">
        <v>1021</v>
      </c>
      <c r="F313" s="48" t="s">
        <v>317</v>
      </c>
      <c r="G313" s="26" t="s">
        <v>683</v>
      </c>
      <c r="H313" s="48" t="s">
        <v>781</v>
      </c>
      <c r="I313" s="25" t="str">
        <f>VLOOKUP(D313,[5]Hoja1!$G$5:$H$360,2,0)</f>
        <v>A</v>
      </c>
      <c r="J313" s="247">
        <f>VLOOKUP(D313,[5]Hoja1!$G$267:$W$359,17,0)</f>
        <v>286461</v>
      </c>
      <c r="K313" s="247">
        <f>VLOOKUP(D313,[5]Hoja1!$G$44:$I$358,3,0)</f>
        <v>242283</v>
      </c>
      <c r="L313" s="247">
        <f t="shared" si="17"/>
        <v>44178</v>
      </c>
      <c r="M313" s="248"/>
      <c r="N313" s="248"/>
      <c r="O313" s="248"/>
      <c r="P313" s="248"/>
      <c r="Q313" s="248"/>
      <c r="R313" s="248"/>
      <c r="S313" s="248">
        <v>0</v>
      </c>
      <c r="T313" s="248">
        <v>0</v>
      </c>
      <c r="U313" s="248">
        <v>0</v>
      </c>
      <c r="V313" s="248"/>
      <c r="W313" s="248"/>
      <c r="X313" s="248"/>
      <c r="Y313" s="248">
        <v>0</v>
      </c>
      <c r="Z313" s="249">
        <v>3</v>
      </c>
      <c r="AA313" s="250">
        <v>39</v>
      </c>
      <c r="AB313" s="251">
        <v>44316</v>
      </c>
      <c r="AC313" s="252">
        <v>44330</v>
      </c>
      <c r="AD313" s="249"/>
      <c r="AE313" s="248"/>
      <c r="AF313" s="251"/>
      <c r="AG313" s="251"/>
      <c r="AH313" s="249"/>
      <c r="AI313" s="248"/>
      <c r="AJ313" s="251"/>
      <c r="AK313" s="248"/>
      <c r="AL313" s="249"/>
      <c r="AM313" s="248"/>
      <c r="AN313" s="248"/>
      <c r="AO313" s="248"/>
      <c r="AP313" s="248"/>
      <c r="AQ313" s="248"/>
      <c r="AR313" s="248"/>
      <c r="AS313" s="248"/>
      <c r="AT313" s="249"/>
      <c r="AU313" s="248"/>
      <c r="AV313" s="248"/>
      <c r="AW313" s="248"/>
      <c r="AX313" s="249"/>
      <c r="AY313" s="248"/>
      <c r="AZ313" s="248"/>
      <c r="BA313" s="248"/>
      <c r="BB313" s="248">
        <f t="shared" si="18"/>
        <v>3</v>
      </c>
      <c r="BC313" s="248">
        <f t="shared" si="16"/>
        <v>3</v>
      </c>
    </row>
    <row r="314" spans="2:55" s="39" customFormat="1" ht="23.25" customHeight="1">
      <c r="B314" s="22">
        <f t="shared" si="19"/>
        <v>298</v>
      </c>
      <c r="C314" s="22" t="s">
        <v>39</v>
      </c>
      <c r="D314" s="23">
        <v>30425222</v>
      </c>
      <c r="E314" s="48" t="s">
        <v>1022</v>
      </c>
      <c r="F314" s="48" t="s">
        <v>83</v>
      </c>
      <c r="G314" s="26" t="s">
        <v>683</v>
      </c>
      <c r="H314" s="48" t="s">
        <v>683</v>
      </c>
      <c r="I314" s="25" t="str">
        <f>VLOOKUP(D314,[5]Hoja1!$G$5:$H$360,2,0)</f>
        <v>A</v>
      </c>
      <c r="J314" s="247">
        <f>VLOOKUP(D314,[5]Hoja1!$G$267:$W$359,17,0)</f>
        <v>153875</v>
      </c>
      <c r="K314" s="247">
        <f>VLOOKUP(D314,[5]Hoja1!$G$44:$I$358,3,0)</f>
        <v>136990</v>
      </c>
      <c r="L314" s="247">
        <f t="shared" si="17"/>
        <v>16885</v>
      </c>
      <c r="M314" s="248"/>
      <c r="N314" s="248"/>
      <c r="O314" s="248"/>
      <c r="P314" s="248"/>
      <c r="Q314" s="248"/>
      <c r="R314" s="248"/>
      <c r="S314" s="248">
        <v>0</v>
      </c>
      <c r="T314" s="248">
        <v>0</v>
      </c>
      <c r="U314" s="248">
        <v>0</v>
      </c>
      <c r="V314" s="248"/>
      <c r="W314" s="248"/>
      <c r="X314" s="248"/>
      <c r="Y314" s="248">
        <v>0</v>
      </c>
      <c r="Z314" s="249">
        <v>2</v>
      </c>
      <c r="AA314" s="250">
        <v>39</v>
      </c>
      <c r="AB314" s="251">
        <v>44316</v>
      </c>
      <c r="AC314" s="252">
        <v>44330</v>
      </c>
      <c r="AD314" s="249"/>
      <c r="AE314" s="248"/>
      <c r="AF314" s="251"/>
      <c r="AG314" s="251"/>
      <c r="AH314" s="249"/>
      <c r="AI314" s="248"/>
      <c r="AJ314" s="251"/>
      <c r="AK314" s="248"/>
      <c r="AL314" s="249"/>
      <c r="AM314" s="248"/>
      <c r="AN314" s="248"/>
      <c r="AO314" s="248"/>
      <c r="AP314" s="248"/>
      <c r="AQ314" s="248"/>
      <c r="AR314" s="248"/>
      <c r="AS314" s="248"/>
      <c r="AT314" s="249"/>
      <c r="AU314" s="248"/>
      <c r="AV314" s="248"/>
      <c r="AW314" s="248"/>
      <c r="AX314" s="249"/>
      <c r="AY314" s="248"/>
      <c r="AZ314" s="248"/>
      <c r="BA314" s="248"/>
      <c r="BB314" s="248">
        <f t="shared" si="18"/>
        <v>2</v>
      </c>
      <c r="BC314" s="248">
        <f t="shared" si="16"/>
        <v>2</v>
      </c>
    </row>
    <row r="315" spans="2:55" s="39" customFormat="1" ht="23.25" customHeight="1">
      <c r="B315" s="22">
        <f t="shared" si="19"/>
        <v>299</v>
      </c>
      <c r="C315" s="22" t="s">
        <v>39</v>
      </c>
      <c r="D315" s="23">
        <v>30472092</v>
      </c>
      <c r="E315" s="48" t="s">
        <v>1023</v>
      </c>
      <c r="F315" s="48" t="s">
        <v>317</v>
      </c>
      <c r="G315" s="26" t="s">
        <v>683</v>
      </c>
      <c r="H315" s="48" t="s">
        <v>686</v>
      </c>
      <c r="I315" s="25" t="str">
        <f>VLOOKUP(D315,[5]Hoja1!$G$5:$H$360,2,0)</f>
        <v>A</v>
      </c>
      <c r="J315" s="247">
        <f>VLOOKUP(D315,[5]Hoja1!$G$267:$W$359,17,0)</f>
        <v>108987</v>
      </c>
      <c r="K315" s="247">
        <f>VLOOKUP(D315,[5]Hoja1!$G$44:$I$358,3,0)</f>
        <v>97680</v>
      </c>
      <c r="L315" s="247">
        <f t="shared" si="17"/>
        <v>11307</v>
      </c>
      <c r="M315" s="248"/>
      <c r="N315" s="248"/>
      <c r="O315" s="248"/>
      <c r="P315" s="248"/>
      <c r="Q315" s="248"/>
      <c r="R315" s="248"/>
      <c r="S315" s="248">
        <v>0</v>
      </c>
      <c r="T315" s="248">
        <v>0</v>
      </c>
      <c r="U315" s="248">
        <v>0</v>
      </c>
      <c r="V315" s="248"/>
      <c r="W315" s="248"/>
      <c r="X315" s="248"/>
      <c r="Y315" s="248">
        <v>0</v>
      </c>
      <c r="Z315" s="249">
        <v>2</v>
      </c>
      <c r="AA315" s="250">
        <v>39</v>
      </c>
      <c r="AB315" s="251">
        <v>44316</v>
      </c>
      <c r="AC315" s="252">
        <v>44330</v>
      </c>
      <c r="AD315" s="249"/>
      <c r="AE315" s="248"/>
      <c r="AF315" s="251"/>
      <c r="AG315" s="251"/>
      <c r="AH315" s="249"/>
      <c r="AI315" s="248"/>
      <c r="AJ315" s="251"/>
      <c r="AK315" s="248"/>
      <c r="AL315" s="249"/>
      <c r="AM315" s="248"/>
      <c r="AN315" s="248"/>
      <c r="AO315" s="248"/>
      <c r="AP315" s="248"/>
      <c r="AQ315" s="248"/>
      <c r="AR315" s="248"/>
      <c r="AS315" s="248"/>
      <c r="AT315" s="249"/>
      <c r="AU315" s="248"/>
      <c r="AV315" s="248"/>
      <c r="AW315" s="248"/>
      <c r="AX315" s="249"/>
      <c r="AY315" s="248"/>
      <c r="AZ315" s="248"/>
      <c r="BA315" s="248"/>
      <c r="BB315" s="248">
        <f t="shared" si="18"/>
        <v>2</v>
      </c>
      <c r="BC315" s="248">
        <f t="shared" si="16"/>
        <v>2</v>
      </c>
    </row>
    <row r="316" spans="2:55" s="39" customFormat="1" ht="23.25" customHeight="1">
      <c r="B316" s="22">
        <f t="shared" si="19"/>
        <v>300</v>
      </c>
      <c r="C316" s="22" t="s">
        <v>39</v>
      </c>
      <c r="D316" s="23">
        <v>30261122</v>
      </c>
      <c r="E316" s="48" t="s">
        <v>1024</v>
      </c>
      <c r="F316" s="48" t="s">
        <v>317</v>
      </c>
      <c r="G316" s="26" t="s">
        <v>683</v>
      </c>
      <c r="H316" s="48" t="s">
        <v>718</v>
      </c>
      <c r="I316" s="25" t="str">
        <f>VLOOKUP(D316,[5]Hoja1!$G$5:$H$360,2,0)</f>
        <v>A</v>
      </c>
      <c r="J316" s="247">
        <f>VLOOKUP(D316,[5]Hoja1!$G$267:$W$359,17,0)</f>
        <v>796930</v>
      </c>
      <c r="K316" s="247">
        <f>VLOOKUP(D316,[5]Hoja1!$G$44:$I$358,3,0)</f>
        <v>717884</v>
      </c>
      <c r="L316" s="247">
        <f t="shared" si="17"/>
        <v>79046</v>
      </c>
      <c r="M316" s="248"/>
      <c r="N316" s="248"/>
      <c r="O316" s="248"/>
      <c r="P316" s="248"/>
      <c r="Q316" s="248"/>
      <c r="R316" s="248"/>
      <c r="S316" s="248">
        <v>0</v>
      </c>
      <c r="T316" s="248">
        <v>0</v>
      </c>
      <c r="U316" s="248">
        <v>0</v>
      </c>
      <c r="V316" s="248"/>
      <c r="W316" s="248"/>
      <c r="X316" s="248"/>
      <c r="Y316" s="248">
        <v>0</v>
      </c>
      <c r="Z316" s="249">
        <v>1</v>
      </c>
      <c r="AA316" s="250">
        <v>39</v>
      </c>
      <c r="AB316" s="251">
        <v>44316</v>
      </c>
      <c r="AC316" s="252">
        <v>44330</v>
      </c>
      <c r="AD316" s="249"/>
      <c r="AE316" s="248"/>
      <c r="AF316" s="251"/>
      <c r="AG316" s="251"/>
      <c r="AH316" s="249"/>
      <c r="AI316" s="248"/>
      <c r="AJ316" s="251"/>
      <c r="AK316" s="248"/>
      <c r="AL316" s="249"/>
      <c r="AM316" s="248"/>
      <c r="AN316" s="248"/>
      <c r="AO316" s="248"/>
      <c r="AP316" s="248"/>
      <c r="AQ316" s="248"/>
      <c r="AR316" s="248"/>
      <c r="AS316" s="248"/>
      <c r="AT316" s="249"/>
      <c r="AU316" s="248"/>
      <c r="AV316" s="248"/>
      <c r="AW316" s="248"/>
      <c r="AX316" s="249"/>
      <c r="AY316" s="248"/>
      <c r="AZ316" s="248"/>
      <c r="BA316" s="248"/>
      <c r="BB316" s="248">
        <f t="shared" si="18"/>
        <v>1</v>
      </c>
      <c r="BC316" s="248">
        <f t="shared" si="16"/>
        <v>1</v>
      </c>
    </row>
    <row r="317" spans="2:55" s="39" customFormat="1" ht="23.25" customHeight="1">
      <c r="B317" s="22">
        <f t="shared" si="19"/>
        <v>301</v>
      </c>
      <c r="C317" s="22" t="s">
        <v>39</v>
      </c>
      <c r="D317" s="23">
        <v>30183822</v>
      </c>
      <c r="E317" s="48" t="s">
        <v>1025</v>
      </c>
      <c r="F317" s="48" t="s">
        <v>317</v>
      </c>
      <c r="G317" s="26" t="s">
        <v>683</v>
      </c>
      <c r="H317" s="48" t="s">
        <v>785</v>
      </c>
      <c r="I317" s="25" t="str">
        <f>VLOOKUP(D317,[5]Hoja1!$G$5:$H$360,2,0)</f>
        <v>N</v>
      </c>
      <c r="J317" s="247">
        <f>VLOOKUP(D317,[5]Hoja1!$G$267:$W$359,17,0)</f>
        <v>305894</v>
      </c>
      <c r="K317" s="247">
        <f>VLOOKUP(D317,[5]Hoja1!$G$44:$I$358,3,0)</f>
        <v>209491</v>
      </c>
      <c r="L317" s="247">
        <f t="shared" si="17"/>
        <v>96403</v>
      </c>
      <c r="M317" s="248"/>
      <c r="N317" s="248"/>
      <c r="O317" s="248"/>
      <c r="P317" s="248"/>
      <c r="Q317" s="248"/>
      <c r="R317" s="248"/>
      <c r="S317" s="248">
        <v>0</v>
      </c>
      <c r="T317" s="248">
        <v>0</v>
      </c>
      <c r="U317" s="248">
        <v>0</v>
      </c>
      <c r="V317" s="248"/>
      <c r="W317" s="248"/>
      <c r="X317" s="248"/>
      <c r="Y317" s="248">
        <v>0</v>
      </c>
      <c r="Z317" s="249">
        <v>4</v>
      </c>
      <c r="AA317" s="250">
        <v>39</v>
      </c>
      <c r="AB317" s="251">
        <v>44316</v>
      </c>
      <c r="AC317" s="252">
        <v>44330</v>
      </c>
      <c r="AD317" s="249"/>
      <c r="AE317" s="248"/>
      <c r="AF317" s="251"/>
      <c r="AG317" s="251"/>
      <c r="AH317" s="249"/>
      <c r="AI317" s="248"/>
      <c r="AJ317" s="251"/>
      <c r="AK317" s="248"/>
      <c r="AL317" s="249"/>
      <c r="AM317" s="248"/>
      <c r="AN317" s="248"/>
      <c r="AO317" s="248"/>
      <c r="AP317" s="248"/>
      <c r="AQ317" s="248"/>
      <c r="AR317" s="248"/>
      <c r="AS317" s="248"/>
      <c r="AT317" s="249"/>
      <c r="AU317" s="248"/>
      <c r="AV317" s="248"/>
      <c r="AW317" s="248"/>
      <c r="AX317" s="249"/>
      <c r="AY317" s="248"/>
      <c r="AZ317" s="248"/>
      <c r="BA317" s="248"/>
      <c r="BB317" s="248">
        <f t="shared" si="18"/>
        <v>4</v>
      </c>
      <c r="BC317" s="248">
        <f t="shared" si="16"/>
        <v>4</v>
      </c>
    </row>
    <row r="318" spans="2:55" s="39" customFormat="1" ht="22.5">
      <c r="B318" s="22">
        <f t="shared" si="19"/>
        <v>302</v>
      </c>
      <c r="C318" s="22" t="s">
        <v>39</v>
      </c>
      <c r="D318" s="23">
        <v>30487902</v>
      </c>
      <c r="E318" s="48" t="s">
        <v>1026</v>
      </c>
      <c r="F318" s="48" t="s">
        <v>317</v>
      </c>
      <c r="G318" s="26" t="s">
        <v>683</v>
      </c>
      <c r="H318" s="48" t="s">
        <v>830</v>
      </c>
      <c r="I318" s="25" t="str">
        <f>VLOOKUP(D318,[5]Hoja1!$G$5:$H$360,2,0)</f>
        <v>N</v>
      </c>
      <c r="J318" s="247">
        <f>VLOOKUP(D318,[5]Hoja1!$G$267:$W$359,17,0)</f>
        <v>268644</v>
      </c>
      <c r="K318" s="247">
        <f>VLOOKUP(D318,[5]Hoja1!$G$44:$I$358,3,0)</f>
        <v>235384</v>
      </c>
      <c r="L318" s="247">
        <f t="shared" si="17"/>
        <v>33260</v>
      </c>
      <c r="M318" s="248"/>
      <c r="N318" s="248"/>
      <c r="O318" s="248"/>
      <c r="P318" s="248"/>
      <c r="Q318" s="248"/>
      <c r="R318" s="248"/>
      <c r="S318" s="248">
        <v>0</v>
      </c>
      <c r="T318" s="248">
        <v>0</v>
      </c>
      <c r="U318" s="248">
        <v>0</v>
      </c>
      <c r="V318" s="248"/>
      <c r="W318" s="248"/>
      <c r="X318" s="248"/>
      <c r="Y318" s="248">
        <v>0</v>
      </c>
      <c r="Z318" s="249">
        <v>2</v>
      </c>
      <c r="AA318" s="250">
        <v>39</v>
      </c>
      <c r="AB318" s="251">
        <v>44316</v>
      </c>
      <c r="AC318" s="252">
        <v>44330</v>
      </c>
      <c r="AD318" s="249"/>
      <c r="AE318" s="248"/>
      <c r="AF318" s="251"/>
      <c r="AG318" s="251"/>
      <c r="AH318" s="249"/>
      <c r="AI318" s="248"/>
      <c r="AJ318" s="251"/>
      <c r="AK318" s="248"/>
      <c r="AL318" s="249"/>
      <c r="AM318" s="248"/>
      <c r="AN318" s="248"/>
      <c r="AO318" s="248"/>
      <c r="AP318" s="248"/>
      <c r="AQ318" s="248"/>
      <c r="AR318" s="248"/>
      <c r="AS318" s="248"/>
      <c r="AT318" s="249"/>
      <c r="AU318" s="248"/>
      <c r="AV318" s="248"/>
      <c r="AW318" s="248"/>
      <c r="AX318" s="249"/>
      <c r="AY318" s="248"/>
      <c r="AZ318" s="248"/>
      <c r="BA318" s="248"/>
      <c r="BB318" s="248">
        <f t="shared" si="18"/>
        <v>2</v>
      </c>
      <c r="BC318" s="248">
        <f t="shared" si="16"/>
        <v>2</v>
      </c>
    </row>
    <row r="319" spans="2:55" s="39" customFormat="1" ht="33.75">
      <c r="B319" s="22">
        <f t="shared" si="19"/>
        <v>303</v>
      </c>
      <c r="C319" s="22" t="s">
        <v>39</v>
      </c>
      <c r="D319" s="23">
        <v>40004178</v>
      </c>
      <c r="E319" s="48" t="s">
        <v>1027</v>
      </c>
      <c r="F319" s="48" t="s">
        <v>317</v>
      </c>
      <c r="G319" s="26" t="s">
        <v>683</v>
      </c>
      <c r="H319" s="48" t="s">
        <v>686</v>
      </c>
      <c r="I319" s="25" t="str">
        <f>VLOOKUP(D319,[5]Hoja1!$G$5:$H$360,2,0)</f>
        <v>N</v>
      </c>
      <c r="J319" s="247">
        <f>VLOOKUP(D319,[5]Hoja1!$G$267:$W$359,17,0)</f>
        <v>315924</v>
      </c>
      <c r="K319" s="247">
        <f>VLOOKUP(D319,[5]Hoja1!$G$44:$I$358,3,0)</f>
        <v>285265</v>
      </c>
      <c r="L319" s="247">
        <f t="shared" si="17"/>
        <v>30659</v>
      </c>
      <c r="M319" s="248"/>
      <c r="N319" s="248"/>
      <c r="O319" s="248"/>
      <c r="P319" s="248"/>
      <c r="Q319" s="248"/>
      <c r="R319" s="248"/>
      <c r="S319" s="248">
        <v>0</v>
      </c>
      <c r="T319" s="248">
        <v>0</v>
      </c>
      <c r="U319" s="248">
        <v>0</v>
      </c>
      <c r="V319" s="248"/>
      <c r="W319" s="248"/>
      <c r="X319" s="248"/>
      <c r="Y319" s="248">
        <v>0</v>
      </c>
      <c r="Z319" s="249">
        <v>3</v>
      </c>
      <c r="AA319" s="250">
        <v>39</v>
      </c>
      <c r="AB319" s="251">
        <v>44316</v>
      </c>
      <c r="AC319" s="252">
        <v>44330</v>
      </c>
      <c r="AD319" s="249"/>
      <c r="AE319" s="248"/>
      <c r="AF319" s="251"/>
      <c r="AG319" s="251"/>
      <c r="AH319" s="249"/>
      <c r="AI319" s="248"/>
      <c r="AJ319" s="251"/>
      <c r="AK319" s="248"/>
      <c r="AL319" s="249"/>
      <c r="AM319" s="248"/>
      <c r="AN319" s="248"/>
      <c r="AO319" s="248"/>
      <c r="AP319" s="248"/>
      <c r="AQ319" s="248"/>
      <c r="AR319" s="248"/>
      <c r="AS319" s="248"/>
      <c r="AT319" s="249"/>
      <c r="AU319" s="248"/>
      <c r="AV319" s="248"/>
      <c r="AW319" s="248"/>
      <c r="AX319" s="249"/>
      <c r="AY319" s="248"/>
      <c r="AZ319" s="248"/>
      <c r="BA319" s="248"/>
      <c r="BB319" s="248">
        <f t="shared" si="18"/>
        <v>3</v>
      </c>
      <c r="BC319" s="248">
        <f t="shared" si="16"/>
        <v>3</v>
      </c>
    </row>
    <row r="320" spans="2:55" s="39" customFormat="1" ht="33.75">
      <c r="B320" s="22">
        <f t="shared" si="19"/>
        <v>304</v>
      </c>
      <c r="C320" s="22" t="s">
        <v>39</v>
      </c>
      <c r="D320" s="260">
        <v>40000595</v>
      </c>
      <c r="E320" s="48" t="s">
        <v>1028</v>
      </c>
      <c r="F320" s="48" t="s">
        <v>317</v>
      </c>
      <c r="G320" s="26" t="s">
        <v>683</v>
      </c>
      <c r="H320" s="48" t="s">
        <v>830</v>
      </c>
      <c r="I320" s="25" t="str">
        <f>VLOOKUP(D320,[5]Hoja1!$G$5:$H$360,2,0)</f>
        <v>A</v>
      </c>
      <c r="J320" s="247">
        <f>VLOOKUP(D320,[5]Hoja1!$G$267:$W$359,17,0)</f>
        <v>199902</v>
      </c>
      <c r="K320" s="247">
        <f>VLOOKUP(D320,[5]Hoja1!$G$44:$I$358,3,0)</f>
        <v>191912</v>
      </c>
      <c r="L320" s="247">
        <f t="shared" si="17"/>
        <v>7990</v>
      </c>
      <c r="M320" s="248"/>
      <c r="N320" s="248"/>
      <c r="O320" s="248"/>
      <c r="P320" s="248"/>
      <c r="Q320" s="248"/>
      <c r="R320" s="248"/>
      <c r="S320" s="248">
        <v>0</v>
      </c>
      <c r="T320" s="248">
        <v>0</v>
      </c>
      <c r="U320" s="248">
        <v>0</v>
      </c>
      <c r="V320" s="248"/>
      <c r="W320" s="248"/>
      <c r="X320" s="248"/>
      <c r="Y320" s="248">
        <v>0</v>
      </c>
      <c r="Z320" s="249">
        <v>1</v>
      </c>
      <c r="AA320" s="250">
        <v>39</v>
      </c>
      <c r="AB320" s="251">
        <v>44316</v>
      </c>
      <c r="AC320" s="252">
        <v>44330</v>
      </c>
      <c r="AD320" s="249"/>
      <c r="AE320" s="248"/>
      <c r="AF320" s="251"/>
      <c r="AG320" s="251"/>
      <c r="AH320" s="249"/>
      <c r="AI320" s="248"/>
      <c r="AJ320" s="251"/>
      <c r="AK320" s="248"/>
      <c r="AL320" s="249"/>
      <c r="AM320" s="248"/>
      <c r="AN320" s="248"/>
      <c r="AO320" s="248"/>
      <c r="AP320" s="248"/>
      <c r="AQ320" s="248"/>
      <c r="AR320" s="248"/>
      <c r="AS320" s="248"/>
      <c r="AT320" s="249"/>
      <c r="AU320" s="248"/>
      <c r="AV320" s="248"/>
      <c r="AW320" s="248"/>
      <c r="AX320" s="249"/>
      <c r="AY320" s="248"/>
      <c r="AZ320" s="248"/>
      <c r="BA320" s="248"/>
      <c r="BB320" s="248">
        <f t="shared" si="18"/>
        <v>1</v>
      </c>
      <c r="BC320" s="248">
        <f t="shared" si="16"/>
        <v>1</v>
      </c>
    </row>
    <row r="321" spans="2:55" s="39" customFormat="1" ht="23.25" customHeight="1">
      <c r="B321" s="22">
        <f t="shared" si="19"/>
        <v>305</v>
      </c>
      <c r="C321" s="22" t="s">
        <v>39</v>
      </c>
      <c r="D321" s="260">
        <v>30316825</v>
      </c>
      <c r="E321" s="48" t="s">
        <v>1029</v>
      </c>
      <c r="F321" s="48" t="s">
        <v>317</v>
      </c>
      <c r="G321" s="26" t="s">
        <v>683</v>
      </c>
      <c r="H321" s="48" t="s">
        <v>785</v>
      </c>
      <c r="I321" s="25" t="str">
        <f>VLOOKUP(D321,[5]Hoja1!$G$5:$H$360,2,0)</f>
        <v>A</v>
      </c>
      <c r="J321" s="247">
        <f>VLOOKUP(D321,[5]Hoja1!$G$267:$W$359,17,0)</f>
        <v>826310</v>
      </c>
      <c r="K321" s="247">
        <f>VLOOKUP(D321,[5]Hoja1!$G$44:$I$358,3,0)</f>
        <v>206087</v>
      </c>
      <c r="L321" s="247">
        <f t="shared" si="17"/>
        <v>620223</v>
      </c>
      <c r="M321" s="248"/>
      <c r="N321" s="248"/>
      <c r="O321" s="248"/>
      <c r="P321" s="248">
        <v>0</v>
      </c>
      <c r="Q321" s="248">
        <v>0</v>
      </c>
      <c r="R321" s="248">
        <v>4700.5680000000002</v>
      </c>
      <c r="S321" s="248">
        <v>0</v>
      </c>
      <c r="T321" s="248">
        <v>97007.604999999996</v>
      </c>
      <c r="U321" s="248">
        <v>0</v>
      </c>
      <c r="V321" s="248"/>
      <c r="W321" s="248"/>
      <c r="X321" s="248"/>
      <c r="Y321" s="248">
        <v>101708.173</v>
      </c>
      <c r="Z321" s="249">
        <v>4704</v>
      </c>
      <c r="AA321" s="250">
        <v>40</v>
      </c>
      <c r="AB321" s="251">
        <v>44316</v>
      </c>
      <c r="AC321" s="252">
        <v>44328</v>
      </c>
      <c r="AD321" s="249">
        <v>98000</v>
      </c>
      <c r="AE321" s="248">
        <v>74</v>
      </c>
      <c r="AF321" s="251">
        <v>44406</v>
      </c>
      <c r="AG321" s="251">
        <v>44413</v>
      </c>
      <c r="AH321" s="249"/>
      <c r="AI321" s="248"/>
      <c r="AJ321" s="251"/>
      <c r="AK321" s="248"/>
      <c r="AL321" s="249"/>
      <c r="AM321" s="248"/>
      <c r="AN321" s="248"/>
      <c r="AO321" s="248"/>
      <c r="AP321" s="248"/>
      <c r="AQ321" s="248"/>
      <c r="AR321" s="248"/>
      <c r="AS321" s="248"/>
      <c r="AT321" s="249"/>
      <c r="AU321" s="248"/>
      <c r="AV321" s="248"/>
      <c r="AW321" s="248"/>
      <c r="AX321" s="249"/>
      <c r="AY321" s="248"/>
      <c r="AZ321" s="248"/>
      <c r="BA321" s="248"/>
      <c r="BB321" s="248">
        <f t="shared" si="18"/>
        <v>102704</v>
      </c>
      <c r="BC321" s="248">
        <f t="shared" si="16"/>
        <v>995.82700000000477</v>
      </c>
    </row>
    <row r="322" spans="2:55" s="39" customFormat="1" ht="23.25" customHeight="1">
      <c r="B322" s="22">
        <f t="shared" si="19"/>
        <v>306</v>
      </c>
      <c r="C322" s="22" t="s">
        <v>39</v>
      </c>
      <c r="D322" s="23">
        <v>40005507</v>
      </c>
      <c r="E322" s="48" t="s">
        <v>1030</v>
      </c>
      <c r="F322" s="48" t="s">
        <v>700</v>
      </c>
      <c r="G322" s="26" t="s">
        <v>683</v>
      </c>
      <c r="H322" s="48" t="s">
        <v>693</v>
      </c>
      <c r="I322" s="25" t="str">
        <f>VLOOKUP(D322,[5]Hoja1!$G$5:$H$360,2,0)</f>
        <v>N</v>
      </c>
      <c r="J322" s="247">
        <f>VLOOKUP(D322,[5]Hoja1!$G$267:$W$359,17,0)</f>
        <v>116891</v>
      </c>
      <c r="K322" s="247">
        <f>VLOOKUP(D322,[5]Hoja1!$G$44:$I$358,3,0)</f>
        <v>91</v>
      </c>
      <c r="L322" s="247">
        <f t="shared" si="17"/>
        <v>116800</v>
      </c>
      <c r="M322" s="248"/>
      <c r="N322" s="248"/>
      <c r="O322" s="248"/>
      <c r="P322" s="248"/>
      <c r="Q322" s="248"/>
      <c r="R322" s="248"/>
      <c r="S322" s="248">
        <v>0</v>
      </c>
      <c r="T322" s="248">
        <v>0</v>
      </c>
      <c r="U322" s="248">
        <v>0</v>
      </c>
      <c r="V322" s="248"/>
      <c r="W322" s="248"/>
      <c r="X322" s="248"/>
      <c r="Y322" s="248">
        <v>0</v>
      </c>
      <c r="Z322" s="249">
        <v>6000</v>
      </c>
      <c r="AA322" s="250">
        <v>48</v>
      </c>
      <c r="AB322" s="251">
        <v>44348</v>
      </c>
      <c r="AC322" s="252">
        <v>44354</v>
      </c>
      <c r="AD322" s="249"/>
      <c r="AE322" s="248"/>
      <c r="AF322" s="251"/>
      <c r="AG322" s="251"/>
      <c r="AH322" s="249"/>
      <c r="AI322" s="248"/>
      <c r="AJ322" s="251"/>
      <c r="AK322" s="248"/>
      <c r="AL322" s="249"/>
      <c r="AM322" s="248"/>
      <c r="AN322" s="248"/>
      <c r="AO322" s="248"/>
      <c r="AP322" s="248"/>
      <c r="AQ322" s="248"/>
      <c r="AR322" s="248"/>
      <c r="AS322" s="248"/>
      <c r="AT322" s="249"/>
      <c r="AU322" s="248"/>
      <c r="AV322" s="248"/>
      <c r="AW322" s="248"/>
      <c r="AX322" s="249"/>
      <c r="AY322" s="248"/>
      <c r="AZ322" s="248"/>
      <c r="BA322" s="248"/>
      <c r="BB322" s="248">
        <f t="shared" si="18"/>
        <v>6000</v>
      </c>
      <c r="BC322" s="248">
        <f t="shared" si="16"/>
        <v>6000</v>
      </c>
    </row>
    <row r="323" spans="2:55" s="39" customFormat="1" ht="33.75">
      <c r="B323" s="22">
        <f t="shared" si="19"/>
        <v>307</v>
      </c>
      <c r="C323" s="22" t="s">
        <v>39</v>
      </c>
      <c r="D323" s="23">
        <v>40002001</v>
      </c>
      <c r="E323" s="48" t="s">
        <v>1031</v>
      </c>
      <c r="F323" s="48" t="s">
        <v>317</v>
      </c>
      <c r="G323" s="26" t="s">
        <v>683</v>
      </c>
      <c r="H323" s="48" t="s">
        <v>772</v>
      </c>
      <c r="I323" s="25" t="str">
        <f>VLOOKUP(D323,[5]Hoja1!$G$5:$H$360,2,0)</f>
        <v>A</v>
      </c>
      <c r="J323" s="247">
        <f>VLOOKUP(D323,[5]Hoja1!$G$267:$W$359,17,0)</f>
        <v>948283</v>
      </c>
      <c r="K323" s="247">
        <f>VLOOKUP(D323,[5]Hoja1!$G$44:$I$358,3,0)</f>
        <v>925124</v>
      </c>
      <c r="L323" s="247">
        <f t="shared" si="17"/>
        <v>23159</v>
      </c>
      <c r="M323" s="248"/>
      <c r="N323" s="248"/>
      <c r="O323" s="248"/>
      <c r="P323" s="248"/>
      <c r="Q323" s="248"/>
      <c r="R323" s="248"/>
      <c r="S323" s="248">
        <v>0</v>
      </c>
      <c r="T323" s="248">
        <v>0</v>
      </c>
      <c r="U323" s="248">
        <v>0</v>
      </c>
      <c r="V323" s="248"/>
      <c r="W323" s="248"/>
      <c r="X323" s="248"/>
      <c r="Y323" s="248">
        <v>0</v>
      </c>
      <c r="Z323" s="249">
        <v>2801</v>
      </c>
      <c r="AA323" s="250">
        <v>49</v>
      </c>
      <c r="AB323" s="251">
        <v>44348</v>
      </c>
      <c r="AC323" s="252">
        <v>44354</v>
      </c>
      <c r="AD323" s="249"/>
      <c r="AE323" s="248"/>
      <c r="AF323" s="251"/>
      <c r="AG323" s="251"/>
      <c r="AH323" s="249"/>
      <c r="AI323" s="248"/>
      <c r="AJ323" s="251"/>
      <c r="AK323" s="248"/>
      <c r="AL323" s="249"/>
      <c r="AM323" s="248"/>
      <c r="AN323" s="248"/>
      <c r="AO323" s="248"/>
      <c r="AP323" s="248"/>
      <c r="AQ323" s="248"/>
      <c r="AR323" s="248"/>
      <c r="AS323" s="248"/>
      <c r="AT323" s="249"/>
      <c r="AU323" s="248"/>
      <c r="AV323" s="248"/>
      <c r="AW323" s="248"/>
      <c r="AX323" s="249"/>
      <c r="AY323" s="248"/>
      <c r="AZ323" s="248"/>
      <c r="BA323" s="248"/>
      <c r="BB323" s="248">
        <f t="shared" si="18"/>
        <v>2801</v>
      </c>
      <c r="BC323" s="248">
        <f t="shared" si="16"/>
        <v>2801</v>
      </c>
    </row>
    <row r="324" spans="2:55" s="39" customFormat="1" ht="22.5">
      <c r="B324" s="22">
        <f t="shared" si="19"/>
        <v>308</v>
      </c>
      <c r="C324" s="22" t="s">
        <v>39</v>
      </c>
      <c r="D324" s="23">
        <v>30469942</v>
      </c>
      <c r="E324" s="48" t="s">
        <v>1032</v>
      </c>
      <c r="F324" s="48" t="s">
        <v>317</v>
      </c>
      <c r="G324" s="26" t="s">
        <v>683</v>
      </c>
      <c r="H324" s="48" t="s">
        <v>732</v>
      </c>
      <c r="I324" s="25" t="str">
        <f>VLOOKUP(D324,[5]Hoja1!$G$5:$H$360,2,0)</f>
        <v>A</v>
      </c>
      <c r="J324" s="247">
        <f>VLOOKUP(D324,[5]Hoja1!$G$267:$W$359,17,0)</f>
        <v>987080</v>
      </c>
      <c r="K324" s="247">
        <f>VLOOKUP(D324,[5]Hoja1!$G$44:$I$358,3,0)</f>
        <v>707693</v>
      </c>
      <c r="L324" s="247">
        <f t="shared" si="17"/>
        <v>279387</v>
      </c>
      <c r="M324" s="248"/>
      <c r="N324" s="248"/>
      <c r="O324" s="248"/>
      <c r="P324" s="248"/>
      <c r="Q324" s="248"/>
      <c r="R324" s="248"/>
      <c r="S324" s="248">
        <v>54529.962</v>
      </c>
      <c r="T324" s="248">
        <v>0</v>
      </c>
      <c r="U324" s="248">
        <v>0</v>
      </c>
      <c r="V324" s="248"/>
      <c r="W324" s="248"/>
      <c r="X324" s="248"/>
      <c r="Y324" s="248">
        <v>54529.962</v>
      </c>
      <c r="Z324" s="249">
        <v>54550</v>
      </c>
      <c r="AA324" s="250">
        <v>49</v>
      </c>
      <c r="AB324" s="251">
        <v>44348</v>
      </c>
      <c r="AC324" s="252">
        <v>44354</v>
      </c>
      <c r="AD324" s="249"/>
      <c r="AE324" s="248"/>
      <c r="AF324" s="251"/>
      <c r="AG324" s="251"/>
      <c r="AH324" s="249"/>
      <c r="AI324" s="248"/>
      <c r="AJ324" s="251"/>
      <c r="AK324" s="248"/>
      <c r="AL324" s="249"/>
      <c r="AM324" s="248"/>
      <c r="AN324" s="248"/>
      <c r="AO324" s="248"/>
      <c r="AP324" s="248"/>
      <c r="AQ324" s="248"/>
      <c r="AR324" s="248"/>
      <c r="AS324" s="248"/>
      <c r="AT324" s="249"/>
      <c r="AU324" s="248"/>
      <c r="AV324" s="248"/>
      <c r="AW324" s="248"/>
      <c r="AX324" s="249"/>
      <c r="AY324" s="248"/>
      <c r="AZ324" s="248"/>
      <c r="BA324" s="248"/>
      <c r="BB324" s="248">
        <f t="shared" si="18"/>
        <v>54550</v>
      </c>
      <c r="BC324" s="248">
        <f t="shared" si="16"/>
        <v>20.038000000000466</v>
      </c>
    </row>
    <row r="325" spans="2:55" s="39" customFormat="1" ht="23.25" customHeight="1">
      <c r="B325" s="22">
        <f t="shared" si="19"/>
        <v>309</v>
      </c>
      <c r="C325" s="22" t="s">
        <v>65</v>
      </c>
      <c r="D325" s="23">
        <v>30457722</v>
      </c>
      <c r="E325" s="48" t="s">
        <v>1033</v>
      </c>
      <c r="F325" s="48" t="s">
        <v>317</v>
      </c>
      <c r="G325" s="26" t="s">
        <v>683</v>
      </c>
      <c r="H325" s="48" t="s">
        <v>742</v>
      </c>
      <c r="I325" s="25" t="str">
        <f>VLOOKUP(D325,[5]Hoja1!$G$5:$H$360,2,0)</f>
        <v>A</v>
      </c>
      <c r="J325" s="247">
        <f>VLOOKUP(D325,[5]Hoja1!$G$267:$W$359,17,0)</f>
        <v>260354</v>
      </c>
      <c r="K325" s="247">
        <f>VLOOKUP(D325,[5]Hoja1!$G$44:$I$358,3,0)</f>
        <v>74573</v>
      </c>
      <c r="L325" s="247">
        <f t="shared" si="17"/>
        <v>185781</v>
      </c>
      <c r="M325" s="248"/>
      <c r="N325" s="248"/>
      <c r="O325" s="248"/>
      <c r="P325" s="248"/>
      <c r="Q325" s="248"/>
      <c r="R325" s="248"/>
      <c r="S325" s="248">
        <v>0</v>
      </c>
      <c r="T325" s="248">
        <v>0</v>
      </c>
      <c r="U325" s="248">
        <v>0</v>
      </c>
      <c r="V325" s="248"/>
      <c r="W325" s="248"/>
      <c r="X325" s="248"/>
      <c r="Y325" s="248">
        <v>0</v>
      </c>
      <c r="Z325" s="249">
        <v>5000</v>
      </c>
      <c r="AA325" s="250">
        <v>54</v>
      </c>
      <c r="AB325" s="251">
        <v>44363</v>
      </c>
      <c r="AC325" s="252">
        <v>44369</v>
      </c>
      <c r="AD325" s="249"/>
      <c r="AE325" s="248"/>
      <c r="AF325" s="251"/>
      <c r="AG325" s="251"/>
      <c r="AH325" s="249"/>
      <c r="AI325" s="248"/>
      <c r="AJ325" s="251"/>
      <c r="AK325" s="248"/>
      <c r="AL325" s="249"/>
      <c r="AM325" s="248"/>
      <c r="AN325" s="248"/>
      <c r="AO325" s="248"/>
      <c r="AP325" s="248"/>
      <c r="AQ325" s="248"/>
      <c r="AR325" s="248"/>
      <c r="AS325" s="248"/>
      <c r="AT325" s="249"/>
      <c r="AU325" s="248"/>
      <c r="AV325" s="248"/>
      <c r="AW325" s="248"/>
      <c r="AX325" s="249"/>
      <c r="AY325" s="248"/>
      <c r="AZ325" s="248"/>
      <c r="BA325" s="248"/>
      <c r="BB325" s="248">
        <f t="shared" si="18"/>
        <v>5000</v>
      </c>
      <c r="BC325" s="248">
        <f t="shared" si="16"/>
        <v>5000</v>
      </c>
    </row>
    <row r="326" spans="2:55" s="39" customFormat="1" ht="23.25" customHeight="1">
      <c r="B326" s="22">
        <f t="shared" si="19"/>
        <v>310</v>
      </c>
      <c r="C326" s="22" t="s">
        <v>39</v>
      </c>
      <c r="D326" s="23">
        <v>30137010</v>
      </c>
      <c r="E326" s="48" t="s">
        <v>1034</v>
      </c>
      <c r="F326" s="48" t="s">
        <v>700</v>
      </c>
      <c r="G326" s="26" t="s">
        <v>683</v>
      </c>
      <c r="H326" s="48" t="s">
        <v>742</v>
      </c>
      <c r="I326" s="25" t="str">
        <f>VLOOKUP(D326,[5]Hoja1!$G$5:$H$360,2,0)</f>
        <v>A</v>
      </c>
      <c r="J326" s="247">
        <f>VLOOKUP(D326,[5]Hoja1!$G$267:$W$359,17,0)</f>
        <v>57498</v>
      </c>
      <c r="K326" s="247">
        <f>VLOOKUP(D326,[5]Hoja1!$G$44:$I$358,3,0)</f>
        <v>36298</v>
      </c>
      <c r="L326" s="247">
        <f t="shared" si="17"/>
        <v>21200</v>
      </c>
      <c r="M326" s="248"/>
      <c r="N326" s="248"/>
      <c r="O326" s="248"/>
      <c r="P326" s="248"/>
      <c r="Q326" s="248"/>
      <c r="R326" s="248"/>
      <c r="S326" s="248">
        <v>0</v>
      </c>
      <c r="T326" s="248">
        <v>0</v>
      </c>
      <c r="U326" s="248">
        <v>0</v>
      </c>
      <c r="V326" s="248"/>
      <c r="W326" s="248"/>
      <c r="X326" s="248"/>
      <c r="Y326" s="248">
        <v>0</v>
      </c>
      <c r="Z326" s="249">
        <v>5000</v>
      </c>
      <c r="AA326" s="250">
        <v>54</v>
      </c>
      <c r="AB326" s="251">
        <v>44363</v>
      </c>
      <c r="AC326" s="252">
        <v>44369</v>
      </c>
      <c r="AD326" s="249"/>
      <c r="AE326" s="248"/>
      <c r="AF326" s="251"/>
      <c r="AG326" s="251"/>
      <c r="AH326" s="249"/>
      <c r="AI326" s="248"/>
      <c r="AJ326" s="251"/>
      <c r="AK326" s="248"/>
      <c r="AL326" s="249"/>
      <c r="AM326" s="248"/>
      <c r="AN326" s="248"/>
      <c r="AO326" s="248"/>
      <c r="AP326" s="248"/>
      <c r="AQ326" s="248"/>
      <c r="AR326" s="248"/>
      <c r="AS326" s="248"/>
      <c r="AT326" s="249"/>
      <c r="AU326" s="248"/>
      <c r="AV326" s="248"/>
      <c r="AW326" s="248"/>
      <c r="AX326" s="249"/>
      <c r="AY326" s="248"/>
      <c r="AZ326" s="248"/>
      <c r="BA326" s="248"/>
      <c r="BB326" s="248">
        <f t="shared" si="18"/>
        <v>5000</v>
      </c>
      <c r="BC326" s="248">
        <f t="shared" si="16"/>
        <v>5000</v>
      </c>
    </row>
    <row r="327" spans="2:55" s="39" customFormat="1" ht="23.25" customHeight="1">
      <c r="B327" s="22">
        <f t="shared" si="19"/>
        <v>311</v>
      </c>
      <c r="C327" s="22" t="s">
        <v>39</v>
      </c>
      <c r="D327" s="23">
        <v>30198972</v>
      </c>
      <c r="E327" s="48" t="s">
        <v>1035</v>
      </c>
      <c r="F327" s="48" t="s">
        <v>700</v>
      </c>
      <c r="G327" s="26" t="s">
        <v>683</v>
      </c>
      <c r="H327" s="48" t="s">
        <v>742</v>
      </c>
      <c r="I327" s="25" t="str">
        <f>VLOOKUP(D327,[5]Hoja1!$G$5:$H$360,2,0)</f>
        <v>A</v>
      </c>
      <c r="J327" s="247">
        <f>VLOOKUP(D327,[5]Hoja1!$G$267:$W$359,17,0)</f>
        <v>73238</v>
      </c>
      <c r="K327" s="247">
        <f>VLOOKUP(D327,[5]Hoja1!$G$44:$I$358,3,0)</f>
        <v>22980</v>
      </c>
      <c r="L327" s="247">
        <f t="shared" si="17"/>
        <v>50258</v>
      </c>
      <c r="M327" s="248"/>
      <c r="N327" s="248"/>
      <c r="O327" s="248"/>
      <c r="P327" s="248"/>
      <c r="Q327" s="248"/>
      <c r="R327" s="248"/>
      <c r="S327" s="248">
        <v>0</v>
      </c>
      <c r="T327" s="248">
        <v>0</v>
      </c>
      <c r="U327" s="248">
        <v>0</v>
      </c>
      <c r="V327" s="248"/>
      <c r="W327" s="248"/>
      <c r="X327" s="248"/>
      <c r="Y327" s="248">
        <v>0</v>
      </c>
      <c r="Z327" s="249">
        <v>5001</v>
      </c>
      <c r="AA327" s="250">
        <v>54</v>
      </c>
      <c r="AB327" s="251">
        <v>44363</v>
      </c>
      <c r="AC327" s="252">
        <v>44369</v>
      </c>
      <c r="AD327" s="249"/>
      <c r="AE327" s="248"/>
      <c r="AF327" s="251"/>
      <c r="AG327" s="251"/>
      <c r="AH327" s="249"/>
      <c r="AI327" s="248"/>
      <c r="AJ327" s="251"/>
      <c r="AK327" s="248"/>
      <c r="AL327" s="249"/>
      <c r="AM327" s="248"/>
      <c r="AN327" s="248"/>
      <c r="AO327" s="248"/>
      <c r="AP327" s="248"/>
      <c r="AQ327" s="248"/>
      <c r="AR327" s="248"/>
      <c r="AS327" s="248"/>
      <c r="AT327" s="249"/>
      <c r="AU327" s="248"/>
      <c r="AV327" s="248"/>
      <c r="AW327" s="248"/>
      <c r="AX327" s="249"/>
      <c r="AY327" s="248"/>
      <c r="AZ327" s="248"/>
      <c r="BA327" s="248"/>
      <c r="BB327" s="248">
        <f t="shared" si="18"/>
        <v>5001</v>
      </c>
      <c r="BC327" s="248">
        <f t="shared" si="16"/>
        <v>5001</v>
      </c>
    </row>
    <row r="328" spans="2:55" s="39" customFormat="1" ht="23.25" customHeight="1">
      <c r="B328" s="22">
        <f t="shared" si="19"/>
        <v>312</v>
      </c>
      <c r="C328" s="22" t="s">
        <v>39</v>
      </c>
      <c r="D328" s="23">
        <v>30104269</v>
      </c>
      <c r="E328" s="48" t="s">
        <v>1036</v>
      </c>
      <c r="F328" s="48" t="s">
        <v>83</v>
      </c>
      <c r="G328" s="26" t="s">
        <v>683</v>
      </c>
      <c r="H328" s="48" t="s">
        <v>698</v>
      </c>
      <c r="I328" s="25" t="str">
        <f>VLOOKUP(D328,[5]Hoja1!$G$5:$H$360,2,0)</f>
        <v>A</v>
      </c>
      <c r="J328" s="247">
        <f>VLOOKUP(D328,[5]Hoja1!$G$267:$W$359,17,0)</f>
        <v>53904</v>
      </c>
      <c r="K328" s="247">
        <f>VLOOKUP(D328,[5]Hoja1!$G$44:$I$358,3,0)</f>
        <v>47904</v>
      </c>
      <c r="L328" s="247">
        <f t="shared" si="17"/>
        <v>6000</v>
      </c>
      <c r="M328" s="248"/>
      <c r="N328" s="248"/>
      <c r="O328" s="248"/>
      <c r="P328" s="248"/>
      <c r="Q328" s="248"/>
      <c r="R328" s="248"/>
      <c r="S328" s="248">
        <v>0</v>
      </c>
      <c r="T328" s="248">
        <v>4726.7</v>
      </c>
      <c r="U328" s="248">
        <v>0</v>
      </c>
      <c r="V328" s="248"/>
      <c r="W328" s="248"/>
      <c r="X328" s="248"/>
      <c r="Y328" s="248">
        <v>4726.7</v>
      </c>
      <c r="Z328" s="249">
        <v>6000</v>
      </c>
      <c r="AA328" s="250">
        <v>54</v>
      </c>
      <c r="AB328" s="251">
        <v>44363</v>
      </c>
      <c r="AC328" s="252">
        <v>44369</v>
      </c>
      <c r="AD328" s="249"/>
      <c r="AE328" s="248"/>
      <c r="AF328" s="251"/>
      <c r="AG328" s="251"/>
      <c r="AH328" s="249"/>
      <c r="AI328" s="248"/>
      <c r="AJ328" s="251"/>
      <c r="AK328" s="248"/>
      <c r="AL328" s="249"/>
      <c r="AM328" s="248"/>
      <c r="AN328" s="248"/>
      <c r="AO328" s="248"/>
      <c r="AP328" s="248"/>
      <c r="AQ328" s="248"/>
      <c r="AR328" s="248"/>
      <c r="AS328" s="248"/>
      <c r="AT328" s="249"/>
      <c r="AU328" s="248"/>
      <c r="AV328" s="248"/>
      <c r="AW328" s="248"/>
      <c r="AX328" s="249"/>
      <c r="AY328" s="248"/>
      <c r="AZ328" s="248"/>
      <c r="BA328" s="248"/>
      <c r="BB328" s="248">
        <f t="shared" si="18"/>
        <v>6000</v>
      </c>
      <c r="BC328" s="248">
        <f t="shared" si="16"/>
        <v>1273.3000000000002</v>
      </c>
    </row>
    <row r="329" spans="2:55" s="39" customFormat="1" ht="23.25" customHeight="1">
      <c r="B329" s="22">
        <f t="shared" si="19"/>
        <v>313</v>
      </c>
      <c r="C329" s="22" t="s">
        <v>39</v>
      </c>
      <c r="D329" s="23">
        <v>40024102</v>
      </c>
      <c r="E329" s="48" t="s">
        <v>1037</v>
      </c>
      <c r="F329" s="48" t="s">
        <v>317</v>
      </c>
      <c r="G329" s="26" t="s">
        <v>683</v>
      </c>
      <c r="H329" s="48" t="s">
        <v>732</v>
      </c>
      <c r="I329" s="25" t="str">
        <f>VLOOKUP(D329,[5]Hoja1!$G$5:$H$360,2,0)</f>
        <v>N</v>
      </c>
      <c r="J329" s="247">
        <f>VLOOKUP(D329,[5]Hoja1!$G$267:$W$359,17,0)</f>
        <v>2818506</v>
      </c>
      <c r="K329" s="247">
        <f>VLOOKUP(D329,[5]Hoja1!$G$44:$I$358,3,0)</f>
        <v>0</v>
      </c>
      <c r="L329" s="247">
        <f t="shared" si="17"/>
        <v>2818506</v>
      </c>
      <c r="M329" s="248"/>
      <c r="N329" s="248"/>
      <c r="O329" s="248"/>
      <c r="P329" s="248"/>
      <c r="Q329" s="248"/>
      <c r="R329" s="248"/>
      <c r="S329" s="248">
        <v>0</v>
      </c>
      <c r="T329" s="248">
        <v>0</v>
      </c>
      <c r="U329" s="248">
        <v>0</v>
      </c>
      <c r="V329" s="248"/>
      <c r="W329" s="248"/>
      <c r="X329" s="248"/>
      <c r="Y329" s="248">
        <v>0</v>
      </c>
      <c r="Z329" s="249">
        <v>1</v>
      </c>
      <c r="AA329" s="250">
        <v>54</v>
      </c>
      <c r="AB329" s="251">
        <v>44363</v>
      </c>
      <c r="AC329" s="252">
        <v>44369</v>
      </c>
      <c r="AD329" s="249"/>
      <c r="AE329" s="248"/>
      <c r="AF329" s="251"/>
      <c r="AG329" s="251"/>
      <c r="AH329" s="249"/>
      <c r="AI329" s="248"/>
      <c r="AJ329" s="251"/>
      <c r="AK329" s="248"/>
      <c r="AL329" s="249"/>
      <c r="AM329" s="248"/>
      <c r="AN329" s="248"/>
      <c r="AO329" s="248"/>
      <c r="AP329" s="248"/>
      <c r="AQ329" s="248"/>
      <c r="AR329" s="248"/>
      <c r="AS329" s="248"/>
      <c r="AT329" s="249"/>
      <c r="AU329" s="248"/>
      <c r="AV329" s="248"/>
      <c r="AW329" s="248"/>
      <c r="AX329" s="249"/>
      <c r="AY329" s="248"/>
      <c r="AZ329" s="248"/>
      <c r="BA329" s="248"/>
      <c r="BB329" s="248">
        <f t="shared" si="18"/>
        <v>1</v>
      </c>
      <c r="BC329" s="248">
        <f t="shared" si="16"/>
        <v>1</v>
      </c>
    </row>
    <row r="330" spans="2:55" s="39" customFormat="1" ht="23.25" customHeight="1">
      <c r="B330" s="22">
        <f t="shared" si="19"/>
        <v>314</v>
      </c>
      <c r="C330" s="22" t="s">
        <v>39</v>
      </c>
      <c r="D330" s="23">
        <v>40024079</v>
      </c>
      <c r="E330" s="48" t="s">
        <v>1038</v>
      </c>
      <c r="F330" s="48" t="s">
        <v>317</v>
      </c>
      <c r="G330" s="26" t="s">
        <v>683</v>
      </c>
      <c r="H330" s="48" t="s">
        <v>832</v>
      </c>
      <c r="I330" s="25" t="str">
        <f>VLOOKUP(D330,[5]Hoja1!$G$5:$H$360,2,0)</f>
        <v>N</v>
      </c>
      <c r="J330" s="247">
        <f>VLOOKUP(D330,[5]Hoja1!$G$267:$W$359,17,0)</f>
        <v>2112924</v>
      </c>
      <c r="K330" s="247">
        <f>VLOOKUP(D330,[5]Hoja1!$G$44:$I$358,3,0)</f>
        <v>0</v>
      </c>
      <c r="L330" s="247">
        <f t="shared" si="17"/>
        <v>2112924</v>
      </c>
      <c r="M330" s="248"/>
      <c r="N330" s="248"/>
      <c r="O330" s="248"/>
      <c r="P330" s="248"/>
      <c r="Q330" s="248"/>
      <c r="R330" s="248"/>
      <c r="S330" s="248">
        <v>0</v>
      </c>
      <c r="T330" s="248">
        <v>0</v>
      </c>
      <c r="U330" s="248">
        <v>0</v>
      </c>
      <c r="V330" s="248"/>
      <c r="W330" s="248"/>
      <c r="X330" s="248"/>
      <c r="Y330" s="248">
        <v>0</v>
      </c>
      <c r="Z330" s="249">
        <v>1</v>
      </c>
      <c r="AA330" s="250">
        <v>54</v>
      </c>
      <c r="AB330" s="251">
        <v>44363</v>
      </c>
      <c r="AC330" s="252">
        <v>44369</v>
      </c>
      <c r="AD330" s="249"/>
      <c r="AE330" s="248"/>
      <c r="AF330" s="251"/>
      <c r="AG330" s="251"/>
      <c r="AH330" s="249"/>
      <c r="AI330" s="248"/>
      <c r="AJ330" s="251"/>
      <c r="AK330" s="248"/>
      <c r="AL330" s="249"/>
      <c r="AM330" s="248"/>
      <c r="AN330" s="248"/>
      <c r="AO330" s="248"/>
      <c r="AP330" s="248"/>
      <c r="AQ330" s="248"/>
      <c r="AR330" s="248"/>
      <c r="AS330" s="248"/>
      <c r="AT330" s="249"/>
      <c r="AU330" s="248"/>
      <c r="AV330" s="248"/>
      <c r="AW330" s="248"/>
      <c r="AX330" s="249"/>
      <c r="AY330" s="248"/>
      <c r="AZ330" s="248"/>
      <c r="BA330" s="248"/>
      <c r="BB330" s="248">
        <f t="shared" si="18"/>
        <v>1</v>
      </c>
      <c r="BC330" s="248">
        <f t="shared" si="16"/>
        <v>1</v>
      </c>
    </row>
    <row r="331" spans="2:55" s="39" customFormat="1" ht="33.75">
      <c r="B331" s="22">
        <f t="shared" si="19"/>
        <v>315</v>
      </c>
      <c r="C331" s="22" t="s">
        <v>39</v>
      </c>
      <c r="D331" s="23">
        <v>30359925</v>
      </c>
      <c r="E331" s="48" t="s">
        <v>1039</v>
      </c>
      <c r="F331" s="48" t="s">
        <v>700</v>
      </c>
      <c r="G331" s="26" t="s">
        <v>683</v>
      </c>
      <c r="H331" s="48" t="s">
        <v>704</v>
      </c>
      <c r="I331" s="25" t="str">
        <f>VLOOKUP(D331,[5]Hoja1!$G$5:$H$360,2,0)</f>
        <v>A</v>
      </c>
      <c r="J331" s="247">
        <f>VLOOKUP(D331,[5]Hoja1!$G$267:$W$359,17,0)</f>
        <v>31373</v>
      </c>
      <c r="K331" s="247">
        <f>VLOOKUP(D331,[5]Hoja1!$G$44:$I$358,3,0)</f>
        <v>0</v>
      </c>
      <c r="L331" s="247">
        <f t="shared" si="17"/>
        <v>31373</v>
      </c>
      <c r="M331" s="248"/>
      <c r="N331" s="248"/>
      <c r="O331" s="248"/>
      <c r="P331" s="248"/>
      <c r="Q331" s="248"/>
      <c r="R331" s="248"/>
      <c r="S331" s="248">
        <v>9850.3130000000001</v>
      </c>
      <c r="T331" s="248">
        <v>0</v>
      </c>
      <c r="U331" s="248">
        <v>0</v>
      </c>
      <c r="V331" s="248"/>
      <c r="W331" s="248"/>
      <c r="X331" s="248"/>
      <c r="Y331" s="248">
        <v>9850.3130000000001</v>
      </c>
      <c r="Z331" s="249">
        <v>10001</v>
      </c>
      <c r="AA331" s="250">
        <v>56</v>
      </c>
      <c r="AB331" s="251">
        <v>44371</v>
      </c>
      <c r="AC331" s="252">
        <v>44376</v>
      </c>
      <c r="AD331" s="249"/>
      <c r="AE331" s="248"/>
      <c r="AF331" s="251"/>
      <c r="AG331" s="251"/>
      <c r="AH331" s="249"/>
      <c r="AI331" s="248"/>
      <c r="AJ331" s="251"/>
      <c r="AK331" s="248"/>
      <c r="AL331" s="249"/>
      <c r="AM331" s="248"/>
      <c r="AN331" s="248"/>
      <c r="AO331" s="248"/>
      <c r="AP331" s="248"/>
      <c r="AQ331" s="248"/>
      <c r="AR331" s="248"/>
      <c r="AS331" s="248"/>
      <c r="AT331" s="249"/>
      <c r="AU331" s="248"/>
      <c r="AV331" s="248"/>
      <c r="AW331" s="248"/>
      <c r="AX331" s="249"/>
      <c r="AY331" s="248"/>
      <c r="AZ331" s="248"/>
      <c r="BA331" s="248"/>
      <c r="BB331" s="248">
        <f t="shared" si="18"/>
        <v>10001</v>
      </c>
      <c r="BC331" s="248">
        <f t="shared" si="16"/>
        <v>150.6869999999999</v>
      </c>
    </row>
    <row r="332" spans="2:55" s="39" customFormat="1" ht="23.25" customHeight="1">
      <c r="B332" s="22">
        <f t="shared" si="19"/>
        <v>316</v>
      </c>
      <c r="C332" s="22" t="s">
        <v>39</v>
      </c>
      <c r="D332" s="23">
        <v>40003050</v>
      </c>
      <c r="E332" s="48" t="s">
        <v>1040</v>
      </c>
      <c r="F332" s="48" t="s">
        <v>317</v>
      </c>
      <c r="G332" s="26" t="s">
        <v>683</v>
      </c>
      <c r="H332" s="48" t="s">
        <v>742</v>
      </c>
      <c r="I332" s="25" t="str">
        <f>VLOOKUP(D332,[5]Hoja1!$G$5:$H$360,2,0)</f>
        <v>A</v>
      </c>
      <c r="J332" s="247">
        <f>VLOOKUP(D332,[5]Hoja1!$G$267:$W$359,17,0)</f>
        <v>572214</v>
      </c>
      <c r="K332" s="247">
        <f>VLOOKUP(D332,[5]Hoja1!$G$44:$I$358,3,0)</f>
        <v>0</v>
      </c>
      <c r="L332" s="247">
        <f t="shared" si="17"/>
        <v>572214</v>
      </c>
      <c r="M332" s="248"/>
      <c r="N332" s="248"/>
      <c r="O332" s="248"/>
      <c r="P332" s="248"/>
      <c r="Q332" s="248"/>
      <c r="R332" s="248"/>
      <c r="S332" s="248">
        <v>0</v>
      </c>
      <c r="T332" s="248">
        <v>3850</v>
      </c>
      <c r="U332" s="248">
        <v>0</v>
      </c>
      <c r="V332" s="248"/>
      <c r="W332" s="248"/>
      <c r="X332" s="248"/>
      <c r="Y332" s="248">
        <v>3850</v>
      </c>
      <c r="Z332" s="249">
        <v>3</v>
      </c>
      <c r="AA332" s="250">
        <v>56</v>
      </c>
      <c r="AB332" s="251">
        <v>44371</v>
      </c>
      <c r="AC332" s="252">
        <v>44376</v>
      </c>
      <c r="AD332" s="249">
        <v>8000</v>
      </c>
      <c r="AE332" s="248">
        <v>87</v>
      </c>
      <c r="AF332" s="251">
        <v>44439</v>
      </c>
      <c r="AG332" s="251">
        <v>44446</v>
      </c>
      <c r="AH332" s="249"/>
      <c r="AI332" s="248"/>
      <c r="AJ332" s="251"/>
      <c r="AK332" s="248"/>
      <c r="AL332" s="249"/>
      <c r="AM332" s="248"/>
      <c r="AN332" s="248"/>
      <c r="AO332" s="248"/>
      <c r="AP332" s="248"/>
      <c r="AQ332" s="248"/>
      <c r="AR332" s="248"/>
      <c r="AS332" s="248"/>
      <c r="AT332" s="249"/>
      <c r="AU332" s="248"/>
      <c r="AV332" s="248"/>
      <c r="AW332" s="248"/>
      <c r="AX332" s="249"/>
      <c r="AY332" s="248"/>
      <c r="AZ332" s="248"/>
      <c r="BA332" s="248"/>
      <c r="BB332" s="248">
        <f t="shared" si="18"/>
        <v>8003</v>
      </c>
      <c r="BC332" s="248">
        <f t="shared" si="16"/>
        <v>4153</v>
      </c>
    </row>
    <row r="333" spans="2:55" s="39" customFormat="1" ht="23.25" customHeight="1">
      <c r="B333" s="22">
        <f t="shared" si="19"/>
        <v>317</v>
      </c>
      <c r="C333" s="22" t="s">
        <v>39</v>
      </c>
      <c r="D333" s="23">
        <v>30194922</v>
      </c>
      <c r="E333" s="48" t="s">
        <v>1041</v>
      </c>
      <c r="F333" s="48" t="s">
        <v>700</v>
      </c>
      <c r="G333" s="26" t="s">
        <v>683</v>
      </c>
      <c r="H333" s="48" t="s">
        <v>758</v>
      </c>
      <c r="I333" s="25" t="str">
        <f>VLOOKUP(D333,[5]Hoja1!$G$5:$H$360,2,0)</f>
        <v>A</v>
      </c>
      <c r="J333" s="247">
        <f>VLOOKUP(D333,[5]Hoja1!$G$267:$W$359,17,0)</f>
        <v>60479</v>
      </c>
      <c r="K333" s="247">
        <f>VLOOKUP(D333,[5]Hoja1!$G$44:$I$358,3,0)</f>
        <v>0</v>
      </c>
      <c r="L333" s="247">
        <f t="shared" si="17"/>
        <v>60479</v>
      </c>
      <c r="M333" s="248"/>
      <c r="N333" s="248"/>
      <c r="O333" s="248"/>
      <c r="P333" s="248"/>
      <c r="Q333" s="248"/>
      <c r="R333" s="248"/>
      <c r="S333" s="248">
        <v>21908</v>
      </c>
      <c r="T333" s="248">
        <v>0</v>
      </c>
      <c r="U333" s="248">
        <v>0</v>
      </c>
      <c r="V333" s="248"/>
      <c r="W333" s="248"/>
      <c r="X333" s="248"/>
      <c r="Y333" s="248">
        <v>21908</v>
      </c>
      <c r="Z333" s="249">
        <v>22000</v>
      </c>
      <c r="AA333" s="250">
        <v>56</v>
      </c>
      <c r="AB333" s="251">
        <v>44371</v>
      </c>
      <c r="AC333" s="252">
        <v>44376</v>
      </c>
      <c r="AD333" s="249"/>
      <c r="AE333" s="248"/>
      <c r="AF333" s="251"/>
      <c r="AG333" s="251"/>
      <c r="AH333" s="249"/>
      <c r="AI333" s="248"/>
      <c r="AJ333" s="251"/>
      <c r="AK333" s="248"/>
      <c r="AL333" s="249"/>
      <c r="AM333" s="248"/>
      <c r="AN333" s="248"/>
      <c r="AO333" s="248"/>
      <c r="AP333" s="248"/>
      <c r="AQ333" s="248"/>
      <c r="AR333" s="248"/>
      <c r="AS333" s="248"/>
      <c r="AT333" s="249"/>
      <c r="AU333" s="248"/>
      <c r="AV333" s="248"/>
      <c r="AW333" s="248"/>
      <c r="AX333" s="249"/>
      <c r="AY333" s="248"/>
      <c r="AZ333" s="248"/>
      <c r="BA333" s="248"/>
      <c r="BB333" s="248">
        <f t="shared" si="18"/>
        <v>22000</v>
      </c>
      <c r="BC333" s="248">
        <f t="shared" si="16"/>
        <v>92</v>
      </c>
    </row>
    <row r="334" spans="2:55" s="39" customFormat="1" ht="35.25" customHeight="1">
      <c r="B334" s="22">
        <f t="shared" si="19"/>
        <v>318</v>
      </c>
      <c r="C334" s="22" t="s">
        <v>39</v>
      </c>
      <c r="D334" s="23">
        <v>30134190</v>
      </c>
      <c r="E334" s="48" t="s">
        <v>1042</v>
      </c>
      <c r="F334" s="48" t="s">
        <v>83</v>
      </c>
      <c r="G334" s="26" t="s">
        <v>683</v>
      </c>
      <c r="H334" s="48" t="s">
        <v>790</v>
      </c>
      <c r="I334" s="25" t="str">
        <f>VLOOKUP(D334,[5]Hoja1!$G$5:$H$360,2,0)</f>
        <v>A</v>
      </c>
      <c r="J334" s="247">
        <f>VLOOKUP(D334,[5]Hoja1!$G$267:$W$359,17,0)</f>
        <v>208228</v>
      </c>
      <c r="K334" s="247">
        <f>VLOOKUP(D334,[5]Hoja1!$G$44:$I$358,3,0)</f>
        <v>104758</v>
      </c>
      <c r="L334" s="247">
        <f t="shared" si="17"/>
        <v>103470</v>
      </c>
      <c r="M334" s="248"/>
      <c r="N334" s="248"/>
      <c r="O334" s="248"/>
      <c r="P334" s="248"/>
      <c r="Q334" s="248"/>
      <c r="R334" s="248">
        <v>39353</v>
      </c>
      <c r="S334" s="248">
        <v>0</v>
      </c>
      <c r="T334" s="248">
        <v>0</v>
      </c>
      <c r="U334" s="248">
        <v>0</v>
      </c>
      <c r="V334" s="248"/>
      <c r="W334" s="248"/>
      <c r="X334" s="248"/>
      <c r="Y334" s="248">
        <v>39353</v>
      </c>
      <c r="Z334" s="249">
        <v>40001</v>
      </c>
      <c r="AA334" s="250">
        <v>57</v>
      </c>
      <c r="AB334" s="251">
        <v>44371</v>
      </c>
      <c r="AC334" s="252">
        <v>44378</v>
      </c>
      <c r="AD334" s="249"/>
      <c r="AE334" s="248"/>
      <c r="AF334" s="251"/>
      <c r="AG334" s="251"/>
      <c r="AH334" s="249"/>
      <c r="AI334" s="248"/>
      <c r="AJ334" s="251"/>
      <c r="AK334" s="248"/>
      <c r="AL334" s="249"/>
      <c r="AM334" s="248"/>
      <c r="AN334" s="248"/>
      <c r="AO334" s="248"/>
      <c r="AP334" s="248"/>
      <c r="AQ334" s="248"/>
      <c r="AR334" s="248"/>
      <c r="AS334" s="248"/>
      <c r="AT334" s="249"/>
      <c r="AU334" s="248"/>
      <c r="AV334" s="248"/>
      <c r="AW334" s="248"/>
      <c r="AX334" s="249"/>
      <c r="AY334" s="248"/>
      <c r="AZ334" s="248"/>
      <c r="BA334" s="248"/>
      <c r="BB334" s="248">
        <f t="shared" si="18"/>
        <v>40001</v>
      </c>
      <c r="BC334" s="248">
        <f t="shared" si="16"/>
        <v>648</v>
      </c>
    </row>
    <row r="335" spans="2:55" s="39" customFormat="1" ht="23.25" customHeight="1">
      <c r="B335" s="22">
        <f t="shared" si="19"/>
        <v>319</v>
      </c>
      <c r="C335" s="22" t="s">
        <v>39</v>
      </c>
      <c r="D335" s="23">
        <v>30467188</v>
      </c>
      <c r="E335" s="48" t="s">
        <v>1043</v>
      </c>
      <c r="F335" s="48" t="s">
        <v>47</v>
      </c>
      <c r="G335" s="26" t="s">
        <v>902</v>
      </c>
      <c r="H335" s="48" t="s">
        <v>902</v>
      </c>
      <c r="I335" s="25" t="s">
        <v>52</v>
      </c>
      <c r="J335" s="247">
        <v>218273</v>
      </c>
      <c r="K335" s="247">
        <v>0</v>
      </c>
      <c r="L335" s="247">
        <f t="shared" si="17"/>
        <v>218273</v>
      </c>
      <c r="M335" s="248"/>
      <c r="N335" s="248"/>
      <c r="O335" s="248"/>
      <c r="P335" s="248"/>
      <c r="Q335" s="248"/>
      <c r="R335" s="248"/>
      <c r="S335" s="248">
        <v>0</v>
      </c>
      <c r="T335" s="248">
        <v>0</v>
      </c>
      <c r="U335" s="248">
        <v>0</v>
      </c>
      <c r="V335" s="248"/>
      <c r="W335" s="248"/>
      <c r="X335" s="248"/>
      <c r="Y335" s="248">
        <v>0</v>
      </c>
      <c r="Z335" s="249">
        <v>3</v>
      </c>
      <c r="AA335" s="250">
        <v>69</v>
      </c>
      <c r="AB335" s="251">
        <v>44386</v>
      </c>
      <c r="AC335" s="252">
        <v>44390</v>
      </c>
      <c r="AD335" s="249"/>
      <c r="AE335" s="248"/>
      <c r="AF335" s="251"/>
      <c r="AG335" s="251"/>
      <c r="AH335" s="249"/>
      <c r="AI335" s="248"/>
      <c r="AJ335" s="251"/>
      <c r="AK335" s="248"/>
      <c r="AL335" s="249"/>
      <c r="AM335" s="248"/>
      <c r="AN335" s="248"/>
      <c r="AO335" s="248"/>
      <c r="AP335" s="248"/>
      <c r="AQ335" s="248"/>
      <c r="AR335" s="248"/>
      <c r="AS335" s="248"/>
      <c r="AT335" s="249"/>
      <c r="AU335" s="248"/>
      <c r="AV335" s="248"/>
      <c r="AW335" s="248"/>
      <c r="AX335" s="249"/>
      <c r="AY335" s="248"/>
      <c r="AZ335" s="248"/>
      <c r="BA335" s="248"/>
      <c r="BB335" s="248">
        <f t="shared" si="18"/>
        <v>3</v>
      </c>
      <c r="BC335" s="248">
        <f t="shared" si="16"/>
        <v>3</v>
      </c>
    </row>
    <row r="336" spans="2:55" s="39" customFormat="1" ht="32.25" customHeight="1">
      <c r="B336" s="22">
        <f t="shared" si="19"/>
        <v>320</v>
      </c>
      <c r="C336" s="22" t="s">
        <v>39</v>
      </c>
      <c r="D336" s="23">
        <v>30485837</v>
      </c>
      <c r="E336" s="48" t="s">
        <v>1044</v>
      </c>
      <c r="F336" s="48" t="s">
        <v>317</v>
      </c>
      <c r="G336" s="26" t="s">
        <v>683</v>
      </c>
      <c r="H336" s="48" t="s">
        <v>832</v>
      </c>
      <c r="I336" s="25" t="s">
        <v>52</v>
      </c>
      <c r="J336" s="247">
        <v>383607</v>
      </c>
      <c r="K336" s="247">
        <v>0</v>
      </c>
      <c r="L336" s="247">
        <f t="shared" si="17"/>
        <v>383607</v>
      </c>
      <c r="M336" s="248"/>
      <c r="N336" s="248"/>
      <c r="O336" s="248"/>
      <c r="P336" s="248"/>
      <c r="Q336" s="248"/>
      <c r="R336" s="248"/>
      <c r="S336" s="248">
        <v>0</v>
      </c>
      <c r="T336" s="248">
        <v>0</v>
      </c>
      <c r="U336" s="248">
        <v>0</v>
      </c>
      <c r="V336" s="248"/>
      <c r="W336" s="248"/>
      <c r="X336" s="248"/>
      <c r="Y336" s="248">
        <v>0</v>
      </c>
      <c r="Z336" s="249">
        <v>3</v>
      </c>
      <c r="AA336" s="250">
        <v>71</v>
      </c>
      <c r="AB336" s="251">
        <v>44400</v>
      </c>
      <c r="AC336" s="252">
        <v>44405</v>
      </c>
      <c r="AD336" s="249"/>
      <c r="AE336" s="248"/>
      <c r="AF336" s="251"/>
      <c r="AG336" s="251"/>
      <c r="AH336" s="249"/>
      <c r="AI336" s="248"/>
      <c r="AJ336" s="251"/>
      <c r="AK336" s="248"/>
      <c r="AL336" s="249"/>
      <c r="AM336" s="248"/>
      <c r="AN336" s="248"/>
      <c r="AO336" s="248"/>
      <c r="AP336" s="248"/>
      <c r="AQ336" s="248"/>
      <c r="AR336" s="248"/>
      <c r="AS336" s="248"/>
      <c r="AT336" s="249"/>
      <c r="AU336" s="248"/>
      <c r="AV336" s="248"/>
      <c r="AW336" s="248"/>
      <c r="AX336" s="249"/>
      <c r="AY336" s="248"/>
      <c r="AZ336" s="248"/>
      <c r="BA336" s="248"/>
      <c r="BB336" s="248">
        <f t="shared" si="18"/>
        <v>3</v>
      </c>
      <c r="BC336" s="248">
        <f t="shared" si="16"/>
        <v>3</v>
      </c>
    </row>
    <row r="337" spans="2:55" s="39" customFormat="1" ht="37.5" customHeight="1">
      <c r="B337" s="22">
        <f t="shared" si="19"/>
        <v>321</v>
      </c>
      <c r="C337" s="22" t="s">
        <v>39</v>
      </c>
      <c r="D337" s="23">
        <v>40028171</v>
      </c>
      <c r="E337" s="48" t="s">
        <v>1045</v>
      </c>
      <c r="F337" s="48" t="s">
        <v>317</v>
      </c>
      <c r="G337" s="26" t="s">
        <v>683</v>
      </c>
      <c r="H337" s="48" t="s">
        <v>832</v>
      </c>
      <c r="I337" s="25" t="s">
        <v>52</v>
      </c>
      <c r="J337" s="247">
        <v>1692602</v>
      </c>
      <c r="K337" s="247">
        <v>0</v>
      </c>
      <c r="L337" s="247">
        <f t="shared" si="17"/>
        <v>1692602</v>
      </c>
      <c r="M337" s="248"/>
      <c r="N337" s="248"/>
      <c r="O337" s="248"/>
      <c r="P337" s="248"/>
      <c r="Q337" s="248"/>
      <c r="R337" s="248"/>
      <c r="S337" s="248">
        <v>0</v>
      </c>
      <c r="T337" s="248">
        <v>0</v>
      </c>
      <c r="U337" s="248">
        <v>0</v>
      </c>
      <c r="V337" s="248"/>
      <c r="W337" s="248"/>
      <c r="X337" s="248"/>
      <c r="Y337" s="248">
        <v>0</v>
      </c>
      <c r="Z337" s="249">
        <v>3</v>
      </c>
      <c r="AA337" s="250">
        <v>71</v>
      </c>
      <c r="AB337" s="251">
        <v>44400</v>
      </c>
      <c r="AC337" s="252">
        <v>44405</v>
      </c>
      <c r="AD337" s="249"/>
      <c r="AE337" s="248"/>
      <c r="AF337" s="251"/>
      <c r="AG337" s="251"/>
      <c r="AH337" s="249"/>
      <c r="AI337" s="248"/>
      <c r="AJ337" s="251"/>
      <c r="AK337" s="248"/>
      <c r="AL337" s="249"/>
      <c r="AM337" s="248"/>
      <c r="AN337" s="248"/>
      <c r="AO337" s="248"/>
      <c r="AP337" s="248"/>
      <c r="AQ337" s="248"/>
      <c r="AR337" s="248"/>
      <c r="AS337" s="248"/>
      <c r="AT337" s="249"/>
      <c r="AU337" s="248"/>
      <c r="AV337" s="248"/>
      <c r="AW337" s="248"/>
      <c r="AX337" s="249"/>
      <c r="AY337" s="248"/>
      <c r="AZ337" s="248"/>
      <c r="BA337" s="248"/>
      <c r="BB337" s="248">
        <f t="shared" si="18"/>
        <v>3</v>
      </c>
      <c r="BC337" s="248">
        <f t="shared" ref="BC337:BC362" si="20">BB337-Y337</f>
        <v>3</v>
      </c>
    </row>
    <row r="338" spans="2:55" s="39" customFormat="1" ht="23.25" customHeight="1">
      <c r="B338" s="22">
        <f t="shared" si="19"/>
        <v>322</v>
      </c>
      <c r="C338" s="22" t="s">
        <v>65</v>
      </c>
      <c r="D338" s="23">
        <v>40030482</v>
      </c>
      <c r="E338" s="48" t="s">
        <v>1046</v>
      </c>
      <c r="F338" s="48" t="s">
        <v>317</v>
      </c>
      <c r="G338" s="26" t="s">
        <v>683</v>
      </c>
      <c r="H338" s="48" t="s">
        <v>718</v>
      </c>
      <c r="I338" s="25" t="s">
        <v>52</v>
      </c>
      <c r="J338" s="247">
        <v>70123</v>
      </c>
      <c r="K338" s="247">
        <v>0</v>
      </c>
      <c r="L338" s="247">
        <f t="shared" ref="L338:L348" si="21">J338-K338</f>
        <v>70123</v>
      </c>
      <c r="M338" s="248"/>
      <c r="N338" s="248"/>
      <c r="O338" s="248"/>
      <c r="P338" s="248"/>
      <c r="Q338" s="248"/>
      <c r="R338" s="248"/>
      <c r="S338" s="248">
        <v>0</v>
      </c>
      <c r="T338" s="248">
        <v>0</v>
      </c>
      <c r="U338" s="248">
        <v>0</v>
      </c>
      <c r="V338" s="248"/>
      <c r="W338" s="248"/>
      <c r="X338" s="248"/>
      <c r="Y338" s="248">
        <v>0</v>
      </c>
      <c r="Z338" s="249">
        <v>1</v>
      </c>
      <c r="AA338" s="250">
        <v>71</v>
      </c>
      <c r="AB338" s="251">
        <v>44400</v>
      </c>
      <c r="AC338" s="252">
        <v>44405</v>
      </c>
      <c r="AD338" s="249"/>
      <c r="AE338" s="248"/>
      <c r="AF338" s="251"/>
      <c r="AG338" s="251"/>
      <c r="AH338" s="249"/>
      <c r="AI338" s="248"/>
      <c r="AJ338" s="251"/>
      <c r="AK338" s="248"/>
      <c r="AL338" s="249"/>
      <c r="AM338" s="248"/>
      <c r="AN338" s="248"/>
      <c r="AO338" s="248"/>
      <c r="AP338" s="248"/>
      <c r="AQ338" s="248"/>
      <c r="AR338" s="248"/>
      <c r="AS338" s="248"/>
      <c r="AT338" s="249"/>
      <c r="AU338" s="248"/>
      <c r="AV338" s="248"/>
      <c r="AW338" s="248"/>
      <c r="AX338" s="249"/>
      <c r="AY338" s="248"/>
      <c r="AZ338" s="248"/>
      <c r="BA338" s="248"/>
      <c r="BB338" s="248">
        <f t="shared" ref="BB338:BB362" si="22">Z338+AD338+AH338+AL338+AP338+AT338+AX338</f>
        <v>1</v>
      </c>
      <c r="BC338" s="248">
        <f t="shared" si="20"/>
        <v>1</v>
      </c>
    </row>
    <row r="339" spans="2:55" s="39" customFormat="1" ht="23.25" customHeight="1">
      <c r="B339" s="22">
        <f t="shared" ref="B339:B354" si="23">B338+1</f>
        <v>323</v>
      </c>
      <c r="C339" s="22" t="s">
        <v>65</v>
      </c>
      <c r="D339" s="23">
        <v>40031198</v>
      </c>
      <c r="E339" s="48" t="s">
        <v>1047</v>
      </c>
      <c r="F339" s="48" t="s">
        <v>317</v>
      </c>
      <c r="G339" s="26" t="s">
        <v>683</v>
      </c>
      <c r="H339" s="48" t="s">
        <v>704</v>
      </c>
      <c r="I339" s="25" t="s">
        <v>52</v>
      </c>
      <c r="J339" s="247">
        <v>88780</v>
      </c>
      <c r="K339" s="247">
        <v>0</v>
      </c>
      <c r="L339" s="247">
        <f t="shared" si="21"/>
        <v>88780</v>
      </c>
      <c r="M339" s="248"/>
      <c r="N339" s="248"/>
      <c r="O339" s="248"/>
      <c r="P339" s="248"/>
      <c r="Q339" s="248"/>
      <c r="R339" s="248"/>
      <c r="S339" s="248">
        <v>0</v>
      </c>
      <c r="T339" s="248">
        <v>0</v>
      </c>
      <c r="U339" s="248">
        <v>0</v>
      </c>
      <c r="V339" s="248"/>
      <c r="W339" s="248"/>
      <c r="X339" s="248"/>
      <c r="Y339" s="248">
        <v>0</v>
      </c>
      <c r="Z339" s="249">
        <v>2</v>
      </c>
      <c r="AA339" s="250">
        <v>71</v>
      </c>
      <c r="AB339" s="251">
        <v>44400</v>
      </c>
      <c r="AC339" s="252">
        <v>44405</v>
      </c>
      <c r="AD339" s="249"/>
      <c r="AE339" s="248"/>
      <c r="AF339" s="251"/>
      <c r="AG339" s="251"/>
      <c r="AH339" s="249"/>
      <c r="AI339" s="248"/>
      <c r="AJ339" s="251"/>
      <c r="AK339" s="248"/>
      <c r="AL339" s="249"/>
      <c r="AM339" s="248"/>
      <c r="AN339" s="248"/>
      <c r="AO339" s="248"/>
      <c r="AP339" s="248"/>
      <c r="AQ339" s="248"/>
      <c r="AR339" s="248"/>
      <c r="AS339" s="248"/>
      <c r="AT339" s="249"/>
      <c r="AU339" s="248"/>
      <c r="AV339" s="248"/>
      <c r="AW339" s="248"/>
      <c r="AX339" s="249"/>
      <c r="AY339" s="248"/>
      <c r="AZ339" s="248"/>
      <c r="BA339" s="248"/>
      <c r="BB339" s="248">
        <f t="shared" si="22"/>
        <v>2</v>
      </c>
      <c r="BC339" s="248">
        <f t="shared" si="20"/>
        <v>2</v>
      </c>
    </row>
    <row r="340" spans="2:55" s="39" customFormat="1" ht="23.25" customHeight="1">
      <c r="B340" s="22">
        <f t="shared" si="23"/>
        <v>324</v>
      </c>
      <c r="C340" s="22" t="s">
        <v>39</v>
      </c>
      <c r="D340" s="23">
        <v>40003221</v>
      </c>
      <c r="E340" s="48" t="s">
        <v>1048</v>
      </c>
      <c r="F340" s="48" t="s">
        <v>317</v>
      </c>
      <c r="G340" s="26" t="s">
        <v>683</v>
      </c>
      <c r="H340" s="48" t="s">
        <v>756</v>
      </c>
      <c r="I340" s="25" t="s">
        <v>52</v>
      </c>
      <c r="J340" s="247">
        <v>583842</v>
      </c>
      <c r="K340" s="247">
        <v>0</v>
      </c>
      <c r="L340" s="247">
        <f t="shared" si="21"/>
        <v>583842</v>
      </c>
      <c r="M340" s="248"/>
      <c r="N340" s="248"/>
      <c r="O340" s="248"/>
      <c r="P340" s="248"/>
      <c r="Q340" s="248"/>
      <c r="R340" s="248"/>
      <c r="S340" s="248">
        <v>0</v>
      </c>
      <c r="T340" s="248">
        <v>209816.37800000003</v>
      </c>
      <c r="U340" s="248">
        <v>125687.508</v>
      </c>
      <c r="V340" s="248"/>
      <c r="W340" s="248"/>
      <c r="X340" s="248"/>
      <c r="Y340" s="248">
        <v>335503.88600000006</v>
      </c>
      <c r="Z340" s="249">
        <v>102002</v>
      </c>
      <c r="AA340" s="250">
        <v>73</v>
      </c>
      <c r="AB340" s="251">
        <v>44406</v>
      </c>
      <c r="AC340" s="252">
        <v>44410</v>
      </c>
      <c r="AD340" s="249">
        <v>108000</v>
      </c>
      <c r="AE340" s="248">
        <v>75</v>
      </c>
      <c r="AF340" s="251">
        <v>44406</v>
      </c>
      <c r="AG340" s="251">
        <v>44413</v>
      </c>
      <c r="AH340" s="249"/>
      <c r="AI340" s="248"/>
      <c r="AJ340" s="251"/>
      <c r="AK340" s="248"/>
      <c r="AL340" s="249"/>
      <c r="AM340" s="248"/>
      <c r="AN340" s="248"/>
      <c r="AO340" s="248"/>
      <c r="AP340" s="248"/>
      <c r="AQ340" s="248"/>
      <c r="AR340" s="248"/>
      <c r="AS340" s="248"/>
      <c r="AT340" s="249"/>
      <c r="AU340" s="248"/>
      <c r="AV340" s="248"/>
      <c r="AW340" s="248"/>
      <c r="AX340" s="249"/>
      <c r="AY340" s="248"/>
      <c r="AZ340" s="248"/>
      <c r="BA340" s="248"/>
      <c r="BB340" s="248">
        <f t="shared" si="22"/>
        <v>210002</v>
      </c>
      <c r="BC340" s="248">
        <f t="shared" si="20"/>
        <v>-125501.88600000006</v>
      </c>
    </row>
    <row r="341" spans="2:55" s="39" customFormat="1" ht="23.25" customHeight="1">
      <c r="B341" s="22">
        <f t="shared" si="23"/>
        <v>325</v>
      </c>
      <c r="C341" s="22" t="s">
        <v>39</v>
      </c>
      <c r="D341" s="23">
        <v>30199022</v>
      </c>
      <c r="E341" s="48" t="s">
        <v>1049</v>
      </c>
      <c r="F341" s="48" t="s">
        <v>317</v>
      </c>
      <c r="G341" s="26" t="s">
        <v>683</v>
      </c>
      <c r="H341" s="48" t="s">
        <v>742</v>
      </c>
      <c r="I341" s="25" t="s">
        <v>52</v>
      </c>
      <c r="J341" s="247">
        <v>4670992</v>
      </c>
      <c r="K341" s="247">
        <v>0</v>
      </c>
      <c r="L341" s="247">
        <f t="shared" si="21"/>
        <v>4670992</v>
      </c>
      <c r="M341" s="248"/>
      <c r="N341" s="248"/>
      <c r="O341" s="248"/>
      <c r="P341" s="248"/>
      <c r="Q341" s="248"/>
      <c r="R341" s="248"/>
      <c r="S341" s="248">
        <v>0</v>
      </c>
      <c r="T341" s="248">
        <v>0</v>
      </c>
      <c r="U341" s="248">
        <v>0</v>
      </c>
      <c r="V341" s="248"/>
      <c r="W341" s="248"/>
      <c r="X341" s="248"/>
      <c r="Y341" s="248">
        <v>0</v>
      </c>
      <c r="Z341" s="249">
        <v>4</v>
      </c>
      <c r="AA341" s="250">
        <v>73</v>
      </c>
      <c r="AB341" s="251">
        <v>44406</v>
      </c>
      <c r="AC341" s="252">
        <v>44410</v>
      </c>
      <c r="AD341" s="249"/>
      <c r="AE341" s="248"/>
      <c r="AF341" s="251"/>
      <c r="AG341" s="251"/>
      <c r="AH341" s="249"/>
      <c r="AI341" s="248"/>
      <c r="AJ341" s="251"/>
      <c r="AK341" s="248"/>
      <c r="AL341" s="249"/>
      <c r="AM341" s="248"/>
      <c r="AN341" s="248"/>
      <c r="AO341" s="248"/>
      <c r="AP341" s="248"/>
      <c r="AQ341" s="248"/>
      <c r="AR341" s="248"/>
      <c r="AS341" s="248"/>
      <c r="AT341" s="249"/>
      <c r="AU341" s="248"/>
      <c r="AV341" s="248"/>
      <c r="AW341" s="248"/>
      <c r="AX341" s="249"/>
      <c r="AY341" s="248"/>
      <c r="AZ341" s="248"/>
      <c r="BA341" s="248"/>
      <c r="BB341" s="248">
        <f t="shared" si="22"/>
        <v>4</v>
      </c>
      <c r="BC341" s="248">
        <f t="shared" si="20"/>
        <v>4</v>
      </c>
    </row>
    <row r="342" spans="2:55" s="39" customFormat="1" ht="23.25" customHeight="1">
      <c r="B342" s="22">
        <f t="shared" si="23"/>
        <v>326</v>
      </c>
      <c r="C342" s="22" t="s">
        <v>39</v>
      </c>
      <c r="D342" s="23">
        <v>40001433</v>
      </c>
      <c r="E342" s="48" t="s">
        <v>1050</v>
      </c>
      <c r="F342" s="48" t="s">
        <v>47</v>
      </c>
      <c r="G342" s="26" t="s">
        <v>683</v>
      </c>
      <c r="H342" s="48" t="s">
        <v>742</v>
      </c>
      <c r="I342" s="25" t="s">
        <v>52</v>
      </c>
      <c r="J342" s="247">
        <v>69053</v>
      </c>
      <c r="K342" s="247">
        <v>0</v>
      </c>
      <c r="L342" s="247">
        <f t="shared" si="21"/>
        <v>69053</v>
      </c>
      <c r="M342" s="248"/>
      <c r="N342" s="248"/>
      <c r="O342" s="248"/>
      <c r="P342" s="248"/>
      <c r="Q342" s="248"/>
      <c r="R342" s="248"/>
      <c r="S342" s="248">
        <v>0</v>
      </c>
      <c r="T342" s="248">
        <v>0</v>
      </c>
      <c r="U342" s="248">
        <v>0</v>
      </c>
      <c r="V342" s="248"/>
      <c r="W342" s="248"/>
      <c r="X342" s="248"/>
      <c r="Y342" s="248">
        <v>0</v>
      </c>
      <c r="Z342" s="249">
        <v>1</v>
      </c>
      <c r="AA342" s="250">
        <v>73</v>
      </c>
      <c r="AB342" s="251">
        <v>44406</v>
      </c>
      <c r="AC342" s="252">
        <v>44410</v>
      </c>
      <c r="AD342" s="249"/>
      <c r="AE342" s="248"/>
      <c r="AF342" s="251"/>
      <c r="AG342" s="251"/>
      <c r="AH342" s="249"/>
      <c r="AI342" s="248"/>
      <c r="AJ342" s="251"/>
      <c r="AK342" s="248"/>
      <c r="AL342" s="249"/>
      <c r="AM342" s="248"/>
      <c r="AN342" s="248"/>
      <c r="AO342" s="248"/>
      <c r="AP342" s="248"/>
      <c r="AQ342" s="248"/>
      <c r="AR342" s="248"/>
      <c r="AS342" s="248"/>
      <c r="AT342" s="249"/>
      <c r="AU342" s="248"/>
      <c r="AV342" s="248"/>
      <c r="AW342" s="248"/>
      <c r="AX342" s="249"/>
      <c r="AY342" s="248"/>
      <c r="AZ342" s="248"/>
      <c r="BA342" s="248"/>
      <c r="BB342" s="248">
        <f t="shared" si="22"/>
        <v>1</v>
      </c>
      <c r="BC342" s="248">
        <f t="shared" si="20"/>
        <v>1</v>
      </c>
    </row>
    <row r="343" spans="2:55" s="39" customFormat="1" ht="23.25" customHeight="1">
      <c r="B343" s="22">
        <f t="shared" si="23"/>
        <v>327</v>
      </c>
      <c r="C343" s="22" t="s">
        <v>39</v>
      </c>
      <c r="D343" s="23">
        <v>40003060</v>
      </c>
      <c r="E343" s="48" t="s">
        <v>1051</v>
      </c>
      <c r="F343" s="48" t="s">
        <v>317</v>
      </c>
      <c r="G343" s="26" t="s">
        <v>683</v>
      </c>
      <c r="H343" s="48" t="s">
        <v>832</v>
      </c>
      <c r="I343" s="25" t="s">
        <v>52</v>
      </c>
      <c r="J343" s="247">
        <v>708944</v>
      </c>
      <c r="K343" s="247">
        <v>0</v>
      </c>
      <c r="L343" s="247">
        <f t="shared" si="21"/>
        <v>708944</v>
      </c>
      <c r="M343" s="248"/>
      <c r="N343" s="248"/>
      <c r="O343" s="248"/>
      <c r="P343" s="248"/>
      <c r="Q343" s="248"/>
      <c r="R343" s="248"/>
      <c r="S343" s="248">
        <v>0</v>
      </c>
      <c r="T343" s="248">
        <v>0</v>
      </c>
      <c r="U343" s="248">
        <v>0</v>
      </c>
      <c r="V343" s="248"/>
      <c r="W343" s="248"/>
      <c r="X343" s="248"/>
      <c r="Y343" s="248">
        <v>0</v>
      </c>
      <c r="Z343" s="249">
        <v>3</v>
      </c>
      <c r="AA343" s="250">
        <v>73</v>
      </c>
      <c r="AB343" s="251">
        <v>44406</v>
      </c>
      <c r="AC343" s="252">
        <v>44410</v>
      </c>
      <c r="AD343" s="249"/>
      <c r="AE343" s="248"/>
      <c r="AF343" s="251"/>
      <c r="AG343" s="251"/>
      <c r="AH343" s="249"/>
      <c r="AI343" s="248"/>
      <c r="AJ343" s="251"/>
      <c r="AK343" s="248"/>
      <c r="AL343" s="249"/>
      <c r="AM343" s="248"/>
      <c r="AN343" s="248"/>
      <c r="AO343" s="248"/>
      <c r="AP343" s="248"/>
      <c r="AQ343" s="248"/>
      <c r="AR343" s="248"/>
      <c r="AS343" s="248"/>
      <c r="AT343" s="249"/>
      <c r="AU343" s="248"/>
      <c r="AV343" s="248"/>
      <c r="AW343" s="248"/>
      <c r="AX343" s="249"/>
      <c r="AY343" s="248"/>
      <c r="AZ343" s="248"/>
      <c r="BA343" s="248"/>
      <c r="BB343" s="248">
        <f t="shared" si="22"/>
        <v>3</v>
      </c>
      <c r="BC343" s="248">
        <f t="shared" si="20"/>
        <v>3</v>
      </c>
    </row>
    <row r="344" spans="2:55" s="39" customFormat="1" ht="23.25" customHeight="1">
      <c r="B344" s="22">
        <f t="shared" si="23"/>
        <v>328</v>
      </c>
      <c r="C344" s="22" t="s">
        <v>39</v>
      </c>
      <c r="D344" s="23">
        <v>30064543</v>
      </c>
      <c r="E344" s="48" t="s">
        <v>1052</v>
      </c>
      <c r="F344" s="48" t="s">
        <v>317</v>
      </c>
      <c r="G344" s="26" t="s">
        <v>683</v>
      </c>
      <c r="H344" s="48" t="s">
        <v>785</v>
      </c>
      <c r="I344" s="25" t="s">
        <v>44</v>
      </c>
      <c r="J344" s="247">
        <v>1635155</v>
      </c>
      <c r="K344" s="247">
        <v>1584375</v>
      </c>
      <c r="L344" s="247">
        <f t="shared" si="21"/>
        <v>50780</v>
      </c>
      <c r="M344" s="248"/>
      <c r="N344" s="248"/>
      <c r="O344" s="248"/>
      <c r="P344" s="248"/>
      <c r="Q344" s="248"/>
      <c r="R344" s="248"/>
      <c r="S344" s="248">
        <v>0</v>
      </c>
      <c r="T344" s="248">
        <v>0</v>
      </c>
      <c r="U344" s="248">
        <v>14357.588</v>
      </c>
      <c r="V344" s="248"/>
      <c r="W344" s="248"/>
      <c r="X344" s="248"/>
      <c r="Y344" s="248">
        <v>14357.588</v>
      </c>
      <c r="Z344" s="249">
        <v>14359</v>
      </c>
      <c r="AA344" s="250">
        <v>73</v>
      </c>
      <c r="AB344" s="251">
        <v>44406</v>
      </c>
      <c r="AC344" s="252">
        <v>44410</v>
      </c>
      <c r="AD344" s="249"/>
      <c r="AE344" s="248"/>
      <c r="AF344" s="251"/>
      <c r="AG344" s="251"/>
      <c r="AH344" s="249"/>
      <c r="AI344" s="248"/>
      <c r="AJ344" s="251"/>
      <c r="AK344" s="248"/>
      <c r="AL344" s="249"/>
      <c r="AM344" s="248"/>
      <c r="AN344" s="248"/>
      <c r="AO344" s="248"/>
      <c r="AP344" s="248"/>
      <c r="AQ344" s="248"/>
      <c r="AR344" s="248"/>
      <c r="AS344" s="248"/>
      <c r="AT344" s="249"/>
      <c r="AU344" s="248"/>
      <c r="AV344" s="248"/>
      <c r="AW344" s="248"/>
      <c r="AX344" s="249"/>
      <c r="AY344" s="248"/>
      <c r="AZ344" s="248"/>
      <c r="BA344" s="248"/>
      <c r="BB344" s="248">
        <f t="shared" si="22"/>
        <v>14359</v>
      </c>
      <c r="BC344" s="248">
        <f t="shared" si="20"/>
        <v>1.4120000000002619</v>
      </c>
    </row>
    <row r="345" spans="2:55" s="39" customFormat="1" ht="23.25" customHeight="1">
      <c r="B345" s="22">
        <f t="shared" si="23"/>
        <v>329</v>
      </c>
      <c r="C345" s="22" t="s">
        <v>39</v>
      </c>
      <c r="D345" s="23">
        <v>30429223</v>
      </c>
      <c r="E345" s="48" t="s">
        <v>1053</v>
      </c>
      <c r="F345" s="48" t="s">
        <v>47</v>
      </c>
      <c r="G345" s="26" t="s">
        <v>683</v>
      </c>
      <c r="H345" s="48" t="s">
        <v>693</v>
      </c>
      <c r="I345" s="25" t="s">
        <v>44</v>
      </c>
      <c r="J345" s="247">
        <v>33073</v>
      </c>
      <c r="K345" s="247">
        <v>17635</v>
      </c>
      <c r="L345" s="247">
        <f t="shared" si="21"/>
        <v>15438</v>
      </c>
      <c r="M345" s="248"/>
      <c r="N345" s="248"/>
      <c r="O345" s="248"/>
      <c r="P345" s="248"/>
      <c r="Q345" s="248"/>
      <c r="R345" s="248"/>
      <c r="S345" s="248">
        <v>0</v>
      </c>
      <c r="T345" s="248">
        <v>0</v>
      </c>
      <c r="U345" s="248">
        <v>0</v>
      </c>
      <c r="V345" s="248"/>
      <c r="W345" s="248"/>
      <c r="X345" s="248"/>
      <c r="Y345" s="248">
        <v>0</v>
      </c>
      <c r="Z345" s="249">
        <v>1</v>
      </c>
      <c r="AA345" s="250">
        <v>75</v>
      </c>
      <c r="AB345" s="251">
        <v>44406</v>
      </c>
      <c r="AC345" s="252">
        <v>44413</v>
      </c>
      <c r="AD345" s="249"/>
      <c r="AE345" s="248"/>
      <c r="AF345" s="251"/>
      <c r="AG345" s="251"/>
      <c r="AH345" s="249"/>
      <c r="AI345" s="248"/>
      <c r="AJ345" s="251"/>
      <c r="AK345" s="248"/>
      <c r="AL345" s="249"/>
      <c r="AM345" s="248"/>
      <c r="AN345" s="248"/>
      <c r="AO345" s="248"/>
      <c r="AP345" s="248"/>
      <c r="AQ345" s="248"/>
      <c r="AR345" s="248"/>
      <c r="AS345" s="248"/>
      <c r="AT345" s="249"/>
      <c r="AU345" s="248"/>
      <c r="AV345" s="248"/>
      <c r="AW345" s="248"/>
      <c r="AX345" s="249"/>
      <c r="AY345" s="248"/>
      <c r="AZ345" s="248"/>
      <c r="BA345" s="248"/>
      <c r="BB345" s="248">
        <f t="shared" si="22"/>
        <v>1</v>
      </c>
      <c r="BC345" s="248">
        <f t="shared" si="20"/>
        <v>1</v>
      </c>
    </row>
    <row r="346" spans="2:55" s="39" customFormat="1" ht="23.25" customHeight="1">
      <c r="B346" s="22">
        <f t="shared" si="23"/>
        <v>330</v>
      </c>
      <c r="C346" s="22" t="s">
        <v>39</v>
      </c>
      <c r="D346" s="23">
        <v>30397976</v>
      </c>
      <c r="E346" s="48" t="s">
        <v>1054</v>
      </c>
      <c r="F346" s="48" t="s">
        <v>47</v>
      </c>
      <c r="G346" s="26" t="s">
        <v>683</v>
      </c>
      <c r="H346" s="48" t="s">
        <v>686</v>
      </c>
      <c r="I346" s="25" t="s">
        <v>44</v>
      </c>
      <c r="J346" s="247">
        <v>51674</v>
      </c>
      <c r="K346" s="247">
        <v>30425</v>
      </c>
      <c r="L346" s="247">
        <f t="shared" si="21"/>
        <v>21249</v>
      </c>
      <c r="M346" s="248"/>
      <c r="N346" s="248"/>
      <c r="O346" s="248"/>
      <c r="P346" s="248"/>
      <c r="Q346" s="248"/>
      <c r="R346" s="248"/>
      <c r="S346" s="248"/>
      <c r="T346" s="248">
        <v>10948.8</v>
      </c>
      <c r="U346" s="248">
        <v>0</v>
      </c>
      <c r="V346" s="248"/>
      <c r="W346" s="248"/>
      <c r="X346" s="248"/>
      <c r="Y346" s="248">
        <v>10948.8</v>
      </c>
      <c r="Z346" s="249">
        <v>11000</v>
      </c>
      <c r="AA346" s="250">
        <v>82</v>
      </c>
      <c r="AB346" s="251">
        <v>44426</v>
      </c>
      <c r="AC346" s="252">
        <v>44431</v>
      </c>
      <c r="AD346" s="249"/>
      <c r="AE346" s="248"/>
      <c r="AF346" s="251"/>
      <c r="AG346" s="251"/>
      <c r="AH346" s="249"/>
      <c r="AI346" s="248"/>
      <c r="AJ346" s="251"/>
      <c r="AK346" s="248"/>
      <c r="AL346" s="249"/>
      <c r="AM346" s="248"/>
      <c r="AN346" s="248"/>
      <c r="AO346" s="248"/>
      <c r="AP346" s="248"/>
      <c r="AQ346" s="248"/>
      <c r="AR346" s="248"/>
      <c r="AS346" s="248"/>
      <c r="AT346" s="249"/>
      <c r="AU346" s="248"/>
      <c r="AV346" s="248"/>
      <c r="AW346" s="248"/>
      <c r="AX346" s="249"/>
      <c r="AY346" s="248"/>
      <c r="AZ346" s="248"/>
      <c r="BA346" s="248"/>
      <c r="BB346" s="248">
        <f t="shared" si="22"/>
        <v>11000</v>
      </c>
      <c r="BC346" s="248">
        <f t="shared" si="20"/>
        <v>51.200000000000728</v>
      </c>
    </row>
    <row r="347" spans="2:55" s="39" customFormat="1" ht="31.5" customHeight="1">
      <c r="B347" s="22">
        <f t="shared" si="23"/>
        <v>331</v>
      </c>
      <c r="C347" s="22" t="s">
        <v>39</v>
      </c>
      <c r="D347" s="23">
        <v>30457584</v>
      </c>
      <c r="E347" s="48" t="s">
        <v>1055</v>
      </c>
      <c r="F347" s="48" t="s">
        <v>47</v>
      </c>
      <c r="G347" s="26" t="s">
        <v>683</v>
      </c>
      <c r="H347" s="48" t="s">
        <v>737</v>
      </c>
      <c r="I347" s="25" t="s">
        <v>44</v>
      </c>
      <c r="J347" s="247">
        <v>74928</v>
      </c>
      <c r="K347" s="247">
        <v>44915</v>
      </c>
      <c r="L347" s="247">
        <f t="shared" si="21"/>
        <v>30013</v>
      </c>
      <c r="M347" s="248"/>
      <c r="N347" s="248"/>
      <c r="O347" s="248"/>
      <c r="P347" s="248"/>
      <c r="Q347" s="248"/>
      <c r="R347" s="248"/>
      <c r="S347" s="248"/>
      <c r="T347" s="248">
        <v>0</v>
      </c>
      <c r="U347" s="248">
        <v>0</v>
      </c>
      <c r="V347" s="248"/>
      <c r="W347" s="248"/>
      <c r="X347" s="248"/>
      <c r="Y347" s="248">
        <v>0</v>
      </c>
      <c r="Z347" s="249">
        <v>8352</v>
      </c>
      <c r="AA347" s="250">
        <v>84</v>
      </c>
      <c r="AB347" s="251">
        <v>44431</v>
      </c>
      <c r="AC347" s="252">
        <v>44433</v>
      </c>
      <c r="AD347" s="249"/>
      <c r="AE347" s="248"/>
      <c r="AF347" s="251"/>
      <c r="AG347" s="251"/>
      <c r="AH347" s="249"/>
      <c r="AI347" s="248"/>
      <c r="AJ347" s="251"/>
      <c r="AK347" s="248"/>
      <c r="AL347" s="249"/>
      <c r="AM347" s="248"/>
      <c r="AN347" s="248"/>
      <c r="AO347" s="248"/>
      <c r="AP347" s="248"/>
      <c r="AQ347" s="248"/>
      <c r="AR347" s="248"/>
      <c r="AS347" s="248"/>
      <c r="AT347" s="249"/>
      <c r="AU347" s="248"/>
      <c r="AV347" s="248"/>
      <c r="AW347" s="248"/>
      <c r="AX347" s="249"/>
      <c r="AY347" s="248"/>
      <c r="AZ347" s="248"/>
      <c r="BA347" s="248"/>
      <c r="BB347" s="248">
        <f t="shared" si="22"/>
        <v>8352</v>
      </c>
      <c r="BC347" s="248">
        <f t="shared" si="20"/>
        <v>8352</v>
      </c>
    </row>
    <row r="348" spans="2:55" s="39" customFormat="1" ht="23.25" customHeight="1">
      <c r="B348" s="22">
        <f t="shared" si="23"/>
        <v>332</v>
      </c>
      <c r="C348" s="261" t="s">
        <v>39</v>
      </c>
      <c r="D348" s="23">
        <v>40025885</v>
      </c>
      <c r="E348" s="48" t="s">
        <v>1056</v>
      </c>
      <c r="F348" s="48" t="s">
        <v>317</v>
      </c>
      <c r="G348" s="26" t="s">
        <v>683</v>
      </c>
      <c r="H348" s="48" t="s">
        <v>745</v>
      </c>
      <c r="I348" s="25" t="s">
        <v>52</v>
      </c>
      <c r="J348" s="247">
        <v>3001248</v>
      </c>
      <c r="K348" s="247">
        <v>0</v>
      </c>
      <c r="L348" s="247">
        <f t="shared" si="21"/>
        <v>3001248</v>
      </c>
      <c r="M348" s="248"/>
      <c r="N348" s="248"/>
      <c r="O348" s="248"/>
      <c r="P348" s="248"/>
      <c r="Q348" s="248"/>
      <c r="R348" s="248"/>
      <c r="S348" s="248"/>
      <c r="T348" s="248">
        <v>0</v>
      </c>
      <c r="U348" s="248">
        <v>0</v>
      </c>
      <c r="V348" s="248"/>
      <c r="W348" s="248"/>
      <c r="X348" s="248"/>
      <c r="Y348" s="248">
        <v>0</v>
      </c>
      <c r="Z348" s="249">
        <v>4</v>
      </c>
      <c r="AA348" s="250">
        <v>95</v>
      </c>
      <c r="AB348" s="251">
        <v>44460</v>
      </c>
      <c r="AC348" s="252">
        <v>44466</v>
      </c>
      <c r="AD348" s="249"/>
      <c r="AE348" s="248"/>
      <c r="AF348" s="251"/>
      <c r="AG348" s="251"/>
      <c r="AH348" s="249"/>
      <c r="AI348" s="248"/>
      <c r="AJ348" s="251"/>
      <c r="AK348" s="248"/>
      <c r="AL348" s="249"/>
      <c r="AM348" s="248"/>
      <c r="AN348" s="248"/>
      <c r="AO348" s="248"/>
      <c r="AP348" s="248"/>
      <c r="AQ348" s="248"/>
      <c r="AR348" s="248"/>
      <c r="AS348" s="248"/>
      <c r="AT348" s="249"/>
      <c r="AU348" s="248"/>
      <c r="AV348" s="248"/>
      <c r="AW348" s="248"/>
      <c r="AX348" s="249"/>
      <c r="AY348" s="248"/>
      <c r="AZ348" s="248"/>
      <c r="BA348" s="248"/>
      <c r="BB348" s="248">
        <f t="shared" si="22"/>
        <v>4</v>
      </c>
      <c r="BC348" s="248">
        <f t="shared" si="20"/>
        <v>4</v>
      </c>
    </row>
    <row r="349" spans="2:55" s="39" customFormat="1" ht="23.25" customHeight="1">
      <c r="B349" s="22">
        <f t="shared" si="23"/>
        <v>333</v>
      </c>
      <c r="C349" s="261"/>
      <c r="D349" s="23"/>
      <c r="E349" s="48"/>
      <c r="F349" s="48"/>
      <c r="G349" s="26"/>
      <c r="H349" s="48"/>
      <c r="I349" s="25"/>
      <c r="J349" s="247"/>
      <c r="K349" s="247"/>
      <c r="L349" s="247"/>
      <c r="M349" s="248"/>
      <c r="N349" s="248"/>
      <c r="O349" s="248"/>
      <c r="P349" s="248"/>
      <c r="Q349" s="248"/>
      <c r="R349" s="248"/>
      <c r="S349" s="248"/>
      <c r="T349" s="248"/>
      <c r="U349" s="248"/>
      <c r="V349" s="248"/>
      <c r="W349" s="248"/>
      <c r="X349" s="248"/>
      <c r="Y349" s="248">
        <f t="shared" ref="Y349:Y362" si="24">SUM(M349:X349)</f>
        <v>0</v>
      </c>
      <c r="Z349" s="249"/>
      <c r="AA349" s="250"/>
      <c r="AB349" s="251"/>
      <c r="AC349" s="252"/>
      <c r="AD349" s="249"/>
      <c r="AE349" s="248"/>
      <c r="AF349" s="251"/>
      <c r="AG349" s="251"/>
      <c r="AH349" s="249"/>
      <c r="AI349" s="248"/>
      <c r="AJ349" s="251"/>
      <c r="AK349" s="248"/>
      <c r="AL349" s="249"/>
      <c r="AM349" s="248"/>
      <c r="AN349" s="248"/>
      <c r="AO349" s="248"/>
      <c r="AP349" s="248"/>
      <c r="AQ349" s="248"/>
      <c r="AR349" s="248"/>
      <c r="AS349" s="248"/>
      <c r="AT349" s="249"/>
      <c r="AU349" s="248"/>
      <c r="AV349" s="248"/>
      <c r="AW349" s="248"/>
      <c r="AX349" s="249"/>
      <c r="AY349" s="248"/>
      <c r="AZ349" s="248"/>
      <c r="BA349" s="248"/>
      <c r="BB349" s="248">
        <f t="shared" si="22"/>
        <v>0</v>
      </c>
      <c r="BC349" s="248">
        <f t="shared" si="20"/>
        <v>0</v>
      </c>
    </row>
    <row r="350" spans="2:55" s="39" customFormat="1" ht="23.25" customHeight="1">
      <c r="B350" s="22">
        <f t="shared" si="23"/>
        <v>334</v>
      </c>
      <c r="C350" s="261"/>
      <c r="D350" s="23"/>
      <c r="E350" s="48"/>
      <c r="F350" s="48"/>
      <c r="G350" s="26"/>
      <c r="H350" s="48"/>
      <c r="I350" s="25"/>
      <c r="J350" s="247"/>
      <c r="K350" s="247"/>
      <c r="L350" s="247"/>
      <c r="M350" s="248"/>
      <c r="N350" s="248"/>
      <c r="O350" s="248"/>
      <c r="P350" s="248"/>
      <c r="Q350" s="248"/>
      <c r="R350" s="248"/>
      <c r="S350" s="248"/>
      <c r="T350" s="248"/>
      <c r="U350" s="248"/>
      <c r="V350" s="248"/>
      <c r="W350" s="248"/>
      <c r="X350" s="248"/>
      <c r="Y350" s="248">
        <f t="shared" si="24"/>
        <v>0</v>
      </c>
      <c r="Z350" s="249"/>
      <c r="AA350" s="250"/>
      <c r="AB350" s="251"/>
      <c r="AC350" s="252"/>
      <c r="AD350" s="249"/>
      <c r="AE350" s="248"/>
      <c r="AF350" s="251"/>
      <c r="AG350" s="251"/>
      <c r="AH350" s="249"/>
      <c r="AI350" s="248"/>
      <c r="AJ350" s="251"/>
      <c r="AK350" s="248"/>
      <c r="AL350" s="249"/>
      <c r="AM350" s="248"/>
      <c r="AN350" s="248"/>
      <c r="AO350" s="248"/>
      <c r="AP350" s="248"/>
      <c r="AQ350" s="248"/>
      <c r="AR350" s="248"/>
      <c r="AS350" s="248"/>
      <c r="AT350" s="249"/>
      <c r="AU350" s="248"/>
      <c r="AV350" s="248"/>
      <c r="AW350" s="248"/>
      <c r="AX350" s="249"/>
      <c r="AY350" s="248"/>
      <c r="AZ350" s="248"/>
      <c r="BA350" s="248"/>
      <c r="BB350" s="248">
        <f t="shared" si="22"/>
        <v>0</v>
      </c>
      <c r="BC350" s="248">
        <f t="shared" si="20"/>
        <v>0</v>
      </c>
    </row>
    <row r="351" spans="2:55" s="39" customFormat="1" ht="23.25" customHeight="1">
      <c r="B351" s="22">
        <f t="shared" si="23"/>
        <v>335</v>
      </c>
      <c r="C351" s="261"/>
      <c r="D351" s="23"/>
      <c r="E351" s="48"/>
      <c r="F351" s="48"/>
      <c r="G351" s="26"/>
      <c r="H351" s="48"/>
      <c r="I351" s="25"/>
      <c r="J351" s="247"/>
      <c r="K351" s="247"/>
      <c r="L351" s="247"/>
      <c r="M351" s="248"/>
      <c r="N351" s="248"/>
      <c r="O351" s="248"/>
      <c r="P351" s="248"/>
      <c r="Q351" s="248"/>
      <c r="R351" s="248"/>
      <c r="S351" s="248"/>
      <c r="T351" s="248"/>
      <c r="U351" s="248"/>
      <c r="V351" s="248"/>
      <c r="W351" s="248"/>
      <c r="X351" s="248"/>
      <c r="Y351" s="248">
        <f t="shared" si="24"/>
        <v>0</v>
      </c>
      <c r="Z351" s="249"/>
      <c r="AA351" s="250"/>
      <c r="AB351" s="251"/>
      <c r="AC351" s="252"/>
      <c r="AD351" s="249"/>
      <c r="AE351" s="248"/>
      <c r="AF351" s="251"/>
      <c r="AG351" s="251"/>
      <c r="AH351" s="249"/>
      <c r="AI351" s="248"/>
      <c r="AJ351" s="251"/>
      <c r="AK351" s="248"/>
      <c r="AL351" s="249"/>
      <c r="AM351" s="248"/>
      <c r="AN351" s="248"/>
      <c r="AO351" s="248"/>
      <c r="AP351" s="248"/>
      <c r="AQ351" s="248"/>
      <c r="AR351" s="248"/>
      <c r="AS351" s="248"/>
      <c r="AT351" s="249"/>
      <c r="AU351" s="248"/>
      <c r="AV351" s="248"/>
      <c r="AW351" s="248"/>
      <c r="AX351" s="249"/>
      <c r="AY351" s="248"/>
      <c r="AZ351" s="248"/>
      <c r="BA351" s="248"/>
      <c r="BB351" s="248">
        <f t="shared" si="22"/>
        <v>0</v>
      </c>
      <c r="BC351" s="248">
        <f t="shared" si="20"/>
        <v>0</v>
      </c>
    </row>
    <row r="352" spans="2:55" s="39" customFormat="1" ht="23.25" customHeight="1">
      <c r="B352" s="22">
        <f t="shared" si="23"/>
        <v>336</v>
      </c>
      <c r="C352" s="261"/>
      <c r="D352" s="23"/>
      <c r="E352" s="48"/>
      <c r="F352" s="48"/>
      <c r="G352" s="26"/>
      <c r="H352" s="48"/>
      <c r="I352" s="25"/>
      <c r="J352" s="247"/>
      <c r="K352" s="247"/>
      <c r="L352" s="247"/>
      <c r="M352" s="248"/>
      <c r="N352" s="248"/>
      <c r="O352" s="248"/>
      <c r="P352" s="248"/>
      <c r="Q352" s="248"/>
      <c r="R352" s="248"/>
      <c r="S352" s="248"/>
      <c r="T352" s="248"/>
      <c r="U352" s="248"/>
      <c r="V352" s="248"/>
      <c r="W352" s="248"/>
      <c r="X352" s="248"/>
      <c r="Y352" s="248">
        <f t="shared" si="24"/>
        <v>0</v>
      </c>
      <c r="Z352" s="249"/>
      <c r="AA352" s="250"/>
      <c r="AB352" s="251"/>
      <c r="AC352" s="252"/>
      <c r="AD352" s="249"/>
      <c r="AE352" s="248"/>
      <c r="AF352" s="251"/>
      <c r="AG352" s="251"/>
      <c r="AH352" s="249"/>
      <c r="AI352" s="248"/>
      <c r="AJ352" s="251"/>
      <c r="AK352" s="248"/>
      <c r="AL352" s="249"/>
      <c r="AM352" s="248"/>
      <c r="AN352" s="248"/>
      <c r="AO352" s="248"/>
      <c r="AP352" s="248"/>
      <c r="AQ352" s="248"/>
      <c r="AR352" s="248"/>
      <c r="AS352" s="248"/>
      <c r="AT352" s="249"/>
      <c r="AU352" s="248"/>
      <c r="AV352" s="248"/>
      <c r="AW352" s="248"/>
      <c r="AX352" s="249"/>
      <c r="AY352" s="248"/>
      <c r="AZ352" s="248"/>
      <c r="BA352" s="248"/>
      <c r="BB352" s="248">
        <f t="shared" si="22"/>
        <v>0</v>
      </c>
      <c r="BC352" s="248">
        <f t="shared" si="20"/>
        <v>0</v>
      </c>
    </row>
    <row r="353" spans="2:55" s="39" customFormat="1" ht="23.25" customHeight="1">
      <c r="B353" s="22">
        <f t="shared" si="23"/>
        <v>337</v>
      </c>
      <c r="C353" s="261"/>
      <c r="D353" s="23"/>
      <c r="E353" s="48"/>
      <c r="F353" s="48"/>
      <c r="G353" s="26"/>
      <c r="H353" s="48"/>
      <c r="I353" s="25"/>
      <c r="J353" s="247"/>
      <c r="K353" s="247"/>
      <c r="L353" s="247"/>
      <c r="M353" s="248"/>
      <c r="N353" s="248"/>
      <c r="O353" s="248"/>
      <c r="P353" s="248"/>
      <c r="Q353" s="248"/>
      <c r="R353" s="248"/>
      <c r="S353" s="248"/>
      <c r="T353" s="248"/>
      <c r="U353" s="248"/>
      <c r="V353" s="248"/>
      <c r="W353" s="248"/>
      <c r="X353" s="248"/>
      <c r="Y353" s="248">
        <f t="shared" si="24"/>
        <v>0</v>
      </c>
      <c r="Z353" s="249"/>
      <c r="AA353" s="250"/>
      <c r="AB353" s="251"/>
      <c r="AC353" s="252"/>
      <c r="AD353" s="249"/>
      <c r="AE353" s="248"/>
      <c r="AF353" s="251"/>
      <c r="AG353" s="251"/>
      <c r="AH353" s="249"/>
      <c r="AI353" s="248"/>
      <c r="AJ353" s="251"/>
      <c r="AK353" s="248"/>
      <c r="AL353" s="249"/>
      <c r="AM353" s="248"/>
      <c r="AN353" s="248"/>
      <c r="AO353" s="248"/>
      <c r="AP353" s="248"/>
      <c r="AQ353" s="248"/>
      <c r="AR353" s="248"/>
      <c r="AS353" s="248"/>
      <c r="AT353" s="249"/>
      <c r="AU353" s="248"/>
      <c r="AV353" s="248"/>
      <c r="AW353" s="248"/>
      <c r="AX353" s="249"/>
      <c r="AY353" s="248"/>
      <c r="AZ353" s="248"/>
      <c r="BA353" s="248"/>
      <c r="BB353" s="248">
        <f t="shared" si="22"/>
        <v>0</v>
      </c>
      <c r="BC353" s="248">
        <f t="shared" si="20"/>
        <v>0</v>
      </c>
    </row>
    <row r="354" spans="2:55" s="39" customFormat="1" ht="23.25" customHeight="1">
      <c r="B354" s="22">
        <f t="shared" si="23"/>
        <v>338</v>
      </c>
      <c r="C354" s="261"/>
      <c r="D354" s="23"/>
      <c r="E354" s="48"/>
      <c r="F354" s="48"/>
      <c r="G354" s="26"/>
      <c r="H354" s="48"/>
      <c r="I354" s="25"/>
      <c r="J354" s="247"/>
      <c r="K354" s="247"/>
      <c r="L354" s="247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  <c r="Y354" s="248">
        <f t="shared" si="24"/>
        <v>0</v>
      </c>
      <c r="Z354" s="249"/>
      <c r="AA354" s="250"/>
      <c r="AB354" s="251"/>
      <c r="AC354" s="252"/>
      <c r="AD354" s="249"/>
      <c r="AE354" s="248"/>
      <c r="AF354" s="251"/>
      <c r="AG354" s="251"/>
      <c r="AH354" s="249"/>
      <c r="AI354" s="248"/>
      <c r="AJ354" s="251"/>
      <c r="AK354" s="248"/>
      <c r="AL354" s="249"/>
      <c r="AM354" s="248"/>
      <c r="AN354" s="248"/>
      <c r="AO354" s="248"/>
      <c r="AP354" s="248"/>
      <c r="AQ354" s="248"/>
      <c r="AR354" s="248"/>
      <c r="AS354" s="248"/>
      <c r="AT354" s="249"/>
      <c r="AU354" s="248"/>
      <c r="AV354" s="248"/>
      <c r="AW354" s="248"/>
      <c r="AX354" s="249"/>
      <c r="AY354" s="248"/>
      <c r="AZ354" s="248"/>
      <c r="BA354" s="248"/>
      <c r="BB354" s="248">
        <f t="shared" si="22"/>
        <v>0</v>
      </c>
      <c r="BC354" s="248">
        <f t="shared" si="20"/>
        <v>0</v>
      </c>
    </row>
    <row r="355" spans="2:55" s="39" customFormat="1" ht="23.25" customHeight="1">
      <c r="B355" s="261"/>
      <c r="C355" s="261"/>
      <c r="D355" s="23"/>
      <c r="E355" s="48"/>
      <c r="F355" s="48"/>
      <c r="G355" s="26"/>
      <c r="H355" s="48"/>
      <c r="I355" s="25"/>
      <c r="J355" s="247"/>
      <c r="K355" s="247"/>
      <c r="L355" s="247"/>
      <c r="M355" s="248"/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  <c r="Y355" s="248">
        <f t="shared" si="24"/>
        <v>0</v>
      </c>
      <c r="Z355" s="249"/>
      <c r="AA355" s="250"/>
      <c r="AB355" s="251"/>
      <c r="AC355" s="252"/>
      <c r="AD355" s="249"/>
      <c r="AE355" s="248"/>
      <c r="AF355" s="251"/>
      <c r="AG355" s="251"/>
      <c r="AH355" s="249"/>
      <c r="AI355" s="248"/>
      <c r="AJ355" s="251"/>
      <c r="AK355" s="248"/>
      <c r="AL355" s="249"/>
      <c r="AM355" s="248"/>
      <c r="AN355" s="248"/>
      <c r="AO355" s="248"/>
      <c r="AP355" s="248"/>
      <c r="AQ355" s="248"/>
      <c r="AR355" s="248"/>
      <c r="AS355" s="248"/>
      <c r="AT355" s="249"/>
      <c r="AU355" s="248"/>
      <c r="AV355" s="248"/>
      <c r="AW355" s="248"/>
      <c r="AX355" s="249"/>
      <c r="AY355" s="248"/>
      <c r="AZ355" s="248"/>
      <c r="BA355" s="248"/>
      <c r="BB355" s="248">
        <f t="shared" si="22"/>
        <v>0</v>
      </c>
      <c r="BC355" s="248">
        <f t="shared" si="20"/>
        <v>0</v>
      </c>
    </row>
    <row r="356" spans="2:55" s="39" customFormat="1" ht="23.25" customHeight="1">
      <c r="B356" s="261"/>
      <c r="C356" s="261"/>
      <c r="D356" s="23"/>
      <c r="E356" s="48"/>
      <c r="F356" s="48"/>
      <c r="G356" s="26"/>
      <c r="H356" s="48"/>
      <c r="I356" s="25"/>
      <c r="J356" s="247"/>
      <c r="K356" s="247"/>
      <c r="L356" s="247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  <c r="Y356" s="248">
        <f t="shared" si="24"/>
        <v>0</v>
      </c>
      <c r="Z356" s="249"/>
      <c r="AA356" s="250"/>
      <c r="AB356" s="251"/>
      <c r="AC356" s="252"/>
      <c r="AD356" s="249"/>
      <c r="AE356" s="248"/>
      <c r="AF356" s="251"/>
      <c r="AG356" s="251"/>
      <c r="AH356" s="249"/>
      <c r="AI356" s="248"/>
      <c r="AJ356" s="251"/>
      <c r="AK356" s="248"/>
      <c r="AL356" s="249"/>
      <c r="AM356" s="248"/>
      <c r="AN356" s="248"/>
      <c r="AO356" s="248"/>
      <c r="AP356" s="248"/>
      <c r="AQ356" s="248"/>
      <c r="AR356" s="248"/>
      <c r="AS356" s="248"/>
      <c r="AT356" s="249"/>
      <c r="AU356" s="248"/>
      <c r="AV356" s="248"/>
      <c r="AW356" s="248"/>
      <c r="AX356" s="249"/>
      <c r="AY356" s="248"/>
      <c r="AZ356" s="248"/>
      <c r="BA356" s="248"/>
      <c r="BB356" s="248">
        <f t="shared" si="22"/>
        <v>0</v>
      </c>
      <c r="BC356" s="248">
        <f t="shared" si="20"/>
        <v>0</v>
      </c>
    </row>
    <row r="357" spans="2:55" s="39" customFormat="1" ht="23.25" customHeight="1">
      <c r="B357" s="261"/>
      <c r="C357" s="261"/>
      <c r="D357" s="23"/>
      <c r="E357" s="48"/>
      <c r="F357" s="48"/>
      <c r="G357" s="26"/>
      <c r="H357" s="48"/>
      <c r="I357" s="25"/>
      <c r="J357" s="247"/>
      <c r="K357" s="247"/>
      <c r="L357" s="247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  <c r="Y357" s="248">
        <f t="shared" si="24"/>
        <v>0</v>
      </c>
      <c r="Z357" s="249"/>
      <c r="AA357" s="250"/>
      <c r="AB357" s="251"/>
      <c r="AC357" s="252"/>
      <c r="AD357" s="249"/>
      <c r="AE357" s="248"/>
      <c r="AF357" s="251"/>
      <c r="AG357" s="251"/>
      <c r="AH357" s="249"/>
      <c r="AI357" s="248"/>
      <c r="AJ357" s="251"/>
      <c r="AK357" s="248"/>
      <c r="AL357" s="249"/>
      <c r="AM357" s="248"/>
      <c r="AN357" s="248"/>
      <c r="AO357" s="248"/>
      <c r="AP357" s="248"/>
      <c r="AQ357" s="248"/>
      <c r="AR357" s="248"/>
      <c r="AS357" s="248"/>
      <c r="AT357" s="249"/>
      <c r="AU357" s="248"/>
      <c r="AV357" s="248"/>
      <c r="AW357" s="248"/>
      <c r="AX357" s="249"/>
      <c r="AY357" s="248"/>
      <c r="AZ357" s="248"/>
      <c r="BA357" s="248"/>
      <c r="BB357" s="248">
        <f t="shared" si="22"/>
        <v>0</v>
      </c>
      <c r="BC357" s="248">
        <f t="shared" si="20"/>
        <v>0</v>
      </c>
    </row>
    <row r="358" spans="2:55" s="39" customFormat="1" ht="23.25" customHeight="1">
      <c r="B358" s="261"/>
      <c r="C358" s="261"/>
      <c r="D358" s="23"/>
      <c r="E358" s="48"/>
      <c r="F358" s="48"/>
      <c r="G358" s="26"/>
      <c r="H358" s="48"/>
      <c r="I358" s="25"/>
      <c r="J358" s="247"/>
      <c r="K358" s="247"/>
      <c r="L358" s="247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  <c r="Y358" s="248">
        <f t="shared" si="24"/>
        <v>0</v>
      </c>
      <c r="Z358" s="249"/>
      <c r="AA358" s="250"/>
      <c r="AB358" s="251"/>
      <c r="AC358" s="252"/>
      <c r="AD358" s="249"/>
      <c r="AE358" s="248"/>
      <c r="AF358" s="251"/>
      <c r="AG358" s="251"/>
      <c r="AH358" s="249"/>
      <c r="AI358" s="248"/>
      <c r="AJ358" s="251"/>
      <c r="AK358" s="248"/>
      <c r="AL358" s="249"/>
      <c r="AM358" s="248"/>
      <c r="AN358" s="248"/>
      <c r="AO358" s="248"/>
      <c r="AP358" s="248"/>
      <c r="AQ358" s="248"/>
      <c r="AR358" s="248"/>
      <c r="AS358" s="248"/>
      <c r="AT358" s="249"/>
      <c r="AU358" s="248"/>
      <c r="AV358" s="248"/>
      <c r="AW358" s="248"/>
      <c r="AX358" s="249"/>
      <c r="AY358" s="248"/>
      <c r="AZ358" s="248"/>
      <c r="BA358" s="248"/>
      <c r="BB358" s="248">
        <f t="shared" si="22"/>
        <v>0</v>
      </c>
      <c r="BC358" s="248">
        <f t="shared" si="20"/>
        <v>0</v>
      </c>
    </row>
    <row r="359" spans="2:55" s="39" customFormat="1" ht="23.25" customHeight="1">
      <c r="B359" s="261"/>
      <c r="C359" s="261"/>
      <c r="D359" s="23"/>
      <c r="E359" s="48"/>
      <c r="F359" s="48"/>
      <c r="G359" s="26"/>
      <c r="H359" s="48"/>
      <c r="I359" s="25"/>
      <c r="J359" s="247"/>
      <c r="K359" s="247"/>
      <c r="L359" s="247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  <c r="Y359" s="248">
        <f t="shared" si="24"/>
        <v>0</v>
      </c>
      <c r="Z359" s="249"/>
      <c r="AA359" s="250"/>
      <c r="AB359" s="251"/>
      <c r="AC359" s="252"/>
      <c r="AD359" s="249"/>
      <c r="AE359" s="248"/>
      <c r="AF359" s="251"/>
      <c r="AG359" s="251"/>
      <c r="AH359" s="249"/>
      <c r="AI359" s="248"/>
      <c r="AJ359" s="251"/>
      <c r="AK359" s="248"/>
      <c r="AL359" s="249"/>
      <c r="AM359" s="248"/>
      <c r="AN359" s="248"/>
      <c r="AO359" s="248"/>
      <c r="AP359" s="248"/>
      <c r="AQ359" s="248"/>
      <c r="AR359" s="248"/>
      <c r="AS359" s="248"/>
      <c r="AT359" s="249"/>
      <c r="AU359" s="248"/>
      <c r="AV359" s="248"/>
      <c r="AW359" s="248"/>
      <c r="AX359" s="249"/>
      <c r="AY359" s="248"/>
      <c r="AZ359" s="248"/>
      <c r="BA359" s="248"/>
      <c r="BB359" s="248">
        <f t="shared" si="22"/>
        <v>0</v>
      </c>
      <c r="BC359" s="248">
        <f t="shared" si="20"/>
        <v>0</v>
      </c>
    </row>
    <row r="360" spans="2:55" s="39" customFormat="1" ht="23.25" customHeight="1">
      <c r="B360" s="261"/>
      <c r="C360" s="261"/>
      <c r="D360" s="23"/>
      <c r="E360" s="48"/>
      <c r="F360" s="48"/>
      <c r="G360" s="26"/>
      <c r="H360" s="48"/>
      <c r="I360" s="25"/>
      <c r="J360" s="247"/>
      <c r="K360" s="247"/>
      <c r="L360" s="247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  <c r="Y360" s="248">
        <f t="shared" si="24"/>
        <v>0</v>
      </c>
      <c r="Z360" s="249"/>
      <c r="AA360" s="250"/>
      <c r="AB360" s="251"/>
      <c r="AC360" s="252"/>
      <c r="AD360" s="249"/>
      <c r="AE360" s="248"/>
      <c r="AF360" s="251"/>
      <c r="AG360" s="251"/>
      <c r="AH360" s="249"/>
      <c r="AI360" s="248"/>
      <c r="AJ360" s="251"/>
      <c r="AK360" s="248"/>
      <c r="AL360" s="249"/>
      <c r="AM360" s="248"/>
      <c r="AN360" s="248"/>
      <c r="AO360" s="248"/>
      <c r="AP360" s="248"/>
      <c r="AQ360" s="248"/>
      <c r="AR360" s="248"/>
      <c r="AS360" s="248"/>
      <c r="AT360" s="249"/>
      <c r="AU360" s="248"/>
      <c r="AV360" s="248"/>
      <c r="AW360" s="248"/>
      <c r="AX360" s="249"/>
      <c r="AY360" s="248"/>
      <c r="AZ360" s="248"/>
      <c r="BA360" s="248"/>
      <c r="BB360" s="248">
        <f t="shared" si="22"/>
        <v>0</v>
      </c>
      <c r="BC360" s="248">
        <f t="shared" si="20"/>
        <v>0</v>
      </c>
    </row>
    <row r="361" spans="2:55" s="39" customFormat="1" ht="23.25" customHeight="1">
      <c r="B361" s="261"/>
      <c r="C361" s="261"/>
      <c r="D361" s="23"/>
      <c r="E361" s="48"/>
      <c r="F361" s="48"/>
      <c r="G361" s="26"/>
      <c r="H361" s="48"/>
      <c r="I361" s="25"/>
      <c r="J361" s="247"/>
      <c r="K361" s="247"/>
      <c r="L361" s="247"/>
      <c r="M361" s="248"/>
      <c r="N361" s="248"/>
      <c r="O361" s="248"/>
      <c r="P361" s="248"/>
      <c r="Q361" s="248"/>
      <c r="R361" s="248"/>
      <c r="S361" s="248"/>
      <c r="T361" s="248"/>
      <c r="U361" s="248"/>
      <c r="V361" s="248"/>
      <c r="W361" s="248"/>
      <c r="X361" s="248"/>
      <c r="Y361" s="248">
        <f t="shared" si="24"/>
        <v>0</v>
      </c>
      <c r="Z361" s="249"/>
      <c r="AA361" s="250"/>
      <c r="AB361" s="251"/>
      <c r="AC361" s="252"/>
      <c r="AD361" s="249"/>
      <c r="AE361" s="248"/>
      <c r="AF361" s="251"/>
      <c r="AG361" s="251"/>
      <c r="AH361" s="249"/>
      <c r="AI361" s="248"/>
      <c r="AJ361" s="251"/>
      <c r="AK361" s="248"/>
      <c r="AL361" s="249"/>
      <c r="AM361" s="248"/>
      <c r="AN361" s="248"/>
      <c r="AO361" s="248"/>
      <c r="AP361" s="248"/>
      <c r="AQ361" s="248"/>
      <c r="AR361" s="248"/>
      <c r="AS361" s="248"/>
      <c r="AT361" s="249"/>
      <c r="AU361" s="248"/>
      <c r="AV361" s="248"/>
      <c r="AW361" s="248"/>
      <c r="AX361" s="249"/>
      <c r="AY361" s="248"/>
      <c r="AZ361" s="248"/>
      <c r="BA361" s="248"/>
      <c r="BB361" s="248">
        <f t="shared" si="22"/>
        <v>0</v>
      </c>
      <c r="BC361" s="248">
        <f t="shared" si="20"/>
        <v>0</v>
      </c>
    </row>
    <row r="362" spans="2:55" s="39" customFormat="1" ht="23.25" customHeight="1">
      <c r="B362" s="23"/>
      <c r="C362" s="23"/>
      <c r="D362" s="23"/>
      <c r="E362" s="23"/>
      <c r="F362" s="48"/>
      <c r="G362" s="48"/>
      <c r="H362" s="48"/>
      <c r="I362" s="25"/>
      <c r="J362" s="247"/>
      <c r="K362" s="247"/>
      <c r="L362" s="247"/>
      <c r="M362" s="248"/>
      <c r="N362" s="248"/>
      <c r="O362" s="248"/>
      <c r="P362" s="248"/>
      <c r="Q362" s="248"/>
      <c r="R362" s="248"/>
      <c r="S362" s="248"/>
      <c r="T362" s="248"/>
      <c r="U362" s="248"/>
      <c r="V362" s="248"/>
      <c r="W362" s="248"/>
      <c r="X362" s="248"/>
      <c r="Y362" s="248">
        <f t="shared" si="24"/>
        <v>0</v>
      </c>
      <c r="Z362" s="249"/>
      <c r="AA362" s="250"/>
      <c r="AB362" s="251"/>
      <c r="AC362" s="252"/>
      <c r="AD362" s="249"/>
      <c r="AE362" s="248"/>
      <c r="AF362" s="251"/>
      <c r="AG362" s="251"/>
      <c r="AH362" s="249"/>
      <c r="AI362" s="248"/>
      <c r="AJ362" s="251"/>
      <c r="AK362" s="248"/>
      <c r="AL362" s="249"/>
      <c r="AM362" s="248"/>
      <c r="AN362" s="248"/>
      <c r="AO362" s="248"/>
      <c r="AP362" s="248"/>
      <c r="AQ362" s="248"/>
      <c r="AR362" s="248"/>
      <c r="AS362" s="248"/>
      <c r="AT362" s="249"/>
      <c r="AU362" s="248"/>
      <c r="AV362" s="248"/>
      <c r="AW362" s="248"/>
      <c r="AX362" s="249"/>
      <c r="AY362" s="248"/>
      <c r="AZ362" s="248"/>
      <c r="BA362" s="248"/>
      <c r="BB362" s="248">
        <f t="shared" si="22"/>
        <v>0</v>
      </c>
      <c r="BC362" s="248">
        <f t="shared" si="20"/>
        <v>0</v>
      </c>
    </row>
    <row r="363" spans="2:55" ht="15" customHeight="1">
      <c r="B363" s="753" t="s">
        <v>134</v>
      </c>
      <c r="C363" s="753"/>
      <c r="D363" s="753"/>
      <c r="E363" s="753"/>
      <c r="F363" s="753"/>
      <c r="G363" s="753"/>
      <c r="H363" s="753"/>
      <c r="I363" s="753"/>
      <c r="J363" s="262">
        <f>SUBTOTAL(9,J17:J360)</f>
        <v>254755834</v>
      </c>
      <c r="K363" s="262">
        <f t="shared" ref="K363:Z363" si="25">SUBTOTAL(9,K17:K360)</f>
        <v>78756974</v>
      </c>
      <c r="L363" s="262">
        <f t="shared" si="25"/>
        <v>175998860</v>
      </c>
      <c r="M363" s="262">
        <f t="shared" si="25"/>
        <v>541129.91</v>
      </c>
      <c r="N363" s="262">
        <f t="shared" si="25"/>
        <v>3543837.4049999998</v>
      </c>
      <c r="O363" s="262">
        <f t="shared" si="25"/>
        <v>1618690.3819999998</v>
      </c>
      <c r="P363" s="262">
        <f t="shared" si="25"/>
        <v>4783589.8450000007</v>
      </c>
      <c r="Q363" s="262">
        <f t="shared" si="25"/>
        <v>2466296.088</v>
      </c>
      <c r="R363" s="262">
        <f t="shared" si="25"/>
        <v>3928805.5539999995</v>
      </c>
      <c r="S363" s="262">
        <f t="shared" si="25"/>
        <v>2887279.1609999998</v>
      </c>
      <c r="T363" s="262">
        <f t="shared" si="25"/>
        <v>3174339.6079999995</v>
      </c>
      <c r="U363" s="262">
        <f t="shared" si="25"/>
        <v>4150345.5259999996</v>
      </c>
      <c r="V363" s="262">
        <f t="shared" si="25"/>
        <v>0</v>
      </c>
      <c r="W363" s="262">
        <f t="shared" si="25"/>
        <v>0</v>
      </c>
      <c r="X363" s="262">
        <f t="shared" si="25"/>
        <v>0</v>
      </c>
      <c r="Y363" s="262">
        <f t="shared" si="25"/>
        <v>27094313.479000002</v>
      </c>
      <c r="Z363" s="262">
        <f t="shared" si="25"/>
        <v>45579208</v>
      </c>
      <c r="AA363" s="263"/>
      <c r="AB363" s="264"/>
      <c r="AC363" s="262"/>
      <c r="AD363" s="262">
        <f t="shared" ref="AD363" si="26">SUBTOTAL(9,AD17:AD360)</f>
        <v>-1564054</v>
      </c>
      <c r="AE363" s="262"/>
      <c r="AF363" s="264"/>
      <c r="AG363" s="264"/>
      <c r="AH363" s="262">
        <f t="shared" ref="AH363" si="27">SUBTOTAL(9,AH17:AH360)</f>
        <v>-181480</v>
      </c>
      <c r="AI363" s="262"/>
      <c r="AJ363" s="264"/>
      <c r="AK363" s="262"/>
      <c r="AL363" s="262">
        <f t="shared" ref="AL363" si="28">SUBTOTAL(9,AL17:AL360)</f>
        <v>211110</v>
      </c>
      <c r="AM363" s="262"/>
      <c r="AN363" s="262"/>
      <c r="AO363" s="262"/>
      <c r="AP363" s="262">
        <f t="shared" ref="AP363" si="29">SUBTOTAL(9,AP17:AP360)</f>
        <v>291267</v>
      </c>
      <c r="AQ363" s="262"/>
      <c r="AR363" s="262"/>
      <c r="AS363" s="262"/>
      <c r="AT363" s="262">
        <f t="shared" ref="AT363" si="30">SUBTOTAL(9,AT17:AT360)</f>
        <v>82425</v>
      </c>
      <c r="AU363" s="262"/>
      <c r="AV363" s="262"/>
      <c r="AW363" s="262"/>
      <c r="AX363" s="262">
        <f t="shared" ref="AX363" si="31">SUBTOTAL(9,AX17:AX360)</f>
        <v>0</v>
      </c>
      <c r="AY363" s="262"/>
      <c r="AZ363" s="262"/>
      <c r="BA363" s="262"/>
      <c r="BB363" s="262">
        <f t="shared" ref="BB363:BC363" si="32">SUBTOTAL(9,BB17:BB360)</f>
        <v>44418476</v>
      </c>
      <c r="BC363" s="262">
        <f t="shared" si="32"/>
        <v>17324162.520999994</v>
      </c>
    </row>
    <row r="364" spans="2:55" s="123" customFormat="1">
      <c r="B364" s="752"/>
      <c r="C364" s="752"/>
      <c r="D364" s="752"/>
      <c r="E364" s="752"/>
      <c r="F364" s="140"/>
      <c r="G364" s="125"/>
      <c r="H364" s="125"/>
      <c r="I364" s="125"/>
      <c r="Z364" s="124"/>
      <c r="AA364" s="74"/>
      <c r="AB364" s="240"/>
      <c r="AD364" s="124"/>
      <c r="AE364" s="238"/>
      <c r="AF364" s="240"/>
      <c r="AG364" s="240"/>
      <c r="AH364" s="124"/>
      <c r="AI364" s="74"/>
      <c r="AJ364" s="240"/>
      <c r="AL364" s="124"/>
      <c r="AM364" s="74"/>
      <c r="AQ364" s="74"/>
      <c r="AT364" s="124"/>
      <c r="AX364" s="124"/>
      <c r="BB364" s="124"/>
    </row>
    <row r="365" spans="2:55" s="123" customFormat="1">
      <c r="B365" s="748"/>
      <c r="C365" s="748"/>
      <c r="D365" s="748"/>
      <c r="E365" s="748"/>
      <c r="F365" s="748"/>
      <c r="G365" s="748"/>
      <c r="H365" s="748"/>
      <c r="I365" s="748"/>
      <c r="J365" s="748"/>
      <c r="K365" s="748"/>
      <c r="L365" s="748"/>
      <c r="M365" s="748"/>
      <c r="N365" s="748"/>
      <c r="O365" s="748"/>
      <c r="P365" s="748"/>
      <c r="Q365" s="748"/>
      <c r="R365" s="748"/>
      <c r="S365" s="748"/>
      <c r="T365" s="748"/>
      <c r="U365" s="748"/>
      <c r="V365" s="748"/>
      <c r="W365" s="748"/>
      <c r="X365" s="748"/>
      <c r="Y365" s="748"/>
      <c r="Z365" s="748"/>
      <c r="AA365" s="748"/>
      <c r="AB365" s="748"/>
      <c r="AC365" s="748"/>
      <c r="AD365" s="209"/>
      <c r="AE365" s="238"/>
      <c r="AF365" s="265"/>
      <c r="AG365" s="265"/>
      <c r="AH365" s="209"/>
      <c r="AI365" s="211"/>
      <c r="AJ365" s="265"/>
      <c r="AK365" s="210"/>
      <c r="AL365" s="209"/>
      <c r="AM365" s="211"/>
      <c r="AN365" s="210"/>
      <c r="AO365" s="266"/>
      <c r="AP365" s="210"/>
      <c r="AQ365" s="211"/>
      <c r="AR365" s="210"/>
      <c r="AS365" s="210"/>
      <c r="AT365" s="209"/>
      <c r="AU365" s="210"/>
      <c r="AV365" s="210"/>
      <c r="AW365" s="210"/>
      <c r="AX365" s="209"/>
      <c r="AY365" s="210"/>
      <c r="AZ365" s="210"/>
      <c r="BA365" s="210"/>
      <c r="BB365" s="142"/>
      <c r="BC365" s="142"/>
    </row>
    <row r="366" spans="2:55" s="123" customFormat="1">
      <c r="B366" s="125"/>
      <c r="D366" s="125"/>
      <c r="I366" s="125"/>
      <c r="Z366" s="124"/>
      <c r="AA366" s="74"/>
      <c r="AB366" s="240"/>
      <c r="AD366" s="124"/>
      <c r="AE366" s="238"/>
      <c r="AF366" s="240"/>
      <c r="AG366" s="240"/>
      <c r="AH366" s="124"/>
      <c r="AI366" s="74"/>
      <c r="AJ366" s="240"/>
      <c r="AL366" s="124"/>
      <c r="AM366" s="74"/>
      <c r="AQ366" s="74"/>
      <c r="AT366" s="124"/>
      <c r="AX366" s="124"/>
    </row>
    <row r="367" spans="2:55" s="123" customFormat="1" ht="15">
      <c r="B367" s="125"/>
      <c r="D367" s="125"/>
      <c r="I367" s="125"/>
      <c r="Q367" s="142"/>
      <c r="R367" s="142"/>
      <c r="Y367" s="262">
        <v>27094313</v>
      </c>
      <c r="Z367" s="124"/>
      <c r="AA367" s="124"/>
      <c r="AB367" s="124"/>
      <c r="AC367" s="124"/>
      <c r="AD367" s="124"/>
      <c r="AE367" s="238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X367" s="124"/>
      <c r="BB367" s="142">
        <f>+'[6]INVERSIÓN 31- V Región-2021'!$O$35+'[6]INVERSIÓN 31- V Región-2021'!$P$35+[2]Resoluciones!$O$9113+[2]Resoluciones!$P$9113</f>
        <v>573804</v>
      </c>
      <c r="BC367" s="142"/>
    </row>
    <row r="368" spans="2:55" s="123" customFormat="1">
      <c r="B368" s="125"/>
      <c r="D368" s="125"/>
      <c r="I368" s="125"/>
      <c r="P368" s="142"/>
      <c r="Z368" s="124"/>
      <c r="AA368" s="74"/>
      <c r="AB368" s="240"/>
      <c r="AD368" s="124"/>
      <c r="AE368" s="238"/>
      <c r="AF368" s="240"/>
      <c r="AG368" s="240"/>
      <c r="AH368" s="124"/>
      <c r="AI368" s="74"/>
      <c r="AJ368" s="240"/>
      <c r="AL368" s="124"/>
      <c r="AM368" s="74"/>
      <c r="AQ368" s="74"/>
      <c r="AT368" s="124"/>
      <c r="AX368" s="124"/>
      <c r="BB368" s="142"/>
    </row>
    <row r="369" spans="2:53" s="123" customFormat="1">
      <c r="B369" s="125"/>
      <c r="D369" s="125"/>
      <c r="I369" s="125"/>
      <c r="Y369" s="142">
        <f>+Y363-Y367</f>
        <v>0.47900000214576721</v>
      </c>
      <c r="Z369" s="124"/>
      <c r="AA369" s="74"/>
      <c r="AB369" s="240"/>
      <c r="AD369" s="124"/>
      <c r="AE369" s="238"/>
      <c r="AF369" s="239"/>
      <c r="AG369" s="239"/>
      <c r="AH369" s="124"/>
      <c r="AI369" s="74"/>
      <c r="AJ369" s="240"/>
      <c r="AL369" s="124"/>
      <c r="AM369" s="74"/>
      <c r="AP369" s="125"/>
      <c r="AQ369" s="241"/>
      <c r="AR369" s="125"/>
      <c r="AS369" s="125"/>
      <c r="AT369" s="238"/>
      <c r="AU369" s="125"/>
      <c r="AV369" s="125"/>
      <c r="AW369" s="125"/>
      <c r="AX369" s="238"/>
      <c r="AY369" s="125"/>
      <c r="AZ369" s="125"/>
      <c r="BA369" s="125"/>
    </row>
    <row r="370" spans="2:53" s="123" customFormat="1">
      <c r="B370" s="125"/>
      <c r="D370" s="125"/>
      <c r="I370" s="125"/>
      <c r="Z370" s="124"/>
      <c r="AA370" s="74"/>
      <c r="AB370" s="240"/>
      <c r="AD370" s="124"/>
      <c r="AE370" s="238"/>
      <c r="AF370" s="239"/>
      <c r="AG370" s="239"/>
      <c r="AH370" s="124"/>
      <c r="AI370" s="74"/>
      <c r="AJ370" s="240"/>
      <c r="AL370" s="124"/>
      <c r="AM370" s="74"/>
      <c r="AP370" s="125"/>
      <c r="AQ370" s="241"/>
      <c r="AR370" s="125"/>
      <c r="AS370" s="125"/>
      <c r="AT370" s="238"/>
      <c r="AU370" s="125"/>
      <c r="AV370" s="125"/>
      <c r="AW370" s="125"/>
      <c r="AX370" s="238"/>
      <c r="AY370" s="125"/>
      <c r="AZ370" s="125"/>
      <c r="BA370" s="125"/>
    </row>
    <row r="371" spans="2:53" s="123" customFormat="1">
      <c r="B371" s="125"/>
      <c r="D371" s="125"/>
      <c r="I371" s="125"/>
      <c r="Z371" s="124"/>
      <c r="AA371" s="74"/>
      <c r="AB371" s="240"/>
      <c r="AD371" s="124"/>
      <c r="AE371" s="238"/>
      <c r="AF371" s="239"/>
      <c r="AG371" s="239"/>
      <c r="AH371" s="124"/>
      <c r="AI371" s="74"/>
      <c r="AJ371" s="240"/>
      <c r="AL371" s="124"/>
      <c r="AM371" s="74"/>
      <c r="AP371" s="125"/>
      <c r="AQ371" s="241"/>
      <c r="AR371" s="125"/>
      <c r="AS371" s="125"/>
      <c r="AT371" s="238"/>
      <c r="AU371" s="125"/>
      <c r="AV371" s="125"/>
      <c r="AW371" s="125"/>
      <c r="AX371" s="238"/>
      <c r="AY371" s="125"/>
      <c r="AZ371" s="125"/>
      <c r="BA371" s="125"/>
    </row>
    <row r="372" spans="2:53" s="123" customFormat="1">
      <c r="B372" s="125"/>
      <c r="D372" s="125"/>
      <c r="I372" s="125"/>
      <c r="Z372" s="124"/>
      <c r="AA372" s="74"/>
      <c r="AB372" s="240"/>
      <c r="AD372" s="124"/>
      <c r="AE372" s="238"/>
      <c r="AF372" s="239"/>
      <c r="AG372" s="239"/>
      <c r="AH372" s="124"/>
      <c r="AI372" s="74"/>
      <c r="AJ372" s="240"/>
      <c r="AL372" s="124"/>
      <c r="AM372" s="74"/>
      <c r="AP372" s="125"/>
      <c r="AQ372" s="241"/>
      <c r="AR372" s="125"/>
      <c r="AS372" s="125"/>
      <c r="AT372" s="238"/>
      <c r="AU372" s="125"/>
      <c r="AV372" s="125"/>
      <c r="AW372" s="125"/>
      <c r="AX372" s="238"/>
      <c r="AY372" s="125"/>
      <c r="AZ372" s="125"/>
      <c r="BA372" s="125"/>
    </row>
    <row r="373" spans="2:53" s="123" customFormat="1">
      <c r="B373" s="125"/>
      <c r="D373" s="125"/>
      <c r="I373" s="125"/>
      <c r="Z373" s="124"/>
      <c r="AA373" s="74"/>
      <c r="AB373" s="240"/>
      <c r="AD373" s="124"/>
      <c r="AE373" s="238"/>
      <c r="AF373" s="239"/>
      <c r="AG373" s="239"/>
      <c r="AH373" s="124"/>
      <c r="AI373" s="74"/>
      <c r="AJ373" s="240"/>
      <c r="AL373" s="124"/>
      <c r="AM373" s="74"/>
      <c r="AP373" s="125"/>
      <c r="AQ373" s="241"/>
      <c r="AR373" s="125"/>
      <c r="AS373" s="125"/>
      <c r="AT373" s="238"/>
      <c r="AU373" s="125"/>
      <c r="AV373" s="125"/>
      <c r="AW373" s="125"/>
      <c r="AX373" s="238"/>
      <c r="AY373" s="125"/>
      <c r="AZ373" s="125"/>
      <c r="BA373" s="125"/>
    </row>
    <row r="374" spans="2:53" s="123" customFormat="1">
      <c r="B374" s="125"/>
      <c r="D374" s="125"/>
      <c r="I374" s="125"/>
      <c r="Z374" s="124"/>
      <c r="AA374" s="74"/>
      <c r="AB374" s="240"/>
      <c r="AD374" s="124"/>
      <c r="AE374" s="238"/>
      <c r="AF374" s="239"/>
      <c r="AG374" s="239"/>
      <c r="AH374" s="124"/>
      <c r="AI374" s="74"/>
      <c r="AJ374" s="240"/>
      <c r="AL374" s="124"/>
      <c r="AM374" s="74"/>
      <c r="AP374" s="125"/>
      <c r="AQ374" s="241"/>
      <c r="AR374" s="125"/>
      <c r="AS374" s="125"/>
      <c r="AT374" s="238"/>
      <c r="AU374" s="125"/>
      <c r="AV374" s="125"/>
      <c r="AW374" s="125"/>
      <c r="AX374" s="238"/>
      <c r="AY374" s="125"/>
      <c r="AZ374" s="125"/>
      <c r="BA374" s="125"/>
    </row>
    <row r="375" spans="2:53" s="123" customFormat="1">
      <c r="B375" s="125"/>
      <c r="D375" s="125"/>
      <c r="I375" s="125"/>
      <c r="Z375" s="124"/>
      <c r="AA375" s="74"/>
      <c r="AB375" s="240"/>
      <c r="AD375" s="124"/>
      <c r="AE375" s="238"/>
      <c r="AF375" s="239"/>
      <c r="AG375" s="239"/>
      <c r="AH375" s="124"/>
      <c r="AI375" s="74"/>
      <c r="AJ375" s="240"/>
      <c r="AL375" s="124"/>
      <c r="AM375" s="74"/>
      <c r="AP375" s="125"/>
      <c r="AQ375" s="241"/>
      <c r="AR375" s="125"/>
      <c r="AS375" s="125"/>
      <c r="AT375" s="238"/>
      <c r="AU375" s="125"/>
      <c r="AV375" s="125"/>
      <c r="AW375" s="125"/>
      <c r="AX375" s="238"/>
      <c r="AY375" s="125"/>
      <c r="AZ375" s="125"/>
      <c r="BA375" s="125"/>
    </row>
    <row r="376" spans="2:53" s="123" customFormat="1">
      <c r="B376" s="125"/>
      <c r="D376" s="125"/>
      <c r="I376" s="125"/>
      <c r="Z376" s="124"/>
      <c r="AA376" s="74"/>
      <c r="AB376" s="240"/>
      <c r="AD376" s="124"/>
      <c r="AE376" s="238"/>
      <c r="AF376" s="239"/>
      <c r="AG376" s="239"/>
      <c r="AH376" s="124"/>
      <c r="AI376" s="74"/>
      <c r="AJ376" s="240"/>
      <c r="AL376" s="124"/>
      <c r="AM376" s="74"/>
      <c r="AP376" s="125"/>
      <c r="AQ376" s="241"/>
      <c r="AR376" s="125"/>
      <c r="AS376" s="125"/>
      <c r="AT376" s="238"/>
      <c r="AU376" s="125"/>
      <c r="AV376" s="125"/>
      <c r="AW376" s="125"/>
      <c r="AX376" s="238"/>
      <c r="AY376" s="125"/>
      <c r="AZ376" s="125"/>
      <c r="BA376" s="125"/>
    </row>
    <row r="377" spans="2:53" s="123" customFormat="1">
      <c r="B377" s="125"/>
      <c r="D377" s="125"/>
      <c r="I377" s="125"/>
      <c r="Z377" s="124"/>
      <c r="AA377" s="74"/>
      <c r="AB377" s="240"/>
      <c r="AD377" s="124"/>
      <c r="AE377" s="238"/>
      <c r="AF377" s="239"/>
      <c r="AG377" s="239"/>
      <c r="AH377" s="124"/>
      <c r="AI377" s="74"/>
      <c r="AJ377" s="240"/>
      <c r="AL377" s="124"/>
      <c r="AM377" s="74"/>
      <c r="AP377" s="125"/>
      <c r="AQ377" s="241"/>
      <c r="AR377" s="125"/>
      <c r="AS377" s="125"/>
      <c r="AT377" s="238"/>
      <c r="AU377" s="125"/>
      <c r="AV377" s="125"/>
      <c r="AW377" s="125"/>
      <c r="AX377" s="238"/>
      <c r="AY377" s="125"/>
      <c r="AZ377" s="125"/>
      <c r="BA377" s="125"/>
    </row>
    <row r="378" spans="2:53" s="123" customFormat="1">
      <c r="B378" s="125"/>
      <c r="D378" s="125"/>
      <c r="I378" s="125"/>
      <c r="Z378" s="124"/>
      <c r="AA378" s="74"/>
      <c r="AB378" s="240"/>
      <c r="AD378" s="124"/>
      <c r="AE378" s="238"/>
      <c r="AF378" s="239"/>
      <c r="AG378" s="239"/>
      <c r="AH378" s="124"/>
      <c r="AI378" s="74"/>
      <c r="AJ378" s="240"/>
      <c r="AL378" s="124"/>
      <c r="AM378" s="74"/>
      <c r="AP378" s="125"/>
      <c r="AQ378" s="241"/>
      <c r="AR378" s="125"/>
      <c r="AS378" s="125"/>
      <c r="AT378" s="238"/>
      <c r="AU378" s="125"/>
      <c r="AV378" s="125"/>
      <c r="AW378" s="125"/>
      <c r="AX378" s="238"/>
      <c r="AY378" s="125"/>
      <c r="AZ378" s="125"/>
      <c r="BA378" s="125"/>
    </row>
    <row r="379" spans="2:53" s="123" customFormat="1">
      <c r="B379" s="125"/>
      <c r="D379" s="125"/>
      <c r="I379" s="125"/>
      <c r="Z379" s="124"/>
      <c r="AA379" s="74"/>
      <c r="AB379" s="240"/>
      <c r="AD379" s="124"/>
      <c r="AE379" s="238"/>
      <c r="AF379" s="239"/>
      <c r="AG379" s="239"/>
      <c r="AH379" s="124"/>
      <c r="AI379" s="74"/>
      <c r="AJ379" s="240"/>
      <c r="AL379" s="124"/>
      <c r="AM379" s="74"/>
      <c r="AP379" s="125"/>
      <c r="AQ379" s="241"/>
      <c r="AR379" s="125"/>
      <c r="AS379" s="125"/>
      <c r="AT379" s="238"/>
      <c r="AU379" s="125"/>
      <c r="AV379" s="125"/>
      <c r="AW379" s="125"/>
      <c r="AX379" s="238"/>
      <c r="AY379" s="125"/>
      <c r="AZ379" s="125"/>
      <c r="BA379" s="125"/>
    </row>
    <row r="380" spans="2:53" s="123" customFormat="1">
      <c r="B380" s="125"/>
      <c r="D380" s="125"/>
      <c r="I380" s="125"/>
      <c r="Z380" s="124"/>
      <c r="AA380" s="74"/>
      <c r="AB380" s="240"/>
      <c r="AD380" s="124"/>
      <c r="AE380" s="238"/>
      <c r="AF380" s="239"/>
      <c r="AG380" s="239"/>
      <c r="AH380" s="124"/>
      <c r="AI380" s="74"/>
      <c r="AJ380" s="240"/>
      <c r="AL380" s="124"/>
      <c r="AM380" s="74"/>
      <c r="AP380" s="125"/>
      <c r="AQ380" s="241"/>
      <c r="AR380" s="125"/>
      <c r="AS380" s="125"/>
      <c r="AT380" s="238"/>
      <c r="AU380" s="125"/>
      <c r="AV380" s="125"/>
      <c r="AW380" s="125"/>
      <c r="AX380" s="238"/>
      <c r="AY380" s="125"/>
      <c r="AZ380" s="125"/>
      <c r="BA380" s="125"/>
    </row>
    <row r="381" spans="2:53" s="123" customFormat="1">
      <c r="B381" s="125"/>
      <c r="D381" s="125"/>
      <c r="I381" s="125"/>
      <c r="Z381" s="124"/>
      <c r="AA381" s="74"/>
      <c r="AB381" s="240"/>
      <c r="AD381" s="124"/>
      <c r="AE381" s="238"/>
      <c r="AF381" s="239"/>
      <c r="AG381" s="239"/>
      <c r="AH381" s="124"/>
      <c r="AI381" s="74"/>
      <c r="AJ381" s="240"/>
      <c r="AL381" s="124"/>
      <c r="AM381" s="74"/>
      <c r="AP381" s="125"/>
      <c r="AQ381" s="241"/>
      <c r="AR381" s="125"/>
      <c r="AS381" s="125"/>
      <c r="AT381" s="238"/>
      <c r="AU381" s="125"/>
      <c r="AV381" s="125"/>
      <c r="AW381" s="125"/>
      <c r="AX381" s="238"/>
      <c r="AY381" s="125"/>
      <c r="AZ381" s="125"/>
      <c r="BA381" s="125"/>
    </row>
    <row r="382" spans="2:53" s="123" customFormat="1">
      <c r="B382" s="125"/>
      <c r="D382" s="125"/>
      <c r="I382" s="125"/>
      <c r="Z382" s="124"/>
      <c r="AA382" s="74"/>
      <c r="AB382" s="240"/>
      <c r="AD382" s="124"/>
      <c r="AE382" s="238"/>
      <c r="AF382" s="239"/>
      <c r="AG382" s="239"/>
      <c r="AH382" s="124"/>
      <c r="AI382" s="74"/>
      <c r="AJ382" s="240"/>
      <c r="AL382" s="124"/>
      <c r="AM382" s="74"/>
      <c r="AP382" s="125"/>
      <c r="AQ382" s="241"/>
      <c r="AR382" s="125"/>
      <c r="AS382" s="125"/>
      <c r="AT382" s="238"/>
      <c r="AU382" s="125"/>
      <c r="AV382" s="125"/>
      <c r="AW382" s="125"/>
      <c r="AX382" s="238"/>
      <c r="AY382" s="125"/>
      <c r="AZ382" s="125"/>
      <c r="BA382" s="125"/>
    </row>
    <row r="383" spans="2:53" s="123" customFormat="1">
      <c r="B383" s="125"/>
      <c r="D383" s="125"/>
      <c r="I383" s="125"/>
      <c r="Z383" s="124"/>
      <c r="AA383" s="74"/>
      <c r="AB383" s="240"/>
      <c r="AD383" s="124"/>
      <c r="AE383" s="238"/>
      <c r="AF383" s="239"/>
      <c r="AG383" s="239"/>
      <c r="AH383" s="124"/>
      <c r="AI383" s="74"/>
      <c r="AJ383" s="240"/>
      <c r="AL383" s="124"/>
      <c r="AM383" s="74"/>
      <c r="AP383" s="125"/>
      <c r="AQ383" s="241"/>
      <c r="AR383" s="125"/>
      <c r="AS383" s="125"/>
      <c r="AT383" s="238"/>
      <c r="AU383" s="125"/>
      <c r="AV383" s="125"/>
      <c r="AW383" s="125"/>
      <c r="AX383" s="238"/>
      <c r="AY383" s="125"/>
      <c r="AZ383" s="125"/>
      <c r="BA383" s="125"/>
    </row>
    <row r="384" spans="2:53" s="123" customFormat="1">
      <c r="B384" s="125"/>
      <c r="D384" s="125"/>
      <c r="I384" s="125"/>
      <c r="Z384" s="124"/>
      <c r="AA384" s="74"/>
      <c r="AB384" s="240"/>
      <c r="AD384" s="124"/>
      <c r="AE384" s="238"/>
      <c r="AF384" s="239"/>
      <c r="AG384" s="239"/>
      <c r="AH384" s="124"/>
      <c r="AI384" s="74"/>
      <c r="AJ384" s="240"/>
      <c r="AL384" s="124"/>
      <c r="AM384" s="74"/>
      <c r="AP384" s="125"/>
      <c r="AQ384" s="241"/>
      <c r="AR384" s="125"/>
      <c r="AS384" s="125"/>
      <c r="AT384" s="238"/>
      <c r="AU384" s="125"/>
      <c r="AV384" s="125"/>
      <c r="AW384" s="125"/>
      <c r="AX384" s="238"/>
      <c r="AY384" s="125"/>
      <c r="AZ384" s="125"/>
      <c r="BA384" s="125"/>
    </row>
    <row r="385" spans="2:53" s="123" customFormat="1">
      <c r="B385" s="125"/>
      <c r="D385" s="125"/>
      <c r="I385" s="125"/>
      <c r="Z385" s="124"/>
      <c r="AA385" s="74"/>
      <c r="AB385" s="240"/>
      <c r="AD385" s="124"/>
      <c r="AE385" s="238"/>
      <c r="AF385" s="239"/>
      <c r="AG385" s="239"/>
      <c r="AH385" s="124"/>
      <c r="AI385" s="74"/>
      <c r="AJ385" s="240"/>
      <c r="AL385" s="124"/>
      <c r="AM385" s="74"/>
      <c r="AP385" s="125"/>
      <c r="AQ385" s="241"/>
      <c r="AR385" s="125"/>
      <c r="AS385" s="125"/>
      <c r="AT385" s="238"/>
      <c r="AU385" s="125"/>
      <c r="AV385" s="125"/>
      <c r="AW385" s="125"/>
      <c r="AX385" s="238"/>
      <c r="AY385" s="125"/>
      <c r="AZ385" s="125"/>
      <c r="BA385" s="125"/>
    </row>
    <row r="386" spans="2:53" s="123" customFormat="1">
      <c r="B386" s="125"/>
      <c r="D386" s="125"/>
      <c r="I386" s="125"/>
      <c r="Z386" s="124"/>
      <c r="AA386" s="74"/>
      <c r="AB386" s="240"/>
      <c r="AD386" s="124"/>
      <c r="AE386" s="238"/>
      <c r="AF386" s="239"/>
      <c r="AG386" s="239"/>
      <c r="AH386" s="124"/>
      <c r="AI386" s="74"/>
      <c r="AJ386" s="240"/>
      <c r="AL386" s="124"/>
      <c r="AM386" s="74"/>
      <c r="AP386" s="125"/>
      <c r="AQ386" s="241"/>
      <c r="AR386" s="125"/>
      <c r="AS386" s="125"/>
      <c r="AT386" s="238"/>
      <c r="AU386" s="125"/>
      <c r="AV386" s="125"/>
      <c r="AW386" s="125"/>
      <c r="AX386" s="238"/>
      <c r="AY386" s="125"/>
      <c r="AZ386" s="125"/>
      <c r="BA386" s="125"/>
    </row>
    <row r="387" spans="2:53" s="123" customFormat="1">
      <c r="B387" s="125"/>
      <c r="D387" s="125"/>
      <c r="I387" s="125"/>
      <c r="Z387" s="124"/>
      <c r="AA387" s="74"/>
      <c r="AB387" s="240"/>
      <c r="AD387" s="124"/>
      <c r="AE387" s="238"/>
      <c r="AF387" s="239"/>
      <c r="AG387" s="239"/>
      <c r="AH387" s="124"/>
      <c r="AI387" s="74"/>
      <c r="AJ387" s="240"/>
      <c r="AL387" s="124"/>
      <c r="AM387" s="74"/>
      <c r="AP387" s="125"/>
      <c r="AQ387" s="241"/>
      <c r="AR387" s="125"/>
      <c r="AS387" s="125"/>
      <c r="AT387" s="238"/>
      <c r="AU387" s="125"/>
      <c r="AV387" s="125"/>
      <c r="AW387" s="125"/>
      <c r="AX387" s="238"/>
      <c r="AY387" s="125"/>
      <c r="AZ387" s="125"/>
      <c r="BA387" s="125"/>
    </row>
    <row r="388" spans="2:53" s="123" customFormat="1">
      <c r="B388" s="125"/>
      <c r="D388" s="125"/>
      <c r="I388" s="125"/>
      <c r="Z388" s="124"/>
      <c r="AA388" s="74"/>
      <c r="AB388" s="240"/>
      <c r="AD388" s="124"/>
      <c r="AE388" s="238"/>
      <c r="AF388" s="239"/>
      <c r="AG388" s="239"/>
      <c r="AH388" s="124"/>
      <c r="AI388" s="74"/>
      <c r="AJ388" s="240"/>
      <c r="AL388" s="124"/>
      <c r="AM388" s="74"/>
      <c r="AP388" s="125"/>
      <c r="AQ388" s="241"/>
      <c r="AR388" s="125"/>
      <c r="AS388" s="125"/>
      <c r="AT388" s="238"/>
      <c r="AU388" s="125"/>
      <c r="AV388" s="125"/>
      <c r="AW388" s="125"/>
      <c r="AX388" s="238"/>
      <c r="AY388" s="125"/>
      <c r="AZ388" s="125"/>
      <c r="BA388" s="125"/>
    </row>
    <row r="389" spans="2:53" s="123" customFormat="1">
      <c r="B389" s="125"/>
      <c r="D389" s="125"/>
      <c r="I389" s="125"/>
      <c r="Z389" s="124"/>
      <c r="AA389" s="74"/>
      <c r="AB389" s="240"/>
      <c r="AD389" s="124"/>
      <c r="AE389" s="238"/>
      <c r="AF389" s="239"/>
      <c r="AG389" s="239"/>
      <c r="AH389" s="124"/>
      <c r="AI389" s="74"/>
      <c r="AJ389" s="240"/>
      <c r="AL389" s="124"/>
      <c r="AM389" s="74"/>
      <c r="AP389" s="125"/>
      <c r="AQ389" s="241"/>
      <c r="AR389" s="125"/>
      <c r="AS389" s="125"/>
      <c r="AT389" s="238"/>
      <c r="AU389" s="125"/>
      <c r="AV389" s="125"/>
      <c r="AW389" s="125"/>
      <c r="AX389" s="238"/>
      <c r="AY389" s="125"/>
      <c r="AZ389" s="125"/>
      <c r="BA389" s="125"/>
    </row>
    <row r="390" spans="2:53" s="123" customFormat="1">
      <c r="B390" s="125"/>
      <c r="D390" s="125"/>
      <c r="I390" s="125"/>
      <c r="Z390" s="124"/>
      <c r="AA390" s="74"/>
      <c r="AB390" s="240"/>
      <c r="AD390" s="124"/>
      <c r="AE390" s="238"/>
      <c r="AF390" s="239"/>
      <c r="AG390" s="239"/>
      <c r="AH390" s="124"/>
      <c r="AI390" s="74"/>
      <c r="AJ390" s="240"/>
      <c r="AL390" s="124"/>
      <c r="AM390" s="74"/>
      <c r="AP390" s="125"/>
      <c r="AQ390" s="241"/>
      <c r="AR390" s="125"/>
      <c r="AS390" s="125"/>
      <c r="AT390" s="238"/>
      <c r="AU390" s="125"/>
      <c r="AV390" s="125"/>
      <c r="AW390" s="125"/>
      <c r="AX390" s="238"/>
      <c r="AY390" s="125"/>
      <c r="AZ390" s="125"/>
      <c r="BA390" s="125"/>
    </row>
    <row r="391" spans="2:53" s="123" customFormat="1">
      <c r="B391" s="125"/>
      <c r="D391" s="125"/>
      <c r="I391" s="125"/>
      <c r="Z391" s="124"/>
      <c r="AA391" s="74"/>
      <c r="AB391" s="240"/>
      <c r="AD391" s="124"/>
      <c r="AE391" s="238"/>
      <c r="AF391" s="239"/>
      <c r="AG391" s="239"/>
      <c r="AH391" s="124"/>
      <c r="AI391" s="74"/>
      <c r="AJ391" s="240"/>
      <c r="AL391" s="124"/>
      <c r="AM391" s="74"/>
      <c r="AP391" s="125"/>
      <c r="AQ391" s="241"/>
      <c r="AR391" s="125"/>
      <c r="AS391" s="125"/>
      <c r="AT391" s="238"/>
      <c r="AU391" s="125"/>
      <c r="AV391" s="125"/>
      <c r="AW391" s="125"/>
      <c r="AX391" s="238"/>
      <c r="AY391" s="125"/>
      <c r="AZ391" s="125"/>
      <c r="BA391" s="125"/>
    </row>
    <row r="392" spans="2:53" s="123" customFormat="1">
      <c r="B392" s="125"/>
      <c r="D392" s="125"/>
      <c r="I392" s="125"/>
      <c r="Z392" s="124"/>
      <c r="AA392" s="74"/>
      <c r="AB392" s="240"/>
      <c r="AD392" s="124"/>
      <c r="AE392" s="238"/>
      <c r="AF392" s="239"/>
      <c r="AG392" s="239"/>
      <c r="AH392" s="124"/>
      <c r="AI392" s="74"/>
      <c r="AJ392" s="240"/>
      <c r="AL392" s="124"/>
      <c r="AM392" s="74"/>
      <c r="AP392" s="125"/>
      <c r="AQ392" s="241"/>
      <c r="AR392" s="125"/>
      <c r="AS392" s="125"/>
      <c r="AT392" s="238"/>
      <c r="AU392" s="125"/>
      <c r="AV392" s="125"/>
      <c r="AW392" s="125"/>
      <c r="AX392" s="238"/>
      <c r="AY392" s="125"/>
      <c r="AZ392" s="125"/>
      <c r="BA392" s="125"/>
    </row>
    <row r="393" spans="2:53" s="123" customFormat="1">
      <c r="B393" s="125"/>
      <c r="D393" s="125"/>
      <c r="I393" s="125"/>
      <c r="Z393" s="124"/>
      <c r="AA393" s="74"/>
      <c r="AB393" s="240"/>
      <c r="AD393" s="124"/>
      <c r="AE393" s="238"/>
      <c r="AF393" s="239"/>
      <c r="AG393" s="239"/>
      <c r="AH393" s="124"/>
      <c r="AI393" s="74"/>
      <c r="AJ393" s="240"/>
      <c r="AL393" s="124"/>
      <c r="AM393" s="74"/>
      <c r="AP393" s="125"/>
      <c r="AQ393" s="241"/>
      <c r="AR393" s="125"/>
      <c r="AS393" s="125"/>
      <c r="AT393" s="238"/>
      <c r="AU393" s="125"/>
      <c r="AV393" s="125"/>
      <c r="AW393" s="125"/>
      <c r="AX393" s="238"/>
      <c r="AY393" s="125"/>
      <c r="AZ393" s="125"/>
      <c r="BA393" s="125"/>
    </row>
    <row r="394" spans="2:53" s="123" customFormat="1">
      <c r="B394" s="125"/>
      <c r="D394" s="125"/>
      <c r="I394" s="125"/>
      <c r="Z394" s="124"/>
      <c r="AA394" s="74"/>
      <c r="AB394" s="240"/>
      <c r="AD394" s="124"/>
      <c r="AE394" s="238"/>
      <c r="AF394" s="239"/>
      <c r="AG394" s="239"/>
      <c r="AH394" s="124"/>
      <c r="AI394" s="74"/>
      <c r="AJ394" s="240"/>
      <c r="AL394" s="124"/>
      <c r="AM394" s="74"/>
      <c r="AP394" s="125"/>
      <c r="AQ394" s="241"/>
      <c r="AR394" s="125"/>
      <c r="AS394" s="125"/>
      <c r="AT394" s="238"/>
      <c r="AU394" s="125"/>
      <c r="AV394" s="125"/>
      <c r="AW394" s="125"/>
      <c r="AX394" s="238"/>
      <c r="AY394" s="125"/>
      <c r="AZ394" s="125"/>
      <c r="BA394" s="125"/>
    </row>
    <row r="395" spans="2:53" s="123" customFormat="1">
      <c r="B395" s="125"/>
      <c r="D395" s="125"/>
      <c r="I395" s="125"/>
      <c r="Z395" s="124"/>
      <c r="AA395" s="74"/>
      <c r="AB395" s="240"/>
      <c r="AD395" s="124"/>
      <c r="AE395" s="238"/>
      <c r="AF395" s="239"/>
      <c r="AG395" s="239"/>
      <c r="AH395" s="124"/>
      <c r="AI395" s="74"/>
      <c r="AJ395" s="240"/>
      <c r="AL395" s="124"/>
      <c r="AM395" s="74"/>
      <c r="AP395" s="125"/>
      <c r="AQ395" s="241"/>
      <c r="AR395" s="125"/>
      <c r="AS395" s="125"/>
      <c r="AT395" s="238"/>
      <c r="AU395" s="125"/>
      <c r="AV395" s="125"/>
      <c r="AW395" s="125"/>
      <c r="AX395" s="238"/>
      <c r="AY395" s="125"/>
      <c r="AZ395" s="125"/>
      <c r="BA395" s="125"/>
    </row>
    <row r="396" spans="2:53" s="123" customFormat="1">
      <c r="B396" s="125"/>
      <c r="D396" s="125"/>
      <c r="I396" s="125"/>
      <c r="Z396" s="124"/>
      <c r="AA396" s="74"/>
      <c r="AB396" s="240"/>
      <c r="AD396" s="124"/>
      <c r="AE396" s="238"/>
      <c r="AF396" s="239"/>
      <c r="AG396" s="239"/>
      <c r="AH396" s="124"/>
      <c r="AI396" s="74"/>
      <c r="AJ396" s="240"/>
      <c r="AL396" s="124"/>
      <c r="AM396" s="74"/>
      <c r="AP396" s="125"/>
      <c r="AQ396" s="241"/>
      <c r="AR396" s="125"/>
      <c r="AS396" s="125"/>
      <c r="AT396" s="238"/>
      <c r="AU396" s="125"/>
      <c r="AV396" s="125"/>
      <c r="AW396" s="125"/>
      <c r="AX396" s="238"/>
      <c r="AY396" s="125"/>
      <c r="AZ396" s="125"/>
      <c r="BA396" s="125"/>
    </row>
    <row r="397" spans="2:53" s="123" customFormat="1">
      <c r="B397" s="125"/>
      <c r="D397" s="125"/>
      <c r="I397" s="125"/>
      <c r="Z397" s="124"/>
      <c r="AA397" s="74"/>
      <c r="AB397" s="240"/>
      <c r="AD397" s="124"/>
      <c r="AE397" s="238"/>
      <c r="AF397" s="239"/>
      <c r="AG397" s="239"/>
      <c r="AH397" s="124"/>
      <c r="AI397" s="74"/>
      <c r="AJ397" s="240"/>
      <c r="AL397" s="124"/>
      <c r="AM397" s="74"/>
      <c r="AP397" s="125"/>
      <c r="AQ397" s="241"/>
      <c r="AR397" s="125"/>
      <c r="AS397" s="125"/>
      <c r="AT397" s="238"/>
      <c r="AU397" s="125"/>
      <c r="AV397" s="125"/>
      <c r="AW397" s="125"/>
      <c r="AX397" s="238"/>
      <c r="AY397" s="125"/>
      <c r="AZ397" s="125"/>
      <c r="BA397" s="125"/>
    </row>
    <row r="398" spans="2:53" s="123" customFormat="1">
      <c r="B398" s="125"/>
      <c r="D398" s="125"/>
      <c r="I398" s="125"/>
      <c r="Z398" s="124"/>
      <c r="AA398" s="74"/>
      <c r="AB398" s="240"/>
      <c r="AD398" s="124"/>
      <c r="AE398" s="238"/>
      <c r="AF398" s="239"/>
      <c r="AG398" s="239"/>
      <c r="AH398" s="124"/>
      <c r="AI398" s="74"/>
      <c r="AJ398" s="240"/>
      <c r="AL398" s="124"/>
      <c r="AM398" s="74"/>
      <c r="AP398" s="125"/>
      <c r="AQ398" s="241"/>
      <c r="AR398" s="125"/>
      <c r="AS398" s="125"/>
      <c r="AT398" s="238"/>
      <c r="AU398" s="125"/>
      <c r="AV398" s="125"/>
      <c r="AW398" s="125"/>
      <c r="AX398" s="238"/>
      <c r="AY398" s="125"/>
      <c r="AZ398" s="125"/>
      <c r="BA398" s="125"/>
    </row>
    <row r="399" spans="2:53" s="123" customFormat="1">
      <c r="B399" s="125"/>
      <c r="D399" s="125"/>
      <c r="I399" s="125"/>
      <c r="Z399" s="124"/>
      <c r="AA399" s="74"/>
      <c r="AB399" s="240"/>
      <c r="AD399" s="124"/>
      <c r="AE399" s="238"/>
      <c r="AF399" s="239"/>
      <c r="AG399" s="239"/>
      <c r="AH399" s="124"/>
      <c r="AI399" s="74"/>
      <c r="AJ399" s="240"/>
      <c r="AL399" s="124"/>
      <c r="AM399" s="74"/>
      <c r="AP399" s="125"/>
      <c r="AQ399" s="241"/>
      <c r="AR399" s="125"/>
      <c r="AS399" s="125"/>
      <c r="AT399" s="238"/>
      <c r="AU399" s="125"/>
      <c r="AV399" s="125"/>
      <c r="AW399" s="125"/>
      <c r="AX399" s="238"/>
      <c r="AY399" s="125"/>
      <c r="AZ399" s="125"/>
      <c r="BA399" s="125"/>
    </row>
    <row r="400" spans="2:53" s="123" customFormat="1">
      <c r="B400" s="125"/>
      <c r="D400" s="125"/>
      <c r="I400" s="125"/>
      <c r="Z400" s="124"/>
      <c r="AA400" s="74"/>
      <c r="AB400" s="240"/>
      <c r="AD400" s="124"/>
      <c r="AE400" s="238"/>
      <c r="AF400" s="239"/>
      <c r="AG400" s="239"/>
      <c r="AH400" s="124"/>
      <c r="AI400" s="74"/>
      <c r="AJ400" s="240"/>
      <c r="AL400" s="124"/>
      <c r="AM400" s="74"/>
      <c r="AP400" s="125"/>
      <c r="AQ400" s="241"/>
      <c r="AR400" s="125"/>
      <c r="AS400" s="125"/>
      <c r="AT400" s="238"/>
      <c r="AU400" s="125"/>
      <c r="AV400" s="125"/>
      <c r="AW400" s="125"/>
      <c r="AX400" s="238"/>
      <c r="AY400" s="125"/>
      <c r="AZ400" s="125"/>
      <c r="BA400" s="125"/>
    </row>
    <row r="401" spans="2:53" s="123" customFormat="1">
      <c r="B401" s="125"/>
      <c r="D401" s="125"/>
      <c r="I401" s="125"/>
      <c r="Z401" s="124"/>
      <c r="AA401" s="74"/>
      <c r="AB401" s="240"/>
      <c r="AD401" s="124"/>
      <c r="AE401" s="238"/>
      <c r="AF401" s="239"/>
      <c r="AG401" s="239"/>
      <c r="AH401" s="124"/>
      <c r="AI401" s="74"/>
      <c r="AJ401" s="240"/>
      <c r="AL401" s="124"/>
      <c r="AM401" s="74"/>
      <c r="AP401" s="125"/>
      <c r="AQ401" s="241"/>
      <c r="AR401" s="125"/>
      <c r="AS401" s="125"/>
      <c r="AT401" s="238"/>
      <c r="AU401" s="125"/>
      <c r="AV401" s="125"/>
      <c r="AW401" s="125"/>
      <c r="AX401" s="238"/>
      <c r="AY401" s="125"/>
      <c r="AZ401" s="125"/>
      <c r="BA401" s="125"/>
    </row>
    <row r="402" spans="2:53" s="123" customFormat="1">
      <c r="B402" s="125"/>
      <c r="D402" s="125"/>
      <c r="I402" s="125"/>
      <c r="Z402" s="124"/>
      <c r="AA402" s="74"/>
      <c r="AB402" s="240"/>
      <c r="AD402" s="124"/>
      <c r="AE402" s="238"/>
      <c r="AF402" s="239"/>
      <c r="AG402" s="239"/>
      <c r="AH402" s="124"/>
      <c r="AI402" s="74"/>
      <c r="AJ402" s="240"/>
      <c r="AL402" s="124"/>
      <c r="AM402" s="74"/>
      <c r="AP402" s="125"/>
      <c r="AQ402" s="241"/>
      <c r="AR402" s="125"/>
      <c r="AS402" s="125"/>
      <c r="AT402" s="238"/>
      <c r="AU402" s="125"/>
      <c r="AV402" s="125"/>
      <c r="AW402" s="125"/>
      <c r="AX402" s="238"/>
      <c r="AY402" s="125"/>
      <c r="AZ402" s="125"/>
      <c r="BA402" s="125"/>
    </row>
    <row r="403" spans="2:53" s="123" customFormat="1">
      <c r="B403" s="125"/>
      <c r="D403" s="125"/>
      <c r="I403" s="125"/>
      <c r="Z403" s="124"/>
      <c r="AA403" s="74"/>
      <c r="AB403" s="240"/>
      <c r="AD403" s="124"/>
      <c r="AE403" s="238"/>
      <c r="AF403" s="239"/>
      <c r="AG403" s="239"/>
      <c r="AH403" s="124"/>
      <c r="AI403" s="74"/>
      <c r="AJ403" s="240"/>
      <c r="AL403" s="124"/>
      <c r="AM403" s="74"/>
      <c r="AP403" s="125"/>
      <c r="AQ403" s="241"/>
      <c r="AR403" s="125"/>
      <c r="AS403" s="125"/>
      <c r="AT403" s="238"/>
      <c r="AU403" s="125"/>
      <c r="AV403" s="125"/>
      <c r="AW403" s="125"/>
      <c r="AX403" s="238"/>
      <c r="AY403" s="125"/>
      <c r="AZ403" s="125"/>
      <c r="BA403" s="125"/>
    </row>
    <row r="404" spans="2:53" s="123" customFormat="1">
      <c r="B404" s="125"/>
      <c r="D404" s="125"/>
      <c r="I404" s="125"/>
      <c r="Z404" s="124"/>
      <c r="AA404" s="74"/>
      <c r="AB404" s="240"/>
      <c r="AD404" s="124"/>
      <c r="AE404" s="238"/>
      <c r="AF404" s="239"/>
      <c r="AG404" s="239"/>
      <c r="AH404" s="124"/>
      <c r="AI404" s="74"/>
      <c r="AJ404" s="240"/>
      <c r="AL404" s="124"/>
      <c r="AM404" s="74"/>
      <c r="AP404" s="125"/>
      <c r="AQ404" s="241"/>
      <c r="AR404" s="125"/>
      <c r="AS404" s="125"/>
      <c r="AT404" s="238"/>
      <c r="AU404" s="125"/>
      <c r="AV404" s="125"/>
      <c r="AW404" s="125"/>
      <c r="AX404" s="238"/>
      <c r="AY404" s="125"/>
      <c r="AZ404" s="125"/>
      <c r="BA404" s="125"/>
    </row>
    <row r="405" spans="2:53" s="123" customFormat="1">
      <c r="B405" s="125"/>
      <c r="D405" s="125"/>
      <c r="I405" s="125"/>
      <c r="Z405" s="124"/>
      <c r="AA405" s="74"/>
      <c r="AB405" s="240"/>
      <c r="AD405" s="124"/>
      <c r="AE405" s="238"/>
      <c r="AF405" s="239"/>
      <c r="AG405" s="239"/>
      <c r="AH405" s="124"/>
      <c r="AI405" s="74"/>
      <c r="AJ405" s="240"/>
      <c r="AL405" s="124"/>
      <c r="AM405" s="74"/>
      <c r="AP405" s="125"/>
      <c r="AQ405" s="241"/>
      <c r="AR405" s="125"/>
      <c r="AS405" s="125"/>
      <c r="AT405" s="238"/>
      <c r="AU405" s="125"/>
      <c r="AV405" s="125"/>
      <c r="AW405" s="125"/>
      <c r="AX405" s="238"/>
      <c r="AY405" s="125"/>
      <c r="AZ405" s="125"/>
      <c r="BA405" s="125"/>
    </row>
    <row r="406" spans="2:53" s="123" customFormat="1">
      <c r="B406" s="125"/>
      <c r="D406" s="125"/>
      <c r="I406" s="125"/>
      <c r="Z406" s="124"/>
      <c r="AA406" s="74"/>
      <c r="AB406" s="240"/>
      <c r="AD406" s="124"/>
      <c r="AE406" s="238"/>
      <c r="AF406" s="239"/>
      <c r="AG406" s="239"/>
      <c r="AH406" s="124"/>
      <c r="AI406" s="74"/>
      <c r="AJ406" s="240"/>
      <c r="AL406" s="124"/>
      <c r="AM406" s="74"/>
      <c r="AP406" s="125"/>
      <c r="AQ406" s="241"/>
      <c r="AR406" s="125"/>
      <c r="AS406" s="125"/>
      <c r="AT406" s="238"/>
      <c r="AU406" s="125"/>
      <c r="AV406" s="125"/>
      <c r="AW406" s="125"/>
      <c r="AX406" s="238"/>
      <c r="AY406" s="125"/>
      <c r="AZ406" s="125"/>
      <c r="BA406" s="125"/>
    </row>
    <row r="407" spans="2:53" s="123" customFormat="1">
      <c r="B407" s="125"/>
      <c r="D407" s="125"/>
      <c r="I407" s="125"/>
      <c r="Z407" s="124"/>
      <c r="AA407" s="74"/>
      <c r="AB407" s="240"/>
      <c r="AD407" s="124"/>
      <c r="AE407" s="238"/>
      <c r="AF407" s="239"/>
      <c r="AG407" s="239"/>
      <c r="AH407" s="124"/>
      <c r="AI407" s="74"/>
      <c r="AJ407" s="240"/>
      <c r="AL407" s="124"/>
      <c r="AM407" s="74"/>
      <c r="AP407" s="125"/>
      <c r="AQ407" s="241"/>
      <c r="AR407" s="125"/>
      <c r="AS407" s="125"/>
      <c r="AT407" s="238"/>
      <c r="AU407" s="125"/>
      <c r="AV407" s="125"/>
      <c r="AW407" s="125"/>
      <c r="AX407" s="238"/>
      <c r="AY407" s="125"/>
      <c r="AZ407" s="125"/>
      <c r="BA407" s="125"/>
    </row>
    <row r="408" spans="2:53" s="123" customFormat="1">
      <c r="B408" s="125"/>
      <c r="D408" s="125"/>
      <c r="I408" s="125"/>
      <c r="Z408" s="124"/>
      <c r="AA408" s="74"/>
      <c r="AB408" s="240"/>
      <c r="AD408" s="124"/>
      <c r="AE408" s="238"/>
      <c r="AF408" s="239"/>
      <c r="AG408" s="239"/>
      <c r="AH408" s="124"/>
      <c r="AI408" s="74"/>
      <c r="AJ408" s="240"/>
      <c r="AL408" s="124"/>
      <c r="AM408" s="74"/>
      <c r="AP408" s="125"/>
      <c r="AQ408" s="241"/>
      <c r="AR408" s="125"/>
      <c r="AS408" s="125"/>
      <c r="AT408" s="238"/>
      <c r="AU408" s="125"/>
      <c r="AV408" s="125"/>
      <c r="AW408" s="125"/>
      <c r="AX408" s="238"/>
      <c r="AY408" s="125"/>
      <c r="AZ408" s="125"/>
      <c r="BA408" s="125"/>
    </row>
    <row r="409" spans="2:53" s="123" customFormat="1">
      <c r="B409" s="125"/>
      <c r="D409" s="125"/>
      <c r="I409" s="125"/>
      <c r="Z409" s="124"/>
      <c r="AA409" s="74"/>
      <c r="AB409" s="240"/>
      <c r="AD409" s="124"/>
      <c r="AE409" s="238"/>
      <c r="AF409" s="239"/>
      <c r="AG409" s="239"/>
      <c r="AH409" s="124"/>
      <c r="AI409" s="74"/>
      <c r="AJ409" s="240"/>
      <c r="AL409" s="124"/>
      <c r="AM409" s="74"/>
      <c r="AP409" s="125"/>
      <c r="AQ409" s="241"/>
      <c r="AR409" s="125"/>
      <c r="AS409" s="125"/>
      <c r="AT409" s="238"/>
      <c r="AU409" s="125"/>
      <c r="AV409" s="125"/>
      <c r="AW409" s="125"/>
      <c r="AX409" s="238"/>
      <c r="AY409" s="125"/>
      <c r="AZ409" s="125"/>
      <c r="BA409" s="125"/>
    </row>
    <row r="410" spans="2:53" s="123" customFormat="1">
      <c r="B410" s="125"/>
      <c r="D410" s="125"/>
      <c r="I410" s="125"/>
      <c r="Z410" s="124"/>
      <c r="AA410" s="74"/>
      <c r="AB410" s="240"/>
      <c r="AD410" s="124"/>
      <c r="AE410" s="238"/>
      <c r="AF410" s="239"/>
      <c r="AG410" s="239"/>
      <c r="AH410" s="124"/>
      <c r="AI410" s="74"/>
      <c r="AJ410" s="240"/>
      <c r="AL410" s="124"/>
      <c r="AM410" s="74"/>
      <c r="AP410" s="125"/>
      <c r="AQ410" s="241"/>
      <c r="AR410" s="125"/>
      <c r="AS410" s="125"/>
      <c r="AT410" s="238"/>
      <c r="AU410" s="125"/>
      <c r="AV410" s="125"/>
      <c r="AW410" s="125"/>
      <c r="AX410" s="238"/>
      <c r="AY410" s="125"/>
      <c r="AZ410" s="125"/>
      <c r="BA410" s="125"/>
    </row>
    <row r="411" spans="2:53" s="123" customFormat="1">
      <c r="B411" s="125"/>
      <c r="D411" s="125"/>
      <c r="I411" s="125"/>
      <c r="Z411" s="124"/>
      <c r="AA411" s="74"/>
      <c r="AB411" s="240"/>
      <c r="AD411" s="124"/>
      <c r="AE411" s="238"/>
      <c r="AF411" s="239"/>
      <c r="AG411" s="239"/>
      <c r="AH411" s="124"/>
      <c r="AI411" s="74"/>
      <c r="AJ411" s="240"/>
      <c r="AL411" s="124"/>
      <c r="AM411" s="74"/>
      <c r="AP411" s="125"/>
      <c r="AQ411" s="241"/>
      <c r="AR411" s="125"/>
      <c r="AS411" s="125"/>
      <c r="AT411" s="238"/>
      <c r="AU411" s="125"/>
      <c r="AV411" s="125"/>
      <c r="AW411" s="125"/>
      <c r="AX411" s="238"/>
      <c r="AY411" s="125"/>
      <c r="AZ411" s="125"/>
      <c r="BA411" s="125"/>
    </row>
    <row r="412" spans="2:53" s="123" customFormat="1">
      <c r="B412" s="125"/>
      <c r="D412" s="125"/>
      <c r="I412" s="125"/>
      <c r="Z412" s="124"/>
      <c r="AA412" s="74"/>
      <c r="AB412" s="240"/>
      <c r="AD412" s="124"/>
      <c r="AE412" s="238"/>
      <c r="AF412" s="239"/>
      <c r="AG412" s="239"/>
      <c r="AH412" s="124"/>
      <c r="AI412" s="74"/>
      <c r="AJ412" s="240"/>
      <c r="AL412" s="124"/>
      <c r="AM412" s="74"/>
      <c r="AP412" s="125"/>
      <c r="AQ412" s="241"/>
      <c r="AR412" s="125"/>
      <c r="AS412" s="125"/>
      <c r="AT412" s="238"/>
      <c r="AU412" s="125"/>
      <c r="AV412" s="125"/>
      <c r="AW412" s="125"/>
      <c r="AX412" s="238"/>
      <c r="AY412" s="125"/>
      <c r="AZ412" s="125"/>
      <c r="BA412" s="125"/>
    </row>
    <row r="413" spans="2:53" s="123" customFormat="1">
      <c r="B413" s="125"/>
      <c r="D413" s="125"/>
      <c r="I413" s="125"/>
      <c r="Z413" s="124"/>
      <c r="AA413" s="74"/>
      <c r="AB413" s="240"/>
      <c r="AD413" s="124"/>
      <c r="AE413" s="238"/>
      <c r="AF413" s="239"/>
      <c r="AG413" s="239"/>
      <c r="AH413" s="124"/>
      <c r="AI413" s="74"/>
      <c r="AJ413" s="240"/>
      <c r="AL413" s="124"/>
      <c r="AM413" s="74"/>
      <c r="AP413" s="125"/>
      <c r="AQ413" s="241"/>
      <c r="AR413" s="125"/>
      <c r="AS413" s="125"/>
      <c r="AT413" s="238"/>
      <c r="AU413" s="125"/>
      <c r="AV413" s="125"/>
      <c r="AW413" s="125"/>
      <c r="AX413" s="238"/>
      <c r="AY413" s="125"/>
      <c r="AZ413" s="125"/>
      <c r="BA413" s="125"/>
    </row>
    <row r="414" spans="2:53" s="123" customFormat="1">
      <c r="B414" s="125"/>
      <c r="D414" s="125"/>
      <c r="I414" s="125"/>
      <c r="Z414" s="124"/>
      <c r="AA414" s="74"/>
      <c r="AB414" s="240"/>
      <c r="AD414" s="124"/>
      <c r="AE414" s="238"/>
      <c r="AF414" s="239"/>
      <c r="AG414" s="239"/>
      <c r="AH414" s="124"/>
      <c r="AI414" s="74"/>
      <c r="AJ414" s="240"/>
      <c r="AL414" s="124"/>
      <c r="AM414" s="74"/>
      <c r="AP414" s="125"/>
      <c r="AQ414" s="241"/>
      <c r="AR414" s="125"/>
      <c r="AS414" s="125"/>
      <c r="AT414" s="238"/>
      <c r="AU414" s="125"/>
      <c r="AV414" s="125"/>
      <c r="AW414" s="125"/>
      <c r="AX414" s="238"/>
      <c r="AY414" s="125"/>
      <c r="AZ414" s="125"/>
      <c r="BA414" s="125"/>
    </row>
    <row r="415" spans="2:53" s="123" customFormat="1">
      <c r="B415" s="125"/>
      <c r="D415" s="125"/>
      <c r="I415" s="125"/>
      <c r="Z415" s="124"/>
      <c r="AA415" s="74"/>
      <c r="AB415" s="240"/>
      <c r="AD415" s="124"/>
      <c r="AE415" s="238"/>
      <c r="AF415" s="239"/>
      <c r="AG415" s="239"/>
      <c r="AH415" s="124"/>
      <c r="AI415" s="74"/>
      <c r="AJ415" s="240"/>
      <c r="AL415" s="124"/>
      <c r="AM415" s="74"/>
      <c r="AP415" s="125"/>
      <c r="AQ415" s="241"/>
      <c r="AR415" s="125"/>
      <c r="AS415" s="125"/>
      <c r="AT415" s="238"/>
      <c r="AU415" s="125"/>
      <c r="AV415" s="125"/>
      <c r="AW415" s="125"/>
      <c r="AX415" s="238"/>
      <c r="AY415" s="125"/>
      <c r="AZ415" s="125"/>
      <c r="BA415" s="125"/>
    </row>
    <row r="416" spans="2:53" s="123" customFormat="1">
      <c r="B416" s="125"/>
      <c r="D416" s="125"/>
      <c r="I416" s="125"/>
      <c r="Z416" s="124"/>
      <c r="AA416" s="74"/>
      <c r="AB416" s="240"/>
      <c r="AD416" s="124"/>
      <c r="AE416" s="238"/>
      <c r="AF416" s="239"/>
      <c r="AG416" s="239"/>
      <c r="AH416" s="124"/>
      <c r="AI416" s="74"/>
      <c r="AJ416" s="240"/>
      <c r="AL416" s="124"/>
      <c r="AM416" s="74"/>
      <c r="AP416" s="125"/>
      <c r="AQ416" s="241"/>
      <c r="AR416" s="125"/>
      <c r="AS416" s="125"/>
      <c r="AT416" s="238"/>
      <c r="AU416" s="125"/>
      <c r="AV416" s="125"/>
      <c r="AW416" s="125"/>
      <c r="AX416" s="238"/>
      <c r="AY416" s="125"/>
      <c r="AZ416" s="125"/>
      <c r="BA416" s="125"/>
    </row>
    <row r="417" spans="2:53" s="123" customFormat="1">
      <c r="B417" s="125"/>
      <c r="D417" s="125"/>
      <c r="I417" s="125"/>
      <c r="Z417" s="124"/>
      <c r="AA417" s="74"/>
      <c r="AB417" s="240"/>
      <c r="AD417" s="124"/>
      <c r="AE417" s="238"/>
      <c r="AF417" s="239"/>
      <c r="AG417" s="239"/>
      <c r="AH417" s="124"/>
      <c r="AI417" s="74"/>
      <c r="AJ417" s="240"/>
      <c r="AL417" s="124"/>
      <c r="AM417" s="74"/>
      <c r="AP417" s="125"/>
      <c r="AQ417" s="241"/>
      <c r="AR417" s="125"/>
      <c r="AS417" s="125"/>
      <c r="AT417" s="238"/>
      <c r="AU417" s="125"/>
      <c r="AV417" s="125"/>
      <c r="AW417" s="125"/>
      <c r="AX417" s="238"/>
      <c r="AY417" s="125"/>
      <c r="AZ417" s="125"/>
      <c r="BA417" s="125"/>
    </row>
    <row r="418" spans="2:53" s="123" customFormat="1">
      <c r="B418" s="125"/>
      <c r="D418" s="125"/>
      <c r="I418" s="125"/>
      <c r="Z418" s="124"/>
      <c r="AA418" s="74"/>
      <c r="AB418" s="240"/>
      <c r="AD418" s="124"/>
      <c r="AE418" s="238"/>
      <c r="AF418" s="239"/>
      <c r="AG418" s="239"/>
      <c r="AH418" s="124"/>
      <c r="AI418" s="74"/>
      <c r="AJ418" s="240"/>
      <c r="AL418" s="124"/>
      <c r="AM418" s="74"/>
      <c r="AP418" s="125"/>
      <c r="AQ418" s="241"/>
      <c r="AR418" s="125"/>
      <c r="AS418" s="125"/>
      <c r="AT418" s="238"/>
      <c r="AU418" s="125"/>
      <c r="AV418" s="125"/>
      <c r="AW418" s="125"/>
      <c r="AX418" s="238"/>
      <c r="AY418" s="125"/>
      <c r="AZ418" s="125"/>
      <c r="BA418" s="125"/>
    </row>
    <row r="419" spans="2:53" s="123" customFormat="1">
      <c r="B419" s="125"/>
      <c r="D419" s="125"/>
      <c r="I419" s="125"/>
      <c r="Z419" s="124"/>
      <c r="AA419" s="74"/>
      <c r="AB419" s="240"/>
      <c r="AD419" s="124"/>
      <c r="AE419" s="238"/>
      <c r="AF419" s="239"/>
      <c r="AG419" s="239"/>
      <c r="AH419" s="124"/>
      <c r="AI419" s="74"/>
      <c r="AJ419" s="240"/>
      <c r="AL419" s="124"/>
      <c r="AM419" s="74"/>
      <c r="AP419" s="125"/>
      <c r="AQ419" s="241"/>
      <c r="AR419" s="125"/>
      <c r="AS419" s="125"/>
      <c r="AT419" s="238"/>
      <c r="AU419" s="125"/>
      <c r="AV419" s="125"/>
      <c r="AW419" s="125"/>
      <c r="AX419" s="238"/>
      <c r="AY419" s="125"/>
      <c r="AZ419" s="125"/>
      <c r="BA419" s="125"/>
    </row>
    <row r="420" spans="2:53" s="123" customFormat="1">
      <c r="B420" s="125"/>
      <c r="D420" s="125"/>
      <c r="I420" s="125"/>
      <c r="Z420" s="124"/>
      <c r="AA420" s="74"/>
      <c r="AB420" s="240"/>
      <c r="AD420" s="124"/>
      <c r="AE420" s="238"/>
      <c r="AF420" s="239"/>
      <c r="AG420" s="239"/>
      <c r="AH420" s="124"/>
      <c r="AI420" s="74"/>
      <c r="AJ420" s="240"/>
      <c r="AL420" s="124"/>
      <c r="AM420" s="74"/>
      <c r="AP420" s="125"/>
      <c r="AQ420" s="241"/>
      <c r="AR420" s="125"/>
      <c r="AS420" s="125"/>
      <c r="AT420" s="238"/>
      <c r="AU420" s="125"/>
      <c r="AV420" s="125"/>
      <c r="AW420" s="125"/>
      <c r="AX420" s="238"/>
      <c r="AY420" s="125"/>
      <c r="AZ420" s="125"/>
      <c r="BA420" s="125"/>
    </row>
    <row r="421" spans="2:53" s="123" customFormat="1">
      <c r="B421" s="125"/>
      <c r="D421" s="125"/>
      <c r="I421" s="125"/>
      <c r="Z421" s="124"/>
      <c r="AA421" s="74"/>
      <c r="AB421" s="240"/>
      <c r="AD421" s="124"/>
      <c r="AE421" s="238"/>
      <c r="AF421" s="239"/>
      <c r="AG421" s="239"/>
      <c r="AH421" s="124"/>
      <c r="AI421" s="74"/>
      <c r="AJ421" s="240"/>
      <c r="AL421" s="124"/>
      <c r="AM421" s="74"/>
      <c r="AP421" s="125"/>
      <c r="AQ421" s="241"/>
      <c r="AR421" s="125"/>
      <c r="AS421" s="125"/>
      <c r="AT421" s="238"/>
      <c r="AU421" s="125"/>
      <c r="AV421" s="125"/>
      <c r="AW421" s="125"/>
      <c r="AX421" s="238"/>
      <c r="AY421" s="125"/>
      <c r="AZ421" s="125"/>
      <c r="BA421" s="125"/>
    </row>
    <row r="422" spans="2:53" s="123" customFormat="1">
      <c r="B422" s="125"/>
      <c r="D422" s="125"/>
      <c r="I422" s="125"/>
      <c r="Z422" s="124"/>
      <c r="AA422" s="74"/>
      <c r="AB422" s="240"/>
      <c r="AD422" s="124"/>
      <c r="AE422" s="238"/>
      <c r="AF422" s="239"/>
      <c r="AG422" s="239"/>
      <c r="AH422" s="124"/>
      <c r="AI422" s="74"/>
      <c r="AJ422" s="240"/>
      <c r="AL422" s="124"/>
      <c r="AM422" s="74"/>
      <c r="AP422" s="125"/>
      <c r="AQ422" s="241"/>
      <c r="AR422" s="125"/>
      <c r="AS422" s="125"/>
      <c r="AT422" s="238"/>
      <c r="AU422" s="125"/>
      <c r="AV422" s="125"/>
      <c r="AW422" s="125"/>
      <c r="AX422" s="238"/>
      <c r="AY422" s="125"/>
      <c r="AZ422" s="125"/>
      <c r="BA422" s="125"/>
    </row>
    <row r="423" spans="2:53" s="123" customFormat="1">
      <c r="B423" s="125"/>
      <c r="D423" s="125"/>
      <c r="I423" s="125"/>
      <c r="Z423" s="124"/>
      <c r="AA423" s="74"/>
      <c r="AB423" s="240"/>
      <c r="AD423" s="124"/>
      <c r="AE423" s="238"/>
      <c r="AF423" s="239"/>
      <c r="AG423" s="239"/>
      <c r="AH423" s="124"/>
      <c r="AI423" s="74"/>
      <c r="AJ423" s="240"/>
      <c r="AL423" s="124"/>
      <c r="AM423" s="74"/>
      <c r="AP423" s="125"/>
      <c r="AQ423" s="241"/>
      <c r="AR423" s="125"/>
      <c r="AS423" s="125"/>
      <c r="AT423" s="238"/>
      <c r="AU423" s="125"/>
      <c r="AV423" s="125"/>
      <c r="AW423" s="125"/>
      <c r="AX423" s="238"/>
      <c r="AY423" s="125"/>
      <c r="AZ423" s="125"/>
      <c r="BA423" s="125"/>
    </row>
    <row r="424" spans="2:53" s="123" customFormat="1">
      <c r="B424" s="125"/>
      <c r="D424" s="125"/>
      <c r="I424" s="125"/>
      <c r="Z424" s="124"/>
      <c r="AA424" s="74"/>
      <c r="AB424" s="240"/>
      <c r="AD424" s="124"/>
      <c r="AE424" s="238"/>
      <c r="AF424" s="239"/>
      <c r="AG424" s="239"/>
      <c r="AH424" s="124"/>
      <c r="AI424" s="74"/>
      <c r="AJ424" s="240"/>
      <c r="AL424" s="124"/>
      <c r="AM424" s="74"/>
      <c r="AP424" s="125"/>
      <c r="AQ424" s="241"/>
      <c r="AR424" s="125"/>
      <c r="AS424" s="125"/>
      <c r="AT424" s="238"/>
      <c r="AU424" s="125"/>
      <c r="AV424" s="125"/>
      <c r="AW424" s="125"/>
      <c r="AX424" s="238"/>
      <c r="AY424" s="125"/>
      <c r="AZ424" s="125"/>
      <c r="BA424" s="125"/>
    </row>
    <row r="425" spans="2:53" s="123" customFormat="1">
      <c r="B425" s="125"/>
      <c r="D425" s="125"/>
      <c r="I425" s="125"/>
      <c r="Z425" s="124"/>
      <c r="AA425" s="74"/>
      <c r="AB425" s="240"/>
      <c r="AD425" s="124"/>
      <c r="AE425" s="238"/>
      <c r="AF425" s="239"/>
      <c r="AG425" s="239"/>
      <c r="AH425" s="124"/>
      <c r="AI425" s="74"/>
      <c r="AJ425" s="240"/>
      <c r="AL425" s="124"/>
      <c r="AM425" s="74"/>
      <c r="AP425" s="125"/>
      <c r="AQ425" s="241"/>
      <c r="AR425" s="125"/>
      <c r="AS425" s="125"/>
      <c r="AT425" s="238"/>
      <c r="AU425" s="125"/>
      <c r="AV425" s="125"/>
      <c r="AW425" s="125"/>
      <c r="AX425" s="238"/>
      <c r="AY425" s="125"/>
      <c r="AZ425" s="125"/>
      <c r="BA425" s="125"/>
    </row>
    <row r="426" spans="2:53" s="123" customFormat="1">
      <c r="B426" s="125"/>
      <c r="D426" s="125"/>
      <c r="I426" s="125"/>
      <c r="Z426" s="124"/>
      <c r="AA426" s="74"/>
      <c r="AB426" s="240"/>
      <c r="AD426" s="124"/>
      <c r="AE426" s="238"/>
      <c r="AF426" s="239"/>
      <c r="AG426" s="239"/>
      <c r="AH426" s="124"/>
      <c r="AI426" s="74"/>
      <c r="AJ426" s="240"/>
      <c r="AL426" s="124"/>
      <c r="AM426" s="74"/>
      <c r="AP426" s="125"/>
      <c r="AQ426" s="241"/>
      <c r="AR426" s="125"/>
      <c r="AS426" s="125"/>
      <c r="AT426" s="238"/>
      <c r="AU426" s="125"/>
      <c r="AV426" s="125"/>
      <c r="AW426" s="125"/>
      <c r="AX426" s="238"/>
      <c r="AY426" s="125"/>
      <c r="AZ426" s="125"/>
      <c r="BA426" s="125"/>
    </row>
    <row r="427" spans="2:53" s="123" customFormat="1">
      <c r="B427" s="125"/>
      <c r="D427" s="125"/>
      <c r="I427" s="125"/>
      <c r="Z427" s="124"/>
      <c r="AA427" s="74"/>
      <c r="AB427" s="240"/>
      <c r="AD427" s="124"/>
      <c r="AE427" s="238"/>
      <c r="AF427" s="239"/>
      <c r="AG427" s="239"/>
      <c r="AH427" s="124"/>
      <c r="AI427" s="74"/>
      <c r="AJ427" s="240"/>
      <c r="AL427" s="124"/>
      <c r="AM427" s="74"/>
      <c r="AP427" s="125"/>
      <c r="AQ427" s="241"/>
      <c r="AR427" s="125"/>
      <c r="AS427" s="125"/>
      <c r="AT427" s="238"/>
      <c r="AU427" s="125"/>
      <c r="AV427" s="125"/>
      <c r="AW427" s="125"/>
      <c r="AX427" s="238"/>
      <c r="AY427" s="125"/>
      <c r="AZ427" s="125"/>
      <c r="BA427" s="125"/>
    </row>
    <row r="428" spans="2:53" s="123" customFormat="1">
      <c r="B428" s="125"/>
      <c r="D428" s="125"/>
      <c r="I428" s="125"/>
      <c r="Z428" s="124"/>
      <c r="AA428" s="74"/>
      <c r="AB428" s="240"/>
      <c r="AD428" s="124"/>
      <c r="AE428" s="238"/>
      <c r="AF428" s="239"/>
      <c r="AG428" s="239"/>
      <c r="AH428" s="124"/>
      <c r="AI428" s="74"/>
      <c r="AJ428" s="240"/>
      <c r="AL428" s="124"/>
      <c r="AM428" s="74"/>
      <c r="AP428" s="125"/>
      <c r="AQ428" s="241"/>
      <c r="AR428" s="125"/>
      <c r="AS428" s="125"/>
      <c r="AT428" s="238"/>
      <c r="AU428" s="125"/>
      <c r="AV428" s="125"/>
      <c r="AW428" s="125"/>
      <c r="AX428" s="238"/>
      <c r="AY428" s="125"/>
      <c r="AZ428" s="125"/>
      <c r="BA428" s="125"/>
    </row>
    <row r="429" spans="2:53" s="123" customFormat="1">
      <c r="B429" s="125"/>
      <c r="D429" s="125"/>
      <c r="I429" s="125"/>
      <c r="Z429" s="124"/>
      <c r="AA429" s="74"/>
      <c r="AB429" s="240"/>
      <c r="AD429" s="124"/>
      <c r="AE429" s="238"/>
      <c r="AF429" s="239"/>
      <c r="AG429" s="239"/>
      <c r="AH429" s="124"/>
      <c r="AI429" s="74"/>
      <c r="AJ429" s="240"/>
      <c r="AL429" s="124"/>
      <c r="AM429" s="74"/>
      <c r="AP429" s="125"/>
      <c r="AQ429" s="241"/>
      <c r="AR429" s="125"/>
      <c r="AS429" s="125"/>
      <c r="AT429" s="238"/>
      <c r="AU429" s="125"/>
      <c r="AV429" s="125"/>
      <c r="AW429" s="125"/>
      <c r="AX429" s="238"/>
      <c r="AY429" s="125"/>
      <c r="AZ429" s="125"/>
      <c r="BA429" s="125"/>
    </row>
    <row r="430" spans="2:53" s="123" customFormat="1">
      <c r="B430" s="125"/>
      <c r="D430" s="125"/>
      <c r="I430" s="125"/>
      <c r="Z430" s="124"/>
      <c r="AA430" s="74"/>
      <c r="AB430" s="240"/>
      <c r="AD430" s="124"/>
      <c r="AE430" s="238"/>
      <c r="AF430" s="239"/>
      <c r="AG430" s="239"/>
      <c r="AH430" s="124"/>
      <c r="AI430" s="74"/>
      <c r="AJ430" s="240"/>
      <c r="AL430" s="124"/>
      <c r="AM430" s="74"/>
      <c r="AP430" s="125"/>
      <c r="AQ430" s="241"/>
      <c r="AR430" s="125"/>
      <c r="AS430" s="125"/>
      <c r="AT430" s="238"/>
      <c r="AU430" s="125"/>
      <c r="AV430" s="125"/>
      <c r="AW430" s="125"/>
      <c r="AX430" s="238"/>
      <c r="AY430" s="125"/>
      <c r="AZ430" s="125"/>
      <c r="BA430" s="125"/>
    </row>
    <row r="431" spans="2:53" s="123" customFormat="1">
      <c r="B431" s="125"/>
      <c r="D431" s="125"/>
      <c r="I431" s="125"/>
      <c r="Z431" s="124"/>
      <c r="AA431" s="74"/>
      <c r="AB431" s="240"/>
      <c r="AD431" s="124"/>
      <c r="AE431" s="238"/>
      <c r="AF431" s="239"/>
      <c r="AG431" s="239"/>
      <c r="AH431" s="124"/>
      <c r="AI431" s="74"/>
      <c r="AJ431" s="240"/>
      <c r="AL431" s="124"/>
      <c r="AM431" s="74"/>
      <c r="AP431" s="125"/>
      <c r="AQ431" s="241"/>
      <c r="AR431" s="125"/>
      <c r="AS431" s="125"/>
      <c r="AT431" s="238"/>
      <c r="AU431" s="125"/>
      <c r="AV431" s="125"/>
      <c r="AW431" s="125"/>
      <c r="AX431" s="238"/>
      <c r="AY431" s="125"/>
      <c r="AZ431" s="125"/>
      <c r="BA431" s="125"/>
    </row>
    <row r="432" spans="2:53" s="123" customFormat="1">
      <c r="B432" s="125"/>
      <c r="D432" s="125"/>
      <c r="I432" s="125"/>
      <c r="Z432" s="124"/>
      <c r="AA432" s="74"/>
      <c r="AB432" s="240"/>
      <c r="AD432" s="124"/>
      <c r="AE432" s="238"/>
      <c r="AF432" s="239"/>
      <c r="AG432" s="239"/>
      <c r="AH432" s="124"/>
      <c r="AI432" s="74"/>
      <c r="AJ432" s="240"/>
      <c r="AL432" s="124"/>
      <c r="AM432" s="74"/>
      <c r="AP432" s="125"/>
      <c r="AQ432" s="241"/>
      <c r="AR432" s="125"/>
      <c r="AS432" s="125"/>
      <c r="AT432" s="238"/>
      <c r="AU432" s="125"/>
      <c r="AV432" s="125"/>
      <c r="AW432" s="125"/>
      <c r="AX432" s="238"/>
      <c r="AY432" s="125"/>
      <c r="AZ432" s="125"/>
      <c r="BA432" s="125"/>
    </row>
    <row r="433" spans="2:53" s="123" customFormat="1">
      <c r="B433" s="125"/>
      <c r="D433" s="125"/>
      <c r="I433" s="125"/>
      <c r="Z433" s="124"/>
      <c r="AA433" s="74"/>
      <c r="AB433" s="240"/>
      <c r="AD433" s="124"/>
      <c r="AE433" s="238"/>
      <c r="AF433" s="239"/>
      <c r="AG433" s="239"/>
      <c r="AH433" s="124"/>
      <c r="AI433" s="74"/>
      <c r="AJ433" s="240"/>
      <c r="AL433" s="124"/>
      <c r="AM433" s="74"/>
      <c r="AP433" s="125"/>
      <c r="AQ433" s="241"/>
      <c r="AR433" s="125"/>
      <c r="AS433" s="125"/>
      <c r="AT433" s="238"/>
      <c r="AU433" s="125"/>
      <c r="AV433" s="125"/>
      <c r="AW433" s="125"/>
      <c r="AX433" s="238"/>
      <c r="AY433" s="125"/>
      <c r="AZ433" s="125"/>
      <c r="BA433" s="125"/>
    </row>
    <row r="434" spans="2:53" s="123" customFormat="1">
      <c r="B434" s="125"/>
      <c r="D434" s="125"/>
      <c r="I434" s="125"/>
      <c r="Z434" s="124"/>
      <c r="AA434" s="74"/>
      <c r="AB434" s="240"/>
      <c r="AD434" s="124"/>
      <c r="AE434" s="238"/>
      <c r="AF434" s="239"/>
      <c r="AG434" s="239"/>
      <c r="AH434" s="124"/>
      <c r="AI434" s="74"/>
      <c r="AJ434" s="240"/>
      <c r="AL434" s="124"/>
      <c r="AM434" s="74"/>
      <c r="AP434" s="125"/>
      <c r="AQ434" s="241"/>
      <c r="AR434" s="125"/>
      <c r="AS434" s="125"/>
      <c r="AT434" s="238"/>
      <c r="AU434" s="125"/>
      <c r="AV434" s="125"/>
      <c r="AW434" s="125"/>
      <c r="AX434" s="238"/>
      <c r="AY434" s="125"/>
      <c r="AZ434" s="125"/>
      <c r="BA434" s="125"/>
    </row>
    <row r="435" spans="2:53" s="123" customFormat="1">
      <c r="B435" s="125"/>
      <c r="D435" s="125"/>
      <c r="I435" s="125"/>
      <c r="Z435" s="124"/>
      <c r="AA435" s="74"/>
      <c r="AB435" s="240"/>
      <c r="AD435" s="124"/>
      <c r="AE435" s="238"/>
      <c r="AF435" s="239"/>
      <c r="AG435" s="239"/>
      <c r="AH435" s="124"/>
      <c r="AI435" s="74"/>
      <c r="AJ435" s="240"/>
      <c r="AL435" s="124"/>
      <c r="AM435" s="74"/>
      <c r="AP435" s="125"/>
      <c r="AQ435" s="241"/>
      <c r="AR435" s="125"/>
      <c r="AS435" s="125"/>
      <c r="AT435" s="238"/>
      <c r="AU435" s="125"/>
      <c r="AV435" s="125"/>
      <c r="AW435" s="125"/>
      <c r="AX435" s="238"/>
      <c r="AY435" s="125"/>
      <c r="AZ435" s="125"/>
      <c r="BA435" s="125"/>
    </row>
    <row r="436" spans="2:53" s="123" customFormat="1">
      <c r="B436" s="125"/>
      <c r="D436" s="125"/>
      <c r="I436" s="125"/>
      <c r="Z436" s="124"/>
      <c r="AA436" s="74"/>
      <c r="AB436" s="240"/>
      <c r="AD436" s="124"/>
      <c r="AE436" s="238"/>
      <c r="AF436" s="239"/>
      <c r="AG436" s="239"/>
      <c r="AH436" s="124"/>
      <c r="AI436" s="74"/>
      <c r="AJ436" s="240"/>
      <c r="AL436" s="124"/>
      <c r="AM436" s="74"/>
      <c r="AP436" s="125"/>
      <c r="AQ436" s="241"/>
      <c r="AR436" s="125"/>
      <c r="AS436" s="125"/>
      <c r="AT436" s="238"/>
      <c r="AU436" s="125"/>
      <c r="AV436" s="125"/>
      <c r="AW436" s="125"/>
      <c r="AX436" s="238"/>
      <c r="AY436" s="125"/>
      <c r="AZ436" s="125"/>
      <c r="BA436" s="125"/>
    </row>
    <row r="437" spans="2:53" s="123" customFormat="1">
      <c r="B437" s="125"/>
      <c r="D437" s="125"/>
      <c r="I437" s="125"/>
      <c r="Z437" s="124"/>
      <c r="AA437" s="74"/>
      <c r="AB437" s="240"/>
      <c r="AD437" s="124"/>
      <c r="AE437" s="238"/>
      <c r="AF437" s="239"/>
      <c r="AG437" s="239"/>
      <c r="AH437" s="124"/>
      <c r="AI437" s="74"/>
      <c r="AJ437" s="240"/>
      <c r="AL437" s="124"/>
      <c r="AM437" s="74"/>
      <c r="AP437" s="125"/>
      <c r="AQ437" s="241"/>
      <c r="AR437" s="125"/>
      <c r="AS437" s="125"/>
      <c r="AT437" s="238"/>
      <c r="AU437" s="125"/>
      <c r="AV437" s="125"/>
      <c r="AW437" s="125"/>
      <c r="AX437" s="238"/>
      <c r="AY437" s="125"/>
      <c r="AZ437" s="125"/>
      <c r="BA437" s="125"/>
    </row>
    <row r="438" spans="2:53" s="123" customFormat="1">
      <c r="B438" s="125"/>
      <c r="D438" s="125"/>
      <c r="I438" s="125"/>
      <c r="Z438" s="124"/>
      <c r="AA438" s="74"/>
      <c r="AB438" s="240"/>
      <c r="AD438" s="124"/>
      <c r="AE438" s="238"/>
      <c r="AF438" s="239"/>
      <c r="AG438" s="239"/>
      <c r="AH438" s="124"/>
      <c r="AI438" s="74"/>
      <c r="AJ438" s="240"/>
      <c r="AL438" s="124"/>
      <c r="AM438" s="74"/>
      <c r="AP438" s="125"/>
      <c r="AQ438" s="241"/>
      <c r="AR438" s="125"/>
      <c r="AS438" s="125"/>
      <c r="AT438" s="238"/>
      <c r="AU438" s="125"/>
      <c r="AV438" s="125"/>
      <c r="AW438" s="125"/>
      <c r="AX438" s="238"/>
      <c r="AY438" s="125"/>
      <c r="AZ438" s="125"/>
      <c r="BA438" s="125"/>
    </row>
    <row r="439" spans="2:53" s="123" customFormat="1">
      <c r="B439" s="125"/>
      <c r="D439" s="125"/>
      <c r="I439" s="125"/>
      <c r="Z439" s="124"/>
      <c r="AA439" s="74"/>
      <c r="AB439" s="240"/>
      <c r="AD439" s="124"/>
      <c r="AE439" s="238"/>
      <c r="AF439" s="239"/>
      <c r="AG439" s="239"/>
      <c r="AH439" s="124"/>
      <c r="AI439" s="74"/>
      <c r="AJ439" s="240"/>
      <c r="AL439" s="124"/>
      <c r="AM439" s="74"/>
      <c r="AP439" s="125"/>
      <c r="AQ439" s="241"/>
      <c r="AR439" s="125"/>
      <c r="AS439" s="125"/>
      <c r="AT439" s="238"/>
      <c r="AU439" s="125"/>
      <c r="AV439" s="125"/>
      <c r="AW439" s="125"/>
      <c r="AX439" s="238"/>
      <c r="AY439" s="125"/>
      <c r="AZ439" s="125"/>
      <c r="BA439" s="125"/>
    </row>
    <row r="440" spans="2:53" s="123" customFormat="1">
      <c r="B440" s="125"/>
      <c r="D440" s="125"/>
      <c r="I440" s="125"/>
      <c r="Z440" s="124"/>
      <c r="AA440" s="74"/>
      <c r="AB440" s="240"/>
      <c r="AD440" s="124"/>
      <c r="AE440" s="238"/>
      <c r="AF440" s="239"/>
      <c r="AG440" s="239"/>
      <c r="AH440" s="124"/>
      <c r="AI440" s="74"/>
      <c r="AJ440" s="240"/>
      <c r="AL440" s="124"/>
      <c r="AM440" s="74"/>
      <c r="AP440" s="125"/>
      <c r="AQ440" s="241"/>
      <c r="AR440" s="125"/>
      <c r="AS440" s="125"/>
      <c r="AT440" s="238"/>
      <c r="AU440" s="125"/>
      <c r="AV440" s="125"/>
      <c r="AW440" s="125"/>
      <c r="AX440" s="238"/>
      <c r="AY440" s="125"/>
      <c r="AZ440" s="125"/>
      <c r="BA440" s="125"/>
    </row>
    <row r="441" spans="2:53" s="123" customFormat="1">
      <c r="B441" s="125"/>
      <c r="D441" s="125"/>
      <c r="I441" s="125"/>
      <c r="Z441" s="124"/>
      <c r="AA441" s="74"/>
      <c r="AB441" s="240"/>
      <c r="AD441" s="124"/>
      <c r="AE441" s="238"/>
      <c r="AF441" s="239"/>
      <c r="AG441" s="239"/>
      <c r="AH441" s="124"/>
      <c r="AI441" s="74"/>
      <c r="AJ441" s="240"/>
      <c r="AL441" s="124"/>
      <c r="AM441" s="74"/>
      <c r="AP441" s="125"/>
      <c r="AQ441" s="241"/>
      <c r="AR441" s="125"/>
      <c r="AS441" s="125"/>
      <c r="AT441" s="238"/>
      <c r="AU441" s="125"/>
      <c r="AV441" s="125"/>
      <c r="AW441" s="125"/>
      <c r="AX441" s="238"/>
      <c r="AY441" s="125"/>
      <c r="AZ441" s="125"/>
      <c r="BA441" s="125"/>
    </row>
    <row r="442" spans="2:53" s="123" customFormat="1">
      <c r="B442" s="125"/>
      <c r="D442" s="125"/>
      <c r="I442" s="125"/>
      <c r="Z442" s="124"/>
      <c r="AA442" s="74"/>
      <c r="AB442" s="240"/>
      <c r="AD442" s="124"/>
      <c r="AE442" s="238"/>
      <c r="AF442" s="239"/>
      <c r="AG442" s="239"/>
      <c r="AH442" s="124"/>
      <c r="AI442" s="74"/>
      <c r="AJ442" s="240"/>
      <c r="AL442" s="124"/>
      <c r="AM442" s="74"/>
      <c r="AP442" s="125"/>
      <c r="AQ442" s="241"/>
      <c r="AR442" s="125"/>
      <c r="AS442" s="125"/>
      <c r="AT442" s="238"/>
      <c r="AU442" s="125"/>
      <c r="AV442" s="125"/>
      <c r="AW442" s="125"/>
      <c r="AX442" s="238"/>
      <c r="AY442" s="125"/>
      <c r="AZ442" s="125"/>
      <c r="BA442" s="125"/>
    </row>
    <row r="443" spans="2:53" s="123" customFormat="1">
      <c r="B443" s="125"/>
      <c r="D443" s="125"/>
      <c r="I443" s="125"/>
      <c r="Z443" s="124"/>
      <c r="AA443" s="74"/>
      <c r="AB443" s="240"/>
      <c r="AD443" s="124"/>
      <c r="AE443" s="238"/>
      <c r="AF443" s="239"/>
      <c r="AG443" s="239"/>
      <c r="AH443" s="124"/>
      <c r="AI443" s="74"/>
      <c r="AJ443" s="240"/>
      <c r="AL443" s="124"/>
      <c r="AM443" s="74"/>
      <c r="AP443" s="125"/>
      <c r="AQ443" s="241"/>
      <c r="AR443" s="125"/>
      <c r="AS443" s="125"/>
      <c r="AT443" s="238"/>
      <c r="AU443" s="125"/>
      <c r="AV443" s="125"/>
      <c r="AW443" s="125"/>
      <c r="AX443" s="238"/>
      <c r="AY443" s="125"/>
      <c r="AZ443" s="125"/>
      <c r="BA443" s="125"/>
    </row>
    <row r="444" spans="2:53" s="123" customFormat="1">
      <c r="B444" s="125"/>
      <c r="D444" s="125"/>
      <c r="I444" s="125"/>
      <c r="Z444" s="124"/>
      <c r="AA444" s="74"/>
      <c r="AB444" s="240"/>
      <c r="AD444" s="124"/>
      <c r="AE444" s="238"/>
      <c r="AF444" s="239"/>
      <c r="AG444" s="239"/>
      <c r="AH444" s="124"/>
      <c r="AI444" s="74"/>
      <c r="AJ444" s="240"/>
      <c r="AL444" s="124"/>
      <c r="AM444" s="74"/>
      <c r="AP444" s="125"/>
      <c r="AQ444" s="241"/>
      <c r="AR444" s="125"/>
      <c r="AS444" s="125"/>
      <c r="AT444" s="238"/>
      <c r="AU444" s="125"/>
      <c r="AV444" s="125"/>
      <c r="AW444" s="125"/>
      <c r="AX444" s="238"/>
      <c r="AY444" s="125"/>
      <c r="AZ444" s="125"/>
      <c r="BA444" s="125"/>
    </row>
    <row r="445" spans="2:53" s="123" customFormat="1">
      <c r="B445" s="125"/>
      <c r="D445" s="125"/>
      <c r="I445" s="125"/>
      <c r="Z445" s="124"/>
      <c r="AA445" s="74"/>
      <c r="AB445" s="240"/>
      <c r="AD445" s="124"/>
      <c r="AE445" s="238"/>
      <c r="AF445" s="239"/>
      <c r="AG445" s="239"/>
      <c r="AH445" s="124"/>
      <c r="AI445" s="74"/>
      <c r="AJ445" s="240"/>
      <c r="AL445" s="124"/>
      <c r="AM445" s="74"/>
      <c r="AP445" s="125"/>
      <c r="AQ445" s="241"/>
      <c r="AR445" s="125"/>
      <c r="AS445" s="125"/>
      <c r="AT445" s="238"/>
      <c r="AU445" s="125"/>
      <c r="AV445" s="125"/>
      <c r="AW445" s="125"/>
      <c r="AX445" s="238"/>
      <c r="AY445" s="125"/>
      <c r="AZ445" s="125"/>
      <c r="BA445" s="125"/>
    </row>
    <row r="446" spans="2:53" s="123" customFormat="1">
      <c r="B446" s="125"/>
      <c r="D446" s="125"/>
      <c r="I446" s="125"/>
      <c r="Z446" s="124"/>
      <c r="AA446" s="74"/>
      <c r="AB446" s="240"/>
      <c r="AD446" s="124"/>
      <c r="AE446" s="238"/>
      <c r="AF446" s="239"/>
      <c r="AG446" s="239"/>
      <c r="AH446" s="124"/>
      <c r="AI446" s="74"/>
      <c r="AJ446" s="240"/>
      <c r="AL446" s="124"/>
      <c r="AM446" s="74"/>
      <c r="AP446" s="125"/>
      <c r="AQ446" s="241"/>
      <c r="AR446" s="125"/>
      <c r="AS446" s="125"/>
      <c r="AT446" s="238"/>
      <c r="AU446" s="125"/>
      <c r="AV446" s="125"/>
      <c r="AW446" s="125"/>
      <c r="AX446" s="238"/>
      <c r="AY446" s="125"/>
      <c r="AZ446" s="125"/>
      <c r="BA446" s="125"/>
    </row>
    <row r="447" spans="2:53" s="123" customFormat="1">
      <c r="B447" s="125"/>
      <c r="D447" s="125"/>
      <c r="I447" s="125"/>
      <c r="Z447" s="124"/>
      <c r="AA447" s="74"/>
      <c r="AB447" s="240"/>
      <c r="AD447" s="124"/>
      <c r="AE447" s="238"/>
      <c r="AF447" s="239"/>
      <c r="AG447" s="239"/>
      <c r="AH447" s="124"/>
      <c r="AI447" s="74"/>
      <c r="AJ447" s="240"/>
      <c r="AL447" s="124"/>
      <c r="AM447" s="74"/>
      <c r="AP447" s="125"/>
      <c r="AQ447" s="241"/>
      <c r="AR447" s="125"/>
      <c r="AS447" s="125"/>
      <c r="AT447" s="238"/>
      <c r="AU447" s="125"/>
      <c r="AV447" s="125"/>
      <c r="AW447" s="125"/>
      <c r="AX447" s="238"/>
      <c r="AY447" s="125"/>
      <c r="AZ447" s="125"/>
      <c r="BA447" s="125"/>
    </row>
    <row r="448" spans="2:53" s="123" customFormat="1">
      <c r="B448" s="125"/>
      <c r="D448" s="125"/>
      <c r="I448" s="125"/>
      <c r="Z448" s="124"/>
      <c r="AA448" s="74"/>
      <c r="AB448" s="240"/>
      <c r="AD448" s="124"/>
      <c r="AE448" s="238"/>
      <c r="AF448" s="239"/>
      <c r="AG448" s="239"/>
      <c r="AH448" s="124"/>
      <c r="AI448" s="74"/>
      <c r="AJ448" s="240"/>
      <c r="AL448" s="124"/>
      <c r="AM448" s="74"/>
      <c r="AP448" s="125"/>
      <c r="AQ448" s="241"/>
      <c r="AR448" s="125"/>
      <c r="AS448" s="125"/>
      <c r="AT448" s="238"/>
      <c r="AU448" s="125"/>
      <c r="AV448" s="125"/>
      <c r="AW448" s="125"/>
      <c r="AX448" s="238"/>
      <c r="AY448" s="125"/>
      <c r="AZ448" s="125"/>
      <c r="BA448" s="125"/>
    </row>
    <row r="449" spans="2:53" s="123" customFormat="1">
      <c r="B449" s="125"/>
      <c r="D449" s="125"/>
      <c r="I449" s="125"/>
      <c r="Z449" s="124"/>
      <c r="AA449" s="74"/>
      <c r="AB449" s="240"/>
      <c r="AD449" s="124"/>
      <c r="AE449" s="238"/>
      <c r="AF449" s="239"/>
      <c r="AG449" s="239"/>
      <c r="AH449" s="124"/>
      <c r="AI449" s="74"/>
      <c r="AJ449" s="240"/>
      <c r="AL449" s="124"/>
      <c r="AM449" s="74"/>
      <c r="AP449" s="125"/>
      <c r="AQ449" s="241"/>
      <c r="AR449" s="125"/>
      <c r="AS449" s="125"/>
      <c r="AT449" s="238"/>
      <c r="AU449" s="125"/>
      <c r="AV449" s="125"/>
      <c r="AW449" s="125"/>
      <c r="AX449" s="238"/>
      <c r="AY449" s="125"/>
      <c r="AZ449" s="125"/>
      <c r="BA449" s="125"/>
    </row>
    <row r="450" spans="2:53" s="123" customFormat="1">
      <c r="B450" s="125"/>
      <c r="D450" s="125"/>
      <c r="I450" s="125"/>
      <c r="Z450" s="124"/>
      <c r="AA450" s="74"/>
      <c r="AB450" s="240"/>
      <c r="AD450" s="124"/>
      <c r="AE450" s="238"/>
      <c r="AF450" s="239"/>
      <c r="AG450" s="239"/>
      <c r="AH450" s="124"/>
      <c r="AI450" s="74"/>
      <c r="AJ450" s="240"/>
      <c r="AL450" s="124"/>
      <c r="AM450" s="74"/>
      <c r="AP450" s="125"/>
      <c r="AQ450" s="241"/>
      <c r="AR450" s="125"/>
      <c r="AS450" s="125"/>
      <c r="AT450" s="238"/>
      <c r="AU450" s="125"/>
      <c r="AV450" s="125"/>
      <c r="AW450" s="125"/>
      <c r="AX450" s="238"/>
      <c r="AY450" s="125"/>
      <c r="AZ450" s="125"/>
      <c r="BA450" s="125"/>
    </row>
    <row r="451" spans="2:53" s="123" customFormat="1">
      <c r="B451" s="125"/>
      <c r="D451" s="125"/>
      <c r="I451" s="125"/>
      <c r="Z451" s="124"/>
      <c r="AA451" s="74"/>
      <c r="AB451" s="240"/>
      <c r="AD451" s="124"/>
      <c r="AE451" s="238"/>
      <c r="AF451" s="239"/>
      <c r="AG451" s="239"/>
      <c r="AH451" s="124"/>
      <c r="AI451" s="74"/>
      <c r="AJ451" s="240"/>
      <c r="AL451" s="124"/>
      <c r="AM451" s="74"/>
      <c r="AP451" s="125"/>
      <c r="AQ451" s="241"/>
      <c r="AR451" s="125"/>
      <c r="AS451" s="125"/>
      <c r="AT451" s="238"/>
      <c r="AU451" s="125"/>
      <c r="AV451" s="125"/>
      <c r="AW451" s="125"/>
      <c r="AX451" s="238"/>
      <c r="AY451" s="125"/>
      <c r="AZ451" s="125"/>
      <c r="BA451" s="125"/>
    </row>
    <row r="452" spans="2:53" s="123" customFormat="1">
      <c r="B452" s="125"/>
      <c r="D452" s="125"/>
      <c r="I452" s="125"/>
      <c r="Z452" s="124"/>
      <c r="AA452" s="74"/>
      <c r="AB452" s="240"/>
      <c r="AD452" s="124"/>
      <c r="AE452" s="238"/>
      <c r="AF452" s="239"/>
      <c r="AG452" s="239"/>
      <c r="AH452" s="124"/>
      <c r="AI452" s="74"/>
      <c r="AJ452" s="240"/>
      <c r="AL452" s="124"/>
      <c r="AM452" s="74"/>
      <c r="AP452" s="125"/>
      <c r="AQ452" s="241"/>
      <c r="AR452" s="125"/>
      <c r="AS452" s="125"/>
      <c r="AT452" s="238"/>
      <c r="AU452" s="125"/>
      <c r="AV452" s="125"/>
      <c r="AW452" s="125"/>
      <c r="AX452" s="238"/>
      <c r="AY452" s="125"/>
      <c r="AZ452" s="125"/>
      <c r="BA452" s="125"/>
    </row>
    <row r="453" spans="2:53" s="123" customFormat="1">
      <c r="B453" s="125"/>
      <c r="D453" s="125"/>
      <c r="I453" s="125"/>
      <c r="Z453" s="124"/>
      <c r="AA453" s="74"/>
      <c r="AB453" s="240"/>
      <c r="AD453" s="124"/>
      <c r="AE453" s="238"/>
      <c r="AF453" s="239"/>
      <c r="AG453" s="239"/>
      <c r="AH453" s="124"/>
      <c r="AI453" s="74"/>
      <c r="AJ453" s="240"/>
      <c r="AL453" s="124"/>
      <c r="AM453" s="74"/>
      <c r="AP453" s="125"/>
      <c r="AQ453" s="241"/>
      <c r="AR453" s="125"/>
      <c r="AS453" s="125"/>
      <c r="AT453" s="238"/>
      <c r="AU453" s="125"/>
      <c r="AV453" s="125"/>
      <c r="AW453" s="125"/>
      <c r="AX453" s="238"/>
      <c r="AY453" s="125"/>
      <c r="AZ453" s="125"/>
      <c r="BA453" s="125"/>
    </row>
    <row r="454" spans="2:53" s="123" customFormat="1">
      <c r="B454" s="125"/>
      <c r="D454" s="125"/>
      <c r="I454" s="125"/>
      <c r="Z454" s="124"/>
      <c r="AA454" s="74"/>
      <c r="AB454" s="240"/>
      <c r="AD454" s="124"/>
      <c r="AE454" s="238"/>
      <c r="AF454" s="239"/>
      <c r="AG454" s="239"/>
      <c r="AH454" s="124"/>
      <c r="AI454" s="74"/>
      <c r="AJ454" s="240"/>
      <c r="AL454" s="124"/>
      <c r="AM454" s="74"/>
      <c r="AP454" s="125"/>
      <c r="AQ454" s="241"/>
      <c r="AR454" s="125"/>
      <c r="AS454" s="125"/>
      <c r="AT454" s="238"/>
      <c r="AU454" s="125"/>
      <c r="AV454" s="125"/>
      <c r="AW454" s="125"/>
      <c r="AX454" s="238"/>
      <c r="AY454" s="125"/>
      <c r="AZ454" s="125"/>
      <c r="BA454" s="125"/>
    </row>
    <row r="455" spans="2:53" s="123" customFormat="1">
      <c r="B455" s="125"/>
      <c r="D455" s="125"/>
      <c r="I455" s="125"/>
      <c r="Z455" s="124"/>
      <c r="AA455" s="74"/>
      <c r="AB455" s="240"/>
      <c r="AD455" s="124"/>
      <c r="AE455" s="238"/>
      <c r="AF455" s="239"/>
      <c r="AG455" s="239"/>
      <c r="AH455" s="124"/>
      <c r="AI455" s="74"/>
      <c r="AJ455" s="240"/>
      <c r="AL455" s="124"/>
      <c r="AM455" s="74"/>
      <c r="AP455" s="125"/>
      <c r="AQ455" s="241"/>
      <c r="AR455" s="125"/>
      <c r="AS455" s="125"/>
      <c r="AT455" s="238"/>
      <c r="AU455" s="125"/>
      <c r="AV455" s="125"/>
      <c r="AW455" s="125"/>
      <c r="AX455" s="238"/>
      <c r="AY455" s="125"/>
      <c r="AZ455" s="125"/>
      <c r="BA455" s="125"/>
    </row>
    <row r="456" spans="2:53" s="123" customFormat="1">
      <c r="B456" s="125"/>
      <c r="D456" s="125"/>
      <c r="I456" s="125"/>
      <c r="Z456" s="124"/>
      <c r="AA456" s="74"/>
      <c r="AB456" s="240"/>
      <c r="AD456" s="124"/>
      <c r="AE456" s="238"/>
      <c r="AF456" s="239"/>
      <c r="AG456" s="239"/>
      <c r="AH456" s="124"/>
      <c r="AI456" s="74"/>
      <c r="AJ456" s="240"/>
      <c r="AL456" s="124"/>
      <c r="AM456" s="74"/>
      <c r="AP456" s="125"/>
      <c r="AQ456" s="241"/>
      <c r="AR456" s="125"/>
      <c r="AS456" s="125"/>
      <c r="AT456" s="238"/>
      <c r="AU456" s="125"/>
      <c r="AV456" s="125"/>
      <c r="AW456" s="125"/>
      <c r="AX456" s="238"/>
      <c r="AY456" s="125"/>
      <c r="AZ456" s="125"/>
      <c r="BA456" s="125"/>
    </row>
    <row r="457" spans="2:53" s="123" customFormat="1">
      <c r="B457" s="125"/>
      <c r="D457" s="125"/>
      <c r="I457" s="125"/>
      <c r="Z457" s="124"/>
      <c r="AA457" s="74"/>
      <c r="AB457" s="240"/>
      <c r="AD457" s="124"/>
      <c r="AE457" s="238"/>
      <c r="AF457" s="239"/>
      <c r="AG457" s="239"/>
      <c r="AH457" s="124"/>
      <c r="AI457" s="74"/>
      <c r="AJ457" s="240"/>
      <c r="AL457" s="124"/>
      <c r="AM457" s="74"/>
      <c r="AP457" s="125"/>
      <c r="AQ457" s="241"/>
      <c r="AR457" s="125"/>
      <c r="AS457" s="125"/>
      <c r="AT457" s="238"/>
      <c r="AU457" s="125"/>
      <c r="AV457" s="125"/>
      <c r="AW457" s="125"/>
      <c r="AX457" s="238"/>
      <c r="AY457" s="125"/>
      <c r="AZ457" s="125"/>
      <c r="BA457" s="125"/>
    </row>
    <row r="458" spans="2:53" s="123" customFormat="1">
      <c r="B458" s="125"/>
      <c r="D458" s="125"/>
      <c r="I458" s="125"/>
      <c r="Z458" s="124"/>
      <c r="AA458" s="74"/>
      <c r="AB458" s="240"/>
      <c r="AD458" s="124"/>
      <c r="AE458" s="238"/>
      <c r="AF458" s="239"/>
      <c r="AG458" s="239"/>
      <c r="AH458" s="124"/>
      <c r="AI458" s="74"/>
      <c r="AJ458" s="240"/>
      <c r="AL458" s="124"/>
      <c r="AM458" s="74"/>
      <c r="AP458" s="125"/>
      <c r="AQ458" s="241"/>
      <c r="AR458" s="125"/>
      <c r="AS458" s="125"/>
      <c r="AT458" s="238"/>
      <c r="AU458" s="125"/>
      <c r="AV458" s="125"/>
      <c r="AW458" s="125"/>
      <c r="AX458" s="238"/>
      <c r="AY458" s="125"/>
      <c r="AZ458" s="125"/>
      <c r="BA458" s="125"/>
    </row>
    <row r="459" spans="2:53" s="123" customFormat="1">
      <c r="B459" s="125"/>
      <c r="D459" s="125"/>
      <c r="I459" s="125"/>
      <c r="Z459" s="124"/>
      <c r="AA459" s="74"/>
      <c r="AB459" s="240"/>
      <c r="AD459" s="124"/>
      <c r="AE459" s="238"/>
      <c r="AF459" s="239"/>
      <c r="AG459" s="239"/>
      <c r="AH459" s="124"/>
      <c r="AI459" s="74"/>
      <c r="AJ459" s="240"/>
      <c r="AL459" s="124"/>
      <c r="AM459" s="74"/>
      <c r="AP459" s="125"/>
      <c r="AQ459" s="241"/>
      <c r="AR459" s="125"/>
      <c r="AS459" s="125"/>
      <c r="AT459" s="238"/>
      <c r="AU459" s="125"/>
      <c r="AV459" s="125"/>
      <c r="AW459" s="125"/>
      <c r="AX459" s="238"/>
      <c r="AY459" s="125"/>
      <c r="AZ459" s="125"/>
      <c r="BA459" s="125"/>
    </row>
    <row r="460" spans="2:53" s="123" customFormat="1">
      <c r="B460" s="125"/>
      <c r="D460" s="125"/>
      <c r="I460" s="125"/>
      <c r="Z460" s="124"/>
      <c r="AA460" s="74"/>
      <c r="AB460" s="240"/>
      <c r="AD460" s="124"/>
      <c r="AE460" s="238"/>
      <c r="AF460" s="239"/>
      <c r="AG460" s="239"/>
      <c r="AH460" s="124"/>
      <c r="AI460" s="74"/>
      <c r="AJ460" s="240"/>
      <c r="AL460" s="124"/>
      <c r="AM460" s="74"/>
      <c r="AP460" s="125"/>
      <c r="AQ460" s="241"/>
      <c r="AR460" s="125"/>
      <c r="AS460" s="125"/>
      <c r="AT460" s="238"/>
      <c r="AU460" s="125"/>
      <c r="AV460" s="125"/>
      <c r="AW460" s="125"/>
      <c r="AX460" s="238"/>
      <c r="AY460" s="125"/>
      <c r="AZ460" s="125"/>
      <c r="BA460" s="125"/>
    </row>
    <row r="461" spans="2:53" s="123" customFormat="1">
      <c r="B461" s="125"/>
      <c r="D461" s="125"/>
      <c r="I461" s="125"/>
      <c r="Z461" s="124"/>
      <c r="AA461" s="74"/>
      <c r="AB461" s="240"/>
      <c r="AD461" s="124"/>
      <c r="AE461" s="238"/>
      <c r="AF461" s="239"/>
      <c r="AG461" s="239"/>
      <c r="AH461" s="124"/>
      <c r="AI461" s="74"/>
      <c r="AJ461" s="240"/>
      <c r="AL461" s="124"/>
      <c r="AM461" s="74"/>
      <c r="AP461" s="125"/>
      <c r="AQ461" s="241"/>
      <c r="AR461" s="125"/>
      <c r="AS461" s="125"/>
      <c r="AT461" s="238"/>
      <c r="AU461" s="125"/>
      <c r="AV461" s="125"/>
      <c r="AW461" s="125"/>
      <c r="AX461" s="238"/>
      <c r="AY461" s="125"/>
      <c r="AZ461" s="125"/>
      <c r="BA461" s="125"/>
    </row>
    <row r="462" spans="2:53" s="123" customFormat="1">
      <c r="B462" s="125"/>
      <c r="D462" s="125"/>
      <c r="I462" s="125"/>
      <c r="Z462" s="124"/>
      <c r="AA462" s="74"/>
      <c r="AB462" s="240"/>
      <c r="AD462" s="124"/>
      <c r="AE462" s="238"/>
      <c r="AF462" s="239"/>
      <c r="AG462" s="239"/>
      <c r="AH462" s="124"/>
      <c r="AI462" s="74"/>
      <c r="AJ462" s="240"/>
      <c r="AL462" s="124"/>
      <c r="AM462" s="74"/>
      <c r="AP462" s="125"/>
      <c r="AQ462" s="241"/>
      <c r="AR462" s="125"/>
      <c r="AS462" s="125"/>
      <c r="AT462" s="238"/>
      <c r="AU462" s="125"/>
      <c r="AV462" s="125"/>
      <c r="AW462" s="125"/>
      <c r="AX462" s="238"/>
      <c r="AY462" s="125"/>
      <c r="AZ462" s="125"/>
      <c r="BA462" s="125"/>
    </row>
    <row r="463" spans="2:53" s="123" customFormat="1">
      <c r="B463" s="125"/>
      <c r="D463" s="125"/>
      <c r="I463" s="125"/>
      <c r="Z463" s="124"/>
      <c r="AA463" s="74"/>
      <c r="AB463" s="240"/>
      <c r="AD463" s="124"/>
      <c r="AE463" s="238"/>
      <c r="AF463" s="239"/>
      <c r="AG463" s="239"/>
      <c r="AH463" s="124"/>
      <c r="AI463" s="74"/>
      <c r="AJ463" s="240"/>
      <c r="AL463" s="124"/>
      <c r="AM463" s="74"/>
      <c r="AP463" s="125"/>
      <c r="AQ463" s="241"/>
      <c r="AR463" s="125"/>
      <c r="AS463" s="125"/>
      <c r="AT463" s="238"/>
      <c r="AU463" s="125"/>
      <c r="AV463" s="125"/>
      <c r="AW463" s="125"/>
      <c r="AX463" s="238"/>
      <c r="AY463" s="125"/>
      <c r="AZ463" s="125"/>
      <c r="BA463" s="125"/>
    </row>
    <row r="464" spans="2:53" s="123" customFormat="1">
      <c r="B464" s="125"/>
      <c r="D464" s="125"/>
      <c r="I464" s="125"/>
      <c r="Z464" s="124"/>
      <c r="AA464" s="74"/>
      <c r="AB464" s="240"/>
      <c r="AD464" s="124"/>
      <c r="AE464" s="238"/>
      <c r="AF464" s="239"/>
      <c r="AG464" s="239"/>
      <c r="AH464" s="124"/>
      <c r="AI464" s="74"/>
      <c r="AJ464" s="240"/>
      <c r="AL464" s="124"/>
      <c r="AM464" s="74"/>
      <c r="AP464" s="125"/>
      <c r="AQ464" s="241"/>
      <c r="AR464" s="125"/>
      <c r="AS464" s="125"/>
      <c r="AT464" s="238"/>
      <c r="AU464" s="125"/>
      <c r="AV464" s="125"/>
      <c r="AW464" s="125"/>
      <c r="AX464" s="238"/>
      <c r="AY464" s="125"/>
      <c r="AZ464" s="125"/>
      <c r="BA464" s="125"/>
    </row>
    <row r="465" spans="2:53" s="123" customFormat="1">
      <c r="B465" s="125"/>
      <c r="D465" s="125"/>
      <c r="I465" s="125"/>
      <c r="Z465" s="124"/>
      <c r="AA465" s="74"/>
      <c r="AB465" s="240"/>
      <c r="AD465" s="124"/>
      <c r="AE465" s="238"/>
      <c r="AF465" s="239"/>
      <c r="AG465" s="239"/>
      <c r="AH465" s="124"/>
      <c r="AI465" s="74"/>
      <c r="AJ465" s="240"/>
      <c r="AL465" s="124"/>
      <c r="AM465" s="74"/>
      <c r="AP465" s="125"/>
      <c r="AQ465" s="241"/>
      <c r="AR465" s="125"/>
      <c r="AS465" s="125"/>
      <c r="AT465" s="238"/>
      <c r="AU465" s="125"/>
      <c r="AV465" s="125"/>
      <c r="AW465" s="125"/>
      <c r="AX465" s="238"/>
      <c r="AY465" s="125"/>
      <c r="AZ465" s="125"/>
      <c r="BA465" s="125"/>
    </row>
    <row r="466" spans="2:53" s="123" customFormat="1">
      <c r="B466" s="125"/>
      <c r="D466" s="125"/>
      <c r="I466" s="125"/>
      <c r="Z466" s="124"/>
      <c r="AA466" s="74"/>
      <c r="AB466" s="240"/>
      <c r="AD466" s="124"/>
      <c r="AE466" s="238"/>
      <c r="AF466" s="239"/>
      <c r="AG466" s="239"/>
      <c r="AH466" s="124"/>
      <c r="AI466" s="74"/>
      <c r="AJ466" s="240"/>
      <c r="AL466" s="124"/>
      <c r="AM466" s="74"/>
      <c r="AP466" s="125"/>
      <c r="AQ466" s="241"/>
      <c r="AR466" s="125"/>
      <c r="AS466" s="125"/>
      <c r="AT466" s="238"/>
      <c r="AU466" s="125"/>
      <c r="AV466" s="125"/>
      <c r="AW466" s="125"/>
      <c r="AX466" s="238"/>
      <c r="AY466" s="125"/>
      <c r="AZ466" s="125"/>
      <c r="BA466" s="125"/>
    </row>
    <row r="467" spans="2:53" s="123" customFormat="1">
      <c r="B467" s="125"/>
      <c r="D467" s="125"/>
      <c r="I467" s="125"/>
      <c r="Z467" s="124"/>
      <c r="AA467" s="74"/>
      <c r="AB467" s="240"/>
      <c r="AD467" s="124"/>
      <c r="AE467" s="238"/>
      <c r="AF467" s="239"/>
      <c r="AG467" s="239"/>
      <c r="AH467" s="124"/>
      <c r="AI467" s="74"/>
      <c r="AJ467" s="240"/>
      <c r="AL467" s="124"/>
      <c r="AM467" s="74"/>
      <c r="AP467" s="125"/>
      <c r="AQ467" s="241"/>
      <c r="AR467" s="125"/>
      <c r="AS467" s="125"/>
      <c r="AT467" s="238"/>
      <c r="AU467" s="125"/>
      <c r="AV467" s="125"/>
      <c r="AW467" s="125"/>
      <c r="AX467" s="238"/>
      <c r="AY467" s="125"/>
      <c r="AZ467" s="125"/>
      <c r="BA467" s="125"/>
    </row>
    <row r="468" spans="2:53" s="123" customFormat="1">
      <c r="B468" s="125"/>
      <c r="D468" s="125"/>
      <c r="I468" s="125"/>
      <c r="Z468" s="124"/>
      <c r="AA468" s="74"/>
      <c r="AB468" s="240"/>
      <c r="AD468" s="124"/>
      <c r="AE468" s="238"/>
      <c r="AF468" s="239"/>
      <c r="AG468" s="239"/>
      <c r="AH468" s="124"/>
      <c r="AI468" s="74"/>
      <c r="AJ468" s="240"/>
      <c r="AL468" s="124"/>
      <c r="AM468" s="74"/>
      <c r="AP468" s="125"/>
      <c r="AQ468" s="241"/>
      <c r="AR468" s="125"/>
      <c r="AS468" s="125"/>
      <c r="AT468" s="238"/>
      <c r="AU468" s="125"/>
      <c r="AV468" s="125"/>
      <c r="AW468" s="125"/>
      <c r="AX468" s="238"/>
      <c r="AY468" s="125"/>
      <c r="AZ468" s="125"/>
      <c r="BA468" s="125"/>
    </row>
    <row r="469" spans="2:53" s="123" customFormat="1">
      <c r="B469" s="125"/>
      <c r="D469" s="125"/>
      <c r="I469" s="125"/>
      <c r="Z469" s="124"/>
      <c r="AA469" s="74"/>
      <c r="AB469" s="240"/>
      <c r="AD469" s="124"/>
      <c r="AE469" s="238"/>
      <c r="AF469" s="239"/>
      <c r="AG469" s="239"/>
      <c r="AH469" s="124"/>
      <c r="AI469" s="74"/>
      <c r="AJ469" s="240"/>
      <c r="AL469" s="124"/>
      <c r="AM469" s="74"/>
      <c r="AP469" s="125"/>
      <c r="AQ469" s="241"/>
      <c r="AR469" s="125"/>
      <c r="AS469" s="125"/>
      <c r="AT469" s="238"/>
      <c r="AU469" s="125"/>
      <c r="AV469" s="125"/>
      <c r="AW469" s="125"/>
      <c r="AX469" s="238"/>
      <c r="AY469" s="125"/>
      <c r="AZ469" s="125"/>
      <c r="BA469" s="125"/>
    </row>
    <row r="470" spans="2:53" s="123" customFormat="1">
      <c r="B470" s="125"/>
      <c r="D470" s="125"/>
      <c r="I470" s="125"/>
      <c r="Z470" s="124"/>
      <c r="AA470" s="74"/>
      <c r="AB470" s="240"/>
      <c r="AD470" s="124"/>
      <c r="AE470" s="238"/>
      <c r="AF470" s="239"/>
      <c r="AG470" s="239"/>
      <c r="AH470" s="124"/>
      <c r="AI470" s="74"/>
      <c r="AJ470" s="240"/>
      <c r="AL470" s="124"/>
      <c r="AM470" s="74"/>
      <c r="AP470" s="125"/>
      <c r="AQ470" s="241"/>
      <c r="AR470" s="125"/>
      <c r="AS470" s="125"/>
      <c r="AT470" s="238"/>
      <c r="AU470" s="125"/>
      <c r="AV470" s="125"/>
      <c r="AW470" s="125"/>
      <c r="AX470" s="238"/>
      <c r="AY470" s="125"/>
      <c r="AZ470" s="125"/>
      <c r="BA470" s="125"/>
    </row>
    <row r="471" spans="2:53" s="123" customFormat="1">
      <c r="B471" s="125"/>
      <c r="D471" s="125"/>
      <c r="I471" s="125"/>
      <c r="Z471" s="124"/>
      <c r="AA471" s="74"/>
      <c r="AB471" s="240"/>
      <c r="AD471" s="124"/>
      <c r="AE471" s="238"/>
      <c r="AF471" s="239"/>
      <c r="AG471" s="239"/>
      <c r="AH471" s="124"/>
      <c r="AI471" s="74"/>
      <c r="AJ471" s="240"/>
      <c r="AL471" s="124"/>
      <c r="AM471" s="74"/>
      <c r="AP471" s="125"/>
      <c r="AQ471" s="241"/>
      <c r="AR471" s="125"/>
      <c r="AS471" s="125"/>
      <c r="AT471" s="238"/>
      <c r="AU471" s="125"/>
      <c r="AV471" s="125"/>
      <c r="AW471" s="125"/>
      <c r="AX471" s="238"/>
      <c r="AY471" s="125"/>
      <c r="AZ471" s="125"/>
      <c r="BA471" s="125"/>
    </row>
    <row r="472" spans="2:53" s="123" customFormat="1">
      <c r="B472" s="125"/>
      <c r="D472" s="125"/>
      <c r="I472" s="125"/>
      <c r="Z472" s="124"/>
      <c r="AA472" s="74"/>
      <c r="AB472" s="240"/>
      <c r="AD472" s="124"/>
      <c r="AE472" s="238"/>
      <c r="AF472" s="239"/>
      <c r="AG472" s="239"/>
      <c r="AH472" s="124"/>
      <c r="AI472" s="74"/>
      <c r="AJ472" s="240"/>
      <c r="AL472" s="124"/>
      <c r="AM472" s="74"/>
      <c r="AP472" s="125"/>
      <c r="AQ472" s="241"/>
      <c r="AR472" s="125"/>
      <c r="AS472" s="125"/>
      <c r="AT472" s="238"/>
      <c r="AU472" s="125"/>
      <c r="AV472" s="125"/>
      <c r="AW472" s="125"/>
      <c r="AX472" s="238"/>
      <c r="AY472" s="125"/>
      <c r="AZ472" s="125"/>
      <c r="BA472" s="125"/>
    </row>
    <row r="473" spans="2:53" s="123" customFormat="1">
      <c r="B473" s="125"/>
      <c r="D473" s="125"/>
      <c r="I473" s="125"/>
      <c r="Z473" s="124"/>
      <c r="AA473" s="74"/>
      <c r="AB473" s="240"/>
      <c r="AD473" s="124"/>
      <c r="AE473" s="238"/>
      <c r="AF473" s="239"/>
      <c r="AG473" s="239"/>
      <c r="AH473" s="124"/>
      <c r="AI473" s="74"/>
      <c r="AJ473" s="240"/>
      <c r="AL473" s="124"/>
      <c r="AM473" s="74"/>
      <c r="AP473" s="125"/>
      <c r="AQ473" s="241"/>
      <c r="AR473" s="125"/>
      <c r="AS473" s="125"/>
      <c r="AT473" s="238"/>
      <c r="AU473" s="125"/>
      <c r="AV473" s="125"/>
      <c r="AW473" s="125"/>
      <c r="AX473" s="238"/>
      <c r="AY473" s="125"/>
      <c r="AZ473" s="125"/>
      <c r="BA473" s="125"/>
    </row>
    <row r="474" spans="2:53" s="123" customFormat="1">
      <c r="B474" s="125"/>
      <c r="D474" s="125"/>
      <c r="I474" s="125"/>
      <c r="Z474" s="124"/>
      <c r="AA474" s="74"/>
      <c r="AB474" s="240"/>
      <c r="AD474" s="124"/>
      <c r="AE474" s="238"/>
      <c r="AF474" s="239"/>
      <c r="AG474" s="239"/>
      <c r="AH474" s="124"/>
      <c r="AI474" s="74"/>
      <c r="AJ474" s="240"/>
      <c r="AL474" s="124"/>
      <c r="AM474" s="74"/>
      <c r="AP474" s="125"/>
      <c r="AQ474" s="241"/>
      <c r="AR474" s="125"/>
      <c r="AS474" s="125"/>
      <c r="AT474" s="238"/>
      <c r="AU474" s="125"/>
      <c r="AV474" s="125"/>
      <c r="AW474" s="125"/>
      <c r="AX474" s="238"/>
      <c r="AY474" s="125"/>
      <c r="AZ474" s="125"/>
      <c r="BA474" s="125"/>
    </row>
    <row r="475" spans="2:53" s="123" customFormat="1">
      <c r="B475" s="125"/>
      <c r="D475" s="125"/>
      <c r="I475" s="125"/>
      <c r="Z475" s="124"/>
      <c r="AA475" s="74"/>
      <c r="AB475" s="240"/>
      <c r="AD475" s="124"/>
      <c r="AE475" s="238"/>
      <c r="AF475" s="239"/>
      <c r="AG475" s="239"/>
      <c r="AH475" s="124"/>
      <c r="AI475" s="74"/>
      <c r="AJ475" s="240"/>
      <c r="AL475" s="124"/>
      <c r="AM475" s="74"/>
      <c r="AP475" s="125"/>
      <c r="AQ475" s="241"/>
      <c r="AR475" s="125"/>
      <c r="AS475" s="125"/>
      <c r="AT475" s="238"/>
      <c r="AU475" s="125"/>
      <c r="AV475" s="125"/>
      <c r="AW475" s="125"/>
      <c r="AX475" s="238"/>
      <c r="AY475" s="125"/>
      <c r="AZ475" s="125"/>
      <c r="BA475" s="125"/>
    </row>
    <row r="476" spans="2:53" s="123" customFormat="1">
      <c r="B476" s="125"/>
      <c r="D476" s="125"/>
      <c r="I476" s="125"/>
      <c r="Z476" s="124"/>
      <c r="AA476" s="74"/>
      <c r="AB476" s="240"/>
      <c r="AD476" s="124"/>
      <c r="AE476" s="238"/>
      <c r="AF476" s="239"/>
      <c r="AG476" s="239"/>
      <c r="AH476" s="124"/>
      <c r="AI476" s="74"/>
      <c r="AJ476" s="240"/>
      <c r="AL476" s="124"/>
      <c r="AM476" s="74"/>
      <c r="AP476" s="125"/>
      <c r="AQ476" s="241"/>
      <c r="AR476" s="125"/>
      <c r="AS476" s="125"/>
      <c r="AT476" s="238"/>
      <c r="AU476" s="125"/>
      <c r="AV476" s="125"/>
      <c r="AW476" s="125"/>
      <c r="AX476" s="238"/>
      <c r="AY476" s="125"/>
      <c r="AZ476" s="125"/>
      <c r="BA476" s="125"/>
    </row>
    <row r="477" spans="2:53" s="123" customFormat="1">
      <c r="B477" s="125"/>
      <c r="D477" s="125"/>
      <c r="I477" s="125"/>
      <c r="Z477" s="124"/>
      <c r="AA477" s="74"/>
      <c r="AB477" s="240"/>
      <c r="AD477" s="124"/>
      <c r="AE477" s="238"/>
      <c r="AF477" s="239"/>
      <c r="AG477" s="239"/>
      <c r="AH477" s="124"/>
      <c r="AI477" s="74"/>
      <c r="AJ477" s="240"/>
      <c r="AL477" s="124"/>
      <c r="AM477" s="74"/>
      <c r="AP477" s="125"/>
      <c r="AQ477" s="241"/>
      <c r="AR477" s="125"/>
      <c r="AS477" s="125"/>
      <c r="AT477" s="238"/>
      <c r="AU477" s="125"/>
      <c r="AV477" s="125"/>
      <c r="AW477" s="125"/>
      <c r="AX477" s="238"/>
      <c r="AY477" s="125"/>
      <c r="AZ477" s="125"/>
      <c r="BA477" s="125"/>
    </row>
    <row r="478" spans="2:53" s="123" customFormat="1">
      <c r="B478" s="125"/>
      <c r="D478" s="125"/>
      <c r="I478" s="125"/>
      <c r="Z478" s="124"/>
      <c r="AA478" s="74"/>
      <c r="AB478" s="240"/>
      <c r="AD478" s="124"/>
      <c r="AE478" s="238"/>
      <c r="AF478" s="239"/>
      <c r="AG478" s="239"/>
      <c r="AH478" s="124"/>
      <c r="AI478" s="74"/>
      <c r="AJ478" s="240"/>
      <c r="AL478" s="124"/>
      <c r="AM478" s="74"/>
      <c r="AP478" s="125"/>
      <c r="AQ478" s="241"/>
      <c r="AR478" s="125"/>
      <c r="AS478" s="125"/>
      <c r="AT478" s="238"/>
      <c r="AU478" s="125"/>
      <c r="AV478" s="125"/>
      <c r="AW478" s="125"/>
      <c r="AX478" s="238"/>
      <c r="AY478" s="125"/>
      <c r="AZ478" s="125"/>
      <c r="BA478" s="125"/>
    </row>
    <row r="479" spans="2:53" s="123" customFormat="1">
      <c r="B479" s="125"/>
      <c r="D479" s="125"/>
      <c r="I479" s="125"/>
      <c r="Z479" s="124"/>
      <c r="AA479" s="74"/>
      <c r="AB479" s="240"/>
      <c r="AD479" s="124"/>
      <c r="AE479" s="238"/>
      <c r="AF479" s="239"/>
      <c r="AG479" s="239"/>
      <c r="AH479" s="124"/>
      <c r="AI479" s="74"/>
      <c r="AJ479" s="240"/>
      <c r="AL479" s="124"/>
      <c r="AM479" s="74"/>
      <c r="AP479" s="125"/>
      <c r="AQ479" s="241"/>
      <c r="AR479" s="125"/>
      <c r="AS479" s="125"/>
      <c r="AT479" s="238"/>
      <c r="AU479" s="125"/>
      <c r="AV479" s="125"/>
      <c r="AW479" s="125"/>
      <c r="AX479" s="238"/>
      <c r="AY479" s="125"/>
      <c r="AZ479" s="125"/>
      <c r="BA479" s="125"/>
    </row>
    <row r="480" spans="2:53" s="123" customFormat="1">
      <c r="B480" s="125"/>
      <c r="D480" s="125"/>
      <c r="I480" s="125"/>
      <c r="Z480" s="124"/>
      <c r="AA480" s="74"/>
      <c r="AB480" s="240"/>
      <c r="AD480" s="124"/>
      <c r="AE480" s="238"/>
      <c r="AF480" s="239"/>
      <c r="AG480" s="239"/>
      <c r="AH480" s="124"/>
      <c r="AI480" s="74"/>
      <c r="AJ480" s="240"/>
      <c r="AL480" s="124"/>
      <c r="AM480" s="74"/>
      <c r="AP480" s="125"/>
      <c r="AQ480" s="241"/>
      <c r="AR480" s="125"/>
      <c r="AS480" s="125"/>
      <c r="AT480" s="238"/>
      <c r="AU480" s="125"/>
      <c r="AV480" s="125"/>
      <c r="AW480" s="125"/>
      <c r="AX480" s="238"/>
      <c r="AY480" s="125"/>
      <c r="AZ480" s="125"/>
      <c r="BA480" s="125"/>
    </row>
    <row r="481" spans="2:53" s="123" customFormat="1">
      <c r="B481" s="125"/>
      <c r="D481" s="125"/>
      <c r="I481" s="125"/>
      <c r="Z481" s="124"/>
      <c r="AA481" s="74"/>
      <c r="AB481" s="240"/>
      <c r="AD481" s="124"/>
      <c r="AE481" s="238"/>
      <c r="AF481" s="239"/>
      <c r="AG481" s="239"/>
      <c r="AH481" s="124"/>
      <c r="AI481" s="74"/>
      <c r="AJ481" s="240"/>
      <c r="AL481" s="124"/>
      <c r="AM481" s="74"/>
      <c r="AP481" s="125"/>
      <c r="AQ481" s="241"/>
      <c r="AR481" s="125"/>
      <c r="AS481" s="125"/>
      <c r="AT481" s="238"/>
      <c r="AU481" s="125"/>
      <c r="AV481" s="125"/>
      <c r="AW481" s="125"/>
      <c r="AX481" s="238"/>
      <c r="AY481" s="125"/>
      <c r="AZ481" s="125"/>
      <c r="BA481" s="125"/>
    </row>
    <row r="482" spans="2:53" s="123" customFormat="1">
      <c r="B482" s="125"/>
      <c r="D482" s="125"/>
      <c r="I482" s="125"/>
      <c r="Z482" s="124"/>
      <c r="AA482" s="74"/>
      <c r="AB482" s="240"/>
      <c r="AD482" s="124"/>
      <c r="AE482" s="238"/>
      <c r="AF482" s="239"/>
      <c r="AG482" s="239"/>
      <c r="AH482" s="124"/>
      <c r="AI482" s="74"/>
      <c r="AJ482" s="240"/>
      <c r="AL482" s="124"/>
      <c r="AM482" s="74"/>
      <c r="AP482" s="125"/>
      <c r="AQ482" s="241"/>
      <c r="AR482" s="125"/>
      <c r="AS482" s="125"/>
      <c r="AT482" s="238"/>
      <c r="AU482" s="125"/>
      <c r="AV482" s="125"/>
      <c r="AW482" s="125"/>
      <c r="AX482" s="238"/>
      <c r="AY482" s="125"/>
      <c r="AZ482" s="125"/>
      <c r="BA482" s="125"/>
    </row>
    <row r="483" spans="2:53" s="123" customFormat="1">
      <c r="B483" s="125"/>
      <c r="D483" s="125"/>
      <c r="I483" s="125"/>
      <c r="Z483" s="124"/>
      <c r="AA483" s="74"/>
      <c r="AB483" s="240"/>
      <c r="AD483" s="124"/>
      <c r="AE483" s="238"/>
      <c r="AF483" s="239"/>
      <c r="AG483" s="239"/>
      <c r="AH483" s="124"/>
      <c r="AI483" s="74"/>
      <c r="AJ483" s="240"/>
      <c r="AL483" s="124"/>
      <c r="AM483" s="74"/>
      <c r="AP483" s="125"/>
      <c r="AQ483" s="241"/>
      <c r="AR483" s="125"/>
      <c r="AS483" s="125"/>
      <c r="AT483" s="238"/>
      <c r="AU483" s="125"/>
      <c r="AV483" s="125"/>
      <c r="AW483" s="125"/>
      <c r="AX483" s="238"/>
      <c r="AY483" s="125"/>
      <c r="AZ483" s="125"/>
      <c r="BA483" s="125"/>
    </row>
    <row r="484" spans="2:53" s="123" customFormat="1">
      <c r="B484" s="125"/>
      <c r="D484" s="125"/>
      <c r="I484" s="125"/>
      <c r="Z484" s="124"/>
      <c r="AA484" s="74"/>
      <c r="AB484" s="240"/>
      <c r="AD484" s="124"/>
      <c r="AE484" s="238"/>
      <c r="AF484" s="239"/>
      <c r="AG484" s="239"/>
      <c r="AH484" s="124"/>
      <c r="AI484" s="74"/>
      <c r="AJ484" s="240"/>
      <c r="AL484" s="124"/>
      <c r="AM484" s="74"/>
      <c r="AP484" s="125"/>
      <c r="AQ484" s="241"/>
      <c r="AR484" s="125"/>
      <c r="AS484" s="125"/>
      <c r="AT484" s="238"/>
      <c r="AU484" s="125"/>
      <c r="AV484" s="125"/>
      <c r="AW484" s="125"/>
      <c r="AX484" s="238"/>
      <c r="AY484" s="125"/>
      <c r="AZ484" s="125"/>
      <c r="BA484" s="125"/>
    </row>
    <row r="485" spans="2:53" s="123" customFormat="1">
      <c r="B485" s="125"/>
      <c r="D485" s="125"/>
      <c r="I485" s="125"/>
      <c r="Z485" s="124"/>
      <c r="AA485" s="74"/>
      <c r="AB485" s="240"/>
      <c r="AD485" s="124"/>
      <c r="AE485" s="238"/>
      <c r="AF485" s="239"/>
      <c r="AG485" s="239"/>
      <c r="AH485" s="124"/>
      <c r="AI485" s="74"/>
      <c r="AJ485" s="240"/>
      <c r="AL485" s="124"/>
      <c r="AM485" s="74"/>
      <c r="AP485" s="125"/>
      <c r="AQ485" s="241"/>
      <c r="AR485" s="125"/>
      <c r="AS485" s="125"/>
      <c r="AT485" s="238"/>
      <c r="AU485" s="125"/>
      <c r="AV485" s="125"/>
      <c r="AW485" s="125"/>
      <c r="AX485" s="238"/>
      <c r="AY485" s="125"/>
      <c r="AZ485" s="125"/>
      <c r="BA485" s="125"/>
    </row>
    <row r="486" spans="2:53" s="123" customFormat="1">
      <c r="B486" s="125"/>
      <c r="D486" s="125"/>
      <c r="I486" s="125"/>
      <c r="Z486" s="124"/>
      <c r="AA486" s="74"/>
      <c r="AB486" s="240"/>
      <c r="AD486" s="124"/>
      <c r="AE486" s="238"/>
      <c r="AF486" s="239"/>
      <c r="AG486" s="239"/>
      <c r="AH486" s="124"/>
      <c r="AI486" s="74"/>
      <c r="AJ486" s="240"/>
      <c r="AL486" s="124"/>
      <c r="AM486" s="74"/>
      <c r="AP486" s="125"/>
      <c r="AQ486" s="241"/>
      <c r="AR486" s="125"/>
      <c r="AS486" s="125"/>
      <c r="AT486" s="238"/>
      <c r="AU486" s="125"/>
      <c r="AV486" s="125"/>
      <c r="AW486" s="125"/>
      <c r="AX486" s="238"/>
      <c r="AY486" s="125"/>
      <c r="AZ486" s="125"/>
      <c r="BA486" s="125"/>
    </row>
    <row r="487" spans="2:53" s="123" customFormat="1">
      <c r="B487" s="125"/>
      <c r="D487" s="125"/>
      <c r="I487" s="125"/>
      <c r="Z487" s="124"/>
      <c r="AA487" s="74"/>
      <c r="AB487" s="240"/>
      <c r="AD487" s="124"/>
      <c r="AE487" s="238"/>
      <c r="AF487" s="239"/>
      <c r="AG487" s="239"/>
      <c r="AH487" s="124"/>
      <c r="AI487" s="74"/>
      <c r="AJ487" s="240"/>
      <c r="AL487" s="124"/>
      <c r="AM487" s="74"/>
      <c r="AP487" s="125"/>
      <c r="AQ487" s="241"/>
      <c r="AR487" s="125"/>
      <c r="AS487" s="125"/>
      <c r="AT487" s="238"/>
      <c r="AU487" s="125"/>
      <c r="AV487" s="125"/>
      <c r="AW487" s="125"/>
      <c r="AX487" s="238"/>
      <c r="AY487" s="125"/>
      <c r="AZ487" s="125"/>
      <c r="BA487" s="125"/>
    </row>
    <row r="488" spans="2:53" s="123" customFormat="1">
      <c r="B488" s="125"/>
      <c r="D488" s="125"/>
      <c r="I488" s="125"/>
      <c r="Z488" s="124"/>
      <c r="AA488" s="74"/>
      <c r="AB488" s="240"/>
      <c r="AD488" s="124"/>
      <c r="AE488" s="238"/>
      <c r="AF488" s="239"/>
      <c r="AG488" s="239"/>
      <c r="AH488" s="124"/>
      <c r="AI488" s="74"/>
      <c r="AJ488" s="240"/>
      <c r="AL488" s="124"/>
      <c r="AM488" s="74"/>
      <c r="AP488" s="125"/>
      <c r="AQ488" s="241"/>
      <c r="AR488" s="125"/>
      <c r="AS488" s="125"/>
      <c r="AT488" s="238"/>
      <c r="AU488" s="125"/>
      <c r="AV488" s="125"/>
      <c r="AW488" s="125"/>
      <c r="AX488" s="238"/>
      <c r="AY488" s="125"/>
      <c r="AZ488" s="125"/>
      <c r="BA488" s="125"/>
    </row>
    <row r="489" spans="2:53" s="123" customFormat="1">
      <c r="B489" s="125"/>
      <c r="D489" s="125"/>
      <c r="I489" s="125"/>
      <c r="Z489" s="124"/>
      <c r="AA489" s="74"/>
      <c r="AB489" s="240"/>
      <c r="AD489" s="124"/>
      <c r="AE489" s="238"/>
      <c r="AF489" s="239"/>
      <c r="AG489" s="239"/>
      <c r="AH489" s="124"/>
      <c r="AI489" s="74"/>
      <c r="AJ489" s="240"/>
      <c r="AL489" s="124"/>
      <c r="AM489" s="74"/>
      <c r="AP489" s="125"/>
      <c r="AQ489" s="241"/>
      <c r="AR489" s="125"/>
      <c r="AS489" s="125"/>
      <c r="AT489" s="238"/>
      <c r="AU489" s="125"/>
      <c r="AV489" s="125"/>
      <c r="AW489" s="125"/>
      <c r="AX489" s="238"/>
      <c r="AY489" s="125"/>
      <c r="AZ489" s="125"/>
      <c r="BA489" s="125"/>
    </row>
    <row r="490" spans="2:53" s="123" customFormat="1">
      <c r="B490" s="125"/>
      <c r="D490" s="125"/>
      <c r="I490" s="125"/>
      <c r="Z490" s="124"/>
      <c r="AA490" s="74"/>
      <c r="AB490" s="240"/>
      <c r="AD490" s="124"/>
      <c r="AE490" s="238"/>
      <c r="AF490" s="239"/>
      <c r="AG490" s="239"/>
      <c r="AH490" s="124"/>
      <c r="AI490" s="74"/>
      <c r="AJ490" s="240"/>
      <c r="AL490" s="124"/>
      <c r="AM490" s="74"/>
      <c r="AP490" s="125"/>
      <c r="AQ490" s="241"/>
      <c r="AR490" s="125"/>
      <c r="AS490" s="125"/>
      <c r="AT490" s="238"/>
      <c r="AU490" s="125"/>
      <c r="AV490" s="125"/>
      <c r="AW490" s="125"/>
      <c r="AX490" s="238"/>
      <c r="AY490" s="125"/>
      <c r="AZ490" s="125"/>
      <c r="BA490" s="125"/>
    </row>
    <row r="491" spans="2:53" s="123" customFormat="1">
      <c r="B491" s="125"/>
      <c r="D491" s="125"/>
      <c r="I491" s="125"/>
      <c r="Z491" s="124"/>
      <c r="AA491" s="74"/>
      <c r="AB491" s="240"/>
      <c r="AD491" s="124"/>
      <c r="AE491" s="238"/>
      <c r="AF491" s="239"/>
      <c r="AG491" s="239"/>
      <c r="AH491" s="124"/>
      <c r="AI491" s="74"/>
      <c r="AJ491" s="240"/>
      <c r="AL491" s="124"/>
      <c r="AM491" s="74"/>
      <c r="AP491" s="125"/>
      <c r="AQ491" s="241"/>
      <c r="AR491" s="125"/>
      <c r="AS491" s="125"/>
      <c r="AT491" s="238"/>
      <c r="AU491" s="125"/>
      <c r="AV491" s="125"/>
      <c r="AW491" s="125"/>
      <c r="AX491" s="238"/>
      <c r="AY491" s="125"/>
      <c r="AZ491" s="125"/>
      <c r="BA491" s="125"/>
    </row>
    <row r="492" spans="2:53" s="123" customFormat="1">
      <c r="B492" s="125"/>
      <c r="D492" s="125"/>
      <c r="I492" s="125"/>
      <c r="Z492" s="124"/>
      <c r="AA492" s="74"/>
      <c r="AB492" s="240"/>
      <c r="AD492" s="124"/>
      <c r="AE492" s="238"/>
      <c r="AF492" s="239"/>
      <c r="AG492" s="239"/>
      <c r="AH492" s="124"/>
      <c r="AI492" s="74"/>
      <c r="AJ492" s="240"/>
      <c r="AL492" s="124"/>
      <c r="AM492" s="74"/>
      <c r="AP492" s="125"/>
      <c r="AQ492" s="241"/>
      <c r="AR492" s="125"/>
      <c r="AS492" s="125"/>
      <c r="AT492" s="238"/>
      <c r="AU492" s="125"/>
      <c r="AV492" s="125"/>
      <c r="AW492" s="125"/>
      <c r="AX492" s="238"/>
      <c r="AY492" s="125"/>
      <c r="AZ492" s="125"/>
      <c r="BA492" s="125"/>
    </row>
    <row r="493" spans="2:53" s="123" customFormat="1">
      <c r="B493" s="125"/>
      <c r="D493" s="125"/>
      <c r="I493" s="125"/>
      <c r="Z493" s="124"/>
      <c r="AA493" s="74"/>
      <c r="AB493" s="240"/>
      <c r="AD493" s="124"/>
      <c r="AE493" s="238"/>
      <c r="AF493" s="239"/>
      <c r="AG493" s="239"/>
      <c r="AH493" s="124"/>
      <c r="AI493" s="74"/>
      <c r="AJ493" s="240"/>
      <c r="AL493" s="124"/>
      <c r="AM493" s="74"/>
      <c r="AP493" s="125"/>
      <c r="AQ493" s="241"/>
      <c r="AR493" s="125"/>
      <c r="AS493" s="125"/>
      <c r="AT493" s="238"/>
      <c r="AU493" s="125"/>
      <c r="AV493" s="125"/>
      <c r="AW493" s="125"/>
      <c r="AX493" s="238"/>
      <c r="AY493" s="125"/>
      <c r="AZ493" s="125"/>
      <c r="BA493" s="125"/>
    </row>
    <row r="494" spans="2:53" s="123" customFormat="1">
      <c r="B494" s="125"/>
      <c r="D494" s="125"/>
      <c r="I494" s="125"/>
      <c r="Z494" s="124"/>
      <c r="AA494" s="74"/>
      <c r="AB494" s="240"/>
      <c r="AD494" s="124"/>
      <c r="AE494" s="238"/>
      <c r="AF494" s="239"/>
      <c r="AG494" s="239"/>
      <c r="AH494" s="124"/>
      <c r="AI494" s="74"/>
      <c r="AJ494" s="240"/>
      <c r="AL494" s="124"/>
      <c r="AM494" s="74"/>
      <c r="AP494" s="125"/>
      <c r="AQ494" s="241"/>
      <c r="AR494" s="125"/>
      <c r="AS494" s="125"/>
      <c r="AT494" s="238"/>
      <c r="AU494" s="125"/>
      <c r="AV494" s="125"/>
      <c r="AW494" s="125"/>
      <c r="AX494" s="238"/>
      <c r="AY494" s="125"/>
      <c r="AZ494" s="125"/>
      <c r="BA494" s="125"/>
    </row>
    <row r="495" spans="2:53" s="123" customFormat="1">
      <c r="B495" s="125"/>
      <c r="D495" s="125"/>
      <c r="I495" s="125"/>
      <c r="Z495" s="124"/>
      <c r="AA495" s="74"/>
      <c r="AB495" s="240"/>
      <c r="AD495" s="124"/>
      <c r="AE495" s="238"/>
      <c r="AF495" s="239"/>
      <c r="AG495" s="239"/>
      <c r="AH495" s="124"/>
      <c r="AI495" s="74"/>
      <c r="AJ495" s="240"/>
      <c r="AL495" s="124"/>
      <c r="AM495" s="74"/>
      <c r="AP495" s="125"/>
      <c r="AQ495" s="241"/>
      <c r="AR495" s="125"/>
      <c r="AS495" s="125"/>
      <c r="AT495" s="238"/>
      <c r="AU495" s="125"/>
      <c r="AV495" s="125"/>
      <c r="AW495" s="125"/>
      <c r="AX495" s="238"/>
      <c r="AY495" s="125"/>
      <c r="AZ495" s="125"/>
      <c r="BA495" s="125"/>
    </row>
    <row r="496" spans="2:53" s="123" customFormat="1">
      <c r="B496" s="125"/>
      <c r="D496" s="125"/>
      <c r="I496" s="125"/>
      <c r="Z496" s="124"/>
      <c r="AA496" s="74"/>
      <c r="AB496" s="240"/>
      <c r="AD496" s="124"/>
      <c r="AE496" s="238"/>
      <c r="AF496" s="239"/>
      <c r="AG496" s="239"/>
      <c r="AH496" s="124"/>
      <c r="AI496" s="74"/>
      <c r="AJ496" s="240"/>
      <c r="AL496" s="124"/>
      <c r="AM496" s="74"/>
      <c r="AP496" s="125"/>
      <c r="AQ496" s="241"/>
      <c r="AR496" s="125"/>
      <c r="AS496" s="125"/>
      <c r="AT496" s="238"/>
      <c r="AU496" s="125"/>
      <c r="AV496" s="125"/>
      <c r="AW496" s="125"/>
      <c r="AX496" s="238"/>
      <c r="AY496" s="125"/>
      <c r="AZ496" s="125"/>
      <c r="BA496" s="125"/>
    </row>
    <row r="497" spans="2:53" s="123" customFormat="1">
      <c r="B497" s="125"/>
      <c r="D497" s="125"/>
      <c r="I497" s="125"/>
      <c r="Z497" s="124"/>
      <c r="AA497" s="74"/>
      <c r="AB497" s="240"/>
      <c r="AD497" s="124"/>
      <c r="AE497" s="238"/>
      <c r="AF497" s="239"/>
      <c r="AG497" s="239"/>
      <c r="AH497" s="124"/>
      <c r="AI497" s="74"/>
      <c r="AJ497" s="240"/>
      <c r="AL497" s="124"/>
      <c r="AM497" s="74"/>
      <c r="AP497" s="125"/>
      <c r="AQ497" s="241"/>
      <c r="AR497" s="125"/>
      <c r="AS497" s="125"/>
      <c r="AT497" s="238"/>
      <c r="AU497" s="125"/>
      <c r="AV497" s="125"/>
      <c r="AW497" s="125"/>
      <c r="AX497" s="238"/>
      <c r="AY497" s="125"/>
      <c r="AZ497" s="125"/>
      <c r="BA497" s="125"/>
    </row>
    <row r="498" spans="2:53" s="123" customFormat="1">
      <c r="B498" s="125"/>
      <c r="D498" s="125"/>
      <c r="I498" s="125"/>
      <c r="Z498" s="124"/>
      <c r="AA498" s="74"/>
      <c r="AB498" s="240"/>
      <c r="AD498" s="124"/>
      <c r="AE498" s="238"/>
      <c r="AF498" s="239"/>
      <c r="AG498" s="239"/>
      <c r="AH498" s="124"/>
      <c r="AI498" s="74"/>
      <c r="AJ498" s="240"/>
      <c r="AL498" s="124"/>
      <c r="AM498" s="74"/>
      <c r="AP498" s="125"/>
      <c r="AQ498" s="241"/>
      <c r="AR498" s="125"/>
      <c r="AS498" s="125"/>
      <c r="AT498" s="238"/>
      <c r="AU498" s="125"/>
      <c r="AV498" s="125"/>
      <c r="AW498" s="125"/>
      <c r="AX498" s="238"/>
      <c r="AY498" s="125"/>
      <c r="AZ498" s="125"/>
      <c r="BA498" s="125"/>
    </row>
    <row r="499" spans="2:53" s="123" customFormat="1">
      <c r="B499" s="125"/>
      <c r="D499" s="125"/>
      <c r="I499" s="125"/>
      <c r="Z499" s="124"/>
      <c r="AA499" s="74"/>
      <c r="AB499" s="240"/>
      <c r="AD499" s="124"/>
      <c r="AE499" s="238"/>
      <c r="AF499" s="239"/>
      <c r="AG499" s="239"/>
      <c r="AH499" s="124"/>
      <c r="AI499" s="74"/>
      <c r="AJ499" s="240"/>
      <c r="AL499" s="124"/>
      <c r="AM499" s="74"/>
      <c r="AP499" s="125"/>
      <c r="AQ499" s="241"/>
      <c r="AR499" s="125"/>
      <c r="AS499" s="125"/>
      <c r="AT499" s="238"/>
      <c r="AU499" s="125"/>
      <c r="AV499" s="125"/>
      <c r="AW499" s="125"/>
      <c r="AX499" s="238"/>
      <c r="AY499" s="125"/>
      <c r="AZ499" s="125"/>
      <c r="BA499" s="125"/>
    </row>
    <row r="500" spans="2:53" s="123" customFormat="1">
      <c r="B500" s="125"/>
      <c r="D500" s="125"/>
      <c r="I500" s="125"/>
      <c r="Z500" s="124"/>
      <c r="AA500" s="74"/>
      <c r="AB500" s="240"/>
      <c r="AD500" s="124"/>
      <c r="AE500" s="238"/>
      <c r="AF500" s="239"/>
      <c r="AG500" s="239"/>
      <c r="AH500" s="124"/>
      <c r="AI500" s="74"/>
      <c r="AJ500" s="240"/>
      <c r="AL500" s="124"/>
      <c r="AM500" s="74"/>
      <c r="AP500" s="125"/>
      <c r="AQ500" s="241"/>
      <c r="AR500" s="125"/>
      <c r="AS500" s="125"/>
      <c r="AT500" s="238"/>
      <c r="AU500" s="125"/>
      <c r="AV500" s="125"/>
      <c r="AW500" s="125"/>
      <c r="AX500" s="238"/>
      <c r="AY500" s="125"/>
      <c r="AZ500" s="125"/>
      <c r="BA500" s="125"/>
    </row>
    <row r="501" spans="2:53" s="123" customFormat="1">
      <c r="B501" s="125"/>
      <c r="D501" s="125"/>
      <c r="I501" s="125"/>
      <c r="Z501" s="124"/>
      <c r="AA501" s="74"/>
      <c r="AB501" s="240"/>
      <c r="AD501" s="124"/>
      <c r="AE501" s="238"/>
      <c r="AF501" s="239"/>
      <c r="AG501" s="239"/>
      <c r="AH501" s="124"/>
      <c r="AI501" s="74"/>
      <c r="AJ501" s="240"/>
      <c r="AL501" s="124"/>
      <c r="AM501" s="74"/>
      <c r="AP501" s="125"/>
      <c r="AQ501" s="241"/>
      <c r="AR501" s="125"/>
      <c r="AS501" s="125"/>
      <c r="AT501" s="238"/>
      <c r="AU501" s="125"/>
      <c r="AV501" s="125"/>
      <c r="AW501" s="125"/>
      <c r="AX501" s="238"/>
      <c r="AY501" s="125"/>
      <c r="AZ501" s="125"/>
      <c r="BA501" s="125"/>
    </row>
    <row r="502" spans="2:53" s="123" customFormat="1">
      <c r="B502" s="125"/>
      <c r="D502" s="125"/>
      <c r="I502" s="125"/>
      <c r="Z502" s="124"/>
      <c r="AA502" s="74"/>
      <c r="AB502" s="240"/>
      <c r="AD502" s="124"/>
      <c r="AE502" s="238"/>
      <c r="AF502" s="239"/>
      <c r="AG502" s="239"/>
      <c r="AH502" s="124"/>
      <c r="AI502" s="74"/>
      <c r="AJ502" s="240"/>
      <c r="AL502" s="124"/>
      <c r="AM502" s="74"/>
      <c r="AP502" s="125"/>
      <c r="AQ502" s="241"/>
      <c r="AR502" s="125"/>
      <c r="AS502" s="125"/>
      <c r="AT502" s="238"/>
      <c r="AU502" s="125"/>
      <c r="AV502" s="125"/>
      <c r="AW502" s="125"/>
      <c r="AX502" s="238"/>
      <c r="AY502" s="125"/>
      <c r="AZ502" s="125"/>
      <c r="BA502" s="125"/>
    </row>
    <row r="503" spans="2:53" s="123" customFormat="1">
      <c r="B503" s="125"/>
      <c r="D503" s="125"/>
      <c r="I503" s="125"/>
      <c r="Z503" s="124"/>
      <c r="AA503" s="74"/>
      <c r="AB503" s="240"/>
      <c r="AD503" s="124"/>
      <c r="AE503" s="238"/>
      <c r="AF503" s="239"/>
      <c r="AG503" s="239"/>
      <c r="AH503" s="124"/>
      <c r="AI503" s="74"/>
      <c r="AJ503" s="240"/>
      <c r="AL503" s="124"/>
      <c r="AM503" s="74"/>
      <c r="AP503" s="125"/>
      <c r="AQ503" s="241"/>
      <c r="AR503" s="125"/>
      <c r="AS503" s="125"/>
      <c r="AT503" s="238"/>
      <c r="AU503" s="125"/>
      <c r="AV503" s="125"/>
      <c r="AW503" s="125"/>
      <c r="AX503" s="238"/>
      <c r="AY503" s="125"/>
      <c r="AZ503" s="125"/>
      <c r="BA503" s="125"/>
    </row>
    <row r="504" spans="2:53" s="123" customFormat="1">
      <c r="B504" s="125"/>
      <c r="D504" s="125"/>
      <c r="I504" s="125"/>
      <c r="Z504" s="124"/>
      <c r="AA504" s="74"/>
      <c r="AB504" s="240"/>
      <c r="AD504" s="124"/>
      <c r="AE504" s="238"/>
      <c r="AF504" s="239"/>
      <c r="AG504" s="239"/>
      <c r="AH504" s="124"/>
      <c r="AI504" s="74"/>
      <c r="AJ504" s="240"/>
      <c r="AL504" s="124"/>
      <c r="AM504" s="74"/>
      <c r="AP504" s="125"/>
      <c r="AQ504" s="241"/>
      <c r="AR504" s="125"/>
      <c r="AS504" s="125"/>
      <c r="AT504" s="238"/>
      <c r="AU504" s="125"/>
      <c r="AV504" s="125"/>
      <c r="AW504" s="125"/>
      <c r="AX504" s="238"/>
      <c r="AY504" s="125"/>
      <c r="AZ504" s="125"/>
      <c r="BA504" s="125"/>
    </row>
    <row r="505" spans="2:53" s="123" customFormat="1">
      <c r="B505" s="125"/>
      <c r="D505" s="125"/>
      <c r="I505" s="125"/>
      <c r="Z505" s="124"/>
      <c r="AA505" s="74"/>
      <c r="AB505" s="240"/>
      <c r="AD505" s="124"/>
      <c r="AE505" s="238"/>
      <c r="AF505" s="239"/>
      <c r="AG505" s="239"/>
      <c r="AH505" s="124"/>
      <c r="AI505" s="74"/>
      <c r="AJ505" s="240"/>
      <c r="AL505" s="124"/>
      <c r="AM505" s="74"/>
      <c r="AP505" s="125"/>
      <c r="AQ505" s="241"/>
      <c r="AR505" s="125"/>
      <c r="AS505" s="125"/>
      <c r="AT505" s="238"/>
      <c r="AU505" s="125"/>
      <c r="AV505" s="125"/>
      <c r="AW505" s="125"/>
      <c r="AX505" s="238"/>
      <c r="AY505" s="125"/>
      <c r="AZ505" s="125"/>
      <c r="BA505" s="125"/>
    </row>
    <row r="506" spans="2:53" s="123" customFormat="1">
      <c r="B506" s="125"/>
      <c r="D506" s="125"/>
      <c r="I506" s="125"/>
      <c r="Z506" s="124"/>
      <c r="AA506" s="74"/>
      <c r="AB506" s="240"/>
      <c r="AD506" s="124"/>
      <c r="AE506" s="238"/>
      <c r="AF506" s="239"/>
      <c r="AG506" s="239"/>
      <c r="AH506" s="124"/>
      <c r="AI506" s="74"/>
      <c r="AJ506" s="240"/>
      <c r="AL506" s="124"/>
      <c r="AM506" s="74"/>
      <c r="AP506" s="125"/>
      <c r="AQ506" s="241"/>
      <c r="AR506" s="125"/>
      <c r="AS506" s="125"/>
      <c r="AT506" s="238"/>
      <c r="AU506" s="125"/>
      <c r="AV506" s="125"/>
      <c r="AW506" s="125"/>
      <c r="AX506" s="238"/>
      <c r="AY506" s="125"/>
      <c r="AZ506" s="125"/>
      <c r="BA506" s="125"/>
    </row>
    <row r="507" spans="2:53" s="123" customFormat="1">
      <c r="B507" s="125"/>
      <c r="D507" s="125"/>
      <c r="I507" s="125"/>
      <c r="Z507" s="124"/>
      <c r="AA507" s="74"/>
      <c r="AB507" s="240"/>
      <c r="AD507" s="124"/>
      <c r="AE507" s="238"/>
      <c r="AF507" s="239"/>
      <c r="AG507" s="239"/>
      <c r="AH507" s="124"/>
      <c r="AI507" s="74"/>
      <c r="AJ507" s="240"/>
      <c r="AL507" s="124"/>
      <c r="AM507" s="74"/>
      <c r="AP507" s="125"/>
      <c r="AQ507" s="241"/>
      <c r="AR507" s="125"/>
      <c r="AS507" s="125"/>
      <c r="AT507" s="238"/>
      <c r="AU507" s="125"/>
      <c r="AV507" s="125"/>
      <c r="AW507" s="125"/>
      <c r="AX507" s="238"/>
      <c r="AY507" s="125"/>
      <c r="AZ507" s="125"/>
      <c r="BA507" s="125"/>
    </row>
    <row r="508" spans="2:53" s="123" customFormat="1">
      <c r="B508" s="125"/>
      <c r="D508" s="125"/>
      <c r="I508" s="125"/>
      <c r="Z508" s="124"/>
      <c r="AA508" s="74"/>
      <c r="AB508" s="240"/>
      <c r="AD508" s="124"/>
      <c r="AE508" s="238"/>
      <c r="AF508" s="239"/>
      <c r="AG508" s="239"/>
      <c r="AH508" s="124"/>
      <c r="AI508" s="74"/>
      <c r="AJ508" s="240"/>
      <c r="AL508" s="124"/>
      <c r="AM508" s="74"/>
      <c r="AP508" s="125"/>
      <c r="AQ508" s="241"/>
      <c r="AR508" s="125"/>
      <c r="AS508" s="125"/>
      <c r="AT508" s="238"/>
      <c r="AU508" s="125"/>
      <c r="AV508" s="125"/>
      <c r="AW508" s="125"/>
      <c r="AX508" s="238"/>
      <c r="AY508" s="125"/>
      <c r="AZ508" s="125"/>
      <c r="BA508" s="125"/>
    </row>
    <row r="509" spans="2:53" s="123" customFormat="1">
      <c r="B509" s="125"/>
      <c r="D509" s="125"/>
      <c r="I509" s="125"/>
      <c r="Z509" s="124"/>
      <c r="AA509" s="74"/>
      <c r="AB509" s="240"/>
      <c r="AD509" s="124"/>
      <c r="AE509" s="238"/>
      <c r="AF509" s="239"/>
      <c r="AG509" s="239"/>
      <c r="AH509" s="124"/>
      <c r="AI509" s="74"/>
      <c r="AJ509" s="240"/>
      <c r="AL509" s="124"/>
      <c r="AM509" s="74"/>
      <c r="AP509" s="125"/>
      <c r="AQ509" s="241"/>
      <c r="AR509" s="125"/>
      <c r="AS509" s="125"/>
      <c r="AT509" s="238"/>
      <c r="AU509" s="125"/>
      <c r="AV509" s="125"/>
      <c r="AW509" s="125"/>
      <c r="AX509" s="238"/>
      <c r="AY509" s="125"/>
      <c r="AZ509" s="125"/>
      <c r="BA509" s="125"/>
    </row>
    <row r="510" spans="2:53" s="123" customFormat="1">
      <c r="B510" s="125"/>
      <c r="D510" s="125"/>
      <c r="I510" s="125"/>
      <c r="Z510" s="124"/>
      <c r="AA510" s="74"/>
      <c r="AB510" s="240"/>
      <c r="AD510" s="124"/>
      <c r="AE510" s="238"/>
      <c r="AF510" s="239"/>
      <c r="AG510" s="239"/>
      <c r="AH510" s="124"/>
      <c r="AI510" s="74"/>
      <c r="AJ510" s="240"/>
      <c r="AL510" s="124"/>
      <c r="AM510" s="74"/>
      <c r="AP510" s="125"/>
      <c r="AQ510" s="241"/>
      <c r="AR510" s="125"/>
      <c r="AS510" s="125"/>
      <c r="AT510" s="238"/>
      <c r="AU510" s="125"/>
      <c r="AV510" s="125"/>
      <c r="AW510" s="125"/>
      <c r="AX510" s="238"/>
      <c r="AY510" s="125"/>
      <c r="AZ510" s="125"/>
      <c r="BA510" s="125"/>
    </row>
    <row r="511" spans="2:53" s="123" customFormat="1">
      <c r="B511" s="125"/>
      <c r="D511" s="125"/>
      <c r="I511" s="125"/>
      <c r="Z511" s="124"/>
      <c r="AA511" s="74"/>
      <c r="AB511" s="240"/>
      <c r="AD511" s="124"/>
      <c r="AE511" s="238"/>
      <c r="AF511" s="239"/>
      <c r="AG511" s="239"/>
      <c r="AH511" s="124"/>
      <c r="AI511" s="74"/>
      <c r="AJ511" s="240"/>
      <c r="AL511" s="124"/>
      <c r="AM511" s="74"/>
      <c r="AP511" s="125"/>
      <c r="AQ511" s="241"/>
      <c r="AR511" s="125"/>
      <c r="AS511" s="125"/>
      <c r="AT511" s="238"/>
      <c r="AU511" s="125"/>
      <c r="AV511" s="125"/>
      <c r="AW511" s="125"/>
      <c r="AX511" s="238"/>
      <c r="AY511" s="125"/>
      <c r="AZ511" s="125"/>
      <c r="BA511" s="125"/>
    </row>
    <row r="512" spans="2:53" s="123" customFormat="1">
      <c r="B512" s="125"/>
      <c r="D512" s="125"/>
      <c r="I512" s="125"/>
      <c r="Z512" s="124"/>
      <c r="AA512" s="74"/>
      <c r="AB512" s="240"/>
      <c r="AD512" s="124"/>
      <c r="AE512" s="238"/>
      <c r="AF512" s="239"/>
      <c r="AG512" s="239"/>
      <c r="AH512" s="124"/>
      <c r="AI512" s="74"/>
      <c r="AJ512" s="240"/>
      <c r="AL512" s="124"/>
      <c r="AM512" s="74"/>
      <c r="AP512" s="125"/>
      <c r="AQ512" s="241"/>
      <c r="AR512" s="125"/>
      <c r="AS512" s="125"/>
      <c r="AT512" s="238"/>
      <c r="AU512" s="125"/>
      <c r="AV512" s="125"/>
      <c r="AW512" s="125"/>
      <c r="AX512" s="238"/>
      <c r="AY512" s="125"/>
      <c r="AZ512" s="125"/>
      <c r="BA512" s="125"/>
    </row>
    <row r="513" spans="2:53" s="123" customFormat="1">
      <c r="B513" s="125"/>
      <c r="D513" s="125"/>
      <c r="I513" s="125"/>
      <c r="Z513" s="124"/>
      <c r="AA513" s="74"/>
      <c r="AB513" s="240"/>
      <c r="AD513" s="124"/>
      <c r="AE513" s="238"/>
      <c r="AF513" s="239"/>
      <c r="AG513" s="239"/>
      <c r="AH513" s="124"/>
      <c r="AI513" s="74"/>
      <c r="AJ513" s="240"/>
      <c r="AL513" s="124"/>
      <c r="AM513" s="74"/>
      <c r="AP513" s="125"/>
      <c r="AQ513" s="241"/>
      <c r="AR513" s="125"/>
      <c r="AS513" s="125"/>
      <c r="AT513" s="238"/>
      <c r="AU513" s="125"/>
      <c r="AV513" s="125"/>
      <c r="AW513" s="125"/>
      <c r="AX513" s="238"/>
      <c r="AY513" s="125"/>
      <c r="AZ513" s="125"/>
      <c r="BA513" s="125"/>
    </row>
    <row r="514" spans="2:53" s="123" customFormat="1">
      <c r="B514" s="125"/>
      <c r="D514" s="125"/>
      <c r="I514" s="125"/>
      <c r="Z514" s="124"/>
      <c r="AA514" s="74"/>
      <c r="AB514" s="240"/>
      <c r="AD514" s="124"/>
      <c r="AE514" s="238"/>
      <c r="AF514" s="239"/>
      <c r="AG514" s="239"/>
      <c r="AH514" s="124"/>
      <c r="AI514" s="74"/>
      <c r="AJ514" s="240"/>
      <c r="AL514" s="124"/>
      <c r="AM514" s="74"/>
      <c r="AP514" s="125"/>
      <c r="AQ514" s="241"/>
      <c r="AR514" s="125"/>
      <c r="AS514" s="125"/>
      <c r="AT514" s="238"/>
      <c r="AU514" s="125"/>
      <c r="AV514" s="125"/>
      <c r="AW514" s="125"/>
      <c r="AX514" s="238"/>
      <c r="AY514" s="125"/>
      <c r="AZ514" s="125"/>
      <c r="BA514" s="125"/>
    </row>
    <row r="515" spans="2:53" s="123" customFormat="1">
      <c r="B515" s="125"/>
      <c r="D515" s="125"/>
      <c r="I515" s="125"/>
      <c r="Z515" s="124"/>
      <c r="AA515" s="74"/>
      <c r="AB515" s="240"/>
      <c r="AD515" s="124"/>
      <c r="AE515" s="238"/>
      <c r="AF515" s="239"/>
      <c r="AG515" s="239"/>
      <c r="AH515" s="124"/>
      <c r="AI515" s="74"/>
      <c r="AJ515" s="240"/>
      <c r="AL515" s="124"/>
      <c r="AM515" s="74"/>
      <c r="AP515" s="125"/>
      <c r="AQ515" s="241"/>
      <c r="AR515" s="125"/>
      <c r="AS515" s="125"/>
      <c r="AT515" s="238"/>
      <c r="AU515" s="125"/>
      <c r="AV515" s="125"/>
      <c r="AW515" s="125"/>
      <c r="AX515" s="238"/>
      <c r="AY515" s="125"/>
      <c r="AZ515" s="125"/>
      <c r="BA515" s="125"/>
    </row>
    <row r="516" spans="2:53" s="123" customFormat="1">
      <c r="B516" s="125"/>
      <c r="D516" s="125"/>
      <c r="I516" s="125"/>
      <c r="Z516" s="124"/>
      <c r="AA516" s="74"/>
      <c r="AB516" s="240"/>
      <c r="AD516" s="124"/>
      <c r="AE516" s="238"/>
      <c r="AF516" s="239"/>
      <c r="AG516" s="239"/>
      <c r="AH516" s="124"/>
      <c r="AI516" s="74"/>
      <c r="AJ516" s="240"/>
      <c r="AL516" s="124"/>
      <c r="AM516" s="74"/>
      <c r="AP516" s="125"/>
      <c r="AQ516" s="241"/>
      <c r="AR516" s="125"/>
      <c r="AS516" s="125"/>
      <c r="AT516" s="238"/>
      <c r="AU516" s="125"/>
      <c r="AV516" s="125"/>
      <c r="AW516" s="125"/>
      <c r="AX516" s="238"/>
      <c r="AY516" s="125"/>
      <c r="AZ516" s="125"/>
      <c r="BA516" s="125"/>
    </row>
    <row r="517" spans="2:53" s="123" customFormat="1">
      <c r="B517" s="125"/>
      <c r="D517" s="125"/>
      <c r="I517" s="125"/>
      <c r="Z517" s="124"/>
      <c r="AA517" s="74"/>
      <c r="AB517" s="240"/>
      <c r="AD517" s="124"/>
      <c r="AE517" s="238"/>
      <c r="AF517" s="239"/>
      <c r="AG517" s="239"/>
      <c r="AH517" s="124"/>
      <c r="AI517" s="74"/>
      <c r="AJ517" s="240"/>
      <c r="AL517" s="124"/>
      <c r="AM517" s="74"/>
      <c r="AP517" s="125"/>
      <c r="AQ517" s="241"/>
      <c r="AR517" s="125"/>
      <c r="AS517" s="125"/>
      <c r="AT517" s="238"/>
      <c r="AU517" s="125"/>
      <c r="AV517" s="125"/>
      <c r="AW517" s="125"/>
      <c r="AX517" s="238"/>
      <c r="AY517" s="125"/>
      <c r="AZ517" s="125"/>
      <c r="BA517" s="125"/>
    </row>
    <row r="518" spans="2:53" s="123" customFormat="1">
      <c r="B518" s="125"/>
      <c r="D518" s="125"/>
      <c r="I518" s="125"/>
      <c r="Z518" s="124"/>
      <c r="AA518" s="74"/>
      <c r="AB518" s="240"/>
      <c r="AD518" s="124"/>
      <c r="AE518" s="238"/>
      <c r="AF518" s="239"/>
      <c r="AG518" s="239"/>
      <c r="AH518" s="124"/>
      <c r="AI518" s="74"/>
      <c r="AJ518" s="240"/>
      <c r="AL518" s="124"/>
      <c r="AM518" s="74"/>
      <c r="AP518" s="125"/>
      <c r="AQ518" s="241"/>
      <c r="AR518" s="125"/>
      <c r="AS518" s="125"/>
      <c r="AT518" s="238"/>
      <c r="AU518" s="125"/>
      <c r="AV518" s="125"/>
      <c r="AW518" s="125"/>
      <c r="AX518" s="238"/>
      <c r="AY518" s="125"/>
      <c r="AZ518" s="125"/>
      <c r="BA518" s="125"/>
    </row>
    <row r="519" spans="2:53" s="123" customFormat="1">
      <c r="B519" s="125"/>
      <c r="D519" s="125"/>
      <c r="I519" s="125"/>
      <c r="Z519" s="124"/>
      <c r="AA519" s="74"/>
      <c r="AB519" s="240"/>
      <c r="AD519" s="124"/>
      <c r="AE519" s="238"/>
      <c r="AF519" s="239"/>
      <c r="AG519" s="239"/>
      <c r="AH519" s="124"/>
      <c r="AI519" s="74"/>
      <c r="AJ519" s="240"/>
      <c r="AL519" s="124"/>
      <c r="AM519" s="74"/>
      <c r="AP519" s="125"/>
      <c r="AQ519" s="241"/>
      <c r="AR519" s="125"/>
      <c r="AS519" s="125"/>
      <c r="AT519" s="238"/>
      <c r="AU519" s="125"/>
      <c r="AV519" s="125"/>
      <c r="AW519" s="125"/>
      <c r="AX519" s="238"/>
      <c r="AY519" s="125"/>
      <c r="AZ519" s="125"/>
      <c r="BA519" s="125"/>
    </row>
    <row r="520" spans="2:53" s="123" customFormat="1">
      <c r="B520" s="125"/>
      <c r="D520" s="125"/>
      <c r="I520" s="125"/>
      <c r="Z520" s="124"/>
      <c r="AA520" s="74"/>
      <c r="AB520" s="240"/>
      <c r="AD520" s="124"/>
      <c r="AE520" s="238"/>
      <c r="AF520" s="239"/>
      <c r="AG520" s="239"/>
      <c r="AH520" s="124"/>
      <c r="AI520" s="74"/>
      <c r="AJ520" s="240"/>
      <c r="AL520" s="124"/>
      <c r="AM520" s="74"/>
      <c r="AP520" s="125"/>
      <c r="AQ520" s="241"/>
      <c r="AR520" s="125"/>
      <c r="AS520" s="125"/>
      <c r="AT520" s="238"/>
      <c r="AU520" s="125"/>
      <c r="AV520" s="125"/>
      <c r="AW520" s="125"/>
      <c r="AX520" s="238"/>
      <c r="AY520" s="125"/>
      <c r="AZ520" s="125"/>
      <c r="BA520" s="125"/>
    </row>
    <row r="521" spans="2:53" s="123" customFormat="1">
      <c r="B521" s="125"/>
      <c r="D521" s="125"/>
      <c r="I521" s="125"/>
      <c r="Z521" s="124"/>
      <c r="AA521" s="74"/>
      <c r="AB521" s="240"/>
      <c r="AD521" s="124"/>
      <c r="AE521" s="238"/>
      <c r="AF521" s="239"/>
      <c r="AG521" s="239"/>
      <c r="AH521" s="124"/>
      <c r="AI521" s="74"/>
      <c r="AJ521" s="240"/>
      <c r="AL521" s="124"/>
      <c r="AM521" s="74"/>
      <c r="AP521" s="125"/>
      <c r="AQ521" s="241"/>
      <c r="AR521" s="125"/>
      <c r="AS521" s="125"/>
      <c r="AT521" s="238"/>
      <c r="AU521" s="125"/>
      <c r="AV521" s="125"/>
      <c r="AW521" s="125"/>
      <c r="AX521" s="238"/>
      <c r="AY521" s="125"/>
      <c r="AZ521" s="125"/>
      <c r="BA521" s="125"/>
    </row>
    <row r="522" spans="2:53" s="123" customFormat="1">
      <c r="B522" s="125"/>
      <c r="D522" s="125"/>
      <c r="I522" s="125"/>
      <c r="Z522" s="124"/>
      <c r="AA522" s="74"/>
      <c r="AB522" s="240"/>
      <c r="AD522" s="124"/>
      <c r="AE522" s="238"/>
      <c r="AF522" s="239"/>
      <c r="AG522" s="239"/>
      <c r="AH522" s="124"/>
      <c r="AI522" s="74"/>
      <c r="AJ522" s="240"/>
      <c r="AL522" s="124"/>
      <c r="AM522" s="74"/>
      <c r="AP522" s="125"/>
      <c r="AQ522" s="241"/>
      <c r="AR522" s="125"/>
      <c r="AS522" s="125"/>
      <c r="AT522" s="238"/>
      <c r="AU522" s="125"/>
      <c r="AV522" s="125"/>
      <c r="AW522" s="125"/>
      <c r="AX522" s="238"/>
      <c r="AY522" s="125"/>
      <c r="AZ522" s="125"/>
      <c r="BA522" s="125"/>
    </row>
    <row r="523" spans="2:53" s="123" customFormat="1">
      <c r="B523" s="125"/>
      <c r="D523" s="125"/>
      <c r="I523" s="125"/>
      <c r="Z523" s="124"/>
      <c r="AA523" s="74"/>
      <c r="AB523" s="240"/>
      <c r="AD523" s="124"/>
      <c r="AE523" s="238"/>
      <c r="AF523" s="239"/>
      <c r="AG523" s="239"/>
      <c r="AH523" s="124"/>
      <c r="AI523" s="74"/>
      <c r="AJ523" s="240"/>
      <c r="AL523" s="124"/>
      <c r="AM523" s="74"/>
      <c r="AP523" s="125"/>
      <c r="AQ523" s="241"/>
      <c r="AR523" s="125"/>
      <c r="AS523" s="125"/>
      <c r="AT523" s="238"/>
      <c r="AU523" s="125"/>
      <c r="AV523" s="125"/>
      <c r="AW523" s="125"/>
      <c r="AX523" s="238"/>
      <c r="AY523" s="125"/>
      <c r="AZ523" s="125"/>
      <c r="BA523" s="125"/>
    </row>
    <row r="524" spans="2:53" s="123" customFormat="1">
      <c r="B524" s="125"/>
      <c r="D524" s="125"/>
      <c r="I524" s="125"/>
      <c r="Z524" s="124"/>
      <c r="AA524" s="74"/>
      <c r="AB524" s="240"/>
      <c r="AD524" s="124"/>
      <c r="AE524" s="238"/>
      <c r="AF524" s="239"/>
      <c r="AG524" s="239"/>
      <c r="AH524" s="124"/>
      <c r="AI524" s="74"/>
      <c r="AJ524" s="240"/>
      <c r="AL524" s="124"/>
      <c r="AM524" s="74"/>
      <c r="AP524" s="125"/>
      <c r="AQ524" s="241"/>
      <c r="AR524" s="125"/>
      <c r="AS524" s="125"/>
      <c r="AT524" s="238"/>
      <c r="AU524" s="125"/>
      <c r="AV524" s="125"/>
      <c r="AW524" s="125"/>
      <c r="AX524" s="238"/>
      <c r="AY524" s="125"/>
      <c r="AZ524" s="125"/>
      <c r="BA524" s="125"/>
    </row>
    <row r="525" spans="2:53" s="123" customFormat="1">
      <c r="B525" s="125"/>
      <c r="D525" s="125"/>
      <c r="I525" s="125"/>
      <c r="Z525" s="124"/>
      <c r="AA525" s="74"/>
      <c r="AB525" s="240"/>
      <c r="AD525" s="124"/>
      <c r="AE525" s="238"/>
      <c r="AF525" s="239"/>
      <c r="AG525" s="239"/>
      <c r="AH525" s="124"/>
      <c r="AI525" s="74"/>
      <c r="AJ525" s="240"/>
      <c r="AL525" s="124"/>
      <c r="AM525" s="74"/>
      <c r="AP525" s="125"/>
      <c r="AQ525" s="241"/>
      <c r="AR525" s="125"/>
      <c r="AS525" s="125"/>
      <c r="AT525" s="238"/>
      <c r="AU525" s="125"/>
      <c r="AV525" s="125"/>
      <c r="AW525" s="125"/>
      <c r="AX525" s="238"/>
      <c r="AY525" s="125"/>
      <c r="AZ525" s="125"/>
      <c r="BA525" s="125"/>
    </row>
    <row r="526" spans="2:53" s="123" customFormat="1">
      <c r="B526" s="125"/>
      <c r="D526" s="125"/>
      <c r="I526" s="125"/>
      <c r="Z526" s="124"/>
      <c r="AA526" s="74"/>
      <c r="AB526" s="240"/>
      <c r="AD526" s="124"/>
      <c r="AE526" s="238"/>
      <c r="AF526" s="239"/>
      <c r="AG526" s="239"/>
      <c r="AH526" s="124"/>
      <c r="AI526" s="74"/>
      <c r="AJ526" s="240"/>
      <c r="AL526" s="124"/>
      <c r="AM526" s="74"/>
      <c r="AP526" s="125"/>
      <c r="AQ526" s="241"/>
      <c r="AR526" s="125"/>
      <c r="AS526" s="125"/>
      <c r="AT526" s="238"/>
      <c r="AU526" s="125"/>
      <c r="AV526" s="125"/>
      <c r="AW526" s="125"/>
      <c r="AX526" s="238"/>
      <c r="AY526" s="125"/>
      <c r="AZ526" s="125"/>
      <c r="BA526" s="125"/>
    </row>
    <row r="527" spans="2:53" s="123" customFormat="1">
      <c r="B527" s="125"/>
      <c r="D527" s="125"/>
      <c r="I527" s="125"/>
      <c r="Z527" s="124"/>
      <c r="AA527" s="74"/>
      <c r="AB527" s="240"/>
      <c r="AD527" s="124"/>
      <c r="AE527" s="238"/>
      <c r="AF527" s="239"/>
      <c r="AG527" s="239"/>
      <c r="AH527" s="124"/>
      <c r="AI527" s="74"/>
      <c r="AJ527" s="240"/>
      <c r="AL527" s="124"/>
      <c r="AM527" s="74"/>
      <c r="AP527" s="125"/>
      <c r="AQ527" s="241"/>
      <c r="AR527" s="125"/>
      <c r="AS527" s="125"/>
      <c r="AT527" s="238"/>
      <c r="AU527" s="125"/>
      <c r="AV527" s="125"/>
      <c r="AW527" s="125"/>
      <c r="AX527" s="238"/>
      <c r="AY527" s="125"/>
      <c r="AZ527" s="125"/>
      <c r="BA527" s="125"/>
    </row>
    <row r="528" spans="2:53" s="123" customFormat="1">
      <c r="B528" s="125"/>
      <c r="D528" s="125"/>
      <c r="I528" s="125"/>
      <c r="Z528" s="124"/>
      <c r="AA528" s="74"/>
      <c r="AB528" s="240"/>
      <c r="AD528" s="124"/>
      <c r="AE528" s="238"/>
      <c r="AF528" s="239"/>
      <c r="AG528" s="239"/>
      <c r="AH528" s="124"/>
      <c r="AI528" s="74"/>
      <c r="AJ528" s="240"/>
      <c r="AL528" s="124"/>
      <c r="AM528" s="74"/>
      <c r="AP528" s="125"/>
      <c r="AQ528" s="241"/>
      <c r="AR528" s="125"/>
      <c r="AS528" s="125"/>
      <c r="AT528" s="238"/>
      <c r="AU528" s="125"/>
      <c r="AV528" s="125"/>
      <c r="AW528" s="125"/>
      <c r="AX528" s="238"/>
      <c r="AY528" s="125"/>
      <c r="AZ528" s="125"/>
      <c r="BA528" s="125"/>
    </row>
    <row r="529" spans="2:53" s="123" customFormat="1">
      <c r="B529" s="125"/>
      <c r="D529" s="125"/>
      <c r="I529" s="125"/>
      <c r="Z529" s="124"/>
      <c r="AA529" s="74"/>
      <c r="AB529" s="240"/>
      <c r="AD529" s="124"/>
      <c r="AE529" s="238"/>
      <c r="AF529" s="239"/>
      <c r="AG529" s="239"/>
      <c r="AH529" s="124"/>
      <c r="AI529" s="74"/>
      <c r="AJ529" s="240"/>
      <c r="AL529" s="124"/>
      <c r="AM529" s="74"/>
      <c r="AP529" s="125"/>
      <c r="AQ529" s="241"/>
      <c r="AR529" s="125"/>
      <c r="AS529" s="125"/>
      <c r="AT529" s="238"/>
      <c r="AU529" s="125"/>
      <c r="AV529" s="125"/>
      <c r="AW529" s="125"/>
      <c r="AX529" s="238"/>
      <c r="AY529" s="125"/>
      <c r="AZ529" s="125"/>
      <c r="BA529" s="125"/>
    </row>
    <row r="530" spans="2:53" s="123" customFormat="1">
      <c r="B530" s="125"/>
      <c r="D530" s="125"/>
      <c r="I530" s="125"/>
      <c r="Z530" s="124"/>
      <c r="AA530" s="74"/>
      <c r="AB530" s="240"/>
      <c r="AD530" s="124"/>
      <c r="AE530" s="238"/>
      <c r="AF530" s="239"/>
      <c r="AG530" s="239"/>
      <c r="AH530" s="124"/>
      <c r="AI530" s="74"/>
      <c r="AJ530" s="240"/>
      <c r="AL530" s="124"/>
      <c r="AM530" s="74"/>
      <c r="AP530" s="125"/>
      <c r="AQ530" s="241"/>
      <c r="AR530" s="125"/>
      <c r="AS530" s="125"/>
      <c r="AT530" s="238"/>
      <c r="AU530" s="125"/>
      <c r="AV530" s="125"/>
      <c r="AW530" s="125"/>
      <c r="AX530" s="238"/>
      <c r="AY530" s="125"/>
      <c r="AZ530" s="125"/>
      <c r="BA530" s="125"/>
    </row>
    <row r="531" spans="2:53" s="123" customFormat="1">
      <c r="B531" s="125"/>
      <c r="D531" s="125"/>
      <c r="I531" s="125"/>
      <c r="Z531" s="124"/>
      <c r="AA531" s="74"/>
      <c r="AB531" s="240"/>
      <c r="AD531" s="124"/>
      <c r="AE531" s="238"/>
      <c r="AF531" s="239"/>
      <c r="AG531" s="239"/>
      <c r="AH531" s="124"/>
      <c r="AI531" s="74"/>
      <c r="AJ531" s="240"/>
      <c r="AL531" s="124"/>
      <c r="AM531" s="74"/>
      <c r="AP531" s="125"/>
      <c r="AQ531" s="241"/>
      <c r="AR531" s="125"/>
      <c r="AS531" s="125"/>
      <c r="AT531" s="238"/>
      <c r="AU531" s="125"/>
      <c r="AV531" s="125"/>
      <c r="AW531" s="125"/>
      <c r="AX531" s="238"/>
      <c r="AY531" s="125"/>
      <c r="AZ531" s="125"/>
      <c r="BA531" s="125"/>
    </row>
    <row r="532" spans="2:53" s="123" customFormat="1">
      <c r="B532" s="125"/>
      <c r="D532" s="125"/>
      <c r="I532" s="125"/>
      <c r="Z532" s="124"/>
      <c r="AA532" s="74"/>
      <c r="AB532" s="240"/>
      <c r="AD532" s="124"/>
      <c r="AE532" s="238"/>
      <c r="AF532" s="239"/>
      <c r="AG532" s="239"/>
      <c r="AH532" s="124"/>
      <c r="AI532" s="74"/>
      <c r="AJ532" s="240"/>
      <c r="AL532" s="124"/>
      <c r="AM532" s="74"/>
      <c r="AP532" s="125"/>
      <c r="AQ532" s="241"/>
      <c r="AR532" s="125"/>
      <c r="AS532" s="125"/>
      <c r="AT532" s="238"/>
      <c r="AU532" s="125"/>
      <c r="AV532" s="125"/>
      <c r="AW532" s="125"/>
      <c r="AX532" s="238"/>
      <c r="AY532" s="125"/>
      <c r="AZ532" s="125"/>
      <c r="BA532" s="125"/>
    </row>
    <row r="533" spans="2:53" s="123" customFormat="1">
      <c r="B533" s="125"/>
      <c r="D533" s="125"/>
      <c r="I533" s="125"/>
      <c r="Z533" s="124"/>
      <c r="AA533" s="74"/>
      <c r="AB533" s="240"/>
      <c r="AD533" s="124"/>
      <c r="AE533" s="238"/>
      <c r="AF533" s="239"/>
      <c r="AG533" s="239"/>
      <c r="AH533" s="124"/>
      <c r="AI533" s="74"/>
      <c r="AJ533" s="240"/>
      <c r="AL533" s="124"/>
      <c r="AM533" s="74"/>
      <c r="AP533" s="125"/>
      <c r="AQ533" s="241"/>
      <c r="AR533" s="125"/>
      <c r="AS533" s="125"/>
      <c r="AT533" s="238"/>
      <c r="AU533" s="125"/>
      <c r="AV533" s="125"/>
      <c r="AW533" s="125"/>
      <c r="AX533" s="238"/>
      <c r="AY533" s="125"/>
      <c r="AZ533" s="125"/>
      <c r="BA533" s="125"/>
    </row>
    <row r="534" spans="2:53" s="123" customFormat="1">
      <c r="B534" s="125"/>
      <c r="D534" s="125"/>
      <c r="I534" s="125"/>
      <c r="Z534" s="124"/>
      <c r="AA534" s="74"/>
      <c r="AB534" s="240"/>
      <c r="AD534" s="124"/>
      <c r="AE534" s="238"/>
      <c r="AF534" s="239"/>
      <c r="AG534" s="239"/>
      <c r="AH534" s="124"/>
      <c r="AI534" s="74"/>
      <c r="AJ534" s="240"/>
      <c r="AL534" s="124"/>
      <c r="AM534" s="74"/>
      <c r="AP534" s="125"/>
      <c r="AQ534" s="241"/>
      <c r="AR534" s="125"/>
      <c r="AS534" s="125"/>
      <c r="AT534" s="238"/>
      <c r="AU534" s="125"/>
      <c r="AV534" s="125"/>
      <c r="AW534" s="125"/>
      <c r="AX534" s="238"/>
      <c r="AY534" s="125"/>
      <c r="AZ534" s="125"/>
      <c r="BA534" s="125"/>
    </row>
    <row r="535" spans="2:53" s="123" customFormat="1">
      <c r="B535" s="125"/>
      <c r="D535" s="125"/>
      <c r="I535" s="125"/>
      <c r="Z535" s="124"/>
      <c r="AA535" s="74"/>
      <c r="AB535" s="240"/>
      <c r="AD535" s="124"/>
      <c r="AE535" s="238"/>
      <c r="AF535" s="239"/>
      <c r="AG535" s="239"/>
      <c r="AH535" s="124"/>
      <c r="AI535" s="74"/>
      <c r="AJ535" s="240"/>
      <c r="AL535" s="124"/>
      <c r="AM535" s="74"/>
      <c r="AP535" s="125"/>
      <c r="AQ535" s="241"/>
      <c r="AR535" s="125"/>
      <c r="AS535" s="125"/>
      <c r="AT535" s="238"/>
      <c r="AU535" s="125"/>
      <c r="AV535" s="125"/>
      <c r="AW535" s="125"/>
      <c r="AX535" s="238"/>
      <c r="AY535" s="125"/>
      <c r="AZ535" s="125"/>
      <c r="BA535" s="125"/>
    </row>
    <row r="536" spans="2:53" s="123" customFormat="1">
      <c r="B536" s="125"/>
      <c r="D536" s="125"/>
      <c r="I536" s="125"/>
      <c r="Z536" s="124"/>
      <c r="AA536" s="74"/>
      <c r="AB536" s="240"/>
      <c r="AD536" s="124"/>
      <c r="AE536" s="238"/>
      <c r="AF536" s="239"/>
      <c r="AG536" s="239"/>
      <c r="AH536" s="124"/>
      <c r="AI536" s="74"/>
      <c r="AJ536" s="240"/>
      <c r="AL536" s="124"/>
      <c r="AM536" s="74"/>
      <c r="AP536" s="125"/>
      <c r="AQ536" s="241"/>
      <c r="AR536" s="125"/>
      <c r="AS536" s="125"/>
      <c r="AT536" s="238"/>
      <c r="AU536" s="125"/>
      <c r="AV536" s="125"/>
      <c r="AW536" s="125"/>
      <c r="AX536" s="238"/>
      <c r="AY536" s="125"/>
      <c r="AZ536" s="125"/>
      <c r="BA536" s="125"/>
    </row>
    <row r="537" spans="2:53" s="123" customFormat="1">
      <c r="B537" s="125"/>
      <c r="D537" s="125"/>
      <c r="I537" s="125"/>
      <c r="Z537" s="124"/>
      <c r="AA537" s="74"/>
      <c r="AB537" s="240"/>
      <c r="AD537" s="124"/>
      <c r="AE537" s="238"/>
      <c r="AF537" s="239"/>
      <c r="AG537" s="239"/>
      <c r="AH537" s="124"/>
      <c r="AI537" s="74"/>
      <c r="AJ537" s="240"/>
      <c r="AL537" s="124"/>
      <c r="AM537" s="74"/>
      <c r="AP537" s="125"/>
      <c r="AQ537" s="241"/>
      <c r="AR537" s="125"/>
      <c r="AS537" s="125"/>
      <c r="AT537" s="238"/>
      <c r="AU537" s="125"/>
      <c r="AV537" s="125"/>
      <c r="AW537" s="125"/>
      <c r="AX537" s="238"/>
      <c r="AY537" s="125"/>
      <c r="AZ537" s="125"/>
      <c r="BA537" s="125"/>
    </row>
    <row r="538" spans="2:53" s="123" customFormat="1">
      <c r="B538" s="125"/>
      <c r="D538" s="125"/>
      <c r="I538" s="125"/>
      <c r="Z538" s="124"/>
      <c r="AA538" s="74"/>
      <c r="AB538" s="240"/>
      <c r="AD538" s="124"/>
      <c r="AE538" s="238"/>
      <c r="AF538" s="239"/>
      <c r="AG538" s="239"/>
      <c r="AH538" s="124"/>
      <c r="AI538" s="74"/>
      <c r="AJ538" s="240"/>
      <c r="AL538" s="124"/>
      <c r="AM538" s="74"/>
      <c r="AP538" s="125"/>
      <c r="AQ538" s="241"/>
      <c r="AR538" s="125"/>
      <c r="AS538" s="125"/>
      <c r="AT538" s="238"/>
      <c r="AU538" s="125"/>
      <c r="AV538" s="125"/>
      <c r="AW538" s="125"/>
      <c r="AX538" s="238"/>
      <c r="AY538" s="125"/>
      <c r="AZ538" s="125"/>
      <c r="BA538" s="125"/>
    </row>
    <row r="539" spans="2:53" s="123" customFormat="1">
      <c r="B539" s="125"/>
      <c r="D539" s="125"/>
      <c r="I539" s="125"/>
      <c r="Z539" s="124"/>
      <c r="AA539" s="74"/>
      <c r="AB539" s="240"/>
      <c r="AD539" s="124"/>
      <c r="AE539" s="238"/>
      <c r="AF539" s="239"/>
      <c r="AG539" s="239"/>
      <c r="AH539" s="124"/>
      <c r="AI539" s="74"/>
      <c r="AJ539" s="240"/>
      <c r="AL539" s="124"/>
      <c r="AM539" s="74"/>
      <c r="AP539" s="125"/>
      <c r="AQ539" s="241"/>
      <c r="AR539" s="125"/>
      <c r="AS539" s="125"/>
      <c r="AT539" s="238"/>
      <c r="AU539" s="125"/>
      <c r="AV539" s="125"/>
      <c r="AW539" s="125"/>
      <c r="AX539" s="238"/>
      <c r="AY539" s="125"/>
      <c r="AZ539" s="125"/>
      <c r="BA539" s="125"/>
    </row>
    <row r="540" spans="2:53" s="123" customFormat="1">
      <c r="B540" s="125"/>
      <c r="D540" s="125"/>
      <c r="I540" s="125"/>
      <c r="Z540" s="124"/>
      <c r="AA540" s="74"/>
      <c r="AB540" s="240"/>
      <c r="AD540" s="124"/>
      <c r="AE540" s="238"/>
      <c r="AF540" s="239"/>
      <c r="AG540" s="239"/>
      <c r="AH540" s="124"/>
      <c r="AI540" s="74"/>
      <c r="AJ540" s="240"/>
      <c r="AL540" s="124"/>
      <c r="AM540" s="74"/>
      <c r="AP540" s="125"/>
      <c r="AQ540" s="241"/>
      <c r="AR540" s="125"/>
      <c r="AS540" s="125"/>
      <c r="AT540" s="238"/>
      <c r="AU540" s="125"/>
      <c r="AV540" s="125"/>
      <c r="AW540" s="125"/>
      <c r="AX540" s="238"/>
      <c r="AY540" s="125"/>
      <c r="AZ540" s="125"/>
      <c r="BA540" s="125"/>
    </row>
    <row r="541" spans="2:53" s="123" customFormat="1">
      <c r="B541" s="125"/>
      <c r="D541" s="125"/>
      <c r="I541" s="125"/>
      <c r="Z541" s="124"/>
      <c r="AA541" s="74"/>
      <c r="AB541" s="240"/>
      <c r="AD541" s="124"/>
      <c r="AE541" s="238"/>
      <c r="AF541" s="239"/>
      <c r="AG541" s="239"/>
      <c r="AH541" s="124"/>
      <c r="AI541" s="74"/>
      <c r="AJ541" s="240"/>
      <c r="AL541" s="124"/>
      <c r="AM541" s="74"/>
      <c r="AP541" s="125"/>
      <c r="AQ541" s="241"/>
      <c r="AR541" s="125"/>
      <c r="AS541" s="125"/>
      <c r="AT541" s="238"/>
      <c r="AU541" s="125"/>
      <c r="AV541" s="125"/>
      <c r="AW541" s="125"/>
      <c r="AX541" s="238"/>
      <c r="AY541" s="125"/>
      <c r="AZ541" s="125"/>
      <c r="BA541" s="125"/>
    </row>
    <row r="542" spans="2:53" s="123" customFormat="1">
      <c r="B542" s="125"/>
      <c r="D542" s="125"/>
      <c r="I542" s="125"/>
      <c r="Z542" s="124"/>
      <c r="AA542" s="74"/>
      <c r="AB542" s="240"/>
      <c r="AD542" s="124"/>
      <c r="AE542" s="238"/>
      <c r="AF542" s="239"/>
      <c r="AG542" s="239"/>
      <c r="AH542" s="124"/>
      <c r="AI542" s="74"/>
      <c r="AJ542" s="240"/>
      <c r="AL542" s="124"/>
      <c r="AM542" s="74"/>
      <c r="AP542" s="125"/>
      <c r="AQ542" s="241"/>
      <c r="AR542" s="125"/>
      <c r="AS542" s="125"/>
      <c r="AT542" s="238"/>
      <c r="AU542" s="125"/>
      <c r="AV542" s="125"/>
      <c r="AW542" s="125"/>
      <c r="AX542" s="238"/>
      <c r="AY542" s="125"/>
      <c r="AZ542" s="125"/>
      <c r="BA542" s="125"/>
    </row>
    <row r="543" spans="2:53" s="123" customFormat="1">
      <c r="B543" s="125"/>
      <c r="D543" s="125"/>
      <c r="I543" s="125"/>
      <c r="Z543" s="124"/>
      <c r="AA543" s="74"/>
      <c r="AB543" s="240"/>
      <c r="AD543" s="124"/>
      <c r="AE543" s="238"/>
      <c r="AF543" s="239"/>
      <c r="AG543" s="239"/>
      <c r="AH543" s="124"/>
      <c r="AI543" s="74"/>
      <c r="AJ543" s="240"/>
      <c r="AL543" s="124"/>
      <c r="AM543" s="74"/>
      <c r="AP543" s="125"/>
      <c r="AQ543" s="241"/>
      <c r="AR543" s="125"/>
      <c r="AS543" s="125"/>
      <c r="AT543" s="238"/>
      <c r="AU543" s="125"/>
      <c r="AV543" s="125"/>
      <c r="AW543" s="125"/>
      <c r="AX543" s="238"/>
      <c r="AY543" s="125"/>
      <c r="AZ543" s="125"/>
      <c r="BA543" s="125"/>
    </row>
    <row r="544" spans="2:53" s="123" customFormat="1">
      <c r="B544" s="125"/>
      <c r="D544" s="125"/>
      <c r="I544" s="125"/>
      <c r="Z544" s="124"/>
      <c r="AA544" s="74"/>
      <c r="AB544" s="240"/>
      <c r="AD544" s="124"/>
      <c r="AE544" s="238"/>
      <c r="AF544" s="239"/>
      <c r="AG544" s="239"/>
      <c r="AH544" s="124"/>
      <c r="AI544" s="74"/>
      <c r="AJ544" s="240"/>
      <c r="AL544" s="124"/>
      <c r="AM544" s="74"/>
      <c r="AP544" s="125"/>
      <c r="AQ544" s="241"/>
      <c r="AR544" s="125"/>
      <c r="AS544" s="125"/>
      <c r="AT544" s="238"/>
      <c r="AU544" s="125"/>
      <c r="AV544" s="125"/>
      <c r="AW544" s="125"/>
      <c r="AX544" s="238"/>
      <c r="AY544" s="125"/>
      <c r="AZ544" s="125"/>
      <c r="BA544" s="125"/>
    </row>
    <row r="545" spans="2:53" s="123" customFormat="1">
      <c r="B545" s="125"/>
      <c r="D545" s="125"/>
      <c r="I545" s="125"/>
      <c r="Z545" s="124"/>
      <c r="AA545" s="74"/>
      <c r="AB545" s="240"/>
      <c r="AD545" s="124"/>
      <c r="AE545" s="238"/>
      <c r="AF545" s="239"/>
      <c r="AG545" s="239"/>
      <c r="AH545" s="124"/>
      <c r="AI545" s="74"/>
      <c r="AJ545" s="240"/>
      <c r="AL545" s="124"/>
      <c r="AM545" s="74"/>
      <c r="AP545" s="125"/>
      <c r="AQ545" s="241"/>
      <c r="AR545" s="125"/>
      <c r="AS545" s="125"/>
      <c r="AT545" s="238"/>
      <c r="AU545" s="125"/>
      <c r="AV545" s="125"/>
      <c r="AW545" s="125"/>
      <c r="AX545" s="238"/>
      <c r="AY545" s="125"/>
      <c r="AZ545" s="125"/>
      <c r="BA545" s="125"/>
    </row>
    <row r="546" spans="2:53" s="123" customFormat="1">
      <c r="B546" s="125"/>
      <c r="D546" s="125"/>
      <c r="I546" s="125"/>
      <c r="Z546" s="124"/>
      <c r="AA546" s="74"/>
      <c r="AB546" s="240"/>
      <c r="AD546" s="124"/>
      <c r="AE546" s="238"/>
      <c r="AF546" s="239"/>
      <c r="AG546" s="239"/>
      <c r="AH546" s="124"/>
      <c r="AI546" s="74"/>
      <c r="AJ546" s="240"/>
      <c r="AL546" s="124"/>
      <c r="AM546" s="74"/>
      <c r="AP546" s="125"/>
      <c r="AQ546" s="241"/>
      <c r="AR546" s="125"/>
      <c r="AS546" s="125"/>
      <c r="AT546" s="238"/>
      <c r="AU546" s="125"/>
      <c r="AV546" s="125"/>
      <c r="AW546" s="125"/>
      <c r="AX546" s="238"/>
      <c r="AY546" s="125"/>
      <c r="AZ546" s="125"/>
      <c r="BA546" s="125"/>
    </row>
    <row r="547" spans="2:53" s="123" customFormat="1">
      <c r="B547" s="125"/>
      <c r="D547" s="125"/>
      <c r="I547" s="125"/>
      <c r="Z547" s="124"/>
      <c r="AA547" s="74"/>
      <c r="AB547" s="240"/>
      <c r="AD547" s="124"/>
      <c r="AE547" s="238"/>
      <c r="AF547" s="239"/>
      <c r="AG547" s="239"/>
      <c r="AH547" s="124"/>
      <c r="AI547" s="74"/>
      <c r="AJ547" s="240"/>
      <c r="AL547" s="124"/>
      <c r="AM547" s="74"/>
      <c r="AP547" s="125"/>
      <c r="AQ547" s="241"/>
      <c r="AR547" s="125"/>
      <c r="AS547" s="125"/>
      <c r="AT547" s="238"/>
      <c r="AU547" s="125"/>
      <c r="AV547" s="125"/>
      <c r="AW547" s="125"/>
      <c r="AX547" s="238"/>
      <c r="AY547" s="125"/>
      <c r="AZ547" s="125"/>
      <c r="BA547" s="125"/>
    </row>
    <row r="548" spans="2:53" s="123" customFormat="1">
      <c r="B548" s="125"/>
      <c r="D548" s="125"/>
      <c r="I548" s="125"/>
      <c r="Z548" s="124"/>
      <c r="AA548" s="74"/>
      <c r="AB548" s="240"/>
      <c r="AD548" s="124"/>
      <c r="AE548" s="238"/>
      <c r="AF548" s="239"/>
      <c r="AG548" s="239"/>
      <c r="AH548" s="124"/>
      <c r="AI548" s="74"/>
      <c r="AJ548" s="240"/>
      <c r="AL548" s="124"/>
      <c r="AM548" s="74"/>
      <c r="AP548" s="125"/>
      <c r="AQ548" s="241"/>
      <c r="AR548" s="125"/>
      <c r="AS548" s="125"/>
      <c r="AT548" s="238"/>
      <c r="AU548" s="125"/>
      <c r="AV548" s="125"/>
      <c r="AW548" s="125"/>
      <c r="AX548" s="238"/>
      <c r="AY548" s="125"/>
      <c r="AZ548" s="125"/>
      <c r="BA548" s="125"/>
    </row>
    <row r="549" spans="2:53" s="123" customFormat="1">
      <c r="B549" s="125"/>
      <c r="D549" s="125"/>
      <c r="I549" s="125"/>
      <c r="Z549" s="124"/>
      <c r="AA549" s="74"/>
      <c r="AB549" s="240"/>
      <c r="AD549" s="124"/>
      <c r="AE549" s="238"/>
      <c r="AF549" s="239"/>
      <c r="AG549" s="239"/>
      <c r="AH549" s="124"/>
      <c r="AI549" s="74"/>
      <c r="AJ549" s="240"/>
      <c r="AL549" s="124"/>
      <c r="AM549" s="74"/>
      <c r="AP549" s="125"/>
      <c r="AQ549" s="241"/>
      <c r="AR549" s="125"/>
      <c r="AS549" s="125"/>
      <c r="AT549" s="238"/>
      <c r="AU549" s="125"/>
      <c r="AV549" s="125"/>
      <c r="AW549" s="125"/>
      <c r="AX549" s="238"/>
      <c r="AY549" s="125"/>
      <c r="AZ549" s="125"/>
      <c r="BA549" s="125"/>
    </row>
    <row r="550" spans="2:53" s="123" customFormat="1">
      <c r="B550" s="125"/>
      <c r="D550" s="125"/>
      <c r="I550" s="125"/>
      <c r="Z550" s="124"/>
      <c r="AA550" s="74"/>
      <c r="AB550" s="240"/>
      <c r="AD550" s="124"/>
      <c r="AE550" s="238"/>
      <c r="AF550" s="239"/>
      <c r="AG550" s="239"/>
      <c r="AH550" s="124"/>
      <c r="AI550" s="74"/>
      <c r="AJ550" s="240"/>
      <c r="AL550" s="124"/>
      <c r="AM550" s="74"/>
      <c r="AP550" s="125"/>
      <c r="AQ550" s="241"/>
      <c r="AR550" s="125"/>
      <c r="AS550" s="125"/>
      <c r="AT550" s="238"/>
      <c r="AU550" s="125"/>
      <c r="AV550" s="125"/>
      <c r="AW550" s="125"/>
      <c r="AX550" s="238"/>
      <c r="AY550" s="125"/>
      <c r="AZ550" s="125"/>
      <c r="BA550" s="125"/>
    </row>
    <row r="551" spans="2:53" s="123" customFormat="1">
      <c r="B551" s="125"/>
      <c r="D551" s="125"/>
      <c r="I551" s="125"/>
      <c r="Z551" s="124"/>
      <c r="AA551" s="74"/>
      <c r="AB551" s="240"/>
      <c r="AD551" s="124"/>
      <c r="AE551" s="238"/>
      <c r="AF551" s="239"/>
      <c r="AG551" s="239"/>
      <c r="AH551" s="124"/>
      <c r="AI551" s="74"/>
      <c r="AJ551" s="240"/>
      <c r="AL551" s="124"/>
      <c r="AM551" s="74"/>
      <c r="AP551" s="125"/>
      <c r="AQ551" s="241"/>
      <c r="AR551" s="125"/>
      <c r="AS551" s="125"/>
      <c r="AT551" s="238"/>
      <c r="AU551" s="125"/>
      <c r="AV551" s="125"/>
      <c r="AW551" s="125"/>
      <c r="AX551" s="238"/>
      <c r="AY551" s="125"/>
      <c r="AZ551" s="125"/>
      <c r="BA551" s="125"/>
    </row>
    <row r="552" spans="2:53" s="123" customFormat="1">
      <c r="B552" s="125"/>
      <c r="D552" s="125"/>
      <c r="I552" s="125"/>
      <c r="Z552" s="124"/>
      <c r="AA552" s="74"/>
      <c r="AB552" s="240"/>
      <c r="AD552" s="124"/>
      <c r="AE552" s="238"/>
      <c r="AF552" s="239"/>
      <c r="AG552" s="239"/>
      <c r="AH552" s="124"/>
      <c r="AI552" s="74"/>
      <c r="AJ552" s="240"/>
      <c r="AL552" s="124"/>
      <c r="AM552" s="74"/>
      <c r="AP552" s="125"/>
      <c r="AQ552" s="241"/>
      <c r="AR552" s="125"/>
      <c r="AS552" s="125"/>
      <c r="AT552" s="238"/>
      <c r="AU552" s="125"/>
      <c r="AV552" s="125"/>
      <c r="AW552" s="125"/>
      <c r="AX552" s="238"/>
      <c r="AY552" s="125"/>
      <c r="AZ552" s="125"/>
      <c r="BA552" s="125"/>
    </row>
    <row r="553" spans="2:53" s="123" customFormat="1">
      <c r="B553" s="125"/>
      <c r="D553" s="125"/>
      <c r="I553" s="125"/>
      <c r="Z553" s="124"/>
      <c r="AA553" s="74"/>
      <c r="AB553" s="240"/>
      <c r="AD553" s="124"/>
      <c r="AE553" s="238"/>
      <c r="AF553" s="239"/>
      <c r="AG553" s="239"/>
      <c r="AH553" s="124"/>
      <c r="AI553" s="74"/>
      <c r="AJ553" s="240"/>
      <c r="AL553" s="124"/>
      <c r="AM553" s="74"/>
      <c r="AP553" s="125"/>
      <c r="AQ553" s="241"/>
      <c r="AR553" s="125"/>
      <c r="AS553" s="125"/>
      <c r="AT553" s="238"/>
      <c r="AU553" s="125"/>
      <c r="AV553" s="125"/>
      <c r="AW553" s="125"/>
      <c r="AX553" s="238"/>
      <c r="AY553" s="125"/>
      <c r="AZ553" s="125"/>
      <c r="BA553" s="125"/>
    </row>
    <row r="554" spans="2:53" s="123" customFormat="1">
      <c r="B554" s="125"/>
      <c r="D554" s="125"/>
      <c r="I554" s="125"/>
      <c r="Z554" s="124"/>
      <c r="AA554" s="74"/>
      <c r="AB554" s="240"/>
      <c r="AD554" s="124"/>
      <c r="AE554" s="238"/>
      <c r="AF554" s="239"/>
      <c r="AG554" s="239"/>
      <c r="AH554" s="124"/>
      <c r="AI554" s="74"/>
      <c r="AJ554" s="240"/>
      <c r="AL554" s="124"/>
      <c r="AM554" s="74"/>
      <c r="AP554" s="125"/>
      <c r="AQ554" s="241"/>
      <c r="AR554" s="125"/>
      <c r="AS554" s="125"/>
      <c r="AT554" s="238"/>
      <c r="AU554" s="125"/>
      <c r="AV554" s="125"/>
      <c r="AW554" s="125"/>
      <c r="AX554" s="238"/>
      <c r="AY554" s="125"/>
      <c r="AZ554" s="125"/>
      <c r="BA554" s="125"/>
    </row>
    <row r="555" spans="2:53" s="123" customFormat="1">
      <c r="B555" s="125"/>
      <c r="D555" s="125"/>
      <c r="I555" s="125"/>
      <c r="Z555" s="124"/>
      <c r="AA555" s="74"/>
      <c r="AB555" s="240"/>
      <c r="AD555" s="124"/>
      <c r="AE555" s="238"/>
      <c r="AF555" s="239"/>
      <c r="AG555" s="239"/>
      <c r="AH555" s="124"/>
      <c r="AI555" s="74"/>
      <c r="AJ555" s="240"/>
      <c r="AL555" s="124"/>
      <c r="AM555" s="74"/>
      <c r="AP555" s="125"/>
      <c r="AQ555" s="241"/>
      <c r="AR555" s="125"/>
      <c r="AS555" s="125"/>
      <c r="AT555" s="238"/>
      <c r="AU555" s="125"/>
      <c r="AV555" s="125"/>
      <c r="AW555" s="125"/>
      <c r="AX555" s="238"/>
      <c r="AY555" s="125"/>
      <c r="AZ555" s="125"/>
      <c r="BA555" s="125"/>
    </row>
    <row r="556" spans="2:53" s="123" customFormat="1">
      <c r="B556" s="125"/>
      <c r="D556" s="125"/>
      <c r="I556" s="125"/>
      <c r="Z556" s="124"/>
      <c r="AA556" s="74"/>
      <c r="AB556" s="240"/>
      <c r="AD556" s="124"/>
      <c r="AE556" s="238"/>
      <c r="AF556" s="239"/>
      <c r="AG556" s="239"/>
      <c r="AH556" s="124"/>
      <c r="AI556" s="74"/>
      <c r="AJ556" s="240"/>
      <c r="AL556" s="124"/>
      <c r="AM556" s="74"/>
      <c r="AP556" s="125"/>
      <c r="AQ556" s="241"/>
      <c r="AR556" s="125"/>
      <c r="AS556" s="125"/>
      <c r="AT556" s="238"/>
      <c r="AU556" s="125"/>
      <c r="AV556" s="125"/>
      <c r="AW556" s="125"/>
      <c r="AX556" s="238"/>
      <c r="AY556" s="125"/>
      <c r="AZ556" s="125"/>
      <c r="BA556" s="125"/>
    </row>
    <row r="557" spans="2:53" s="123" customFormat="1">
      <c r="B557" s="125"/>
      <c r="D557" s="125"/>
      <c r="I557" s="125"/>
      <c r="Z557" s="124"/>
      <c r="AA557" s="74"/>
      <c r="AB557" s="240"/>
      <c r="AD557" s="124"/>
      <c r="AE557" s="238"/>
      <c r="AF557" s="239"/>
      <c r="AG557" s="239"/>
      <c r="AH557" s="124"/>
      <c r="AI557" s="74"/>
      <c r="AJ557" s="240"/>
      <c r="AL557" s="124"/>
      <c r="AM557" s="74"/>
      <c r="AP557" s="125"/>
      <c r="AQ557" s="241"/>
      <c r="AR557" s="125"/>
      <c r="AS557" s="125"/>
      <c r="AT557" s="238"/>
      <c r="AU557" s="125"/>
      <c r="AV557" s="125"/>
      <c r="AW557" s="125"/>
      <c r="AX557" s="238"/>
      <c r="AY557" s="125"/>
      <c r="AZ557" s="125"/>
      <c r="BA557" s="125"/>
    </row>
    <row r="558" spans="2:53" s="123" customFormat="1">
      <c r="B558" s="125"/>
      <c r="D558" s="125"/>
      <c r="I558" s="125"/>
      <c r="Z558" s="124"/>
      <c r="AA558" s="74"/>
      <c r="AB558" s="240"/>
      <c r="AD558" s="124"/>
      <c r="AE558" s="238"/>
      <c r="AF558" s="239"/>
      <c r="AG558" s="239"/>
      <c r="AH558" s="124"/>
      <c r="AI558" s="74"/>
      <c r="AJ558" s="240"/>
      <c r="AL558" s="124"/>
      <c r="AM558" s="74"/>
      <c r="AP558" s="125"/>
      <c r="AQ558" s="241"/>
      <c r="AR558" s="125"/>
      <c r="AS558" s="125"/>
      <c r="AT558" s="238"/>
      <c r="AU558" s="125"/>
      <c r="AV558" s="125"/>
      <c r="AW558" s="125"/>
      <c r="AX558" s="238"/>
      <c r="AY558" s="125"/>
      <c r="AZ558" s="125"/>
      <c r="BA558" s="125"/>
    </row>
    <row r="559" spans="2:53" s="123" customFormat="1">
      <c r="B559" s="125"/>
      <c r="D559" s="125"/>
      <c r="I559" s="125"/>
      <c r="Z559" s="124"/>
      <c r="AA559" s="74"/>
      <c r="AB559" s="240"/>
      <c r="AD559" s="124"/>
      <c r="AE559" s="238"/>
      <c r="AF559" s="239"/>
      <c r="AG559" s="239"/>
      <c r="AH559" s="124"/>
      <c r="AI559" s="74"/>
      <c r="AJ559" s="240"/>
      <c r="AL559" s="124"/>
      <c r="AM559" s="74"/>
      <c r="AP559" s="125"/>
      <c r="AQ559" s="241"/>
      <c r="AR559" s="125"/>
      <c r="AS559" s="125"/>
      <c r="AT559" s="238"/>
      <c r="AU559" s="125"/>
      <c r="AV559" s="125"/>
      <c r="AW559" s="125"/>
      <c r="AX559" s="238"/>
      <c r="AY559" s="125"/>
      <c r="AZ559" s="125"/>
      <c r="BA559" s="125"/>
    </row>
    <row r="560" spans="2:53" s="123" customFormat="1">
      <c r="B560" s="125"/>
      <c r="D560" s="125"/>
      <c r="I560" s="125"/>
      <c r="Z560" s="124"/>
      <c r="AA560" s="74"/>
      <c r="AB560" s="240"/>
      <c r="AD560" s="124"/>
      <c r="AE560" s="238"/>
      <c r="AF560" s="239"/>
      <c r="AG560" s="239"/>
      <c r="AH560" s="124"/>
      <c r="AI560" s="74"/>
      <c r="AJ560" s="240"/>
      <c r="AL560" s="124"/>
      <c r="AM560" s="74"/>
      <c r="AP560" s="125"/>
      <c r="AQ560" s="241"/>
      <c r="AR560" s="125"/>
      <c r="AS560" s="125"/>
      <c r="AT560" s="238"/>
      <c r="AU560" s="125"/>
      <c r="AV560" s="125"/>
      <c r="AW560" s="125"/>
      <c r="AX560" s="238"/>
      <c r="AY560" s="125"/>
      <c r="AZ560" s="125"/>
      <c r="BA560" s="125"/>
    </row>
    <row r="561" spans="2:53" s="123" customFormat="1">
      <c r="B561" s="125"/>
      <c r="D561" s="125"/>
      <c r="I561" s="125"/>
      <c r="Z561" s="124"/>
      <c r="AA561" s="74"/>
      <c r="AB561" s="240"/>
      <c r="AD561" s="124"/>
      <c r="AE561" s="238"/>
      <c r="AF561" s="239"/>
      <c r="AG561" s="239"/>
      <c r="AH561" s="124"/>
      <c r="AI561" s="74"/>
      <c r="AJ561" s="240"/>
      <c r="AL561" s="124"/>
      <c r="AM561" s="74"/>
      <c r="AP561" s="125"/>
      <c r="AQ561" s="241"/>
      <c r="AR561" s="125"/>
      <c r="AS561" s="125"/>
      <c r="AT561" s="238"/>
      <c r="AU561" s="125"/>
      <c r="AV561" s="125"/>
      <c r="AW561" s="125"/>
      <c r="AX561" s="238"/>
      <c r="AY561" s="125"/>
      <c r="AZ561" s="125"/>
      <c r="BA561" s="125"/>
    </row>
    <row r="562" spans="2:53" s="123" customFormat="1">
      <c r="B562" s="125"/>
      <c r="D562" s="125"/>
      <c r="I562" s="125"/>
      <c r="Z562" s="124"/>
      <c r="AA562" s="74"/>
      <c r="AB562" s="240"/>
      <c r="AD562" s="124"/>
      <c r="AE562" s="238"/>
      <c r="AF562" s="239"/>
      <c r="AG562" s="239"/>
      <c r="AH562" s="124"/>
      <c r="AI562" s="74"/>
      <c r="AJ562" s="240"/>
      <c r="AL562" s="124"/>
      <c r="AM562" s="74"/>
      <c r="AP562" s="125"/>
      <c r="AQ562" s="241"/>
      <c r="AR562" s="125"/>
      <c r="AS562" s="125"/>
      <c r="AT562" s="238"/>
      <c r="AU562" s="125"/>
      <c r="AV562" s="125"/>
      <c r="AW562" s="125"/>
      <c r="AX562" s="238"/>
      <c r="AY562" s="125"/>
      <c r="AZ562" s="125"/>
      <c r="BA562" s="125"/>
    </row>
    <row r="563" spans="2:53" s="123" customFormat="1">
      <c r="B563" s="125"/>
      <c r="D563" s="125"/>
      <c r="I563" s="125"/>
      <c r="Z563" s="124"/>
      <c r="AA563" s="74"/>
      <c r="AB563" s="240"/>
      <c r="AD563" s="124"/>
      <c r="AE563" s="238"/>
      <c r="AF563" s="239"/>
      <c r="AG563" s="239"/>
      <c r="AH563" s="124"/>
      <c r="AI563" s="74"/>
      <c r="AJ563" s="240"/>
      <c r="AL563" s="124"/>
      <c r="AM563" s="74"/>
      <c r="AP563" s="125"/>
      <c r="AQ563" s="241"/>
      <c r="AR563" s="125"/>
      <c r="AS563" s="125"/>
      <c r="AT563" s="238"/>
      <c r="AU563" s="125"/>
      <c r="AV563" s="125"/>
      <c r="AW563" s="125"/>
      <c r="AX563" s="238"/>
      <c r="AY563" s="125"/>
      <c r="AZ563" s="125"/>
      <c r="BA563" s="125"/>
    </row>
    <row r="564" spans="2:53" s="123" customFormat="1">
      <c r="B564" s="125"/>
      <c r="D564" s="125"/>
      <c r="I564" s="125"/>
      <c r="Z564" s="124"/>
      <c r="AA564" s="74"/>
      <c r="AB564" s="240"/>
      <c r="AD564" s="124"/>
      <c r="AE564" s="238"/>
      <c r="AF564" s="239"/>
      <c r="AG564" s="239"/>
      <c r="AH564" s="124"/>
      <c r="AI564" s="74"/>
      <c r="AJ564" s="240"/>
      <c r="AL564" s="124"/>
      <c r="AM564" s="74"/>
      <c r="AP564" s="125"/>
      <c r="AQ564" s="241"/>
      <c r="AR564" s="125"/>
      <c r="AS564" s="125"/>
      <c r="AT564" s="238"/>
      <c r="AU564" s="125"/>
      <c r="AV564" s="125"/>
      <c r="AW564" s="125"/>
      <c r="AX564" s="238"/>
      <c r="AY564" s="125"/>
      <c r="AZ564" s="125"/>
      <c r="BA564" s="125"/>
    </row>
    <row r="565" spans="2:53" s="123" customFormat="1">
      <c r="B565" s="125"/>
      <c r="D565" s="125"/>
      <c r="I565" s="125"/>
      <c r="Z565" s="124"/>
      <c r="AA565" s="74"/>
      <c r="AB565" s="240"/>
      <c r="AD565" s="124"/>
      <c r="AE565" s="238"/>
      <c r="AF565" s="239"/>
      <c r="AG565" s="239"/>
      <c r="AH565" s="124"/>
      <c r="AI565" s="74"/>
      <c r="AJ565" s="240"/>
      <c r="AL565" s="124"/>
      <c r="AM565" s="74"/>
      <c r="AP565" s="125"/>
      <c r="AQ565" s="241"/>
      <c r="AR565" s="125"/>
      <c r="AS565" s="125"/>
      <c r="AT565" s="238"/>
      <c r="AU565" s="125"/>
      <c r="AV565" s="125"/>
      <c r="AW565" s="125"/>
      <c r="AX565" s="238"/>
      <c r="AY565" s="125"/>
      <c r="AZ565" s="125"/>
      <c r="BA565" s="125"/>
    </row>
    <row r="566" spans="2:53" s="123" customFormat="1">
      <c r="B566" s="125"/>
      <c r="D566" s="125"/>
      <c r="I566" s="125"/>
      <c r="Z566" s="124"/>
      <c r="AA566" s="74"/>
      <c r="AB566" s="240"/>
      <c r="AD566" s="124"/>
      <c r="AE566" s="238"/>
      <c r="AF566" s="239"/>
      <c r="AG566" s="239"/>
      <c r="AH566" s="124"/>
      <c r="AI566" s="74"/>
      <c r="AJ566" s="240"/>
      <c r="AL566" s="124"/>
      <c r="AM566" s="74"/>
      <c r="AP566" s="125"/>
      <c r="AQ566" s="241"/>
      <c r="AR566" s="125"/>
      <c r="AS566" s="125"/>
      <c r="AT566" s="238"/>
      <c r="AU566" s="125"/>
      <c r="AV566" s="125"/>
      <c r="AW566" s="125"/>
      <c r="AX566" s="238"/>
      <c r="AY566" s="125"/>
      <c r="AZ566" s="125"/>
      <c r="BA566" s="125"/>
    </row>
    <row r="567" spans="2:53" s="123" customFormat="1">
      <c r="B567" s="125"/>
      <c r="D567" s="125"/>
      <c r="I567" s="125"/>
      <c r="Z567" s="124"/>
      <c r="AA567" s="74"/>
      <c r="AB567" s="240"/>
      <c r="AD567" s="124"/>
      <c r="AE567" s="238"/>
      <c r="AF567" s="239"/>
      <c r="AG567" s="239"/>
      <c r="AH567" s="124"/>
      <c r="AI567" s="74"/>
      <c r="AJ567" s="240"/>
      <c r="AL567" s="124"/>
      <c r="AM567" s="74"/>
      <c r="AP567" s="125"/>
      <c r="AQ567" s="241"/>
      <c r="AR567" s="125"/>
      <c r="AS567" s="125"/>
      <c r="AT567" s="238"/>
      <c r="AU567" s="125"/>
      <c r="AV567" s="125"/>
      <c r="AW567" s="125"/>
      <c r="AX567" s="238"/>
      <c r="AY567" s="125"/>
      <c r="AZ567" s="125"/>
      <c r="BA567" s="125"/>
    </row>
    <row r="568" spans="2:53" s="123" customFormat="1">
      <c r="B568" s="125"/>
      <c r="D568" s="125"/>
      <c r="I568" s="125"/>
      <c r="Z568" s="124"/>
      <c r="AA568" s="74"/>
      <c r="AB568" s="240"/>
      <c r="AD568" s="124"/>
      <c r="AE568" s="238"/>
      <c r="AF568" s="239"/>
      <c r="AG568" s="239"/>
      <c r="AH568" s="124"/>
      <c r="AI568" s="74"/>
      <c r="AJ568" s="240"/>
      <c r="AL568" s="124"/>
      <c r="AM568" s="74"/>
      <c r="AP568" s="125"/>
      <c r="AQ568" s="241"/>
      <c r="AR568" s="125"/>
      <c r="AS568" s="125"/>
      <c r="AT568" s="238"/>
      <c r="AU568" s="125"/>
      <c r="AV568" s="125"/>
      <c r="AW568" s="125"/>
      <c r="AX568" s="238"/>
      <c r="AY568" s="125"/>
      <c r="AZ568" s="125"/>
      <c r="BA568" s="125"/>
    </row>
    <row r="569" spans="2:53" s="123" customFormat="1">
      <c r="B569" s="125"/>
      <c r="D569" s="125"/>
      <c r="I569" s="125"/>
      <c r="Z569" s="124"/>
      <c r="AA569" s="74"/>
      <c r="AB569" s="240"/>
      <c r="AD569" s="124"/>
      <c r="AE569" s="238"/>
      <c r="AF569" s="239"/>
      <c r="AG569" s="239"/>
      <c r="AH569" s="124"/>
      <c r="AI569" s="74"/>
      <c r="AJ569" s="240"/>
      <c r="AL569" s="124"/>
      <c r="AM569" s="74"/>
      <c r="AP569" s="125"/>
      <c r="AQ569" s="241"/>
      <c r="AR569" s="125"/>
      <c r="AS569" s="125"/>
      <c r="AT569" s="238"/>
      <c r="AU569" s="125"/>
      <c r="AV569" s="125"/>
      <c r="AW569" s="125"/>
      <c r="AX569" s="238"/>
      <c r="AY569" s="125"/>
      <c r="AZ569" s="125"/>
      <c r="BA569" s="125"/>
    </row>
    <row r="570" spans="2:53" s="123" customFormat="1">
      <c r="B570" s="125"/>
      <c r="D570" s="125"/>
      <c r="I570" s="125"/>
      <c r="Z570" s="124"/>
      <c r="AA570" s="74"/>
      <c r="AB570" s="240"/>
      <c r="AD570" s="124"/>
      <c r="AE570" s="238"/>
      <c r="AF570" s="239"/>
      <c r="AG570" s="239"/>
      <c r="AH570" s="124"/>
      <c r="AI570" s="74"/>
      <c r="AJ570" s="240"/>
      <c r="AL570" s="124"/>
      <c r="AM570" s="74"/>
      <c r="AP570" s="125"/>
      <c r="AQ570" s="241"/>
      <c r="AR570" s="125"/>
      <c r="AS570" s="125"/>
      <c r="AT570" s="238"/>
      <c r="AU570" s="125"/>
      <c r="AV570" s="125"/>
      <c r="AW570" s="125"/>
      <c r="AX570" s="238"/>
      <c r="AY570" s="125"/>
      <c r="AZ570" s="125"/>
      <c r="BA570" s="125"/>
    </row>
    <row r="571" spans="2:53" s="123" customFormat="1">
      <c r="B571" s="125"/>
      <c r="D571" s="125"/>
      <c r="I571" s="125"/>
      <c r="Z571" s="124"/>
      <c r="AA571" s="74"/>
      <c r="AB571" s="240"/>
      <c r="AD571" s="124"/>
      <c r="AE571" s="238"/>
      <c r="AF571" s="239"/>
      <c r="AG571" s="239"/>
      <c r="AH571" s="124"/>
      <c r="AI571" s="74"/>
      <c r="AJ571" s="240"/>
      <c r="AL571" s="124"/>
      <c r="AM571" s="74"/>
      <c r="AP571" s="125"/>
      <c r="AQ571" s="241"/>
      <c r="AR571" s="125"/>
      <c r="AS571" s="125"/>
      <c r="AT571" s="238"/>
      <c r="AU571" s="125"/>
      <c r="AV571" s="125"/>
      <c r="AW571" s="125"/>
      <c r="AX571" s="238"/>
      <c r="AY571" s="125"/>
      <c r="AZ571" s="125"/>
      <c r="BA571" s="125"/>
    </row>
    <row r="572" spans="2:53" s="123" customFormat="1">
      <c r="B572" s="125"/>
      <c r="D572" s="125"/>
      <c r="I572" s="125"/>
      <c r="Z572" s="124"/>
      <c r="AA572" s="74"/>
      <c r="AB572" s="240"/>
      <c r="AD572" s="124"/>
      <c r="AE572" s="238"/>
      <c r="AF572" s="239"/>
      <c r="AG572" s="239"/>
      <c r="AH572" s="124"/>
      <c r="AI572" s="74"/>
      <c r="AJ572" s="240"/>
      <c r="AL572" s="124"/>
      <c r="AM572" s="74"/>
      <c r="AP572" s="125"/>
      <c r="AQ572" s="241"/>
      <c r="AR572" s="125"/>
      <c r="AS572" s="125"/>
      <c r="AT572" s="238"/>
      <c r="AU572" s="125"/>
      <c r="AV572" s="125"/>
      <c r="AW572" s="125"/>
      <c r="AX572" s="238"/>
      <c r="AY572" s="125"/>
      <c r="AZ572" s="125"/>
      <c r="BA572" s="125"/>
    </row>
    <row r="573" spans="2:53" s="123" customFormat="1">
      <c r="B573" s="125"/>
      <c r="D573" s="125"/>
      <c r="I573" s="125"/>
      <c r="Z573" s="124"/>
      <c r="AA573" s="74"/>
      <c r="AB573" s="240"/>
      <c r="AD573" s="124"/>
      <c r="AE573" s="238"/>
      <c r="AF573" s="239"/>
      <c r="AG573" s="239"/>
      <c r="AH573" s="124"/>
      <c r="AI573" s="74"/>
      <c r="AJ573" s="240"/>
      <c r="AL573" s="124"/>
      <c r="AM573" s="74"/>
      <c r="AP573" s="125"/>
      <c r="AQ573" s="241"/>
      <c r="AR573" s="125"/>
      <c r="AS573" s="125"/>
      <c r="AT573" s="238"/>
      <c r="AU573" s="125"/>
      <c r="AV573" s="125"/>
      <c r="AW573" s="125"/>
      <c r="AX573" s="238"/>
      <c r="AY573" s="125"/>
      <c r="AZ573" s="125"/>
      <c r="BA573" s="125"/>
    </row>
    <row r="574" spans="2:53" s="123" customFormat="1">
      <c r="B574" s="125"/>
      <c r="D574" s="125"/>
      <c r="I574" s="125"/>
      <c r="Z574" s="124"/>
      <c r="AA574" s="74"/>
      <c r="AB574" s="240"/>
      <c r="AD574" s="124"/>
      <c r="AE574" s="238"/>
      <c r="AF574" s="239"/>
      <c r="AG574" s="239"/>
      <c r="AH574" s="124"/>
      <c r="AI574" s="74"/>
      <c r="AJ574" s="240"/>
      <c r="AL574" s="124"/>
      <c r="AM574" s="74"/>
      <c r="AP574" s="125"/>
      <c r="AQ574" s="241"/>
      <c r="AR574" s="125"/>
      <c r="AS574" s="125"/>
      <c r="AT574" s="238"/>
      <c r="AU574" s="125"/>
      <c r="AV574" s="125"/>
      <c r="AW574" s="125"/>
      <c r="AX574" s="238"/>
      <c r="AY574" s="125"/>
      <c r="AZ574" s="125"/>
      <c r="BA574" s="125"/>
    </row>
    <row r="575" spans="2:53" s="123" customFormat="1">
      <c r="B575" s="125"/>
      <c r="D575" s="125"/>
      <c r="I575" s="125"/>
      <c r="Z575" s="124"/>
      <c r="AA575" s="74"/>
      <c r="AB575" s="240"/>
      <c r="AD575" s="124"/>
      <c r="AE575" s="238"/>
      <c r="AF575" s="239"/>
      <c r="AG575" s="239"/>
      <c r="AH575" s="124"/>
      <c r="AI575" s="74"/>
      <c r="AJ575" s="240"/>
      <c r="AL575" s="124"/>
      <c r="AM575" s="74"/>
      <c r="AP575" s="125"/>
      <c r="AQ575" s="241"/>
      <c r="AR575" s="125"/>
      <c r="AS575" s="125"/>
      <c r="AT575" s="238"/>
      <c r="AU575" s="125"/>
      <c r="AV575" s="125"/>
      <c r="AW575" s="125"/>
      <c r="AX575" s="238"/>
      <c r="AY575" s="125"/>
      <c r="AZ575" s="125"/>
      <c r="BA575" s="125"/>
    </row>
    <row r="576" spans="2:53" s="123" customFormat="1">
      <c r="B576" s="125"/>
      <c r="D576" s="125"/>
      <c r="I576" s="125"/>
      <c r="Z576" s="124"/>
      <c r="AA576" s="74"/>
      <c r="AB576" s="240"/>
      <c r="AD576" s="124"/>
      <c r="AE576" s="238"/>
      <c r="AF576" s="239"/>
      <c r="AG576" s="239"/>
      <c r="AH576" s="124"/>
      <c r="AI576" s="74"/>
      <c r="AJ576" s="240"/>
      <c r="AL576" s="124"/>
      <c r="AM576" s="74"/>
      <c r="AP576" s="125"/>
      <c r="AQ576" s="241"/>
      <c r="AR576" s="125"/>
      <c r="AS576" s="125"/>
      <c r="AT576" s="238"/>
      <c r="AU576" s="125"/>
      <c r="AV576" s="125"/>
      <c r="AW576" s="125"/>
      <c r="AX576" s="238"/>
      <c r="AY576" s="125"/>
      <c r="AZ576" s="125"/>
      <c r="BA576" s="125"/>
    </row>
    <row r="577" spans="2:53" s="123" customFormat="1">
      <c r="B577" s="125"/>
      <c r="D577" s="125"/>
      <c r="I577" s="125"/>
      <c r="Z577" s="124"/>
      <c r="AA577" s="74"/>
      <c r="AB577" s="240"/>
      <c r="AD577" s="124"/>
      <c r="AE577" s="238"/>
      <c r="AF577" s="239"/>
      <c r="AG577" s="239"/>
      <c r="AH577" s="124"/>
      <c r="AI577" s="74"/>
      <c r="AJ577" s="240"/>
      <c r="AL577" s="124"/>
      <c r="AM577" s="74"/>
      <c r="AP577" s="125"/>
      <c r="AQ577" s="241"/>
      <c r="AR577" s="125"/>
      <c r="AS577" s="125"/>
      <c r="AT577" s="238"/>
      <c r="AU577" s="125"/>
      <c r="AV577" s="125"/>
      <c r="AW577" s="125"/>
      <c r="AX577" s="238"/>
      <c r="AY577" s="125"/>
      <c r="AZ577" s="125"/>
      <c r="BA577" s="125"/>
    </row>
    <row r="578" spans="2:53" s="123" customFormat="1">
      <c r="B578" s="125"/>
      <c r="D578" s="125"/>
      <c r="I578" s="125"/>
      <c r="Z578" s="124"/>
      <c r="AA578" s="74"/>
      <c r="AB578" s="240"/>
      <c r="AD578" s="124"/>
      <c r="AE578" s="238"/>
      <c r="AF578" s="239"/>
      <c r="AG578" s="239"/>
      <c r="AH578" s="124"/>
      <c r="AI578" s="74"/>
      <c r="AJ578" s="240"/>
      <c r="AL578" s="124"/>
      <c r="AM578" s="74"/>
      <c r="AP578" s="125"/>
      <c r="AQ578" s="241"/>
      <c r="AR578" s="125"/>
      <c r="AS578" s="125"/>
      <c r="AT578" s="238"/>
      <c r="AU578" s="125"/>
      <c r="AV578" s="125"/>
      <c r="AW578" s="125"/>
      <c r="AX578" s="238"/>
      <c r="AY578" s="125"/>
      <c r="AZ578" s="125"/>
      <c r="BA578" s="125"/>
    </row>
    <row r="579" spans="2:53" s="123" customFormat="1">
      <c r="B579" s="125"/>
      <c r="D579" s="125"/>
      <c r="I579" s="125"/>
      <c r="Z579" s="124"/>
      <c r="AA579" s="74"/>
      <c r="AB579" s="240"/>
      <c r="AD579" s="124"/>
      <c r="AE579" s="238"/>
      <c r="AF579" s="239"/>
      <c r="AG579" s="239"/>
      <c r="AH579" s="124"/>
      <c r="AI579" s="74"/>
      <c r="AJ579" s="240"/>
      <c r="AL579" s="124"/>
      <c r="AM579" s="74"/>
      <c r="AP579" s="125"/>
      <c r="AQ579" s="241"/>
      <c r="AR579" s="125"/>
      <c r="AS579" s="125"/>
      <c r="AT579" s="238"/>
      <c r="AU579" s="125"/>
      <c r="AV579" s="125"/>
      <c r="AW579" s="125"/>
      <c r="AX579" s="238"/>
      <c r="AY579" s="125"/>
      <c r="AZ579" s="125"/>
      <c r="BA579" s="125"/>
    </row>
    <row r="580" spans="2:53" s="123" customFormat="1">
      <c r="B580" s="125"/>
      <c r="D580" s="125"/>
      <c r="I580" s="125"/>
      <c r="Z580" s="124"/>
      <c r="AA580" s="74"/>
      <c r="AB580" s="240"/>
      <c r="AD580" s="124"/>
      <c r="AE580" s="238"/>
      <c r="AF580" s="239"/>
      <c r="AG580" s="239"/>
      <c r="AH580" s="124"/>
      <c r="AI580" s="74"/>
      <c r="AJ580" s="240"/>
      <c r="AL580" s="124"/>
      <c r="AM580" s="74"/>
      <c r="AP580" s="125"/>
      <c r="AQ580" s="241"/>
      <c r="AR580" s="125"/>
      <c r="AS580" s="125"/>
      <c r="AT580" s="238"/>
      <c r="AU580" s="125"/>
      <c r="AV580" s="125"/>
      <c r="AW580" s="125"/>
      <c r="AX580" s="238"/>
      <c r="AY580" s="125"/>
      <c r="AZ580" s="125"/>
      <c r="BA580" s="125"/>
    </row>
    <row r="581" spans="2:53" s="123" customFormat="1">
      <c r="B581" s="125"/>
      <c r="D581" s="125"/>
      <c r="I581" s="125"/>
      <c r="Z581" s="124"/>
      <c r="AA581" s="74"/>
      <c r="AB581" s="240"/>
      <c r="AD581" s="124"/>
      <c r="AE581" s="238"/>
      <c r="AF581" s="239"/>
      <c r="AG581" s="239"/>
      <c r="AH581" s="124"/>
      <c r="AI581" s="74"/>
      <c r="AJ581" s="240"/>
      <c r="AL581" s="124"/>
      <c r="AM581" s="74"/>
      <c r="AP581" s="125"/>
      <c r="AQ581" s="241"/>
      <c r="AR581" s="125"/>
      <c r="AS581" s="125"/>
      <c r="AT581" s="238"/>
      <c r="AU581" s="125"/>
      <c r="AV581" s="125"/>
      <c r="AW581" s="125"/>
      <c r="AX581" s="238"/>
      <c r="AY581" s="125"/>
      <c r="AZ581" s="125"/>
      <c r="BA581" s="125"/>
    </row>
    <row r="582" spans="2:53" s="123" customFormat="1">
      <c r="B582" s="125"/>
      <c r="D582" s="125"/>
      <c r="I582" s="125"/>
      <c r="Z582" s="124"/>
      <c r="AA582" s="74"/>
      <c r="AB582" s="240"/>
      <c r="AD582" s="124"/>
      <c r="AE582" s="238"/>
      <c r="AF582" s="239"/>
      <c r="AG582" s="239"/>
      <c r="AH582" s="124"/>
      <c r="AI582" s="74"/>
      <c r="AJ582" s="240"/>
      <c r="AL582" s="124"/>
      <c r="AM582" s="74"/>
      <c r="AP582" s="125"/>
      <c r="AQ582" s="241"/>
      <c r="AR582" s="125"/>
      <c r="AS582" s="125"/>
      <c r="AT582" s="238"/>
      <c r="AU582" s="125"/>
      <c r="AV582" s="125"/>
      <c r="AW582" s="125"/>
      <c r="AX582" s="238"/>
      <c r="AY582" s="125"/>
      <c r="AZ582" s="125"/>
      <c r="BA582" s="125"/>
    </row>
    <row r="583" spans="2:53" s="123" customFormat="1">
      <c r="B583" s="125"/>
      <c r="D583" s="125"/>
      <c r="I583" s="125"/>
      <c r="Z583" s="124"/>
      <c r="AA583" s="74"/>
      <c r="AB583" s="240"/>
      <c r="AD583" s="124"/>
      <c r="AE583" s="238"/>
      <c r="AF583" s="239"/>
      <c r="AG583" s="239"/>
      <c r="AH583" s="124"/>
      <c r="AI583" s="74"/>
      <c r="AJ583" s="240"/>
      <c r="AL583" s="124"/>
      <c r="AM583" s="74"/>
      <c r="AP583" s="125"/>
      <c r="AQ583" s="241"/>
      <c r="AR583" s="125"/>
      <c r="AS583" s="125"/>
      <c r="AT583" s="238"/>
      <c r="AU583" s="125"/>
      <c r="AV583" s="125"/>
      <c r="AW583" s="125"/>
      <c r="AX583" s="238"/>
      <c r="AY583" s="125"/>
      <c r="AZ583" s="125"/>
      <c r="BA583" s="125"/>
    </row>
    <row r="584" spans="2:53" s="123" customFormat="1">
      <c r="B584" s="125"/>
      <c r="D584" s="125"/>
      <c r="I584" s="125"/>
      <c r="Z584" s="124"/>
      <c r="AA584" s="74"/>
      <c r="AB584" s="240"/>
      <c r="AD584" s="124"/>
      <c r="AE584" s="238"/>
      <c r="AF584" s="239"/>
      <c r="AG584" s="239"/>
      <c r="AH584" s="124"/>
      <c r="AI584" s="74"/>
      <c r="AJ584" s="240"/>
      <c r="AL584" s="124"/>
      <c r="AM584" s="74"/>
      <c r="AP584" s="125"/>
      <c r="AQ584" s="241"/>
      <c r="AR584" s="125"/>
      <c r="AS584" s="125"/>
      <c r="AT584" s="238"/>
      <c r="AU584" s="125"/>
      <c r="AV584" s="125"/>
      <c r="AW584" s="125"/>
      <c r="AX584" s="238"/>
      <c r="AY584" s="125"/>
      <c r="AZ584" s="125"/>
      <c r="BA584" s="125"/>
    </row>
    <row r="585" spans="2:53" s="123" customFormat="1">
      <c r="B585" s="125"/>
      <c r="D585" s="125"/>
      <c r="I585" s="125"/>
      <c r="Z585" s="124"/>
      <c r="AA585" s="74"/>
      <c r="AB585" s="240"/>
      <c r="AD585" s="124"/>
      <c r="AE585" s="238"/>
      <c r="AF585" s="239"/>
      <c r="AG585" s="239"/>
      <c r="AH585" s="124"/>
      <c r="AI585" s="74"/>
      <c r="AJ585" s="240"/>
      <c r="AL585" s="124"/>
      <c r="AM585" s="74"/>
      <c r="AP585" s="125"/>
      <c r="AQ585" s="241"/>
      <c r="AR585" s="125"/>
      <c r="AS585" s="125"/>
      <c r="AT585" s="238"/>
      <c r="AU585" s="125"/>
      <c r="AV585" s="125"/>
      <c r="AW585" s="125"/>
      <c r="AX585" s="238"/>
      <c r="AY585" s="125"/>
      <c r="AZ585" s="125"/>
      <c r="BA585" s="125"/>
    </row>
    <row r="586" spans="2:53" s="123" customFormat="1">
      <c r="B586" s="125"/>
      <c r="D586" s="125"/>
      <c r="I586" s="125"/>
      <c r="Z586" s="124"/>
      <c r="AA586" s="74"/>
      <c r="AB586" s="240"/>
      <c r="AD586" s="124"/>
      <c r="AE586" s="238"/>
      <c r="AF586" s="239"/>
      <c r="AG586" s="239"/>
      <c r="AH586" s="124"/>
      <c r="AI586" s="74"/>
      <c r="AJ586" s="240"/>
      <c r="AL586" s="124"/>
      <c r="AM586" s="74"/>
      <c r="AP586" s="125"/>
      <c r="AQ586" s="241"/>
      <c r="AR586" s="125"/>
      <c r="AS586" s="125"/>
      <c r="AT586" s="238"/>
      <c r="AU586" s="125"/>
      <c r="AV586" s="125"/>
      <c r="AW586" s="125"/>
      <c r="AX586" s="238"/>
      <c r="AY586" s="125"/>
      <c r="AZ586" s="125"/>
      <c r="BA586" s="125"/>
    </row>
    <row r="587" spans="2:53" s="123" customFormat="1">
      <c r="B587" s="125"/>
      <c r="D587" s="125"/>
      <c r="I587" s="125"/>
      <c r="Z587" s="124"/>
      <c r="AA587" s="74"/>
      <c r="AB587" s="240"/>
      <c r="AD587" s="124"/>
      <c r="AE587" s="238"/>
      <c r="AF587" s="239"/>
      <c r="AG587" s="239"/>
      <c r="AH587" s="124"/>
      <c r="AI587" s="74"/>
      <c r="AJ587" s="240"/>
      <c r="AL587" s="124"/>
      <c r="AM587" s="74"/>
      <c r="AP587" s="125"/>
      <c r="AQ587" s="241"/>
      <c r="AR587" s="125"/>
      <c r="AS587" s="125"/>
      <c r="AT587" s="238"/>
      <c r="AU587" s="125"/>
      <c r="AV587" s="125"/>
      <c r="AW587" s="125"/>
      <c r="AX587" s="238"/>
      <c r="AY587" s="125"/>
      <c r="AZ587" s="125"/>
      <c r="BA587" s="125"/>
    </row>
    <row r="588" spans="2:53" s="123" customFormat="1">
      <c r="B588" s="125"/>
      <c r="D588" s="125"/>
      <c r="I588" s="125"/>
      <c r="Z588" s="124"/>
      <c r="AA588" s="74"/>
      <c r="AB588" s="240"/>
      <c r="AD588" s="124"/>
      <c r="AE588" s="238"/>
      <c r="AF588" s="239"/>
      <c r="AG588" s="239"/>
      <c r="AH588" s="124"/>
      <c r="AI588" s="74"/>
      <c r="AJ588" s="240"/>
      <c r="AL588" s="124"/>
      <c r="AM588" s="74"/>
      <c r="AP588" s="125"/>
      <c r="AQ588" s="241"/>
      <c r="AR588" s="125"/>
      <c r="AS588" s="125"/>
      <c r="AT588" s="238"/>
      <c r="AU588" s="125"/>
      <c r="AV588" s="125"/>
      <c r="AW588" s="125"/>
      <c r="AX588" s="238"/>
      <c r="AY588" s="125"/>
      <c r="AZ588" s="125"/>
      <c r="BA588" s="125"/>
    </row>
    <row r="589" spans="2:53" s="123" customFormat="1">
      <c r="B589" s="125"/>
      <c r="D589" s="125"/>
      <c r="I589" s="125"/>
      <c r="Z589" s="124"/>
      <c r="AA589" s="74"/>
      <c r="AB589" s="240"/>
      <c r="AD589" s="124"/>
      <c r="AE589" s="238"/>
      <c r="AF589" s="239"/>
      <c r="AG589" s="239"/>
      <c r="AH589" s="124"/>
      <c r="AI589" s="74"/>
      <c r="AJ589" s="240"/>
      <c r="AL589" s="124"/>
      <c r="AM589" s="74"/>
      <c r="AP589" s="125"/>
      <c r="AQ589" s="241"/>
      <c r="AR589" s="125"/>
      <c r="AS589" s="125"/>
      <c r="AT589" s="238"/>
      <c r="AU589" s="125"/>
      <c r="AV589" s="125"/>
      <c r="AW589" s="125"/>
      <c r="AX589" s="238"/>
      <c r="AY589" s="125"/>
      <c r="AZ589" s="125"/>
      <c r="BA589" s="125"/>
    </row>
    <row r="590" spans="2:53" s="123" customFormat="1">
      <c r="B590" s="125"/>
      <c r="D590" s="125"/>
      <c r="I590" s="125"/>
      <c r="Z590" s="124"/>
      <c r="AA590" s="74"/>
      <c r="AB590" s="240"/>
      <c r="AD590" s="124"/>
      <c r="AE590" s="238"/>
      <c r="AF590" s="239"/>
      <c r="AG590" s="239"/>
      <c r="AH590" s="124"/>
      <c r="AI590" s="74"/>
      <c r="AJ590" s="240"/>
      <c r="AL590" s="124"/>
      <c r="AM590" s="74"/>
      <c r="AP590" s="125"/>
      <c r="AQ590" s="241"/>
      <c r="AR590" s="125"/>
      <c r="AS590" s="125"/>
      <c r="AT590" s="238"/>
      <c r="AU590" s="125"/>
      <c r="AV590" s="125"/>
      <c r="AW590" s="125"/>
      <c r="AX590" s="238"/>
      <c r="AY590" s="125"/>
      <c r="AZ590" s="125"/>
      <c r="BA590" s="125"/>
    </row>
    <row r="591" spans="2:53" s="123" customFormat="1">
      <c r="B591" s="125"/>
      <c r="D591" s="125"/>
      <c r="I591" s="125"/>
      <c r="Z591" s="124"/>
      <c r="AA591" s="74"/>
      <c r="AB591" s="240"/>
      <c r="AD591" s="124"/>
      <c r="AE591" s="238"/>
      <c r="AF591" s="239"/>
      <c r="AG591" s="239"/>
      <c r="AH591" s="124"/>
      <c r="AI591" s="74"/>
      <c r="AJ591" s="240"/>
      <c r="AL591" s="124"/>
      <c r="AM591" s="74"/>
      <c r="AP591" s="125"/>
      <c r="AQ591" s="241"/>
      <c r="AR591" s="125"/>
      <c r="AS591" s="125"/>
      <c r="AT591" s="238"/>
      <c r="AU591" s="125"/>
      <c r="AV591" s="125"/>
      <c r="AW591" s="125"/>
      <c r="AX591" s="238"/>
      <c r="AY591" s="125"/>
      <c r="AZ591" s="125"/>
      <c r="BA591" s="125"/>
    </row>
    <row r="592" spans="2:53" s="123" customFormat="1">
      <c r="B592" s="125"/>
      <c r="D592" s="125"/>
      <c r="I592" s="125"/>
      <c r="Z592" s="124"/>
      <c r="AA592" s="74"/>
      <c r="AB592" s="240"/>
      <c r="AD592" s="124"/>
      <c r="AE592" s="238"/>
      <c r="AF592" s="239"/>
      <c r="AG592" s="239"/>
      <c r="AH592" s="124"/>
      <c r="AI592" s="74"/>
      <c r="AJ592" s="240"/>
      <c r="AL592" s="124"/>
      <c r="AM592" s="74"/>
      <c r="AP592" s="125"/>
      <c r="AQ592" s="241"/>
      <c r="AR592" s="125"/>
      <c r="AS592" s="125"/>
      <c r="AT592" s="238"/>
      <c r="AU592" s="125"/>
      <c r="AV592" s="125"/>
      <c r="AW592" s="125"/>
      <c r="AX592" s="238"/>
      <c r="AY592" s="125"/>
      <c r="AZ592" s="125"/>
      <c r="BA592" s="125"/>
    </row>
    <row r="593" spans="2:53" s="123" customFormat="1">
      <c r="B593" s="125"/>
      <c r="D593" s="125"/>
      <c r="I593" s="125"/>
      <c r="Z593" s="124"/>
      <c r="AA593" s="74"/>
      <c r="AB593" s="240"/>
      <c r="AD593" s="124"/>
      <c r="AE593" s="238"/>
      <c r="AF593" s="239"/>
      <c r="AG593" s="239"/>
      <c r="AH593" s="124"/>
      <c r="AI593" s="74"/>
      <c r="AJ593" s="240"/>
      <c r="AL593" s="124"/>
      <c r="AM593" s="74"/>
      <c r="AP593" s="125"/>
      <c r="AQ593" s="241"/>
      <c r="AR593" s="125"/>
      <c r="AS593" s="125"/>
      <c r="AT593" s="238"/>
      <c r="AU593" s="125"/>
      <c r="AV593" s="125"/>
      <c r="AW593" s="125"/>
      <c r="AX593" s="238"/>
      <c r="AY593" s="125"/>
      <c r="AZ593" s="125"/>
      <c r="BA593" s="125"/>
    </row>
    <row r="594" spans="2:53" s="123" customFormat="1">
      <c r="B594" s="125"/>
      <c r="D594" s="125"/>
      <c r="I594" s="125"/>
      <c r="Z594" s="124"/>
      <c r="AA594" s="74"/>
      <c r="AB594" s="240"/>
      <c r="AD594" s="124"/>
      <c r="AE594" s="238"/>
      <c r="AF594" s="239"/>
      <c r="AG594" s="239"/>
      <c r="AH594" s="124"/>
      <c r="AI594" s="74"/>
      <c r="AJ594" s="240"/>
      <c r="AL594" s="124"/>
      <c r="AM594" s="74"/>
      <c r="AP594" s="125"/>
      <c r="AQ594" s="241"/>
      <c r="AR594" s="125"/>
      <c r="AS594" s="125"/>
      <c r="AT594" s="238"/>
      <c r="AU594" s="125"/>
      <c r="AV594" s="125"/>
      <c r="AW594" s="125"/>
      <c r="AX594" s="238"/>
      <c r="AY594" s="125"/>
      <c r="AZ594" s="125"/>
      <c r="BA594" s="125"/>
    </row>
    <row r="595" spans="2:53" s="123" customFormat="1">
      <c r="B595" s="125"/>
      <c r="D595" s="125"/>
      <c r="I595" s="125"/>
      <c r="Z595" s="124"/>
      <c r="AA595" s="74"/>
      <c r="AB595" s="240"/>
      <c r="AD595" s="124"/>
      <c r="AE595" s="238"/>
      <c r="AF595" s="239"/>
      <c r="AG595" s="239"/>
      <c r="AH595" s="124"/>
      <c r="AI595" s="74"/>
      <c r="AJ595" s="240"/>
      <c r="AL595" s="124"/>
      <c r="AM595" s="74"/>
      <c r="AP595" s="125"/>
      <c r="AQ595" s="241"/>
      <c r="AR595" s="125"/>
      <c r="AS595" s="125"/>
      <c r="AT595" s="238"/>
      <c r="AU595" s="125"/>
      <c r="AV595" s="125"/>
      <c r="AW595" s="125"/>
      <c r="AX595" s="238"/>
      <c r="AY595" s="125"/>
      <c r="AZ595" s="125"/>
      <c r="BA595" s="125"/>
    </row>
    <row r="596" spans="2:53" s="123" customFormat="1">
      <c r="B596" s="125"/>
      <c r="D596" s="125"/>
      <c r="I596" s="125"/>
      <c r="Z596" s="124"/>
      <c r="AA596" s="74"/>
      <c r="AB596" s="240"/>
      <c r="AD596" s="124"/>
      <c r="AE596" s="238"/>
      <c r="AF596" s="239"/>
      <c r="AG596" s="239"/>
      <c r="AH596" s="124"/>
      <c r="AI596" s="74"/>
      <c r="AJ596" s="240"/>
      <c r="AL596" s="124"/>
      <c r="AM596" s="74"/>
      <c r="AP596" s="125"/>
      <c r="AQ596" s="241"/>
      <c r="AR596" s="125"/>
      <c r="AS596" s="125"/>
      <c r="AT596" s="238"/>
      <c r="AU596" s="125"/>
      <c r="AV596" s="125"/>
      <c r="AW596" s="125"/>
      <c r="AX596" s="238"/>
      <c r="AY596" s="125"/>
      <c r="AZ596" s="125"/>
      <c r="BA596" s="125"/>
    </row>
    <row r="597" spans="2:53" s="123" customFormat="1">
      <c r="B597" s="125"/>
      <c r="D597" s="125"/>
      <c r="I597" s="125"/>
      <c r="Z597" s="124"/>
      <c r="AA597" s="74"/>
      <c r="AB597" s="240"/>
      <c r="AD597" s="124"/>
      <c r="AE597" s="238"/>
      <c r="AF597" s="239"/>
      <c r="AG597" s="239"/>
      <c r="AH597" s="124"/>
      <c r="AI597" s="74"/>
      <c r="AJ597" s="240"/>
      <c r="AL597" s="124"/>
      <c r="AM597" s="74"/>
      <c r="AP597" s="125"/>
      <c r="AQ597" s="241"/>
      <c r="AR597" s="125"/>
      <c r="AS597" s="125"/>
      <c r="AT597" s="238"/>
      <c r="AU597" s="125"/>
      <c r="AV597" s="125"/>
      <c r="AW597" s="125"/>
      <c r="AX597" s="238"/>
      <c r="AY597" s="125"/>
      <c r="AZ597" s="125"/>
      <c r="BA597" s="125"/>
    </row>
    <row r="598" spans="2:53" s="123" customFormat="1">
      <c r="B598" s="125"/>
      <c r="D598" s="125"/>
      <c r="I598" s="125"/>
      <c r="Z598" s="124"/>
      <c r="AA598" s="74"/>
      <c r="AB598" s="240"/>
      <c r="AD598" s="124"/>
      <c r="AE598" s="238"/>
      <c r="AF598" s="239"/>
      <c r="AG598" s="239"/>
      <c r="AH598" s="124"/>
      <c r="AI598" s="74"/>
      <c r="AJ598" s="240"/>
      <c r="AL598" s="124"/>
      <c r="AM598" s="74"/>
      <c r="AP598" s="125"/>
      <c r="AQ598" s="241"/>
      <c r="AR598" s="125"/>
      <c r="AS598" s="125"/>
      <c r="AT598" s="238"/>
      <c r="AU598" s="125"/>
      <c r="AV598" s="125"/>
      <c r="AW598" s="125"/>
      <c r="AX598" s="238"/>
      <c r="AY598" s="125"/>
      <c r="AZ598" s="125"/>
      <c r="BA598" s="125"/>
    </row>
    <row r="599" spans="2:53" s="123" customFormat="1">
      <c r="B599" s="125"/>
      <c r="D599" s="125"/>
      <c r="I599" s="125"/>
      <c r="Z599" s="124"/>
      <c r="AA599" s="74"/>
      <c r="AB599" s="240"/>
      <c r="AD599" s="124"/>
      <c r="AE599" s="238"/>
      <c r="AF599" s="239"/>
      <c r="AG599" s="239"/>
      <c r="AH599" s="124"/>
      <c r="AI599" s="74"/>
      <c r="AJ599" s="240"/>
      <c r="AL599" s="124"/>
      <c r="AM599" s="74"/>
      <c r="AP599" s="125"/>
      <c r="AQ599" s="241"/>
      <c r="AR599" s="125"/>
      <c r="AS599" s="125"/>
      <c r="AT599" s="238"/>
      <c r="AU599" s="125"/>
      <c r="AV599" s="125"/>
      <c r="AW599" s="125"/>
      <c r="AX599" s="238"/>
      <c r="AY599" s="125"/>
      <c r="AZ599" s="125"/>
      <c r="BA599" s="125"/>
    </row>
    <row r="600" spans="2:53" s="123" customFormat="1">
      <c r="B600" s="125"/>
      <c r="D600" s="125"/>
      <c r="I600" s="125"/>
      <c r="Z600" s="124"/>
      <c r="AA600" s="74"/>
      <c r="AB600" s="240"/>
      <c r="AD600" s="124"/>
      <c r="AE600" s="238"/>
      <c r="AF600" s="239"/>
      <c r="AG600" s="239"/>
      <c r="AH600" s="124"/>
      <c r="AI600" s="74"/>
      <c r="AJ600" s="240"/>
      <c r="AL600" s="124"/>
      <c r="AM600" s="74"/>
      <c r="AP600" s="125"/>
      <c r="AQ600" s="241"/>
      <c r="AR600" s="125"/>
      <c r="AS600" s="125"/>
      <c r="AT600" s="238"/>
      <c r="AU600" s="125"/>
      <c r="AV600" s="125"/>
      <c r="AW600" s="125"/>
      <c r="AX600" s="238"/>
      <c r="AY600" s="125"/>
      <c r="AZ600" s="125"/>
      <c r="BA600" s="125"/>
    </row>
    <row r="601" spans="2:53" s="123" customFormat="1">
      <c r="B601" s="125"/>
      <c r="D601" s="125"/>
      <c r="I601" s="125"/>
      <c r="Z601" s="124"/>
      <c r="AA601" s="74"/>
      <c r="AB601" s="240"/>
      <c r="AD601" s="124"/>
      <c r="AE601" s="238"/>
      <c r="AF601" s="239"/>
      <c r="AG601" s="239"/>
      <c r="AH601" s="124"/>
      <c r="AI601" s="74"/>
      <c r="AJ601" s="240"/>
      <c r="AL601" s="124"/>
      <c r="AM601" s="74"/>
      <c r="AP601" s="125"/>
      <c r="AQ601" s="241"/>
      <c r="AR601" s="125"/>
      <c r="AS601" s="125"/>
      <c r="AT601" s="238"/>
      <c r="AU601" s="125"/>
      <c r="AV601" s="125"/>
      <c r="AW601" s="125"/>
      <c r="AX601" s="238"/>
      <c r="AY601" s="125"/>
      <c r="AZ601" s="125"/>
      <c r="BA601" s="125"/>
    </row>
    <row r="602" spans="2:53" s="123" customFormat="1">
      <c r="B602" s="125"/>
      <c r="D602" s="125"/>
      <c r="I602" s="125"/>
      <c r="Z602" s="124"/>
      <c r="AA602" s="74"/>
      <c r="AB602" s="240"/>
      <c r="AD602" s="124"/>
      <c r="AE602" s="238"/>
      <c r="AF602" s="239"/>
      <c r="AG602" s="239"/>
      <c r="AH602" s="124"/>
      <c r="AI602" s="74"/>
      <c r="AJ602" s="240"/>
      <c r="AL602" s="124"/>
      <c r="AM602" s="74"/>
      <c r="AP602" s="125"/>
      <c r="AQ602" s="241"/>
      <c r="AR602" s="125"/>
      <c r="AS602" s="125"/>
      <c r="AT602" s="238"/>
      <c r="AU602" s="125"/>
      <c r="AV602" s="125"/>
      <c r="AW602" s="125"/>
      <c r="AX602" s="238"/>
      <c r="AY602" s="125"/>
      <c r="AZ602" s="125"/>
      <c r="BA602" s="125"/>
    </row>
    <row r="603" spans="2:53" s="123" customFormat="1">
      <c r="B603" s="125"/>
      <c r="D603" s="125"/>
      <c r="I603" s="125"/>
      <c r="Z603" s="124"/>
      <c r="AA603" s="74"/>
      <c r="AB603" s="240"/>
      <c r="AD603" s="124"/>
      <c r="AE603" s="238"/>
      <c r="AF603" s="239"/>
      <c r="AG603" s="239"/>
      <c r="AH603" s="124"/>
      <c r="AI603" s="74"/>
      <c r="AJ603" s="240"/>
      <c r="AL603" s="124"/>
      <c r="AM603" s="74"/>
      <c r="AP603" s="125"/>
      <c r="AQ603" s="241"/>
      <c r="AR603" s="125"/>
      <c r="AS603" s="125"/>
      <c r="AT603" s="238"/>
      <c r="AU603" s="125"/>
      <c r="AV603" s="125"/>
      <c r="AW603" s="125"/>
      <c r="AX603" s="238"/>
      <c r="AY603" s="125"/>
      <c r="AZ603" s="125"/>
      <c r="BA603" s="125"/>
    </row>
    <row r="604" spans="2:53" s="123" customFormat="1">
      <c r="B604" s="125"/>
      <c r="D604" s="125"/>
      <c r="I604" s="125"/>
      <c r="Z604" s="124"/>
      <c r="AA604" s="74"/>
      <c r="AB604" s="240"/>
      <c r="AD604" s="124"/>
      <c r="AE604" s="238"/>
      <c r="AF604" s="239"/>
      <c r="AG604" s="239"/>
      <c r="AH604" s="124"/>
      <c r="AI604" s="74"/>
      <c r="AJ604" s="240"/>
      <c r="AL604" s="124"/>
      <c r="AM604" s="74"/>
      <c r="AP604" s="125"/>
      <c r="AQ604" s="241"/>
      <c r="AR604" s="125"/>
      <c r="AS604" s="125"/>
      <c r="AT604" s="238"/>
      <c r="AU604" s="125"/>
      <c r="AV604" s="125"/>
      <c r="AW604" s="125"/>
      <c r="AX604" s="238"/>
      <c r="AY604" s="125"/>
      <c r="AZ604" s="125"/>
      <c r="BA604" s="125"/>
    </row>
    <row r="605" spans="2:53" s="123" customFormat="1">
      <c r="B605" s="125"/>
      <c r="D605" s="125"/>
      <c r="I605" s="125"/>
      <c r="Z605" s="124"/>
      <c r="AA605" s="74"/>
      <c r="AB605" s="240"/>
      <c r="AD605" s="124"/>
      <c r="AE605" s="238"/>
      <c r="AF605" s="239"/>
      <c r="AG605" s="239"/>
      <c r="AH605" s="124"/>
      <c r="AI605" s="74"/>
      <c r="AJ605" s="240"/>
      <c r="AL605" s="124"/>
      <c r="AM605" s="74"/>
      <c r="AP605" s="125"/>
      <c r="AQ605" s="241"/>
      <c r="AR605" s="125"/>
      <c r="AS605" s="125"/>
      <c r="AT605" s="238"/>
      <c r="AU605" s="125"/>
      <c r="AV605" s="125"/>
      <c r="AW605" s="125"/>
      <c r="AX605" s="238"/>
      <c r="AY605" s="125"/>
      <c r="AZ605" s="125"/>
      <c r="BA605" s="125"/>
    </row>
    <row r="606" spans="2:53" s="123" customFormat="1">
      <c r="B606" s="125"/>
      <c r="D606" s="125"/>
      <c r="I606" s="125"/>
      <c r="Z606" s="124"/>
      <c r="AA606" s="74"/>
      <c r="AB606" s="240"/>
      <c r="AD606" s="124"/>
      <c r="AE606" s="238"/>
      <c r="AF606" s="239"/>
      <c r="AG606" s="239"/>
      <c r="AH606" s="124"/>
      <c r="AI606" s="74"/>
      <c r="AJ606" s="240"/>
      <c r="AL606" s="124"/>
      <c r="AM606" s="74"/>
      <c r="AP606" s="125"/>
      <c r="AQ606" s="241"/>
      <c r="AR606" s="125"/>
      <c r="AS606" s="125"/>
      <c r="AT606" s="238"/>
      <c r="AU606" s="125"/>
      <c r="AV606" s="125"/>
      <c r="AW606" s="125"/>
      <c r="AX606" s="238"/>
      <c r="AY606" s="125"/>
      <c r="AZ606" s="125"/>
      <c r="BA606" s="125"/>
    </row>
    <row r="607" spans="2:53" s="123" customFormat="1">
      <c r="B607" s="125"/>
      <c r="D607" s="125"/>
      <c r="I607" s="125"/>
      <c r="Z607" s="124"/>
      <c r="AA607" s="74"/>
      <c r="AB607" s="240"/>
      <c r="AD607" s="124"/>
      <c r="AE607" s="238"/>
      <c r="AF607" s="239"/>
      <c r="AG607" s="239"/>
      <c r="AH607" s="124"/>
      <c r="AI607" s="74"/>
      <c r="AJ607" s="240"/>
      <c r="AL607" s="124"/>
      <c r="AM607" s="74"/>
      <c r="AP607" s="125"/>
      <c r="AQ607" s="241"/>
      <c r="AR607" s="125"/>
      <c r="AS607" s="125"/>
      <c r="AT607" s="238"/>
      <c r="AU607" s="125"/>
      <c r="AV607" s="125"/>
      <c r="AW607" s="125"/>
      <c r="AX607" s="238"/>
      <c r="AY607" s="125"/>
      <c r="AZ607" s="125"/>
      <c r="BA607" s="125"/>
    </row>
    <row r="608" spans="2:53" s="123" customFormat="1">
      <c r="B608" s="125"/>
      <c r="D608" s="125"/>
      <c r="I608" s="125"/>
      <c r="Z608" s="124"/>
      <c r="AA608" s="74"/>
      <c r="AB608" s="240"/>
      <c r="AD608" s="124"/>
      <c r="AE608" s="238"/>
      <c r="AF608" s="239"/>
      <c r="AG608" s="239"/>
      <c r="AH608" s="124"/>
      <c r="AI608" s="74"/>
      <c r="AJ608" s="240"/>
      <c r="AL608" s="124"/>
      <c r="AM608" s="74"/>
      <c r="AP608" s="125"/>
      <c r="AQ608" s="241"/>
      <c r="AR608" s="125"/>
      <c r="AS608" s="125"/>
      <c r="AT608" s="238"/>
      <c r="AU608" s="125"/>
      <c r="AV608" s="125"/>
      <c r="AW608" s="125"/>
      <c r="AX608" s="238"/>
      <c r="AY608" s="125"/>
      <c r="AZ608" s="125"/>
      <c r="BA608" s="125"/>
    </row>
    <row r="609" spans="2:53" s="123" customFormat="1">
      <c r="B609" s="125"/>
      <c r="D609" s="125"/>
      <c r="I609" s="125"/>
      <c r="Z609" s="124"/>
      <c r="AA609" s="74"/>
      <c r="AB609" s="240"/>
      <c r="AD609" s="124"/>
      <c r="AE609" s="238"/>
      <c r="AF609" s="239"/>
      <c r="AG609" s="239"/>
      <c r="AH609" s="124"/>
      <c r="AI609" s="74"/>
      <c r="AJ609" s="240"/>
      <c r="AL609" s="124"/>
      <c r="AM609" s="74"/>
      <c r="AP609" s="125"/>
      <c r="AQ609" s="241"/>
      <c r="AR609" s="125"/>
      <c r="AS609" s="125"/>
      <c r="AT609" s="238"/>
      <c r="AU609" s="125"/>
      <c r="AV609" s="125"/>
      <c r="AW609" s="125"/>
      <c r="AX609" s="238"/>
      <c r="AY609" s="125"/>
      <c r="AZ609" s="125"/>
      <c r="BA609" s="125"/>
    </row>
    <row r="610" spans="2:53" s="123" customFormat="1">
      <c r="B610" s="125"/>
      <c r="D610" s="125"/>
      <c r="I610" s="125"/>
      <c r="Z610" s="124"/>
      <c r="AA610" s="74"/>
      <c r="AB610" s="240"/>
      <c r="AD610" s="124"/>
      <c r="AE610" s="238"/>
      <c r="AF610" s="239"/>
      <c r="AG610" s="239"/>
      <c r="AH610" s="124"/>
      <c r="AI610" s="74"/>
      <c r="AJ610" s="240"/>
      <c r="AL610" s="124"/>
      <c r="AM610" s="74"/>
      <c r="AP610" s="125"/>
      <c r="AQ610" s="241"/>
      <c r="AR610" s="125"/>
      <c r="AS610" s="125"/>
      <c r="AT610" s="238"/>
      <c r="AU610" s="125"/>
      <c r="AV610" s="125"/>
      <c r="AW610" s="125"/>
      <c r="AX610" s="238"/>
      <c r="AY610" s="125"/>
      <c r="AZ610" s="125"/>
      <c r="BA610" s="125"/>
    </row>
    <row r="611" spans="2:53" s="123" customFormat="1">
      <c r="B611" s="125"/>
      <c r="D611" s="125"/>
      <c r="I611" s="125"/>
      <c r="Z611" s="124"/>
      <c r="AA611" s="74"/>
      <c r="AB611" s="240"/>
      <c r="AD611" s="124"/>
      <c r="AE611" s="238"/>
      <c r="AF611" s="239"/>
      <c r="AG611" s="239"/>
      <c r="AH611" s="124"/>
      <c r="AI611" s="74"/>
      <c r="AJ611" s="240"/>
      <c r="AL611" s="124"/>
      <c r="AM611" s="74"/>
      <c r="AP611" s="125"/>
      <c r="AQ611" s="241"/>
      <c r="AR611" s="125"/>
      <c r="AS611" s="125"/>
      <c r="AT611" s="238"/>
      <c r="AU611" s="125"/>
      <c r="AV611" s="125"/>
      <c r="AW611" s="125"/>
      <c r="AX611" s="238"/>
      <c r="AY611" s="125"/>
      <c r="AZ611" s="125"/>
      <c r="BA611" s="125"/>
    </row>
    <row r="612" spans="2:53" s="123" customFormat="1">
      <c r="B612" s="125"/>
      <c r="D612" s="125"/>
      <c r="I612" s="125"/>
      <c r="Z612" s="124"/>
      <c r="AA612" s="74"/>
      <c r="AB612" s="240"/>
      <c r="AD612" s="124"/>
      <c r="AE612" s="238"/>
      <c r="AF612" s="239"/>
      <c r="AG612" s="239"/>
      <c r="AH612" s="124"/>
      <c r="AI612" s="74"/>
      <c r="AJ612" s="240"/>
      <c r="AL612" s="124"/>
      <c r="AM612" s="74"/>
      <c r="AP612" s="125"/>
      <c r="AQ612" s="241"/>
      <c r="AR612" s="125"/>
      <c r="AS612" s="125"/>
      <c r="AT612" s="238"/>
      <c r="AU612" s="125"/>
      <c r="AV612" s="125"/>
      <c r="AW612" s="125"/>
      <c r="AX612" s="238"/>
      <c r="AY612" s="125"/>
      <c r="AZ612" s="125"/>
      <c r="BA612" s="125"/>
    </row>
    <row r="613" spans="2:53" s="123" customFormat="1">
      <c r="B613" s="125"/>
      <c r="D613" s="125"/>
      <c r="I613" s="125"/>
      <c r="Z613" s="124"/>
      <c r="AA613" s="74"/>
      <c r="AB613" s="240"/>
      <c r="AD613" s="124"/>
      <c r="AE613" s="238"/>
      <c r="AF613" s="239"/>
      <c r="AG613" s="239"/>
      <c r="AH613" s="124"/>
      <c r="AI613" s="74"/>
      <c r="AJ613" s="240"/>
      <c r="AL613" s="124"/>
      <c r="AM613" s="74"/>
      <c r="AP613" s="125"/>
      <c r="AQ613" s="241"/>
      <c r="AR613" s="125"/>
      <c r="AS613" s="125"/>
      <c r="AT613" s="238"/>
      <c r="AU613" s="125"/>
      <c r="AV613" s="125"/>
      <c r="AW613" s="125"/>
      <c r="AX613" s="238"/>
      <c r="AY613" s="125"/>
      <c r="AZ613" s="125"/>
      <c r="BA613" s="125"/>
    </row>
    <row r="614" spans="2:53" s="123" customFormat="1">
      <c r="B614" s="125"/>
      <c r="D614" s="125"/>
      <c r="I614" s="125"/>
      <c r="Z614" s="124"/>
      <c r="AA614" s="74"/>
      <c r="AB614" s="240"/>
      <c r="AD614" s="124"/>
      <c r="AE614" s="238"/>
      <c r="AF614" s="239"/>
      <c r="AG614" s="239"/>
      <c r="AH614" s="124"/>
      <c r="AI614" s="74"/>
      <c r="AJ614" s="240"/>
      <c r="AL614" s="124"/>
      <c r="AM614" s="74"/>
      <c r="AP614" s="125"/>
      <c r="AQ614" s="241"/>
      <c r="AR614" s="125"/>
      <c r="AS614" s="125"/>
      <c r="AT614" s="238"/>
      <c r="AU614" s="125"/>
      <c r="AV614" s="125"/>
      <c r="AW614" s="125"/>
      <c r="AX614" s="238"/>
      <c r="AY614" s="125"/>
      <c r="AZ614" s="125"/>
      <c r="BA614" s="125"/>
    </row>
    <row r="615" spans="2:53" s="123" customFormat="1">
      <c r="B615" s="125"/>
      <c r="D615" s="125"/>
      <c r="I615" s="125"/>
      <c r="Z615" s="124"/>
      <c r="AA615" s="74"/>
      <c r="AB615" s="240"/>
      <c r="AD615" s="124"/>
      <c r="AE615" s="238"/>
      <c r="AF615" s="239"/>
      <c r="AG615" s="239"/>
      <c r="AH615" s="124"/>
      <c r="AI615" s="74"/>
      <c r="AJ615" s="240"/>
      <c r="AL615" s="124"/>
      <c r="AM615" s="74"/>
      <c r="AP615" s="125"/>
      <c r="AQ615" s="241"/>
      <c r="AR615" s="125"/>
      <c r="AS615" s="125"/>
      <c r="AT615" s="238"/>
      <c r="AU615" s="125"/>
      <c r="AV615" s="125"/>
      <c r="AW615" s="125"/>
      <c r="AX615" s="238"/>
      <c r="AY615" s="125"/>
      <c r="AZ615" s="125"/>
      <c r="BA615" s="125"/>
    </row>
    <row r="616" spans="2:53" s="123" customFormat="1">
      <c r="B616" s="125"/>
      <c r="D616" s="125"/>
      <c r="I616" s="125"/>
      <c r="Z616" s="124"/>
      <c r="AA616" s="74"/>
      <c r="AB616" s="240"/>
      <c r="AD616" s="124"/>
      <c r="AE616" s="238"/>
      <c r="AF616" s="239"/>
      <c r="AG616" s="239"/>
      <c r="AH616" s="124"/>
      <c r="AI616" s="74"/>
      <c r="AJ616" s="240"/>
      <c r="AL616" s="124"/>
      <c r="AM616" s="74"/>
      <c r="AP616" s="125"/>
      <c r="AQ616" s="241"/>
      <c r="AR616" s="125"/>
      <c r="AS616" s="125"/>
      <c r="AT616" s="238"/>
      <c r="AU616" s="125"/>
      <c r="AV616" s="125"/>
      <c r="AW616" s="125"/>
      <c r="AX616" s="238"/>
      <c r="AY616" s="125"/>
      <c r="AZ616" s="125"/>
      <c r="BA616" s="125"/>
    </row>
    <row r="617" spans="2:53" s="123" customFormat="1">
      <c r="B617" s="125"/>
      <c r="D617" s="125"/>
      <c r="I617" s="125"/>
      <c r="Z617" s="124"/>
      <c r="AA617" s="74"/>
      <c r="AB617" s="240"/>
      <c r="AD617" s="124"/>
      <c r="AE617" s="238"/>
      <c r="AF617" s="239"/>
      <c r="AG617" s="239"/>
      <c r="AH617" s="124"/>
      <c r="AI617" s="74"/>
      <c r="AJ617" s="240"/>
      <c r="AL617" s="124"/>
      <c r="AM617" s="74"/>
      <c r="AP617" s="125"/>
      <c r="AQ617" s="241"/>
      <c r="AR617" s="125"/>
      <c r="AS617" s="125"/>
      <c r="AT617" s="238"/>
      <c r="AU617" s="125"/>
      <c r="AV617" s="125"/>
      <c r="AW617" s="125"/>
      <c r="AX617" s="238"/>
      <c r="AY617" s="125"/>
      <c r="AZ617" s="125"/>
      <c r="BA617" s="125"/>
    </row>
    <row r="618" spans="2:53" s="123" customFormat="1">
      <c r="B618" s="125"/>
      <c r="D618" s="125"/>
      <c r="I618" s="125"/>
      <c r="Z618" s="124"/>
      <c r="AA618" s="74"/>
      <c r="AB618" s="240"/>
      <c r="AD618" s="124"/>
      <c r="AE618" s="238"/>
      <c r="AF618" s="239"/>
      <c r="AG618" s="239"/>
      <c r="AH618" s="124"/>
      <c r="AI618" s="74"/>
      <c r="AJ618" s="240"/>
      <c r="AL618" s="124"/>
      <c r="AM618" s="74"/>
      <c r="AP618" s="125"/>
      <c r="AQ618" s="241"/>
      <c r="AR618" s="125"/>
      <c r="AS618" s="125"/>
      <c r="AT618" s="238"/>
      <c r="AU618" s="125"/>
      <c r="AV618" s="125"/>
      <c r="AW618" s="125"/>
      <c r="AX618" s="238"/>
      <c r="AY618" s="125"/>
      <c r="AZ618" s="125"/>
      <c r="BA618" s="125"/>
    </row>
    <row r="619" spans="2:53" s="123" customFormat="1">
      <c r="B619" s="125"/>
      <c r="D619" s="125"/>
      <c r="I619" s="125"/>
      <c r="Z619" s="124"/>
      <c r="AA619" s="74"/>
      <c r="AB619" s="240"/>
      <c r="AD619" s="124"/>
      <c r="AE619" s="238"/>
      <c r="AF619" s="239"/>
      <c r="AG619" s="239"/>
      <c r="AH619" s="124"/>
      <c r="AI619" s="74"/>
      <c r="AJ619" s="240"/>
      <c r="AL619" s="124"/>
      <c r="AM619" s="74"/>
      <c r="AP619" s="125"/>
      <c r="AQ619" s="241"/>
      <c r="AR619" s="125"/>
      <c r="AS619" s="125"/>
      <c r="AT619" s="238"/>
      <c r="AU619" s="125"/>
      <c r="AV619" s="125"/>
      <c r="AW619" s="125"/>
      <c r="AX619" s="238"/>
      <c r="AY619" s="125"/>
      <c r="AZ619" s="125"/>
      <c r="BA619" s="125"/>
    </row>
    <row r="620" spans="2:53" s="123" customFormat="1">
      <c r="B620" s="125"/>
      <c r="D620" s="125"/>
      <c r="I620" s="125"/>
      <c r="Z620" s="124"/>
      <c r="AA620" s="74"/>
      <c r="AB620" s="240"/>
      <c r="AD620" s="124"/>
      <c r="AE620" s="238"/>
      <c r="AF620" s="239"/>
      <c r="AG620" s="239"/>
      <c r="AH620" s="124"/>
      <c r="AI620" s="74"/>
      <c r="AJ620" s="240"/>
      <c r="AL620" s="124"/>
      <c r="AM620" s="74"/>
      <c r="AP620" s="125"/>
      <c r="AQ620" s="241"/>
      <c r="AR620" s="125"/>
      <c r="AS620" s="125"/>
      <c r="AT620" s="238"/>
      <c r="AU620" s="125"/>
      <c r="AV620" s="125"/>
      <c r="AW620" s="125"/>
      <c r="AX620" s="238"/>
      <c r="AY620" s="125"/>
      <c r="AZ620" s="125"/>
      <c r="BA620" s="125"/>
    </row>
    <row r="621" spans="2:53" s="123" customFormat="1">
      <c r="B621" s="125"/>
      <c r="D621" s="125"/>
      <c r="I621" s="125"/>
      <c r="Z621" s="124"/>
      <c r="AA621" s="74"/>
      <c r="AB621" s="240"/>
      <c r="AD621" s="124"/>
      <c r="AE621" s="238"/>
      <c r="AF621" s="239"/>
      <c r="AG621" s="239"/>
      <c r="AH621" s="124"/>
      <c r="AI621" s="74"/>
      <c r="AJ621" s="240"/>
      <c r="AL621" s="124"/>
      <c r="AM621" s="74"/>
      <c r="AP621" s="125"/>
      <c r="AQ621" s="241"/>
      <c r="AR621" s="125"/>
      <c r="AS621" s="125"/>
      <c r="AT621" s="238"/>
      <c r="AU621" s="125"/>
      <c r="AV621" s="125"/>
      <c r="AW621" s="125"/>
      <c r="AX621" s="238"/>
      <c r="AY621" s="125"/>
      <c r="AZ621" s="125"/>
      <c r="BA621" s="125"/>
    </row>
    <row r="622" spans="2:53" s="123" customFormat="1">
      <c r="B622" s="125"/>
      <c r="D622" s="125"/>
      <c r="I622" s="125"/>
      <c r="Z622" s="124"/>
      <c r="AA622" s="74"/>
      <c r="AB622" s="240"/>
      <c r="AD622" s="124"/>
      <c r="AE622" s="238"/>
      <c r="AF622" s="239"/>
      <c r="AG622" s="239"/>
      <c r="AH622" s="124"/>
      <c r="AI622" s="74"/>
      <c r="AJ622" s="240"/>
      <c r="AL622" s="124"/>
      <c r="AM622" s="74"/>
      <c r="AP622" s="125"/>
      <c r="AQ622" s="241"/>
      <c r="AR622" s="125"/>
      <c r="AS622" s="125"/>
      <c r="AT622" s="238"/>
      <c r="AU622" s="125"/>
      <c r="AV622" s="125"/>
      <c r="AW622" s="125"/>
      <c r="AX622" s="238"/>
      <c r="AY622" s="125"/>
      <c r="AZ622" s="125"/>
      <c r="BA622" s="125"/>
    </row>
    <row r="623" spans="2:53" s="123" customFormat="1">
      <c r="B623" s="125"/>
      <c r="D623" s="125"/>
      <c r="I623" s="125"/>
      <c r="Z623" s="124"/>
      <c r="AA623" s="74"/>
      <c r="AB623" s="240"/>
      <c r="AD623" s="124"/>
      <c r="AE623" s="238"/>
      <c r="AF623" s="239"/>
      <c r="AG623" s="239"/>
      <c r="AH623" s="124"/>
      <c r="AI623" s="74"/>
      <c r="AJ623" s="240"/>
      <c r="AL623" s="124"/>
      <c r="AM623" s="74"/>
      <c r="AP623" s="125"/>
      <c r="AQ623" s="241"/>
      <c r="AR623" s="125"/>
      <c r="AS623" s="125"/>
      <c r="AT623" s="238"/>
      <c r="AU623" s="125"/>
      <c r="AV623" s="125"/>
      <c r="AW623" s="125"/>
      <c r="AX623" s="238"/>
      <c r="AY623" s="125"/>
      <c r="AZ623" s="125"/>
      <c r="BA623" s="125"/>
    </row>
    <row r="624" spans="2:53" s="123" customFormat="1">
      <c r="B624" s="125"/>
      <c r="D624" s="125"/>
      <c r="I624" s="125"/>
      <c r="Z624" s="124"/>
      <c r="AA624" s="74"/>
      <c r="AB624" s="240"/>
      <c r="AD624" s="124"/>
      <c r="AE624" s="238"/>
      <c r="AF624" s="239"/>
      <c r="AG624" s="239"/>
      <c r="AH624" s="124"/>
      <c r="AI624" s="74"/>
      <c r="AJ624" s="240"/>
      <c r="AL624" s="124"/>
      <c r="AM624" s="74"/>
      <c r="AP624" s="125"/>
      <c r="AQ624" s="241"/>
      <c r="AR624" s="125"/>
      <c r="AS624" s="125"/>
      <c r="AT624" s="238"/>
      <c r="AU624" s="125"/>
      <c r="AV624" s="125"/>
      <c r="AW624" s="125"/>
      <c r="AX624" s="238"/>
      <c r="AY624" s="125"/>
      <c r="AZ624" s="125"/>
      <c r="BA624" s="125"/>
    </row>
    <row r="625" spans="2:53" s="123" customFormat="1">
      <c r="B625" s="125"/>
      <c r="D625" s="125"/>
      <c r="I625" s="125"/>
      <c r="Z625" s="124"/>
      <c r="AA625" s="74"/>
      <c r="AB625" s="240"/>
      <c r="AD625" s="124"/>
      <c r="AE625" s="238"/>
      <c r="AF625" s="239"/>
      <c r="AG625" s="239"/>
      <c r="AH625" s="124"/>
      <c r="AI625" s="74"/>
      <c r="AJ625" s="240"/>
      <c r="AL625" s="124"/>
      <c r="AM625" s="74"/>
      <c r="AP625" s="125"/>
      <c r="AQ625" s="241"/>
      <c r="AR625" s="125"/>
      <c r="AS625" s="125"/>
      <c r="AT625" s="238"/>
      <c r="AU625" s="125"/>
      <c r="AV625" s="125"/>
      <c r="AW625" s="125"/>
      <c r="AX625" s="238"/>
      <c r="AY625" s="125"/>
      <c r="AZ625" s="125"/>
      <c r="BA625" s="125"/>
    </row>
    <row r="626" spans="2:53" s="123" customFormat="1">
      <c r="B626" s="125"/>
      <c r="D626" s="125"/>
      <c r="I626" s="125"/>
      <c r="Z626" s="124"/>
      <c r="AA626" s="74"/>
      <c r="AB626" s="240"/>
      <c r="AD626" s="124"/>
      <c r="AE626" s="238"/>
      <c r="AF626" s="239"/>
      <c r="AG626" s="239"/>
      <c r="AH626" s="124"/>
      <c r="AI626" s="74"/>
      <c r="AJ626" s="240"/>
      <c r="AL626" s="124"/>
      <c r="AM626" s="74"/>
      <c r="AP626" s="125"/>
      <c r="AQ626" s="241"/>
      <c r="AR626" s="125"/>
      <c r="AS626" s="125"/>
      <c r="AT626" s="238"/>
      <c r="AU626" s="125"/>
      <c r="AV626" s="125"/>
      <c r="AW626" s="125"/>
      <c r="AX626" s="238"/>
      <c r="AY626" s="125"/>
      <c r="AZ626" s="125"/>
      <c r="BA626" s="125"/>
    </row>
    <row r="627" spans="2:53" s="123" customFormat="1">
      <c r="B627" s="125"/>
      <c r="D627" s="125"/>
      <c r="I627" s="125"/>
      <c r="Z627" s="124"/>
      <c r="AA627" s="74"/>
      <c r="AB627" s="240"/>
      <c r="AD627" s="124"/>
      <c r="AE627" s="238"/>
      <c r="AF627" s="239"/>
      <c r="AG627" s="239"/>
      <c r="AH627" s="124"/>
      <c r="AI627" s="74"/>
      <c r="AJ627" s="240"/>
      <c r="AL627" s="124"/>
      <c r="AM627" s="74"/>
      <c r="AP627" s="125"/>
      <c r="AQ627" s="241"/>
      <c r="AR627" s="125"/>
      <c r="AS627" s="125"/>
      <c r="AT627" s="238"/>
      <c r="AU627" s="125"/>
      <c r="AV627" s="125"/>
      <c r="AW627" s="125"/>
      <c r="AX627" s="238"/>
      <c r="AY627" s="125"/>
      <c r="AZ627" s="125"/>
      <c r="BA627" s="125"/>
    </row>
    <row r="628" spans="2:53" s="123" customFormat="1">
      <c r="B628" s="125"/>
      <c r="D628" s="125"/>
      <c r="I628" s="125"/>
      <c r="Z628" s="124"/>
      <c r="AA628" s="74"/>
      <c r="AB628" s="240"/>
      <c r="AD628" s="124"/>
      <c r="AE628" s="238"/>
      <c r="AF628" s="239"/>
      <c r="AG628" s="239"/>
      <c r="AH628" s="124"/>
      <c r="AI628" s="74"/>
      <c r="AJ628" s="240"/>
      <c r="AL628" s="124"/>
      <c r="AM628" s="74"/>
      <c r="AP628" s="125"/>
      <c r="AQ628" s="241"/>
      <c r="AR628" s="125"/>
      <c r="AS628" s="125"/>
      <c r="AT628" s="238"/>
      <c r="AU628" s="125"/>
      <c r="AV628" s="125"/>
      <c r="AW628" s="125"/>
      <c r="AX628" s="238"/>
      <c r="AY628" s="125"/>
      <c r="AZ628" s="125"/>
      <c r="BA628" s="125"/>
    </row>
    <row r="629" spans="2:53" s="123" customFormat="1">
      <c r="B629" s="125"/>
      <c r="D629" s="125"/>
      <c r="I629" s="125"/>
      <c r="Z629" s="124"/>
      <c r="AA629" s="74"/>
      <c r="AB629" s="240"/>
      <c r="AD629" s="124"/>
      <c r="AE629" s="238"/>
      <c r="AF629" s="239"/>
      <c r="AG629" s="239"/>
      <c r="AH629" s="124"/>
      <c r="AI629" s="74"/>
      <c r="AJ629" s="240"/>
      <c r="AL629" s="124"/>
      <c r="AM629" s="74"/>
      <c r="AP629" s="125"/>
      <c r="AQ629" s="241"/>
      <c r="AR629" s="125"/>
      <c r="AS629" s="125"/>
      <c r="AT629" s="238"/>
      <c r="AU629" s="125"/>
      <c r="AV629" s="125"/>
      <c r="AW629" s="125"/>
      <c r="AX629" s="238"/>
      <c r="AY629" s="125"/>
      <c r="AZ629" s="125"/>
      <c r="BA629" s="125"/>
    </row>
    <row r="630" spans="2:53" s="123" customFormat="1">
      <c r="B630" s="125"/>
      <c r="D630" s="125"/>
      <c r="I630" s="125"/>
      <c r="Z630" s="124"/>
      <c r="AA630" s="74"/>
      <c r="AB630" s="240"/>
      <c r="AD630" s="124"/>
      <c r="AE630" s="238"/>
      <c r="AF630" s="239"/>
      <c r="AG630" s="239"/>
      <c r="AH630" s="124"/>
      <c r="AI630" s="74"/>
      <c r="AJ630" s="240"/>
      <c r="AL630" s="124"/>
      <c r="AM630" s="74"/>
      <c r="AP630" s="125"/>
      <c r="AQ630" s="241"/>
      <c r="AR630" s="125"/>
      <c r="AS630" s="125"/>
      <c r="AT630" s="238"/>
      <c r="AU630" s="125"/>
      <c r="AV630" s="125"/>
      <c r="AW630" s="125"/>
      <c r="AX630" s="238"/>
      <c r="AY630" s="125"/>
      <c r="AZ630" s="125"/>
      <c r="BA630" s="125"/>
    </row>
    <row r="631" spans="2:53" s="123" customFormat="1">
      <c r="B631" s="125"/>
      <c r="D631" s="125"/>
      <c r="I631" s="125"/>
      <c r="Z631" s="124"/>
      <c r="AA631" s="74"/>
      <c r="AB631" s="240"/>
      <c r="AD631" s="124"/>
      <c r="AE631" s="238"/>
      <c r="AF631" s="239"/>
      <c r="AG631" s="239"/>
      <c r="AH631" s="124"/>
      <c r="AI631" s="74"/>
      <c r="AJ631" s="240"/>
      <c r="AL631" s="124"/>
      <c r="AM631" s="74"/>
      <c r="AP631" s="125"/>
      <c r="AQ631" s="241"/>
      <c r="AR631" s="125"/>
      <c r="AS631" s="125"/>
      <c r="AT631" s="238"/>
      <c r="AU631" s="125"/>
      <c r="AV631" s="125"/>
      <c r="AW631" s="125"/>
      <c r="AX631" s="238"/>
      <c r="AY631" s="125"/>
      <c r="AZ631" s="125"/>
      <c r="BA631" s="125"/>
    </row>
    <row r="632" spans="2:53" s="123" customFormat="1">
      <c r="B632" s="125"/>
      <c r="D632" s="125"/>
      <c r="I632" s="125"/>
      <c r="Z632" s="124"/>
      <c r="AA632" s="74"/>
      <c r="AB632" s="240"/>
      <c r="AD632" s="124"/>
      <c r="AE632" s="238"/>
      <c r="AF632" s="239"/>
      <c r="AG632" s="239"/>
      <c r="AH632" s="124"/>
      <c r="AI632" s="74"/>
      <c r="AJ632" s="240"/>
      <c r="AL632" s="124"/>
      <c r="AM632" s="74"/>
      <c r="AP632" s="125"/>
      <c r="AQ632" s="241"/>
      <c r="AR632" s="125"/>
      <c r="AS632" s="125"/>
      <c r="AT632" s="238"/>
      <c r="AU632" s="125"/>
      <c r="AV632" s="125"/>
      <c r="AW632" s="125"/>
      <c r="AX632" s="238"/>
      <c r="AY632" s="125"/>
      <c r="AZ632" s="125"/>
      <c r="BA632" s="125"/>
    </row>
    <row r="633" spans="2:53" s="123" customFormat="1">
      <c r="B633" s="125"/>
      <c r="D633" s="125"/>
      <c r="I633" s="125"/>
      <c r="Z633" s="124"/>
      <c r="AA633" s="74"/>
      <c r="AB633" s="240"/>
      <c r="AD633" s="124"/>
      <c r="AE633" s="238"/>
      <c r="AF633" s="239"/>
      <c r="AG633" s="239"/>
      <c r="AH633" s="124"/>
      <c r="AI633" s="74"/>
      <c r="AJ633" s="240"/>
      <c r="AL633" s="124"/>
      <c r="AM633" s="74"/>
      <c r="AP633" s="125"/>
      <c r="AQ633" s="241"/>
      <c r="AR633" s="125"/>
      <c r="AS633" s="125"/>
      <c r="AT633" s="238"/>
      <c r="AU633" s="125"/>
      <c r="AV633" s="125"/>
      <c r="AW633" s="125"/>
      <c r="AX633" s="238"/>
      <c r="AY633" s="125"/>
      <c r="AZ633" s="125"/>
      <c r="BA633" s="125"/>
    </row>
    <row r="634" spans="2:53" s="123" customFormat="1">
      <c r="B634" s="125"/>
      <c r="D634" s="125"/>
      <c r="I634" s="125"/>
      <c r="Z634" s="124"/>
      <c r="AA634" s="74"/>
      <c r="AB634" s="240"/>
      <c r="AD634" s="124"/>
      <c r="AE634" s="238"/>
      <c r="AF634" s="239"/>
      <c r="AG634" s="239"/>
      <c r="AH634" s="124"/>
      <c r="AI634" s="74"/>
      <c r="AJ634" s="240"/>
      <c r="AL634" s="124"/>
      <c r="AM634" s="74"/>
      <c r="AP634" s="125"/>
      <c r="AQ634" s="241"/>
      <c r="AR634" s="125"/>
      <c r="AS634" s="125"/>
      <c r="AT634" s="238"/>
      <c r="AU634" s="125"/>
      <c r="AV634" s="125"/>
      <c r="AW634" s="125"/>
      <c r="AX634" s="238"/>
      <c r="AY634" s="125"/>
      <c r="AZ634" s="125"/>
      <c r="BA634" s="125"/>
    </row>
    <row r="635" spans="2:53" s="123" customFormat="1">
      <c r="B635" s="125"/>
      <c r="D635" s="125"/>
      <c r="I635" s="125"/>
      <c r="Z635" s="124"/>
      <c r="AA635" s="74"/>
      <c r="AB635" s="240"/>
      <c r="AD635" s="124"/>
      <c r="AE635" s="238"/>
      <c r="AF635" s="239"/>
      <c r="AG635" s="239"/>
      <c r="AH635" s="124"/>
      <c r="AI635" s="74"/>
      <c r="AJ635" s="240"/>
      <c r="AL635" s="124"/>
      <c r="AM635" s="74"/>
      <c r="AP635" s="125"/>
      <c r="AQ635" s="241"/>
      <c r="AR635" s="125"/>
      <c r="AS635" s="125"/>
      <c r="AT635" s="238"/>
      <c r="AU635" s="125"/>
      <c r="AV635" s="125"/>
      <c r="AW635" s="125"/>
      <c r="AX635" s="238"/>
      <c r="AY635" s="125"/>
      <c r="AZ635" s="125"/>
      <c r="BA635" s="125"/>
    </row>
    <row r="636" spans="2:53" s="123" customFormat="1">
      <c r="B636" s="125"/>
      <c r="D636" s="125"/>
      <c r="I636" s="125"/>
      <c r="Z636" s="124"/>
      <c r="AA636" s="74"/>
      <c r="AB636" s="240"/>
      <c r="AD636" s="124"/>
      <c r="AE636" s="238"/>
      <c r="AF636" s="239"/>
      <c r="AG636" s="239"/>
      <c r="AH636" s="124"/>
      <c r="AI636" s="74"/>
      <c r="AJ636" s="240"/>
      <c r="AL636" s="124"/>
      <c r="AM636" s="74"/>
      <c r="AP636" s="125"/>
      <c r="AQ636" s="241"/>
      <c r="AR636" s="125"/>
      <c r="AS636" s="125"/>
      <c r="AT636" s="238"/>
      <c r="AU636" s="125"/>
      <c r="AV636" s="125"/>
      <c r="AW636" s="125"/>
      <c r="AX636" s="238"/>
      <c r="AY636" s="125"/>
      <c r="AZ636" s="125"/>
      <c r="BA636" s="125"/>
    </row>
    <row r="637" spans="2:53" s="123" customFormat="1">
      <c r="B637" s="125"/>
      <c r="D637" s="125"/>
      <c r="I637" s="125"/>
      <c r="Z637" s="124"/>
      <c r="AA637" s="74"/>
      <c r="AB637" s="240"/>
      <c r="AD637" s="124"/>
      <c r="AE637" s="238"/>
      <c r="AF637" s="239"/>
      <c r="AG637" s="239"/>
      <c r="AH637" s="124"/>
      <c r="AI637" s="74"/>
      <c r="AJ637" s="240"/>
      <c r="AL637" s="124"/>
      <c r="AM637" s="74"/>
      <c r="AP637" s="125"/>
      <c r="AQ637" s="241"/>
      <c r="AR637" s="125"/>
      <c r="AS637" s="125"/>
      <c r="AT637" s="238"/>
      <c r="AU637" s="125"/>
      <c r="AV637" s="125"/>
      <c r="AW637" s="125"/>
      <c r="AX637" s="238"/>
      <c r="AY637" s="125"/>
      <c r="AZ637" s="125"/>
      <c r="BA637" s="125"/>
    </row>
    <row r="638" spans="2:53" s="123" customFormat="1">
      <c r="B638" s="125"/>
      <c r="D638" s="125"/>
      <c r="I638" s="125"/>
      <c r="Z638" s="124"/>
      <c r="AA638" s="74"/>
      <c r="AB638" s="240"/>
      <c r="AD638" s="124"/>
      <c r="AE638" s="238"/>
      <c r="AF638" s="239"/>
      <c r="AG638" s="239"/>
      <c r="AH638" s="124"/>
      <c r="AI638" s="74"/>
      <c r="AJ638" s="240"/>
      <c r="AL638" s="124"/>
      <c r="AM638" s="74"/>
      <c r="AP638" s="125"/>
      <c r="AQ638" s="241"/>
      <c r="AR638" s="125"/>
      <c r="AS638" s="125"/>
      <c r="AT638" s="238"/>
      <c r="AU638" s="125"/>
      <c r="AV638" s="125"/>
      <c r="AW638" s="125"/>
      <c r="AX638" s="238"/>
      <c r="AY638" s="125"/>
      <c r="AZ638" s="125"/>
      <c r="BA638" s="125"/>
    </row>
    <row r="639" spans="2:53" s="123" customFormat="1">
      <c r="B639" s="125"/>
      <c r="D639" s="125"/>
      <c r="I639" s="125"/>
      <c r="Z639" s="124"/>
      <c r="AA639" s="74"/>
      <c r="AB639" s="240"/>
      <c r="AD639" s="124"/>
      <c r="AE639" s="238"/>
      <c r="AF639" s="239"/>
      <c r="AG639" s="239"/>
      <c r="AH639" s="124"/>
      <c r="AI639" s="74"/>
      <c r="AJ639" s="240"/>
      <c r="AL639" s="124"/>
      <c r="AM639" s="74"/>
      <c r="AP639" s="125"/>
      <c r="AQ639" s="241"/>
      <c r="AR639" s="125"/>
      <c r="AS639" s="125"/>
      <c r="AT639" s="238"/>
      <c r="AU639" s="125"/>
      <c r="AV639" s="125"/>
      <c r="AW639" s="125"/>
      <c r="AX639" s="238"/>
      <c r="AY639" s="125"/>
      <c r="AZ639" s="125"/>
      <c r="BA639" s="125"/>
    </row>
    <row r="640" spans="2:53" s="123" customFormat="1">
      <c r="B640" s="125"/>
      <c r="D640" s="125"/>
      <c r="I640" s="125"/>
      <c r="Z640" s="124"/>
      <c r="AA640" s="74"/>
      <c r="AB640" s="240"/>
      <c r="AD640" s="124"/>
      <c r="AE640" s="238"/>
      <c r="AF640" s="239"/>
      <c r="AG640" s="239"/>
      <c r="AH640" s="124"/>
      <c r="AI640" s="74"/>
      <c r="AJ640" s="240"/>
      <c r="AL640" s="124"/>
      <c r="AM640" s="74"/>
      <c r="AP640" s="125"/>
      <c r="AQ640" s="241"/>
      <c r="AR640" s="125"/>
      <c r="AS640" s="125"/>
      <c r="AT640" s="238"/>
      <c r="AU640" s="125"/>
      <c r="AV640" s="125"/>
      <c r="AW640" s="125"/>
      <c r="AX640" s="238"/>
      <c r="AY640" s="125"/>
      <c r="AZ640" s="125"/>
      <c r="BA640" s="125"/>
    </row>
    <row r="641" spans="2:53" s="123" customFormat="1">
      <c r="B641" s="125"/>
      <c r="D641" s="125"/>
      <c r="I641" s="125"/>
      <c r="Z641" s="124"/>
      <c r="AA641" s="74"/>
      <c r="AB641" s="240"/>
      <c r="AD641" s="124"/>
      <c r="AE641" s="238"/>
      <c r="AF641" s="239"/>
      <c r="AG641" s="239"/>
      <c r="AH641" s="124"/>
      <c r="AI641" s="74"/>
      <c r="AJ641" s="240"/>
      <c r="AL641" s="124"/>
      <c r="AM641" s="74"/>
      <c r="AP641" s="125"/>
      <c r="AQ641" s="241"/>
      <c r="AR641" s="125"/>
      <c r="AS641" s="125"/>
      <c r="AT641" s="238"/>
      <c r="AU641" s="125"/>
      <c r="AV641" s="125"/>
      <c r="AW641" s="125"/>
      <c r="AX641" s="238"/>
      <c r="AY641" s="125"/>
      <c r="AZ641" s="125"/>
      <c r="BA641" s="125"/>
    </row>
    <row r="642" spans="2:53" s="123" customFormat="1">
      <c r="B642" s="125"/>
      <c r="D642" s="125"/>
      <c r="I642" s="125"/>
      <c r="Z642" s="124"/>
      <c r="AA642" s="74"/>
      <c r="AB642" s="240"/>
      <c r="AD642" s="124"/>
      <c r="AE642" s="238"/>
      <c r="AF642" s="239"/>
      <c r="AG642" s="239"/>
      <c r="AH642" s="124"/>
      <c r="AI642" s="74"/>
      <c r="AJ642" s="240"/>
      <c r="AL642" s="124"/>
      <c r="AM642" s="74"/>
      <c r="AP642" s="125"/>
      <c r="AQ642" s="241"/>
      <c r="AR642" s="125"/>
      <c r="AS642" s="125"/>
      <c r="AT642" s="238"/>
      <c r="AU642" s="125"/>
      <c r="AV642" s="125"/>
      <c r="AW642" s="125"/>
      <c r="AX642" s="238"/>
      <c r="AY642" s="125"/>
      <c r="AZ642" s="125"/>
      <c r="BA642" s="125"/>
    </row>
    <row r="643" spans="2:53" s="123" customFormat="1">
      <c r="B643" s="125"/>
      <c r="D643" s="125"/>
      <c r="I643" s="125"/>
      <c r="Z643" s="124"/>
      <c r="AA643" s="74"/>
      <c r="AB643" s="240"/>
      <c r="AD643" s="124"/>
      <c r="AE643" s="238"/>
      <c r="AF643" s="239"/>
      <c r="AG643" s="239"/>
      <c r="AH643" s="124"/>
      <c r="AI643" s="74"/>
      <c r="AJ643" s="240"/>
      <c r="AL643" s="124"/>
      <c r="AM643" s="74"/>
      <c r="AP643" s="125"/>
      <c r="AQ643" s="241"/>
      <c r="AR643" s="125"/>
      <c r="AS643" s="125"/>
      <c r="AT643" s="238"/>
      <c r="AU643" s="125"/>
      <c r="AV643" s="125"/>
      <c r="AW643" s="125"/>
      <c r="AX643" s="238"/>
      <c r="AY643" s="125"/>
      <c r="AZ643" s="125"/>
      <c r="BA643" s="125"/>
    </row>
    <row r="644" spans="2:53" s="123" customFormat="1">
      <c r="B644" s="125"/>
      <c r="D644" s="125"/>
      <c r="I644" s="125"/>
      <c r="Z644" s="124"/>
      <c r="AA644" s="74"/>
      <c r="AB644" s="240"/>
      <c r="AD644" s="124"/>
      <c r="AE644" s="238"/>
      <c r="AF644" s="239"/>
      <c r="AG644" s="239"/>
      <c r="AH644" s="124"/>
      <c r="AI644" s="74"/>
      <c r="AJ644" s="240"/>
      <c r="AL644" s="124"/>
      <c r="AM644" s="74"/>
      <c r="AP644" s="125"/>
      <c r="AQ644" s="241"/>
      <c r="AR644" s="125"/>
      <c r="AS644" s="125"/>
      <c r="AT644" s="238"/>
      <c r="AU644" s="125"/>
      <c r="AV644" s="125"/>
      <c r="AW644" s="125"/>
      <c r="AX644" s="238"/>
      <c r="AY644" s="125"/>
      <c r="AZ644" s="125"/>
      <c r="BA644" s="125"/>
    </row>
    <row r="645" spans="2:53" s="123" customFormat="1">
      <c r="B645" s="125"/>
      <c r="D645" s="125"/>
      <c r="I645" s="125"/>
      <c r="Z645" s="124"/>
      <c r="AA645" s="74"/>
      <c r="AB645" s="240"/>
      <c r="AD645" s="124"/>
      <c r="AE645" s="238"/>
      <c r="AF645" s="239"/>
      <c r="AG645" s="239"/>
      <c r="AH645" s="124"/>
      <c r="AI645" s="74"/>
      <c r="AJ645" s="240"/>
      <c r="AL645" s="124"/>
      <c r="AM645" s="74"/>
      <c r="AP645" s="125"/>
      <c r="AQ645" s="241"/>
      <c r="AR645" s="125"/>
      <c r="AS645" s="125"/>
      <c r="AT645" s="238"/>
      <c r="AU645" s="125"/>
      <c r="AV645" s="125"/>
      <c r="AW645" s="125"/>
      <c r="AX645" s="238"/>
      <c r="AY645" s="125"/>
      <c r="AZ645" s="125"/>
      <c r="BA645" s="125"/>
    </row>
    <row r="646" spans="2:53" s="123" customFormat="1">
      <c r="B646" s="125"/>
      <c r="D646" s="125"/>
      <c r="I646" s="125"/>
      <c r="Z646" s="124"/>
      <c r="AA646" s="74"/>
      <c r="AB646" s="240"/>
      <c r="AD646" s="124"/>
      <c r="AE646" s="238"/>
      <c r="AF646" s="239"/>
      <c r="AG646" s="239"/>
      <c r="AH646" s="124"/>
      <c r="AI646" s="74"/>
      <c r="AJ646" s="240"/>
      <c r="AL646" s="124"/>
      <c r="AM646" s="74"/>
      <c r="AP646" s="125"/>
      <c r="AQ646" s="241"/>
      <c r="AR646" s="125"/>
      <c r="AS646" s="125"/>
      <c r="AT646" s="238"/>
      <c r="AU646" s="125"/>
      <c r="AV646" s="125"/>
      <c r="AW646" s="125"/>
      <c r="AX646" s="238"/>
      <c r="AY646" s="125"/>
      <c r="AZ646" s="125"/>
      <c r="BA646" s="125"/>
    </row>
    <row r="647" spans="2:53" s="123" customFormat="1">
      <c r="B647" s="125"/>
      <c r="D647" s="125"/>
      <c r="I647" s="125"/>
      <c r="Z647" s="124"/>
      <c r="AA647" s="74"/>
      <c r="AB647" s="240"/>
      <c r="AD647" s="124"/>
      <c r="AE647" s="238"/>
      <c r="AF647" s="239"/>
      <c r="AG647" s="239"/>
      <c r="AH647" s="124"/>
      <c r="AI647" s="74"/>
      <c r="AJ647" s="240"/>
      <c r="AL647" s="124"/>
      <c r="AM647" s="74"/>
      <c r="AP647" s="125"/>
      <c r="AQ647" s="241"/>
      <c r="AR647" s="125"/>
      <c r="AS647" s="125"/>
      <c r="AT647" s="238"/>
      <c r="AU647" s="125"/>
      <c r="AV647" s="125"/>
      <c r="AW647" s="125"/>
      <c r="AX647" s="238"/>
      <c r="AY647" s="125"/>
      <c r="AZ647" s="125"/>
      <c r="BA647" s="125"/>
    </row>
    <row r="648" spans="2:53" s="123" customFormat="1">
      <c r="B648" s="125"/>
      <c r="D648" s="125"/>
      <c r="I648" s="125"/>
      <c r="Z648" s="124"/>
      <c r="AA648" s="74"/>
      <c r="AB648" s="240"/>
      <c r="AD648" s="124"/>
      <c r="AE648" s="238"/>
      <c r="AF648" s="239"/>
      <c r="AG648" s="239"/>
      <c r="AH648" s="124"/>
      <c r="AI648" s="74"/>
      <c r="AJ648" s="240"/>
      <c r="AL648" s="124"/>
      <c r="AM648" s="74"/>
      <c r="AP648" s="125"/>
      <c r="AQ648" s="241"/>
      <c r="AR648" s="125"/>
      <c r="AS648" s="125"/>
      <c r="AT648" s="238"/>
      <c r="AU648" s="125"/>
      <c r="AV648" s="125"/>
      <c r="AW648" s="125"/>
      <c r="AX648" s="238"/>
      <c r="AY648" s="125"/>
      <c r="AZ648" s="125"/>
      <c r="BA648" s="125"/>
    </row>
    <row r="649" spans="2:53" s="123" customFormat="1">
      <c r="B649" s="125"/>
      <c r="D649" s="125"/>
      <c r="I649" s="125"/>
      <c r="Z649" s="124"/>
      <c r="AA649" s="74"/>
      <c r="AB649" s="240"/>
      <c r="AD649" s="124"/>
      <c r="AE649" s="238"/>
      <c r="AF649" s="239"/>
      <c r="AG649" s="239"/>
      <c r="AH649" s="124"/>
      <c r="AI649" s="74"/>
      <c r="AJ649" s="240"/>
      <c r="AL649" s="124"/>
      <c r="AM649" s="74"/>
      <c r="AP649" s="125"/>
      <c r="AQ649" s="241"/>
      <c r="AR649" s="125"/>
      <c r="AS649" s="125"/>
      <c r="AT649" s="238"/>
      <c r="AU649" s="125"/>
      <c r="AV649" s="125"/>
      <c r="AW649" s="125"/>
      <c r="AX649" s="238"/>
      <c r="AY649" s="125"/>
      <c r="AZ649" s="125"/>
      <c r="BA649" s="125"/>
    </row>
    <row r="650" spans="2:53" s="123" customFormat="1">
      <c r="B650" s="125"/>
      <c r="D650" s="125"/>
      <c r="I650" s="125"/>
      <c r="Z650" s="124"/>
      <c r="AA650" s="74"/>
      <c r="AB650" s="240"/>
      <c r="AD650" s="124"/>
      <c r="AE650" s="238"/>
      <c r="AF650" s="239"/>
      <c r="AG650" s="239"/>
      <c r="AH650" s="124"/>
      <c r="AI650" s="74"/>
      <c r="AJ650" s="240"/>
      <c r="AL650" s="124"/>
      <c r="AM650" s="74"/>
      <c r="AP650" s="125"/>
      <c r="AQ650" s="241"/>
      <c r="AR650" s="125"/>
      <c r="AS650" s="125"/>
      <c r="AT650" s="238"/>
      <c r="AU650" s="125"/>
      <c r="AV650" s="125"/>
      <c r="AW650" s="125"/>
      <c r="AX650" s="238"/>
      <c r="AY650" s="125"/>
      <c r="AZ650" s="125"/>
      <c r="BA650" s="125"/>
    </row>
    <row r="651" spans="2:53" s="123" customFormat="1">
      <c r="B651" s="125"/>
      <c r="D651" s="125"/>
      <c r="I651" s="125"/>
      <c r="Z651" s="124"/>
      <c r="AA651" s="74"/>
      <c r="AB651" s="240"/>
      <c r="AD651" s="124"/>
      <c r="AE651" s="238"/>
      <c r="AF651" s="239"/>
      <c r="AG651" s="239"/>
      <c r="AH651" s="124"/>
      <c r="AI651" s="74"/>
      <c r="AJ651" s="240"/>
      <c r="AL651" s="124"/>
      <c r="AM651" s="74"/>
      <c r="AP651" s="125"/>
      <c r="AQ651" s="241"/>
      <c r="AR651" s="125"/>
      <c r="AS651" s="125"/>
      <c r="AT651" s="238"/>
      <c r="AU651" s="125"/>
      <c r="AV651" s="125"/>
      <c r="AW651" s="125"/>
      <c r="AX651" s="238"/>
      <c r="AY651" s="125"/>
      <c r="AZ651" s="125"/>
      <c r="BA651" s="125"/>
    </row>
    <row r="652" spans="2:53" s="123" customFormat="1">
      <c r="B652" s="125"/>
      <c r="D652" s="125"/>
      <c r="I652" s="125"/>
      <c r="Z652" s="124"/>
      <c r="AA652" s="74"/>
      <c r="AB652" s="240"/>
      <c r="AD652" s="124"/>
      <c r="AE652" s="238"/>
      <c r="AF652" s="239"/>
      <c r="AG652" s="239"/>
      <c r="AH652" s="124"/>
      <c r="AI652" s="74"/>
      <c r="AJ652" s="240"/>
      <c r="AL652" s="124"/>
      <c r="AM652" s="74"/>
      <c r="AP652" s="125"/>
      <c r="AQ652" s="241"/>
      <c r="AR652" s="125"/>
      <c r="AS652" s="125"/>
      <c r="AT652" s="238"/>
      <c r="AU652" s="125"/>
      <c r="AV652" s="125"/>
      <c r="AW652" s="125"/>
      <c r="AX652" s="238"/>
      <c r="AY652" s="125"/>
      <c r="AZ652" s="125"/>
      <c r="BA652" s="125"/>
    </row>
    <row r="653" spans="2:53" s="123" customFormat="1">
      <c r="B653" s="125"/>
      <c r="D653" s="125"/>
      <c r="I653" s="125"/>
      <c r="Z653" s="124"/>
      <c r="AA653" s="74"/>
      <c r="AB653" s="240"/>
      <c r="AD653" s="124"/>
      <c r="AE653" s="238"/>
      <c r="AF653" s="239"/>
      <c r="AG653" s="239"/>
      <c r="AH653" s="124"/>
      <c r="AI653" s="74"/>
      <c r="AJ653" s="240"/>
      <c r="AL653" s="124"/>
      <c r="AM653" s="74"/>
      <c r="AP653" s="125"/>
      <c r="AQ653" s="241"/>
      <c r="AR653" s="125"/>
      <c r="AS653" s="125"/>
      <c r="AT653" s="238"/>
      <c r="AU653" s="125"/>
      <c r="AV653" s="125"/>
      <c r="AW653" s="125"/>
      <c r="AX653" s="238"/>
      <c r="AY653" s="125"/>
      <c r="AZ653" s="125"/>
      <c r="BA653" s="125"/>
    </row>
    <row r="654" spans="2:53" s="123" customFormat="1">
      <c r="B654" s="125"/>
      <c r="D654" s="125"/>
      <c r="I654" s="125"/>
      <c r="Z654" s="124"/>
      <c r="AA654" s="74"/>
      <c r="AB654" s="240"/>
      <c r="AD654" s="124"/>
      <c r="AE654" s="238"/>
      <c r="AF654" s="239"/>
      <c r="AG654" s="239"/>
      <c r="AH654" s="124"/>
      <c r="AI654" s="74"/>
      <c r="AJ654" s="240"/>
      <c r="AL654" s="124"/>
      <c r="AM654" s="74"/>
      <c r="AP654" s="125"/>
      <c r="AQ654" s="241"/>
      <c r="AR654" s="125"/>
      <c r="AS654" s="125"/>
      <c r="AT654" s="238"/>
      <c r="AU654" s="125"/>
      <c r="AV654" s="125"/>
      <c r="AW654" s="125"/>
      <c r="AX654" s="238"/>
      <c r="AY654" s="125"/>
      <c r="AZ654" s="125"/>
      <c r="BA654" s="125"/>
    </row>
    <row r="655" spans="2:53" s="123" customFormat="1">
      <c r="B655" s="125"/>
      <c r="D655" s="125"/>
      <c r="I655" s="125"/>
      <c r="Z655" s="124"/>
      <c r="AA655" s="74"/>
      <c r="AB655" s="240"/>
      <c r="AD655" s="124"/>
      <c r="AE655" s="238"/>
      <c r="AF655" s="239"/>
      <c r="AG655" s="239"/>
      <c r="AH655" s="124"/>
      <c r="AI655" s="74"/>
      <c r="AJ655" s="240"/>
      <c r="AL655" s="124"/>
      <c r="AM655" s="74"/>
      <c r="AP655" s="125"/>
      <c r="AQ655" s="241"/>
      <c r="AR655" s="125"/>
      <c r="AS655" s="125"/>
      <c r="AT655" s="238"/>
      <c r="AU655" s="125"/>
      <c r="AV655" s="125"/>
      <c r="AW655" s="125"/>
      <c r="AX655" s="238"/>
      <c r="AY655" s="125"/>
      <c r="AZ655" s="125"/>
      <c r="BA655" s="125"/>
    </row>
    <row r="656" spans="2:53" s="123" customFormat="1">
      <c r="B656" s="125"/>
      <c r="D656" s="125"/>
      <c r="I656" s="125"/>
      <c r="Z656" s="124"/>
      <c r="AA656" s="74"/>
      <c r="AB656" s="240"/>
      <c r="AD656" s="124"/>
      <c r="AE656" s="238"/>
      <c r="AF656" s="239"/>
      <c r="AG656" s="239"/>
      <c r="AH656" s="124"/>
      <c r="AI656" s="74"/>
      <c r="AJ656" s="240"/>
      <c r="AL656" s="124"/>
      <c r="AM656" s="74"/>
      <c r="AP656" s="125"/>
      <c r="AQ656" s="241"/>
      <c r="AR656" s="125"/>
      <c r="AS656" s="125"/>
      <c r="AT656" s="238"/>
      <c r="AU656" s="125"/>
      <c r="AV656" s="125"/>
      <c r="AW656" s="125"/>
      <c r="AX656" s="238"/>
      <c r="AY656" s="125"/>
      <c r="AZ656" s="125"/>
      <c r="BA656" s="125"/>
    </row>
    <row r="657" spans="2:53" s="123" customFormat="1">
      <c r="B657" s="125"/>
      <c r="D657" s="125"/>
      <c r="I657" s="125"/>
      <c r="Z657" s="124"/>
      <c r="AA657" s="74"/>
      <c r="AB657" s="240"/>
      <c r="AD657" s="124"/>
      <c r="AE657" s="238"/>
      <c r="AF657" s="239"/>
      <c r="AG657" s="239"/>
      <c r="AH657" s="124"/>
      <c r="AI657" s="74"/>
      <c r="AJ657" s="240"/>
      <c r="AL657" s="124"/>
      <c r="AM657" s="74"/>
      <c r="AP657" s="125"/>
      <c r="AQ657" s="241"/>
      <c r="AR657" s="125"/>
      <c r="AS657" s="125"/>
      <c r="AT657" s="238"/>
      <c r="AU657" s="125"/>
      <c r="AV657" s="125"/>
      <c r="AW657" s="125"/>
      <c r="AX657" s="238"/>
      <c r="AY657" s="125"/>
      <c r="AZ657" s="125"/>
      <c r="BA657" s="125"/>
    </row>
    <row r="658" spans="2:53" s="123" customFormat="1">
      <c r="B658" s="125"/>
      <c r="D658" s="125"/>
      <c r="I658" s="125"/>
      <c r="Z658" s="124"/>
      <c r="AA658" s="74"/>
      <c r="AB658" s="240"/>
      <c r="AD658" s="124"/>
      <c r="AE658" s="238"/>
      <c r="AF658" s="239"/>
      <c r="AG658" s="239"/>
      <c r="AH658" s="124"/>
      <c r="AI658" s="74"/>
      <c r="AJ658" s="240"/>
      <c r="AL658" s="124"/>
      <c r="AM658" s="74"/>
      <c r="AP658" s="125"/>
      <c r="AQ658" s="241"/>
      <c r="AR658" s="125"/>
      <c r="AS658" s="125"/>
      <c r="AT658" s="238"/>
      <c r="AU658" s="125"/>
      <c r="AV658" s="125"/>
      <c r="AW658" s="125"/>
      <c r="AX658" s="238"/>
      <c r="AY658" s="125"/>
      <c r="AZ658" s="125"/>
      <c r="BA658" s="125"/>
    </row>
    <row r="659" spans="2:53" s="123" customFormat="1">
      <c r="B659" s="125"/>
      <c r="D659" s="125"/>
      <c r="I659" s="125"/>
      <c r="Z659" s="124"/>
      <c r="AA659" s="74"/>
      <c r="AB659" s="240"/>
      <c r="AD659" s="124"/>
      <c r="AE659" s="238"/>
      <c r="AF659" s="239"/>
      <c r="AG659" s="239"/>
      <c r="AH659" s="124"/>
      <c r="AI659" s="74"/>
      <c r="AJ659" s="240"/>
      <c r="AL659" s="124"/>
      <c r="AM659" s="74"/>
      <c r="AP659" s="125"/>
      <c r="AQ659" s="241"/>
      <c r="AR659" s="125"/>
      <c r="AS659" s="125"/>
      <c r="AT659" s="238"/>
      <c r="AU659" s="125"/>
      <c r="AV659" s="125"/>
      <c r="AW659" s="125"/>
      <c r="AX659" s="238"/>
      <c r="AY659" s="125"/>
      <c r="AZ659" s="125"/>
      <c r="BA659" s="125"/>
    </row>
    <row r="660" spans="2:53" s="123" customFormat="1">
      <c r="B660" s="125"/>
      <c r="D660" s="125"/>
      <c r="I660" s="125"/>
      <c r="Z660" s="124"/>
      <c r="AA660" s="74"/>
      <c r="AB660" s="240"/>
      <c r="AD660" s="124"/>
      <c r="AE660" s="238"/>
      <c r="AF660" s="239"/>
      <c r="AG660" s="239"/>
      <c r="AH660" s="124"/>
      <c r="AI660" s="74"/>
      <c r="AJ660" s="240"/>
      <c r="AL660" s="124"/>
      <c r="AM660" s="74"/>
      <c r="AP660" s="125"/>
      <c r="AQ660" s="241"/>
      <c r="AR660" s="125"/>
      <c r="AS660" s="125"/>
      <c r="AT660" s="238"/>
      <c r="AU660" s="125"/>
      <c r="AV660" s="125"/>
      <c r="AW660" s="125"/>
      <c r="AX660" s="238"/>
      <c r="AY660" s="125"/>
      <c r="AZ660" s="125"/>
      <c r="BA660" s="125"/>
    </row>
    <row r="661" spans="2:53" s="123" customFormat="1">
      <c r="B661" s="125"/>
      <c r="D661" s="125"/>
      <c r="I661" s="125"/>
      <c r="Z661" s="124"/>
      <c r="AA661" s="74"/>
      <c r="AB661" s="240"/>
      <c r="AD661" s="124"/>
      <c r="AE661" s="238"/>
      <c r="AF661" s="239"/>
      <c r="AG661" s="239"/>
      <c r="AH661" s="124"/>
      <c r="AI661" s="74"/>
      <c r="AJ661" s="240"/>
      <c r="AL661" s="124"/>
      <c r="AM661" s="74"/>
      <c r="AP661" s="125"/>
      <c r="AQ661" s="241"/>
      <c r="AR661" s="125"/>
      <c r="AS661" s="125"/>
      <c r="AT661" s="238"/>
      <c r="AU661" s="125"/>
      <c r="AV661" s="125"/>
      <c r="AW661" s="125"/>
      <c r="AX661" s="238"/>
      <c r="AY661" s="125"/>
      <c r="AZ661" s="125"/>
      <c r="BA661" s="125"/>
    </row>
    <row r="662" spans="2:53" s="123" customFormat="1">
      <c r="B662" s="125"/>
      <c r="D662" s="125"/>
      <c r="I662" s="125"/>
      <c r="Z662" s="124"/>
      <c r="AA662" s="74"/>
      <c r="AB662" s="240"/>
      <c r="AD662" s="124"/>
      <c r="AE662" s="238"/>
      <c r="AF662" s="239"/>
      <c r="AG662" s="239"/>
      <c r="AH662" s="124"/>
      <c r="AI662" s="74"/>
      <c r="AJ662" s="240"/>
      <c r="AL662" s="124"/>
      <c r="AM662" s="74"/>
      <c r="AP662" s="125"/>
      <c r="AQ662" s="241"/>
      <c r="AR662" s="125"/>
      <c r="AS662" s="125"/>
      <c r="AT662" s="238"/>
      <c r="AU662" s="125"/>
      <c r="AV662" s="125"/>
      <c r="AW662" s="125"/>
      <c r="AX662" s="238"/>
      <c r="AY662" s="125"/>
      <c r="AZ662" s="125"/>
      <c r="BA662" s="125"/>
    </row>
    <row r="663" spans="2:53" s="123" customFormat="1">
      <c r="B663" s="125"/>
      <c r="D663" s="125"/>
      <c r="I663" s="125"/>
      <c r="Z663" s="124"/>
      <c r="AA663" s="74"/>
      <c r="AB663" s="240"/>
      <c r="AD663" s="124"/>
      <c r="AE663" s="238"/>
      <c r="AF663" s="239"/>
      <c r="AG663" s="239"/>
      <c r="AH663" s="124"/>
      <c r="AI663" s="74"/>
      <c r="AJ663" s="240"/>
      <c r="AL663" s="124"/>
      <c r="AM663" s="74"/>
      <c r="AP663" s="125"/>
      <c r="AQ663" s="241"/>
      <c r="AR663" s="125"/>
      <c r="AS663" s="125"/>
      <c r="AT663" s="238"/>
      <c r="AU663" s="125"/>
      <c r="AV663" s="125"/>
      <c r="AW663" s="125"/>
      <c r="AX663" s="238"/>
      <c r="AY663" s="125"/>
      <c r="AZ663" s="125"/>
      <c r="BA663" s="125"/>
    </row>
    <row r="664" spans="2:53" s="123" customFormat="1">
      <c r="B664" s="125"/>
      <c r="D664" s="125"/>
      <c r="I664" s="125"/>
      <c r="Z664" s="124"/>
      <c r="AA664" s="74"/>
      <c r="AB664" s="240"/>
      <c r="AD664" s="124"/>
      <c r="AE664" s="238"/>
      <c r="AF664" s="239"/>
      <c r="AG664" s="239"/>
      <c r="AH664" s="124"/>
      <c r="AI664" s="74"/>
      <c r="AJ664" s="240"/>
      <c r="AL664" s="124"/>
      <c r="AM664" s="74"/>
      <c r="AP664" s="125"/>
      <c r="AQ664" s="241"/>
      <c r="AR664" s="125"/>
      <c r="AS664" s="125"/>
      <c r="AT664" s="238"/>
      <c r="AU664" s="125"/>
      <c r="AV664" s="125"/>
      <c r="AW664" s="125"/>
      <c r="AX664" s="238"/>
      <c r="AY664" s="125"/>
      <c r="AZ664" s="125"/>
      <c r="BA664" s="125"/>
    </row>
    <row r="665" spans="2:53" s="123" customFormat="1">
      <c r="B665" s="125"/>
      <c r="D665" s="125"/>
      <c r="I665" s="125"/>
      <c r="Z665" s="124"/>
      <c r="AA665" s="74"/>
      <c r="AB665" s="240"/>
      <c r="AD665" s="124"/>
      <c r="AE665" s="238"/>
      <c r="AF665" s="239"/>
      <c r="AG665" s="239"/>
      <c r="AH665" s="124"/>
      <c r="AI665" s="74"/>
      <c r="AJ665" s="240"/>
      <c r="AL665" s="124"/>
      <c r="AM665" s="74"/>
      <c r="AP665" s="125"/>
      <c r="AQ665" s="241"/>
      <c r="AR665" s="125"/>
      <c r="AS665" s="125"/>
      <c r="AT665" s="238"/>
      <c r="AU665" s="125"/>
      <c r="AV665" s="125"/>
      <c r="AW665" s="125"/>
      <c r="AX665" s="238"/>
      <c r="AY665" s="125"/>
      <c r="AZ665" s="125"/>
      <c r="BA665" s="125"/>
    </row>
    <row r="666" spans="2:53" s="123" customFormat="1">
      <c r="B666" s="125"/>
      <c r="D666" s="125"/>
      <c r="I666" s="125"/>
      <c r="Z666" s="124"/>
      <c r="AA666" s="74"/>
      <c r="AB666" s="240"/>
      <c r="AD666" s="124"/>
      <c r="AE666" s="238"/>
      <c r="AF666" s="239"/>
      <c r="AG666" s="239"/>
      <c r="AH666" s="124"/>
      <c r="AI666" s="74"/>
      <c r="AJ666" s="240"/>
      <c r="AL666" s="124"/>
      <c r="AM666" s="74"/>
      <c r="AP666" s="125"/>
      <c r="AQ666" s="241"/>
      <c r="AR666" s="125"/>
      <c r="AS666" s="125"/>
      <c r="AT666" s="238"/>
      <c r="AU666" s="125"/>
      <c r="AV666" s="125"/>
      <c r="AW666" s="125"/>
      <c r="AX666" s="238"/>
      <c r="AY666" s="125"/>
      <c r="AZ666" s="125"/>
      <c r="BA666" s="125"/>
    </row>
    <row r="667" spans="2:53" s="123" customFormat="1">
      <c r="B667" s="125"/>
      <c r="D667" s="125"/>
      <c r="I667" s="125"/>
      <c r="Z667" s="124"/>
      <c r="AA667" s="74"/>
      <c r="AB667" s="240"/>
      <c r="AD667" s="124"/>
      <c r="AE667" s="238"/>
      <c r="AF667" s="239"/>
      <c r="AG667" s="239"/>
      <c r="AH667" s="124"/>
      <c r="AI667" s="74"/>
      <c r="AJ667" s="240"/>
      <c r="AL667" s="124"/>
      <c r="AM667" s="74"/>
      <c r="AP667" s="125"/>
      <c r="AQ667" s="241"/>
      <c r="AR667" s="125"/>
      <c r="AS667" s="125"/>
      <c r="AT667" s="238"/>
      <c r="AU667" s="125"/>
      <c r="AV667" s="125"/>
      <c r="AW667" s="125"/>
      <c r="AX667" s="238"/>
      <c r="AY667" s="125"/>
      <c r="AZ667" s="125"/>
      <c r="BA667" s="125"/>
    </row>
    <row r="668" spans="2:53" s="123" customFormat="1">
      <c r="B668" s="125"/>
      <c r="D668" s="125"/>
      <c r="I668" s="125"/>
      <c r="Z668" s="124"/>
      <c r="AA668" s="74"/>
      <c r="AB668" s="240"/>
      <c r="AD668" s="124"/>
      <c r="AE668" s="238"/>
      <c r="AF668" s="239"/>
      <c r="AG668" s="239"/>
      <c r="AH668" s="124"/>
      <c r="AI668" s="74"/>
      <c r="AJ668" s="240"/>
      <c r="AL668" s="124"/>
      <c r="AM668" s="74"/>
      <c r="AP668" s="125"/>
      <c r="AQ668" s="241"/>
      <c r="AR668" s="125"/>
      <c r="AS668" s="125"/>
      <c r="AT668" s="238"/>
      <c r="AU668" s="125"/>
      <c r="AV668" s="125"/>
      <c r="AW668" s="125"/>
      <c r="AX668" s="238"/>
      <c r="AY668" s="125"/>
      <c r="AZ668" s="125"/>
      <c r="BA668" s="125"/>
    </row>
    <row r="669" spans="2:53" s="123" customFormat="1">
      <c r="B669" s="125"/>
      <c r="D669" s="125"/>
      <c r="I669" s="125"/>
      <c r="Z669" s="124"/>
      <c r="AA669" s="74"/>
      <c r="AB669" s="240"/>
      <c r="AD669" s="124"/>
      <c r="AE669" s="238"/>
      <c r="AF669" s="239"/>
      <c r="AG669" s="239"/>
      <c r="AH669" s="124"/>
      <c r="AI669" s="74"/>
      <c r="AJ669" s="240"/>
      <c r="AL669" s="124"/>
      <c r="AM669" s="74"/>
      <c r="AP669" s="125"/>
      <c r="AQ669" s="241"/>
      <c r="AR669" s="125"/>
      <c r="AS669" s="125"/>
      <c r="AT669" s="238"/>
      <c r="AU669" s="125"/>
      <c r="AV669" s="125"/>
      <c r="AW669" s="125"/>
      <c r="AX669" s="238"/>
      <c r="AY669" s="125"/>
      <c r="AZ669" s="125"/>
      <c r="BA669" s="125"/>
    </row>
    <row r="670" spans="2:53" s="123" customFormat="1">
      <c r="B670" s="125"/>
      <c r="D670" s="125"/>
      <c r="I670" s="125"/>
      <c r="Z670" s="124"/>
      <c r="AA670" s="74"/>
      <c r="AB670" s="240"/>
      <c r="AD670" s="124"/>
      <c r="AE670" s="238"/>
      <c r="AF670" s="239"/>
      <c r="AG670" s="239"/>
      <c r="AH670" s="124"/>
      <c r="AI670" s="74"/>
      <c r="AJ670" s="240"/>
      <c r="AL670" s="124"/>
      <c r="AM670" s="74"/>
      <c r="AP670" s="125"/>
      <c r="AQ670" s="241"/>
      <c r="AR670" s="125"/>
      <c r="AS670" s="125"/>
      <c r="AT670" s="238"/>
      <c r="AU670" s="125"/>
      <c r="AV670" s="125"/>
      <c r="AW670" s="125"/>
      <c r="AX670" s="238"/>
      <c r="AY670" s="125"/>
      <c r="AZ670" s="125"/>
      <c r="BA670" s="125"/>
    </row>
    <row r="671" spans="2:53" s="123" customFormat="1">
      <c r="B671" s="125"/>
      <c r="D671" s="125"/>
      <c r="I671" s="125"/>
      <c r="Z671" s="124"/>
      <c r="AA671" s="74"/>
      <c r="AB671" s="240"/>
      <c r="AD671" s="124"/>
      <c r="AE671" s="238"/>
      <c r="AF671" s="239"/>
      <c r="AG671" s="239"/>
      <c r="AH671" s="124"/>
      <c r="AI671" s="74"/>
      <c r="AJ671" s="240"/>
      <c r="AL671" s="124"/>
      <c r="AM671" s="74"/>
      <c r="AP671" s="125"/>
      <c r="AQ671" s="241"/>
      <c r="AR671" s="125"/>
      <c r="AS671" s="125"/>
      <c r="AT671" s="238"/>
      <c r="AU671" s="125"/>
      <c r="AV671" s="125"/>
      <c r="AW671" s="125"/>
      <c r="AX671" s="238"/>
      <c r="AY671" s="125"/>
      <c r="AZ671" s="125"/>
      <c r="BA671" s="125"/>
    </row>
    <row r="672" spans="2:53" s="123" customFormat="1">
      <c r="B672" s="125"/>
      <c r="D672" s="125"/>
      <c r="I672" s="125"/>
      <c r="Z672" s="124"/>
      <c r="AA672" s="74"/>
      <c r="AB672" s="240"/>
      <c r="AD672" s="124"/>
      <c r="AE672" s="238"/>
      <c r="AF672" s="239"/>
      <c r="AG672" s="239"/>
      <c r="AH672" s="124"/>
      <c r="AI672" s="74"/>
      <c r="AJ672" s="240"/>
      <c r="AL672" s="124"/>
      <c r="AM672" s="74"/>
      <c r="AP672" s="125"/>
      <c r="AQ672" s="241"/>
      <c r="AR672" s="125"/>
      <c r="AS672" s="125"/>
      <c r="AT672" s="238"/>
      <c r="AU672" s="125"/>
      <c r="AV672" s="125"/>
      <c r="AW672" s="125"/>
      <c r="AX672" s="238"/>
      <c r="AY672" s="125"/>
      <c r="AZ672" s="125"/>
      <c r="BA672" s="125"/>
    </row>
    <row r="673" spans="2:53" s="123" customFormat="1">
      <c r="B673" s="125"/>
      <c r="D673" s="125"/>
      <c r="I673" s="125"/>
      <c r="Z673" s="124"/>
      <c r="AA673" s="74"/>
      <c r="AB673" s="240"/>
      <c r="AD673" s="124"/>
      <c r="AE673" s="238"/>
      <c r="AF673" s="239"/>
      <c r="AG673" s="239"/>
      <c r="AH673" s="124"/>
      <c r="AI673" s="74"/>
      <c r="AJ673" s="240"/>
      <c r="AL673" s="124"/>
      <c r="AM673" s="74"/>
      <c r="AP673" s="125"/>
      <c r="AQ673" s="241"/>
      <c r="AR673" s="125"/>
      <c r="AS673" s="125"/>
      <c r="AT673" s="238"/>
      <c r="AU673" s="125"/>
      <c r="AV673" s="125"/>
      <c r="AW673" s="125"/>
      <c r="AX673" s="238"/>
      <c r="AY673" s="125"/>
      <c r="AZ673" s="125"/>
      <c r="BA673" s="125"/>
    </row>
    <row r="674" spans="2:53" s="123" customFormat="1">
      <c r="B674" s="125"/>
      <c r="D674" s="125"/>
      <c r="I674" s="125"/>
      <c r="Z674" s="124"/>
      <c r="AA674" s="74"/>
      <c r="AB674" s="240"/>
      <c r="AD674" s="124"/>
      <c r="AE674" s="238"/>
      <c r="AF674" s="239"/>
      <c r="AG674" s="239"/>
      <c r="AH674" s="124"/>
      <c r="AI674" s="74"/>
      <c r="AJ674" s="240"/>
      <c r="AL674" s="124"/>
      <c r="AM674" s="74"/>
      <c r="AP674" s="125"/>
      <c r="AQ674" s="241"/>
      <c r="AR674" s="125"/>
      <c r="AS674" s="125"/>
      <c r="AT674" s="238"/>
      <c r="AU674" s="125"/>
      <c r="AV674" s="125"/>
      <c r="AW674" s="125"/>
      <c r="AX674" s="238"/>
      <c r="AY674" s="125"/>
      <c r="AZ674" s="125"/>
      <c r="BA674" s="125"/>
    </row>
    <row r="675" spans="2:53" s="123" customFormat="1">
      <c r="B675" s="125"/>
      <c r="D675" s="125"/>
      <c r="I675" s="125"/>
      <c r="Z675" s="124"/>
      <c r="AA675" s="74"/>
      <c r="AB675" s="240"/>
      <c r="AD675" s="124"/>
      <c r="AE675" s="238"/>
      <c r="AF675" s="239"/>
      <c r="AG675" s="239"/>
      <c r="AH675" s="124"/>
      <c r="AI675" s="74"/>
      <c r="AJ675" s="240"/>
      <c r="AL675" s="124"/>
      <c r="AM675" s="74"/>
      <c r="AP675" s="125"/>
      <c r="AQ675" s="241"/>
      <c r="AR675" s="125"/>
      <c r="AS675" s="125"/>
      <c r="AT675" s="238"/>
      <c r="AU675" s="125"/>
      <c r="AV675" s="125"/>
      <c r="AW675" s="125"/>
      <c r="AX675" s="238"/>
      <c r="AY675" s="125"/>
      <c r="AZ675" s="125"/>
      <c r="BA675" s="125"/>
    </row>
    <row r="676" spans="2:53" s="123" customFormat="1">
      <c r="B676" s="125"/>
      <c r="D676" s="125"/>
      <c r="I676" s="125"/>
      <c r="Z676" s="124"/>
      <c r="AA676" s="74"/>
      <c r="AB676" s="240"/>
      <c r="AD676" s="124"/>
      <c r="AE676" s="238"/>
      <c r="AF676" s="239"/>
      <c r="AG676" s="239"/>
      <c r="AH676" s="124"/>
      <c r="AI676" s="74"/>
      <c r="AJ676" s="240"/>
      <c r="AL676" s="124"/>
      <c r="AM676" s="74"/>
      <c r="AP676" s="125"/>
      <c r="AQ676" s="241"/>
      <c r="AR676" s="125"/>
      <c r="AS676" s="125"/>
      <c r="AT676" s="238"/>
      <c r="AU676" s="125"/>
      <c r="AV676" s="125"/>
      <c r="AW676" s="125"/>
      <c r="AX676" s="238"/>
      <c r="AY676" s="125"/>
      <c r="AZ676" s="125"/>
      <c r="BA676" s="125"/>
    </row>
    <row r="677" spans="2:53" s="123" customFormat="1">
      <c r="B677" s="125"/>
      <c r="D677" s="125"/>
      <c r="I677" s="125"/>
      <c r="Z677" s="124"/>
      <c r="AA677" s="74"/>
      <c r="AB677" s="240"/>
      <c r="AD677" s="124"/>
      <c r="AE677" s="238"/>
      <c r="AF677" s="239"/>
      <c r="AG677" s="239"/>
      <c r="AH677" s="124"/>
      <c r="AI677" s="74"/>
      <c r="AJ677" s="240"/>
      <c r="AL677" s="124"/>
      <c r="AM677" s="74"/>
      <c r="AP677" s="125"/>
      <c r="AQ677" s="241"/>
      <c r="AR677" s="125"/>
      <c r="AS677" s="125"/>
      <c r="AT677" s="238"/>
      <c r="AU677" s="125"/>
      <c r="AV677" s="125"/>
      <c r="AW677" s="125"/>
      <c r="AX677" s="238"/>
      <c r="AY677" s="125"/>
      <c r="AZ677" s="125"/>
      <c r="BA677" s="125"/>
    </row>
    <row r="678" spans="2:53" s="123" customFormat="1">
      <c r="B678" s="125"/>
      <c r="D678" s="125"/>
      <c r="I678" s="125"/>
      <c r="Z678" s="124"/>
      <c r="AA678" s="74"/>
      <c r="AB678" s="240"/>
      <c r="AD678" s="124"/>
      <c r="AE678" s="238"/>
      <c r="AF678" s="239"/>
      <c r="AG678" s="239"/>
      <c r="AH678" s="124"/>
      <c r="AI678" s="74"/>
      <c r="AJ678" s="240"/>
      <c r="AL678" s="124"/>
      <c r="AM678" s="74"/>
      <c r="AP678" s="125"/>
      <c r="AQ678" s="241"/>
      <c r="AR678" s="125"/>
      <c r="AS678" s="125"/>
      <c r="AT678" s="238"/>
      <c r="AU678" s="125"/>
      <c r="AV678" s="125"/>
      <c r="AW678" s="125"/>
      <c r="AX678" s="238"/>
      <c r="AY678" s="125"/>
      <c r="AZ678" s="125"/>
      <c r="BA678" s="125"/>
    </row>
    <row r="679" spans="2:53" s="123" customFormat="1">
      <c r="B679" s="125"/>
      <c r="D679" s="125"/>
      <c r="I679" s="125"/>
      <c r="Z679" s="124"/>
      <c r="AA679" s="74"/>
      <c r="AB679" s="240"/>
      <c r="AD679" s="124"/>
      <c r="AE679" s="238"/>
      <c r="AF679" s="239"/>
      <c r="AG679" s="239"/>
      <c r="AH679" s="124"/>
      <c r="AI679" s="74"/>
      <c r="AJ679" s="240"/>
      <c r="AL679" s="124"/>
      <c r="AM679" s="74"/>
      <c r="AP679" s="125"/>
      <c r="AQ679" s="241"/>
      <c r="AR679" s="125"/>
      <c r="AS679" s="125"/>
      <c r="AT679" s="238"/>
      <c r="AU679" s="125"/>
      <c r="AV679" s="125"/>
      <c r="AW679" s="125"/>
      <c r="AX679" s="238"/>
      <c r="AY679" s="125"/>
      <c r="AZ679" s="125"/>
      <c r="BA679" s="125"/>
    </row>
    <row r="680" spans="2:53" s="123" customFormat="1">
      <c r="B680" s="125"/>
      <c r="D680" s="125"/>
      <c r="I680" s="125"/>
      <c r="Z680" s="124"/>
      <c r="AA680" s="74"/>
      <c r="AB680" s="240"/>
      <c r="AD680" s="124"/>
      <c r="AE680" s="238"/>
      <c r="AF680" s="239"/>
      <c r="AG680" s="239"/>
      <c r="AH680" s="124"/>
      <c r="AI680" s="74"/>
      <c r="AJ680" s="240"/>
      <c r="AL680" s="124"/>
      <c r="AM680" s="74"/>
      <c r="AP680" s="125"/>
      <c r="AQ680" s="241"/>
      <c r="AR680" s="125"/>
      <c r="AS680" s="125"/>
      <c r="AT680" s="238"/>
      <c r="AU680" s="125"/>
      <c r="AV680" s="125"/>
      <c r="AW680" s="125"/>
      <c r="AX680" s="238"/>
      <c r="AY680" s="125"/>
      <c r="AZ680" s="125"/>
      <c r="BA680" s="125"/>
    </row>
    <row r="681" spans="2:53" s="123" customFormat="1">
      <c r="B681" s="125"/>
      <c r="D681" s="125"/>
      <c r="I681" s="125"/>
      <c r="Z681" s="124"/>
      <c r="AA681" s="74"/>
      <c r="AB681" s="240"/>
      <c r="AD681" s="124"/>
      <c r="AE681" s="238"/>
      <c r="AF681" s="239"/>
      <c r="AG681" s="239"/>
      <c r="AH681" s="124"/>
      <c r="AI681" s="74"/>
      <c r="AJ681" s="240"/>
      <c r="AL681" s="124"/>
      <c r="AM681" s="74"/>
      <c r="AP681" s="125"/>
      <c r="AQ681" s="241"/>
      <c r="AR681" s="125"/>
      <c r="AS681" s="125"/>
      <c r="AT681" s="238"/>
      <c r="AU681" s="125"/>
      <c r="AV681" s="125"/>
      <c r="AW681" s="125"/>
      <c r="AX681" s="238"/>
      <c r="AY681" s="125"/>
      <c r="AZ681" s="125"/>
      <c r="BA681" s="125"/>
    </row>
    <row r="682" spans="2:53" s="123" customFormat="1">
      <c r="B682" s="125"/>
      <c r="D682" s="125"/>
      <c r="I682" s="125"/>
      <c r="Z682" s="124"/>
      <c r="AA682" s="74"/>
      <c r="AB682" s="240"/>
      <c r="AD682" s="124"/>
      <c r="AE682" s="238"/>
      <c r="AF682" s="239"/>
      <c r="AG682" s="239"/>
      <c r="AH682" s="124"/>
      <c r="AI682" s="74"/>
      <c r="AJ682" s="240"/>
      <c r="AL682" s="124"/>
      <c r="AM682" s="74"/>
      <c r="AP682" s="125"/>
      <c r="AQ682" s="241"/>
      <c r="AR682" s="125"/>
      <c r="AS682" s="125"/>
      <c r="AT682" s="238"/>
      <c r="AU682" s="125"/>
      <c r="AV682" s="125"/>
      <c r="AW682" s="125"/>
      <c r="AX682" s="238"/>
      <c r="AY682" s="125"/>
      <c r="AZ682" s="125"/>
      <c r="BA682" s="125"/>
    </row>
    <row r="683" spans="2:53" s="123" customFormat="1">
      <c r="B683" s="125"/>
      <c r="D683" s="125"/>
      <c r="I683" s="125"/>
      <c r="Z683" s="124"/>
      <c r="AA683" s="74"/>
      <c r="AB683" s="240"/>
      <c r="AD683" s="124"/>
      <c r="AE683" s="238"/>
      <c r="AF683" s="239"/>
      <c r="AG683" s="239"/>
      <c r="AH683" s="124"/>
      <c r="AI683" s="74"/>
      <c r="AJ683" s="240"/>
      <c r="AL683" s="124"/>
      <c r="AM683" s="74"/>
      <c r="AP683" s="125"/>
      <c r="AQ683" s="241"/>
      <c r="AR683" s="125"/>
      <c r="AS683" s="125"/>
      <c r="AT683" s="238"/>
      <c r="AU683" s="125"/>
      <c r="AV683" s="125"/>
      <c r="AW683" s="125"/>
      <c r="AX683" s="238"/>
      <c r="AY683" s="125"/>
      <c r="AZ683" s="125"/>
      <c r="BA683" s="125"/>
    </row>
    <row r="684" spans="2:53" s="123" customFormat="1">
      <c r="B684" s="125"/>
      <c r="D684" s="125"/>
      <c r="I684" s="125"/>
      <c r="Z684" s="124"/>
      <c r="AA684" s="74"/>
      <c r="AB684" s="240"/>
      <c r="AD684" s="124"/>
      <c r="AE684" s="238"/>
      <c r="AF684" s="239"/>
      <c r="AG684" s="239"/>
      <c r="AH684" s="124"/>
      <c r="AI684" s="74"/>
      <c r="AJ684" s="240"/>
      <c r="AL684" s="124"/>
      <c r="AM684" s="74"/>
      <c r="AP684" s="125"/>
      <c r="AQ684" s="241"/>
      <c r="AR684" s="125"/>
      <c r="AS684" s="125"/>
      <c r="AT684" s="238"/>
      <c r="AU684" s="125"/>
      <c r="AV684" s="125"/>
      <c r="AW684" s="125"/>
      <c r="AX684" s="238"/>
      <c r="AY684" s="125"/>
      <c r="AZ684" s="125"/>
      <c r="BA684" s="125"/>
    </row>
    <row r="685" spans="2:53" s="123" customFormat="1">
      <c r="B685" s="125"/>
      <c r="D685" s="125"/>
      <c r="I685" s="125"/>
      <c r="Z685" s="124"/>
      <c r="AA685" s="74"/>
      <c r="AB685" s="240"/>
      <c r="AD685" s="124"/>
      <c r="AE685" s="238"/>
      <c r="AF685" s="239"/>
      <c r="AG685" s="239"/>
      <c r="AH685" s="124"/>
      <c r="AI685" s="74"/>
      <c r="AJ685" s="240"/>
      <c r="AL685" s="124"/>
      <c r="AM685" s="74"/>
      <c r="AP685" s="125"/>
      <c r="AQ685" s="241"/>
      <c r="AR685" s="125"/>
      <c r="AS685" s="125"/>
      <c r="AT685" s="238"/>
      <c r="AU685" s="125"/>
      <c r="AV685" s="125"/>
      <c r="AW685" s="125"/>
      <c r="AX685" s="238"/>
      <c r="AY685" s="125"/>
      <c r="AZ685" s="125"/>
      <c r="BA685" s="125"/>
    </row>
    <row r="686" spans="2:53" s="123" customFormat="1">
      <c r="B686" s="125"/>
      <c r="D686" s="125"/>
      <c r="I686" s="125"/>
      <c r="Z686" s="124"/>
      <c r="AA686" s="74"/>
      <c r="AB686" s="240"/>
      <c r="AD686" s="124"/>
      <c r="AE686" s="238"/>
      <c r="AF686" s="239"/>
      <c r="AG686" s="239"/>
      <c r="AH686" s="124"/>
      <c r="AI686" s="74"/>
      <c r="AJ686" s="240"/>
      <c r="AL686" s="124"/>
      <c r="AM686" s="74"/>
      <c r="AP686" s="125"/>
      <c r="AQ686" s="241"/>
      <c r="AR686" s="125"/>
      <c r="AS686" s="125"/>
      <c r="AT686" s="238"/>
      <c r="AU686" s="125"/>
      <c r="AV686" s="125"/>
      <c r="AW686" s="125"/>
      <c r="AX686" s="238"/>
      <c r="AY686" s="125"/>
      <c r="AZ686" s="125"/>
      <c r="BA686" s="125"/>
    </row>
    <row r="687" spans="2:53" s="123" customFormat="1">
      <c r="B687" s="125"/>
      <c r="D687" s="125"/>
      <c r="I687" s="125"/>
      <c r="Z687" s="124"/>
      <c r="AA687" s="74"/>
      <c r="AB687" s="240"/>
      <c r="AD687" s="124"/>
      <c r="AE687" s="238"/>
      <c r="AF687" s="239"/>
      <c r="AG687" s="239"/>
      <c r="AH687" s="124"/>
      <c r="AI687" s="74"/>
      <c r="AJ687" s="240"/>
      <c r="AL687" s="124"/>
      <c r="AM687" s="74"/>
      <c r="AP687" s="125"/>
      <c r="AQ687" s="241"/>
      <c r="AR687" s="125"/>
      <c r="AS687" s="125"/>
      <c r="AT687" s="238"/>
      <c r="AU687" s="125"/>
      <c r="AV687" s="125"/>
      <c r="AW687" s="125"/>
      <c r="AX687" s="238"/>
      <c r="AY687" s="125"/>
      <c r="AZ687" s="125"/>
      <c r="BA687" s="125"/>
    </row>
    <row r="688" spans="2:53" s="123" customFormat="1">
      <c r="B688" s="125"/>
      <c r="D688" s="125"/>
      <c r="I688" s="125"/>
      <c r="Z688" s="124"/>
      <c r="AA688" s="74"/>
      <c r="AB688" s="240"/>
      <c r="AD688" s="124"/>
      <c r="AE688" s="238"/>
      <c r="AF688" s="239"/>
      <c r="AG688" s="239"/>
      <c r="AH688" s="124"/>
      <c r="AI688" s="74"/>
      <c r="AJ688" s="240"/>
      <c r="AL688" s="124"/>
      <c r="AM688" s="74"/>
      <c r="AP688" s="125"/>
      <c r="AQ688" s="241"/>
      <c r="AR688" s="125"/>
      <c r="AS688" s="125"/>
      <c r="AT688" s="238"/>
      <c r="AU688" s="125"/>
      <c r="AV688" s="125"/>
      <c r="AW688" s="125"/>
      <c r="AX688" s="238"/>
      <c r="AY688" s="125"/>
      <c r="AZ688" s="125"/>
      <c r="BA688" s="125"/>
    </row>
    <row r="689" spans="2:53" s="123" customFormat="1">
      <c r="B689" s="125"/>
      <c r="D689" s="125"/>
      <c r="I689" s="125"/>
      <c r="Z689" s="124"/>
      <c r="AA689" s="74"/>
      <c r="AB689" s="240"/>
      <c r="AD689" s="124"/>
      <c r="AE689" s="238"/>
      <c r="AF689" s="239"/>
      <c r="AG689" s="239"/>
      <c r="AH689" s="124"/>
      <c r="AI689" s="74"/>
      <c r="AJ689" s="240"/>
      <c r="AL689" s="124"/>
      <c r="AM689" s="74"/>
      <c r="AP689" s="125"/>
      <c r="AQ689" s="241"/>
      <c r="AR689" s="125"/>
      <c r="AS689" s="125"/>
      <c r="AT689" s="238"/>
      <c r="AU689" s="125"/>
      <c r="AV689" s="125"/>
      <c r="AW689" s="125"/>
      <c r="AX689" s="238"/>
      <c r="AY689" s="125"/>
      <c r="AZ689" s="125"/>
      <c r="BA689" s="125"/>
    </row>
    <row r="690" spans="2:53" s="123" customFormat="1">
      <c r="B690" s="125"/>
      <c r="D690" s="125"/>
      <c r="I690" s="125"/>
      <c r="Z690" s="124"/>
      <c r="AA690" s="74"/>
      <c r="AB690" s="240"/>
      <c r="AD690" s="124"/>
      <c r="AE690" s="238"/>
      <c r="AF690" s="239"/>
      <c r="AG690" s="239"/>
      <c r="AH690" s="124"/>
      <c r="AI690" s="74"/>
      <c r="AJ690" s="240"/>
      <c r="AL690" s="124"/>
      <c r="AM690" s="74"/>
      <c r="AP690" s="125"/>
      <c r="AQ690" s="241"/>
      <c r="AR690" s="125"/>
      <c r="AS690" s="125"/>
      <c r="AT690" s="238"/>
      <c r="AU690" s="125"/>
      <c r="AV690" s="125"/>
      <c r="AW690" s="125"/>
      <c r="AX690" s="238"/>
      <c r="AY690" s="125"/>
      <c r="AZ690" s="125"/>
      <c r="BA690" s="125"/>
    </row>
    <row r="691" spans="2:53" s="123" customFormat="1">
      <c r="B691" s="125"/>
      <c r="D691" s="125"/>
      <c r="I691" s="125"/>
      <c r="Z691" s="124"/>
      <c r="AA691" s="74"/>
      <c r="AB691" s="240"/>
      <c r="AD691" s="124"/>
      <c r="AE691" s="238"/>
      <c r="AF691" s="239"/>
      <c r="AG691" s="239"/>
      <c r="AH691" s="124"/>
      <c r="AI691" s="74"/>
      <c r="AJ691" s="240"/>
      <c r="AL691" s="124"/>
      <c r="AM691" s="74"/>
      <c r="AP691" s="125"/>
      <c r="AQ691" s="241"/>
      <c r="AR691" s="125"/>
      <c r="AS691" s="125"/>
      <c r="AT691" s="238"/>
      <c r="AU691" s="125"/>
      <c r="AV691" s="125"/>
      <c r="AW691" s="125"/>
      <c r="AX691" s="238"/>
      <c r="AY691" s="125"/>
      <c r="AZ691" s="125"/>
      <c r="BA691" s="125"/>
    </row>
    <row r="692" spans="2:53" s="123" customFormat="1">
      <c r="B692" s="125"/>
      <c r="D692" s="125"/>
      <c r="I692" s="125"/>
      <c r="Z692" s="124"/>
      <c r="AA692" s="74"/>
      <c r="AB692" s="240"/>
      <c r="AD692" s="124"/>
      <c r="AE692" s="238"/>
      <c r="AF692" s="239"/>
      <c r="AG692" s="239"/>
      <c r="AH692" s="124"/>
      <c r="AI692" s="74"/>
      <c r="AJ692" s="240"/>
      <c r="AL692" s="124"/>
      <c r="AM692" s="74"/>
      <c r="AP692" s="125"/>
      <c r="AQ692" s="241"/>
      <c r="AR692" s="125"/>
      <c r="AS692" s="125"/>
      <c r="AT692" s="238"/>
      <c r="AU692" s="125"/>
      <c r="AV692" s="125"/>
      <c r="AW692" s="125"/>
      <c r="AX692" s="238"/>
      <c r="AY692" s="125"/>
      <c r="AZ692" s="125"/>
      <c r="BA692" s="125"/>
    </row>
    <row r="693" spans="2:53" s="123" customFormat="1">
      <c r="B693" s="125"/>
      <c r="D693" s="125"/>
      <c r="I693" s="125"/>
      <c r="Z693" s="124"/>
      <c r="AA693" s="74"/>
      <c r="AB693" s="240"/>
      <c r="AD693" s="124"/>
      <c r="AE693" s="238"/>
      <c r="AF693" s="239"/>
      <c r="AG693" s="239"/>
      <c r="AH693" s="124"/>
      <c r="AI693" s="74"/>
      <c r="AJ693" s="240"/>
      <c r="AL693" s="124"/>
      <c r="AM693" s="74"/>
      <c r="AP693" s="125"/>
      <c r="AQ693" s="241"/>
      <c r="AR693" s="125"/>
      <c r="AS693" s="125"/>
      <c r="AT693" s="238"/>
      <c r="AU693" s="125"/>
      <c r="AV693" s="125"/>
      <c r="AW693" s="125"/>
      <c r="AX693" s="238"/>
      <c r="AY693" s="125"/>
      <c r="AZ693" s="125"/>
      <c r="BA693" s="125"/>
    </row>
    <row r="694" spans="2:53" s="123" customFormat="1">
      <c r="B694" s="125"/>
      <c r="D694" s="125"/>
      <c r="I694" s="125"/>
      <c r="Z694" s="124"/>
      <c r="AA694" s="74"/>
      <c r="AB694" s="240"/>
      <c r="AD694" s="124"/>
      <c r="AE694" s="238"/>
      <c r="AF694" s="239"/>
      <c r="AG694" s="239"/>
      <c r="AH694" s="124"/>
      <c r="AI694" s="74"/>
      <c r="AJ694" s="240"/>
      <c r="AL694" s="124"/>
      <c r="AM694" s="74"/>
      <c r="AP694" s="125"/>
      <c r="AQ694" s="241"/>
      <c r="AR694" s="125"/>
      <c r="AS694" s="125"/>
      <c r="AT694" s="238"/>
      <c r="AU694" s="125"/>
      <c r="AV694" s="125"/>
      <c r="AW694" s="125"/>
      <c r="AX694" s="238"/>
      <c r="AY694" s="125"/>
      <c r="AZ694" s="125"/>
      <c r="BA694" s="125"/>
    </row>
    <row r="695" spans="2:53" s="123" customFormat="1">
      <c r="B695" s="125"/>
      <c r="D695" s="125"/>
      <c r="I695" s="125"/>
      <c r="Z695" s="124"/>
      <c r="AA695" s="74"/>
      <c r="AB695" s="240"/>
      <c r="AD695" s="124"/>
      <c r="AE695" s="238"/>
      <c r="AF695" s="239"/>
      <c r="AG695" s="239"/>
      <c r="AH695" s="124"/>
      <c r="AI695" s="74"/>
      <c r="AJ695" s="240"/>
      <c r="AL695" s="124"/>
      <c r="AM695" s="74"/>
      <c r="AP695" s="125"/>
      <c r="AQ695" s="241"/>
      <c r="AR695" s="125"/>
      <c r="AS695" s="125"/>
      <c r="AT695" s="238"/>
      <c r="AU695" s="125"/>
      <c r="AV695" s="125"/>
      <c r="AW695" s="125"/>
      <c r="AX695" s="238"/>
      <c r="AY695" s="125"/>
      <c r="AZ695" s="125"/>
      <c r="BA695" s="125"/>
    </row>
    <row r="696" spans="2:53" s="123" customFormat="1">
      <c r="B696" s="125"/>
      <c r="D696" s="125"/>
      <c r="I696" s="125"/>
      <c r="Z696" s="124"/>
      <c r="AA696" s="74"/>
      <c r="AB696" s="240"/>
      <c r="AD696" s="124"/>
      <c r="AE696" s="238"/>
      <c r="AF696" s="239"/>
      <c r="AG696" s="239"/>
      <c r="AH696" s="124"/>
      <c r="AI696" s="74"/>
      <c r="AJ696" s="240"/>
      <c r="AL696" s="124"/>
      <c r="AM696" s="74"/>
      <c r="AP696" s="125"/>
      <c r="AQ696" s="241"/>
      <c r="AR696" s="125"/>
      <c r="AS696" s="125"/>
      <c r="AT696" s="238"/>
      <c r="AU696" s="125"/>
      <c r="AV696" s="125"/>
      <c r="AW696" s="125"/>
      <c r="AX696" s="238"/>
      <c r="AY696" s="125"/>
      <c r="AZ696" s="125"/>
      <c r="BA696" s="125"/>
    </row>
    <row r="697" spans="2:53" s="123" customFormat="1">
      <c r="B697" s="125"/>
      <c r="D697" s="125"/>
      <c r="I697" s="125"/>
      <c r="Z697" s="124"/>
      <c r="AA697" s="74"/>
      <c r="AB697" s="240"/>
      <c r="AD697" s="124"/>
      <c r="AE697" s="238"/>
      <c r="AF697" s="239"/>
      <c r="AG697" s="239"/>
      <c r="AH697" s="124"/>
      <c r="AI697" s="74"/>
      <c r="AJ697" s="240"/>
      <c r="AL697" s="124"/>
      <c r="AM697" s="74"/>
      <c r="AP697" s="125"/>
      <c r="AQ697" s="241"/>
      <c r="AR697" s="125"/>
      <c r="AS697" s="125"/>
      <c r="AT697" s="238"/>
      <c r="AU697" s="125"/>
      <c r="AV697" s="125"/>
      <c r="AW697" s="125"/>
      <c r="AX697" s="238"/>
      <c r="AY697" s="125"/>
      <c r="AZ697" s="125"/>
      <c r="BA697" s="125"/>
    </row>
    <row r="698" spans="2:53" s="123" customFormat="1">
      <c r="B698" s="125"/>
      <c r="D698" s="125"/>
      <c r="I698" s="125"/>
      <c r="Z698" s="124"/>
      <c r="AA698" s="74"/>
      <c r="AB698" s="240"/>
      <c r="AD698" s="124"/>
      <c r="AE698" s="238"/>
      <c r="AF698" s="239"/>
      <c r="AG698" s="239"/>
      <c r="AH698" s="124"/>
      <c r="AI698" s="74"/>
      <c r="AJ698" s="240"/>
      <c r="AL698" s="124"/>
      <c r="AM698" s="74"/>
      <c r="AP698" s="125"/>
      <c r="AQ698" s="241"/>
      <c r="AR698" s="125"/>
      <c r="AS698" s="125"/>
      <c r="AT698" s="238"/>
      <c r="AU698" s="125"/>
      <c r="AV698" s="125"/>
      <c r="AW698" s="125"/>
      <c r="AX698" s="238"/>
      <c r="AY698" s="125"/>
      <c r="AZ698" s="125"/>
      <c r="BA698" s="125"/>
    </row>
    <row r="699" spans="2:53" s="123" customFormat="1">
      <c r="B699" s="125"/>
      <c r="D699" s="125"/>
      <c r="I699" s="125"/>
      <c r="Z699" s="124"/>
      <c r="AA699" s="74"/>
      <c r="AB699" s="240"/>
      <c r="AD699" s="124"/>
      <c r="AE699" s="238"/>
      <c r="AF699" s="239"/>
      <c r="AG699" s="239"/>
      <c r="AH699" s="124"/>
      <c r="AI699" s="74"/>
      <c r="AJ699" s="240"/>
      <c r="AL699" s="124"/>
      <c r="AM699" s="74"/>
      <c r="AP699" s="125"/>
      <c r="AQ699" s="241"/>
      <c r="AR699" s="125"/>
      <c r="AS699" s="125"/>
      <c r="AT699" s="238"/>
      <c r="AU699" s="125"/>
      <c r="AV699" s="125"/>
      <c r="AW699" s="125"/>
      <c r="AX699" s="238"/>
      <c r="AY699" s="125"/>
      <c r="AZ699" s="125"/>
      <c r="BA699" s="125"/>
    </row>
    <row r="700" spans="2:53" s="123" customFormat="1">
      <c r="B700" s="125"/>
      <c r="D700" s="125"/>
      <c r="I700" s="125"/>
      <c r="Z700" s="124"/>
      <c r="AA700" s="74"/>
      <c r="AB700" s="240"/>
      <c r="AD700" s="124"/>
      <c r="AE700" s="238"/>
      <c r="AF700" s="239"/>
      <c r="AG700" s="239"/>
      <c r="AH700" s="124"/>
      <c r="AI700" s="74"/>
      <c r="AJ700" s="240"/>
      <c r="AL700" s="124"/>
      <c r="AM700" s="74"/>
      <c r="AP700" s="125"/>
      <c r="AQ700" s="241"/>
      <c r="AR700" s="125"/>
      <c r="AS700" s="125"/>
      <c r="AT700" s="238"/>
      <c r="AU700" s="125"/>
      <c r="AV700" s="125"/>
      <c r="AW700" s="125"/>
      <c r="AX700" s="238"/>
      <c r="AY700" s="125"/>
      <c r="AZ700" s="125"/>
      <c r="BA700" s="125"/>
    </row>
    <row r="701" spans="2:53" s="123" customFormat="1">
      <c r="B701" s="125"/>
      <c r="D701" s="125"/>
      <c r="I701" s="125"/>
      <c r="Z701" s="124"/>
      <c r="AA701" s="74"/>
      <c r="AB701" s="240"/>
      <c r="AD701" s="124"/>
      <c r="AE701" s="238"/>
      <c r="AF701" s="239"/>
      <c r="AG701" s="239"/>
      <c r="AH701" s="124"/>
      <c r="AI701" s="74"/>
      <c r="AJ701" s="240"/>
      <c r="AL701" s="124"/>
      <c r="AM701" s="74"/>
      <c r="AP701" s="125"/>
      <c r="AQ701" s="241"/>
      <c r="AR701" s="125"/>
      <c r="AS701" s="125"/>
      <c r="AT701" s="238"/>
      <c r="AU701" s="125"/>
      <c r="AV701" s="125"/>
      <c r="AW701" s="125"/>
      <c r="AX701" s="238"/>
      <c r="AY701" s="125"/>
      <c r="AZ701" s="125"/>
      <c r="BA701" s="125"/>
    </row>
    <row r="702" spans="2:53" s="123" customFormat="1">
      <c r="B702" s="125"/>
      <c r="D702" s="125"/>
      <c r="I702" s="125"/>
      <c r="Z702" s="124"/>
      <c r="AA702" s="74"/>
      <c r="AB702" s="240"/>
      <c r="AD702" s="124"/>
      <c r="AE702" s="238"/>
      <c r="AF702" s="239"/>
      <c r="AG702" s="239"/>
      <c r="AH702" s="124"/>
      <c r="AI702" s="74"/>
      <c r="AJ702" s="240"/>
      <c r="AL702" s="124"/>
      <c r="AM702" s="74"/>
      <c r="AP702" s="125"/>
      <c r="AQ702" s="241"/>
      <c r="AR702" s="125"/>
      <c r="AS702" s="125"/>
      <c r="AT702" s="238"/>
      <c r="AU702" s="125"/>
      <c r="AV702" s="125"/>
      <c r="AW702" s="125"/>
      <c r="AX702" s="238"/>
      <c r="AY702" s="125"/>
      <c r="AZ702" s="125"/>
      <c r="BA702" s="125"/>
    </row>
    <row r="703" spans="2:53" s="123" customFormat="1">
      <c r="B703" s="125"/>
      <c r="D703" s="125"/>
      <c r="I703" s="125"/>
      <c r="Z703" s="124"/>
      <c r="AA703" s="74"/>
      <c r="AB703" s="240"/>
      <c r="AD703" s="124"/>
      <c r="AE703" s="238"/>
      <c r="AF703" s="239"/>
      <c r="AG703" s="239"/>
      <c r="AH703" s="124"/>
      <c r="AI703" s="74"/>
      <c r="AJ703" s="240"/>
      <c r="AL703" s="124"/>
      <c r="AM703" s="74"/>
      <c r="AP703" s="125"/>
      <c r="AQ703" s="241"/>
      <c r="AR703" s="125"/>
      <c r="AS703" s="125"/>
      <c r="AT703" s="238"/>
      <c r="AU703" s="125"/>
      <c r="AV703" s="125"/>
      <c r="AW703" s="125"/>
      <c r="AX703" s="238"/>
      <c r="AY703" s="125"/>
      <c r="AZ703" s="125"/>
      <c r="BA703" s="125"/>
    </row>
    <row r="704" spans="2:53" s="123" customFormat="1">
      <c r="B704" s="125"/>
      <c r="D704" s="125"/>
      <c r="I704" s="125"/>
      <c r="Z704" s="124"/>
      <c r="AA704" s="74"/>
      <c r="AB704" s="240"/>
      <c r="AD704" s="124"/>
      <c r="AE704" s="238"/>
      <c r="AF704" s="239"/>
      <c r="AG704" s="239"/>
      <c r="AH704" s="124"/>
      <c r="AI704" s="74"/>
      <c r="AJ704" s="240"/>
      <c r="AL704" s="124"/>
      <c r="AM704" s="74"/>
      <c r="AP704" s="125"/>
      <c r="AQ704" s="241"/>
      <c r="AR704" s="125"/>
      <c r="AS704" s="125"/>
      <c r="AT704" s="238"/>
      <c r="AU704" s="125"/>
      <c r="AV704" s="125"/>
      <c r="AW704" s="125"/>
      <c r="AX704" s="238"/>
      <c r="AY704" s="125"/>
      <c r="AZ704" s="125"/>
      <c r="BA704" s="125"/>
    </row>
    <row r="705" spans="2:53" s="123" customFormat="1">
      <c r="B705" s="125"/>
      <c r="D705" s="125"/>
      <c r="I705" s="125"/>
      <c r="Z705" s="124"/>
      <c r="AA705" s="74"/>
      <c r="AB705" s="240"/>
      <c r="AD705" s="124"/>
      <c r="AE705" s="238"/>
      <c r="AF705" s="239"/>
      <c r="AG705" s="239"/>
      <c r="AH705" s="124"/>
      <c r="AI705" s="74"/>
      <c r="AJ705" s="240"/>
      <c r="AL705" s="124"/>
      <c r="AM705" s="74"/>
      <c r="AP705" s="125"/>
      <c r="AQ705" s="241"/>
      <c r="AR705" s="125"/>
      <c r="AS705" s="125"/>
      <c r="AT705" s="238"/>
      <c r="AU705" s="125"/>
      <c r="AV705" s="125"/>
      <c r="AW705" s="125"/>
      <c r="AX705" s="238"/>
      <c r="AY705" s="125"/>
      <c r="AZ705" s="125"/>
      <c r="BA705" s="125"/>
    </row>
    <row r="706" spans="2:53" s="123" customFormat="1">
      <c r="B706" s="125"/>
      <c r="D706" s="125"/>
      <c r="I706" s="125"/>
      <c r="Z706" s="124"/>
      <c r="AA706" s="74"/>
      <c r="AB706" s="240"/>
      <c r="AD706" s="124"/>
      <c r="AE706" s="238"/>
      <c r="AF706" s="239"/>
      <c r="AG706" s="239"/>
      <c r="AH706" s="124"/>
      <c r="AI706" s="74"/>
      <c r="AJ706" s="240"/>
      <c r="AL706" s="124"/>
      <c r="AM706" s="74"/>
      <c r="AP706" s="125"/>
      <c r="AQ706" s="241"/>
      <c r="AR706" s="125"/>
      <c r="AS706" s="125"/>
      <c r="AT706" s="238"/>
      <c r="AU706" s="125"/>
      <c r="AV706" s="125"/>
      <c r="AW706" s="125"/>
      <c r="AX706" s="238"/>
      <c r="AY706" s="125"/>
      <c r="AZ706" s="125"/>
      <c r="BA706" s="125"/>
    </row>
    <row r="707" spans="2:53" s="123" customFormat="1">
      <c r="B707" s="125"/>
      <c r="D707" s="125"/>
      <c r="I707" s="125"/>
      <c r="Z707" s="124"/>
      <c r="AA707" s="74"/>
      <c r="AB707" s="240"/>
      <c r="AD707" s="124"/>
      <c r="AE707" s="238"/>
      <c r="AF707" s="239"/>
      <c r="AG707" s="239"/>
      <c r="AH707" s="124"/>
      <c r="AI707" s="74"/>
      <c r="AJ707" s="240"/>
      <c r="AL707" s="124"/>
      <c r="AM707" s="74"/>
      <c r="AP707" s="125"/>
      <c r="AQ707" s="241"/>
      <c r="AR707" s="125"/>
      <c r="AS707" s="125"/>
      <c r="AT707" s="238"/>
      <c r="AU707" s="125"/>
      <c r="AV707" s="125"/>
      <c r="AW707" s="125"/>
      <c r="AX707" s="238"/>
      <c r="AY707" s="125"/>
      <c r="AZ707" s="125"/>
      <c r="BA707" s="125"/>
    </row>
    <row r="708" spans="2:53" s="123" customFormat="1">
      <c r="B708" s="125"/>
      <c r="D708" s="125"/>
      <c r="I708" s="125"/>
      <c r="Z708" s="124"/>
      <c r="AA708" s="74"/>
      <c r="AB708" s="240"/>
      <c r="AD708" s="124"/>
      <c r="AE708" s="238"/>
      <c r="AF708" s="239"/>
      <c r="AG708" s="239"/>
      <c r="AH708" s="124"/>
      <c r="AI708" s="74"/>
      <c r="AJ708" s="240"/>
      <c r="AL708" s="124"/>
      <c r="AM708" s="74"/>
      <c r="AP708" s="125"/>
      <c r="AQ708" s="241"/>
      <c r="AR708" s="125"/>
      <c r="AS708" s="125"/>
      <c r="AT708" s="238"/>
      <c r="AU708" s="125"/>
      <c r="AV708" s="125"/>
      <c r="AW708" s="125"/>
      <c r="AX708" s="238"/>
      <c r="AY708" s="125"/>
      <c r="AZ708" s="125"/>
      <c r="BA708" s="125"/>
    </row>
    <row r="709" spans="2:53" s="123" customFormat="1">
      <c r="B709" s="125"/>
      <c r="D709" s="125"/>
      <c r="I709" s="125"/>
      <c r="Z709" s="124"/>
      <c r="AA709" s="74"/>
      <c r="AB709" s="240"/>
      <c r="AD709" s="124"/>
      <c r="AE709" s="238"/>
      <c r="AF709" s="239"/>
      <c r="AG709" s="239"/>
      <c r="AH709" s="124"/>
      <c r="AI709" s="74"/>
      <c r="AJ709" s="240"/>
      <c r="AL709" s="124"/>
      <c r="AM709" s="74"/>
      <c r="AP709" s="125"/>
      <c r="AQ709" s="241"/>
      <c r="AR709" s="125"/>
      <c r="AS709" s="125"/>
      <c r="AT709" s="238"/>
      <c r="AU709" s="125"/>
      <c r="AV709" s="125"/>
      <c r="AW709" s="125"/>
      <c r="AX709" s="238"/>
      <c r="AY709" s="125"/>
      <c r="AZ709" s="125"/>
      <c r="BA709" s="125"/>
    </row>
    <row r="710" spans="2:53" s="123" customFormat="1">
      <c r="B710" s="125"/>
      <c r="D710" s="125"/>
      <c r="I710" s="125"/>
      <c r="Z710" s="124"/>
      <c r="AA710" s="74"/>
      <c r="AB710" s="240"/>
      <c r="AD710" s="124"/>
      <c r="AE710" s="238"/>
      <c r="AF710" s="239"/>
      <c r="AG710" s="239"/>
      <c r="AH710" s="124"/>
      <c r="AI710" s="74"/>
      <c r="AJ710" s="240"/>
      <c r="AL710" s="124"/>
      <c r="AM710" s="74"/>
      <c r="AP710" s="125"/>
      <c r="AQ710" s="241"/>
      <c r="AR710" s="125"/>
      <c r="AS710" s="125"/>
      <c r="AT710" s="238"/>
      <c r="AU710" s="125"/>
      <c r="AV710" s="125"/>
      <c r="AW710" s="125"/>
      <c r="AX710" s="238"/>
      <c r="AY710" s="125"/>
      <c r="AZ710" s="125"/>
      <c r="BA710" s="125"/>
    </row>
    <row r="711" spans="2:53" s="123" customFormat="1">
      <c r="B711" s="125"/>
      <c r="D711" s="125"/>
      <c r="I711" s="125"/>
      <c r="Z711" s="124"/>
      <c r="AA711" s="74"/>
      <c r="AB711" s="240"/>
      <c r="AD711" s="124"/>
      <c r="AE711" s="238"/>
      <c r="AF711" s="239"/>
      <c r="AG711" s="239"/>
      <c r="AH711" s="124"/>
      <c r="AI711" s="74"/>
      <c r="AJ711" s="240"/>
      <c r="AL711" s="124"/>
      <c r="AM711" s="74"/>
      <c r="AP711" s="125"/>
      <c r="AQ711" s="241"/>
      <c r="AR711" s="125"/>
      <c r="AS711" s="125"/>
      <c r="AT711" s="238"/>
      <c r="AU711" s="125"/>
      <c r="AV711" s="125"/>
      <c r="AW711" s="125"/>
      <c r="AX711" s="238"/>
      <c r="AY711" s="125"/>
      <c r="AZ711" s="125"/>
      <c r="BA711" s="125"/>
    </row>
    <row r="712" spans="2:53" s="123" customFormat="1">
      <c r="B712" s="125"/>
      <c r="D712" s="125"/>
      <c r="I712" s="125"/>
      <c r="Z712" s="124"/>
      <c r="AA712" s="74"/>
      <c r="AB712" s="240"/>
      <c r="AD712" s="124"/>
      <c r="AE712" s="238"/>
      <c r="AF712" s="239"/>
      <c r="AG712" s="239"/>
      <c r="AH712" s="124"/>
      <c r="AI712" s="74"/>
      <c r="AJ712" s="240"/>
      <c r="AL712" s="124"/>
      <c r="AM712" s="74"/>
      <c r="AP712" s="125"/>
      <c r="AQ712" s="241"/>
      <c r="AR712" s="125"/>
      <c r="AS712" s="125"/>
      <c r="AT712" s="238"/>
      <c r="AU712" s="125"/>
      <c r="AV712" s="125"/>
      <c r="AW712" s="125"/>
      <c r="AX712" s="238"/>
      <c r="AY712" s="125"/>
      <c r="AZ712" s="125"/>
      <c r="BA712" s="125"/>
    </row>
    <row r="713" spans="2:53" s="123" customFormat="1">
      <c r="B713" s="125"/>
      <c r="D713" s="125"/>
      <c r="I713" s="125"/>
      <c r="Z713" s="124"/>
      <c r="AA713" s="74"/>
      <c r="AB713" s="240"/>
      <c r="AD713" s="124"/>
      <c r="AE713" s="238"/>
      <c r="AF713" s="239"/>
      <c r="AG713" s="239"/>
      <c r="AH713" s="124"/>
      <c r="AI713" s="74"/>
      <c r="AJ713" s="240"/>
      <c r="AL713" s="124"/>
      <c r="AM713" s="74"/>
      <c r="AP713" s="125"/>
      <c r="AQ713" s="241"/>
      <c r="AR713" s="125"/>
      <c r="AS713" s="125"/>
      <c r="AT713" s="238"/>
      <c r="AU713" s="125"/>
      <c r="AV713" s="125"/>
      <c r="AW713" s="125"/>
      <c r="AX713" s="238"/>
      <c r="AY713" s="125"/>
      <c r="AZ713" s="125"/>
      <c r="BA713" s="125"/>
    </row>
    <row r="714" spans="2:53" s="123" customFormat="1">
      <c r="B714" s="125"/>
      <c r="D714" s="125"/>
      <c r="I714" s="125"/>
      <c r="Z714" s="124"/>
      <c r="AA714" s="74"/>
      <c r="AB714" s="240"/>
      <c r="AD714" s="124"/>
      <c r="AE714" s="238"/>
      <c r="AF714" s="239"/>
      <c r="AG714" s="239"/>
      <c r="AH714" s="124"/>
      <c r="AI714" s="74"/>
      <c r="AJ714" s="240"/>
      <c r="AL714" s="124"/>
      <c r="AM714" s="74"/>
      <c r="AP714" s="125"/>
      <c r="AQ714" s="241"/>
      <c r="AR714" s="125"/>
      <c r="AS714" s="125"/>
      <c r="AT714" s="238"/>
      <c r="AU714" s="125"/>
      <c r="AV714" s="125"/>
      <c r="AW714" s="125"/>
      <c r="AX714" s="238"/>
      <c r="AY714" s="125"/>
      <c r="AZ714" s="125"/>
      <c r="BA714" s="125"/>
    </row>
    <row r="715" spans="2:53" s="123" customFormat="1">
      <c r="B715" s="125"/>
      <c r="D715" s="125"/>
      <c r="I715" s="125"/>
      <c r="Z715" s="124"/>
      <c r="AA715" s="74"/>
      <c r="AB715" s="240"/>
      <c r="AD715" s="124"/>
      <c r="AE715" s="238"/>
      <c r="AF715" s="239"/>
      <c r="AG715" s="239"/>
      <c r="AH715" s="124"/>
      <c r="AI715" s="74"/>
      <c r="AJ715" s="240"/>
      <c r="AL715" s="124"/>
      <c r="AM715" s="74"/>
      <c r="AP715" s="125"/>
      <c r="AQ715" s="241"/>
      <c r="AR715" s="125"/>
      <c r="AS715" s="125"/>
      <c r="AT715" s="238"/>
      <c r="AU715" s="125"/>
      <c r="AV715" s="125"/>
      <c r="AW715" s="125"/>
      <c r="AX715" s="238"/>
      <c r="AY715" s="125"/>
      <c r="AZ715" s="125"/>
      <c r="BA715" s="125"/>
    </row>
    <row r="716" spans="2:53" s="123" customFormat="1">
      <c r="B716" s="125"/>
      <c r="D716" s="125"/>
      <c r="I716" s="125"/>
      <c r="Z716" s="124"/>
      <c r="AA716" s="74"/>
      <c r="AB716" s="240"/>
      <c r="AD716" s="124"/>
      <c r="AE716" s="238"/>
      <c r="AF716" s="239"/>
      <c r="AG716" s="239"/>
      <c r="AH716" s="124"/>
      <c r="AI716" s="74"/>
      <c r="AJ716" s="240"/>
      <c r="AL716" s="124"/>
      <c r="AM716" s="74"/>
      <c r="AP716" s="125"/>
      <c r="AQ716" s="241"/>
      <c r="AR716" s="125"/>
      <c r="AS716" s="125"/>
      <c r="AT716" s="238"/>
      <c r="AU716" s="125"/>
      <c r="AV716" s="125"/>
      <c r="AW716" s="125"/>
      <c r="AX716" s="238"/>
      <c r="AY716" s="125"/>
      <c r="AZ716" s="125"/>
      <c r="BA716" s="125"/>
    </row>
    <row r="717" spans="2:53" s="123" customFormat="1">
      <c r="B717" s="125"/>
      <c r="D717" s="125"/>
      <c r="I717" s="125"/>
      <c r="Z717" s="124"/>
      <c r="AA717" s="74"/>
      <c r="AB717" s="240"/>
      <c r="AD717" s="124"/>
      <c r="AE717" s="238"/>
      <c r="AF717" s="239"/>
      <c r="AG717" s="239"/>
      <c r="AH717" s="124"/>
      <c r="AI717" s="74"/>
      <c r="AJ717" s="240"/>
      <c r="AL717" s="124"/>
      <c r="AM717" s="74"/>
      <c r="AP717" s="125"/>
      <c r="AQ717" s="241"/>
      <c r="AR717" s="125"/>
      <c r="AS717" s="125"/>
      <c r="AT717" s="238"/>
      <c r="AU717" s="125"/>
      <c r="AV717" s="125"/>
      <c r="AW717" s="125"/>
      <c r="AX717" s="238"/>
      <c r="AY717" s="125"/>
      <c r="AZ717" s="125"/>
      <c r="BA717" s="125"/>
    </row>
    <row r="718" spans="2:53" s="123" customFormat="1">
      <c r="B718" s="125"/>
      <c r="D718" s="125"/>
      <c r="I718" s="125"/>
      <c r="Z718" s="124"/>
      <c r="AA718" s="74"/>
      <c r="AB718" s="240"/>
      <c r="AD718" s="124"/>
      <c r="AE718" s="238"/>
      <c r="AF718" s="239"/>
      <c r="AG718" s="239"/>
      <c r="AH718" s="124"/>
      <c r="AI718" s="74"/>
      <c r="AJ718" s="240"/>
      <c r="AL718" s="124"/>
      <c r="AM718" s="74"/>
      <c r="AP718" s="125"/>
      <c r="AQ718" s="241"/>
      <c r="AR718" s="125"/>
      <c r="AS718" s="125"/>
      <c r="AT718" s="238"/>
      <c r="AU718" s="125"/>
      <c r="AV718" s="125"/>
      <c r="AW718" s="125"/>
      <c r="AX718" s="238"/>
      <c r="AY718" s="125"/>
      <c r="AZ718" s="125"/>
      <c r="BA718" s="125"/>
    </row>
    <row r="719" spans="2:53" s="123" customFormat="1">
      <c r="B719" s="125"/>
      <c r="D719" s="125"/>
      <c r="I719" s="125"/>
      <c r="Z719" s="124"/>
      <c r="AA719" s="74"/>
      <c r="AB719" s="240"/>
      <c r="AD719" s="124"/>
      <c r="AE719" s="238"/>
      <c r="AF719" s="239"/>
      <c r="AG719" s="239"/>
      <c r="AH719" s="124"/>
      <c r="AI719" s="74"/>
      <c r="AJ719" s="240"/>
      <c r="AL719" s="124"/>
      <c r="AM719" s="74"/>
      <c r="AP719" s="125"/>
      <c r="AQ719" s="241"/>
      <c r="AR719" s="125"/>
      <c r="AS719" s="125"/>
      <c r="AT719" s="238"/>
      <c r="AU719" s="125"/>
      <c r="AV719" s="125"/>
      <c r="AW719" s="125"/>
      <c r="AX719" s="238"/>
      <c r="AY719" s="125"/>
      <c r="AZ719" s="125"/>
      <c r="BA719" s="125"/>
    </row>
    <row r="720" spans="2:53" s="123" customFormat="1">
      <c r="B720" s="125"/>
      <c r="D720" s="125"/>
      <c r="I720" s="125"/>
      <c r="Z720" s="124"/>
      <c r="AA720" s="74"/>
      <c r="AB720" s="240"/>
      <c r="AD720" s="124"/>
      <c r="AE720" s="238"/>
      <c r="AF720" s="239"/>
      <c r="AG720" s="239"/>
      <c r="AH720" s="124"/>
      <c r="AI720" s="74"/>
      <c r="AJ720" s="240"/>
      <c r="AL720" s="124"/>
      <c r="AM720" s="74"/>
      <c r="AP720" s="125"/>
      <c r="AQ720" s="241"/>
      <c r="AR720" s="125"/>
      <c r="AS720" s="125"/>
      <c r="AT720" s="238"/>
      <c r="AU720" s="125"/>
      <c r="AV720" s="125"/>
      <c r="AW720" s="125"/>
      <c r="AX720" s="238"/>
      <c r="AY720" s="125"/>
      <c r="AZ720" s="125"/>
      <c r="BA720" s="125"/>
    </row>
    <row r="721" spans="2:53" s="123" customFormat="1">
      <c r="B721" s="125"/>
      <c r="D721" s="125"/>
      <c r="I721" s="125"/>
      <c r="Z721" s="124"/>
      <c r="AA721" s="74"/>
      <c r="AB721" s="240"/>
      <c r="AD721" s="124"/>
      <c r="AE721" s="238"/>
      <c r="AF721" s="239"/>
      <c r="AG721" s="239"/>
      <c r="AH721" s="124"/>
      <c r="AI721" s="74"/>
      <c r="AJ721" s="240"/>
      <c r="AL721" s="124"/>
      <c r="AM721" s="74"/>
      <c r="AP721" s="125"/>
      <c r="AQ721" s="241"/>
      <c r="AR721" s="125"/>
      <c r="AS721" s="125"/>
      <c r="AT721" s="238"/>
      <c r="AU721" s="125"/>
      <c r="AV721" s="125"/>
      <c r="AW721" s="125"/>
      <c r="AX721" s="238"/>
      <c r="AY721" s="125"/>
      <c r="AZ721" s="125"/>
      <c r="BA721" s="125"/>
    </row>
    <row r="722" spans="2:53" s="123" customFormat="1">
      <c r="B722" s="125"/>
      <c r="D722" s="125"/>
      <c r="I722" s="125"/>
      <c r="Z722" s="124"/>
      <c r="AA722" s="74"/>
      <c r="AB722" s="240"/>
      <c r="AD722" s="124"/>
      <c r="AE722" s="238"/>
      <c r="AF722" s="239"/>
      <c r="AG722" s="239"/>
      <c r="AH722" s="124"/>
      <c r="AI722" s="74"/>
      <c r="AJ722" s="240"/>
      <c r="AL722" s="124"/>
      <c r="AM722" s="74"/>
      <c r="AP722" s="125"/>
      <c r="AQ722" s="241"/>
      <c r="AR722" s="125"/>
      <c r="AS722" s="125"/>
      <c r="AT722" s="238"/>
      <c r="AU722" s="125"/>
      <c r="AV722" s="125"/>
      <c r="AW722" s="125"/>
      <c r="AX722" s="238"/>
      <c r="AY722" s="125"/>
      <c r="AZ722" s="125"/>
      <c r="BA722" s="125"/>
    </row>
    <row r="723" spans="2:53" s="123" customFormat="1">
      <c r="B723" s="125"/>
      <c r="D723" s="125"/>
      <c r="I723" s="125"/>
      <c r="Z723" s="124"/>
      <c r="AA723" s="74"/>
      <c r="AB723" s="240"/>
      <c r="AD723" s="124"/>
      <c r="AE723" s="238"/>
      <c r="AF723" s="239"/>
      <c r="AG723" s="239"/>
      <c r="AH723" s="124"/>
      <c r="AI723" s="74"/>
      <c r="AJ723" s="240"/>
      <c r="AL723" s="124"/>
      <c r="AM723" s="74"/>
      <c r="AP723" s="125"/>
      <c r="AQ723" s="241"/>
      <c r="AR723" s="125"/>
      <c r="AS723" s="125"/>
      <c r="AT723" s="238"/>
      <c r="AU723" s="125"/>
      <c r="AV723" s="125"/>
      <c r="AW723" s="125"/>
      <c r="AX723" s="238"/>
      <c r="AY723" s="125"/>
      <c r="AZ723" s="125"/>
      <c r="BA723" s="125"/>
    </row>
    <row r="724" spans="2:53" s="123" customFormat="1">
      <c r="B724" s="125"/>
      <c r="D724" s="125"/>
      <c r="I724" s="125"/>
      <c r="Z724" s="124"/>
      <c r="AA724" s="74"/>
      <c r="AB724" s="240"/>
      <c r="AD724" s="124"/>
      <c r="AE724" s="238"/>
      <c r="AF724" s="239"/>
      <c r="AG724" s="239"/>
      <c r="AH724" s="124"/>
      <c r="AI724" s="74"/>
      <c r="AJ724" s="240"/>
      <c r="AL724" s="124"/>
      <c r="AM724" s="74"/>
      <c r="AP724" s="125"/>
      <c r="AQ724" s="241"/>
      <c r="AR724" s="125"/>
      <c r="AS724" s="125"/>
      <c r="AT724" s="238"/>
      <c r="AU724" s="125"/>
      <c r="AV724" s="125"/>
      <c r="AW724" s="125"/>
      <c r="AX724" s="238"/>
      <c r="AY724" s="125"/>
      <c r="AZ724" s="125"/>
      <c r="BA724" s="125"/>
    </row>
    <row r="725" spans="2:53" s="123" customFormat="1">
      <c r="B725" s="125"/>
      <c r="D725" s="125"/>
      <c r="I725" s="125"/>
      <c r="Z725" s="124"/>
      <c r="AA725" s="74"/>
      <c r="AB725" s="240"/>
      <c r="AD725" s="124"/>
      <c r="AE725" s="238"/>
      <c r="AF725" s="239"/>
      <c r="AG725" s="239"/>
      <c r="AH725" s="124"/>
      <c r="AI725" s="74"/>
      <c r="AJ725" s="240"/>
      <c r="AL725" s="124"/>
      <c r="AM725" s="74"/>
      <c r="AP725" s="125"/>
      <c r="AQ725" s="241"/>
      <c r="AR725" s="125"/>
      <c r="AS725" s="125"/>
      <c r="AT725" s="238"/>
      <c r="AU725" s="125"/>
      <c r="AV725" s="125"/>
      <c r="AW725" s="125"/>
      <c r="AX725" s="238"/>
      <c r="AY725" s="125"/>
      <c r="AZ725" s="125"/>
      <c r="BA725" s="125"/>
    </row>
    <row r="726" spans="2:53" s="123" customFormat="1">
      <c r="B726" s="125"/>
      <c r="D726" s="125"/>
      <c r="I726" s="125"/>
      <c r="Z726" s="124"/>
      <c r="AA726" s="74"/>
      <c r="AB726" s="240"/>
      <c r="AD726" s="124"/>
      <c r="AE726" s="238"/>
      <c r="AF726" s="239"/>
      <c r="AG726" s="239"/>
      <c r="AH726" s="124"/>
      <c r="AI726" s="74"/>
      <c r="AJ726" s="240"/>
      <c r="AL726" s="124"/>
      <c r="AM726" s="74"/>
      <c r="AP726" s="125"/>
      <c r="AQ726" s="241"/>
      <c r="AR726" s="125"/>
      <c r="AS726" s="125"/>
      <c r="AT726" s="238"/>
      <c r="AU726" s="125"/>
      <c r="AV726" s="125"/>
      <c r="AW726" s="125"/>
      <c r="AX726" s="238"/>
      <c r="AY726" s="125"/>
      <c r="AZ726" s="125"/>
      <c r="BA726" s="125"/>
    </row>
    <row r="727" spans="2:53" s="123" customFormat="1">
      <c r="B727" s="125"/>
      <c r="D727" s="125"/>
      <c r="I727" s="125"/>
      <c r="Z727" s="124"/>
      <c r="AA727" s="74"/>
      <c r="AB727" s="240"/>
      <c r="AD727" s="124"/>
      <c r="AE727" s="238"/>
      <c r="AF727" s="239"/>
      <c r="AG727" s="239"/>
      <c r="AH727" s="124"/>
      <c r="AI727" s="74"/>
      <c r="AJ727" s="240"/>
      <c r="AL727" s="124"/>
      <c r="AM727" s="74"/>
      <c r="AP727" s="125"/>
      <c r="AQ727" s="241"/>
      <c r="AR727" s="125"/>
      <c r="AS727" s="125"/>
      <c r="AT727" s="238"/>
      <c r="AU727" s="125"/>
      <c r="AV727" s="125"/>
      <c r="AW727" s="125"/>
      <c r="AX727" s="238"/>
      <c r="AY727" s="125"/>
      <c r="AZ727" s="125"/>
      <c r="BA727" s="125"/>
    </row>
    <row r="728" spans="2:53" s="123" customFormat="1">
      <c r="B728" s="125"/>
      <c r="D728" s="125"/>
      <c r="I728" s="125"/>
      <c r="Z728" s="124"/>
      <c r="AA728" s="74"/>
      <c r="AB728" s="240"/>
      <c r="AD728" s="124"/>
      <c r="AE728" s="238"/>
      <c r="AF728" s="239"/>
      <c r="AG728" s="239"/>
      <c r="AH728" s="124"/>
      <c r="AI728" s="74"/>
      <c r="AJ728" s="240"/>
      <c r="AL728" s="124"/>
      <c r="AM728" s="74"/>
      <c r="AP728" s="125"/>
      <c r="AQ728" s="241"/>
      <c r="AR728" s="125"/>
      <c r="AS728" s="125"/>
      <c r="AT728" s="238"/>
      <c r="AU728" s="125"/>
      <c r="AV728" s="125"/>
      <c r="AW728" s="125"/>
      <c r="AX728" s="238"/>
      <c r="AY728" s="125"/>
      <c r="AZ728" s="125"/>
      <c r="BA728" s="125"/>
    </row>
    <row r="729" spans="2:53" s="123" customFormat="1">
      <c r="B729" s="125"/>
      <c r="D729" s="125"/>
      <c r="I729" s="125"/>
      <c r="Z729" s="124"/>
      <c r="AA729" s="74"/>
      <c r="AB729" s="240"/>
      <c r="AD729" s="124"/>
      <c r="AE729" s="238"/>
      <c r="AF729" s="239"/>
      <c r="AG729" s="239"/>
      <c r="AH729" s="124"/>
      <c r="AI729" s="74"/>
      <c r="AJ729" s="240"/>
      <c r="AL729" s="124"/>
      <c r="AM729" s="74"/>
      <c r="AP729" s="125"/>
      <c r="AQ729" s="241"/>
      <c r="AR729" s="125"/>
      <c r="AS729" s="125"/>
      <c r="AT729" s="238"/>
      <c r="AU729" s="125"/>
      <c r="AV729" s="125"/>
      <c r="AW729" s="125"/>
      <c r="AX729" s="238"/>
      <c r="AY729" s="125"/>
      <c r="AZ729" s="125"/>
      <c r="BA729" s="125"/>
    </row>
    <row r="730" spans="2:53" s="123" customFormat="1">
      <c r="B730" s="125"/>
      <c r="D730" s="125"/>
      <c r="I730" s="125"/>
      <c r="Z730" s="124"/>
      <c r="AA730" s="74"/>
      <c r="AB730" s="240"/>
      <c r="AD730" s="124"/>
      <c r="AE730" s="238"/>
      <c r="AF730" s="239"/>
      <c r="AG730" s="239"/>
      <c r="AH730" s="124"/>
      <c r="AI730" s="74"/>
      <c r="AJ730" s="240"/>
      <c r="AL730" s="124"/>
      <c r="AM730" s="74"/>
      <c r="AP730" s="125"/>
      <c r="AQ730" s="241"/>
      <c r="AR730" s="125"/>
      <c r="AS730" s="125"/>
      <c r="AT730" s="238"/>
      <c r="AU730" s="125"/>
      <c r="AV730" s="125"/>
      <c r="AW730" s="125"/>
      <c r="AX730" s="238"/>
      <c r="AY730" s="125"/>
      <c r="AZ730" s="125"/>
      <c r="BA730" s="125"/>
    </row>
    <row r="731" spans="2:53" s="123" customFormat="1">
      <c r="B731" s="125"/>
      <c r="D731" s="125"/>
      <c r="I731" s="125"/>
      <c r="Z731" s="124"/>
      <c r="AA731" s="74"/>
      <c r="AB731" s="240"/>
      <c r="AD731" s="124"/>
      <c r="AE731" s="238"/>
      <c r="AF731" s="239"/>
      <c r="AG731" s="239"/>
      <c r="AH731" s="124"/>
      <c r="AI731" s="74"/>
      <c r="AJ731" s="240"/>
      <c r="AL731" s="124"/>
      <c r="AM731" s="74"/>
      <c r="AP731" s="125"/>
      <c r="AQ731" s="241"/>
      <c r="AR731" s="125"/>
      <c r="AS731" s="125"/>
      <c r="AT731" s="238"/>
      <c r="AU731" s="125"/>
      <c r="AV731" s="125"/>
      <c r="AW731" s="125"/>
      <c r="AX731" s="238"/>
      <c r="AY731" s="125"/>
      <c r="AZ731" s="125"/>
      <c r="BA731" s="125"/>
    </row>
    <row r="732" spans="2:53" s="123" customFormat="1">
      <c r="B732" s="125"/>
      <c r="D732" s="125"/>
      <c r="I732" s="125"/>
      <c r="Z732" s="124"/>
      <c r="AA732" s="74"/>
      <c r="AB732" s="240"/>
      <c r="AD732" s="124"/>
      <c r="AE732" s="238"/>
      <c r="AF732" s="239"/>
      <c r="AG732" s="239"/>
      <c r="AH732" s="124"/>
      <c r="AI732" s="74"/>
      <c r="AJ732" s="240"/>
      <c r="AL732" s="124"/>
      <c r="AM732" s="74"/>
      <c r="AP732" s="125"/>
      <c r="AQ732" s="241"/>
      <c r="AR732" s="125"/>
      <c r="AS732" s="125"/>
      <c r="AT732" s="238"/>
      <c r="AU732" s="125"/>
      <c r="AV732" s="125"/>
      <c r="AW732" s="125"/>
      <c r="AX732" s="238"/>
      <c r="AY732" s="125"/>
      <c r="AZ732" s="125"/>
      <c r="BA732" s="125"/>
    </row>
    <row r="733" spans="2:53" s="123" customFormat="1">
      <c r="B733" s="125"/>
      <c r="D733" s="125"/>
      <c r="I733" s="125"/>
      <c r="Z733" s="124"/>
      <c r="AA733" s="74"/>
      <c r="AB733" s="240"/>
      <c r="AD733" s="124"/>
      <c r="AE733" s="238"/>
      <c r="AF733" s="239"/>
      <c r="AG733" s="239"/>
      <c r="AH733" s="124"/>
      <c r="AI733" s="74"/>
      <c r="AJ733" s="240"/>
      <c r="AL733" s="124"/>
      <c r="AM733" s="74"/>
      <c r="AP733" s="125"/>
      <c r="AQ733" s="241"/>
      <c r="AR733" s="125"/>
      <c r="AS733" s="125"/>
      <c r="AT733" s="238"/>
      <c r="AU733" s="125"/>
      <c r="AV733" s="125"/>
      <c r="AW733" s="125"/>
      <c r="AX733" s="238"/>
      <c r="AY733" s="125"/>
      <c r="AZ733" s="125"/>
      <c r="BA733" s="125"/>
    </row>
    <row r="734" spans="2:53" s="123" customFormat="1">
      <c r="B734" s="125"/>
      <c r="D734" s="125"/>
      <c r="I734" s="125"/>
      <c r="Z734" s="124"/>
      <c r="AA734" s="74"/>
      <c r="AB734" s="240"/>
      <c r="AD734" s="124"/>
      <c r="AE734" s="238"/>
      <c r="AF734" s="239"/>
      <c r="AG734" s="239"/>
      <c r="AH734" s="124"/>
      <c r="AI734" s="74"/>
      <c r="AJ734" s="240"/>
      <c r="AL734" s="124"/>
      <c r="AM734" s="74"/>
      <c r="AP734" s="125"/>
      <c r="AQ734" s="241"/>
      <c r="AR734" s="125"/>
      <c r="AS734" s="125"/>
      <c r="AT734" s="238"/>
      <c r="AU734" s="125"/>
      <c r="AV734" s="125"/>
      <c r="AW734" s="125"/>
      <c r="AX734" s="238"/>
      <c r="AY734" s="125"/>
      <c r="AZ734" s="125"/>
      <c r="BA734" s="125"/>
    </row>
    <row r="735" spans="2:53" s="123" customFormat="1">
      <c r="B735" s="125"/>
      <c r="D735" s="125"/>
      <c r="I735" s="125"/>
      <c r="Z735" s="124"/>
      <c r="AA735" s="74"/>
      <c r="AB735" s="240"/>
      <c r="AD735" s="124"/>
      <c r="AE735" s="238"/>
      <c r="AF735" s="239"/>
      <c r="AG735" s="239"/>
      <c r="AH735" s="124"/>
      <c r="AI735" s="74"/>
      <c r="AJ735" s="240"/>
      <c r="AL735" s="124"/>
      <c r="AM735" s="74"/>
      <c r="AP735" s="125"/>
      <c r="AQ735" s="241"/>
      <c r="AR735" s="125"/>
      <c r="AS735" s="125"/>
      <c r="AT735" s="238"/>
      <c r="AU735" s="125"/>
      <c r="AV735" s="125"/>
      <c r="AW735" s="125"/>
      <c r="AX735" s="238"/>
      <c r="AY735" s="125"/>
      <c r="AZ735" s="125"/>
      <c r="BA735" s="125"/>
    </row>
    <row r="736" spans="2:53" s="123" customFormat="1">
      <c r="B736" s="125"/>
      <c r="D736" s="125"/>
      <c r="I736" s="125"/>
      <c r="Z736" s="124"/>
      <c r="AA736" s="74"/>
      <c r="AB736" s="240"/>
      <c r="AD736" s="124"/>
      <c r="AE736" s="238"/>
      <c r="AF736" s="239"/>
      <c r="AG736" s="239"/>
      <c r="AH736" s="124"/>
      <c r="AI736" s="74"/>
      <c r="AJ736" s="240"/>
      <c r="AL736" s="124"/>
      <c r="AM736" s="74"/>
      <c r="AP736" s="125"/>
      <c r="AQ736" s="241"/>
      <c r="AR736" s="125"/>
      <c r="AS736" s="125"/>
      <c r="AT736" s="238"/>
      <c r="AU736" s="125"/>
      <c r="AV736" s="125"/>
      <c r="AW736" s="125"/>
      <c r="AX736" s="238"/>
      <c r="AY736" s="125"/>
      <c r="AZ736" s="125"/>
      <c r="BA736" s="125"/>
    </row>
    <row r="737" spans="2:53" s="123" customFormat="1">
      <c r="B737" s="125"/>
      <c r="D737" s="125"/>
      <c r="I737" s="125"/>
      <c r="Z737" s="124"/>
      <c r="AA737" s="74"/>
      <c r="AB737" s="240"/>
      <c r="AD737" s="124"/>
      <c r="AE737" s="238"/>
      <c r="AF737" s="239"/>
      <c r="AG737" s="239"/>
      <c r="AH737" s="124"/>
      <c r="AI737" s="74"/>
      <c r="AJ737" s="240"/>
      <c r="AL737" s="124"/>
      <c r="AM737" s="74"/>
      <c r="AP737" s="125"/>
      <c r="AQ737" s="241"/>
      <c r="AR737" s="125"/>
      <c r="AS737" s="125"/>
      <c r="AT737" s="238"/>
      <c r="AU737" s="125"/>
      <c r="AV737" s="125"/>
      <c r="AW737" s="125"/>
      <c r="AX737" s="238"/>
      <c r="AY737" s="125"/>
      <c r="AZ737" s="125"/>
      <c r="BA737" s="125"/>
    </row>
    <row r="738" spans="2:53" s="123" customFormat="1">
      <c r="B738" s="125"/>
      <c r="D738" s="125"/>
      <c r="I738" s="125"/>
      <c r="Z738" s="124"/>
      <c r="AA738" s="74"/>
      <c r="AB738" s="240"/>
      <c r="AD738" s="124"/>
      <c r="AE738" s="238"/>
      <c r="AF738" s="239"/>
      <c r="AG738" s="239"/>
      <c r="AH738" s="124"/>
      <c r="AI738" s="74"/>
      <c r="AJ738" s="240"/>
      <c r="AL738" s="124"/>
      <c r="AM738" s="74"/>
      <c r="AP738" s="125"/>
      <c r="AQ738" s="241"/>
      <c r="AR738" s="125"/>
      <c r="AS738" s="125"/>
      <c r="AT738" s="238"/>
      <c r="AU738" s="125"/>
      <c r="AV738" s="125"/>
      <c r="AW738" s="125"/>
      <c r="AX738" s="238"/>
      <c r="AY738" s="125"/>
      <c r="AZ738" s="125"/>
      <c r="BA738" s="125"/>
    </row>
    <row r="739" spans="2:53" s="123" customFormat="1">
      <c r="B739" s="125"/>
      <c r="D739" s="125"/>
      <c r="I739" s="125"/>
      <c r="Z739" s="124"/>
      <c r="AA739" s="74"/>
      <c r="AB739" s="240"/>
      <c r="AD739" s="124"/>
      <c r="AE739" s="238"/>
      <c r="AF739" s="239"/>
      <c r="AG739" s="239"/>
      <c r="AH739" s="124"/>
      <c r="AI739" s="74"/>
      <c r="AJ739" s="240"/>
      <c r="AL739" s="124"/>
      <c r="AM739" s="74"/>
      <c r="AP739" s="125"/>
      <c r="AQ739" s="241"/>
      <c r="AR739" s="125"/>
      <c r="AS739" s="125"/>
      <c r="AT739" s="238"/>
      <c r="AU739" s="125"/>
      <c r="AV739" s="125"/>
      <c r="AW739" s="125"/>
      <c r="AX739" s="238"/>
      <c r="AY739" s="125"/>
      <c r="AZ739" s="125"/>
      <c r="BA739" s="125"/>
    </row>
    <row r="740" spans="2:53" s="123" customFormat="1">
      <c r="B740" s="125"/>
      <c r="D740" s="125"/>
      <c r="I740" s="125"/>
      <c r="Z740" s="124"/>
      <c r="AA740" s="74"/>
      <c r="AB740" s="240"/>
      <c r="AD740" s="124"/>
      <c r="AE740" s="238"/>
      <c r="AF740" s="239"/>
      <c r="AG740" s="239"/>
      <c r="AH740" s="124"/>
      <c r="AI740" s="74"/>
      <c r="AJ740" s="240"/>
      <c r="AL740" s="124"/>
      <c r="AM740" s="74"/>
      <c r="AP740" s="125"/>
      <c r="AQ740" s="241"/>
      <c r="AR740" s="125"/>
      <c r="AS740" s="125"/>
      <c r="AT740" s="238"/>
      <c r="AU740" s="125"/>
      <c r="AV740" s="125"/>
      <c r="AW740" s="125"/>
      <c r="AX740" s="238"/>
      <c r="AY740" s="125"/>
      <c r="AZ740" s="125"/>
      <c r="BA740" s="125"/>
    </row>
    <row r="741" spans="2:53" s="123" customFormat="1">
      <c r="B741" s="125"/>
      <c r="D741" s="125"/>
      <c r="I741" s="125"/>
      <c r="Z741" s="124"/>
      <c r="AA741" s="74"/>
      <c r="AB741" s="240"/>
      <c r="AD741" s="124"/>
      <c r="AE741" s="238"/>
      <c r="AF741" s="239"/>
      <c r="AG741" s="239"/>
      <c r="AH741" s="124"/>
      <c r="AI741" s="74"/>
      <c r="AJ741" s="240"/>
      <c r="AL741" s="124"/>
      <c r="AM741" s="74"/>
      <c r="AP741" s="125"/>
      <c r="AQ741" s="241"/>
      <c r="AR741" s="125"/>
      <c r="AS741" s="125"/>
      <c r="AT741" s="238"/>
      <c r="AU741" s="125"/>
      <c r="AV741" s="125"/>
      <c r="AW741" s="125"/>
      <c r="AX741" s="238"/>
      <c r="AY741" s="125"/>
      <c r="AZ741" s="125"/>
      <c r="BA741" s="125"/>
    </row>
    <row r="742" spans="2:53" s="123" customFormat="1">
      <c r="B742" s="125"/>
      <c r="D742" s="125"/>
      <c r="I742" s="125"/>
      <c r="Z742" s="124"/>
      <c r="AA742" s="74"/>
      <c r="AB742" s="240"/>
      <c r="AD742" s="124"/>
      <c r="AE742" s="238"/>
      <c r="AF742" s="239"/>
      <c r="AG742" s="239"/>
      <c r="AH742" s="124"/>
      <c r="AI742" s="74"/>
      <c r="AJ742" s="240"/>
      <c r="AL742" s="124"/>
      <c r="AM742" s="74"/>
      <c r="AP742" s="125"/>
      <c r="AQ742" s="241"/>
      <c r="AR742" s="125"/>
      <c r="AS742" s="125"/>
      <c r="AT742" s="238"/>
      <c r="AU742" s="125"/>
      <c r="AV742" s="125"/>
      <c r="AW742" s="125"/>
      <c r="AX742" s="238"/>
      <c r="AY742" s="125"/>
      <c r="AZ742" s="125"/>
      <c r="BA742" s="125"/>
    </row>
    <row r="743" spans="2:53" s="123" customFormat="1">
      <c r="B743" s="125"/>
      <c r="D743" s="125"/>
      <c r="I743" s="125"/>
      <c r="Z743" s="124"/>
      <c r="AA743" s="74"/>
      <c r="AB743" s="240"/>
      <c r="AD743" s="124"/>
      <c r="AE743" s="238"/>
      <c r="AF743" s="239"/>
      <c r="AG743" s="239"/>
      <c r="AH743" s="124"/>
      <c r="AI743" s="74"/>
      <c r="AJ743" s="240"/>
      <c r="AL743" s="124"/>
      <c r="AM743" s="74"/>
      <c r="AP743" s="125"/>
      <c r="AQ743" s="241"/>
      <c r="AR743" s="125"/>
      <c r="AS743" s="125"/>
      <c r="AT743" s="238"/>
      <c r="AU743" s="125"/>
      <c r="AV743" s="125"/>
      <c r="AW743" s="125"/>
      <c r="AX743" s="238"/>
      <c r="AY743" s="125"/>
      <c r="AZ743" s="125"/>
      <c r="BA743" s="125"/>
    </row>
    <row r="744" spans="2:53" s="123" customFormat="1">
      <c r="B744" s="125"/>
      <c r="D744" s="125"/>
      <c r="I744" s="125"/>
      <c r="Z744" s="124"/>
      <c r="AA744" s="74"/>
      <c r="AB744" s="240"/>
      <c r="AD744" s="124"/>
      <c r="AE744" s="238"/>
      <c r="AF744" s="239"/>
      <c r="AG744" s="239"/>
      <c r="AH744" s="124"/>
      <c r="AI744" s="74"/>
      <c r="AJ744" s="240"/>
      <c r="AL744" s="124"/>
      <c r="AM744" s="74"/>
      <c r="AP744" s="125"/>
      <c r="AQ744" s="241"/>
      <c r="AR744" s="125"/>
      <c r="AS744" s="125"/>
      <c r="AT744" s="238"/>
      <c r="AU744" s="125"/>
      <c r="AV744" s="125"/>
      <c r="AW744" s="125"/>
      <c r="AX744" s="238"/>
      <c r="AY744" s="125"/>
      <c r="AZ744" s="125"/>
      <c r="BA744" s="125"/>
    </row>
    <row r="745" spans="2:53" s="123" customFormat="1">
      <c r="B745" s="125"/>
      <c r="D745" s="125"/>
      <c r="I745" s="125"/>
      <c r="Z745" s="124"/>
      <c r="AA745" s="74"/>
      <c r="AB745" s="240"/>
      <c r="AD745" s="124"/>
      <c r="AE745" s="238"/>
      <c r="AF745" s="239"/>
      <c r="AG745" s="239"/>
      <c r="AH745" s="124"/>
      <c r="AI745" s="74"/>
      <c r="AJ745" s="240"/>
      <c r="AL745" s="124"/>
      <c r="AM745" s="74"/>
      <c r="AP745" s="125"/>
      <c r="AQ745" s="241"/>
      <c r="AR745" s="125"/>
      <c r="AS745" s="125"/>
      <c r="AT745" s="238"/>
      <c r="AU745" s="125"/>
      <c r="AV745" s="125"/>
      <c r="AW745" s="125"/>
      <c r="AX745" s="238"/>
      <c r="AY745" s="125"/>
      <c r="AZ745" s="125"/>
      <c r="BA745" s="125"/>
    </row>
    <row r="746" spans="2:53" s="123" customFormat="1">
      <c r="B746" s="125"/>
      <c r="D746" s="125"/>
      <c r="I746" s="125"/>
      <c r="Z746" s="124"/>
      <c r="AA746" s="74"/>
      <c r="AB746" s="240"/>
      <c r="AD746" s="124"/>
      <c r="AE746" s="238"/>
      <c r="AF746" s="239"/>
      <c r="AG746" s="239"/>
      <c r="AH746" s="124"/>
      <c r="AI746" s="74"/>
      <c r="AJ746" s="240"/>
      <c r="AL746" s="124"/>
      <c r="AM746" s="74"/>
      <c r="AP746" s="125"/>
      <c r="AQ746" s="241"/>
      <c r="AR746" s="125"/>
      <c r="AS746" s="125"/>
      <c r="AT746" s="238"/>
      <c r="AU746" s="125"/>
      <c r="AV746" s="125"/>
      <c r="AW746" s="125"/>
      <c r="AX746" s="238"/>
      <c r="AY746" s="125"/>
      <c r="AZ746" s="125"/>
      <c r="BA746" s="125"/>
    </row>
    <row r="747" spans="2:53" s="123" customFormat="1">
      <c r="B747" s="125"/>
      <c r="D747" s="125"/>
      <c r="I747" s="125"/>
      <c r="Z747" s="124"/>
      <c r="AA747" s="74"/>
      <c r="AB747" s="240"/>
      <c r="AD747" s="124"/>
      <c r="AE747" s="238"/>
      <c r="AF747" s="239"/>
      <c r="AG747" s="239"/>
      <c r="AH747" s="124"/>
      <c r="AI747" s="74"/>
      <c r="AJ747" s="240"/>
      <c r="AL747" s="124"/>
      <c r="AM747" s="74"/>
      <c r="AP747" s="125"/>
      <c r="AQ747" s="241"/>
      <c r="AR747" s="125"/>
      <c r="AS747" s="125"/>
      <c r="AT747" s="238"/>
      <c r="AU747" s="125"/>
      <c r="AV747" s="125"/>
      <c r="AW747" s="125"/>
      <c r="AX747" s="238"/>
      <c r="AY747" s="125"/>
      <c r="AZ747" s="125"/>
      <c r="BA747" s="125"/>
    </row>
    <row r="748" spans="2:53" s="123" customFormat="1">
      <c r="B748" s="125"/>
      <c r="D748" s="125"/>
      <c r="I748" s="125"/>
      <c r="Z748" s="124"/>
      <c r="AA748" s="74"/>
      <c r="AB748" s="240"/>
      <c r="AD748" s="124"/>
      <c r="AE748" s="238"/>
      <c r="AF748" s="239"/>
      <c r="AG748" s="239"/>
      <c r="AH748" s="124"/>
      <c r="AI748" s="74"/>
      <c r="AJ748" s="240"/>
      <c r="AL748" s="124"/>
      <c r="AM748" s="74"/>
      <c r="AP748" s="125"/>
      <c r="AQ748" s="241"/>
      <c r="AR748" s="125"/>
      <c r="AS748" s="125"/>
      <c r="AT748" s="238"/>
      <c r="AU748" s="125"/>
      <c r="AV748" s="125"/>
      <c r="AW748" s="125"/>
      <c r="AX748" s="238"/>
      <c r="AY748" s="125"/>
      <c r="AZ748" s="125"/>
      <c r="BA748" s="125"/>
    </row>
    <row r="749" spans="2:53" s="123" customFormat="1">
      <c r="B749" s="125"/>
      <c r="D749" s="125"/>
      <c r="I749" s="125"/>
      <c r="Z749" s="124"/>
      <c r="AA749" s="74"/>
      <c r="AB749" s="240"/>
      <c r="AD749" s="124"/>
      <c r="AE749" s="238"/>
      <c r="AF749" s="239"/>
      <c r="AG749" s="239"/>
      <c r="AH749" s="124"/>
      <c r="AI749" s="74"/>
      <c r="AJ749" s="240"/>
      <c r="AL749" s="124"/>
      <c r="AM749" s="74"/>
      <c r="AP749" s="125"/>
      <c r="AQ749" s="241"/>
      <c r="AR749" s="125"/>
      <c r="AS749" s="125"/>
      <c r="AT749" s="238"/>
      <c r="AU749" s="125"/>
      <c r="AV749" s="125"/>
      <c r="AW749" s="125"/>
      <c r="AX749" s="238"/>
      <c r="AY749" s="125"/>
      <c r="AZ749" s="125"/>
      <c r="BA749" s="125"/>
    </row>
    <row r="750" spans="2:53" s="123" customFormat="1">
      <c r="B750" s="125"/>
      <c r="D750" s="125"/>
      <c r="I750" s="125"/>
      <c r="Z750" s="124"/>
      <c r="AA750" s="74"/>
      <c r="AB750" s="240"/>
      <c r="AD750" s="124"/>
      <c r="AE750" s="238"/>
      <c r="AF750" s="239"/>
      <c r="AG750" s="239"/>
      <c r="AH750" s="124"/>
      <c r="AI750" s="74"/>
      <c r="AJ750" s="240"/>
      <c r="AL750" s="124"/>
      <c r="AM750" s="74"/>
      <c r="AP750" s="125"/>
      <c r="AQ750" s="241"/>
      <c r="AR750" s="125"/>
      <c r="AS750" s="125"/>
      <c r="AT750" s="238"/>
      <c r="AU750" s="125"/>
      <c r="AV750" s="125"/>
      <c r="AW750" s="125"/>
      <c r="AX750" s="238"/>
      <c r="AY750" s="125"/>
      <c r="AZ750" s="125"/>
      <c r="BA750" s="125"/>
    </row>
    <row r="751" spans="2:53" s="123" customFormat="1">
      <c r="B751" s="125"/>
      <c r="D751" s="125"/>
      <c r="I751" s="125"/>
      <c r="Z751" s="124"/>
      <c r="AA751" s="74"/>
      <c r="AB751" s="240"/>
      <c r="AD751" s="124"/>
      <c r="AE751" s="238"/>
      <c r="AF751" s="239"/>
      <c r="AG751" s="239"/>
      <c r="AH751" s="124"/>
      <c r="AI751" s="74"/>
      <c r="AJ751" s="240"/>
      <c r="AL751" s="124"/>
      <c r="AM751" s="74"/>
      <c r="AP751" s="125"/>
      <c r="AQ751" s="241"/>
      <c r="AR751" s="125"/>
      <c r="AS751" s="125"/>
      <c r="AT751" s="238"/>
      <c r="AU751" s="125"/>
      <c r="AV751" s="125"/>
      <c r="AW751" s="125"/>
      <c r="AX751" s="238"/>
      <c r="AY751" s="125"/>
      <c r="AZ751" s="125"/>
      <c r="BA751" s="125"/>
    </row>
    <row r="752" spans="2:53" s="123" customFormat="1">
      <c r="B752" s="125"/>
      <c r="D752" s="125"/>
      <c r="I752" s="125"/>
      <c r="Z752" s="124"/>
      <c r="AA752" s="74"/>
      <c r="AB752" s="240"/>
      <c r="AD752" s="124"/>
      <c r="AE752" s="238"/>
      <c r="AF752" s="239"/>
      <c r="AG752" s="239"/>
      <c r="AH752" s="124"/>
      <c r="AI752" s="74"/>
      <c r="AJ752" s="240"/>
      <c r="AL752" s="124"/>
      <c r="AM752" s="74"/>
      <c r="AP752" s="125"/>
      <c r="AQ752" s="241"/>
      <c r="AR752" s="125"/>
      <c r="AS752" s="125"/>
      <c r="AT752" s="238"/>
      <c r="AU752" s="125"/>
      <c r="AV752" s="125"/>
      <c r="AW752" s="125"/>
      <c r="AX752" s="238"/>
      <c r="AY752" s="125"/>
      <c r="AZ752" s="125"/>
      <c r="BA752" s="125"/>
    </row>
    <row r="753" spans="2:53" s="123" customFormat="1">
      <c r="B753" s="125"/>
      <c r="D753" s="125"/>
      <c r="I753" s="125"/>
      <c r="Z753" s="124"/>
      <c r="AA753" s="74"/>
      <c r="AB753" s="240"/>
      <c r="AD753" s="124"/>
      <c r="AE753" s="238"/>
      <c r="AF753" s="239"/>
      <c r="AG753" s="239"/>
      <c r="AH753" s="124"/>
      <c r="AI753" s="74"/>
      <c r="AJ753" s="240"/>
      <c r="AL753" s="124"/>
      <c r="AM753" s="74"/>
      <c r="AP753" s="125"/>
      <c r="AQ753" s="241"/>
      <c r="AR753" s="125"/>
      <c r="AS753" s="125"/>
      <c r="AT753" s="238"/>
      <c r="AU753" s="125"/>
      <c r="AV753" s="125"/>
      <c r="AW753" s="125"/>
      <c r="AX753" s="238"/>
      <c r="AY753" s="125"/>
      <c r="AZ753" s="125"/>
      <c r="BA753" s="125"/>
    </row>
    <row r="754" spans="2:53" s="123" customFormat="1">
      <c r="B754" s="125"/>
      <c r="D754" s="125"/>
      <c r="I754" s="125"/>
      <c r="Z754" s="124"/>
      <c r="AA754" s="74"/>
      <c r="AB754" s="240"/>
      <c r="AD754" s="124"/>
      <c r="AE754" s="238"/>
      <c r="AF754" s="239"/>
      <c r="AG754" s="239"/>
      <c r="AH754" s="124"/>
      <c r="AI754" s="74"/>
      <c r="AJ754" s="240"/>
      <c r="AL754" s="124"/>
      <c r="AM754" s="74"/>
      <c r="AP754" s="125"/>
      <c r="AQ754" s="241"/>
      <c r="AR754" s="125"/>
      <c r="AS754" s="125"/>
      <c r="AT754" s="238"/>
      <c r="AU754" s="125"/>
      <c r="AV754" s="125"/>
      <c r="AW754" s="125"/>
      <c r="AX754" s="238"/>
      <c r="AY754" s="125"/>
      <c r="AZ754" s="125"/>
      <c r="BA754" s="125"/>
    </row>
    <row r="755" spans="2:53" s="123" customFormat="1">
      <c r="B755" s="125"/>
      <c r="D755" s="125"/>
      <c r="I755" s="125"/>
      <c r="Z755" s="124"/>
      <c r="AA755" s="74"/>
      <c r="AB755" s="240"/>
      <c r="AD755" s="124"/>
      <c r="AE755" s="238"/>
      <c r="AF755" s="239"/>
      <c r="AG755" s="239"/>
      <c r="AH755" s="124"/>
      <c r="AI755" s="74"/>
      <c r="AJ755" s="240"/>
      <c r="AL755" s="124"/>
      <c r="AM755" s="74"/>
      <c r="AP755" s="125"/>
      <c r="AQ755" s="241"/>
      <c r="AR755" s="125"/>
      <c r="AS755" s="125"/>
      <c r="AT755" s="238"/>
      <c r="AU755" s="125"/>
      <c r="AV755" s="125"/>
      <c r="AW755" s="125"/>
      <c r="AX755" s="238"/>
      <c r="AY755" s="125"/>
      <c r="AZ755" s="125"/>
      <c r="BA755" s="125"/>
    </row>
    <row r="756" spans="2:53" s="123" customFormat="1">
      <c r="B756" s="125"/>
      <c r="D756" s="125"/>
      <c r="I756" s="125"/>
      <c r="Z756" s="124"/>
      <c r="AA756" s="74"/>
      <c r="AB756" s="240"/>
      <c r="AD756" s="124"/>
      <c r="AE756" s="238"/>
      <c r="AF756" s="239"/>
      <c r="AG756" s="239"/>
      <c r="AH756" s="124"/>
      <c r="AI756" s="74"/>
      <c r="AJ756" s="240"/>
      <c r="AL756" s="124"/>
      <c r="AM756" s="74"/>
      <c r="AP756" s="125"/>
      <c r="AQ756" s="241"/>
      <c r="AR756" s="125"/>
      <c r="AS756" s="125"/>
      <c r="AT756" s="238"/>
      <c r="AU756" s="125"/>
      <c r="AV756" s="125"/>
      <c r="AW756" s="125"/>
      <c r="AX756" s="238"/>
      <c r="AY756" s="125"/>
      <c r="AZ756" s="125"/>
      <c r="BA756" s="125"/>
    </row>
    <row r="757" spans="2:53" s="123" customFormat="1">
      <c r="B757" s="125"/>
      <c r="D757" s="125"/>
      <c r="I757" s="125"/>
      <c r="Z757" s="124"/>
      <c r="AA757" s="74"/>
      <c r="AB757" s="240"/>
      <c r="AD757" s="124"/>
      <c r="AE757" s="238"/>
      <c r="AF757" s="239"/>
      <c r="AG757" s="239"/>
      <c r="AH757" s="124"/>
      <c r="AI757" s="74"/>
      <c r="AJ757" s="240"/>
      <c r="AL757" s="124"/>
      <c r="AM757" s="74"/>
      <c r="AP757" s="125"/>
      <c r="AQ757" s="241"/>
      <c r="AR757" s="125"/>
      <c r="AS757" s="125"/>
      <c r="AT757" s="238"/>
      <c r="AU757" s="125"/>
      <c r="AV757" s="125"/>
      <c r="AW757" s="125"/>
      <c r="AX757" s="238"/>
      <c r="AY757" s="125"/>
      <c r="AZ757" s="125"/>
      <c r="BA757" s="125"/>
    </row>
    <row r="758" spans="2:53" s="123" customFormat="1">
      <c r="B758" s="125"/>
      <c r="D758" s="125"/>
      <c r="I758" s="125"/>
      <c r="Z758" s="124"/>
      <c r="AA758" s="74"/>
      <c r="AB758" s="240"/>
      <c r="AD758" s="124"/>
      <c r="AE758" s="238"/>
      <c r="AF758" s="239"/>
      <c r="AG758" s="239"/>
      <c r="AH758" s="124"/>
      <c r="AI758" s="74"/>
      <c r="AJ758" s="240"/>
      <c r="AL758" s="124"/>
      <c r="AM758" s="74"/>
      <c r="AP758" s="125"/>
      <c r="AQ758" s="241"/>
      <c r="AR758" s="125"/>
      <c r="AS758" s="125"/>
      <c r="AT758" s="238"/>
      <c r="AU758" s="125"/>
      <c r="AV758" s="125"/>
      <c r="AW758" s="125"/>
      <c r="AX758" s="238"/>
      <c r="AY758" s="125"/>
      <c r="AZ758" s="125"/>
      <c r="BA758" s="125"/>
    </row>
    <row r="759" spans="2:53" s="123" customFormat="1">
      <c r="B759" s="125"/>
      <c r="D759" s="125"/>
      <c r="I759" s="125"/>
      <c r="Z759" s="124"/>
      <c r="AA759" s="74"/>
      <c r="AB759" s="240"/>
      <c r="AD759" s="124"/>
      <c r="AE759" s="238"/>
      <c r="AF759" s="239"/>
      <c r="AG759" s="239"/>
      <c r="AH759" s="124"/>
      <c r="AI759" s="74"/>
      <c r="AJ759" s="240"/>
      <c r="AL759" s="124"/>
      <c r="AM759" s="74"/>
      <c r="AP759" s="125"/>
      <c r="AQ759" s="241"/>
      <c r="AR759" s="125"/>
      <c r="AS759" s="125"/>
      <c r="AT759" s="238"/>
      <c r="AU759" s="125"/>
      <c r="AV759" s="125"/>
      <c r="AW759" s="125"/>
      <c r="AX759" s="238"/>
      <c r="AY759" s="125"/>
      <c r="AZ759" s="125"/>
      <c r="BA759" s="125"/>
    </row>
    <row r="760" spans="2:53" s="123" customFormat="1">
      <c r="B760" s="125"/>
      <c r="D760" s="125"/>
      <c r="I760" s="125"/>
      <c r="Z760" s="124"/>
      <c r="AA760" s="74"/>
      <c r="AB760" s="240"/>
      <c r="AD760" s="124"/>
      <c r="AE760" s="238"/>
      <c r="AF760" s="239"/>
      <c r="AG760" s="239"/>
      <c r="AH760" s="124"/>
      <c r="AI760" s="74"/>
      <c r="AJ760" s="240"/>
      <c r="AL760" s="124"/>
      <c r="AM760" s="74"/>
      <c r="AP760" s="125"/>
      <c r="AQ760" s="241"/>
      <c r="AR760" s="125"/>
      <c r="AS760" s="125"/>
      <c r="AT760" s="238"/>
      <c r="AU760" s="125"/>
      <c r="AV760" s="125"/>
      <c r="AW760" s="125"/>
      <c r="AX760" s="238"/>
      <c r="AY760" s="125"/>
      <c r="AZ760" s="125"/>
      <c r="BA760" s="125"/>
    </row>
    <row r="761" spans="2:53" s="123" customFormat="1">
      <c r="B761" s="125"/>
      <c r="D761" s="125"/>
      <c r="I761" s="125"/>
      <c r="Z761" s="124"/>
      <c r="AA761" s="74"/>
      <c r="AB761" s="240"/>
      <c r="AD761" s="124"/>
      <c r="AE761" s="238"/>
      <c r="AF761" s="239"/>
      <c r="AG761" s="239"/>
      <c r="AH761" s="124"/>
      <c r="AI761" s="74"/>
      <c r="AJ761" s="240"/>
      <c r="AL761" s="124"/>
      <c r="AM761" s="74"/>
      <c r="AP761" s="125"/>
      <c r="AQ761" s="241"/>
      <c r="AR761" s="125"/>
      <c r="AS761" s="125"/>
      <c r="AT761" s="238"/>
      <c r="AU761" s="125"/>
      <c r="AV761" s="125"/>
      <c r="AW761" s="125"/>
      <c r="AX761" s="238"/>
      <c r="AY761" s="125"/>
      <c r="AZ761" s="125"/>
      <c r="BA761" s="125"/>
    </row>
    <row r="762" spans="2:53" s="123" customFormat="1">
      <c r="B762" s="125"/>
      <c r="D762" s="125"/>
      <c r="I762" s="125"/>
      <c r="Z762" s="124"/>
      <c r="AA762" s="74"/>
      <c r="AB762" s="240"/>
      <c r="AD762" s="124"/>
      <c r="AE762" s="238"/>
      <c r="AF762" s="239"/>
      <c r="AG762" s="239"/>
      <c r="AH762" s="124"/>
      <c r="AI762" s="74"/>
      <c r="AJ762" s="240"/>
      <c r="AL762" s="124"/>
      <c r="AM762" s="74"/>
      <c r="AP762" s="125"/>
      <c r="AQ762" s="241"/>
      <c r="AR762" s="125"/>
      <c r="AS762" s="125"/>
      <c r="AT762" s="238"/>
      <c r="AU762" s="125"/>
      <c r="AV762" s="125"/>
      <c r="AW762" s="125"/>
      <c r="AX762" s="238"/>
      <c r="AY762" s="125"/>
      <c r="AZ762" s="125"/>
      <c r="BA762" s="125"/>
    </row>
    <row r="763" spans="2:53" s="123" customFormat="1">
      <c r="B763" s="125"/>
      <c r="D763" s="125"/>
      <c r="I763" s="125"/>
      <c r="Z763" s="124"/>
      <c r="AA763" s="74"/>
      <c r="AB763" s="240"/>
      <c r="AD763" s="124"/>
      <c r="AE763" s="238"/>
      <c r="AF763" s="239"/>
      <c r="AG763" s="239"/>
      <c r="AH763" s="124"/>
      <c r="AI763" s="74"/>
      <c r="AJ763" s="240"/>
      <c r="AL763" s="124"/>
      <c r="AM763" s="74"/>
      <c r="AP763" s="125"/>
      <c r="AQ763" s="241"/>
      <c r="AR763" s="125"/>
      <c r="AS763" s="125"/>
      <c r="AT763" s="238"/>
      <c r="AU763" s="125"/>
      <c r="AV763" s="125"/>
      <c r="AW763" s="125"/>
      <c r="AX763" s="238"/>
      <c r="AY763" s="125"/>
      <c r="AZ763" s="125"/>
      <c r="BA763" s="125"/>
    </row>
    <row r="764" spans="2:53" s="123" customFormat="1">
      <c r="B764" s="125"/>
      <c r="D764" s="125"/>
      <c r="I764" s="125"/>
      <c r="Z764" s="124"/>
      <c r="AA764" s="74"/>
      <c r="AB764" s="240"/>
      <c r="AD764" s="124"/>
      <c r="AE764" s="238"/>
      <c r="AF764" s="239"/>
      <c r="AG764" s="239"/>
      <c r="AH764" s="124"/>
      <c r="AI764" s="74"/>
      <c r="AJ764" s="240"/>
      <c r="AL764" s="124"/>
      <c r="AM764" s="74"/>
      <c r="AP764" s="125"/>
      <c r="AQ764" s="241"/>
      <c r="AR764" s="125"/>
      <c r="AS764" s="125"/>
      <c r="AT764" s="238"/>
      <c r="AU764" s="125"/>
      <c r="AV764" s="125"/>
      <c r="AW764" s="125"/>
      <c r="AX764" s="238"/>
      <c r="AY764" s="125"/>
      <c r="AZ764" s="125"/>
      <c r="BA764" s="125"/>
    </row>
    <row r="765" spans="2:53" s="123" customFormat="1">
      <c r="B765" s="125"/>
      <c r="D765" s="125"/>
      <c r="I765" s="125"/>
      <c r="Z765" s="124"/>
      <c r="AA765" s="74"/>
      <c r="AB765" s="240"/>
      <c r="AD765" s="124"/>
      <c r="AE765" s="238"/>
      <c r="AF765" s="239"/>
      <c r="AG765" s="239"/>
      <c r="AH765" s="124"/>
      <c r="AI765" s="74"/>
      <c r="AJ765" s="240"/>
      <c r="AL765" s="124"/>
      <c r="AM765" s="74"/>
      <c r="AP765" s="125"/>
      <c r="AQ765" s="241"/>
      <c r="AR765" s="125"/>
      <c r="AS765" s="125"/>
      <c r="AT765" s="238"/>
      <c r="AU765" s="125"/>
      <c r="AV765" s="125"/>
      <c r="AW765" s="125"/>
      <c r="AX765" s="238"/>
      <c r="AY765" s="125"/>
      <c r="AZ765" s="125"/>
      <c r="BA765" s="125"/>
    </row>
    <row r="766" spans="2:53" s="123" customFormat="1">
      <c r="B766" s="125"/>
      <c r="D766" s="125"/>
      <c r="I766" s="125"/>
      <c r="Z766" s="124"/>
      <c r="AA766" s="74"/>
      <c r="AB766" s="240"/>
      <c r="AD766" s="124"/>
      <c r="AE766" s="238"/>
      <c r="AF766" s="239"/>
      <c r="AG766" s="239"/>
      <c r="AH766" s="124"/>
      <c r="AI766" s="74"/>
      <c r="AJ766" s="240"/>
      <c r="AL766" s="124"/>
      <c r="AM766" s="74"/>
      <c r="AP766" s="125"/>
      <c r="AQ766" s="241"/>
      <c r="AR766" s="125"/>
      <c r="AS766" s="125"/>
      <c r="AT766" s="238"/>
      <c r="AU766" s="125"/>
      <c r="AV766" s="125"/>
      <c r="AW766" s="125"/>
      <c r="AX766" s="238"/>
      <c r="AY766" s="125"/>
      <c r="AZ766" s="125"/>
      <c r="BA766" s="125"/>
    </row>
    <row r="767" spans="2:53" s="123" customFormat="1">
      <c r="B767" s="125"/>
      <c r="D767" s="125"/>
      <c r="I767" s="125"/>
      <c r="Z767" s="124"/>
      <c r="AA767" s="74"/>
      <c r="AB767" s="240"/>
      <c r="AD767" s="124"/>
      <c r="AE767" s="238"/>
      <c r="AF767" s="239"/>
      <c r="AG767" s="239"/>
      <c r="AH767" s="124"/>
      <c r="AI767" s="74"/>
      <c r="AJ767" s="240"/>
      <c r="AL767" s="124"/>
      <c r="AM767" s="74"/>
      <c r="AP767" s="125"/>
      <c r="AQ767" s="241"/>
      <c r="AR767" s="125"/>
      <c r="AS767" s="125"/>
      <c r="AT767" s="238"/>
      <c r="AU767" s="125"/>
      <c r="AV767" s="125"/>
      <c r="AW767" s="125"/>
      <c r="AX767" s="238"/>
      <c r="AY767" s="125"/>
      <c r="AZ767" s="125"/>
      <c r="BA767" s="125"/>
    </row>
    <row r="768" spans="2:53" s="123" customFormat="1">
      <c r="B768" s="125"/>
      <c r="D768" s="125"/>
      <c r="I768" s="125"/>
      <c r="Z768" s="124"/>
      <c r="AA768" s="74"/>
      <c r="AB768" s="240"/>
      <c r="AD768" s="124"/>
      <c r="AE768" s="238"/>
      <c r="AF768" s="239"/>
      <c r="AG768" s="239"/>
      <c r="AH768" s="124"/>
      <c r="AI768" s="74"/>
      <c r="AJ768" s="240"/>
      <c r="AL768" s="124"/>
      <c r="AM768" s="74"/>
      <c r="AP768" s="125"/>
      <c r="AQ768" s="241"/>
      <c r="AR768" s="125"/>
      <c r="AS768" s="125"/>
      <c r="AT768" s="238"/>
      <c r="AU768" s="125"/>
      <c r="AV768" s="125"/>
      <c r="AW768" s="125"/>
      <c r="AX768" s="238"/>
      <c r="AY768" s="125"/>
      <c r="AZ768" s="125"/>
      <c r="BA768" s="125"/>
    </row>
    <row r="769" spans="2:53" s="123" customFormat="1">
      <c r="B769" s="125"/>
      <c r="D769" s="125"/>
      <c r="I769" s="125"/>
      <c r="Z769" s="124"/>
      <c r="AA769" s="74"/>
      <c r="AB769" s="240"/>
      <c r="AD769" s="124"/>
      <c r="AE769" s="238"/>
      <c r="AF769" s="239"/>
      <c r="AG769" s="239"/>
      <c r="AH769" s="124"/>
      <c r="AI769" s="74"/>
      <c r="AJ769" s="240"/>
      <c r="AL769" s="124"/>
      <c r="AM769" s="74"/>
      <c r="AP769" s="125"/>
      <c r="AQ769" s="241"/>
      <c r="AR769" s="125"/>
      <c r="AS769" s="125"/>
      <c r="AT769" s="238"/>
      <c r="AU769" s="125"/>
      <c r="AV769" s="125"/>
      <c r="AW769" s="125"/>
      <c r="AX769" s="238"/>
      <c r="AY769" s="125"/>
      <c r="AZ769" s="125"/>
      <c r="BA769" s="125"/>
    </row>
    <row r="770" spans="2:53" s="123" customFormat="1">
      <c r="B770" s="125"/>
      <c r="D770" s="125"/>
      <c r="I770" s="125"/>
      <c r="Z770" s="124"/>
      <c r="AA770" s="74"/>
      <c r="AB770" s="240"/>
      <c r="AD770" s="124"/>
      <c r="AE770" s="238"/>
      <c r="AF770" s="239"/>
      <c r="AG770" s="239"/>
      <c r="AH770" s="124"/>
      <c r="AI770" s="74"/>
      <c r="AJ770" s="240"/>
      <c r="AL770" s="124"/>
      <c r="AM770" s="74"/>
      <c r="AP770" s="125"/>
      <c r="AQ770" s="241"/>
      <c r="AR770" s="125"/>
      <c r="AS770" s="125"/>
      <c r="AT770" s="238"/>
      <c r="AU770" s="125"/>
      <c r="AV770" s="125"/>
      <c r="AW770" s="125"/>
      <c r="AX770" s="238"/>
      <c r="AY770" s="125"/>
      <c r="AZ770" s="125"/>
      <c r="BA770" s="125"/>
    </row>
    <row r="771" spans="2:53" s="123" customFormat="1">
      <c r="B771" s="125"/>
      <c r="D771" s="125"/>
      <c r="I771" s="125"/>
      <c r="Z771" s="124"/>
      <c r="AA771" s="74"/>
      <c r="AB771" s="240"/>
      <c r="AD771" s="124"/>
      <c r="AE771" s="238"/>
      <c r="AF771" s="239"/>
      <c r="AG771" s="239"/>
      <c r="AH771" s="124"/>
      <c r="AI771" s="74"/>
      <c r="AJ771" s="240"/>
      <c r="AL771" s="124"/>
      <c r="AM771" s="74"/>
      <c r="AP771" s="125"/>
      <c r="AQ771" s="241"/>
      <c r="AR771" s="125"/>
      <c r="AS771" s="125"/>
      <c r="AT771" s="238"/>
      <c r="AU771" s="125"/>
      <c r="AV771" s="125"/>
      <c r="AW771" s="125"/>
      <c r="AX771" s="238"/>
      <c r="AY771" s="125"/>
      <c r="AZ771" s="125"/>
      <c r="BA771" s="125"/>
    </row>
    <row r="772" spans="2:53" s="123" customFormat="1">
      <c r="B772" s="125"/>
      <c r="D772" s="125"/>
      <c r="I772" s="125"/>
      <c r="Z772" s="124"/>
      <c r="AA772" s="74"/>
      <c r="AB772" s="240"/>
      <c r="AD772" s="124"/>
      <c r="AE772" s="238"/>
      <c r="AF772" s="239"/>
      <c r="AG772" s="239"/>
      <c r="AH772" s="124"/>
      <c r="AI772" s="74"/>
      <c r="AJ772" s="240"/>
      <c r="AL772" s="124"/>
      <c r="AM772" s="74"/>
      <c r="AP772" s="125"/>
      <c r="AQ772" s="241"/>
      <c r="AR772" s="125"/>
      <c r="AS772" s="125"/>
      <c r="AT772" s="238"/>
      <c r="AU772" s="125"/>
      <c r="AV772" s="125"/>
      <c r="AW772" s="125"/>
      <c r="AX772" s="238"/>
      <c r="AY772" s="125"/>
      <c r="AZ772" s="125"/>
      <c r="BA772" s="125"/>
    </row>
    <row r="773" spans="2:53" s="123" customFormat="1">
      <c r="B773" s="125"/>
      <c r="D773" s="125"/>
      <c r="I773" s="125"/>
      <c r="Z773" s="124"/>
      <c r="AA773" s="74"/>
      <c r="AB773" s="240"/>
      <c r="AD773" s="124"/>
      <c r="AE773" s="238"/>
      <c r="AF773" s="239"/>
      <c r="AG773" s="239"/>
      <c r="AH773" s="124"/>
      <c r="AI773" s="74"/>
      <c r="AJ773" s="240"/>
      <c r="AL773" s="124"/>
      <c r="AM773" s="74"/>
      <c r="AP773" s="125"/>
      <c r="AQ773" s="241"/>
      <c r="AR773" s="125"/>
      <c r="AS773" s="125"/>
      <c r="AT773" s="238"/>
      <c r="AU773" s="125"/>
      <c r="AV773" s="125"/>
      <c r="AW773" s="125"/>
      <c r="AX773" s="238"/>
      <c r="AY773" s="125"/>
      <c r="AZ773" s="125"/>
      <c r="BA773" s="125"/>
    </row>
    <row r="774" spans="2:53" s="123" customFormat="1">
      <c r="B774" s="125"/>
      <c r="D774" s="125"/>
      <c r="I774" s="125"/>
      <c r="Z774" s="124"/>
      <c r="AA774" s="74"/>
      <c r="AB774" s="240"/>
      <c r="AD774" s="124"/>
      <c r="AE774" s="238"/>
      <c r="AF774" s="239"/>
      <c r="AG774" s="239"/>
      <c r="AH774" s="124"/>
      <c r="AI774" s="74"/>
      <c r="AJ774" s="240"/>
      <c r="AL774" s="124"/>
      <c r="AM774" s="74"/>
      <c r="AP774" s="125"/>
      <c r="AQ774" s="241"/>
      <c r="AR774" s="125"/>
      <c r="AS774" s="125"/>
      <c r="AT774" s="238"/>
      <c r="AU774" s="125"/>
      <c r="AV774" s="125"/>
      <c r="AW774" s="125"/>
      <c r="AX774" s="238"/>
      <c r="AY774" s="125"/>
      <c r="AZ774" s="125"/>
      <c r="BA774" s="125"/>
    </row>
    <row r="775" spans="2:53" s="123" customFormat="1">
      <c r="B775" s="125"/>
      <c r="D775" s="125"/>
      <c r="I775" s="125"/>
      <c r="Z775" s="124"/>
      <c r="AA775" s="74"/>
      <c r="AB775" s="240"/>
      <c r="AD775" s="124"/>
      <c r="AE775" s="238"/>
      <c r="AF775" s="239"/>
      <c r="AG775" s="239"/>
      <c r="AH775" s="124"/>
      <c r="AI775" s="74"/>
      <c r="AJ775" s="240"/>
      <c r="AL775" s="124"/>
      <c r="AM775" s="74"/>
      <c r="AP775" s="125"/>
      <c r="AQ775" s="241"/>
      <c r="AR775" s="125"/>
      <c r="AS775" s="125"/>
      <c r="AT775" s="238"/>
      <c r="AU775" s="125"/>
      <c r="AV775" s="125"/>
      <c r="AW775" s="125"/>
      <c r="AX775" s="238"/>
      <c r="AY775" s="125"/>
      <c r="AZ775" s="125"/>
      <c r="BA775" s="125"/>
    </row>
    <row r="776" spans="2:53" s="123" customFormat="1">
      <c r="B776" s="125"/>
      <c r="D776" s="125"/>
      <c r="I776" s="125"/>
      <c r="Z776" s="124"/>
      <c r="AA776" s="74"/>
      <c r="AB776" s="240"/>
      <c r="AD776" s="124"/>
      <c r="AE776" s="238"/>
      <c r="AF776" s="239"/>
      <c r="AG776" s="239"/>
      <c r="AH776" s="124"/>
      <c r="AI776" s="74"/>
      <c r="AJ776" s="240"/>
      <c r="AL776" s="124"/>
      <c r="AM776" s="74"/>
      <c r="AP776" s="125"/>
      <c r="AQ776" s="241"/>
      <c r="AR776" s="125"/>
      <c r="AS776" s="125"/>
      <c r="AT776" s="238"/>
      <c r="AU776" s="125"/>
      <c r="AV776" s="125"/>
      <c r="AW776" s="125"/>
      <c r="AX776" s="238"/>
      <c r="AY776" s="125"/>
      <c r="AZ776" s="125"/>
      <c r="BA776" s="125"/>
    </row>
    <row r="777" spans="2:53" s="123" customFormat="1">
      <c r="B777" s="125"/>
      <c r="D777" s="125"/>
      <c r="I777" s="125"/>
      <c r="Z777" s="124"/>
      <c r="AA777" s="74"/>
      <c r="AB777" s="240"/>
      <c r="AD777" s="124"/>
      <c r="AE777" s="238"/>
      <c r="AF777" s="239"/>
      <c r="AG777" s="239"/>
      <c r="AH777" s="124"/>
      <c r="AI777" s="74"/>
      <c r="AJ777" s="240"/>
      <c r="AL777" s="124"/>
      <c r="AM777" s="74"/>
      <c r="AP777" s="125"/>
      <c r="AQ777" s="241"/>
      <c r="AR777" s="125"/>
      <c r="AS777" s="125"/>
      <c r="AT777" s="238"/>
      <c r="AU777" s="125"/>
      <c r="AV777" s="125"/>
      <c r="AW777" s="125"/>
      <c r="AX777" s="238"/>
      <c r="AY777" s="125"/>
      <c r="AZ777" s="125"/>
      <c r="BA777" s="125"/>
    </row>
    <row r="778" spans="2:53" s="123" customFormat="1">
      <c r="B778" s="125"/>
      <c r="D778" s="125"/>
      <c r="I778" s="125"/>
      <c r="Z778" s="124"/>
      <c r="AA778" s="74"/>
      <c r="AB778" s="240"/>
      <c r="AD778" s="124"/>
      <c r="AE778" s="238"/>
      <c r="AF778" s="239"/>
      <c r="AG778" s="239"/>
      <c r="AH778" s="124"/>
      <c r="AI778" s="74"/>
      <c r="AJ778" s="240"/>
      <c r="AL778" s="124"/>
      <c r="AM778" s="74"/>
      <c r="AP778" s="125"/>
      <c r="AQ778" s="241"/>
      <c r="AR778" s="125"/>
      <c r="AS778" s="125"/>
      <c r="AT778" s="238"/>
      <c r="AU778" s="125"/>
      <c r="AV778" s="125"/>
      <c r="AW778" s="125"/>
      <c r="AX778" s="238"/>
      <c r="AY778" s="125"/>
      <c r="AZ778" s="125"/>
      <c r="BA778" s="125"/>
    </row>
    <row r="779" spans="2:53" s="123" customFormat="1">
      <c r="B779" s="125"/>
      <c r="D779" s="125"/>
      <c r="I779" s="125"/>
      <c r="Z779" s="124"/>
      <c r="AA779" s="74"/>
      <c r="AB779" s="240"/>
      <c r="AD779" s="124"/>
      <c r="AE779" s="238"/>
      <c r="AF779" s="239"/>
      <c r="AG779" s="239"/>
      <c r="AH779" s="124"/>
      <c r="AI779" s="74"/>
      <c r="AJ779" s="240"/>
      <c r="AL779" s="124"/>
      <c r="AM779" s="74"/>
      <c r="AP779" s="125"/>
      <c r="AQ779" s="241"/>
      <c r="AR779" s="125"/>
      <c r="AS779" s="125"/>
      <c r="AT779" s="238"/>
      <c r="AU779" s="125"/>
      <c r="AV779" s="125"/>
      <c r="AW779" s="125"/>
      <c r="AX779" s="238"/>
      <c r="AY779" s="125"/>
      <c r="AZ779" s="125"/>
      <c r="BA779" s="125"/>
    </row>
    <row r="780" spans="2:53" s="123" customFormat="1">
      <c r="B780" s="125"/>
      <c r="D780" s="125"/>
      <c r="I780" s="125"/>
      <c r="Z780" s="124"/>
      <c r="AA780" s="74"/>
      <c r="AB780" s="240"/>
      <c r="AD780" s="124"/>
      <c r="AE780" s="238"/>
      <c r="AF780" s="239"/>
      <c r="AG780" s="239"/>
      <c r="AH780" s="124"/>
      <c r="AI780" s="74"/>
      <c r="AJ780" s="240"/>
      <c r="AL780" s="124"/>
      <c r="AM780" s="74"/>
      <c r="AP780" s="125"/>
      <c r="AQ780" s="241"/>
      <c r="AR780" s="125"/>
      <c r="AS780" s="125"/>
      <c r="AT780" s="238"/>
      <c r="AU780" s="125"/>
      <c r="AV780" s="125"/>
      <c r="AW780" s="125"/>
      <c r="AX780" s="238"/>
      <c r="AY780" s="125"/>
      <c r="AZ780" s="125"/>
      <c r="BA780" s="125"/>
    </row>
    <row r="781" spans="2:53" s="123" customFormat="1">
      <c r="B781" s="125"/>
      <c r="D781" s="125"/>
      <c r="I781" s="125"/>
      <c r="Z781" s="124"/>
      <c r="AA781" s="74"/>
      <c r="AB781" s="240"/>
      <c r="AD781" s="124"/>
      <c r="AE781" s="238"/>
      <c r="AF781" s="239"/>
      <c r="AG781" s="239"/>
      <c r="AH781" s="124"/>
      <c r="AI781" s="74"/>
      <c r="AJ781" s="240"/>
      <c r="AL781" s="124"/>
      <c r="AM781" s="74"/>
      <c r="AP781" s="125"/>
      <c r="AQ781" s="241"/>
      <c r="AR781" s="125"/>
      <c r="AS781" s="125"/>
      <c r="AT781" s="238"/>
      <c r="AU781" s="125"/>
      <c r="AV781" s="125"/>
      <c r="AW781" s="125"/>
      <c r="AX781" s="238"/>
      <c r="AY781" s="125"/>
      <c r="AZ781" s="125"/>
      <c r="BA781" s="125"/>
    </row>
    <row r="782" spans="2:53" s="123" customFormat="1">
      <c r="B782" s="125"/>
      <c r="D782" s="125"/>
      <c r="I782" s="125"/>
      <c r="Z782" s="124"/>
      <c r="AA782" s="74"/>
      <c r="AB782" s="240"/>
      <c r="AD782" s="124"/>
      <c r="AE782" s="238"/>
      <c r="AF782" s="239"/>
      <c r="AG782" s="239"/>
      <c r="AH782" s="124"/>
      <c r="AI782" s="74"/>
      <c r="AJ782" s="240"/>
      <c r="AL782" s="124"/>
      <c r="AM782" s="74"/>
      <c r="AP782" s="125"/>
      <c r="AQ782" s="241"/>
      <c r="AR782" s="125"/>
      <c r="AS782" s="125"/>
      <c r="AT782" s="238"/>
      <c r="AU782" s="125"/>
      <c r="AV782" s="125"/>
      <c r="AW782" s="125"/>
      <c r="AX782" s="238"/>
      <c r="AY782" s="125"/>
      <c r="AZ782" s="125"/>
      <c r="BA782" s="125"/>
    </row>
    <row r="783" spans="2:53" s="123" customFormat="1">
      <c r="B783" s="125"/>
      <c r="D783" s="125"/>
      <c r="I783" s="125"/>
      <c r="Z783" s="124"/>
      <c r="AA783" s="74"/>
      <c r="AB783" s="240"/>
      <c r="AD783" s="124"/>
      <c r="AE783" s="238"/>
      <c r="AF783" s="239"/>
      <c r="AG783" s="239"/>
      <c r="AH783" s="124"/>
      <c r="AI783" s="74"/>
      <c r="AJ783" s="240"/>
      <c r="AL783" s="124"/>
      <c r="AM783" s="74"/>
      <c r="AP783" s="125"/>
      <c r="AQ783" s="241"/>
      <c r="AR783" s="125"/>
      <c r="AS783" s="125"/>
      <c r="AT783" s="238"/>
      <c r="AU783" s="125"/>
      <c r="AV783" s="125"/>
      <c r="AW783" s="125"/>
      <c r="AX783" s="238"/>
      <c r="AY783" s="125"/>
      <c r="AZ783" s="125"/>
      <c r="BA783" s="125"/>
    </row>
    <row r="784" spans="2:53" s="123" customFormat="1">
      <c r="B784" s="125"/>
      <c r="D784" s="125"/>
      <c r="I784" s="125"/>
      <c r="Z784" s="124"/>
      <c r="AA784" s="74"/>
      <c r="AB784" s="240"/>
      <c r="AD784" s="124"/>
      <c r="AE784" s="238"/>
      <c r="AF784" s="239"/>
      <c r="AG784" s="239"/>
      <c r="AH784" s="124"/>
      <c r="AI784" s="74"/>
      <c r="AJ784" s="240"/>
      <c r="AL784" s="124"/>
      <c r="AM784" s="74"/>
      <c r="AP784" s="125"/>
      <c r="AQ784" s="241"/>
      <c r="AR784" s="125"/>
      <c r="AS784" s="125"/>
      <c r="AT784" s="238"/>
      <c r="AU784" s="125"/>
      <c r="AV784" s="125"/>
      <c r="AW784" s="125"/>
      <c r="AX784" s="238"/>
      <c r="AY784" s="125"/>
      <c r="AZ784" s="125"/>
      <c r="BA784" s="125"/>
    </row>
    <row r="785" spans="2:53" s="123" customFormat="1">
      <c r="B785" s="125"/>
      <c r="D785" s="125"/>
      <c r="I785" s="125"/>
      <c r="Z785" s="124"/>
      <c r="AA785" s="74"/>
      <c r="AB785" s="240"/>
      <c r="AD785" s="124"/>
      <c r="AE785" s="238"/>
      <c r="AF785" s="239"/>
      <c r="AG785" s="239"/>
      <c r="AH785" s="124"/>
      <c r="AI785" s="74"/>
      <c r="AJ785" s="240"/>
      <c r="AL785" s="124"/>
      <c r="AM785" s="74"/>
      <c r="AP785" s="125"/>
      <c r="AQ785" s="241"/>
      <c r="AR785" s="125"/>
      <c r="AS785" s="125"/>
      <c r="AT785" s="238"/>
      <c r="AU785" s="125"/>
      <c r="AV785" s="125"/>
      <c r="AW785" s="125"/>
      <c r="AX785" s="238"/>
      <c r="AY785" s="125"/>
      <c r="AZ785" s="125"/>
      <c r="BA785" s="125"/>
    </row>
    <row r="786" spans="2:53" s="123" customFormat="1">
      <c r="B786" s="125"/>
      <c r="D786" s="125"/>
      <c r="I786" s="125"/>
      <c r="Z786" s="124"/>
      <c r="AA786" s="74"/>
      <c r="AB786" s="240"/>
      <c r="AD786" s="124"/>
      <c r="AE786" s="238"/>
      <c r="AF786" s="239"/>
      <c r="AG786" s="239"/>
      <c r="AH786" s="124"/>
      <c r="AI786" s="74"/>
      <c r="AJ786" s="240"/>
      <c r="AL786" s="124"/>
      <c r="AM786" s="74"/>
      <c r="AP786" s="125"/>
      <c r="AQ786" s="241"/>
      <c r="AR786" s="125"/>
      <c r="AS786" s="125"/>
      <c r="AT786" s="238"/>
      <c r="AU786" s="125"/>
      <c r="AV786" s="125"/>
      <c r="AW786" s="125"/>
      <c r="AX786" s="238"/>
      <c r="AY786" s="125"/>
      <c r="AZ786" s="125"/>
      <c r="BA786" s="125"/>
    </row>
    <row r="787" spans="2:53" s="123" customFormat="1">
      <c r="B787" s="125"/>
      <c r="D787" s="125"/>
      <c r="I787" s="125"/>
      <c r="Z787" s="124"/>
      <c r="AA787" s="74"/>
      <c r="AB787" s="240"/>
      <c r="AD787" s="124"/>
      <c r="AE787" s="238"/>
      <c r="AF787" s="239"/>
      <c r="AG787" s="239"/>
      <c r="AH787" s="124"/>
      <c r="AI787" s="74"/>
      <c r="AJ787" s="240"/>
      <c r="AL787" s="124"/>
      <c r="AM787" s="74"/>
      <c r="AP787" s="125"/>
      <c r="AQ787" s="241"/>
      <c r="AR787" s="125"/>
      <c r="AS787" s="125"/>
      <c r="AT787" s="238"/>
      <c r="AU787" s="125"/>
      <c r="AV787" s="125"/>
      <c r="AW787" s="125"/>
      <c r="AX787" s="238"/>
      <c r="AY787" s="125"/>
      <c r="AZ787" s="125"/>
      <c r="BA787" s="125"/>
    </row>
    <row r="788" spans="2:53" s="123" customFormat="1">
      <c r="B788" s="125"/>
      <c r="D788" s="125"/>
      <c r="I788" s="125"/>
      <c r="Z788" s="124"/>
      <c r="AA788" s="74"/>
      <c r="AB788" s="240"/>
      <c r="AD788" s="124"/>
      <c r="AE788" s="238"/>
      <c r="AF788" s="239"/>
      <c r="AG788" s="239"/>
      <c r="AH788" s="124"/>
      <c r="AI788" s="74"/>
      <c r="AJ788" s="240"/>
      <c r="AL788" s="124"/>
      <c r="AM788" s="74"/>
      <c r="AP788" s="125"/>
      <c r="AQ788" s="241"/>
      <c r="AR788" s="125"/>
      <c r="AS788" s="125"/>
      <c r="AT788" s="238"/>
      <c r="AU788" s="125"/>
      <c r="AV788" s="125"/>
      <c r="AW788" s="125"/>
      <c r="AX788" s="238"/>
      <c r="AY788" s="125"/>
      <c r="AZ788" s="125"/>
      <c r="BA788" s="125"/>
    </row>
    <row r="789" spans="2:53" s="123" customFormat="1">
      <c r="B789" s="125"/>
      <c r="D789" s="125"/>
      <c r="I789" s="125"/>
      <c r="Z789" s="124"/>
      <c r="AA789" s="74"/>
      <c r="AB789" s="240"/>
      <c r="AD789" s="124"/>
      <c r="AE789" s="238"/>
      <c r="AF789" s="239"/>
      <c r="AG789" s="239"/>
      <c r="AH789" s="124"/>
      <c r="AI789" s="74"/>
      <c r="AJ789" s="240"/>
      <c r="AL789" s="124"/>
      <c r="AM789" s="74"/>
      <c r="AP789" s="125"/>
      <c r="AQ789" s="241"/>
      <c r="AR789" s="125"/>
      <c r="AS789" s="125"/>
      <c r="AT789" s="238"/>
      <c r="AU789" s="125"/>
      <c r="AV789" s="125"/>
      <c r="AW789" s="125"/>
      <c r="AX789" s="238"/>
      <c r="AY789" s="125"/>
      <c r="AZ789" s="125"/>
      <c r="BA789" s="125"/>
    </row>
    <row r="790" spans="2:53" s="123" customFormat="1">
      <c r="B790" s="125"/>
      <c r="D790" s="125"/>
      <c r="I790" s="125"/>
      <c r="Z790" s="124"/>
      <c r="AA790" s="74"/>
      <c r="AB790" s="240"/>
      <c r="AD790" s="124"/>
      <c r="AE790" s="238"/>
      <c r="AF790" s="239"/>
      <c r="AG790" s="239"/>
      <c r="AH790" s="124"/>
      <c r="AI790" s="74"/>
      <c r="AJ790" s="240"/>
      <c r="AL790" s="124"/>
      <c r="AM790" s="74"/>
      <c r="AP790" s="125"/>
      <c r="AQ790" s="241"/>
      <c r="AR790" s="125"/>
      <c r="AS790" s="125"/>
      <c r="AT790" s="238"/>
      <c r="AU790" s="125"/>
      <c r="AV790" s="125"/>
      <c r="AW790" s="125"/>
      <c r="AX790" s="238"/>
      <c r="AY790" s="125"/>
      <c r="AZ790" s="125"/>
      <c r="BA790" s="125"/>
    </row>
    <row r="791" spans="2:53" s="123" customFormat="1">
      <c r="B791" s="125"/>
      <c r="D791" s="125"/>
      <c r="I791" s="125"/>
      <c r="Z791" s="124"/>
      <c r="AA791" s="74"/>
      <c r="AB791" s="240"/>
      <c r="AD791" s="124"/>
      <c r="AE791" s="238"/>
      <c r="AF791" s="239"/>
      <c r="AG791" s="239"/>
      <c r="AH791" s="124"/>
      <c r="AI791" s="74"/>
      <c r="AJ791" s="240"/>
      <c r="AL791" s="124"/>
      <c r="AM791" s="74"/>
      <c r="AP791" s="125"/>
      <c r="AQ791" s="241"/>
      <c r="AR791" s="125"/>
      <c r="AS791" s="125"/>
      <c r="AT791" s="238"/>
      <c r="AU791" s="125"/>
      <c r="AV791" s="125"/>
      <c r="AW791" s="125"/>
      <c r="AX791" s="238"/>
      <c r="AY791" s="125"/>
      <c r="AZ791" s="125"/>
      <c r="BA791" s="125"/>
    </row>
    <row r="792" spans="2:53" s="123" customFormat="1">
      <c r="B792" s="125"/>
      <c r="D792" s="125"/>
      <c r="I792" s="125"/>
      <c r="Z792" s="124"/>
      <c r="AA792" s="74"/>
      <c r="AB792" s="240"/>
      <c r="AD792" s="124"/>
      <c r="AE792" s="238"/>
      <c r="AF792" s="239"/>
      <c r="AG792" s="239"/>
      <c r="AH792" s="124"/>
      <c r="AI792" s="74"/>
      <c r="AJ792" s="240"/>
      <c r="AL792" s="124"/>
      <c r="AM792" s="74"/>
      <c r="AP792" s="125"/>
      <c r="AQ792" s="241"/>
      <c r="AR792" s="125"/>
      <c r="AS792" s="125"/>
      <c r="AT792" s="238"/>
      <c r="AU792" s="125"/>
      <c r="AV792" s="125"/>
      <c r="AW792" s="125"/>
      <c r="AX792" s="238"/>
      <c r="AY792" s="125"/>
      <c r="AZ792" s="125"/>
      <c r="BA792" s="125"/>
    </row>
    <row r="793" spans="2:53" s="123" customFormat="1">
      <c r="B793" s="125"/>
      <c r="D793" s="125"/>
      <c r="I793" s="125"/>
      <c r="Z793" s="124"/>
      <c r="AA793" s="74"/>
      <c r="AB793" s="240"/>
      <c r="AD793" s="124"/>
      <c r="AE793" s="238"/>
      <c r="AF793" s="239"/>
      <c r="AG793" s="239"/>
      <c r="AH793" s="124"/>
      <c r="AI793" s="74"/>
      <c r="AJ793" s="240"/>
      <c r="AL793" s="124"/>
      <c r="AM793" s="74"/>
      <c r="AP793" s="125"/>
      <c r="AQ793" s="241"/>
      <c r="AR793" s="125"/>
      <c r="AS793" s="125"/>
      <c r="AT793" s="238"/>
      <c r="AU793" s="125"/>
      <c r="AV793" s="125"/>
      <c r="AW793" s="125"/>
      <c r="AX793" s="238"/>
      <c r="AY793" s="125"/>
      <c r="AZ793" s="125"/>
      <c r="BA793" s="125"/>
    </row>
    <row r="794" spans="2:53" s="123" customFormat="1">
      <c r="B794" s="125"/>
      <c r="D794" s="125"/>
      <c r="I794" s="125"/>
      <c r="Z794" s="124"/>
      <c r="AA794" s="74"/>
      <c r="AB794" s="240"/>
      <c r="AD794" s="124"/>
      <c r="AE794" s="238"/>
      <c r="AF794" s="239"/>
      <c r="AG794" s="239"/>
      <c r="AH794" s="124"/>
      <c r="AI794" s="74"/>
      <c r="AJ794" s="240"/>
      <c r="AL794" s="124"/>
      <c r="AM794" s="74"/>
      <c r="AP794" s="125"/>
      <c r="AQ794" s="241"/>
      <c r="AR794" s="125"/>
      <c r="AS794" s="125"/>
      <c r="AT794" s="238"/>
      <c r="AU794" s="125"/>
      <c r="AV794" s="125"/>
      <c r="AW794" s="125"/>
      <c r="AX794" s="238"/>
      <c r="AY794" s="125"/>
      <c r="AZ794" s="125"/>
      <c r="BA794" s="125"/>
    </row>
    <row r="795" spans="2:53" s="123" customFormat="1">
      <c r="B795" s="125"/>
      <c r="D795" s="125"/>
      <c r="I795" s="125"/>
      <c r="Z795" s="124"/>
      <c r="AA795" s="74"/>
      <c r="AB795" s="240"/>
      <c r="AD795" s="124"/>
      <c r="AE795" s="238"/>
      <c r="AF795" s="239"/>
      <c r="AG795" s="239"/>
      <c r="AH795" s="124"/>
      <c r="AI795" s="74"/>
      <c r="AJ795" s="240"/>
      <c r="AL795" s="124"/>
      <c r="AM795" s="74"/>
      <c r="AP795" s="125"/>
      <c r="AQ795" s="241"/>
      <c r="AR795" s="125"/>
      <c r="AS795" s="125"/>
      <c r="AT795" s="238"/>
      <c r="AU795" s="125"/>
      <c r="AV795" s="125"/>
      <c r="AW795" s="125"/>
      <c r="AX795" s="238"/>
      <c r="AY795" s="125"/>
      <c r="AZ795" s="125"/>
      <c r="BA795" s="125"/>
    </row>
    <row r="796" spans="2:53" s="123" customFormat="1">
      <c r="B796" s="125"/>
      <c r="D796" s="125"/>
      <c r="I796" s="125"/>
      <c r="Z796" s="124"/>
      <c r="AA796" s="74"/>
      <c r="AB796" s="240"/>
      <c r="AD796" s="124"/>
      <c r="AE796" s="238"/>
      <c r="AF796" s="239"/>
      <c r="AG796" s="239"/>
      <c r="AH796" s="124"/>
      <c r="AI796" s="74"/>
      <c r="AJ796" s="240"/>
      <c r="AL796" s="124"/>
      <c r="AM796" s="74"/>
      <c r="AP796" s="125"/>
      <c r="AQ796" s="241"/>
      <c r="AR796" s="125"/>
      <c r="AS796" s="125"/>
      <c r="AT796" s="238"/>
      <c r="AU796" s="125"/>
      <c r="AV796" s="125"/>
      <c r="AW796" s="125"/>
      <c r="AX796" s="238"/>
      <c r="AY796" s="125"/>
      <c r="AZ796" s="125"/>
      <c r="BA796" s="125"/>
    </row>
    <row r="797" spans="2:53" s="123" customFormat="1">
      <c r="B797" s="125"/>
      <c r="D797" s="125"/>
      <c r="I797" s="125"/>
      <c r="Z797" s="124"/>
      <c r="AA797" s="74"/>
      <c r="AB797" s="240"/>
      <c r="AD797" s="124"/>
      <c r="AE797" s="238"/>
      <c r="AF797" s="239"/>
      <c r="AG797" s="239"/>
      <c r="AH797" s="124"/>
      <c r="AI797" s="74"/>
      <c r="AJ797" s="240"/>
      <c r="AL797" s="124"/>
      <c r="AM797" s="74"/>
      <c r="AP797" s="125"/>
      <c r="AQ797" s="241"/>
      <c r="AR797" s="125"/>
      <c r="AS797" s="125"/>
      <c r="AT797" s="238"/>
      <c r="AU797" s="125"/>
      <c r="AV797" s="125"/>
      <c r="AW797" s="125"/>
      <c r="AX797" s="238"/>
      <c r="AY797" s="125"/>
      <c r="AZ797" s="125"/>
      <c r="BA797" s="125"/>
    </row>
    <row r="798" spans="2:53" s="123" customFormat="1">
      <c r="B798" s="125"/>
      <c r="D798" s="125"/>
      <c r="I798" s="125"/>
      <c r="Z798" s="124"/>
      <c r="AA798" s="74"/>
      <c r="AB798" s="240"/>
      <c r="AD798" s="124"/>
      <c r="AE798" s="238"/>
      <c r="AF798" s="239"/>
      <c r="AG798" s="239"/>
      <c r="AH798" s="124"/>
      <c r="AI798" s="74"/>
      <c r="AJ798" s="240"/>
      <c r="AL798" s="124"/>
      <c r="AM798" s="74"/>
      <c r="AP798" s="125"/>
      <c r="AQ798" s="241"/>
      <c r="AR798" s="125"/>
      <c r="AS798" s="125"/>
      <c r="AT798" s="238"/>
      <c r="AU798" s="125"/>
      <c r="AV798" s="125"/>
      <c r="AW798" s="125"/>
      <c r="AX798" s="238"/>
      <c r="AY798" s="125"/>
      <c r="AZ798" s="125"/>
      <c r="BA798" s="125"/>
    </row>
    <row r="799" spans="2:53" s="123" customFormat="1">
      <c r="B799" s="125"/>
      <c r="D799" s="125"/>
      <c r="I799" s="125"/>
      <c r="Z799" s="124"/>
      <c r="AA799" s="74"/>
      <c r="AB799" s="240"/>
      <c r="AD799" s="124"/>
      <c r="AE799" s="238"/>
      <c r="AF799" s="239"/>
      <c r="AG799" s="239"/>
      <c r="AH799" s="124"/>
      <c r="AI799" s="74"/>
      <c r="AJ799" s="240"/>
      <c r="AL799" s="124"/>
      <c r="AM799" s="74"/>
      <c r="AP799" s="125"/>
      <c r="AQ799" s="241"/>
      <c r="AR799" s="125"/>
      <c r="AS799" s="125"/>
      <c r="AT799" s="238"/>
      <c r="AU799" s="125"/>
      <c r="AV799" s="125"/>
      <c r="AW799" s="125"/>
      <c r="AX799" s="238"/>
      <c r="AY799" s="125"/>
      <c r="AZ799" s="125"/>
      <c r="BA799" s="125"/>
    </row>
    <row r="800" spans="2:53" s="123" customFormat="1">
      <c r="B800" s="125"/>
      <c r="D800" s="125"/>
      <c r="I800" s="125"/>
      <c r="Z800" s="124"/>
      <c r="AA800" s="74"/>
      <c r="AB800" s="240"/>
      <c r="AD800" s="124"/>
      <c r="AE800" s="238"/>
      <c r="AF800" s="239"/>
      <c r="AG800" s="239"/>
      <c r="AH800" s="124"/>
      <c r="AI800" s="74"/>
      <c r="AJ800" s="240"/>
      <c r="AL800" s="124"/>
      <c r="AM800" s="74"/>
      <c r="AP800" s="125"/>
      <c r="AQ800" s="241"/>
      <c r="AR800" s="125"/>
      <c r="AS800" s="125"/>
      <c r="AT800" s="238"/>
      <c r="AU800" s="125"/>
      <c r="AV800" s="125"/>
      <c r="AW800" s="125"/>
      <c r="AX800" s="238"/>
      <c r="AY800" s="125"/>
      <c r="AZ800" s="125"/>
      <c r="BA800" s="125"/>
    </row>
    <row r="801" spans="2:53" s="123" customFormat="1">
      <c r="B801" s="125"/>
      <c r="D801" s="125"/>
      <c r="I801" s="125"/>
      <c r="Z801" s="124"/>
      <c r="AA801" s="74"/>
      <c r="AB801" s="240"/>
      <c r="AD801" s="124"/>
      <c r="AE801" s="238"/>
      <c r="AF801" s="239"/>
      <c r="AG801" s="239"/>
      <c r="AH801" s="124"/>
      <c r="AI801" s="74"/>
      <c r="AJ801" s="240"/>
      <c r="AL801" s="124"/>
      <c r="AM801" s="74"/>
      <c r="AP801" s="125"/>
      <c r="AQ801" s="241"/>
      <c r="AR801" s="125"/>
      <c r="AS801" s="125"/>
      <c r="AT801" s="238"/>
      <c r="AU801" s="125"/>
      <c r="AV801" s="125"/>
      <c r="AW801" s="125"/>
      <c r="AX801" s="238"/>
      <c r="AY801" s="125"/>
      <c r="AZ801" s="125"/>
      <c r="BA801" s="125"/>
    </row>
    <row r="802" spans="2:53" s="123" customFormat="1">
      <c r="B802" s="125"/>
      <c r="D802" s="125"/>
      <c r="I802" s="125"/>
      <c r="Z802" s="124"/>
      <c r="AA802" s="74"/>
      <c r="AB802" s="240"/>
      <c r="AD802" s="124"/>
      <c r="AE802" s="238"/>
      <c r="AF802" s="239"/>
      <c r="AG802" s="239"/>
      <c r="AH802" s="124"/>
      <c r="AI802" s="74"/>
      <c r="AJ802" s="240"/>
      <c r="AL802" s="124"/>
      <c r="AM802" s="74"/>
      <c r="AP802" s="125"/>
      <c r="AQ802" s="241"/>
      <c r="AR802" s="125"/>
      <c r="AS802" s="125"/>
      <c r="AT802" s="238"/>
      <c r="AU802" s="125"/>
      <c r="AV802" s="125"/>
      <c r="AW802" s="125"/>
      <c r="AX802" s="238"/>
      <c r="AY802" s="125"/>
      <c r="AZ802" s="125"/>
      <c r="BA802" s="125"/>
    </row>
    <row r="803" spans="2:53" s="123" customFormat="1">
      <c r="B803" s="125"/>
      <c r="D803" s="125"/>
      <c r="I803" s="125"/>
      <c r="Z803" s="124"/>
      <c r="AA803" s="74"/>
      <c r="AB803" s="240"/>
      <c r="AD803" s="124"/>
      <c r="AE803" s="238"/>
      <c r="AF803" s="239"/>
      <c r="AG803" s="239"/>
      <c r="AH803" s="124"/>
      <c r="AI803" s="74"/>
      <c r="AJ803" s="240"/>
      <c r="AL803" s="124"/>
      <c r="AM803" s="74"/>
      <c r="AP803" s="125"/>
      <c r="AQ803" s="241"/>
      <c r="AR803" s="125"/>
      <c r="AS803" s="125"/>
      <c r="AT803" s="238"/>
      <c r="AU803" s="125"/>
      <c r="AV803" s="125"/>
      <c r="AW803" s="125"/>
      <c r="AX803" s="238"/>
      <c r="AY803" s="125"/>
      <c r="AZ803" s="125"/>
      <c r="BA803" s="125"/>
    </row>
    <row r="804" spans="2:53" s="123" customFormat="1">
      <c r="B804" s="125"/>
      <c r="D804" s="125"/>
      <c r="I804" s="125"/>
      <c r="Z804" s="124"/>
      <c r="AA804" s="74"/>
      <c r="AB804" s="240"/>
      <c r="AD804" s="124"/>
      <c r="AE804" s="238"/>
      <c r="AF804" s="239"/>
      <c r="AG804" s="239"/>
      <c r="AH804" s="124"/>
      <c r="AI804" s="74"/>
      <c r="AJ804" s="240"/>
      <c r="AL804" s="124"/>
      <c r="AM804" s="74"/>
      <c r="AP804" s="125"/>
      <c r="AQ804" s="241"/>
      <c r="AR804" s="125"/>
      <c r="AS804" s="125"/>
      <c r="AT804" s="238"/>
      <c r="AU804" s="125"/>
      <c r="AV804" s="125"/>
      <c r="AW804" s="125"/>
      <c r="AX804" s="238"/>
      <c r="AY804" s="125"/>
      <c r="AZ804" s="125"/>
      <c r="BA804" s="125"/>
    </row>
    <row r="805" spans="2:53" s="123" customFormat="1">
      <c r="B805" s="125"/>
      <c r="D805" s="125"/>
      <c r="I805" s="125"/>
      <c r="Z805" s="124"/>
      <c r="AA805" s="74"/>
      <c r="AB805" s="240"/>
      <c r="AD805" s="124"/>
      <c r="AE805" s="238"/>
      <c r="AF805" s="239"/>
      <c r="AG805" s="239"/>
      <c r="AH805" s="124"/>
      <c r="AI805" s="74"/>
      <c r="AJ805" s="240"/>
      <c r="AL805" s="124"/>
      <c r="AM805" s="74"/>
      <c r="AP805" s="125"/>
      <c r="AQ805" s="241"/>
      <c r="AR805" s="125"/>
      <c r="AS805" s="125"/>
      <c r="AT805" s="238"/>
      <c r="AU805" s="125"/>
      <c r="AV805" s="125"/>
      <c r="AW805" s="125"/>
      <c r="AX805" s="238"/>
      <c r="AY805" s="125"/>
      <c r="AZ805" s="125"/>
      <c r="BA805" s="125"/>
    </row>
    <row r="806" spans="2:53" s="123" customFormat="1">
      <c r="B806" s="125"/>
      <c r="D806" s="125"/>
      <c r="I806" s="125"/>
      <c r="Z806" s="124"/>
      <c r="AA806" s="74"/>
      <c r="AB806" s="240"/>
      <c r="AD806" s="124"/>
      <c r="AE806" s="238"/>
      <c r="AF806" s="239"/>
      <c r="AG806" s="239"/>
      <c r="AH806" s="124"/>
      <c r="AI806" s="74"/>
      <c r="AJ806" s="240"/>
      <c r="AL806" s="124"/>
      <c r="AM806" s="74"/>
      <c r="AP806" s="125"/>
      <c r="AQ806" s="241"/>
      <c r="AR806" s="125"/>
      <c r="AS806" s="125"/>
      <c r="AT806" s="238"/>
      <c r="AU806" s="125"/>
      <c r="AV806" s="125"/>
      <c r="AW806" s="125"/>
      <c r="AX806" s="238"/>
      <c r="AY806" s="125"/>
      <c r="AZ806" s="125"/>
      <c r="BA806" s="125"/>
    </row>
    <row r="807" spans="2:53" s="123" customFormat="1">
      <c r="B807" s="125"/>
      <c r="D807" s="125"/>
      <c r="I807" s="125"/>
      <c r="Z807" s="124"/>
      <c r="AA807" s="74"/>
      <c r="AB807" s="240"/>
      <c r="AD807" s="124"/>
      <c r="AE807" s="238"/>
      <c r="AF807" s="239"/>
      <c r="AG807" s="239"/>
      <c r="AH807" s="124"/>
      <c r="AI807" s="74"/>
      <c r="AJ807" s="240"/>
      <c r="AL807" s="124"/>
      <c r="AM807" s="74"/>
      <c r="AP807" s="125"/>
      <c r="AQ807" s="241"/>
      <c r="AR807" s="125"/>
      <c r="AS807" s="125"/>
      <c r="AT807" s="238"/>
      <c r="AU807" s="125"/>
      <c r="AV807" s="125"/>
      <c r="AW807" s="125"/>
      <c r="AX807" s="238"/>
      <c r="AY807" s="125"/>
      <c r="AZ807" s="125"/>
      <c r="BA807" s="125"/>
    </row>
    <row r="808" spans="2:53" s="123" customFormat="1">
      <c r="B808" s="125"/>
      <c r="D808" s="125"/>
      <c r="I808" s="125"/>
      <c r="Z808" s="124"/>
      <c r="AA808" s="74"/>
      <c r="AB808" s="240"/>
      <c r="AD808" s="124"/>
      <c r="AE808" s="238"/>
      <c r="AF808" s="239"/>
      <c r="AG808" s="239"/>
      <c r="AH808" s="124"/>
      <c r="AI808" s="74"/>
      <c r="AJ808" s="240"/>
      <c r="AL808" s="124"/>
      <c r="AM808" s="74"/>
      <c r="AP808" s="125"/>
      <c r="AQ808" s="241"/>
      <c r="AR808" s="125"/>
      <c r="AS808" s="125"/>
      <c r="AT808" s="238"/>
      <c r="AU808" s="125"/>
      <c r="AV808" s="125"/>
      <c r="AW808" s="125"/>
      <c r="AX808" s="238"/>
      <c r="AY808" s="125"/>
      <c r="AZ808" s="125"/>
      <c r="BA808" s="125"/>
    </row>
    <row r="809" spans="2:53" s="123" customFormat="1">
      <c r="B809" s="125"/>
      <c r="D809" s="125"/>
      <c r="I809" s="125"/>
      <c r="Z809" s="124"/>
      <c r="AA809" s="74"/>
      <c r="AB809" s="240"/>
      <c r="AD809" s="124"/>
      <c r="AE809" s="238"/>
      <c r="AF809" s="239"/>
      <c r="AG809" s="239"/>
      <c r="AH809" s="124"/>
      <c r="AI809" s="74"/>
      <c r="AJ809" s="240"/>
      <c r="AL809" s="124"/>
      <c r="AM809" s="74"/>
      <c r="AP809" s="125"/>
      <c r="AQ809" s="241"/>
      <c r="AR809" s="125"/>
      <c r="AS809" s="125"/>
      <c r="AT809" s="238"/>
      <c r="AU809" s="125"/>
      <c r="AV809" s="125"/>
      <c r="AW809" s="125"/>
      <c r="AX809" s="238"/>
      <c r="AY809" s="125"/>
      <c r="AZ809" s="125"/>
      <c r="BA809" s="125"/>
    </row>
    <row r="810" spans="2:53" s="123" customFormat="1">
      <c r="B810" s="125"/>
      <c r="D810" s="125"/>
      <c r="I810" s="125"/>
      <c r="Z810" s="124"/>
      <c r="AA810" s="74"/>
      <c r="AB810" s="240"/>
      <c r="AD810" s="124"/>
      <c r="AE810" s="238"/>
      <c r="AF810" s="239"/>
      <c r="AG810" s="239"/>
      <c r="AH810" s="124"/>
      <c r="AI810" s="74"/>
      <c r="AJ810" s="240"/>
      <c r="AL810" s="124"/>
      <c r="AM810" s="74"/>
      <c r="AP810" s="125"/>
      <c r="AQ810" s="241"/>
      <c r="AR810" s="125"/>
      <c r="AS810" s="125"/>
      <c r="AT810" s="238"/>
      <c r="AU810" s="125"/>
      <c r="AV810" s="125"/>
      <c r="AW810" s="125"/>
      <c r="AX810" s="238"/>
      <c r="AY810" s="125"/>
      <c r="AZ810" s="125"/>
      <c r="BA810" s="125"/>
    </row>
    <row r="811" spans="2:53" s="123" customFormat="1">
      <c r="B811" s="125"/>
      <c r="D811" s="125"/>
      <c r="I811" s="125"/>
      <c r="Z811" s="124"/>
      <c r="AA811" s="74"/>
      <c r="AB811" s="240"/>
      <c r="AD811" s="124"/>
      <c r="AE811" s="238"/>
      <c r="AF811" s="239"/>
      <c r="AG811" s="239"/>
      <c r="AH811" s="124"/>
      <c r="AI811" s="74"/>
      <c r="AJ811" s="240"/>
      <c r="AL811" s="124"/>
      <c r="AM811" s="74"/>
      <c r="AP811" s="125"/>
      <c r="AQ811" s="241"/>
      <c r="AR811" s="125"/>
      <c r="AS811" s="125"/>
      <c r="AT811" s="238"/>
      <c r="AU811" s="125"/>
      <c r="AV811" s="125"/>
      <c r="AW811" s="125"/>
      <c r="AX811" s="238"/>
      <c r="AY811" s="125"/>
      <c r="AZ811" s="125"/>
      <c r="BA811" s="125"/>
    </row>
    <row r="812" spans="2:53" s="123" customFormat="1">
      <c r="B812" s="125"/>
      <c r="D812" s="125"/>
      <c r="I812" s="125"/>
      <c r="Z812" s="124"/>
      <c r="AA812" s="74"/>
      <c r="AB812" s="240"/>
      <c r="AD812" s="124"/>
      <c r="AE812" s="238"/>
      <c r="AF812" s="239"/>
      <c r="AG812" s="239"/>
      <c r="AH812" s="124"/>
      <c r="AI812" s="74"/>
      <c r="AJ812" s="240"/>
      <c r="AL812" s="124"/>
      <c r="AM812" s="74"/>
      <c r="AP812" s="125"/>
      <c r="AQ812" s="241"/>
      <c r="AR812" s="125"/>
      <c r="AS812" s="125"/>
      <c r="AT812" s="238"/>
      <c r="AU812" s="125"/>
      <c r="AV812" s="125"/>
      <c r="AW812" s="125"/>
      <c r="AX812" s="238"/>
      <c r="AY812" s="125"/>
      <c r="AZ812" s="125"/>
      <c r="BA812" s="125"/>
    </row>
    <row r="813" spans="2:53" s="123" customFormat="1">
      <c r="B813" s="125"/>
      <c r="D813" s="125"/>
      <c r="I813" s="125"/>
      <c r="Z813" s="124"/>
      <c r="AA813" s="74"/>
      <c r="AB813" s="240"/>
      <c r="AD813" s="124"/>
      <c r="AE813" s="238"/>
      <c r="AF813" s="239"/>
      <c r="AG813" s="239"/>
      <c r="AH813" s="124"/>
      <c r="AI813" s="74"/>
      <c r="AJ813" s="240"/>
      <c r="AL813" s="124"/>
      <c r="AM813" s="74"/>
      <c r="AP813" s="125"/>
      <c r="AQ813" s="241"/>
      <c r="AR813" s="125"/>
      <c r="AS813" s="125"/>
      <c r="AT813" s="238"/>
      <c r="AU813" s="125"/>
      <c r="AV813" s="125"/>
      <c r="AW813" s="125"/>
      <c r="AX813" s="238"/>
      <c r="AY813" s="125"/>
      <c r="AZ813" s="125"/>
      <c r="BA813" s="125"/>
    </row>
    <row r="814" spans="2:53" s="123" customFormat="1">
      <c r="B814" s="125"/>
      <c r="D814" s="125"/>
      <c r="I814" s="125"/>
      <c r="Z814" s="124"/>
      <c r="AA814" s="74"/>
      <c r="AB814" s="240"/>
      <c r="AD814" s="124"/>
      <c r="AE814" s="238"/>
      <c r="AF814" s="239"/>
      <c r="AG814" s="239"/>
      <c r="AH814" s="124"/>
      <c r="AI814" s="74"/>
      <c r="AJ814" s="240"/>
      <c r="AL814" s="124"/>
      <c r="AM814" s="74"/>
      <c r="AP814" s="125"/>
      <c r="AQ814" s="241"/>
      <c r="AR814" s="125"/>
      <c r="AS814" s="125"/>
      <c r="AT814" s="238"/>
      <c r="AU814" s="125"/>
      <c r="AV814" s="125"/>
      <c r="AW814" s="125"/>
      <c r="AX814" s="238"/>
      <c r="AY814" s="125"/>
      <c r="AZ814" s="125"/>
      <c r="BA814" s="125"/>
    </row>
    <row r="815" spans="2:53" s="123" customFormat="1">
      <c r="B815" s="125"/>
      <c r="D815" s="125"/>
      <c r="I815" s="125"/>
      <c r="Z815" s="124"/>
      <c r="AA815" s="74"/>
      <c r="AB815" s="240"/>
      <c r="AD815" s="124"/>
      <c r="AE815" s="238"/>
      <c r="AF815" s="239"/>
      <c r="AG815" s="239"/>
      <c r="AH815" s="124"/>
      <c r="AI815" s="74"/>
      <c r="AJ815" s="240"/>
      <c r="AL815" s="124"/>
      <c r="AM815" s="74"/>
      <c r="AP815" s="125"/>
      <c r="AQ815" s="241"/>
      <c r="AR815" s="125"/>
      <c r="AS815" s="125"/>
      <c r="AT815" s="238"/>
      <c r="AU815" s="125"/>
      <c r="AV815" s="125"/>
      <c r="AW815" s="125"/>
      <c r="AX815" s="238"/>
      <c r="AY815" s="125"/>
      <c r="AZ815" s="125"/>
      <c r="BA815" s="125"/>
    </row>
    <row r="816" spans="2:53" s="123" customFormat="1">
      <c r="B816" s="125"/>
      <c r="D816" s="125"/>
      <c r="I816" s="125"/>
      <c r="Z816" s="124"/>
      <c r="AA816" s="74"/>
      <c r="AB816" s="240"/>
      <c r="AD816" s="124"/>
      <c r="AE816" s="238"/>
      <c r="AF816" s="239"/>
      <c r="AG816" s="239"/>
      <c r="AH816" s="124"/>
      <c r="AI816" s="74"/>
      <c r="AJ816" s="240"/>
      <c r="AL816" s="124"/>
      <c r="AM816" s="74"/>
      <c r="AP816" s="125"/>
      <c r="AQ816" s="241"/>
      <c r="AR816" s="125"/>
      <c r="AS816" s="125"/>
      <c r="AT816" s="238"/>
      <c r="AU816" s="125"/>
      <c r="AV816" s="125"/>
      <c r="AW816" s="125"/>
      <c r="AX816" s="238"/>
      <c r="AY816" s="125"/>
      <c r="AZ816" s="125"/>
      <c r="BA816" s="125"/>
    </row>
    <row r="817" spans="2:53" s="123" customFormat="1">
      <c r="B817" s="125"/>
      <c r="D817" s="125"/>
      <c r="I817" s="125"/>
      <c r="Z817" s="124"/>
      <c r="AA817" s="74"/>
      <c r="AB817" s="240"/>
      <c r="AD817" s="124"/>
      <c r="AE817" s="238"/>
      <c r="AF817" s="239"/>
      <c r="AG817" s="239"/>
      <c r="AH817" s="124"/>
      <c r="AI817" s="74"/>
      <c r="AJ817" s="240"/>
      <c r="AL817" s="124"/>
      <c r="AM817" s="74"/>
      <c r="AP817" s="125"/>
      <c r="AQ817" s="241"/>
      <c r="AR817" s="125"/>
      <c r="AS817" s="125"/>
      <c r="AT817" s="238"/>
      <c r="AU817" s="125"/>
      <c r="AV817" s="125"/>
      <c r="AW817" s="125"/>
      <c r="AX817" s="238"/>
      <c r="AY817" s="125"/>
      <c r="AZ817" s="125"/>
      <c r="BA817" s="125"/>
    </row>
    <row r="818" spans="2:53" s="123" customFormat="1">
      <c r="B818" s="125"/>
      <c r="D818" s="125"/>
      <c r="I818" s="125"/>
      <c r="Z818" s="124"/>
      <c r="AA818" s="74"/>
      <c r="AB818" s="240"/>
      <c r="AD818" s="124"/>
      <c r="AE818" s="238"/>
      <c r="AF818" s="239"/>
      <c r="AG818" s="239"/>
      <c r="AH818" s="124"/>
      <c r="AI818" s="74"/>
      <c r="AJ818" s="240"/>
      <c r="AL818" s="124"/>
      <c r="AM818" s="74"/>
      <c r="AP818" s="125"/>
      <c r="AQ818" s="241"/>
      <c r="AR818" s="125"/>
      <c r="AS818" s="125"/>
      <c r="AT818" s="238"/>
      <c r="AU818" s="125"/>
      <c r="AV818" s="125"/>
      <c r="AW818" s="125"/>
      <c r="AX818" s="238"/>
      <c r="AY818" s="125"/>
      <c r="AZ818" s="125"/>
      <c r="BA818" s="125"/>
    </row>
    <row r="819" spans="2:53" s="123" customFormat="1">
      <c r="B819" s="125"/>
      <c r="D819" s="125"/>
      <c r="I819" s="125"/>
      <c r="Z819" s="124"/>
      <c r="AA819" s="74"/>
      <c r="AB819" s="240"/>
      <c r="AD819" s="124"/>
      <c r="AE819" s="238"/>
      <c r="AF819" s="239"/>
      <c r="AG819" s="239"/>
      <c r="AH819" s="124"/>
      <c r="AI819" s="74"/>
      <c r="AJ819" s="240"/>
      <c r="AL819" s="124"/>
      <c r="AM819" s="74"/>
      <c r="AP819" s="125"/>
      <c r="AQ819" s="241"/>
      <c r="AR819" s="125"/>
      <c r="AS819" s="125"/>
      <c r="AT819" s="238"/>
      <c r="AU819" s="125"/>
      <c r="AV819" s="125"/>
      <c r="AW819" s="125"/>
      <c r="AX819" s="238"/>
      <c r="AY819" s="125"/>
      <c r="AZ819" s="125"/>
      <c r="BA819" s="125"/>
    </row>
    <row r="820" spans="2:53" s="123" customFormat="1">
      <c r="B820" s="125"/>
      <c r="D820" s="125"/>
      <c r="I820" s="125"/>
      <c r="Z820" s="124"/>
      <c r="AA820" s="74"/>
      <c r="AB820" s="240"/>
      <c r="AD820" s="124"/>
      <c r="AE820" s="238"/>
      <c r="AF820" s="239"/>
      <c r="AG820" s="239"/>
      <c r="AH820" s="124"/>
      <c r="AI820" s="74"/>
      <c r="AJ820" s="240"/>
      <c r="AL820" s="124"/>
      <c r="AM820" s="74"/>
      <c r="AP820" s="125"/>
      <c r="AQ820" s="241"/>
      <c r="AR820" s="125"/>
      <c r="AS820" s="125"/>
      <c r="AT820" s="238"/>
      <c r="AU820" s="125"/>
      <c r="AV820" s="125"/>
      <c r="AW820" s="125"/>
      <c r="AX820" s="238"/>
      <c r="AY820" s="125"/>
      <c r="AZ820" s="125"/>
      <c r="BA820" s="125"/>
    </row>
    <row r="821" spans="2:53" s="123" customFormat="1">
      <c r="B821" s="125"/>
      <c r="D821" s="125"/>
      <c r="I821" s="125"/>
      <c r="Z821" s="124"/>
      <c r="AA821" s="74"/>
      <c r="AB821" s="240"/>
      <c r="AD821" s="124"/>
      <c r="AE821" s="238"/>
      <c r="AF821" s="239"/>
      <c r="AG821" s="239"/>
      <c r="AH821" s="124"/>
      <c r="AI821" s="74"/>
      <c r="AJ821" s="240"/>
      <c r="AL821" s="124"/>
      <c r="AM821" s="74"/>
      <c r="AP821" s="125"/>
      <c r="AQ821" s="241"/>
      <c r="AR821" s="125"/>
      <c r="AS821" s="125"/>
      <c r="AT821" s="238"/>
      <c r="AU821" s="125"/>
      <c r="AV821" s="125"/>
      <c r="AW821" s="125"/>
      <c r="AX821" s="238"/>
      <c r="AY821" s="125"/>
      <c r="AZ821" s="125"/>
      <c r="BA821" s="125"/>
    </row>
    <row r="822" spans="2:53" s="123" customFormat="1">
      <c r="B822" s="125"/>
      <c r="D822" s="125"/>
      <c r="I822" s="125"/>
      <c r="Z822" s="124"/>
      <c r="AA822" s="74"/>
      <c r="AB822" s="240"/>
      <c r="AD822" s="124"/>
      <c r="AE822" s="238"/>
      <c r="AF822" s="239"/>
      <c r="AG822" s="239"/>
      <c r="AH822" s="124"/>
      <c r="AI822" s="74"/>
      <c r="AJ822" s="240"/>
      <c r="AL822" s="124"/>
      <c r="AM822" s="74"/>
      <c r="AP822" s="125"/>
      <c r="AQ822" s="241"/>
      <c r="AR822" s="125"/>
      <c r="AS822" s="125"/>
      <c r="AT822" s="238"/>
      <c r="AU822" s="125"/>
      <c r="AV822" s="125"/>
      <c r="AW822" s="125"/>
      <c r="AX822" s="238"/>
      <c r="AY822" s="125"/>
      <c r="AZ822" s="125"/>
      <c r="BA822" s="125"/>
    </row>
    <row r="823" spans="2:53" s="123" customFormat="1">
      <c r="B823" s="125"/>
      <c r="D823" s="125"/>
      <c r="I823" s="125"/>
      <c r="Z823" s="124"/>
      <c r="AA823" s="74"/>
      <c r="AB823" s="240"/>
      <c r="AD823" s="124"/>
      <c r="AE823" s="238"/>
      <c r="AF823" s="239"/>
      <c r="AG823" s="239"/>
      <c r="AH823" s="124"/>
      <c r="AI823" s="74"/>
      <c r="AJ823" s="240"/>
      <c r="AL823" s="124"/>
      <c r="AM823" s="74"/>
      <c r="AP823" s="125"/>
      <c r="AQ823" s="241"/>
      <c r="AR823" s="125"/>
      <c r="AS823" s="125"/>
      <c r="AT823" s="238"/>
      <c r="AU823" s="125"/>
      <c r="AV823" s="125"/>
      <c r="AW823" s="125"/>
      <c r="AX823" s="238"/>
      <c r="AY823" s="125"/>
      <c r="AZ823" s="125"/>
      <c r="BA823" s="125"/>
    </row>
    <row r="824" spans="2:53" s="123" customFormat="1">
      <c r="B824" s="125"/>
      <c r="D824" s="125"/>
      <c r="I824" s="125"/>
      <c r="Z824" s="124"/>
      <c r="AA824" s="74"/>
      <c r="AB824" s="240"/>
      <c r="AD824" s="124"/>
      <c r="AE824" s="238"/>
      <c r="AF824" s="239"/>
      <c r="AG824" s="239"/>
      <c r="AH824" s="124"/>
      <c r="AI824" s="74"/>
      <c r="AJ824" s="240"/>
      <c r="AL824" s="124"/>
      <c r="AM824" s="74"/>
      <c r="AP824" s="125"/>
      <c r="AQ824" s="241"/>
      <c r="AR824" s="125"/>
      <c r="AS824" s="125"/>
      <c r="AT824" s="238"/>
      <c r="AU824" s="125"/>
      <c r="AV824" s="125"/>
      <c r="AW824" s="125"/>
      <c r="AX824" s="238"/>
      <c r="AY824" s="125"/>
      <c r="AZ824" s="125"/>
      <c r="BA824" s="125"/>
    </row>
    <row r="825" spans="2:53" s="123" customFormat="1">
      <c r="B825" s="125"/>
      <c r="D825" s="125"/>
      <c r="I825" s="125"/>
      <c r="Z825" s="124"/>
      <c r="AA825" s="74"/>
      <c r="AB825" s="240"/>
      <c r="AD825" s="124"/>
      <c r="AE825" s="238"/>
      <c r="AF825" s="239"/>
      <c r="AG825" s="239"/>
      <c r="AH825" s="124"/>
      <c r="AI825" s="74"/>
      <c r="AJ825" s="240"/>
      <c r="AL825" s="124"/>
      <c r="AM825" s="74"/>
      <c r="AP825" s="125"/>
      <c r="AQ825" s="241"/>
      <c r="AR825" s="125"/>
      <c r="AS825" s="125"/>
      <c r="AT825" s="238"/>
      <c r="AU825" s="125"/>
      <c r="AV825" s="125"/>
      <c r="AW825" s="125"/>
      <c r="AX825" s="238"/>
      <c r="AY825" s="125"/>
      <c r="AZ825" s="125"/>
      <c r="BA825" s="125"/>
    </row>
    <row r="826" spans="2:53" s="123" customFormat="1">
      <c r="B826" s="125"/>
      <c r="D826" s="125"/>
      <c r="I826" s="125"/>
      <c r="Z826" s="124"/>
      <c r="AA826" s="74"/>
      <c r="AB826" s="240"/>
      <c r="AD826" s="124"/>
      <c r="AE826" s="238"/>
      <c r="AF826" s="239"/>
      <c r="AG826" s="239"/>
      <c r="AH826" s="124"/>
      <c r="AI826" s="74"/>
      <c r="AJ826" s="240"/>
      <c r="AL826" s="124"/>
      <c r="AM826" s="74"/>
      <c r="AP826" s="125"/>
      <c r="AQ826" s="241"/>
      <c r="AR826" s="125"/>
      <c r="AS826" s="125"/>
      <c r="AT826" s="238"/>
      <c r="AU826" s="125"/>
      <c r="AV826" s="125"/>
      <c r="AW826" s="125"/>
      <c r="AX826" s="238"/>
      <c r="AY826" s="125"/>
      <c r="AZ826" s="125"/>
      <c r="BA826" s="125"/>
    </row>
    <row r="827" spans="2:53" s="123" customFormat="1">
      <c r="B827" s="125"/>
      <c r="D827" s="125"/>
      <c r="I827" s="125"/>
      <c r="Z827" s="124"/>
      <c r="AA827" s="74"/>
      <c r="AB827" s="240"/>
      <c r="AD827" s="124"/>
      <c r="AE827" s="238"/>
      <c r="AF827" s="239"/>
      <c r="AG827" s="239"/>
      <c r="AH827" s="124"/>
      <c r="AI827" s="74"/>
      <c r="AJ827" s="240"/>
      <c r="AL827" s="124"/>
      <c r="AM827" s="74"/>
      <c r="AP827" s="125"/>
      <c r="AQ827" s="241"/>
      <c r="AR827" s="125"/>
      <c r="AS827" s="125"/>
      <c r="AT827" s="238"/>
      <c r="AU827" s="125"/>
      <c r="AV827" s="125"/>
      <c r="AW827" s="125"/>
      <c r="AX827" s="238"/>
      <c r="AY827" s="125"/>
      <c r="AZ827" s="125"/>
      <c r="BA827" s="125"/>
    </row>
    <row r="828" spans="2:53" s="123" customFormat="1">
      <c r="B828" s="125"/>
      <c r="D828" s="125"/>
      <c r="I828" s="125"/>
      <c r="Z828" s="124"/>
      <c r="AA828" s="74"/>
      <c r="AB828" s="240"/>
      <c r="AD828" s="124"/>
      <c r="AE828" s="238"/>
      <c r="AF828" s="239"/>
      <c r="AG828" s="239"/>
      <c r="AH828" s="124"/>
      <c r="AI828" s="74"/>
      <c r="AJ828" s="240"/>
      <c r="AL828" s="124"/>
      <c r="AM828" s="74"/>
      <c r="AP828" s="125"/>
      <c r="AQ828" s="241"/>
      <c r="AR828" s="125"/>
      <c r="AS828" s="125"/>
      <c r="AT828" s="238"/>
      <c r="AU828" s="125"/>
      <c r="AV828" s="125"/>
      <c r="AW828" s="125"/>
      <c r="AX828" s="238"/>
      <c r="AY828" s="125"/>
      <c r="AZ828" s="125"/>
      <c r="BA828" s="125"/>
    </row>
    <row r="829" spans="2:53" s="123" customFormat="1">
      <c r="B829" s="125"/>
      <c r="D829" s="125"/>
      <c r="I829" s="125"/>
      <c r="Z829" s="124"/>
      <c r="AA829" s="74"/>
      <c r="AB829" s="240"/>
      <c r="AD829" s="124"/>
      <c r="AE829" s="238"/>
      <c r="AF829" s="239"/>
      <c r="AG829" s="239"/>
      <c r="AH829" s="124"/>
      <c r="AI829" s="74"/>
      <c r="AJ829" s="240"/>
      <c r="AL829" s="124"/>
      <c r="AM829" s="74"/>
      <c r="AP829" s="125"/>
      <c r="AQ829" s="241"/>
      <c r="AR829" s="125"/>
      <c r="AS829" s="125"/>
      <c r="AT829" s="238"/>
      <c r="AU829" s="125"/>
      <c r="AV829" s="125"/>
      <c r="AW829" s="125"/>
      <c r="AX829" s="238"/>
      <c r="AY829" s="125"/>
      <c r="AZ829" s="125"/>
      <c r="BA829" s="125"/>
    </row>
    <row r="830" spans="2:53" s="123" customFormat="1">
      <c r="B830" s="125"/>
      <c r="D830" s="125"/>
      <c r="I830" s="125"/>
      <c r="Z830" s="124"/>
      <c r="AA830" s="74"/>
      <c r="AB830" s="240"/>
      <c r="AD830" s="124"/>
      <c r="AE830" s="238"/>
      <c r="AF830" s="239"/>
      <c r="AG830" s="239"/>
      <c r="AH830" s="124"/>
      <c r="AI830" s="74"/>
      <c r="AJ830" s="240"/>
      <c r="AL830" s="124"/>
      <c r="AM830" s="74"/>
      <c r="AP830" s="125"/>
      <c r="AQ830" s="241"/>
      <c r="AR830" s="125"/>
      <c r="AS830" s="125"/>
      <c r="AT830" s="238"/>
      <c r="AU830" s="125"/>
      <c r="AV830" s="125"/>
      <c r="AW830" s="125"/>
      <c r="AX830" s="238"/>
      <c r="AY830" s="125"/>
      <c r="AZ830" s="125"/>
      <c r="BA830" s="125"/>
    </row>
    <row r="831" spans="2:53" s="123" customFormat="1">
      <c r="B831" s="125"/>
      <c r="D831" s="125"/>
      <c r="I831" s="125"/>
      <c r="Z831" s="124"/>
      <c r="AA831" s="74"/>
      <c r="AB831" s="240"/>
      <c r="AD831" s="124"/>
      <c r="AE831" s="238"/>
      <c r="AF831" s="239"/>
      <c r="AG831" s="239"/>
      <c r="AH831" s="124"/>
      <c r="AI831" s="74"/>
      <c r="AJ831" s="240"/>
      <c r="AL831" s="124"/>
      <c r="AM831" s="74"/>
      <c r="AP831" s="125"/>
      <c r="AQ831" s="241"/>
      <c r="AR831" s="125"/>
      <c r="AS831" s="125"/>
      <c r="AT831" s="238"/>
      <c r="AU831" s="125"/>
      <c r="AV831" s="125"/>
      <c r="AW831" s="125"/>
      <c r="AX831" s="238"/>
      <c r="AY831" s="125"/>
      <c r="AZ831" s="125"/>
      <c r="BA831" s="125"/>
    </row>
    <row r="832" spans="2:53" s="123" customFormat="1">
      <c r="B832" s="125"/>
      <c r="D832" s="125"/>
      <c r="I832" s="125"/>
      <c r="Z832" s="124"/>
      <c r="AA832" s="74"/>
      <c r="AB832" s="240"/>
      <c r="AD832" s="124"/>
      <c r="AE832" s="238"/>
      <c r="AF832" s="239"/>
      <c r="AG832" s="239"/>
      <c r="AH832" s="124"/>
      <c r="AI832" s="74"/>
      <c r="AJ832" s="240"/>
      <c r="AL832" s="124"/>
      <c r="AM832" s="74"/>
      <c r="AP832" s="125"/>
      <c r="AQ832" s="241"/>
      <c r="AR832" s="125"/>
      <c r="AS832" s="125"/>
      <c r="AT832" s="238"/>
      <c r="AU832" s="125"/>
      <c r="AV832" s="125"/>
      <c r="AW832" s="125"/>
      <c r="AX832" s="238"/>
      <c r="AY832" s="125"/>
      <c r="AZ832" s="125"/>
      <c r="BA832" s="125"/>
    </row>
    <row r="833" spans="2:53" s="123" customFormat="1">
      <c r="B833" s="125"/>
      <c r="D833" s="125"/>
      <c r="I833" s="125"/>
      <c r="Z833" s="124"/>
      <c r="AA833" s="74"/>
      <c r="AB833" s="240"/>
      <c r="AD833" s="124"/>
      <c r="AE833" s="238"/>
      <c r="AF833" s="239"/>
      <c r="AG833" s="239"/>
      <c r="AH833" s="124"/>
      <c r="AI833" s="74"/>
      <c r="AJ833" s="240"/>
      <c r="AL833" s="124"/>
      <c r="AM833" s="74"/>
      <c r="AP833" s="125"/>
      <c r="AQ833" s="241"/>
      <c r="AR833" s="125"/>
      <c r="AS833" s="125"/>
      <c r="AT833" s="238"/>
      <c r="AU833" s="125"/>
      <c r="AV833" s="125"/>
      <c r="AW833" s="125"/>
      <c r="AX833" s="238"/>
      <c r="AY833" s="125"/>
      <c r="AZ833" s="125"/>
      <c r="BA833" s="125"/>
    </row>
    <row r="834" spans="2:53" s="123" customFormat="1">
      <c r="B834" s="125"/>
      <c r="D834" s="125"/>
      <c r="I834" s="125"/>
      <c r="Z834" s="124"/>
      <c r="AA834" s="74"/>
      <c r="AB834" s="240"/>
      <c r="AD834" s="124"/>
      <c r="AE834" s="238"/>
      <c r="AF834" s="239"/>
      <c r="AG834" s="239"/>
      <c r="AH834" s="124"/>
      <c r="AI834" s="74"/>
      <c r="AJ834" s="240"/>
      <c r="AL834" s="124"/>
      <c r="AM834" s="74"/>
      <c r="AP834" s="125"/>
      <c r="AQ834" s="241"/>
      <c r="AR834" s="125"/>
      <c r="AS834" s="125"/>
      <c r="AT834" s="238"/>
      <c r="AU834" s="125"/>
      <c r="AV834" s="125"/>
      <c r="AW834" s="125"/>
      <c r="AX834" s="238"/>
      <c r="AY834" s="125"/>
      <c r="AZ834" s="125"/>
      <c r="BA834" s="125"/>
    </row>
    <row r="835" spans="2:53" s="123" customFormat="1">
      <c r="B835" s="125"/>
      <c r="D835" s="125"/>
      <c r="I835" s="125"/>
      <c r="Z835" s="124"/>
      <c r="AA835" s="74"/>
      <c r="AB835" s="240"/>
      <c r="AD835" s="124"/>
      <c r="AE835" s="238"/>
      <c r="AF835" s="239"/>
      <c r="AG835" s="239"/>
      <c r="AH835" s="124"/>
      <c r="AI835" s="74"/>
      <c r="AJ835" s="240"/>
      <c r="AL835" s="124"/>
      <c r="AM835" s="74"/>
      <c r="AP835" s="125"/>
      <c r="AQ835" s="241"/>
      <c r="AR835" s="125"/>
      <c r="AS835" s="125"/>
      <c r="AT835" s="238"/>
      <c r="AU835" s="125"/>
      <c r="AV835" s="125"/>
      <c r="AW835" s="125"/>
      <c r="AX835" s="238"/>
      <c r="AY835" s="125"/>
      <c r="AZ835" s="125"/>
      <c r="BA835" s="125"/>
    </row>
    <row r="836" spans="2:53" s="123" customFormat="1">
      <c r="B836" s="125"/>
      <c r="D836" s="125"/>
      <c r="I836" s="125"/>
      <c r="Z836" s="124"/>
      <c r="AA836" s="74"/>
      <c r="AB836" s="240"/>
      <c r="AD836" s="124"/>
      <c r="AE836" s="238"/>
      <c r="AF836" s="239"/>
      <c r="AG836" s="239"/>
      <c r="AH836" s="124"/>
      <c r="AI836" s="74"/>
      <c r="AJ836" s="240"/>
      <c r="AL836" s="124"/>
      <c r="AM836" s="74"/>
      <c r="AP836" s="125"/>
      <c r="AQ836" s="241"/>
      <c r="AR836" s="125"/>
      <c r="AS836" s="125"/>
      <c r="AT836" s="238"/>
      <c r="AU836" s="125"/>
      <c r="AV836" s="125"/>
      <c r="AW836" s="125"/>
      <c r="AX836" s="238"/>
      <c r="AY836" s="125"/>
      <c r="AZ836" s="125"/>
      <c r="BA836" s="125"/>
    </row>
    <row r="837" spans="2:53" s="123" customFormat="1">
      <c r="B837" s="125"/>
      <c r="D837" s="125"/>
      <c r="I837" s="125"/>
      <c r="Z837" s="124"/>
      <c r="AA837" s="74"/>
      <c r="AB837" s="240"/>
      <c r="AD837" s="124"/>
      <c r="AE837" s="238"/>
      <c r="AF837" s="239"/>
      <c r="AG837" s="239"/>
      <c r="AH837" s="124"/>
      <c r="AI837" s="74"/>
      <c r="AJ837" s="240"/>
      <c r="AL837" s="124"/>
      <c r="AM837" s="74"/>
      <c r="AP837" s="125"/>
      <c r="AQ837" s="241"/>
      <c r="AR837" s="125"/>
      <c r="AS837" s="125"/>
      <c r="AT837" s="238"/>
      <c r="AU837" s="125"/>
      <c r="AV837" s="125"/>
      <c r="AW837" s="125"/>
      <c r="AX837" s="238"/>
      <c r="AY837" s="125"/>
      <c r="AZ837" s="125"/>
      <c r="BA837" s="125"/>
    </row>
    <row r="838" spans="2:53" s="123" customFormat="1">
      <c r="B838" s="125"/>
      <c r="D838" s="125"/>
      <c r="I838" s="125"/>
      <c r="Z838" s="124"/>
      <c r="AA838" s="74"/>
      <c r="AB838" s="240"/>
      <c r="AD838" s="124"/>
      <c r="AE838" s="238"/>
      <c r="AF838" s="239"/>
      <c r="AG838" s="239"/>
      <c r="AH838" s="124"/>
      <c r="AI838" s="74"/>
      <c r="AJ838" s="240"/>
      <c r="AL838" s="124"/>
      <c r="AM838" s="74"/>
      <c r="AP838" s="125"/>
      <c r="AQ838" s="241"/>
      <c r="AR838" s="125"/>
      <c r="AS838" s="125"/>
      <c r="AT838" s="238"/>
      <c r="AU838" s="125"/>
      <c r="AV838" s="125"/>
      <c r="AW838" s="125"/>
      <c r="AX838" s="238"/>
      <c r="AY838" s="125"/>
      <c r="AZ838" s="125"/>
      <c r="BA838" s="125"/>
    </row>
    <row r="839" spans="2:53" s="123" customFormat="1">
      <c r="B839" s="125"/>
      <c r="D839" s="125"/>
      <c r="I839" s="125"/>
      <c r="Z839" s="124"/>
      <c r="AA839" s="74"/>
      <c r="AB839" s="240"/>
      <c r="AD839" s="124"/>
      <c r="AE839" s="238"/>
      <c r="AF839" s="239"/>
      <c r="AG839" s="239"/>
      <c r="AH839" s="124"/>
      <c r="AI839" s="74"/>
      <c r="AJ839" s="240"/>
      <c r="AL839" s="124"/>
      <c r="AM839" s="74"/>
      <c r="AP839" s="125"/>
      <c r="AQ839" s="241"/>
      <c r="AR839" s="125"/>
      <c r="AS839" s="125"/>
      <c r="AT839" s="238"/>
      <c r="AU839" s="125"/>
      <c r="AV839" s="125"/>
      <c r="AW839" s="125"/>
      <c r="AX839" s="238"/>
      <c r="AY839" s="125"/>
      <c r="AZ839" s="125"/>
      <c r="BA839" s="125"/>
    </row>
    <row r="840" spans="2:53" s="123" customFormat="1">
      <c r="B840" s="125"/>
      <c r="D840" s="125"/>
      <c r="I840" s="125"/>
      <c r="Z840" s="124"/>
      <c r="AA840" s="74"/>
      <c r="AB840" s="240"/>
      <c r="AD840" s="124"/>
      <c r="AE840" s="238"/>
      <c r="AF840" s="239"/>
      <c r="AG840" s="239"/>
      <c r="AH840" s="124"/>
      <c r="AI840" s="74"/>
      <c r="AJ840" s="240"/>
      <c r="AL840" s="124"/>
      <c r="AM840" s="74"/>
      <c r="AP840" s="125"/>
      <c r="AQ840" s="241"/>
      <c r="AR840" s="125"/>
      <c r="AS840" s="125"/>
      <c r="AT840" s="238"/>
      <c r="AU840" s="125"/>
      <c r="AV840" s="125"/>
      <c r="AW840" s="125"/>
      <c r="AX840" s="238"/>
      <c r="AY840" s="125"/>
      <c r="AZ840" s="125"/>
      <c r="BA840" s="125"/>
    </row>
    <row r="841" spans="2:53" s="123" customFormat="1">
      <c r="B841" s="125"/>
      <c r="D841" s="125"/>
      <c r="I841" s="125"/>
      <c r="Z841" s="124"/>
      <c r="AA841" s="74"/>
      <c r="AB841" s="240"/>
      <c r="AD841" s="124"/>
      <c r="AE841" s="238"/>
      <c r="AF841" s="239"/>
      <c r="AG841" s="239"/>
      <c r="AH841" s="124"/>
      <c r="AI841" s="74"/>
      <c r="AJ841" s="240"/>
      <c r="AL841" s="124"/>
      <c r="AM841" s="74"/>
      <c r="AP841" s="125"/>
      <c r="AQ841" s="241"/>
      <c r="AR841" s="125"/>
      <c r="AS841" s="125"/>
      <c r="AT841" s="238"/>
      <c r="AU841" s="125"/>
      <c r="AV841" s="125"/>
      <c r="AW841" s="125"/>
      <c r="AX841" s="238"/>
      <c r="AY841" s="125"/>
      <c r="AZ841" s="125"/>
      <c r="BA841" s="125"/>
    </row>
    <row r="842" spans="2:53" s="123" customFormat="1">
      <c r="B842" s="125"/>
      <c r="D842" s="125"/>
      <c r="I842" s="125"/>
      <c r="Z842" s="124"/>
      <c r="AA842" s="74"/>
      <c r="AB842" s="240"/>
      <c r="AD842" s="124"/>
      <c r="AE842" s="238"/>
      <c r="AF842" s="239"/>
      <c r="AG842" s="239"/>
      <c r="AH842" s="124"/>
      <c r="AI842" s="74"/>
      <c r="AJ842" s="240"/>
      <c r="AL842" s="124"/>
      <c r="AM842" s="74"/>
      <c r="AP842" s="125"/>
      <c r="AQ842" s="241"/>
      <c r="AR842" s="125"/>
      <c r="AS842" s="125"/>
      <c r="AT842" s="238"/>
      <c r="AU842" s="125"/>
      <c r="AV842" s="125"/>
      <c r="AW842" s="125"/>
      <c r="AX842" s="238"/>
      <c r="AY842" s="125"/>
      <c r="AZ842" s="125"/>
      <c r="BA842" s="125"/>
    </row>
    <row r="843" spans="2:53" s="123" customFormat="1">
      <c r="B843" s="125"/>
      <c r="D843" s="125"/>
      <c r="I843" s="125"/>
      <c r="Z843" s="124"/>
      <c r="AA843" s="74"/>
      <c r="AB843" s="240"/>
      <c r="AD843" s="124"/>
      <c r="AE843" s="238"/>
      <c r="AF843" s="239"/>
      <c r="AG843" s="239"/>
      <c r="AH843" s="124"/>
      <c r="AI843" s="74"/>
      <c r="AJ843" s="240"/>
      <c r="AL843" s="124"/>
      <c r="AM843" s="74"/>
      <c r="AP843" s="125"/>
      <c r="AQ843" s="241"/>
      <c r="AR843" s="125"/>
      <c r="AS843" s="125"/>
      <c r="AT843" s="238"/>
      <c r="AU843" s="125"/>
      <c r="AV843" s="125"/>
      <c r="AW843" s="125"/>
      <c r="AX843" s="238"/>
      <c r="AY843" s="125"/>
      <c r="AZ843" s="125"/>
      <c r="BA843" s="125"/>
    </row>
    <row r="844" spans="2:53" s="123" customFormat="1">
      <c r="B844" s="125"/>
      <c r="D844" s="125"/>
      <c r="I844" s="125"/>
      <c r="Z844" s="124"/>
      <c r="AA844" s="74"/>
      <c r="AB844" s="240"/>
      <c r="AD844" s="124"/>
      <c r="AE844" s="238"/>
      <c r="AF844" s="239"/>
      <c r="AG844" s="239"/>
      <c r="AH844" s="124"/>
      <c r="AI844" s="74"/>
      <c r="AJ844" s="240"/>
      <c r="AL844" s="124"/>
      <c r="AM844" s="74"/>
      <c r="AP844" s="125"/>
      <c r="AQ844" s="241"/>
      <c r="AR844" s="125"/>
      <c r="AS844" s="125"/>
      <c r="AT844" s="238"/>
      <c r="AU844" s="125"/>
      <c r="AV844" s="125"/>
      <c r="AW844" s="125"/>
      <c r="AX844" s="238"/>
      <c r="AY844" s="125"/>
      <c r="AZ844" s="125"/>
      <c r="BA844" s="125"/>
    </row>
    <row r="845" spans="2:53" s="123" customFormat="1">
      <c r="B845" s="125"/>
      <c r="D845" s="125"/>
      <c r="I845" s="125"/>
      <c r="Z845" s="124"/>
      <c r="AA845" s="74"/>
      <c r="AB845" s="240"/>
      <c r="AD845" s="124"/>
      <c r="AE845" s="238"/>
      <c r="AF845" s="239"/>
      <c r="AG845" s="239"/>
      <c r="AH845" s="124"/>
      <c r="AI845" s="74"/>
      <c r="AJ845" s="240"/>
      <c r="AL845" s="124"/>
      <c r="AM845" s="74"/>
      <c r="AP845" s="125"/>
      <c r="AQ845" s="241"/>
      <c r="AR845" s="125"/>
      <c r="AS845" s="125"/>
      <c r="AT845" s="238"/>
      <c r="AU845" s="125"/>
      <c r="AV845" s="125"/>
      <c r="AW845" s="125"/>
      <c r="AX845" s="238"/>
      <c r="AY845" s="125"/>
      <c r="AZ845" s="125"/>
      <c r="BA845" s="125"/>
    </row>
    <row r="846" spans="2:53" s="123" customFormat="1">
      <c r="B846" s="125"/>
      <c r="D846" s="125"/>
      <c r="I846" s="125"/>
      <c r="Z846" s="124"/>
      <c r="AA846" s="74"/>
      <c r="AB846" s="240"/>
      <c r="AD846" s="124"/>
      <c r="AE846" s="238"/>
      <c r="AF846" s="239"/>
      <c r="AG846" s="239"/>
      <c r="AH846" s="124"/>
      <c r="AI846" s="74"/>
      <c r="AJ846" s="240"/>
      <c r="AL846" s="124"/>
      <c r="AM846" s="74"/>
      <c r="AP846" s="125"/>
      <c r="AQ846" s="241"/>
      <c r="AR846" s="125"/>
      <c r="AS846" s="125"/>
      <c r="AT846" s="238"/>
      <c r="AU846" s="125"/>
      <c r="AV846" s="125"/>
      <c r="AW846" s="125"/>
      <c r="AX846" s="238"/>
      <c r="AY846" s="125"/>
      <c r="AZ846" s="125"/>
      <c r="BA846" s="125"/>
    </row>
    <row r="847" spans="2:53" s="123" customFormat="1">
      <c r="B847" s="125"/>
      <c r="D847" s="125"/>
      <c r="I847" s="125"/>
      <c r="Z847" s="124"/>
      <c r="AA847" s="74"/>
      <c r="AB847" s="240"/>
      <c r="AD847" s="124"/>
      <c r="AE847" s="238"/>
      <c r="AF847" s="239"/>
      <c r="AG847" s="239"/>
      <c r="AH847" s="124"/>
      <c r="AI847" s="74"/>
      <c r="AJ847" s="240"/>
      <c r="AL847" s="124"/>
      <c r="AM847" s="74"/>
      <c r="AP847" s="125"/>
      <c r="AQ847" s="241"/>
      <c r="AR847" s="125"/>
      <c r="AS847" s="125"/>
      <c r="AT847" s="238"/>
      <c r="AU847" s="125"/>
      <c r="AV847" s="125"/>
      <c r="AW847" s="125"/>
      <c r="AX847" s="238"/>
      <c r="AY847" s="125"/>
      <c r="AZ847" s="125"/>
      <c r="BA847" s="125"/>
    </row>
    <row r="848" spans="2:53" s="123" customFormat="1">
      <c r="B848" s="125"/>
      <c r="D848" s="125"/>
      <c r="I848" s="125"/>
      <c r="Z848" s="124"/>
      <c r="AA848" s="74"/>
      <c r="AB848" s="240"/>
      <c r="AD848" s="124"/>
      <c r="AE848" s="238"/>
      <c r="AF848" s="239"/>
      <c r="AG848" s="239"/>
      <c r="AH848" s="124"/>
      <c r="AI848" s="74"/>
      <c r="AJ848" s="240"/>
      <c r="AL848" s="124"/>
      <c r="AM848" s="74"/>
      <c r="AP848" s="125"/>
      <c r="AQ848" s="241"/>
      <c r="AR848" s="125"/>
      <c r="AS848" s="125"/>
      <c r="AT848" s="238"/>
      <c r="AU848" s="125"/>
      <c r="AV848" s="125"/>
      <c r="AW848" s="125"/>
      <c r="AX848" s="238"/>
      <c r="AY848" s="125"/>
      <c r="AZ848" s="125"/>
      <c r="BA848" s="125"/>
    </row>
    <row r="849" spans="2:53" s="123" customFormat="1">
      <c r="B849" s="125"/>
      <c r="D849" s="125"/>
      <c r="I849" s="125"/>
      <c r="Z849" s="124"/>
      <c r="AA849" s="74"/>
      <c r="AB849" s="240"/>
      <c r="AD849" s="124"/>
      <c r="AE849" s="238"/>
      <c r="AF849" s="239"/>
      <c r="AG849" s="239"/>
      <c r="AH849" s="124"/>
      <c r="AI849" s="74"/>
      <c r="AJ849" s="240"/>
      <c r="AL849" s="124"/>
      <c r="AM849" s="74"/>
      <c r="AP849" s="125"/>
      <c r="AQ849" s="241"/>
      <c r="AR849" s="125"/>
      <c r="AS849" s="125"/>
      <c r="AT849" s="238"/>
      <c r="AU849" s="125"/>
      <c r="AV849" s="125"/>
      <c r="AW849" s="125"/>
      <c r="AX849" s="238"/>
      <c r="AY849" s="125"/>
      <c r="AZ849" s="125"/>
      <c r="BA849" s="125"/>
    </row>
    <row r="850" spans="2:53" s="123" customFormat="1">
      <c r="B850" s="125"/>
      <c r="D850" s="125"/>
      <c r="I850" s="125"/>
      <c r="Z850" s="124"/>
      <c r="AA850" s="74"/>
      <c r="AB850" s="240"/>
      <c r="AD850" s="124"/>
      <c r="AE850" s="238"/>
      <c r="AF850" s="239"/>
      <c r="AG850" s="239"/>
      <c r="AH850" s="124"/>
      <c r="AI850" s="74"/>
      <c r="AJ850" s="240"/>
      <c r="AL850" s="124"/>
      <c r="AM850" s="74"/>
      <c r="AP850" s="125"/>
      <c r="AQ850" s="241"/>
      <c r="AR850" s="125"/>
      <c r="AS850" s="125"/>
      <c r="AT850" s="238"/>
      <c r="AU850" s="125"/>
      <c r="AV850" s="125"/>
      <c r="AW850" s="125"/>
      <c r="AX850" s="238"/>
      <c r="AY850" s="125"/>
      <c r="AZ850" s="125"/>
      <c r="BA850" s="125"/>
    </row>
    <row r="851" spans="2:53" s="123" customFormat="1">
      <c r="B851" s="125"/>
      <c r="D851" s="125"/>
      <c r="I851" s="125"/>
      <c r="Z851" s="124"/>
      <c r="AA851" s="74"/>
      <c r="AB851" s="240"/>
      <c r="AD851" s="124"/>
      <c r="AE851" s="238"/>
      <c r="AF851" s="239"/>
      <c r="AG851" s="239"/>
      <c r="AH851" s="124"/>
      <c r="AI851" s="74"/>
      <c r="AJ851" s="240"/>
      <c r="AL851" s="124"/>
      <c r="AM851" s="74"/>
      <c r="AP851" s="125"/>
      <c r="AQ851" s="241"/>
      <c r="AR851" s="125"/>
      <c r="AS851" s="125"/>
      <c r="AT851" s="238"/>
      <c r="AU851" s="125"/>
      <c r="AV851" s="125"/>
      <c r="AW851" s="125"/>
      <c r="AX851" s="238"/>
      <c r="AY851" s="125"/>
      <c r="AZ851" s="125"/>
      <c r="BA851" s="125"/>
    </row>
    <row r="852" spans="2:53" s="123" customFormat="1">
      <c r="B852" s="125"/>
      <c r="D852" s="125"/>
      <c r="I852" s="125"/>
      <c r="Z852" s="124"/>
      <c r="AA852" s="74"/>
      <c r="AB852" s="240"/>
      <c r="AD852" s="124"/>
      <c r="AE852" s="238"/>
      <c r="AF852" s="239"/>
      <c r="AG852" s="239"/>
      <c r="AH852" s="124"/>
      <c r="AI852" s="74"/>
      <c r="AJ852" s="240"/>
      <c r="AL852" s="124"/>
      <c r="AM852" s="74"/>
      <c r="AP852" s="125"/>
      <c r="AQ852" s="241"/>
      <c r="AR852" s="125"/>
      <c r="AS852" s="125"/>
      <c r="AT852" s="238"/>
      <c r="AU852" s="125"/>
      <c r="AV852" s="125"/>
      <c r="AW852" s="125"/>
      <c r="AX852" s="238"/>
      <c r="AY852" s="125"/>
      <c r="AZ852" s="125"/>
      <c r="BA852" s="125"/>
    </row>
    <row r="853" spans="2:53" s="123" customFormat="1">
      <c r="B853" s="125"/>
      <c r="D853" s="125"/>
      <c r="I853" s="125"/>
      <c r="Z853" s="124"/>
      <c r="AA853" s="74"/>
      <c r="AB853" s="240"/>
      <c r="AD853" s="124"/>
      <c r="AE853" s="238"/>
      <c r="AF853" s="239"/>
      <c r="AG853" s="239"/>
      <c r="AH853" s="124"/>
      <c r="AI853" s="74"/>
      <c r="AJ853" s="240"/>
      <c r="AL853" s="124"/>
      <c r="AM853" s="74"/>
      <c r="AP853" s="125"/>
      <c r="AQ853" s="241"/>
      <c r="AR853" s="125"/>
      <c r="AS853" s="125"/>
      <c r="AT853" s="238"/>
      <c r="AU853" s="125"/>
      <c r="AV853" s="125"/>
      <c r="AW853" s="125"/>
      <c r="AX853" s="238"/>
      <c r="AY853" s="125"/>
      <c r="AZ853" s="125"/>
      <c r="BA853" s="125"/>
    </row>
    <row r="854" spans="2:53" s="123" customFormat="1">
      <c r="B854" s="125"/>
      <c r="D854" s="125"/>
      <c r="I854" s="125"/>
      <c r="Z854" s="124"/>
      <c r="AA854" s="74"/>
      <c r="AB854" s="240"/>
      <c r="AD854" s="124"/>
      <c r="AE854" s="238"/>
      <c r="AF854" s="239"/>
      <c r="AG854" s="239"/>
      <c r="AH854" s="124"/>
      <c r="AI854" s="74"/>
      <c r="AJ854" s="240"/>
      <c r="AL854" s="124"/>
      <c r="AM854" s="74"/>
      <c r="AP854" s="125"/>
      <c r="AQ854" s="241"/>
      <c r="AR854" s="125"/>
      <c r="AS854" s="125"/>
      <c r="AT854" s="238"/>
      <c r="AU854" s="125"/>
      <c r="AV854" s="125"/>
      <c r="AW854" s="125"/>
      <c r="AX854" s="238"/>
      <c r="AY854" s="125"/>
      <c r="AZ854" s="125"/>
      <c r="BA854" s="125"/>
    </row>
    <row r="855" spans="2:53" s="123" customFormat="1">
      <c r="B855" s="125"/>
      <c r="D855" s="125"/>
      <c r="I855" s="125"/>
      <c r="Z855" s="124"/>
      <c r="AA855" s="74"/>
      <c r="AB855" s="240"/>
      <c r="AD855" s="124"/>
      <c r="AE855" s="238"/>
      <c r="AF855" s="239"/>
      <c r="AG855" s="239"/>
      <c r="AH855" s="124"/>
      <c r="AI855" s="74"/>
      <c r="AJ855" s="240"/>
      <c r="AL855" s="124"/>
      <c r="AM855" s="74"/>
      <c r="AP855" s="125"/>
      <c r="AQ855" s="241"/>
      <c r="AR855" s="125"/>
      <c r="AS855" s="125"/>
      <c r="AT855" s="238"/>
      <c r="AU855" s="125"/>
      <c r="AV855" s="125"/>
      <c r="AW855" s="125"/>
      <c r="AX855" s="238"/>
      <c r="AY855" s="125"/>
      <c r="AZ855" s="125"/>
      <c r="BA855" s="125"/>
    </row>
    <row r="856" spans="2:53" s="123" customFormat="1">
      <c r="B856" s="125"/>
      <c r="D856" s="125"/>
      <c r="I856" s="125"/>
      <c r="Z856" s="124"/>
      <c r="AA856" s="74"/>
      <c r="AB856" s="240"/>
      <c r="AD856" s="124"/>
      <c r="AE856" s="238"/>
      <c r="AF856" s="239"/>
      <c r="AG856" s="239"/>
      <c r="AH856" s="124"/>
      <c r="AI856" s="74"/>
      <c r="AJ856" s="240"/>
      <c r="AL856" s="124"/>
      <c r="AM856" s="74"/>
      <c r="AP856" s="125"/>
      <c r="AQ856" s="241"/>
      <c r="AR856" s="125"/>
      <c r="AS856" s="125"/>
      <c r="AT856" s="238"/>
      <c r="AU856" s="125"/>
      <c r="AV856" s="125"/>
      <c r="AW856" s="125"/>
      <c r="AX856" s="238"/>
      <c r="AY856" s="125"/>
      <c r="AZ856" s="125"/>
      <c r="BA856" s="125"/>
    </row>
    <row r="857" spans="2:53" s="123" customFormat="1">
      <c r="B857" s="125"/>
      <c r="D857" s="125"/>
      <c r="I857" s="125"/>
      <c r="Z857" s="124"/>
      <c r="AA857" s="74"/>
      <c r="AB857" s="240"/>
      <c r="AD857" s="124"/>
      <c r="AE857" s="238"/>
      <c r="AF857" s="239"/>
      <c r="AG857" s="239"/>
      <c r="AH857" s="124"/>
      <c r="AI857" s="74"/>
      <c r="AJ857" s="240"/>
      <c r="AL857" s="124"/>
      <c r="AM857" s="74"/>
      <c r="AP857" s="125"/>
      <c r="AQ857" s="241"/>
      <c r="AR857" s="125"/>
      <c r="AS857" s="125"/>
      <c r="AT857" s="238"/>
      <c r="AU857" s="125"/>
      <c r="AV857" s="125"/>
      <c r="AW857" s="125"/>
      <c r="AX857" s="238"/>
      <c r="AY857" s="125"/>
      <c r="AZ857" s="125"/>
      <c r="BA857" s="125"/>
    </row>
    <row r="858" spans="2:53" s="123" customFormat="1">
      <c r="B858" s="125"/>
      <c r="D858" s="125"/>
      <c r="I858" s="125"/>
      <c r="Z858" s="124"/>
      <c r="AA858" s="74"/>
      <c r="AB858" s="240"/>
      <c r="AD858" s="124"/>
      <c r="AE858" s="238"/>
      <c r="AF858" s="239"/>
      <c r="AG858" s="239"/>
      <c r="AH858" s="124"/>
      <c r="AI858" s="74"/>
      <c r="AJ858" s="240"/>
      <c r="AL858" s="124"/>
      <c r="AM858" s="74"/>
      <c r="AP858" s="125"/>
      <c r="AQ858" s="241"/>
      <c r="AR858" s="125"/>
      <c r="AS858" s="125"/>
      <c r="AT858" s="238"/>
      <c r="AU858" s="125"/>
      <c r="AV858" s="125"/>
      <c r="AW858" s="125"/>
      <c r="AX858" s="238"/>
      <c r="AY858" s="125"/>
      <c r="AZ858" s="125"/>
      <c r="BA858" s="125"/>
    </row>
    <row r="859" spans="2:53" s="123" customFormat="1">
      <c r="B859" s="125"/>
      <c r="D859" s="125"/>
      <c r="I859" s="125"/>
      <c r="Z859" s="124"/>
      <c r="AA859" s="74"/>
      <c r="AB859" s="240"/>
      <c r="AD859" s="124"/>
      <c r="AE859" s="238"/>
      <c r="AF859" s="239"/>
      <c r="AG859" s="239"/>
      <c r="AH859" s="124"/>
      <c r="AI859" s="74"/>
      <c r="AJ859" s="240"/>
      <c r="AL859" s="124"/>
      <c r="AM859" s="74"/>
      <c r="AP859" s="125"/>
      <c r="AQ859" s="241"/>
      <c r="AR859" s="125"/>
      <c r="AS859" s="125"/>
      <c r="AT859" s="238"/>
      <c r="AU859" s="125"/>
      <c r="AV859" s="125"/>
      <c r="AW859" s="125"/>
      <c r="AX859" s="238"/>
      <c r="AY859" s="125"/>
      <c r="AZ859" s="125"/>
      <c r="BA859" s="125"/>
    </row>
    <row r="860" spans="2:53" s="123" customFormat="1">
      <c r="B860" s="125"/>
      <c r="D860" s="125"/>
      <c r="I860" s="125"/>
      <c r="Z860" s="124"/>
      <c r="AA860" s="74"/>
      <c r="AB860" s="240"/>
      <c r="AD860" s="124"/>
      <c r="AE860" s="238"/>
      <c r="AF860" s="239"/>
      <c r="AG860" s="239"/>
      <c r="AH860" s="124"/>
      <c r="AI860" s="74"/>
      <c r="AJ860" s="240"/>
      <c r="AL860" s="124"/>
      <c r="AM860" s="74"/>
      <c r="AP860" s="125"/>
      <c r="AQ860" s="241"/>
      <c r="AR860" s="125"/>
      <c r="AS860" s="125"/>
      <c r="AT860" s="238"/>
      <c r="AU860" s="125"/>
      <c r="AV860" s="125"/>
      <c r="AW860" s="125"/>
      <c r="AX860" s="238"/>
      <c r="AY860" s="125"/>
      <c r="AZ860" s="125"/>
      <c r="BA860" s="125"/>
    </row>
    <row r="861" spans="2:53" s="123" customFormat="1">
      <c r="B861" s="125"/>
      <c r="D861" s="125"/>
      <c r="I861" s="125"/>
      <c r="Z861" s="124"/>
      <c r="AA861" s="74"/>
      <c r="AB861" s="240"/>
      <c r="AD861" s="124"/>
      <c r="AE861" s="238"/>
      <c r="AF861" s="239"/>
      <c r="AG861" s="239"/>
      <c r="AH861" s="124"/>
      <c r="AI861" s="74"/>
      <c r="AJ861" s="240"/>
      <c r="AL861" s="124"/>
      <c r="AM861" s="74"/>
      <c r="AP861" s="125"/>
      <c r="AQ861" s="241"/>
      <c r="AR861" s="125"/>
      <c r="AS861" s="125"/>
      <c r="AT861" s="238"/>
      <c r="AU861" s="125"/>
      <c r="AV861" s="125"/>
      <c r="AW861" s="125"/>
      <c r="AX861" s="238"/>
      <c r="AY861" s="125"/>
      <c r="AZ861" s="125"/>
      <c r="BA861" s="125"/>
    </row>
    <row r="862" spans="2:53" s="123" customFormat="1">
      <c r="B862" s="125"/>
      <c r="D862" s="125"/>
      <c r="I862" s="125"/>
      <c r="Z862" s="124"/>
      <c r="AA862" s="74"/>
      <c r="AB862" s="240"/>
      <c r="AD862" s="124"/>
      <c r="AE862" s="238"/>
      <c r="AF862" s="239"/>
      <c r="AG862" s="239"/>
      <c r="AH862" s="124"/>
      <c r="AI862" s="74"/>
      <c r="AJ862" s="240"/>
      <c r="AL862" s="124"/>
      <c r="AM862" s="74"/>
      <c r="AP862" s="125"/>
      <c r="AQ862" s="241"/>
      <c r="AR862" s="125"/>
      <c r="AS862" s="125"/>
      <c r="AT862" s="238"/>
      <c r="AU862" s="125"/>
      <c r="AV862" s="125"/>
      <c r="AW862" s="125"/>
      <c r="AX862" s="238"/>
      <c r="AY862" s="125"/>
      <c r="AZ862" s="125"/>
      <c r="BA862" s="125"/>
    </row>
    <row r="863" spans="2:53" s="123" customFormat="1">
      <c r="B863" s="125"/>
      <c r="D863" s="125"/>
      <c r="I863" s="125"/>
      <c r="Z863" s="124"/>
      <c r="AA863" s="74"/>
      <c r="AB863" s="240"/>
      <c r="AD863" s="124"/>
      <c r="AE863" s="238"/>
      <c r="AF863" s="239"/>
      <c r="AG863" s="239"/>
      <c r="AH863" s="124"/>
      <c r="AI863" s="74"/>
      <c r="AJ863" s="240"/>
      <c r="AL863" s="124"/>
      <c r="AM863" s="74"/>
      <c r="AP863" s="125"/>
      <c r="AQ863" s="241"/>
      <c r="AR863" s="125"/>
      <c r="AS863" s="125"/>
      <c r="AT863" s="238"/>
      <c r="AU863" s="125"/>
      <c r="AV863" s="125"/>
      <c r="AW863" s="125"/>
      <c r="AX863" s="238"/>
      <c r="AY863" s="125"/>
      <c r="AZ863" s="125"/>
      <c r="BA863" s="125"/>
    </row>
    <row r="864" spans="2:53" s="123" customFormat="1">
      <c r="B864" s="125"/>
      <c r="D864" s="125"/>
      <c r="I864" s="125"/>
      <c r="Z864" s="124"/>
      <c r="AA864" s="74"/>
      <c r="AB864" s="240"/>
      <c r="AD864" s="124"/>
      <c r="AE864" s="238"/>
      <c r="AF864" s="239"/>
      <c r="AG864" s="239"/>
      <c r="AH864" s="124"/>
      <c r="AI864" s="74"/>
      <c r="AJ864" s="240"/>
      <c r="AL864" s="124"/>
      <c r="AM864" s="74"/>
      <c r="AP864" s="125"/>
      <c r="AQ864" s="241"/>
      <c r="AR864" s="125"/>
      <c r="AS864" s="125"/>
      <c r="AT864" s="238"/>
      <c r="AU864" s="125"/>
      <c r="AV864" s="125"/>
      <c r="AW864" s="125"/>
      <c r="AX864" s="238"/>
      <c r="AY864" s="125"/>
      <c r="AZ864" s="125"/>
      <c r="BA864" s="125"/>
    </row>
    <row r="865" spans="2:53" s="123" customFormat="1">
      <c r="B865" s="125"/>
      <c r="D865" s="125"/>
      <c r="I865" s="125"/>
      <c r="Z865" s="124"/>
      <c r="AA865" s="74"/>
      <c r="AB865" s="240"/>
      <c r="AD865" s="124"/>
      <c r="AE865" s="238"/>
      <c r="AF865" s="239"/>
      <c r="AG865" s="239"/>
      <c r="AH865" s="124"/>
      <c r="AI865" s="74"/>
      <c r="AJ865" s="240"/>
      <c r="AL865" s="124"/>
      <c r="AM865" s="74"/>
      <c r="AP865" s="125"/>
      <c r="AQ865" s="241"/>
      <c r="AR865" s="125"/>
      <c r="AS865" s="125"/>
      <c r="AT865" s="238"/>
      <c r="AU865" s="125"/>
      <c r="AV865" s="125"/>
      <c r="AW865" s="125"/>
      <c r="AX865" s="238"/>
      <c r="AY865" s="125"/>
      <c r="AZ865" s="125"/>
      <c r="BA865" s="125"/>
    </row>
    <row r="866" spans="2:53" s="123" customFormat="1">
      <c r="B866" s="125"/>
      <c r="D866" s="125"/>
      <c r="I866" s="125"/>
      <c r="Z866" s="124"/>
      <c r="AA866" s="74"/>
      <c r="AB866" s="240"/>
      <c r="AD866" s="124"/>
      <c r="AE866" s="238"/>
      <c r="AF866" s="239"/>
      <c r="AG866" s="239"/>
      <c r="AH866" s="124"/>
      <c r="AI866" s="74"/>
      <c r="AJ866" s="240"/>
      <c r="AL866" s="124"/>
      <c r="AM866" s="74"/>
      <c r="AP866" s="125"/>
      <c r="AQ866" s="241"/>
      <c r="AR866" s="125"/>
      <c r="AS866" s="125"/>
      <c r="AT866" s="238"/>
      <c r="AU866" s="125"/>
      <c r="AV866" s="125"/>
      <c r="AW866" s="125"/>
      <c r="AX866" s="238"/>
      <c r="AY866" s="125"/>
      <c r="AZ866" s="125"/>
      <c r="BA866" s="125"/>
    </row>
    <row r="867" spans="2:53" s="123" customFormat="1">
      <c r="B867" s="125"/>
      <c r="D867" s="125"/>
      <c r="I867" s="125"/>
      <c r="Z867" s="124"/>
      <c r="AA867" s="74"/>
      <c r="AB867" s="240"/>
      <c r="AD867" s="124"/>
      <c r="AE867" s="238"/>
      <c r="AF867" s="239"/>
      <c r="AG867" s="239"/>
      <c r="AH867" s="124"/>
      <c r="AI867" s="74"/>
      <c r="AJ867" s="240"/>
      <c r="AL867" s="124"/>
      <c r="AM867" s="74"/>
      <c r="AP867" s="125"/>
      <c r="AQ867" s="241"/>
      <c r="AR867" s="125"/>
      <c r="AS867" s="125"/>
      <c r="AT867" s="238"/>
      <c r="AU867" s="125"/>
      <c r="AV867" s="125"/>
      <c r="AW867" s="125"/>
      <c r="AX867" s="238"/>
      <c r="AY867" s="125"/>
      <c r="AZ867" s="125"/>
      <c r="BA867" s="125"/>
    </row>
    <row r="868" spans="2:53" s="123" customFormat="1">
      <c r="B868" s="125"/>
      <c r="D868" s="125"/>
      <c r="I868" s="125"/>
      <c r="Z868" s="124"/>
      <c r="AA868" s="74"/>
      <c r="AB868" s="240"/>
      <c r="AD868" s="124"/>
      <c r="AE868" s="238"/>
      <c r="AF868" s="239"/>
      <c r="AG868" s="239"/>
      <c r="AH868" s="124"/>
      <c r="AI868" s="74"/>
      <c r="AJ868" s="240"/>
      <c r="AL868" s="124"/>
      <c r="AM868" s="74"/>
      <c r="AP868" s="125"/>
      <c r="AQ868" s="241"/>
      <c r="AR868" s="125"/>
      <c r="AS868" s="125"/>
      <c r="AT868" s="238"/>
      <c r="AU868" s="125"/>
      <c r="AV868" s="125"/>
      <c r="AW868" s="125"/>
      <c r="AX868" s="238"/>
      <c r="AY868" s="125"/>
      <c r="AZ868" s="125"/>
      <c r="BA868" s="125"/>
    </row>
    <row r="869" spans="2:53" s="123" customFormat="1">
      <c r="B869" s="125"/>
      <c r="D869" s="125"/>
      <c r="I869" s="125"/>
      <c r="Z869" s="124"/>
      <c r="AA869" s="74"/>
      <c r="AB869" s="240"/>
      <c r="AD869" s="124"/>
      <c r="AE869" s="238"/>
      <c r="AF869" s="239"/>
      <c r="AG869" s="239"/>
      <c r="AH869" s="124"/>
      <c r="AI869" s="74"/>
      <c r="AJ869" s="240"/>
      <c r="AL869" s="124"/>
      <c r="AM869" s="74"/>
      <c r="AP869" s="125"/>
      <c r="AQ869" s="241"/>
      <c r="AR869" s="125"/>
      <c r="AS869" s="125"/>
      <c r="AT869" s="238"/>
      <c r="AU869" s="125"/>
      <c r="AV869" s="125"/>
      <c r="AW869" s="125"/>
      <c r="AX869" s="238"/>
      <c r="AY869" s="125"/>
      <c r="AZ869" s="125"/>
      <c r="BA869" s="125"/>
    </row>
    <row r="870" spans="2:53" s="123" customFormat="1">
      <c r="B870" s="125"/>
      <c r="D870" s="125"/>
      <c r="I870" s="125"/>
      <c r="Z870" s="124"/>
      <c r="AA870" s="74"/>
      <c r="AB870" s="240"/>
      <c r="AD870" s="124"/>
      <c r="AE870" s="238"/>
      <c r="AF870" s="239"/>
      <c r="AG870" s="239"/>
      <c r="AH870" s="124"/>
      <c r="AI870" s="74"/>
      <c r="AJ870" s="240"/>
      <c r="AL870" s="124"/>
      <c r="AM870" s="74"/>
      <c r="AP870" s="125"/>
      <c r="AQ870" s="241"/>
      <c r="AR870" s="125"/>
      <c r="AS870" s="125"/>
      <c r="AT870" s="238"/>
      <c r="AU870" s="125"/>
      <c r="AV870" s="125"/>
      <c r="AW870" s="125"/>
      <c r="AX870" s="238"/>
      <c r="AY870" s="125"/>
      <c r="AZ870" s="125"/>
      <c r="BA870" s="125"/>
    </row>
    <row r="871" spans="2:53" s="123" customFormat="1">
      <c r="B871" s="125"/>
      <c r="D871" s="125"/>
      <c r="I871" s="125"/>
      <c r="Z871" s="124"/>
      <c r="AA871" s="74"/>
      <c r="AB871" s="240"/>
      <c r="AD871" s="124"/>
      <c r="AE871" s="238"/>
      <c r="AF871" s="239"/>
      <c r="AG871" s="239"/>
      <c r="AH871" s="124"/>
      <c r="AI871" s="74"/>
      <c r="AJ871" s="240"/>
      <c r="AL871" s="124"/>
      <c r="AM871" s="74"/>
      <c r="AP871" s="125"/>
      <c r="AQ871" s="241"/>
      <c r="AR871" s="125"/>
      <c r="AS871" s="125"/>
      <c r="AT871" s="238"/>
      <c r="AU871" s="125"/>
      <c r="AV871" s="125"/>
      <c r="AW871" s="125"/>
      <c r="AX871" s="238"/>
      <c r="AY871" s="125"/>
      <c r="AZ871" s="125"/>
      <c r="BA871" s="125"/>
    </row>
    <row r="872" spans="2:53" s="123" customFormat="1">
      <c r="B872" s="125"/>
      <c r="D872" s="125"/>
      <c r="I872" s="125"/>
      <c r="Z872" s="124"/>
      <c r="AA872" s="74"/>
      <c r="AB872" s="240"/>
      <c r="AD872" s="124"/>
      <c r="AE872" s="238"/>
      <c r="AF872" s="239"/>
      <c r="AG872" s="239"/>
      <c r="AH872" s="124"/>
      <c r="AI872" s="74"/>
      <c r="AJ872" s="240"/>
      <c r="AL872" s="124"/>
      <c r="AM872" s="74"/>
      <c r="AP872" s="125"/>
      <c r="AQ872" s="241"/>
      <c r="AR872" s="125"/>
      <c r="AS872" s="125"/>
      <c r="AT872" s="238"/>
      <c r="AU872" s="125"/>
      <c r="AV872" s="125"/>
      <c r="AW872" s="125"/>
      <c r="AX872" s="238"/>
      <c r="AY872" s="125"/>
      <c r="AZ872" s="125"/>
      <c r="BA872" s="125"/>
    </row>
    <row r="873" spans="2:53" s="123" customFormat="1">
      <c r="B873" s="125"/>
      <c r="D873" s="125"/>
      <c r="I873" s="125"/>
      <c r="Z873" s="124"/>
      <c r="AA873" s="74"/>
      <c r="AB873" s="240"/>
      <c r="AD873" s="124"/>
      <c r="AE873" s="238"/>
      <c r="AF873" s="239"/>
      <c r="AG873" s="239"/>
      <c r="AH873" s="124"/>
      <c r="AI873" s="74"/>
      <c r="AJ873" s="240"/>
      <c r="AL873" s="124"/>
      <c r="AM873" s="74"/>
      <c r="AP873" s="125"/>
      <c r="AQ873" s="241"/>
      <c r="AR873" s="125"/>
      <c r="AS873" s="125"/>
      <c r="AT873" s="238"/>
      <c r="AU873" s="125"/>
      <c r="AV873" s="125"/>
      <c r="AW873" s="125"/>
      <c r="AX873" s="238"/>
      <c r="AY873" s="125"/>
      <c r="AZ873" s="125"/>
      <c r="BA873" s="125"/>
    </row>
    <row r="874" spans="2:53" s="123" customFormat="1">
      <c r="B874" s="125"/>
      <c r="D874" s="125"/>
      <c r="I874" s="125"/>
      <c r="Z874" s="124"/>
      <c r="AA874" s="74"/>
      <c r="AB874" s="240"/>
      <c r="AD874" s="124"/>
      <c r="AE874" s="238"/>
      <c r="AF874" s="239"/>
      <c r="AG874" s="239"/>
      <c r="AH874" s="124"/>
      <c r="AI874" s="74"/>
      <c r="AJ874" s="240"/>
      <c r="AL874" s="124"/>
      <c r="AM874" s="74"/>
      <c r="AP874" s="125"/>
      <c r="AQ874" s="241"/>
      <c r="AR874" s="125"/>
      <c r="AS874" s="125"/>
      <c r="AT874" s="238"/>
      <c r="AU874" s="125"/>
      <c r="AV874" s="125"/>
      <c r="AW874" s="125"/>
      <c r="AX874" s="238"/>
      <c r="AY874" s="125"/>
      <c r="AZ874" s="125"/>
      <c r="BA874" s="125"/>
    </row>
    <row r="875" spans="2:53" s="123" customFormat="1">
      <c r="B875" s="125"/>
      <c r="D875" s="125"/>
      <c r="I875" s="125"/>
      <c r="Z875" s="124"/>
      <c r="AA875" s="74"/>
      <c r="AB875" s="240"/>
      <c r="AD875" s="124"/>
      <c r="AE875" s="238"/>
      <c r="AF875" s="239"/>
      <c r="AG875" s="239"/>
      <c r="AH875" s="124"/>
      <c r="AI875" s="74"/>
      <c r="AJ875" s="240"/>
      <c r="AL875" s="124"/>
      <c r="AM875" s="74"/>
      <c r="AP875" s="125"/>
      <c r="AQ875" s="241"/>
      <c r="AR875" s="125"/>
      <c r="AS875" s="125"/>
      <c r="AT875" s="238"/>
      <c r="AU875" s="125"/>
      <c r="AV875" s="125"/>
      <c r="AW875" s="125"/>
      <c r="AX875" s="238"/>
      <c r="AY875" s="125"/>
      <c r="AZ875" s="125"/>
      <c r="BA875" s="125"/>
    </row>
    <row r="876" spans="2:53" s="123" customFormat="1">
      <c r="B876" s="125"/>
      <c r="D876" s="125"/>
      <c r="I876" s="125"/>
      <c r="Z876" s="124"/>
      <c r="AA876" s="74"/>
      <c r="AB876" s="240"/>
      <c r="AD876" s="124"/>
      <c r="AE876" s="238"/>
      <c r="AF876" s="239"/>
      <c r="AG876" s="239"/>
      <c r="AH876" s="124"/>
      <c r="AI876" s="74"/>
      <c r="AJ876" s="240"/>
      <c r="AL876" s="124"/>
      <c r="AM876" s="74"/>
      <c r="AP876" s="125"/>
      <c r="AQ876" s="241"/>
      <c r="AR876" s="125"/>
      <c r="AS876" s="125"/>
      <c r="AT876" s="238"/>
      <c r="AU876" s="125"/>
      <c r="AV876" s="125"/>
      <c r="AW876" s="125"/>
      <c r="AX876" s="238"/>
      <c r="AY876" s="125"/>
      <c r="AZ876" s="125"/>
      <c r="BA876" s="125"/>
    </row>
    <row r="877" spans="2:53" s="123" customFormat="1">
      <c r="B877" s="125"/>
      <c r="D877" s="125"/>
      <c r="I877" s="125"/>
      <c r="Z877" s="124"/>
      <c r="AA877" s="74"/>
      <c r="AB877" s="240"/>
      <c r="AD877" s="124"/>
      <c r="AE877" s="238"/>
      <c r="AF877" s="239"/>
      <c r="AG877" s="239"/>
      <c r="AH877" s="124"/>
      <c r="AI877" s="74"/>
      <c r="AJ877" s="240"/>
      <c r="AL877" s="124"/>
      <c r="AM877" s="74"/>
      <c r="AP877" s="125"/>
      <c r="AQ877" s="241"/>
      <c r="AR877" s="125"/>
      <c r="AS877" s="125"/>
      <c r="AT877" s="238"/>
      <c r="AU877" s="125"/>
      <c r="AV877" s="125"/>
      <c r="AW877" s="125"/>
      <c r="AX877" s="238"/>
      <c r="AY877" s="125"/>
      <c r="AZ877" s="125"/>
      <c r="BA877" s="125"/>
    </row>
    <row r="878" spans="2:53" s="123" customFormat="1">
      <c r="B878" s="125"/>
      <c r="D878" s="125"/>
      <c r="I878" s="125"/>
      <c r="Z878" s="124"/>
      <c r="AA878" s="74"/>
      <c r="AB878" s="240"/>
      <c r="AD878" s="124"/>
      <c r="AE878" s="238"/>
      <c r="AF878" s="239"/>
      <c r="AG878" s="239"/>
      <c r="AH878" s="124"/>
      <c r="AI878" s="74"/>
      <c r="AJ878" s="240"/>
      <c r="AL878" s="124"/>
      <c r="AM878" s="74"/>
      <c r="AP878" s="125"/>
      <c r="AQ878" s="241"/>
      <c r="AR878" s="125"/>
      <c r="AS878" s="125"/>
      <c r="AT878" s="238"/>
      <c r="AU878" s="125"/>
      <c r="AV878" s="125"/>
      <c r="AW878" s="125"/>
      <c r="AX878" s="238"/>
      <c r="AY878" s="125"/>
      <c r="AZ878" s="125"/>
      <c r="BA878" s="125"/>
    </row>
    <row r="879" spans="2:53" s="123" customFormat="1">
      <c r="B879" s="125"/>
      <c r="D879" s="125"/>
      <c r="I879" s="125"/>
      <c r="Z879" s="124"/>
      <c r="AA879" s="74"/>
      <c r="AB879" s="240"/>
      <c r="AD879" s="124"/>
      <c r="AE879" s="238"/>
      <c r="AF879" s="239"/>
      <c r="AG879" s="239"/>
      <c r="AH879" s="124"/>
      <c r="AI879" s="74"/>
      <c r="AJ879" s="240"/>
      <c r="AL879" s="124"/>
      <c r="AM879" s="74"/>
      <c r="AP879" s="125"/>
      <c r="AQ879" s="241"/>
      <c r="AR879" s="125"/>
      <c r="AS879" s="125"/>
      <c r="AT879" s="238"/>
      <c r="AU879" s="125"/>
      <c r="AV879" s="125"/>
      <c r="AW879" s="125"/>
      <c r="AX879" s="238"/>
      <c r="AY879" s="125"/>
      <c r="AZ879" s="125"/>
      <c r="BA879" s="125"/>
    </row>
    <row r="880" spans="2:53" s="123" customFormat="1">
      <c r="B880" s="125"/>
      <c r="D880" s="125"/>
      <c r="I880" s="125"/>
      <c r="Z880" s="124"/>
      <c r="AA880" s="74"/>
      <c r="AB880" s="240"/>
      <c r="AD880" s="124"/>
      <c r="AE880" s="238"/>
      <c r="AF880" s="239"/>
      <c r="AG880" s="239"/>
      <c r="AH880" s="124"/>
      <c r="AI880" s="74"/>
      <c r="AJ880" s="240"/>
      <c r="AL880" s="124"/>
      <c r="AM880" s="74"/>
      <c r="AP880" s="125"/>
      <c r="AQ880" s="241"/>
      <c r="AR880" s="125"/>
      <c r="AS880" s="125"/>
      <c r="AT880" s="238"/>
      <c r="AU880" s="125"/>
      <c r="AV880" s="125"/>
      <c r="AW880" s="125"/>
      <c r="AX880" s="238"/>
      <c r="AY880" s="125"/>
      <c r="AZ880" s="125"/>
      <c r="BA880" s="125"/>
    </row>
    <row r="881" spans="2:53" s="123" customFormat="1">
      <c r="B881" s="125"/>
      <c r="D881" s="125"/>
      <c r="I881" s="125"/>
      <c r="Z881" s="124"/>
      <c r="AA881" s="74"/>
      <c r="AB881" s="240"/>
      <c r="AD881" s="124"/>
      <c r="AE881" s="238"/>
      <c r="AF881" s="239"/>
      <c r="AG881" s="239"/>
      <c r="AH881" s="124"/>
      <c r="AI881" s="74"/>
      <c r="AJ881" s="240"/>
      <c r="AL881" s="124"/>
      <c r="AM881" s="74"/>
      <c r="AP881" s="125"/>
      <c r="AQ881" s="241"/>
      <c r="AR881" s="125"/>
      <c r="AS881" s="125"/>
      <c r="AT881" s="238"/>
      <c r="AU881" s="125"/>
      <c r="AV881" s="125"/>
      <c r="AW881" s="125"/>
      <c r="AX881" s="238"/>
      <c r="AY881" s="125"/>
      <c r="AZ881" s="125"/>
      <c r="BA881" s="125"/>
    </row>
    <row r="882" spans="2:53" s="123" customFormat="1">
      <c r="B882" s="125"/>
      <c r="D882" s="125"/>
      <c r="I882" s="125"/>
      <c r="Z882" s="124"/>
      <c r="AA882" s="74"/>
      <c r="AB882" s="240"/>
      <c r="AD882" s="124"/>
      <c r="AE882" s="238"/>
      <c r="AF882" s="239"/>
      <c r="AG882" s="239"/>
      <c r="AH882" s="124"/>
      <c r="AI882" s="74"/>
      <c r="AJ882" s="240"/>
      <c r="AL882" s="124"/>
      <c r="AM882" s="74"/>
      <c r="AP882" s="125"/>
      <c r="AQ882" s="241"/>
      <c r="AR882" s="125"/>
      <c r="AS882" s="125"/>
      <c r="AT882" s="238"/>
      <c r="AU882" s="125"/>
      <c r="AV882" s="125"/>
      <c r="AW882" s="125"/>
      <c r="AX882" s="238"/>
      <c r="AY882" s="125"/>
      <c r="AZ882" s="125"/>
      <c r="BA882" s="125"/>
    </row>
    <row r="883" spans="2:53" s="123" customFormat="1">
      <c r="B883" s="125"/>
      <c r="D883" s="125"/>
      <c r="I883" s="125"/>
      <c r="Z883" s="124"/>
      <c r="AA883" s="74"/>
      <c r="AB883" s="240"/>
      <c r="AD883" s="124"/>
      <c r="AE883" s="238"/>
      <c r="AF883" s="239"/>
      <c r="AG883" s="239"/>
      <c r="AH883" s="124"/>
      <c r="AI883" s="74"/>
      <c r="AJ883" s="240"/>
      <c r="AL883" s="124"/>
      <c r="AM883" s="74"/>
      <c r="AP883" s="125"/>
      <c r="AQ883" s="241"/>
      <c r="AR883" s="125"/>
      <c r="AS883" s="125"/>
      <c r="AT883" s="238"/>
      <c r="AU883" s="125"/>
      <c r="AV883" s="125"/>
      <c r="AW883" s="125"/>
      <c r="AX883" s="238"/>
      <c r="AY883" s="125"/>
      <c r="AZ883" s="125"/>
      <c r="BA883" s="125"/>
    </row>
    <row r="884" spans="2:53" s="123" customFormat="1">
      <c r="B884" s="125"/>
      <c r="D884" s="125"/>
      <c r="I884" s="125"/>
      <c r="Z884" s="124"/>
      <c r="AA884" s="74"/>
      <c r="AB884" s="240"/>
      <c r="AD884" s="124"/>
      <c r="AE884" s="238"/>
      <c r="AF884" s="239"/>
      <c r="AG884" s="239"/>
      <c r="AH884" s="124"/>
      <c r="AI884" s="74"/>
      <c r="AJ884" s="240"/>
      <c r="AL884" s="124"/>
      <c r="AM884" s="74"/>
      <c r="AP884" s="125"/>
      <c r="AQ884" s="241"/>
      <c r="AR884" s="125"/>
      <c r="AS884" s="125"/>
      <c r="AT884" s="238"/>
      <c r="AU884" s="125"/>
      <c r="AV884" s="125"/>
      <c r="AW884" s="125"/>
      <c r="AX884" s="238"/>
      <c r="AY884" s="125"/>
      <c r="AZ884" s="125"/>
      <c r="BA884" s="125"/>
    </row>
    <row r="885" spans="2:53" s="123" customFormat="1">
      <c r="B885" s="125"/>
      <c r="D885" s="125"/>
      <c r="I885" s="125"/>
      <c r="Z885" s="124"/>
      <c r="AA885" s="74"/>
      <c r="AB885" s="240"/>
      <c r="AD885" s="124"/>
      <c r="AE885" s="238"/>
      <c r="AF885" s="239"/>
      <c r="AG885" s="239"/>
      <c r="AH885" s="124"/>
      <c r="AI885" s="74"/>
      <c r="AJ885" s="240"/>
      <c r="AL885" s="124"/>
      <c r="AM885" s="74"/>
      <c r="AP885" s="125"/>
      <c r="AQ885" s="241"/>
      <c r="AR885" s="125"/>
      <c r="AS885" s="125"/>
      <c r="AT885" s="238"/>
      <c r="AU885" s="125"/>
      <c r="AV885" s="125"/>
      <c r="AW885" s="125"/>
      <c r="AX885" s="238"/>
      <c r="AY885" s="125"/>
      <c r="AZ885" s="125"/>
      <c r="BA885" s="125"/>
    </row>
    <row r="886" spans="2:53" s="123" customFormat="1">
      <c r="B886" s="125"/>
      <c r="D886" s="125"/>
      <c r="I886" s="125"/>
      <c r="Z886" s="124"/>
      <c r="AA886" s="74"/>
      <c r="AB886" s="240"/>
      <c r="AD886" s="124"/>
      <c r="AE886" s="238"/>
      <c r="AF886" s="239"/>
      <c r="AG886" s="239"/>
      <c r="AH886" s="124"/>
      <c r="AI886" s="74"/>
      <c r="AJ886" s="240"/>
      <c r="AL886" s="124"/>
      <c r="AM886" s="74"/>
      <c r="AP886" s="125"/>
      <c r="AQ886" s="241"/>
      <c r="AR886" s="125"/>
      <c r="AS886" s="125"/>
      <c r="AT886" s="238"/>
      <c r="AU886" s="125"/>
      <c r="AV886" s="125"/>
      <c r="AW886" s="125"/>
      <c r="AX886" s="238"/>
      <c r="AY886" s="125"/>
      <c r="AZ886" s="125"/>
      <c r="BA886" s="125"/>
    </row>
    <row r="887" spans="2:53" s="123" customFormat="1">
      <c r="B887" s="125"/>
      <c r="D887" s="125"/>
      <c r="I887" s="125"/>
      <c r="Z887" s="124"/>
      <c r="AA887" s="74"/>
      <c r="AB887" s="240"/>
      <c r="AD887" s="124"/>
      <c r="AE887" s="238"/>
      <c r="AF887" s="239"/>
      <c r="AG887" s="239"/>
      <c r="AH887" s="124"/>
      <c r="AI887" s="74"/>
      <c r="AJ887" s="240"/>
      <c r="AL887" s="124"/>
      <c r="AM887" s="74"/>
      <c r="AP887" s="125"/>
      <c r="AQ887" s="241"/>
      <c r="AR887" s="125"/>
      <c r="AS887" s="125"/>
      <c r="AT887" s="238"/>
      <c r="AU887" s="125"/>
      <c r="AV887" s="125"/>
      <c r="AW887" s="125"/>
      <c r="AX887" s="238"/>
      <c r="AY887" s="125"/>
      <c r="AZ887" s="125"/>
      <c r="BA887" s="125"/>
    </row>
    <row r="888" spans="2:53" s="123" customFormat="1">
      <c r="B888" s="125"/>
      <c r="D888" s="125"/>
      <c r="I888" s="125"/>
      <c r="Z888" s="124"/>
      <c r="AA888" s="74"/>
      <c r="AB888" s="240"/>
      <c r="AD888" s="124"/>
      <c r="AE888" s="238"/>
      <c r="AF888" s="239"/>
      <c r="AG888" s="239"/>
      <c r="AH888" s="124"/>
      <c r="AI888" s="74"/>
      <c r="AJ888" s="240"/>
      <c r="AL888" s="124"/>
      <c r="AM888" s="74"/>
      <c r="AP888" s="125"/>
      <c r="AQ888" s="241"/>
      <c r="AR888" s="125"/>
      <c r="AS888" s="125"/>
      <c r="AT888" s="238"/>
      <c r="AU888" s="125"/>
      <c r="AV888" s="125"/>
      <c r="AW888" s="125"/>
      <c r="AX888" s="238"/>
      <c r="AY888" s="125"/>
      <c r="AZ888" s="125"/>
      <c r="BA888" s="125"/>
    </row>
    <row r="889" spans="2:53" s="123" customFormat="1">
      <c r="B889" s="125"/>
      <c r="D889" s="125"/>
      <c r="I889" s="125"/>
      <c r="Z889" s="124"/>
      <c r="AA889" s="74"/>
      <c r="AB889" s="240"/>
      <c r="AD889" s="124"/>
      <c r="AE889" s="238"/>
      <c r="AF889" s="239"/>
      <c r="AG889" s="239"/>
      <c r="AH889" s="124"/>
      <c r="AI889" s="74"/>
      <c r="AJ889" s="240"/>
      <c r="AL889" s="124"/>
      <c r="AM889" s="74"/>
      <c r="AP889" s="125"/>
      <c r="AQ889" s="241"/>
      <c r="AR889" s="125"/>
      <c r="AS889" s="125"/>
      <c r="AT889" s="238"/>
      <c r="AU889" s="125"/>
      <c r="AV889" s="125"/>
      <c r="AW889" s="125"/>
      <c r="AX889" s="238"/>
      <c r="AY889" s="125"/>
      <c r="AZ889" s="125"/>
      <c r="BA889" s="125"/>
    </row>
    <row r="890" spans="2:53" s="123" customFormat="1">
      <c r="B890" s="125"/>
      <c r="D890" s="125"/>
      <c r="I890" s="125"/>
      <c r="Z890" s="124"/>
      <c r="AA890" s="74"/>
      <c r="AB890" s="240"/>
      <c r="AD890" s="124"/>
      <c r="AE890" s="238"/>
      <c r="AF890" s="239"/>
      <c r="AG890" s="239"/>
      <c r="AH890" s="124"/>
      <c r="AI890" s="74"/>
      <c r="AJ890" s="240"/>
      <c r="AL890" s="124"/>
      <c r="AM890" s="74"/>
      <c r="AP890" s="125"/>
      <c r="AQ890" s="241"/>
      <c r="AR890" s="125"/>
      <c r="AS890" s="125"/>
      <c r="AT890" s="238"/>
      <c r="AU890" s="125"/>
      <c r="AV890" s="125"/>
      <c r="AW890" s="125"/>
      <c r="AX890" s="238"/>
      <c r="AY890" s="125"/>
      <c r="AZ890" s="125"/>
      <c r="BA890" s="125"/>
    </row>
    <row r="891" spans="2:53" s="123" customFormat="1">
      <c r="B891" s="125"/>
      <c r="D891" s="125"/>
      <c r="I891" s="125"/>
      <c r="Z891" s="124"/>
      <c r="AA891" s="74"/>
      <c r="AB891" s="240"/>
      <c r="AD891" s="124"/>
      <c r="AE891" s="238"/>
      <c r="AF891" s="239"/>
      <c r="AG891" s="239"/>
      <c r="AH891" s="124"/>
      <c r="AI891" s="74"/>
      <c r="AJ891" s="240"/>
      <c r="AL891" s="124"/>
      <c r="AM891" s="74"/>
      <c r="AP891" s="125"/>
      <c r="AQ891" s="241"/>
      <c r="AR891" s="125"/>
      <c r="AS891" s="125"/>
      <c r="AT891" s="238"/>
      <c r="AU891" s="125"/>
      <c r="AV891" s="125"/>
      <c r="AW891" s="125"/>
      <c r="AX891" s="238"/>
      <c r="AY891" s="125"/>
      <c r="AZ891" s="125"/>
      <c r="BA891" s="125"/>
    </row>
    <row r="892" spans="2:53" s="123" customFormat="1">
      <c r="B892" s="125"/>
      <c r="D892" s="125"/>
      <c r="I892" s="125"/>
      <c r="Z892" s="124"/>
      <c r="AA892" s="74"/>
      <c r="AB892" s="240"/>
      <c r="AD892" s="124"/>
      <c r="AE892" s="238"/>
      <c r="AF892" s="239"/>
      <c r="AG892" s="239"/>
      <c r="AH892" s="124"/>
      <c r="AI892" s="74"/>
      <c r="AJ892" s="240"/>
      <c r="AL892" s="124"/>
      <c r="AM892" s="74"/>
      <c r="AP892" s="125"/>
      <c r="AQ892" s="241"/>
      <c r="AR892" s="125"/>
      <c r="AS892" s="125"/>
      <c r="AT892" s="238"/>
      <c r="AU892" s="125"/>
      <c r="AV892" s="125"/>
      <c r="AW892" s="125"/>
      <c r="AX892" s="238"/>
      <c r="AY892" s="125"/>
      <c r="AZ892" s="125"/>
      <c r="BA892" s="125"/>
    </row>
    <row r="893" spans="2:53" s="123" customFormat="1">
      <c r="B893" s="125"/>
      <c r="D893" s="125"/>
      <c r="I893" s="125"/>
      <c r="Z893" s="124"/>
      <c r="AA893" s="74"/>
      <c r="AB893" s="240"/>
      <c r="AD893" s="124"/>
      <c r="AE893" s="238"/>
      <c r="AF893" s="239"/>
      <c r="AG893" s="239"/>
      <c r="AH893" s="124"/>
      <c r="AI893" s="74"/>
      <c r="AJ893" s="240"/>
      <c r="AL893" s="124"/>
      <c r="AM893" s="74"/>
      <c r="AP893" s="125"/>
      <c r="AQ893" s="241"/>
      <c r="AR893" s="125"/>
      <c r="AS893" s="125"/>
      <c r="AT893" s="238"/>
      <c r="AU893" s="125"/>
      <c r="AV893" s="125"/>
      <c r="AW893" s="125"/>
      <c r="AX893" s="238"/>
      <c r="AY893" s="125"/>
      <c r="AZ893" s="125"/>
      <c r="BA893" s="125"/>
    </row>
    <row r="894" spans="2:53" s="123" customFormat="1">
      <c r="B894" s="125"/>
      <c r="D894" s="125"/>
      <c r="I894" s="125"/>
      <c r="Z894" s="124"/>
      <c r="AA894" s="74"/>
      <c r="AB894" s="240"/>
      <c r="AD894" s="124"/>
      <c r="AE894" s="238"/>
      <c r="AF894" s="239"/>
      <c r="AG894" s="239"/>
      <c r="AH894" s="124"/>
      <c r="AI894" s="74"/>
      <c r="AJ894" s="240"/>
      <c r="AL894" s="124"/>
      <c r="AM894" s="74"/>
      <c r="AP894" s="125"/>
      <c r="AQ894" s="241"/>
      <c r="AR894" s="125"/>
      <c r="AS894" s="125"/>
      <c r="AT894" s="238"/>
      <c r="AU894" s="125"/>
      <c r="AV894" s="125"/>
      <c r="AW894" s="125"/>
      <c r="AX894" s="238"/>
      <c r="AY894" s="125"/>
      <c r="AZ894" s="125"/>
      <c r="BA894" s="125"/>
    </row>
    <row r="895" spans="2:53" s="123" customFormat="1">
      <c r="B895" s="125"/>
      <c r="D895" s="125"/>
      <c r="I895" s="125"/>
      <c r="Z895" s="124"/>
      <c r="AA895" s="74"/>
      <c r="AB895" s="240"/>
      <c r="AD895" s="124"/>
      <c r="AE895" s="238"/>
      <c r="AF895" s="239"/>
      <c r="AG895" s="239"/>
      <c r="AH895" s="124"/>
      <c r="AI895" s="74"/>
      <c r="AJ895" s="240"/>
      <c r="AL895" s="124"/>
      <c r="AM895" s="74"/>
      <c r="AP895" s="125"/>
      <c r="AQ895" s="241"/>
      <c r="AR895" s="125"/>
      <c r="AS895" s="125"/>
      <c r="AT895" s="238"/>
      <c r="AU895" s="125"/>
      <c r="AV895" s="125"/>
      <c r="AW895" s="125"/>
      <c r="AX895" s="238"/>
      <c r="AY895" s="125"/>
      <c r="AZ895" s="125"/>
      <c r="BA895" s="125"/>
    </row>
    <row r="896" spans="2:53" s="123" customFormat="1">
      <c r="B896" s="125"/>
      <c r="D896" s="125"/>
      <c r="I896" s="125"/>
      <c r="Z896" s="124"/>
      <c r="AA896" s="74"/>
      <c r="AB896" s="240"/>
      <c r="AD896" s="124"/>
      <c r="AE896" s="238"/>
      <c r="AF896" s="239"/>
      <c r="AG896" s="239"/>
      <c r="AH896" s="124"/>
      <c r="AI896" s="74"/>
      <c r="AJ896" s="240"/>
      <c r="AL896" s="124"/>
      <c r="AM896" s="74"/>
      <c r="AP896" s="125"/>
      <c r="AQ896" s="241"/>
      <c r="AR896" s="125"/>
      <c r="AS896" s="125"/>
      <c r="AT896" s="238"/>
      <c r="AU896" s="125"/>
      <c r="AV896" s="125"/>
      <c r="AW896" s="125"/>
      <c r="AX896" s="238"/>
      <c r="AY896" s="125"/>
      <c r="AZ896" s="125"/>
      <c r="BA896" s="125"/>
    </row>
    <row r="897" spans="2:53" s="123" customFormat="1">
      <c r="B897" s="125"/>
      <c r="D897" s="125"/>
      <c r="I897" s="125"/>
      <c r="Z897" s="124"/>
      <c r="AA897" s="74"/>
      <c r="AB897" s="240"/>
      <c r="AD897" s="124"/>
      <c r="AE897" s="238"/>
      <c r="AF897" s="239"/>
      <c r="AG897" s="239"/>
      <c r="AH897" s="124"/>
      <c r="AI897" s="74"/>
      <c r="AJ897" s="240"/>
      <c r="AL897" s="124"/>
      <c r="AM897" s="74"/>
      <c r="AP897" s="125"/>
      <c r="AQ897" s="241"/>
      <c r="AR897" s="125"/>
      <c r="AS897" s="125"/>
      <c r="AT897" s="238"/>
      <c r="AU897" s="125"/>
      <c r="AV897" s="125"/>
      <c r="AW897" s="125"/>
      <c r="AX897" s="238"/>
      <c r="AY897" s="125"/>
      <c r="AZ897" s="125"/>
      <c r="BA897" s="125"/>
    </row>
    <row r="898" spans="2:53" s="123" customFormat="1">
      <c r="B898" s="125"/>
      <c r="D898" s="125"/>
      <c r="I898" s="125"/>
      <c r="Z898" s="124"/>
      <c r="AA898" s="74"/>
      <c r="AB898" s="240"/>
      <c r="AD898" s="124"/>
      <c r="AE898" s="238"/>
      <c r="AF898" s="239"/>
      <c r="AG898" s="239"/>
      <c r="AH898" s="124"/>
      <c r="AI898" s="74"/>
      <c r="AJ898" s="240"/>
      <c r="AL898" s="124"/>
      <c r="AM898" s="74"/>
      <c r="AP898" s="125"/>
      <c r="AQ898" s="241"/>
      <c r="AR898" s="125"/>
      <c r="AS898" s="125"/>
      <c r="AT898" s="238"/>
      <c r="AU898" s="125"/>
      <c r="AV898" s="125"/>
      <c r="AW898" s="125"/>
      <c r="AX898" s="238"/>
      <c r="AY898" s="125"/>
      <c r="AZ898" s="125"/>
      <c r="BA898" s="125"/>
    </row>
    <row r="899" spans="2:53" s="123" customFormat="1">
      <c r="B899" s="125"/>
      <c r="D899" s="125"/>
      <c r="I899" s="125"/>
      <c r="Z899" s="124"/>
      <c r="AA899" s="74"/>
      <c r="AB899" s="240"/>
      <c r="AD899" s="124"/>
      <c r="AE899" s="238"/>
      <c r="AF899" s="239"/>
      <c r="AG899" s="239"/>
      <c r="AH899" s="124"/>
      <c r="AI899" s="74"/>
      <c r="AJ899" s="240"/>
      <c r="AL899" s="124"/>
      <c r="AM899" s="74"/>
      <c r="AP899" s="125"/>
      <c r="AQ899" s="241"/>
      <c r="AR899" s="125"/>
      <c r="AS899" s="125"/>
      <c r="AT899" s="238"/>
      <c r="AU899" s="125"/>
      <c r="AV899" s="125"/>
      <c r="AW899" s="125"/>
      <c r="AX899" s="238"/>
      <c r="AY899" s="125"/>
      <c r="AZ899" s="125"/>
      <c r="BA899" s="125"/>
    </row>
    <row r="900" spans="2:53" s="123" customFormat="1">
      <c r="B900" s="125"/>
      <c r="D900" s="125"/>
      <c r="I900" s="125"/>
      <c r="Z900" s="124"/>
      <c r="AA900" s="74"/>
      <c r="AB900" s="240"/>
      <c r="AD900" s="124"/>
      <c r="AE900" s="238"/>
      <c r="AF900" s="239"/>
      <c r="AG900" s="239"/>
      <c r="AH900" s="124"/>
      <c r="AI900" s="74"/>
      <c r="AJ900" s="240"/>
      <c r="AL900" s="124"/>
      <c r="AM900" s="74"/>
      <c r="AP900" s="125"/>
      <c r="AQ900" s="241"/>
      <c r="AR900" s="125"/>
      <c r="AS900" s="125"/>
      <c r="AT900" s="238"/>
      <c r="AU900" s="125"/>
      <c r="AV900" s="125"/>
      <c r="AW900" s="125"/>
      <c r="AX900" s="238"/>
      <c r="AY900" s="125"/>
      <c r="AZ900" s="125"/>
      <c r="BA900" s="125"/>
    </row>
    <row r="901" spans="2:53" s="123" customFormat="1">
      <c r="B901" s="125"/>
      <c r="D901" s="125"/>
      <c r="I901" s="125"/>
      <c r="Z901" s="124"/>
      <c r="AA901" s="74"/>
      <c r="AB901" s="240"/>
      <c r="AD901" s="124"/>
      <c r="AE901" s="238"/>
      <c r="AF901" s="239"/>
      <c r="AG901" s="239"/>
      <c r="AH901" s="124"/>
      <c r="AI901" s="74"/>
      <c r="AJ901" s="240"/>
      <c r="AL901" s="124"/>
      <c r="AM901" s="74"/>
      <c r="AP901" s="125"/>
      <c r="AQ901" s="241"/>
      <c r="AR901" s="125"/>
      <c r="AS901" s="125"/>
      <c r="AT901" s="238"/>
      <c r="AU901" s="125"/>
      <c r="AV901" s="125"/>
      <c r="AW901" s="125"/>
      <c r="AX901" s="238"/>
      <c r="AY901" s="125"/>
      <c r="AZ901" s="125"/>
      <c r="BA901" s="125"/>
    </row>
    <row r="902" spans="2:53" s="123" customFormat="1">
      <c r="B902" s="125"/>
      <c r="D902" s="125"/>
      <c r="I902" s="125"/>
      <c r="Z902" s="124"/>
      <c r="AA902" s="74"/>
      <c r="AB902" s="240"/>
      <c r="AD902" s="124"/>
      <c r="AE902" s="238"/>
      <c r="AF902" s="239"/>
      <c r="AG902" s="239"/>
      <c r="AH902" s="124"/>
      <c r="AI902" s="74"/>
      <c r="AJ902" s="240"/>
      <c r="AL902" s="124"/>
      <c r="AM902" s="74"/>
      <c r="AP902" s="125"/>
      <c r="AQ902" s="241"/>
      <c r="AR902" s="125"/>
      <c r="AS902" s="125"/>
      <c r="AT902" s="238"/>
      <c r="AU902" s="125"/>
      <c r="AV902" s="125"/>
      <c r="AW902" s="125"/>
      <c r="AX902" s="238"/>
      <c r="AY902" s="125"/>
      <c r="AZ902" s="125"/>
      <c r="BA902" s="125"/>
    </row>
    <row r="903" spans="2:53" s="123" customFormat="1">
      <c r="B903" s="125"/>
      <c r="D903" s="125"/>
      <c r="I903" s="125"/>
      <c r="Z903" s="124"/>
      <c r="AA903" s="74"/>
      <c r="AB903" s="240"/>
      <c r="AD903" s="124"/>
      <c r="AE903" s="238"/>
      <c r="AF903" s="239"/>
      <c r="AG903" s="239"/>
      <c r="AH903" s="124"/>
      <c r="AI903" s="74"/>
      <c r="AJ903" s="240"/>
      <c r="AL903" s="124"/>
      <c r="AM903" s="74"/>
      <c r="AP903" s="125"/>
      <c r="AQ903" s="241"/>
      <c r="AR903" s="125"/>
      <c r="AS903" s="125"/>
      <c r="AT903" s="238"/>
      <c r="AU903" s="125"/>
      <c r="AV903" s="125"/>
      <c r="AW903" s="125"/>
      <c r="AX903" s="238"/>
      <c r="AY903" s="125"/>
      <c r="AZ903" s="125"/>
      <c r="BA903" s="125"/>
    </row>
    <row r="904" spans="2:53" s="123" customFormat="1">
      <c r="B904" s="125"/>
      <c r="D904" s="125"/>
      <c r="I904" s="125"/>
      <c r="Z904" s="124"/>
      <c r="AA904" s="74"/>
      <c r="AB904" s="240"/>
      <c r="AD904" s="124"/>
      <c r="AE904" s="238"/>
      <c r="AF904" s="239"/>
      <c r="AG904" s="239"/>
      <c r="AH904" s="124"/>
      <c r="AI904" s="74"/>
      <c r="AJ904" s="240"/>
      <c r="AL904" s="124"/>
      <c r="AM904" s="74"/>
      <c r="AP904" s="125"/>
      <c r="AQ904" s="241"/>
      <c r="AR904" s="125"/>
      <c r="AS904" s="125"/>
      <c r="AT904" s="238"/>
      <c r="AU904" s="125"/>
      <c r="AV904" s="125"/>
      <c r="AW904" s="125"/>
      <c r="AX904" s="238"/>
      <c r="AY904" s="125"/>
      <c r="AZ904" s="125"/>
      <c r="BA904" s="125"/>
    </row>
    <row r="905" spans="2:53" s="123" customFormat="1">
      <c r="B905" s="125"/>
      <c r="D905" s="125"/>
      <c r="I905" s="125"/>
      <c r="Z905" s="124"/>
      <c r="AA905" s="74"/>
      <c r="AB905" s="240"/>
      <c r="AD905" s="124"/>
      <c r="AE905" s="238"/>
      <c r="AF905" s="239"/>
      <c r="AG905" s="239"/>
      <c r="AH905" s="124"/>
      <c r="AI905" s="74"/>
      <c r="AJ905" s="240"/>
      <c r="AL905" s="124"/>
      <c r="AM905" s="74"/>
      <c r="AP905" s="125"/>
      <c r="AQ905" s="241"/>
      <c r="AR905" s="125"/>
      <c r="AS905" s="125"/>
      <c r="AT905" s="238"/>
      <c r="AU905" s="125"/>
      <c r="AV905" s="125"/>
      <c r="AW905" s="125"/>
      <c r="AX905" s="238"/>
      <c r="AY905" s="125"/>
      <c r="AZ905" s="125"/>
      <c r="BA905" s="125"/>
    </row>
    <row r="906" spans="2:53" s="123" customFormat="1">
      <c r="B906" s="125"/>
      <c r="D906" s="125"/>
      <c r="I906" s="125"/>
      <c r="Z906" s="124"/>
      <c r="AA906" s="74"/>
      <c r="AB906" s="240"/>
      <c r="AD906" s="124"/>
      <c r="AE906" s="238"/>
      <c r="AF906" s="239"/>
      <c r="AG906" s="239"/>
      <c r="AH906" s="124"/>
      <c r="AI906" s="74"/>
      <c r="AJ906" s="240"/>
      <c r="AL906" s="124"/>
      <c r="AM906" s="74"/>
      <c r="AP906" s="125"/>
      <c r="AQ906" s="241"/>
      <c r="AR906" s="125"/>
      <c r="AS906" s="125"/>
      <c r="AT906" s="238"/>
      <c r="AU906" s="125"/>
      <c r="AV906" s="125"/>
      <c r="AW906" s="125"/>
      <c r="AX906" s="238"/>
      <c r="AY906" s="125"/>
      <c r="AZ906" s="125"/>
      <c r="BA906" s="125"/>
    </row>
    <row r="907" spans="2:53" s="123" customFormat="1">
      <c r="B907" s="125"/>
      <c r="D907" s="125"/>
      <c r="I907" s="125"/>
      <c r="Z907" s="124"/>
      <c r="AA907" s="74"/>
      <c r="AB907" s="240"/>
      <c r="AD907" s="124"/>
      <c r="AE907" s="238"/>
      <c r="AF907" s="239"/>
      <c r="AG907" s="239"/>
      <c r="AH907" s="124"/>
      <c r="AI907" s="74"/>
      <c r="AJ907" s="240"/>
      <c r="AL907" s="124"/>
      <c r="AM907" s="74"/>
      <c r="AP907" s="125"/>
      <c r="AQ907" s="241"/>
      <c r="AR907" s="125"/>
      <c r="AS907" s="125"/>
      <c r="AT907" s="238"/>
      <c r="AU907" s="125"/>
      <c r="AV907" s="125"/>
      <c r="AW907" s="125"/>
      <c r="AX907" s="238"/>
      <c r="AY907" s="125"/>
      <c r="AZ907" s="125"/>
      <c r="BA907" s="125"/>
    </row>
    <row r="908" spans="2:53" s="123" customFormat="1">
      <c r="B908" s="125"/>
      <c r="D908" s="125"/>
      <c r="I908" s="125"/>
      <c r="Z908" s="124"/>
      <c r="AA908" s="74"/>
      <c r="AB908" s="240"/>
      <c r="AD908" s="124"/>
      <c r="AE908" s="238"/>
      <c r="AF908" s="239"/>
      <c r="AG908" s="239"/>
      <c r="AH908" s="124"/>
      <c r="AI908" s="74"/>
      <c r="AJ908" s="240"/>
      <c r="AL908" s="124"/>
      <c r="AM908" s="74"/>
      <c r="AP908" s="125"/>
      <c r="AQ908" s="241"/>
      <c r="AR908" s="125"/>
      <c r="AS908" s="125"/>
      <c r="AT908" s="238"/>
      <c r="AU908" s="125"/>
      <c r="AV908" s="125"/>
      <c r="AW908" s="125"/>
      <c r="AX908" s="238"/>
      <c r="AY908" s="125"/>
      <c r="AZ908" s="125"/>
      <c r="BA908" s="125"/>
    </row>
    <row r="909" spans="2:53" s="123" customFormat="1">
      <c r="B909" s="125"/>
      <c r="D909" s="125"/>
      <c r="I909" s="125"/>
      <c r="Z909" s="124"/>
      <c r="AA909" s="74"/>
      <c r="AB909" s="240"/>
      <c r="AD909" s="124"/>
      <c r="AE909" s="238"/>
      <c r="AF909" s="239"/>
      <c r="AG909" s="239"/>
      <c r="AH909" s="124"/>
      <c r="AI909" s="74"/>
      <c r="AJ909" s="240"/>
      <c r="AL909" s="124"/>
      <c r="AM909" s="74"/>
      <c r="AP909" s="125"/>
      <c r="AQ909" s="241"/>
      <c r="AR909" s="125"/>
      <c r="AS909" s="125"/>
      <c r="AT909" s="238"/>
      <c r="AU909" s="125"/>
      <c r="AV909" s="125"/>
      <c r="AW909" s="125"/>
      <c r="AX909" s="238"/>
      <c r="AY909" s="125"/>
      <c r="AZ909" s="125"/>
      <c r="BA909" s="125"/>
    </row>
    <row r="910" spans="2:53" s="123" customFormat="1">
      <c r="B910" s="125"/>
      <c r="D910" s="125"/>
      <c r="I910" s="125"/>
      <c r="Z910" s="124"/>
      <c r="AA910" s="74"/>
      <c r="AB910" s="240"/>
      <c r="AD910" s="124"/>
      <c r="AE910" s="238"/>
      <c r="AF910" s="239"/>
      <c r="AG910" s="239"/>
      <c r="AH910" s="124"/>
      <c r="AI910" s="74"/>
      <c r="AJ910" s="240"/>
      <c r="AL910" s="124"/>
      <c r="AM910" s="74"/>
      <c r="AP910" s="125"/>
      <c r="AQ910" s="241"/>
      <c r="AR910" s="125"/>
      <c r="AS910" s="125"/>
      <c r="AT910" s="238"/>
      <c r="AU910" s="125"/>
      <c r="AV910" s="125"/>
      <c r="AW910" s="125"/>
      <c r="AX910" s="238"/>
      <c r="AY910" s="125"/>
      <c r="AZ910" s="125"/>
      <c r="BA910" s="125"/>
    </row>
    <row r="911" spans="2:53" s="123" customFormat="1">
      <c r="B911" s="125"/>
      <c r="D911" s="125"/>
      <c r="I911" s="125"/>
      <c r="Z911" s="124"/>
      <c r="AA911" s="74"/>
      <c r="AB911" s="240"/>
      <c r="AD911" s="124"/>
      <c r="AE911" s="238"/>
      <c r="AF911" s="239"/>
      <c r="AG911" s="239"/>
      <c r="AH911" s="124"/>
      <c r="AI911" s="74"/>
      <c r="AJ911" s="240"/>
      <c r="AL911" s="124"/>
      <c r="AM911" s="74"/>
      <c r="AP911" s="125"/>
      <c r="AQ911" s="241"/>
      <c r="AR911" s="125"/>
      <c r="AS911" s="125"/>
      <c r="AT911" s="238"/>
      <c r="AU911" s="125"/>
      <c r="AV911" s="125"/>
      <c r="AW911" s="125"/>
      <c r="AX911" s="238"/>
      <c r="AY911" s="125"/>
      <c r="AZ911" s="125"/>
      <c r="BA911" s="125"/>
    </row>
    <row r="912" spans="2:53" s="123" customFormat="1">
      <c r="B912" s="125"/>
      <c r="D912" s="125"/>
      <c r="I912" s="125"/>
      <c r="Z912" s="124"/>
      <c r="AA912" s="74"/>
      <c r="AB912" s="240"/>
      <c r="AD912" s="124"/>
      <c r="AE912" s="238"/>
      <c r="AF912" s="239"/>
      <c r="AG912" s="239"/>
      <c r="AH912" s="124"/>
      <c r="AI912" s="74"/>
      <c r="AJ912" s="240"/>
      <c r="AL912" s="124"/>
      <c r="AM912" s="74"/>
      <c r="AP912" s="125"/>
      <c r="AQ912" s="241"/>
      <c r="AR912" s="125"/>
      <c r="AS912" s="125"/>
      <c r="AT912" s="238"/>
      <c r="AU912" s="125"/>
      <c r="AV912" s="125"/>
      <c r="AW912" s="125"/>
      <c r="AX912" s="238"/>
      <c r="AY912" s="125"/>
      <c r="AZ912" s="125"/>
      <c r="BA912" s="125"/>
    </row>
    <row r="913" spans="2:53" s="123" customFormat="1">
      <c r="B913" s="125"/>
      <c r="D913" s="125"/>
      <c r="I913" s="125"/>
      <c r="Z913" s="124"/>
      <c r="AA913" s="74"/>
      <c r="AB913" s="240"/>
      <c r="AD913" s="124"/>
      <c r="AE913" s="238"/>
      <c r="AF913" s="239"/>
      <c r="AG913" s="239"/>
      <c r="AH913" s="124"/>
      <c r="AI913" s="74"/>
      <c r="AJ913" s="240"/>
      <c r="AL913" s="124"/>
      <c r="AM913" s="74"/>
      <c r="AP913" s="125"/>
      <c r="AQ913" s="241"/>
      <c r="AR913" s="125"/>
      <c r="AS913" s="125"/>
      <c r="AT913" s="238"/>
      <c r="AU913" s="125"/>
      <c r="AV913" s="125"/>
      <c r="AW913" s="125"/>
      <c r="AX913" s="238"/>
      <c r="AY913" s="125"/>
      <c r="AZ913" s="125"/>
      <c r="BA913" s="125"/>
    </row>
    <row r="914" spans="2:53" s="123" customFormat="1">
      <c r="B914" s="125"/>
      <c r="D914" s="125"/>
      <c r="I914" s="125"/>
      <c r="Z914" s="124"/>
      <c r="AA914" s="74"/>
      <c r="AB914" s="240"/>
      <c r="AD914" s="124"/>
      <c r="AE914" s="238"/>
      <c r="AF914" s="239"/>
      <c r="AG914" s="239"/>
      <c r="AH914" s="124"/>
      <c r="AI914" s="74"/>
      <c r="AJ914" s="240"/>
      <c r="AL914" s="124"/>
      <c r="AM914" s="74"/>
      <c r="AP914" s="125"/>
      <c r="AQ914" s="241"/>
      <c r="AR914" s="125"/>
      <c r="AS914" s="125"/>
      <c r="AT914" s="238"/>
      <c r="AU914" s="125"/>
      <c r="AV914" s="125"/>
      <c r="AW914" s="125"/>
      <c r="AX914" s="238"/>
      <c r="AY914" s="125"/>
      <c r="AZ914" s="125"/>
      <c r="BA914" s="125"/>
    </row>
    <row r="915" spans="2:53" s="123" customFormat="1">
      <c r="B915" s="125"/>
      <c r="D915" s="125"/>
      <c r="I915" s="125"/>
      <c r="Z915" s="124"/>
      <c r="AA915" s="74"/>
      <c r="AB915" s="240"/>
      <c r="AD915" s="124"/>
      <c r="AE915" s="238"/>
      <c r="AF915" s="239"/>
      <c r="AG915" s="239"/>
      <c r="AH915" s="124"/>
      <c r="AI915" s="74"/>
      <c r="AJ915" s="240"/>
      <c r="AL915" s="124"/>
      <c r="AM915" s="74"/>
      <c r="AP915" s="125"/>
      <c r="AQ915" s="241"/>
      <c r="AR915" s="125"/>
      <c r="AS915" s="125"/>
      <c r="AT915" s="238"/>
      <c r="AU915" s="125"/>
      <c r="AV915" s="125"/>
      <c r="AW915" s="125"/>
      <c r="AX915" s="238"/>
      <c r="AY915" s="125"/>
      <c r="AZ915" s="125"/>
      <c r="BA915" s="125"/>
    </row>
    <row r="916" spans="2:53" s="123" customFormat="1">
      <c r="B916" s="125"/>
      <c r="D916" s="125"/>
      <c r="I916" s="125"/>
      <c r="Z916" s="124"/>
      <c r="AA916" s="74"/>
      <c r="AB916" s="240"/>
      <c r="AD916" s="124"/>
      <c r="AE916" s="238"/>
      <c r="AF916" s="239"/>
      <c r="AG916" s="239"/>
      <c r="AH916" s="124"/>
      <c r="AI916" s="74"/>
      <c r="AJ916" s="240"/>
      <c r="AL916" s="124"/>
      <c r="AM916" s="74"/>
      <c r="AP916" s="125"/>
      <c r="AQ916" s="241"/>
      <c r="AR916" s="125"/>
      <c r="AS916" s="125"/>
      <c r="AT916" s="238"/>
      <c r="AU916" s="125"/>
      <c r="AV916" s="125"/>
      <c r="AW916" s="125"/>
      <c r="AX916" s="238"/>
      <c r="AY916" s="125"/>
      <c r="AZ916" s="125"/>
      <c r="BA916" s="125"/>
    </row>
    <row r="917" spans="2:53" s="123" customFormat="1">
      <c r="B917" s="125"/>
      <c r="D917" s="125"/>
      <c r="I917" s="125"/>
      <c r="Z917" s="124"/>
      <c r="AA917" s="74"/>
      <c r="AB917" s="240"/>
      <c r="AD917" s="124"/>
      <c r="AE917" s="238"/>
      <c r="AF917" s="239"/>
      <c r="AG917" s="239"/>
      <c r="AH917" s="124"/>
      <c r="AI917" s="74"/>
      <c r="AJ917" s="240"/>
      <c r="AL917" s="124"/>
      <c r="AM917" s="74"/>
      <c r="AP917" s="125"/>
      <c r="AQ917" s="241"/>
      <c r="AR917" s="125"/>
      <c r="AS917" s="125"/>
      <c r="AT917" s="238"/>
      <c r="AU917" s="125"/>
      <c r="AV917" s="125"/>
      <c r="AW917" s="125"/>
      <c r="AX917" s="238"/>
      <c r="AY917" s="125"/>
      <c r="AZ917" s="125"/>
      <c r="BA917" s="125"/>
    </row>
    <row r="918" spans="2:53" s="123" customFormat="1">
      <c r="B918" s="125"/>
      <c r="D918" s="125"/>
      <c r="I918" s="125"/>
      <c r="Z918" s="124"/>
      <c r="AA918" s="74"/>
      <c r="AB918" s="240"/>
      <c r="AD918" s="124"/>
      <c r="AE918" s="238"/>
      <c r="AF918" s="239"/>
      <c r="AG918" s="239"/>
      <c r="AH918" s="124"/>
      <c r="AI918" s="74"/>
      <c r="AJ918" s="240"/>
      <c r="AL918" s="124"/>
      <c r="AM918" s="74"/>
      <c r="AP918" s="125"/>
      <c r="AQ918" s="241"/>
      <c r="AR918" s="125"/>
      <c r="AS918" s="125"/>
      <c r="AT918" s="238"/>
      <c r="AU918" s="125"/>
      <c r="AV918" s="125"/>
      <c r="AW918" s="125"/>
      <c r="AX918" s="238"/>
      <c r="AY918" s="125"/>
      <c r="AZ918" s="125"/>
      <c r="BA918" s="125"/>
    </row>
    <row r="919" spans="2:53" s="123" customFormat="1">
      <c r="B919" s="125"/>
      <c r="D919" s="125"/>
      <c r="I919" s="125"/>
      <c r="Z919" s="124"/>
      <c r="AA919" s="74"/>
      <c r="AB919" s="240"/>
      <c r="AD919" s="124"/>
      <c r="AE919" s="238"/>
      <c r="AF919" s="239"/>
      <c r="AG919" s="239"/>
      <c r="AH919" s="124"/>
      <c r="AI919" s="74"/>
      <c r="AJ919" s="240"/>
      <c r="AL919" s="124"/>
      <c r="AM919" s="74"/>
      <c r="AP919" s="125"/>
      <c r="AQ919" s="241"/>
      <c r="AR919" s="125"/>
      <c r="AS919" s="125"/>
      <c r="AT919" s="238"/>
      <c r="AU919" s="125"/>
      <c r="AV919" s="125"/>
      <c r="AW919" s="125"/>
      <c r="AX919" s="238"/>
      <c r="AY919" s="125"/>
      <c r="AZ919" s="125"/>
      <c r="BA919" s="125"/>
    </row>
    <row r="920" spans="2:53" s="123" customFormat="1">
      <c r="B920" s="125"/>
      <c r="D920" s="125"/>
      <c r="I920" s="125"/>
      <c r="Z920" s="124"/>
      <c r="AA920" s="74"/>
      <c r="AB920" s="240"/>
      <c r="AD920" s="124"/>
      <c r="AE920" s="238"/>
      <c r="AF920" s="239"/>
      <c r="AG920" s="239"/>
      <c r="AH920" s="124"/>
      <c r="AI920" s="74"/>
      <c r="AJ920" s="240"/>
      <c r="AL920" s="124"/>
      <c r="AM920" s="74"/>
      <c r="AP920" s="125"/>
      <c r="AQ920" s="241"/>
      <c r="AR920" s="125"/>
      <c r="AS920" s="125"/>
      <c r="AT920" s="238"/>
      <c r="AU920" s="125"/>
      <c r="AV920" s="125"/>
      <c r="AW920" s="125"/>
      <c r="AX920" s="238"/>
      <c r="AY920" s="125"/>
      <c r="AZ920" s="125"/>
      <c r="BA920" s="125"/>
    </row>
    <row r="921" spans="2:53" s="123" customFormat="1">
      <c r="B921" s="125"/>
      <c r="D921" s="125"/>
      <c r="I921" s="125"/>
      <c r="Z921" s="124"/>
      <c r="AA921" s="74"/>
      <c r="AB921" s="240"/>
      <c r="AD921" s="124"/>
      <c r="AE921" s="238"/>
      <c r="AF921" s="239"/>
      <c r="AG921" s="239"/>
      <c r="AH921" s="124"/>
      <c r="AI921" s="74"/>
      <c r="AJ921" s="240"/>
      <c r="AL921" s="124"/>
      <c r="AM921" s="74"/>
      <c r="AP921" s="125"/>
      <c r="AQ921" s="241"/>
      <c r="AR921" s="125"/>
      <c r="AS921" s="125"/>
      <c r="AT921" s="238"/>
      <c r="AU921" s="125"/>
      <c r="AV921" s="125"/>
      <c r="AW921" s="125"/>
      <c r="AX921" s="238"/>
      <c r="AY921" s="125"/>
      <c r="AZ921" s="125"/>
      <c r="BA921" s="125"/>
    </row>
    <row r="922" spans="2:53" s="123" customFormat="1">
      <c r="B922" s="125"/>
      <c r="D922" s="125"/>
      <c r="I922" s="125"/>
      <c r="Z922" s="124"/>
      <c r="AA922" s="74"/>
      <c r="AB922" s="240"/>
      <c r="AD922" s="124"/>
      <c r="AE922" s="238"/>
      <c r="AF922" s="239"/>
      <c r="AG922" s="239"/>
      <c r="AH922" s="124"/>
      <c r="AI922" s="74"/>
      <c r="AJ922" s="240"/>
      <c r="AL922" s="124"/>
      <c r="AM922" s="74"/>
      <c r="AP922" s="125"/>
      <c r="AQ922" s="241"/>
      <c r="AR922" s="125"/>
      <c r="AS922" s="125"/>
      <c r="AT922" s="238"/>
      <c r="AU922" s="125"/>
      <c r="AV922" s="125"/>
      <c r="AW922" s="125"/>
      <c r="AX922" s="238"/>
      <c r="AY922" s="125"/>
      <c r="AZ922" s="125"/>
      <c r="BA922" s="125"/>
    </row>
    <row r="923" spans="2:53" s="123" customFormat="1">
      <c r="B923" s="125"/>
      <c r="D923" s="125"/>
      <c r="I923" s="125"/>
      <c r="Z923" s="124"/>
      <c r="AA923" s="74"/>
      <c r="AB923" s="240"/>
      <c r="AD923" s="124"/>
      <c r="AE923" s="238"/>
      <c r="AF923" s="239"/>
      <c r="AG923" s="239"/>
      <c r="AH923" s="124"/>
      <c r="AI923" s="74"/>
      <c r="AJ923" s="240"/>
      <c r="AL923" s="124"/>
      <c r="AM923" s="74"/>
      <c r="AP923" s="125"/>
      <c r="AQ923" s="241"/>
      <c r="AR923" s="125"/>
      <c r="AS923" s="125"/>
      <c r="AT923" s="238"/>
      <c r="AU923" s="125"/>
      <c r="AV923" s="125"/>
      <c r="AW923" s="125"/>
      <c r="AX923" s="238"/>
      <c r="AY923" s="125"/>
      <c r="AZ923" s="125"/>
      <c r="BA923" s="125"/>
    </row>
    <row r="924" spans="2:53" s="123" customFormat="1">
      <c r="B924" s="125"/>
      <c r="D924" s="125"/>
      <c r="I924" s="125"/>
      <c r="Z924" s="124"/>
      <c r="AA924" s="74"/>
      <c r="AB924" s="240"/>
      <c r="AD924" s="124"/>
      <c r="AE924" s="238"/>
      <c r="AF924" s="239"/>
      <c r="AG924" s="239"/>
      <c r="AH924" s="124"/>
      <c r="AI924" s="74"/>
      <c r="AJ924" s="240"/>
      <c r="AL924" s="124"/>
      <c r="AM924" s="74"/>
      <c r="AP924" s="125"/>
      <c r="AQ924" s="241"/>
      <c r="AR924" s="125"/>
      <c r="AS924" s="125"/>
      <c r="AT924" s="238"/>
      <c r="AU924" s="125"/>
      <c r="AV924" s="125"/>
      <c r="AW924" s="125"/>
      <c r="AX924" s="238"/>
      <c r="AY924" s="125"/>
      <c r="AZ924" s="125"/>
      <c r="BA924" s="125"/>
    </row>
    <row r="925" spans="2:53" s="123" customFormat="1">
      <c r="B925" s="125"/>
      <c r="D925" s="125"/>
      <c r="I925" s="125"/>
      <c r="Z925" s="124"/>
      <c r="AA925" s="74"/>
      <c r="AB925" s="240"/>
      <c r="AD925" s="124"/>
      <c r="AE925" s="238"/>
      <c r="AF925" s="239"/>
      <c r="AG925" s="239"/>
      <c r="AH925" s="124"/>
      <c r="AI925" s="74"/>
      <c r="AJ925" s="240"/>
      <c r="AL925" s="124"/>
      <c r="AM925" s="74"/>
      <c r="AP925" s="125"/>
      <c r="AQ925" s="241"/>
      <c r="AR925" s="125"/>
      <c r="AS925" s="125"/>
      <c r="AT925" s="238"/>
      <c r="AU925" s="125"/>
      <c r="AV925" s="125"/>
      <c r="AW925" s="125"/>
      <c r="AX925" s="238"/>
      <c r="AY925" s="125"/>
      <c r="AZ925" s="125"/>
      <c r="BA925" s="125"/>
    </row>
    <row r="926" spans="2:53" s="123" customFormat="1">
      <c r="B926" s="125"/>
      <c r="D926" s="125"/>
      <c r="I926" s="125"/>
      <c r="Z926" s="124"/>
      <c r="AA926" s="74"/>
      <c r="AB926" s="240"/>
      <c r="AD926" s="124"/>
      <c r="AE926" s="238"/>
      <c r="AF926" s="239"/>
      <c r="AG926" s="239"/>
      <c r="AH926" s="124"/>
      <c r="AI926" s="74"/>
      <c r="AJ926" s="240"/>
      <c r="AL926" s="124"/>
      <c r="AM926" s="74"/>
      <c r="AP926" s="125"/>
      <c r="AQ926" s="241"/>
      <c r="AR926" s="125"/>
      <c r="AS926" s="125"/>
      <c r="AT926" s="238"/>
      <c r="AU926" s="125"/>
      <c r="AV926" s="125"/>
      <c r="AW926" s="125"/>
      <c r="AX926" s="238"/>
      <c r="AY926" s="125"/>
      <c r="AZ926" s="125"/>
      <c r="BA926" s="125"/>
    </row>
    <row r="927" spans="2:53" s="123" customFormat="1">
      <c r="B927" s="125"/>
      <c r="D927" s="125"/>
      <c r="I927" s="125"/>
      <c r="Z927" s="124"/>
      <c r="AA927" s="74"/>
      <c r="AB927" s="240"/>
      <c r="AD927" s="124"/>
      <c r="AE927" s="238"/>
      <c r="AF927" s="239"/>
      <c r="AG927" s="239"/>
      <c r="AH927" s="124"/>
      <c r="AI927" s="74"/>
      <c r="AJ927" s="240"/>
      <c r="AL927" s="124"/>
      <c r="AM927" s="74"/>
      <c r="AP927" s="125"/>
      <c r="AQ927" s="241"/>
      <c r="AR927" s="125"/>
      <c r="AS927" s="125"/>
      <c r="AT927" s="238"/>
      <c r="AU927" s="125"/>
      <c r="AV927" s="125"/>
      <c r="AW927" s="125"/>
      <c r="AX927" s="238"/>
      <c r="AY927" s="125"/>
      <c r="AZ927" s="125"/>
      <c r="BA927" s="125"/>
    </row>
    <row r="928" spans="2:53" s="123" customFormat="1">
      <c r="B928" s="125"/>
      <c r="D928" s="125"/>
      <c r="I928" s="125"/>
      <c r="Z928" s="124"/>
      <c r="AA928" s="74"/>
      <c r="AB928" s="240"/>
      <c r="AD928" s="124"/>
      <c r="AE928" s="238"/>
      <c r="AF928" s="239"/>
      <c r="AG928" s="239"/>
      <c r="AH928" s="124"/>
      <c r="AI928" s="74"/>
      <c r="AJ928" s="240"/>
      <c r="AL928" s="124"/>
      <c r="AM928" s="74"/>
      <c r="AP928" s="125"/>
      <c r="AQ928" s="241"/>
      <c r="AR928" s="125"/>
      <c r="AS928" s="125"/>
      <c r="AT928" s="238"/>
      <c r="AU928" s="125"/>
      <c r="AV928" s="125"/>
      <c r="AW928" s="125"/>
      <c r="AX928" s="238"/>
      <c r="AY928" s="125"/>
      <c r="AZ928" s="125"/>
      <c r="BA928" s="125"/>
    </row>
    <row r="929" spans="2:53" s="123" customFormat="1">
      <c r="B929" s="125"/>
      <c r="D929" s="125"/>
      <c r="I929" s="125"/>
      <c r="Z929" s="124"/>
      <c r="AA929" s="74"/>
      <c r="AB929" s="240"/>
      <c r="AD929" s="124"/>
      <c r="AE929" s="238"/>
      <c r="AF929" s="239"/>
      <c r="AG929" s="239"/>
      <c r="AH929" s="124"/>
      <c r="AI929" s="74"/>
      <c r="AJ929" s="240"/>
      <c r="AL929" s="124"/>
      <c r="AM929" s="74"/>
      <c r="AP929" s="125"/>
      <c r="AQ929" s="241"/>
      <c r="AR929" s="125"/>
      <c r="AS929" s="125"/>
      <c r="AT929" s="238"/>
      <c r="AU929" s="125"/>
      <c r="AV929" s="125"/>
      <c r="AW929" s="125"/>
      <c r="AX929" s="238"/>
      <c r="AY929" s="125"/>
      <c r="AZ929" s="125"/>
      <c r="BA929" s="125"/>
    </row>
    <row r="930" spans="2:53" s="123" customFormat="1">
      <c r="B930" s="125"/>
      <c r="D930" s="125"/>
      <c r="I930" s="125"/>
      <c r="Z930" s="124"/>
      <c r="AA930" s="74"/>
      <c r="AB930" s="240"/>
      <c r="AD930" s="124"/>
      <c r="AE930" s="238"/>
      <c r="AF930" s="239"/>
      <c r="AG930" s="239"/>
      <c r="AH930" s="124"/>
      <c r="AI930" s="74"/>
      <c r="AJ930" s="240"/>
      <c r="AL930" s="124"/>
      <c r="AM930" s="74"/>
      <c r="AP930" s="125"/>
      <c r="AQ930" s="241"/>
      <c r="AR930" s="125"/>
      <c r="AS930" s="125"/>
      <c r="AT930" s="238"/>
      <c r="AU930" s="125"/>
      <c r="AV930" s="125"/>
      <c r="AW930" s="125"/>
      <c r="AX930" s="238"/>
      <c r="AY930" s="125"/>
      <c r="AZ930" s="125"/>
      <c r="BA930" s="125"/>
    </row>
    <row r="931" spans="2:53" s="123" customFormat="1">
      <c r="B931" s="125"/>
      <c r="D931" s="125"/>
      <c r="I931" s="125"/>
      <c r="Z931" s="124"/>
      <c r="AA931" s="74"/>
      <c r="AB931" s="240"/>
      <c r="AD931" s="124"/>
      <c r="AE931" s="238"/>
      <c r="AF931" s="239"/>
      <c r="AG931" s="239"/>
      <c r="AH931" s="124"/>
      <c r="AI931" s="74"/>
      <c r="AJ931" s="240"/>
      <c r="AL931" s="124"/>
      <c r="AM931" s="74"/>
      <c r="AP931" s="125"/>
      <c r="AQ931" s="241"/>
      <c r="AR931" s="125"/>
      <c r="AS931" s="125"/>
      <c r="AT931" s="238"/>
      <c r="AU931" s="125"/>
      <c r="AV931" s="125"/>
      <c r="AW931" s="125"/>
      <c r="AX931" s="238"/>
      <c r="AY931" s="125"/>
      <c r="AZ931" s="125"/>
      <c r="BA931" s="125"/>
    </row>
    <row r="932" spans="2:53" s="123" customFormat="1">
      <c r="B932" s="125"/>
      <c r="D932" s="125"/>
      <c r="I932" s="125"/>
      <c r="Z932" s="124"/>
      <c r="AA932" s="74"/>
      <c r="AB932" s="240"/>
      <c r="AD932" s="124"/>
      <c r="AE932" s="238"/>
      <c r="AF932" s="239"/>
      <c r="AG932" s="239"/>
      <c r="AH932" s="124"/>
      <c r="AI932" s="74"/>
      <c r="AJ932" s="240"/>
      <c r="AL932" s="124"/>
      <c r="AM932" s="74"/>
      <c r="AP932" s="125"/>
      <c r="AQ932" s="241"/>
      <c r="AR932" s="125"/>
      <c r="AS932" s="125"/>
      <c r="AT932" s="238"/>
      <c r="AU932" s="125"/>
      <c r="AV932" s="125"/>
      <c r="AW932" s="125"/>
      <c r="AX932" s="238"/>
      <c r="AY932" s="125"/>
      <c r="AZ932" s="125"/>
      <c r="BA932" s="125"/>
    </row>
    <row r="933" spans="2:53" s="123" customFormat="1">
      <c r="B933" s="125"/>
      <c r="D933" s="125"/>
      <c r="I933" s="125"/>
      <c r="Z933" s="124"/>
      <c r="AA933" s="74"/>
      <c r="AB933" s="240"/>
      <c r="AD933" s="124"/>
      <c r="AE933" s="238"/>
      <c r="AF933" s="239"/>
      <c r="AG933" s="239"/>
      <c r="AH933" s="124"/>
      <c r="AI933" s="74"/>
      <c r="AJ933" s="240"/>
      <c r="AL933" s="124"/>
      <c r="AM933" s="74"/>
      <c r="AP933" s="125"/>
      <c r="AQ933" s="241"/>
      <c r="AR933" s="125"/>
      <c r="AS933" s="125"/>
      <c r="AT933" s="238"/>
      <c r="AU933" s="125"/>
      <c r="AV933" s="125"/>
      <c r="AW933" s="125"/>
      <c r="AX933" s="238"/>
      <c r="AY933" s="125"/>
      <c r="AZ933" s="125"/>
      <c r="BA933" s="125"/>
    </row>
    <row r="934" spans="2:53" s="123" customFormat="1">
      <c r="B934" s="125"/>
      <c r="D934" s="125"/>
      <c r="I934" s="125"/>
      <c r="Z934" s="124"/>
      <c r="AA934" s="74"/>
      <c r="AB934" s="240"/>
      <c r="AD934" s="124"/>
      <c r="AE934" s="238"/>
      <c r="AF934" s="239"/>
      <c r="AG934" s="239"/>
      <c r="AH934" s="124"/>
      <c r="AI934" s="74"/>
      <c r="AJ934" s="240"/>
      <c r="AL934" s="124"/>
      <c r="AM934" s="74"/>
      <c r="AP934" s="125"/>
      <c r="AQ934" s="241"/>
      <c r="AR934" s="125"/>
      <c r="AS934" s="125"/>
      <c r="AT934" s="238"/>
      <c r="AU934" s="125"/>
      <c r="AV934" s="125"/>
      <c r="AW934" s="125"/>
      <c r="AX934" s="238"/>
      <c r="AY934" s="125"/>
      <c r="AZ934" s="125"/>
      <c r="BA934" s="125"/>
    </row>
    <row r="935" spans="2:53" s="123" customFormat="1">
      <c r="B935" s="125"/>
      <c r="D935" s="125"/>
      <c r="I935" s="125"/>
      <c r="Z935" s="124"/>
      <c r="AA935" s="74"/>
      <c r="AB935" s="240"/>
      <c r="AD935" s="124"/>
      <c r="AE935" s="238"/>
      <c r="AF935" s="239"/>
      <c r="AG935" s="239"/>
      <c r="AH935" s="124"/>
      <c r="AI935" s="74"/>
      <c r="AJ935" s="240"/>
      <c r="AL935" s="124"/>
      <c r="AM935" s="74"/>
      <c r="AP935" s="125"/>
      <c r="AQ935" s="241"/>
      <c r="AR935" s="125"/>
      <c r="AS935" s="125"/>
      <c r="AT935" s="238"/>
      <c r="AU935" s="125"/>
      <c r="AV935" s="125"/>
      <c r="AW935" s="125"/>
      <c r="AX935" s="238"/>
      <c r="AY935" s="125"/>
      <c r="AZ935" s="125"/>
      <c r="BA935" s="125"/>
    </row>
    <row r="936" spans="2:53" s="123" customFormat="1">
      <c r="B936" s="125"/>
      <c r="D936" s="125"/>
      <c r="I936" s="125"/>
      <c r="Z936" s="124"/>
      <c r="AA936" s="74"/>
      <c r="AB936" s="240"/>
      <c r="AD936" s="124"/>
      <c r="AE936" s="238"/>
      <c r="AF936" s="239"/>
      <c r="AG936" s="239"/>
      <c r="AH936" s="124"/>
      <c r="AI936" s="74"/>
      <c r="AJ936" s="240"/>
      <c r="AL936" s="124"/>
      <c r="AM936" s="74"/>
      <c r="AP936" s="125"/>
      <c r="AQ936" s="241"/>
      <c r="AR936" s="125"/>
      <c r="AS936" s="125"/>
      <c r="AT936" s="238"/>
      <c r="AU936" s="125"/>
      <c r="AV936" s="125"/>
      <c r="AW936" s="125"/>
      <c r="AX936" s="238"/>
      <c r="AY936" s="125"/>
      <c r="AZ936" s="125"/>
      <c r="BA936" s="125"/>
    </row>
    <row r="937" spans="2:53" s="123" customFormat="1">
      <c r="B937" s="125"/>
      <c r="D937" s="125"/>
      <c r="I937" s="125"/>
      <c r="Z937" s="124"/>
      <c r="AA937" s="74"/>
      <c r="AB937" s="240"/>
      <c r="AD937" s="124"/>
      <c r="AE937" s="238"/>
      <c r="AF937" s="239"/>
      <c r="AG937" s="239"/>
      <c r="AH937" s="124"/>
      <c r="AI937" s="74"/>
      <c r="AJ937" s="240"/>
      <c r="AL937" s="124"/>
      <c r="AM937" s="74"/>
      <c r="AP937" s="125"/>
      <c r="AQ937" s="241"/>
      <c r="AR937" s="125"/>
      <c r="AS937" s="125"/>
      <c r="AT937" s="238"/>
      <c r="AU937" s="125"/>
      <c r="AV937" s="125"/>
      <c r="AW937" s="125"/>
      <c r="AX937" s="238"/>
      <c r="AY937" s="125"/>
      <c r="AZ937" s="125"/>
      <c r="BA937" s="125"/>
    </row>
    <row r="938" spans="2:53" s="123" customFormat="1">
      <c r="B938" s="125"/>
      <c r="D938" s="125"/>
      <c r="I938" s="125"/>
      <c r="Z938" s="124"/>
      <c r="AA938" s="74"/>
      <c r="AB938" s="240"/>
      <c r="AD938" s="124"/>
      <c r="AE938" s="238"/>
      <c r="AF938" s="239"/>
      <c r="AG938" s="239"/>
      <c r="AH938" s="124"/>
      <c r="AI938" s="74"/>
      <c r="AJ938" s="240"/>
      <c r="AL938" s="124"/>
      <c r="AM938" s="74"/>
      <c r="AP938" s="125"/>
      <c r="AQ938" s="241"/>
      <c r="AR938" s="125"/>
      <c r="AS938" s="125"/>
      <c r="AT938" s="238"/>
      <c r="AU938" s="125"/>
      <c r="AV938" s="125"/>
      <c r="AW938" s="125"/>
      <c r="AX938" s="238"/>
      <c r="AY938" s="125"/>
      <c r="AZ938" s="125"/>
      <c r="BA938" s="125"/>
    </row>
    <row r="939" spans="2:53" s="123" customFormat="1">
      <c r="B939" s="125"/>
      <c r="D939" s="125"/>
      <c r="I939" s="125"/>
      <c r="Z939" s="124"/>
      <c r="AA939" s="74"/>
      <c r="AB939" s="240"/>
      <c r="AD939" s="124"/>
      <c r="AE939" s="238"/>
      <c r="AF939" s="239"/>
      <c r="AG939" s="239"/>
      <c r="AH939" s="124"/>
      <c r="AI939" s="74"/>
      <c r="AJ939" s="240"/>
      <c r="AL939" s="124"/>
      <c r="AM939" s="74"/>
      <c r="AP939" s="125"/>
      <c r="AQ939" s="241"/>
      <c r="AR939" s="125"/>
      <c r="AS939" s="125"/>
      <c r="AT939" s="238"/>
      <c r="AU939" s="125"/>
      <c r="AV939" s="125"/>
      <c r="AW939" s="125"/>
      <c r="AX939" s="238"/>
      <c r="AY939" s="125"/>
      <c r="AZ939" s="125"/>
      <c r="BA939" s="125"/>
    </row>
    <row r="940" spans="2:53" s="123" customFormat="1">
      <c r="B940" s="125"/>
      <c r="D940" s="125"/>
      <c r="I940" s="125"/>
      <c r="Z940" s="124"/>
      <c r="AA940" s="74"/>
      <c r="AB940" s="240"/>
      <c r="AD940" s="124"/>
      <c r="AE940" s="238"/>
      <c r="AF940" s="239"/>
      <c r="AG940" s="239"/>
      <c r="AH940" s="124"/>
      <c r="AI940" s="74"/>
      <c r="AJ940" s="240"/>
      <c r="AL940" s="124"/>
      <c r="AM940" s="74"/>
      <c r="AP940" s="125"/>
      <c r="AQ940" s="241"/>
      <c r="AR940" s="125"/>
      <c r="AS940" s="125"/>
      <c r="AT940" s="238"/>
      <c r="AU940" s="125"/>
      <c r="AV940" s="125"/>
      <c r="AW940" s="125"/>
      <c r="AX940" s="238"/>
      <c r="AY940" s="125"/>
      <c r="AZ940" s="125"/>
      <c r="BA940" s="125"/>
    </row>
    <row r="941" spans="2:53" s="123" customFormat="1">
      <c r="B941" s="125"/>
      <c r="D941" s="125"/>
      <c r="I941" s="125"/>
      <c r="Z941" s="124"/>
      <c r="AA941" s="74"/>
      <c r="AB941" s="240"/>
      <c r="AD941" s="124"/>
      <c r="AE941" s="238"/>
      <c r="AF941" s="239"/>
      <c r="AG941" s="239"/>
      <c r="AH941" s="124"/>
      <c r="AI941" s="74"/>
      <c r="AJ941" s="240"/>
      <c r="AL941" s="124"/>
      <c r="AM941" s="74"/>
      <c r="AP941" s="125"/>
      <c r="AQ941" s="241"/>
      <c r="AR941" s="125"/>
      <c r="AS941" s="125"/>
      <c r="AT941" s="238"/>
      <c r="AU941" s="125"/>
      <c r="AV941" s="125"/>
      <c r="AW941" s="125"/>
      <c r="AX941" s="238"/>
      <c r="AY941" s="125"/>
      <c r="AZ941" s="125"/>
      <c r="BA941" s="125"/>
    </row>
    <row r="942" spans="2:53" s="123" customFormat="1">
      <c r="B942" s="125"/>
      <c r="D942" s="125"/>
      <c r="I942" s="125"/>
      <c r="Z942" s="124"/>
      <c r="AA942" s="74"/>
      <c r="AB942" s="240"/>
      <c r="AD942" s="124"/>
      <c r="AE942" s="238"/>
      <c r="AF942" s="239"/>
      <c r="AG942" s="239"/>
      <c r="AH942" s="124"/>
      <c r="AI942" s="74"/>
      <c r="AJ942" s="240"/>
      <c r="AL942" s="124"/>
      <c r="AM942" s="74"/>
      <c r="AP942" s="125"/>
      <c r="AQ942" s="241"/>
      <c r="AR942" s="125"/>
      <c r="AS942" s="125"/>
      <c r="AT942" s="238"/>
      <c r="AU942" s="125"/>
      <c r="AV942" s="125"/>
      <c r="AW942" s="125"/>
      <c r="AX942" s="238"/>
      <c r="AY942" s="125"/>
      <c r="AZ942" s="125"/>
      <c r="BA942" s="125"/>
    </row>
    <row r="943" spans="2:53" s="123" customFormat="1">
      <c r="B943" s="125"/>
      <c r="D943" s="125"/>
      <c r="I943" s="125"/>
      <c r="Z943" s="124"/>
      <c r="AA943" s="74"/>
      <c r="AB943" s="240"/>
      <c r="AD943" s="124"/>
      <c r="AE943" s="238"/>
      <c r="AF943" s="239"/>
      <c r="AG943" s="239"/>
      <c r="AH943" s="124"/>
      <c r="AI943" s="74"/>
      <c r="AJ943" s="240"/>
      <c r="AL943" s="124"/>
      <c r="AM943" s="74"/>
      <c r="AP943" s="125"/>
      <c r="AQ943" s="241"/>
      <c r="AR943" s="125"/>
      <c r="AS943" s="125"/>
      <c r="AT943" s="238"/>
      <c r="AU943" s="125"/>
      <c r="AV943" s="125"/>
      <c r="AW943" s="125"/>
      <c r="AX943" s="238"/>
      <c r="AY943" s="125"/>
      <c r="AZ943" s="125"/>
      <c r="BA943" s="125"/>
    </row>
    <row r="944" spans="2:53" s="123" customFormat="1">
      <c r="B944" s="125"/>
      <c r="D944" s="125"/>
      <c r="I944" s="125"/>
      <c r="Z944" s="124"/>
      <c r="AA944" s="74"/>
      <c r="AB944" s="240"/>
      <c r="AD944" s="124"/>
      <c r="AE944" s="238"/>
      <c r="AF944" s="239"/>
      <c r="AG944" s="239"/>
      <c r="AH944" s="124"/>
      <c r="AI944" s="74"/>
      <c r="AJ944" s="240"/>
      <c r="AL944" s="124"/>
      <c r="AM944" s="74"/>
      <c r="AP944" s="125"/>
      <c r="AQ944" s="241"/>
      <c r="AR944" s="125"/>
      <c r="AS944" s="125"/>
      <c r="AT944" s="238"/>
      <c r="AU944" s="125"/>
      <c r="AV944" s="125"/>
      <c r="AW944" s="125"/>
      <c r="AX944" s="238"/>
      <c r="AY944" s="125"/>
      <c r="AZ944" s="125"/>
      <c r="BA944" s="125"/>
    </row>
    <row r="945" spans="2:53" s="123" customFormat="1">
      <c r="B945" s="125"/>
      <c r="D945" s="125"/>
      <c r="I945" s="125"/>
      <c r="Z945" s="124"/>
      <c r="AA945" s="74"/>
      <c r="AB945" s="240"/>
      <c r="AD945" s="124"/>
      <c r="AE945" s="238"/>
      <c r="AF945" s="239"/>
      <c r="AG945" s="239"/>
      <c r="AH945" s="124"/>
      <c r="AI945" s="74"/>
      <c r="AJ945" s="240"/>
      <c r="AL945" s="124"/>
      <c r="AM945" s="74"/>
      <c r="AP945" s="125"/>
      <c r="AQ945" s="241"/>
      <c r="AR945" s="125"/>
      <c r="AS945" s="125"/>
      <c r="AT945" s="238"/>
      <c r="AU945" s="125"/>
      <c r="AV945" s="125"/>
      <c r="AW945" s="125"/>
      <c r="AX945" s="238"/>
      <c r="AY945" s="125"/>
      <c r="AZ945" s="125"/>
      <c r="BA945" s="125"/>
    </row>
    <row r="946" spans="2:53" s="123" customFormat="1">
      <c r="B946" s="125"/>
      <c r="D946" s="125"/>
      <c r="I946" s="125"/>
      <c r="Z946" s="124"/>
      <c r="AA946" s="74"/>
      <c r="AB946" s="240"/>
      <c r="AD946" s="124"/>
      <c r="AE946" s="238"/>
      <c r="AF946" s="239"/>
      <c r="AG946" s="239"/>
      <c r="AH946" s="124"/>
      <c r="AI946" s="74"/>
      <c r="AJ946" s="240"/>
      <c r="AL946" s="124"/>
      <c r="AM946" s="74"/>
      <c r="AP946" s="125"/>
      <c r="AQ946" s="241"/>
      <c r="AR946" s="125"/>
      <c r="AS946" s="125"/>
      <c r="AT946" s="238"/>
      <c r="AU946" s="125"/>
      <c r="AV946" s="125"/>
      <c r="AW946" s="125"/>
      <c r="AX946" s="238"/>
      <c r="AY946" s="125"/>
      <c r="AZ946" s="125"/>
      <c r="BA946" s="125"/>
    </row>
    <row r="947" spans="2:53" s="123" customFormat="1">
      <c r="B947" s="125"/>
      <c r="D947" s="125"/>
      <c r="I947" s="125"/>
      <c r="Z947" s="124"/>
      <c r="AA947" s="74"/>
      <c r="AB947" s="240"/>
      <c r="AD947" s="124"/>
      <c r="AE947" s="238"/>
      <c r="AF947" s="239"/>
      <c r="AG947" s="239"/>
      <c r="AH947" s="124"/>
      <c r="AI947" s="74"/>
      <c r="AJ947" s="240"/>
      <c r="AL947" s="124"/>
      <c r="AM947" s="74"/>
      <c r="AP947" s="125"/>
      <c r="AQ947" s="241"/>
      <c r="AR947" s="125"/>
      <c r="AS947" s="125"/>
      <c r="AT947" s="238"/>
      <c r="AU947" s="125"/>
      <c r="AV947" s="125"/>
      <c r="AW947" s="125"/>
      <c r="AX947" s="238"/>
      <c r="AY947" s="125"/>
      <c r="AZ947" s="125"/>
      <c r="BA947" s="125"/>
    </row>
    <row r="948" spans="2:53" s="123" customFormat="1">
      <c r="B948" s="125"/>
      <c r="D948" s="125"/>
      <c r="I948" s="125"/>
      <c r="Z948" s="124"/>
      <c r="AA948" s="74"/>
      <c r="AB948" s="240"/>
      <c r="AD948" s="124"/>
      <c r="AE948" s="238"/>
      <c r="AF948" s="239"/>
      <c r="AG948" s="239"/>
      <c r="AH948" s="124"/>
      <c r="AI948" s="74"/>
      <c r="AJ948" s="240"/>
      <c r="AL948" s="124"/>
      <c r="AM948" s="74"/>
      <c r="AP948" s="125"/>
      <c r="AQ948" s="241"/>
      <c r="AR948" s="125"/>
      <c r="AS948" s="125"/>
      <c r="AT948" s="238"/>
      <c r="AU948" s="125"/>
      <c r="AV948" s="125"/>
      <c r="AW948" s="125"/>
      <c r="AX948" s="238"/>
      <c r="AY948" s="125"/>
      <c r="AZ948" s="125"/>
      <c r="BA948" s="125"/>
    </row>
    <row r="949" spans="2:53" s="123" customFormat="1">
      <c r="B949" s="125"/>
      <c r="D949" s="125"/>
      <c r="I949" s="125"/>
      <c r="Z949" s="124"/>
      <c r="AA949" s="74"/>
      <c r="AB949" s="240"/>
      <c r="AD949" s="124"/>
      <c r="AE949" s="238"/>
      <c r="AF949" s="239"/>
      <c r="AG949" s="239"/>
      <c r="AH949" s="124"/>
      <c r="AI949" s="74"/>
      <c r="AJ949" s="240"/>
      <c r="AL949" s="124"/>
      <c r="AM949" s="74"/>
      <c r="AP949" s="125"/>
      <c r="AQ949" s="241"/>
      <c r="AR949" s="125"/>
      <c r="AS949" s="125"/>
      <c r="AT949" s="238"/>
      <c r="AU949" s="125"/>
      <c r="AV949" s="125"/>
      <c r="AW949" s="125"/>
      <c r="AX949" s="238"/>
      <c r="AY949" s="125"/>
      <c r="AZ949" s="125"/>
      <c r="BA949" s="125"/>
    </row>
    <row r="950" spans="2:53" s="123" customFormat="1">
      <c r="B950" s="125"/>
      <c r="D950" s="125"/>
      <c r="I950" s="125"/>
      <c r="Z950" s="124"/>
      <c r="AA950" s="74"/>
      <c r="AB950" s="240"/>
      <c r="AD950" s="124"/>
      <c r="AE950" s="238"/>
      <c r="AF950" s="239"/>
      <c r="AG950" s="239"/>
      <c r="AH950" s="124"/>
      <c r="AI950" s="74"/>
      <c r="AJ950" s="240"/>
      <c r="AL950" s="124"/>
      <c r="AM950" s="74"/>
      <c r="AP950" s="125"/>
      <c r="AQ950" s="241"/>
      <c r="AR950" s="125"/>
      <c r="AS950" s="125"/>
      <c r="AT950" s="238"/>
      <c r="AU950" s="125"/>
      <c r="AV950" s="125"/>
      <c r="AW950" s="125"/>
      <c r="AX950" s="238"/>
      <c r="AY950" s="125"/>
      <c r="AZ950" s="125"/>
      <c r="BA950" s="125"/>
    </row>
    <row r="951" spans="2:53" s="123" customFormat="1">
      <c r="B951" s="125"/>
      <c r="D951" s="125"/>
      <c r="I951" s="125"/>
      <c r="Z951" s="124"/>
      <c r="AA951" s="74"/>
      <c r="AB951" s="240"/>
      <c r="AD951" s="124"/>
      <c r="AE951" s="238"/>
      <c r="AF951" s="239"/>
      <c r="AG951" s="239"/>
      <c r="AH951" s="124"/>
      <c r="AI951" s="74"/>
      <c r="AJ951" s="240"/>
      <c r="AL951" s="124"/>
      <c r="AM951" s="74"/>
      <c r="AP951" s="125"/>
      <c r="AQ951" s="241"/>
      <c r="AR951" s="125"/>
      <c r="AS951" s="125"/>
      <c r="AT951" s="238"/>
      <c r="AU951" s="125"/>
      <c r="AV951" s="125"/>
      <c r="AW951" s="125"/>
      <c r="AX951" s="238"/>
      <c r="AY951" s="125"/>
      <c r="AZ951" s="125"/>
      <c r="BA951" s="125"/>
    </row>
    <row r="952" spans="2:53" s="123" customFormat="1">
      <c r="B952" s="125"/>
      <c r="D952" s="125"/>
      <c r="I952" s="125"/>
      <c r="Z952" s="124"/>
      <c r="AA952" s="74"/>
      <c r="AB952" s="240"/>
      <c r="AD952" s="124"/>
      <c r="AE952" s="238"/>
      <c r="AF952" s="239"/>
      <c r="AG952" s="239"/>
      <c r="AH952" s="124"/>
      <c r="AI952" s="74"/>
      <c r="AJ952" s="240"/>
      <c r="AL952" s="124"/>
      <c r="AM952" s="74"/>
      <c r="AP952" s="125"/>
      <c r="AQ952" s="241"/>
      <c r="AR952" s="125"/>
      <c r="AS952" s="125"/>
      <c r="AT952" s="238"/>
      <c r="AU952" s="125"/>
      <c r="AV952" s="125"/>
      <c r="AW952" s="125"/>
      <c r="AX952" s="238"/>
      <c r="AY952" s="125"/>
      <c r="AZ952" s="125"/>
      <c r="BA952" s="125"/>
    </row>
    <row r="953" spans="2:53" s="123" customFormat="1">
      <c r="B953" s="125"/>
      <c r="D953" s="125"/>
      <c r="I953" s="125"/>
      <c r="Z953" s="124"/>
      <c r="AA953" s="74"/>
      <c r="AB953" s="240"/>
      <c r="AD953" s="124"/>
      <c r="AE953" s="238"/>
      <c r="AF953" s="239"/>
      <c r="AG953" s="239"/>
      <c r="AH953" s="124"/>
      <c r="AI953" s="74"/>
      <c r="AJ953" s="240"/>
      <c r="AL953" s="124"/>
      <c r="AM953" s="74"/>
      <c r="AP953" s="125"/>
      <c r="AQ953" s="241"/>
      <c r="AR953" s="125"/>
      <c r="AS953" s="125"/>
      <c r="AT953" s="238"/>
      <c r="AU953" s="125"/>
      <c r="AV953" s="125"/>
      <c r="AW953" s="125"/>
      <c r="AX953" s="238"/>
      <c r="AY953" s="125"/>
      <c r="AZ953" s="125"/>
      <c r="BA953" s="125"/>
    </row>
    <row r="954" spans="2:53" s="123" customFormat="1">
      <c r="B954" s="125"/>
      <c r="D954" s="125"/>
      <c r="I954" s="125"/>
      <c r="Z954" s="124"/>
      <c r="AA954" s="74"/>
      <c r="AB954" s="240"/>
      <c r="AD954" s="124"/>
      <c r="AE954" s="238"/>
      <c r="AF954" s="239"/>
      <c r="AG954" s="239"/>
      <c r="AH954" s="124"/>
      <c r="AI954" s="74"/>
      <c r="AJ954" s="240"/>
      <c r="AL954" s="124"/>
      <c r="AM954" s="74"/>
      <c r="AP954" s="125"/>
      <c r="AQ954" s="241"/>
      <c r="AR954" s="125"/>
      <c r="AS954" s="125"/>
      <c r="AT954" s="238"/>
      <c r="AU954" s="125"/>
      <c r="AV954" s="125"/>
      <c r="AW954" s="125"/>
      <c r="AX954" s="238"/>
      <c r="AY954" s="125"/>
      <c r="AZ954" s="125"/>
      <c r="BA954" s="125"/>
    </row>
    <row r="955" spans="2:53" s="123" customFormat="1">
      <c r="B955" s="125"/>
      <c r="D955" s="125"/>
      <c r="I955" s="125"/>
      <c r="Z955" s="124"/>
      <c r="AA955" s="74"/>
      <c r="AB955" s="240"/>
      <c r="AD955" s="124"/>
      <c r="AE955" s="238"/>
      <c r="AF955" s="239"/>
      <c r="AG955" s="239"/>
      <c r="AH955" s="124"/>
      <c r="AI955" s="74"/>
      <c r="AJ955" s="240"/>
      <c r="AL955" s="124"/>
      <c r="AM955" s="74"/>
      <c r="AP955" s="125"/>
      <c r="AQ955" s="241"/>
      <c r="AR955" s="125"/>
      <c r="AS955" s="125"/>
      <c r="AT955" s="238"/>
      <c r="AU955" s="125"/>
      <c r="AV955" s="125"/>
      <c r="AW955" s="125"/>
      <c r="AX955" s="238"/>
      <c r="AY955" s="125"/>
      <c r="AZ955" s="125"/>
      <c r="BA955" s="125"/>
    </row>
    <row r="956" spans="2:53" s="123" customFormat="1">
      <c r="B956" s="125"/>
      <c r="D956" s="125"/>
      <c r="I956" s="125"/>
      <c r="Z956" s="124"/>
      <c r="AA956" s="74"/>
      <c r="AB956" s="240"/>
      <c r="AD956" s="124"/>
      <c r="AE956" s="238"/>
      <c r="AF956" s="239"/>
      <c r="AG956" s="239"/>
      <c r="AH956" s="124"/>
      <c r="AI956" s="74"/>
      <c r="AJ956" s="240"/>
      <c r="AL956" s="124"/>
      <c r="AM956" s="74"/>
      <c r="AP956" s="125"/>
      <c r="AQ956" s="241"/>
      <c r="AR956" s="125"/>
      <c r="AS956" s="125"/>
      <c r="AT956" s="238"/>
      <c r="AU956" s="125"/>
      <c r="AV956" s="125"/>
      <c r="AW956" s="125"/>
      <c r="AX956" s="238"/>
      <c r="AY956" s="125"/>
      <c r="AZ956" s="125"/>
      <c r="BA956" s="125"/>
    </row>
    <row r="957" spans="2:53" s="123" customFormat="1">
      <c r="B957" s="125"/>
      <c r="D957" s="125"/>
      <c r="I957" s="125"/>
      <c r="Z957" s="124"/>
      <c r="AA957" s="74"/>
      <c r="AB957" s="240"/>
      <c r="AD957" s="124"/>
      <c r="AE957" s="238"/>
      <c r="AF957" s="239"/>
      <c r="AG957" s="239"/>
      <c r="AH957" s="124"/>
      <c r="AI957" s="74"/>
      <c r="AJ957" s="240"/>
      <c r="AL957" s="124"/>
      <c r="AM957" s="74"/>
      <c r="AP957" s="125"/>
      <c r="AQ957" s="241"/>
      <c r="AR957" s="125"/>
      <c r="AS957" s="125"/>
      <c r="AT957" s="238"/>
      <c r="AU957" s="125"/>
      <c r="AV957" s="125"/>
      <c r="AW957" s="125"/>
      <c r="AX957" s="238"/>
      <c r="AY957" s="125"/>
      <c r="AZ957" s="125"/>
      <c r="BA957" s="125"/>
    </row>
    <row r="958" spans="2:53" s="123" customFormat="1">
      <c r="B958" s="125"/>
      <c r="D958" s="125"/>
      <c r="I958" s="125"/>
      <c r="Z958" s="124"/>
      <c r="AA958" s="74"/>
      <c r="AB958" s="240"/>
      <c r="AD958" s="124"/>
      <c r="AE958" s="238"/>
      <c r="AF958" s="239"/>
      <c r="AG958" s="239"/>
      <c r="AH958" s="124"/>
      <c r="AI958" s="74"/>
      <c r="AJ958" s="240"/>
      <c r="AL958" s="124"/>
      <c r="AM958" s="74"/>
      <c r="AP958" s="125"/>
      <c r="AQ958" s="241"/>
      <c r="AR958" s="125"/>
      <c r="AS958" s="125"/>
      <c r="AT958" s="238"/>
      <c r="AU958" s="125"/>
      <c r="AV958" s="125"/>
      <c r="AW958" s="125"/>
      <c r="AX958" s="238"/>
      <c r="AY958" s="125"/>
      <c r="AZ958" s="125"/>
      <c r="BA958" s="125"/>
    </row>
    <row r="959" spans="2:53" s="123" customFormat="1">
      <c r="B959" s="125"/>
      <c r="D959" s="125"/>
      <c r="I959" s="125"/>
      <c r="Z959" s="124"/>
      <c r="AA959" s="74"/>
      <c r="AB959" s="240"/>
      <c r="AD959" s="124"/>
      <c r="AE959" s="238"/>
      <c r="AF959" s="239"/>
      <c r="AG959" s="239"/>
      <c r="AH959" s="124"/>
      <c r="AI959" s="74"/>
      <c r="AJ959" s="240"/>
      <c r="AL959" s="124"/>
      <c r="AM959" s="74"/>
      <c r="AP959" s="125"/>
      <c r="AQ959" s="241"/>
      <c r="AR959" s="125"/>
      <c r="AS959" s="125"/>
      <c r="AT959" s="238"/>
      <c r="AU959" s="125"/>
      <c r="AV959" s="125"/>
      <c r="AW959" s="125"/>
      <c r="AX959" s="238"/>
      <c r="AY959" s="125"/>
      <c r="AZ959" s="125"/>
      <c r="BA959" s="125"/>
    </row>
    <row r="960" spans="2:53" s="123" customFormat="1">
      <c r="B960" s="125"/>
      <c r="D960" s="125"/>
      <c r="I960" s="125"/>
      <c r="Z960" s="124"/>
      <c r="AA960" s="74"/>
      <c r="AB960" s="240"/>
      <c r="AD960" s="124"/>
      <c r="AE960" s="238"/>
      <c r="AF960" s="239"/>
      <c r="AG960" s="239"/>
      <c r="AH960" s="124"/>
      <c r="AI960" s="74"/>
      <c r="AJ960" s="240"/>
      <c r="AL960" s="124"/>
      <c r="AM960" s="74"/>
      <c r="AP960" s="125"/>
      <c r="AQ960" s="241"/>
      <c r="AR960" s="125"/>
      <c r="AS960" s="125"/>
      <c r="AT960" s="238"/>
      <c r="AU960" s="125"/>
      <c r="AV960" s="125"/>
      <c r="AW960" s="125"/>
      <c r="AX960" s="238"/>
      <c r="AY960" s="125"/>
      <c r="AZ960" s="125"/>
      <c r="BA960" s="125"/>
    </row>
    <row r="961" spans="2:53" s="123" customFormat="1">
      <c r="B961" s="125"/>
      <c r="D961" s="125"/>
      <c r="I961" s="125"/>
      <c r="Z961" s="124"/>
      <c r="AA961" s="74"/>
      <c r="AB961" s="240"/>
      <c r="AD961" s="124"/>
      <c r="AE961" s="238"/>
      <c r="AF961" s="239"/>
      <c r="AG961" s="239"/>
      <c r="AH961" s="124"/>
      <c r="AI961" s="74"/>
      <c r="AJ961" s="240"/>
      <c r="AL961" s="124"/>
      <c r="AM961" s="74"/>
      <c r="AP961" s="125"/>
      <c r="AQ961" s="241"/>
      <c r="AR961" s="125"/>
      <c r="AS961" s="125"/>
      <c r="AT961" s="238"/>
      <c r="AU961" s="125"/>
      <c r="AV961" s="125"/>
      <c r="AW961" s="125"/>
      <c r="AX961" s="238"/>
      <c r="AY961" s="125"/>
      <c r="AZ961" s="125"/>
      <c r="BA961" s="125"/>
    </row>
    <row r="962" spans="2:53" s="123" customFormat="1">
      <c r="B962" s="125"/>
      <c r="D962" s="125"/>
      <c r="I962" s="125"/>
      <c r="Z962" s="124"/>
      <c r="AA962" s="74"/>
      <c r="AB962" s="240"/>
      <c r="AD962" s="124"/>
      <c r="AE962" s="238"/>
      <c r="AF962" s="239"/>
      <c r="AG962" s="239"/>
      <c r="AH962" s="124"/>
      <c r="AI962" s="74"/>
      <c r="AJ962" s="240"/>
      <c r="AL962" s="124"/>
      <c r="AM962" s="74"/>
      <c r="AP962" s="125"/>
      <c r="AQ962" s="241"/>
      <c r="AR962" s="125"/>
      <c r="AS962" s="125"/>
      <c r="AT962" s="238"/>
      <c r="AU962" s="125"/>
      <c r="AV962" s="125"/>
      <c r="AW962" s="125"/>
      <c r="AX962" s="238"/>
      <c r="AY962" s="125"/>
      <c r="AZ962" s="125"/>
      <c r="BA962" s="125"/>
    </row>
    <row r="963" spans="2:53" s="123" customFormat="1">
      <c r="B963" s="125"/>
      <c r="D963" s="125"/>
      <c r="I963" s="125"/>
      <c r="Z963" s="124"/>
      <c r="AA963" s="74"/>
      <c r="AB963" s="240"/>
      <c r="AD963" s="124"/>
      <c r="AE963" s="238"/>
      <c r="AF963" s="239"/>
      <c r="AG963" s="239"/>
      <c r="AH963" s="124"/>
      <c r="AI963" s="74"/>
      <c r="AJ963" s="240"/>
      <c r="AL963" s="124"/>
      <c r="AM963" s="74"/>
      <c r="AP963" s="125"/>
      <c r="AQ963" s="241"/>
      <c r="AR963" s="125"/>
      <c r="AS963" s="125"/>
      <c r="AT963" s="238"/>
      <c r="AU963" s="125"/>
      <c r="AV963" s="125"/>
      <c r="AW963" s="125"/>
      <c r="AX963" s="238"/>
      <c r="AY963" s="125"/>
      <c r="AZ963" s="125"/>
      <c r="BA963" s="125"/>
    </row>
    <row r="964" spans="2:53" s="123" customFormat="1">
      <c r="B964" s="125"/>
      <c r="D964" s="125"/>
      <c r="I964" s="125"/>
      <c r="Z964" s="124"/>
      <c r="AA964" s="74"/>
      <c r="AB964" s="240"/>
      <c r="AD964" s="124"/>
      <c r="AE964" s="238"/>
      <c r="AF964" s="239"/>
      <c r="AG964" s="239"/>
      <c r="AH964" s="124"/>
      <c r="AI964" s="74"/>
      <c r="AJ964" s="240"/>
      <c r="AL964" s="124"/>
      <c r="AM964" s="74"/>
      <c r="AP964" s="125"/>
      <c r="AQ964" s="241"/>
      <c r="AR964" s="125"/>
      <c r="AS964" s="125"/>
      <c r="AT964" s="238"/>
      <c r="AU964" s="125"/>
      <c r="AV964" s="125"/>
      <c r="AW964" s="125"/>
      <c r="AX964" s="238"/>
      <c r="AY964" s="125"/>
      <c r="AZ964" s="125"/>
      <c r="BA964" s="125"/>
    </row>
    <row r="965" spans="2:53" s="123" customFormat="1">
      <c r="B965" s="125"/>
      <c r="D965" s="125"/>
      <c r="I965" s="125"/>
      <c r="Z965" s="124"/>
      <c r="AA965" s="74"/>
      <c r="AB965" s="240"/>
      <c r="AD965" s="124"/>
      <c r="AE965" s="238"/>
      <c r="AF965" s="239"/>
      <c r="AG965" s="239"/>
      <c r="AH965" s="124"/>
      <c r="AI965" s="74"/>
      <c r="AJ965" s="240"/>
      <c r="AL965" s="124"/>
      <c r="AM965" s="74"/>
      <c r="AP965" s="125"/>
      <c r="AQ965" s="241"/>
      <c r="AR965" s="125"/>
      <c r="AS965" s="125"/>
      <c r="AT965" s="238"/>
      <c r="AU965" s="125"/>
      <c r="AV965" s="125"/>
      <c r="AW965" s="125"/>
      <c r="AX965" s="238"/>
      <c r="AY965" s="125"/>
      <c r="AZ965" s="125"/>
      <c r="BA965" s="125"/>
    </row>
    <row r="966" spans="2:53" s="123" customFormat="1">
      <c r="B966" s="125"/>
      <c r="D966" s="125"/>
      <c r="I966" s="125"/>
      <c r="Z966" s="124"/>
      <c r="AA966" s="74"/>
      <c r="AB966" s="240"/>
      <c r="AD966" s="124"/>
      <c r="AE966" s="238"/>
      <c r="AF966" s="239"/>
      <c r="AG966" s="239"/>
      <c r="AH966" s="124"/>
      <c r="AI966" s="74"/>
      <c r="AJ966" s="240"/>
      <c r="AL966" s="124"/>
      <c r="AM966" s="74"/>
      <c r="AP966" s="125"/>
      <c r="AQ966" s="241"/>
      <c r="AR966" s="125"/>
      <c r="AS966" s="125"/>
      <c r="AT966" s="238"/>
      <c r="AU966" s="125"/>
      <c r="AV966" s="125"/>
      <c r="AW966" s="125"/>
      <c r="AX966" s="238"/>
      <c r="AY966" s="125"/>
      <c r="AZ966" s="125"/>
      <c r="BA966" s="125"/>
    </row>
    <row r="967" spans="2:53" s="123" customFormat="1">
      <c r="B967" s="125"/>
      <c r="D967" s="125"/>
      <c r="I967" s="125"/>
      <c r="Z967" s="124"/>
      <c r="AA967" s="74"/>
      <c r="AB967" s="240"/>
      <c r="AD967" s="124"/>
      <c r="AE967" s="238"/>
      <c r="AF967" s="239"/>
      <c r="AG967" s="239"/>
      <c r="AH967" s="124"/>
      <c r="AI967" s="74"/>
      <c r="AJ967" s="240"/>
      <c r="AL967" s="124"/>
      <c r="AM967" s="74"/>
      <c r="AP967" s="125"/>
      <c r="AQ967" s="241"/>
      <c r="AR967" s="125"/>
      <c r="AS967" s="125"/>
      <c r="AT967" s="238"/>
      <c r="AU967" s="125"/>
      <c r="AV967" s="125"/>
      <c r="AW967" s="125"/>
      <c r="AX967" s="238"/>
      <c r="AY967" s="125"/>
      <c r="AZ967" s="125"/>
      <c r="BA967" s="125"/>
    </row>
    <row r="968" spans="2:53" s="123" customFormat="1">
      <c r="B968" s="125"/>
      <c r="D968" s="125"/>
      <c r="I968" s="125"/>
      <c r="Z968" s="124"/>
      <c r="AA968" s="74"/>
      <c r="AB968" s="240"/>
      <c r="AD968" s="124"/>
      <c r="AE968" s="238"/>
      <c r="AF968" s="239"/>
      <c r="AG968" s="239"/>
      <c r="AH968" s="124"/>
      <c r="AI968" s="74"/>
      <c r="AJ968" s="240"/>
      <c r="AL968" s="124"/>
      <c r="AM968" s="74"/>
      <c r="AP968" s="125"/>
      <c r="AQ968" s="241"/>
      <c r="AR968" s="125"/>
      <c r="AS968" s="125"/>
      <c r="AT968" s="238"/>
      <c r="AU968" s="125"/>
      <c r="AV968" s="125"/>
      <c r="AW968" s="125"/>
      <c r="AX968" s="238"/>
      <c r="AY968" s="125"/>
      <c r="AZ968" s="125"/>
      <c r="BA968" s="125"/>
    </row>
    <row r="969" spans="2:53" s="123" customFormat="1">
      <c r="B969" s="125"/>
      <c r="D969" s="125"/>
      <c r="I969" s="125"/>
      <c r="Z969" s="124"/>
      <c r="AA969" s="74"/>
      <c r="AB969" s="240"/>
      <c r="AD969" s="124"/>
      <c r="AE969" s="238"/>
      <c r="AF969" s="239"/>
      <c r="AG969" s="239"/>
      <c r="AH969" s="124"/>
      <c r="AI969" s="74"/>
      <c r="AJ969" s="240"/>
      <c r="AL969" s="124"/>
      <c r="AM969" s="74"/>
      <c r="AP969" s="125"/>
      <c r="AQ969" s="241"/>
      <c r="AR969" s="125"/>
      <c r="AS969" s="125"/>
      <c r="AT969" s="238"/>
      <c r="AU969" s="125"/>
      <c r="AV969" s="125"/>
      <c r="AW969" s="125"/>
      <c r="AX969" s="238"/>
      <c r="AY969" s="125"/>
      <c r="AZ969" s="125"/>
      <c r="BA969" s="125"/>
    </row>
    <row r="970" spans="2:53" s="123" customFormat="1">
      <c r="B970" s="125"/>
      <c r="D970" s="125"/>
      <c r="I970" s="125"/>
      <c r="Z970" s="124"/>
      <c r="AA970" s="74"/>
      <c r="AB970" s="240"/>
      <c r="AD970" s="124"/>
      <c r="AE970" s="238"/>
      <c r="AF970" s="239"/>
      <c r="AG970" s="239"/>
      <c r="AH970" s="124"/>
      <c r="AI970" s="74"/>
      <c r="AJ970" s="240"/>
      <c r="AL970" s="124"/>
      <c r="AM970" s="74"/>
      <c r="AP970" s="125"/>
      <c r="AQ970" s="241"/>
      <c r="AR970" s="125"/>
      <c r="AS970" s="125"/>
      <c r="AT970" s="238"/>
      <c r="AU970" s="125"/>
      <c r="AV970" s="125"/>
      <c r="AW970" s="125"/>
      <c r="AX970" s="238"/>
      <c r="AY970" s="125"/>
      <c r="AZ970" s="125"/>
      <c r="BA970" s="125"/>
    </row>
    <row r="971" spans="2:53" s="123" customFormat="1">
      <c r="B971" s="125"/>
      <c r="D971" s="125"/>
      <c r="I971" s="125"/>
      <c r="Z971" s="124"/>
      <c r="AA971" s="74"/>
      <c r="AB971" s="240"/>
      <c r="AD971" s="124"/>
      <c r="AE971" s="238"/>
      <c r="AF971" s="239"/>
      <c r="AG971" s="239"/>
      <c r="AH971" s="124"/>
      <c r="AI971" s="74"/>
      <c r="AJ971" s="240"/>
      <c r="AL971" s="124"/>
      <c r="AM971" s="74"/>
      <c r="AP971" s="125"/>
      <c r="AQ971" s="241"/>
      <c r="AR971" s="125"/>
      <c r="AS971" s="125"/>
      <c r="AT971" s="238"/>
      <c r="AU971" s="125"/>
      <c r="AV971" s="125"/>
      <c r="AW971" s="125"/>
      <c r="AX971" s="238"/>
      <c r="AY971" s="125"/>
      <c r="AZ971" s="125"/>
      <c r="BA971" s="125"/>
    </row>
    <row r="972" spans="2:53" s="123" customFormat="1">
      <c r="B972" s="125"/>
      <c r="D972" s="125"/>
      <c r="I972" s="125"/>
      <c r="Z972" s="124"/>
      <c r="AA972" s="74"/>
      <c r="AB972" s="240"/>
      <c r="AD972" s="124"/>
      <c r="AE972" s="238"/>
      <c r="AF972" s="239"/>
      <c r="AG972" s="239"/>
      <c r="AH972" s="124"/>
      <c r="AI972" s="74"/>
      <c r="AJ972" s="240"/>
      <c r="AL972" s="124"/>
      <c r="AM972" s="74"/>
      <c r="AP972" s="125"/>
      <c r="AQ972" s="241"/>
      <c r="AR972" s="125"/>
      <c r="AS972" s="125"/>
      <c r="AT972" s="238"/>
      <c r="AU972" s="125"/>
      <c r="AV972" s="125"/>
      <c r="AW972" s="125"/>
      <c r="AX972" s="238"/>
      <c r="AY972" s="125"/>
      <c r="AZ972" s="125"/>
      <c r="BA972" s="125"/>
    </row>
    <row r="973" spans="2:53" s="123" customFormat="1">
      <c r="B973" s="125"/>
      <c r="D973" s="125"/>
      <c r="I973" s="125"/>
      <c r="Z973" s="124"/>
      <c r="AA973" s="74"/>
      <c r="AB973" s="240"/>
      <c r="AD973" s="124"/>
      <c r="AE973" s="238"/>
      <c r="AF973" s="239"/>
      <c r="AG973" s="239"/>
      <c r="AH973" s="124"/>
      <c r="AI973" s="74"/>
      <c r="AJ973" s="240"/>
      <c r="AL973" s="124"/>
      <c r="AM973" s="74"/>
      <c r="AP973" s="125"/>
      <c r="AQ973" s="241"/>
      <c r="AR973" s="125"/>
      <c r="AS973" s="125"/>
      <c r="AT973" s="238"/>
      <c r="AU973" s="125"/>
      <c r="AV973" s="125"/>
      <c r="AW973" s="125"/>
      <c r="AX973" s="238"/>
      <c r="AY973" s="125"/>
      <c r="AZ973" s="125"/>
      <c r="BA973" s="125"/>
    </row>
    <row r="974" spans="2:53" s="123" customFormat="1">
      <c r="B974" s="125"/>
      <c r="D974" s="125"/>
      <c r="I974" s="125"/>
      <c r="Z974" s="124"/>
      <c r="AA974" s="74"/>
      <c r="AB974" s="240"/>
      <c r="AD974" s="124"/>
      <c r="AE974" s="238"/>
      <c r="AF974" s="239"/>
      <c r="AG974" s="239"/>
      <c r="AH974" s="124"/>
      <c r="AI974" s="74"/>
      <c r="AJ974" s="240"/>
      <c r="AL974" s="124"/>
      <c r="AM974" s="74"/>
      <c r="AP974" s="125"/>
      <c r="AQ974" s="241"/>
      <c r="AR974" s="125"/>
      <c r="AS974" s="125"/>
      <c r="AT974" s="238"/>
      <c r="AU974" s="125"/>
      <c r="AV974" s="125"/>
      <c r="AW974" s="125"/>
      <c r="AX974" s="238"/>
      <c r="AY974" s="125"/>
      <c r="AZ974" s="125"/>
      <c r="BA974" s="125"/>
    </row>
    <row r="975" spans="2:53" s="123" customFormat="1">
      <c r="B975" s="125"/>
      <c r="D975" s="125"/>
      <c r="I975" s="125"/>
      <c r="Z975" s="124"/>
      <c r="AA975" s="74"/>
      <c r="AB975" s="240"/>
      <c r="AD975" s="124"/>
      <c r="AE975" s="238"/>
      <c r="AF975" s="239"/>
      <c r="AG975" s="239"/>
      <c r="AH975" s="124"/>
      <c r="AI975" s="74"/>
      <c r="AJ975" s="240"/>
      <c r="AL975" s="124"/>
      <c r="AM975" s="74"/>
      <c r="AP975" s="125"/>
      <c r="AQ975" s="241"/>
      <c r="AR975" s="125"/>
      <c r="AS975" s="125"/>
      <c r="AT975" s="238"/>
      <c r="AU975" s="125"/>
      <c r="AV975" s="125"/>
      <c r="AW975" s="125"/>
      <c r="AX975" s="238"/>
      <c r="AY975" s="125"/>
      <c r="AZ975" s="125"/>
      <c r="BA975" s="125"/>
    </row>
    <row r="976" spans="2:53" s="123" customFormat="1">
      <c r="B976" s="125"/>
      <c r="D976" s="125"/>
      <c r="I976" s="125"/>
      <c r="Z976" s="124"/>
      <c r="AA976" s="74"/>
      <c r="AB976" s="240"/>
      <c r="AD976" s="124"/>
      <c r="AE976" s="238"/>
      <c r="AF976" s="239"/>
      <c r="AG976" s="239"/>
      <c r="AH976" s="124"/>
      <c r="AI976" s="74"/>
      <c r="AJ976" s="240"/>
      <c r="AL976" s="124"/>
      <c r="AM976" s="74"/>
      <c r="AP976" s="125"/>
      <c r="AQ976" s="241"/>
      <c r="AR976" s="125"/>
      <c r="AS976" s="125"/>
      <c r="AT976" s="238"/>
      <c r="AU976" s="125"/>
      <c r="AV976" s="125"/>
      <c r="AW976" s="125"/>
      <c r="AX976" s="238"/>
      <c r="AY976" s="125"/>
      <c r="AZ976" s="125"/>
      <c r="BA976" s="125"/>
    </row>
    <row r="977" spans="2:53" s="123" customFormat="1">
      <c r="B977" s="125"/>
      <c r="D977" s="125"/>
      <c r="I977" s="125"/>
      <c r="Z977" s="124"/>
      <c r="AA977" s="74"/>
      <c r="AB977" s="240"/>
      <c r="AD977" s="124"/>
      <c r="AE977" s="238"/>
      <c r="AF977" s="239"/>
      <c r="AG977" s="239"/>
      <c r="AH977" s="124"/>
      <c r="AI977" s="74"/>
      <c r="AJ977" s="240"/>
      <c r="AL977" s="124"/>
      <c r="AM977" s="74"/>
      <c r="AP977" s="125"/>
      <c r="AQ977" s="241"/>
      <c r="AR977" s="125"/>
      <c r="AS977" s="125"/>
      <c r="AT977" s="238"/>
      <c r="AU977" s="125"/>
      <c r="AV977" s="125"/>
      <c r="AW977" s="125"/>
      <c r="AX977" s="238"/>
      <c r="AY977" s="125"/>
      <c r="AZ977" s="125"/>
      <c r="BA977" s="125"/>
    </row>
    <row r="978" spans="2:53" s="123" customFormat="1">
      <c r="B978" s="125"/>
      <c r="D978" s="125"/>
      <c r="I978" s="125"/>
      <c r="Z978" s="124"/>
      <c r="AA978" s="74"/>
      <c r="AB978" s="240"/>
      <c r="AD978" s="124"/>
      <c r="AE978" s="238"/>
      <c r="AF978" s="239"/>
      <c r="AG978" s="239"/>
      <c r="AH978" s="124"/>
      <c r="AI978" s="74"/>
      <c r="AJ978" s="240"/>
      <c r="AL978" s="124"/>
      <c r="AM978" s="74"/>
      <c r="AP978" s="125"/>
      <c r="AQ978" s="241"/>
      <c r="AR978" s="125"/>
      <c r="AS978" s="125"/>
      <c r="AT978" s="238"/>
      <c r="AU978" s="125"/>
      <c r="AV978" s="125"/>
      <c r="AW978" s="125"/>
      <c r="AX978" s="238"/>
      <c r="AY978" s="125"/>
      <c r="AZ978" s="125"/>
      <c r="BA978" s="125"/>
    </row>
    <row r="979" spans="2:53" s="123" customFormat="1">
      <c r="B979" s="125"/>
      <c r="D979" s="125"/>
      <c r="I979" s="125"/>
      <c r="Z979" s="124"/>
      <c r="AA979" s="74"/>
      <c r="AB979" s="240"/>
      <c r="AD979" s="124"/>
      <c r="AE979" s="238"/>
      <c r="AF979" s="239"/>
      <c r="AG979" s="239"/>
      <c r="AH979" s="124"/>
      <c r="AI979" s="74"/>
      <c r="AJ979" s="240"/>
      <c r="AL979" s="124"/>
      <c r="AM979" s="74"/>
      <c r="AP979" s="125"/>
      <c r="AQ979" s="241"/>
      <c r="AR979" s="125"/>
      <c r="AS979" s="125"/>
      <c r="AT979" s="238"/>
      <c r="AU979" s="125"/>
      <c r="AV979" s="125"/>
      <c r="AW979" s="125"/>
      <c r="AX979" s="238"/>
      <c r="AY979" s="125"/>
      <c r="AZ979" s="125"/>
      <c r="BA979" s="125"/>
    </row>
    <row r="980" spans="2:53" s="123" customFormat="1">
      <c r="B980" s="125"/>
      <c r="D980" s="125"/>
      <c r="I980" s="125"/>
      <c r="Z980" s="124"/>
      <c r="AA980" s="74"/>
      <c r="AB980" s="240"/>
      <c r="AD980" s="124"/>
      <c r="AE980" s="238"/>
      <c r="AF980" s="239"/>
      <c r="AG980" s="239"/>
      <c r="AH980" s="124"/>
      <c r="AI980" s="74"/>
      <c r="AJ980" s="240"/>
      <c r="AL980" s="124"/>
      <c r="AM980" s="74"/>
      <c r="AP980" s="125"/>
      <c r="AQ980" s="241"/>
      <c r="AR980" s="125"/>
      <c r="AS980" s="125"/>
      <c r="AT980" s="238"/>
      <c r="AU980" s="125"/>
      <c r="AV980" s="125"/>
      <c r="AW980" s="125"/>
      <c r="AX980" s="238"/>
      <c r="AY980" s="125"/>
      <c r="AZ980" s="125"/>
      <c r="BA980" s="125"/>
    </row>
    <row r="981" spans="2:53" s="123" customFormat="1">
      <c r="B981" s="125"/>
      <c r="D981" s="125"/>
      <c r="I981" s="125"/>
      <c r="Z981" s="124"/>
      <c r="AA981" s="74"/>
      <c r="AB981" s="240"/>
      <c r="AD981" s="124"/>
      <c r="AE981" s="238"/>
      <c r="AF981" s="239"/>
      <c r="AG981" s="239"/>
      <c r="AH981" s="124"/>
      <c r="AI981" s="74"/>
      <c r="AJ981" s="240"/>
      <c r="AL981" s="124"/>
      <c r="AM981" s="74"/>
      <c r="AP981" s="125"/>
      <c r="AQ981" s="241"/>
      <c r="AR981" s="125"/>
      <c r="AS981" s="125"/>
      <c r="AT981" s="238"/>
      <c r="AU981" s="125"/>
      <c r="AV981" s="125"/>
      <c r="AW981" s="125"/>
      <c r="AX981" s="238"/>
      <c r="AY981" s="125"/>
      <c r="AZ981" s="125"/>
      <c r="BA981" s="125"/>
    </row>
    <row r="982" spans="2:53" s="123" customFormat="1">
      <c r="B982" s="125"/>
      <c r="D982" s="125"/>
      <c r="I982" s="125"/>
      <c r="Z982" s="124"/>
      <c r="AA982" s="74"/>
      <c r="AB982" s="240"/>
      <c r="AD982" s="124"/>
      <c r="AE982" s="238"/>
      <c r="AF982" s="239"/>
      <c r="AG982" s="239"/>
      <c r="AH982" s="124"/>
      <c r="AI982" s="74"/>
      <c r="AJ982" s="240"/>
      <c r="AL982" s="124"/>
      <c r="AM982" s="74"/>
      <c r="AP982" s="125"/>
      <c r="AQ982" s="241"/>
      <c r="AR982" s="125"/>
      <c r="AS982" s="125"/>
      <c r="AT982" s="238"/>
      <c r="AU982" s="125"/>
      <c r="AV982" s="125"/>
      <c r="AW982" s="125"/>
      <c r="AX982" s="238"/>
      <c r="AY982" s="125"/>
      <c r="AZ982" s="125"/>
      <c r="BA982" s="125"/>
    </row>
    <row r="983" spans="2:53" s="123" customFormat="1">
      <c r="B983" s="125"/>
      <c r="D983" s="125"/>
      <c r="I983" s="125"/>
      <c r="Z983" s="124"/>
      <c r="AA983" s="74"/>
      <c r="AB983" s="240"/>
      <c r="AD983" s="124"/>
      <c r="AE983" s="238"/>
      <c r="AF983" s="239"/>
      <c r="AG983" s="239"/>
      <c r="AH983" s="124"/>
      <c r="AI983" s="74"/>
      <c r="AJ983" s="240"/>
      <c r="AL983" s="124"/>
      <c r="AM983" s="74"/>
      <c r="AP983" s="125"/>
      <c r="AQ983" s="241"/>
      <c r="AR983" s="125"/>
      <c r="AS983" s="125"/>
      <c r="AT983" s="238"/>
      <c r="AU983" s="125"/>
      <c r="AV983" s="125"/>
      <c r="AW983" s="125"/>
      <c r="AX983" s="238"/>
      <c r="AY983" s="125"/>
      <c r="AZ983" s="125"/>
      <c r="BA983" s="125"/>
    </row>
    <row r="984" spans="2:53" s="123" customFormat="1">
      <c r="B984" s="125"/>
      <c r="D984" s="125"/>
      <c r="I984" s="125"/>
      <c r="Z984" s="124"/>
      <c r="AA984" s="74"/>
      <c r="AB984" s="240"/>
      <c r="AD984" s="124"/>
      <c r="AE984" s="238"/>
      <c r="AF984" s="239"/>
      <c r="AG984" s="239"/>
      <c r="AH984" s="124"/>
      <c r="AI984" s="74"/>
      <c r="AJ984" s="240"/>
      <c r="AL984" s="124"/>
      <c r="AM984" s="74"/>
      <c r="AP984" s="125"/>
      <c r="AQ984" s="241"/>
      <c r="AR984" s="125"/>
      <c r="AS984" s="125"/>
      <c r="AT984" s="238"/>
      <c r="AU984" s="125"/>
      <c r="AV984" s="125"/>
      <c r="AW984" s="125"/>
      <c r="AX984" s="238"/>
      <c r="AY984" s="125"/>
      <c r="AZ984" s="125"/>
      <c r="BA984" s="125"/>
    </row>
    <row r="985" spans="2:53" s="123" customFormat="1">
      <c r="B985" s="125"/>
      <c r="D985" s="125"/>
      <c r="I985" s="125"/>
      <c r="Z985" s="124"/>
      <c r="AA985" s="74"/>
      <c r="AB985" s="240"/>
      <c r="AD985" s="124"/>
      <c r="AE985" s="238"/>
      <c r="AF985" s="239"/>
      <c r="AG985" s="239"/>
      <c r="AH985" s="124"/>
      <c r="AI985" s="74"/>
      <c r="AJ985" s="240"/>
      <c r="AL985" s="124"/>
      <c r="AM985" s="74"/>
      <c r="AP985" s="125"/>
      <c r="AQ985" s="241"/>
      <c r="AR985" s="125"/>
      <c r="AS985" s="125"/>
      <c r="AT985" s="238"/>
      <c r="AU985" s="125"/>
      <c r="AV985" s="125"/>
      <c r="AW985" s="125"/>
      <c r="AX985" s="238"/>
      <c r="AY985" s="125"/>
      <c r="AZ985" s="125"/>
      <c r="BA985" s="125"/>
    </row>
    <row r="986" spans="2:53" s="123" customFormat="1">
      <c r="B986" s="125"/>
      <c r="D986" s="125"/>
      <c r="I986" s="125"/>
      <c r="Z986" s="124"/>
      <c r="AA986" s="74"/>
      <c r="AB986" s="240"/>
      <c r="AD986" s="124"/>
      <c r="AE986" s="238"/>
      <c r="AF986" s="239"/>
      <c r="AG986" s="239"/>
      <c r="AH986" s="124"/>
      <c r="AI986" s="74"/>
      <c r="AJ986" s="240"/>
      <c r="AL986" s="124"/>
      <c r="AM986" s="74"/>
      <c r="AP986" s="125"/>
      <c r="AQ986" s="241"/>
      <c r="AR986" s="125"/>
      <c r="AS986" s="125"/>
      <c r="AT986" s="238"/>
      <c r="AU986" s="125"/>
      <c r="AV986" s="125"/>
      <c r="AW986" s="125"/>
      <c r="AX986" s="238"/>
      <c r="AY986" s="125"/>
      <c r="AZ986" s="125"/>
      <c r="BA986" s="125"/>
    </row>
    <row r="987" spans="2:53" s="123" customFormat="1">
      <c r="B987" s="125"/>
      <c r="D987" s="125"/>
      <c r="I987" s="125"/>
      <c r="Z987" s="124"/>
      <c r="AA987" s="74"/>
      <c r="AB987" s="240"/>
      <c r="AD987" s="124"/>
      <c r="AE987" s="238"/>
      <c r="AF987" s="239"/>
      <c r="AG987" s="239"/>
      <c r="AH987" s="124"/>
      <c r="AI987" s="74"/>
      <c r="AJ987" s="240"/>
      <c r="AL987" s="124"/>
      <c r="AM987" s="74"/>
      <c r="AP987" s="125"/>
      <c r="AQ987" s="241"/>
      <c r="AR987" s="125"/>
      <c r="AS987" s="125"/>
      <c r="AT987" s="238"/>
      <c r="AU987" s="125"/>
      <c r="AV987" s="125"/>
      <c r="AW987" s="125"/>
      <c r="AX987" s="238"/>
      <c r="AY987" s="125"/>
      <c r="AZ987" s="125"/>
      <c r="BA987" s="125"/>
    </row>
    <row r="988" spans="2:53" s="123" customFormat="1">
      <c r="B988" s="125"/>
      <c r="D988" s="125"/>
      <c r="I988" s="125"/>
      <c r="Z988" s="124"/>
      <c r="AA988" s="74"/>
      <c r="AB988" s="240"/>
      <c r="AD988" s="124"/>
      <c r="AE988" s="238"/>
      <c r="AF988" s="239"/>
      <c r="AG988" s="239"/>
      <c r="AH988" s="124"/>
      <c r="AI988" s="74"/>
      <c r="AJ988" s="240"/>
      <c r="AL988" s="124"/>
      <c r="AM988" s="74"/>
      <c r="AP988" s="125"/>
      <c r="AQ988" s="241"/>
      <c r="AR988" s="125"/>
      <c r="AS988" s="125"/>
      <c r="AT988" s="238"/>
      <c r="AU988" s="125"/>
      <c r="AV988" s="125"/>
      <c r="AW988" s="125"/>
      <c r="AX988" s="238"/>
      <c r="AY988" s="125"/>
      <c r="AZ988" s="125"/>
      <c r="BA988" s="125"/>
    </row>
    <row r="989" spans="2:53" s="123" customFormat="1">
      <c r="B989" s="125"/>
      <c r="D989" s="125"/>
      <c r="I989" s="125"/>
      <c r="Z989" s="124"/>
      <c r="AA989" s="74"/>
      <c r="AB989" s="240"/>
      <c r="AD989" s="124"/>
      <c r="AE989" s="238"/>
      <c r="AF989" s="239"/>
      <c r="AG989" s="239"/>
      <c r="AH989" s="124"/>
      <c r="AI989" s="74"/>
      <c r="AJ989" s="240"/>
      <c r="AL989" s="124"/>
      <c r="AM989" s="74"/>
      <c r="AP989" s="125"/>
      <c r="AQ989" s="241"/>
      <c r="AR989" s="125"/>
      <c r="AS989" s="125"/>
      <c r="AT989" s="238"/>
      <c r="AU989" s="125"/>
      <c r="AV989" s="125"/>
      <c r="AW989" s="125"/>
      <c r="AX989" s="238"/>
      <c r="AY989" s="125"/>
      <c r="AZ989" s="125"/>
      <c r="BA989" s="125"/>
    </row>
    <row r="990" spans="2:53" s="123" customFormat="1">
      <c r="B990" s="125"/>
      <c r="D990" s="125"/>
      <c r="I990" s="125"/>
      <c r="Z990" s="124"/>
      <c r="AA990" s="74"/>
      <c r="AB990" s="240"/>
      <c r="AD990" s="124"/>
      <c r="AE990" s="238"/>
      <c r="AF990" s="239"/>
      <c r="AG990" s="239"/>
      <c r="AH990" s="124"/>
      <c r="AI990" s="74"/>
      <c r="AJ990" s="240"/>
      <c r="AL990" s="124"/>
      <c r="AM990" s="74"/>
      <c r="AP990" s="125"/>
      <c r="AQ990" s="241"/>
      <c r="AR990" s="125"/>
      <c r="AS990" s="125"/>
      <c r="AT990" s="238"/>
      <c r="AU990" s="125"/>
      <c r="AV990" s="125"/>
      <c r="AW990" s="125"/>
      <c r="AX990" s="238"/>
      <c r="AY990" s="125"/>
      <c r="AZ990" s="125"/>
      <c r="BA990" s="125"/>
    </row>
    <row r="991" spans="2:53" s="123" customFormat="1">
      <c r="B991" s="125"/>
      <c r="D991" s="125"/>
      <c r="I991" s="125"/>
      <c r="Z991" s="124"/>
      <c r="AA991" s="74"/>
      <c r="AB991" s="240"/>
      <c r="AD991" s="124"/>
      <c r="AE991" s="238"/>
      <c r="AF991" s="239"/>
      <c r="AG991" s="239"/>
      <c r="AH991" s="124"/>
      <c r="AI991" s="74"/>
      <c r="AJ991" s="240"/>
      <c r="AL991" s="124"/>
      <c r="AM991" s="74"/>
      <c r="AP991" s="125"/>
      <c r="AQ991" s="241"/>
      <c r="AR991" s="125"/>
      <c r="AS991" s="125"/>
      <c r="AT991" s="238"/>
      <c r="AU991" s="125"/>
      <c r="AV991" s="125"/>
      <c r="AW991" s="125"/>
      <c r="AX991" s="238"/>
      <c r="AY991" s="125"/>
      <c r="AZ991" s="125"/>
      <c r="BA991" s="125"/>
    </row>
    <row r="992" spans="2:53" s="123" customFormat="1">
      <c r="B992" s="125"/>
      <c r="D992" s="125"/>
      <c r="I992" s="125"/>
      <c r="Z992" s="124"/>
      <c r="AA992" s="74"/>
      <c r="AB992" s="240"/>
      <c r="AD992" s="124"/>
      <c r="AE992" s="238"/>
      <c r="AF992" s="239"/>
      <c r="AG992" s="239"/>
      <c r="AH992" s="124"/>
      <c r="AI992" s="74"/>
      <c r="AJ992" s="240"/>
      <c r="AL992" s="124"/>
      <c r="AM992" s="74"/>
      <c r="AP992" s="125"/>
      <c r="AQ992" s="241"/>
      <c r="AR992" s="125"/>
      <c r="AS992" s="125"/>
      <c r="AT992" s="238"/>
      <c r="AU992" s="125"/>
      <c r="AV992" s="125"/>
      <c r="AW992" s="125"/>
      <c r="AX992" s="238"/>
      <c r="AY992" s="125"/>
      <c r="AZ992" s="125"/>
      <c r="BA992" s="125"/>
    </row>
    <row r="993" spans="2:53" s="123" customFormat="1">
      <c r="B993" s="125"/>
      <c r="D993" s="125"/>
      <c r="I993" s="125"/>
      <c r="Z993" s="124"/>
      <c r="AA993" s="74"/>
      <c r="AB993" s="240"/>
      <c r="AD993" s="124"/>
      <c r="AE993" s="238"/>
      <c r="AF993" s="239"/>
      <c r="AG993" s="239"/>
      <c r="AH993" s="124"/>
      <c r="AI993" s="74"/>
      <c r="AJ993" s="240"/>
      <c r="AL993" s="124"/>
      <c r="AM993" s="74"/>
      <c r="AP993" s="125"/>
      <c r="AQ993" s="241"/>
      <c r="AR993" s="125"/>
      <c r="AS993" s="125"/>
      <c r="AT993" s="238"/>
      <c r="AU993" s="125"/>
      <c r="AV993" s="125"/>
      <c r="AW993" s="125"/>
      <c r="AX993" s="238"/>
      <c r="AY993" s="125"/>
      <c r="AZ993" s="125"/>
      <c r="BA993" s="125"/>
    </row>
    <row r="994" spans="2:53" s="123" customFormat="1">
      <c r="B994" s="125"/>
      <c r="D994" s="125"/>
      <c r="I994" s="125"/>
      <c r="Z994" s="124"/>
      <c r="AA994" s="74"/>
      <c r="AB994" s="240"/>
      <c r="AD994" s="124"/>
      <c r="AE994" s="238"/>
      <c r="AF994" s="239"/>
      <c r="AG994" s="239"/>
      <c r="AH994" s="124"/>
      <c r="AI994" s="74"/>
      <c r="AJ994" s="240"/>
      <c r="AL994" s="124"/>
      <c r="AM994" s="74"/>
      <c r="AP994" s="125"/>
      <c r="AQ994" s="241"/>
      <c r="AR994" s="125"/>
      <c r="AS994" s="125"/>
      <c r="AT994" s="238"/>
      <c r="AU994" s="125"/>
      <c r="AV994" s="125"/>
      <c r="AW994" s="125"/>
      <c r="AX994" s="238"/>
      <c r="AY994" s="125"/>
      <c r="AZ994" s="125"/>
      <c r="BA994" s="125"/>
    </row>
    <row r="995" spans="2:53" s="123" customFormat="1">
      <c r="B995" s="125"/>
      <c r="D995" s="125"/>
      <c r="I995" s="125"/>
      <c r="Z995" s="124"/>
      <c r="AA995" s="74"/>
      <c r="AB995" s="240"/>
      <c r="AD995" s="124"/>
      <c r="AE995" s="238"/>
      <c r="AF995" s="239"/>
      <c r="AG995" s="239"/>
      <c r="AH995" s="124"/>
      <c r="AI995" s="74"/>
      <c r="AJ995" s="240"/>
      <c r="AL995" s="124"/>
      <c r="AM995" s="74"/>
      <c r="AP995" s="125"/>
      <c r="AQ995" s="241"/>
      <c r="AR995" s="125"/>
      <c r="AS995" s="125"/>
      <c r="AT995" s="238"/>
      <c r="AU995" s="125"/>
      <c r="AV995" s="125"/>
      <c r="AW995" s="125"/>
      <c r="AX995" s="238"/>
      <c r="AY995" s="125"/>
      <c r="AZ995" s="125"/>
      <c r="BA995" s="125"/>
    </row>
    <row r="996" spans="2:53" s="123" customFormat="1">
      <c r="B996" s="125"/>
      <c r="D996" s="125"/>
      <c r="I996" s="125"/>
      <c r="Z996" s="124"/>
      <c r="AA996" s="74"/>
      <c r="AB996" s="240"/>
      <c r="AD996" s="124"/>
      <c r="AE996" s="238"/>
      <c r="AF996" s="239"/>
      <c r="AG996" s="239"/>
      <c r="AH996" s="124"/>
      <c r="AI996" s="74"/>
      <c r="AJ996" s="240"/>
      <c r="AL996" s="124"/>
      <c r="AM996" s="74"/>
      <c r="AP996" s="125"/>
      <c r="AQ996" s="241"/>
      <c r="AR996" s="125"/>
      <c r="AS996" s="125"/>
      <c r="AT996" s="238"/>
      <c r="AU996" s="125"/>
      <c r="AV996" s="125"/>
      <c r="AW996" s="125"/>
      <c r="AX996" s="238"/>
      <c r="AY996" s="125"/>
      <c r="AZ996" s="125"/>
      <c r="BA996" s="125"/>
    </row>
    <row r="997" spans="2:53" s="123" customFormat="1">
      <c r="B997" s="125"/>
      <c r="D997" s="125"/>
      <c r="I997" s="125"/>
      <c r="Z997" s="124"/>
      <c r="AA997" s="74"/>
      <c r="AB997" s="240"/>
      <c r="AD997" s="124"/>
      <c r="AE997" s="238"/>
      <c r="AF997" s="239"/>
      <c r="AG997" s="239"/>
      <c r="AH997" s="124"/>
      <c r="AI997" s="74"/>
      <c r="AJ997" s="240"/>
      <c r="AL997" s="124"/>
      <c r="AM997" s="74"/>
      <c r="AP997" s="125"/>
      <c r="AQ997" s="241"/>
      <c r="AR997" s="125"/>
      <c r="AS997" s="125"/>
      <c r="AT997" s="238"/>
      <c r="AU997" s="125"/>
      <c r="AV997" s="125"/>
      <c r="AW997" s="125"/>
      <c r="AX997" s="238"/>
      <c r="AY997" s="125"/>
      <c r="AZ997" s="125"/>
      <c r="BA997" s="125"/>
    </row>
    <row r="998" spans="2:53" s="123" customFormat="1">
      <c r="B998" s="125"/>
      <c r="D998" s="125"/>
      <c r="I998" s="125"/>
      <c r="Z998" s="124"/>
      <c r="AA998" s="74"/>
      <c r="AB998" s="240"/>
      <c r="AD998" s="124"/>
      <c r="AE998" s="238"/>
      <c r="AF998" s="239"/>
      <c r="AG998" s="239"/>
      <c r="AH998" s="124"/>
      <c r="AI998" s="74"/>
      <c r="AJ998" s="240"/>
      <c r="AL998" s="124"/>
      <c r="AM998" s="74"/>
      <c r="AP998" s="125"/>
      <c r="AQ998" s="241"/>
      <c r="AR998" s="125"/>
      <c r="AS998" s="125"/>
      <c r="AT998" s="238"/>
      <c r="AU998" s="125"/>
      <c r="AV998" s="125"/>
      <c r="AW998" s="125"/>
      <c r="AX998" s="238"/>
      <c r="AY998" s="125"/>
      <c r="AZ998" s="125"/>
      <c r="BA998" s="125"/>
    </row>
    <row r="999" spans="2:53" s="123" customFormat="1">
      <c r="B999" s="125"/>
      <c r="D999" s="125"/>
      <c r="I999" s="125"/>
      <c r="Z999" s="124"/>
      <c r="AA999" s="74"/>
      <c r="AB999" s="240"/>
      <c r="AD999" s="124"/>
      <c r="AE999" s="238"/>
      <c r="AF999" s="239"/>
      <c r="AG999" s="239"/>
      <c r="AH999" s="124"/>
      <c r="AI999" s="74"/>
      <c r="AJ999" s="240"/>
      <c r="AL999" s="124"/>
      <c r="AM999" s="74"/>
      <c r="AP999" s="125"/>
      <c r="AQ999" s="241"/>
      <c r="AR999" s="125"/>
      <c r="AS999" s="125"/>
      <c r="AT999" s="238"/>
      <c r="AU999" s="125"/>
      <c r="AV999" s="125"/>
      <c r="AW999" s="125"/>
      <c r="AX999" s="238"/>
      <c r="AY999" s="125"/>
      <c r="AZ999" s="125"/>
      <c r="BA999" s="125"/>
    </row>
    <row r="1000" spans="2:53" s="123" customFormat="1">
      <c r="B1000" s="125"/>
      <c r="D1000" s="125"/>
      <c r="I1000" s="125"/>
      <c r="Z1000" s="124"/>
      <c r="AA1000" s="74"/>
      <c r="AB1000" s="240"/>
      <c r="AD1000" s="124"/>
      <c r="AE1000" s="238"/>
      <c r="AF1000" s="239"/>
      <c r="AG1000" s="239"/>
      <c r="AH1000" s="124"/>
      <c r="AI1000" s="74"/>
      <c r="AJ1000" s="240"/>
      <c r="AL1000" s="124"/>
      <c r="AM1000" s="74"/>
      <c r="AP1000" s="125"/>
      <c r="AQ1000" s="241"/>
      <c r="AR1000" s="125"/>
      <c r="AS1000" s="125"/>
      <c r="AT1000" s="238"/>
      <c r="AU1000" s="125"/>
      <c r="AV1000" s="125"/>
      <c r="AW1000" s="125"/>
      <c r="AX1000" s="238"/>
      <c r="AY1000" s="125"/>
      <c r="AZ1000" s="125"/>
      <c r="BA1000" s="125"/>
    </row>
    <row r="1001" spans="2:53" s="123" customFormat="1">
      <c r="B1001" s="125"/>
      <c r="D1001" s="125"/>
      <c r="I1001" s="125"/>
      <c r="Z1001" s="124"/>
      <c r="AA1001" s="74"/>
      <c r="AB1001" s="240"/>
      <c r="AD1001" s="124"/>
      <c r="AE1001" s="238"/>
      <c r="AF1001" s="239"/>
      <c r="AG1001" s="239"/>
      <c r="AH1001" s="124"/>
      <c r="AI1001" s="74"/>
      <c r="AJ1001" s="240"/>
      <c r="AL1001" s="124"/>
      <c r="AM1001" s="74"/>
      <c r="AP1001" s="125"/>
      <c r="AQ1001" s="241"/>
      <c r="AR1001" s="125"/>
      <c r="AS1001" s="125"/>
      <c r="AT1001" s="238"/>
      <c r="AU1001" s="125"/>
      <c r="AV1001" s="125"/>
      <c r="AW1001" s="125"/>
      <c r="AX1001" s="238"/>
      <c r="AY1001" s="125"/>
      <c r="AZ1001" s="125"/>
      <c r="BA1001" s="125"/>
    </row>
    <row r="1002" spans="2:53" s="123" customFormat="1">
      <c r="B1002" s="125"/>
      <c r="D1002" s="125"/>
      <c r="I1002" s="125"/>
      <c r="Z1002" s="124"/>
      <c r="AA1002" s="74"/>
      <c r="AB1002" s="240"/>
      <c r="AD1002" s="124"/>
      <c r="AE1002" s="238"/>
      <c r="AF1002" s="239"/>
      <c r="AG1002" s="239"/>
      <c r="AH1002" s="124"/>
      <c r="AI1002" s="74"/>
      <c r="AJ1002" s="240"/>
      <c r="AL1002" s="124"/>
      <c r="AM1002" s="74"/>
      <c r="AP1002" s="125"/>
      <c r="AQ1002" s="241"/>
      <c r="AR1002" s="125"/>
      <c r="AS1002" s="125"/>
      <c r="AT1002" s="238"/>
      <c r="AU1002" s="125"/>
      <c r="AV1002" s="125"/>
      <c r="AW1002" s="125"/>
      <c r="AX1002" s="238"/>
      <c r="AY1002" s="125"/>
      <c r="AZ1002" s="125"/>
      <c r="BA1002" s="125"/>
    </row>
    <row r="1003" spans="2:53" s="123" customFormat="1">
      <c r="B1003" s="125"/>
      <c r="D1003" s="125"/>
      <c r="I1003" s="125"/>
      <c r="Z1003" s="124"/>
      <c r="AA1003" s="74"/>
      <c r="AB1003" s="240"/>
      <c r="AD1003" s="124"/>
      <c r="AE1003" s="238"/>
      <c r="AF1003" s="239"/>
      <c r="AG1003" s="239"/>
      <c r="AH1003" s="124"/>
      <c r="AI1003" s="74"/>
      <c r="AJ1003" s="240"/>
      <c r="AL1003" s="124"/>
      <c r="AM1003" s="74"/>
      <c r="AP1003" s="125"/>
      <c r="AQ1003" s="241"/>
      <c r="AR1003" s="125"/>
      <c r="AS1003" s="125"/>
      <c r="AT1003" s="238"/>
      <c r="AU1003" s="125"/>
      <c r="AV1003" s="125"/>
      <c r="AW1003" s="125"/>
      <c r="AX1003" s="238"/>
      <c r="AY1003" s="125"/>
      <c r="AZ1003" s="125"/>
      <c r="BA1003" s="125"/>
    </row>
    <row r="1004" spans="2:53" s="123" customFormat="1">
      <c r="B1004" s="125"/>
      <c r="D1004" s="125"/>
      <c r="I1004" s="125"/>
      <c r="Z1004" s="124"/>
      <c r="AA1004" s="74"/>
      <c r="AB1004" s="240"/>
      <c r="AD1004" s="124"/>
      <c r="AE1004" s="238"/>
      <c r="AF1004" s="239"/>
      <c r="AG1004" s="239"/>
      <c r="AH1004" s="124"/>
      <c r="AI1004" s="74"/>
      <c r="AJ1004" s="240"/>
      <c r="AL1004" s="124"/>
      <c r="AM1004" s="74"/>
      <c r="AP1004" s="125"/>
      <c r="AQ1004" s="241"/>
      <c r="AR1004" s="125"/>
      <c r="AS1004" s="125"/>
      <c r="AT1004" s="238"/>
      <c r="AU1004" s="125"/>
      <c r="AV1004" s="125"/>
      <c r="AW1004" s="125"/>
      <c r="AX1004" s="238"/>
      <c r="AY1004" s="125"/>
      <c r="AZ1004" s="125"/>
      <c r="BA1004" s="125"/>
    </row>
    <row r="1005" spans="2:53" s="123" customFormat="1">
      <c r="B1005" s="125"/>
      <c r="D1005" s="125"/>
      <c r="I1005" s="125"/>
      <c r="Z1005" s="124"/>
      <c r="AA1005" s="74"/>
      <c r="AB1005" s="240"/>
      <c r="AD1005" s="124"/>
      <c r="AE1005" s="238"/>
      <c r="AF1005" s="239"/>
      <c r="AG1005" s="239"/>
      <c r="AH1005" s="124"/>
      <c r="AI1005" s="74"/>
      <c r="AJ1005" s="240"/>
      <c r="AL1005" s="124"/>
      <c r="AM1005" s="74"/>
      <c r="AP1005" s="125"/>
      <c r="AQ1005" s="241"/>
      <c r="AR1005" s="125"/>
      <c r="AS1005" s="125"/>
      <c r="AT1005" s="238"/>
      <c r="AU1005" s="125"/>
      <c r="AV1005" s="125"/>
      <c r="AW1005" s="125"/>
      <c r="AX1005" s="238"/>
      <c r="AY1005" s="125"/>
      <c r="AZ1005" s="125"/>
      <c r="BA1005" s="125"/>
    </row>
    <row r="1006" spans="2:53" s="123" customFormat="1">
      <c r="B1006" s="125"/>
      <c r="D1006" s="125"/>
      <c r="I1006" s="125"/>
      <c r="Z1006" s="124"/>
      <c r="AA1006" s="74"/>
      <c r="AB1006" s="240"/>
      <c r="AD1006" s="124"/>
      <c r="AE1006" s="238"/>
      <c r="AF1006" s="239"/>
      <c r="AG1006" s="239"/>
      <c r="AH1006" s="124"/>
      <c r="AI1006" s="74"/>
      <c r="AJ1006" s="240"/>
      <c r="AL1006" s="124"/>
      <c r="AM1006" s="74"/>
      <c r="AP1006" s="125"/>
      <c r="AQ1006" s="241"/>
      <c r="AR1006" s="125"/>
      <c r="AS1006" s="125"/>
      <c r="AT1006" s="238"/>
      <c r="AU1006" s="125"/>
      <c r="AV1006" s="125"/>
      <c r="AW1006" s="125"/>
      <c r="AX1006" s="238"/>
      <c r="AY1006" s="125"/>
      <c r="AZ1006" s="125"/>
      <c r="BA1006" s="125"/>
    </row>
    <row r="1007" spans="2:53" s="123" customFormat="1">
      <c r="B1007" s="125"/>
      <c r="D1007" s="125"/>
      <c r="I1007" s="125"/>
      <c r="Z1007" s="124"/>
      <c r="AA1007" s="74"/>
      <c r="AB1007" s="240"/>
      <c r="AD1007" s="124"/>
      <c r="AE1007" s="238"/>
      <c r="AF1007" s="239"/>
      <c r="AG1007" s="239"/>
      <c r="AH1007" s="124"/>
      <c r="AI1007" s="74"/>
      <c r="AJ1007" s="240"/>
      <c r="AL1007" s="124"/>
      <c r="AM1007" s="74"/>
      <c r="AP1007" s="125"/>
      <c r="AQ1007" s="241"/>
      <c r="AR1007" s="125"/>
      <c r="AS1007" s="125"/>
      <c r="AT1007" s="238"/>
      <c r="AU1007" s="125"/>
      <c r="AV1007" s="125"/>
      <c r="AW1007" s="125"/>
      <c r="AX1007" s="238"/>
      <c r="AY1007" s="125"/>
      <c r="AZ1007" s="125"/>
      <c r="BA1007" s="125"/>
    </row>
    <row r="1008" spans="2:53" s="123" customFormat="1">
      <c r="B1008" s="125"/>
      <c r="D1008" s="125"/>
      <c r="I1008" s="125"/>
      <c r="Z1008" s="124"/>
      <c r="AA1008" s="74"/>
      <c r="AB1008" s="240"/>
      <c r="AD1008" s="124"/>
      <c r="AE1008" s="238"/>
      <c r="AF1008" s="239"/>
      <c r="AG1008" s="239"/>
      <c r="AH1008" s="124"/>
      <c r="AI1008" s="74"/>
      <c r="AJ1008" s="240"/>
      <c r="AL1008" s="124"/>
      <c r="AM1008" s="74"/>
      <c r="AP1008" s="125"/>
      <c r="AQ1008" s="241"/>
      <c r="AR1008" s="125"/>
      <c r="AS1008" s="125"/>
      <c r="AT1008" s="238"/>
      <c r="AU1008" s="125"/>
      <c r="AV1008" s="125"/>
      <c r="AW1008" s="125"/>
      <c r="AX1008" s="238"/>
      <c r="AY1008" s="125"/>
      <c r="AZ1008" s="125"/>
      <c r="BA1008" s="125"/>
    </row>
    <row r="1009" spans="2:53" s="123" customFormat="1">
      <c r="B1009" s="125"/>
      <c r="D1009" s="125"/>
      <c r="I1009" s="125"/>
      <c r="Z1009" s="124"/>
      <c r="AA1009" s="74"/>
      <c r="AB1009" s="240"/>
      <c r="AD1009" s="124"/>
      <c r="AE1009" s="238"/>
      <c r="AF1009" s="239"/>
      <c r="AG1009" s="239"/>
      <c r="AH1009" s="124"/>
      <c r="AI1009" s="74"/>
      <c r="AJ1009" s="240"/>
      <c r="AL1009" s="124"/>
      <c r="AM1009" s="74"/>
      <c r="AP1009" s="125"/>
      <c r="AQ1009" s="241"/>
      <c r="AR1009" s="125"/>
      <c r="AS1009" s="125"/>
      <c r="AT1009" s="238"/>
      <c r="AU1009" s="125"/>
      <c r="AV1009" s="125"/>
      <c r="AW1009" s="125"/>
      <c r="AX1009" s="238"/>
      <c r="AY1009" s="125"/>
      <c r="AZ1009" s="125"/>
      <c r="BA1009" s="125"/>
    </row>
    <row r="1010" spans="2:53" s="123" customFormat="1">
      <c r="B1010" s="125"/>
      <c r="D1010" s="125"/>
      <c r="I1010" s="125"/>
      <c r="Z1010" s="124"/>
      <c r="AA1010" s="74"/>
      <c r="AB1010" s="240"/>
      <c r="AD1010" s="124"/>
      <c r="AE1010" s="238"/>
      <c r="AF1010" s="239"/>
      <c r="AG1010" s="239"/>
      <c r="AH1010" s="124"/>
      <c r="AI1010" s="74"/>
      <c r="AJ1010" s="240"/>
      <c r="AL1010" s="124"/>
      <c r="AM1010" s="74"/>
      <c r="AP1010" s="125"/>
      <c r="AQ1010" s="241"/>
      <c r="AR1010" s="125"/>
      <c r="AS1010" s="125"/>
      <c r="AT1010" s="238"/>
      <c r="AU1010" s="125"/>
      <c r="AV1010" s="125"/>
      <c r="AW1010" s="125"/>
      <c r="AX1010" s="238"/>
      <c r="AY1010" s="125"/>
      <c r="AZ1010" s="125"/>
      <c r="BA1010" s="125"/>
    </row>
    <row r="1011" spans="2:53" s="123" customFormat="1">
      <c r="B1011" s="125"/>
      <c r="D1011" s="125"/>
      <c r="I1011" s="125"/>
      <c r="Z1011" s="124"/>
      <c r="AA1011" s="74"/>
      <c r="AB1011" s="240"/>
      <c r="AD1011" s="124"/>
      <c r="AE1011" s="238"/>
      <c r="AF1011" s="239"/>
      <c r="AG1011" s="239"/>
      <c r="AH1011" s="124"/>
      <c r="AI1011" s="74"/>
      <c r="AJ1011" s="240"/>
      <c r="AL1011" s="124"/>
      <c r="AM1011" s="74"/>
      <c r="AP1011" s="125"/>
      <c r="AQ1011" s="241"/>
      <c r="AR1011" s="125"/>
      <c r="AS1011" s="125"/>
      <c r="AT1011" s="238"/>
      <c r="AU1011" s="125"/>
      <c r="AV1011" s="125"/>
      <c r="AW1011" s="125"/>
      <c r="AX1011" s="238"/>
      <c r="AY1011" s="125"/>
      <c r="AZ1011" s="125"/>
      <c r="BA1011" s="125"/>
    </row>
    <row r="1012" spans="2:53" s="123" customFormat="1">
      <c r="B1012" s="125"/>
      <c r="D1012" s="125"/>
      <c r="I1012" s="125"/>
      <c r="Z1012" s="124"/>
      <c r="AA1012" s="74"/>
      <c r="AB1012" s="240"/>
      <c r="AD1012" s="124"/>
      <c r="AE1012" s="238"/>
      <c r="AF1012" s="239"/>
      <c r="AG1012" s="239"/>
      <c r="AH1012" s="124"/>
      <c r="AI1012" s="74"/>
      <c r="AJ1012" s="240"/>
      <c r="AL1012" s="124"/>
      <c r="AM1012" s="74"/>
      <c r="AP1012" s="125"/>
      <c r="AQ1012" s="241"/>
      <c r="AR1012" s="125"/>
      <c r="AS1012" s="125"/>
      <c r="AT1012" s="238"/>
      <c r="AU1012" s="125"/>
      <c r="AV1012" s="125"/>
      <c r="AW1012" s="125"/>
      <c r="AX1012" s="238"/>
      <c r="AY1012" s="125"/>
      <c r="AZ1012" s="125"/>
      <c r="BA1012" s="125"/>
    </row>
    <row r="1013" spans="2:53" s="123" customFormat="1">
      <c r="B1013" s="125"/>
      <c r="D1013" s="125"/>
      <c r="I1013" s="125"/>
      <c r="Z1013" s="124"/>
      <c r="AA1013" s="74"/>
      <c r="AB1013" s="240"/>
      <c r="AD1013" s="124"/>
      <c r="AE1013" s="238"/>
      <c r="AF1013" s="239"/>
      <c r="AG1013" s="239"/>
      <c r="AH1013" s="124"/>
      <c r="AI1013" s="74"/>
      <c r="AJ1013" s="240"/>
      <c r="AL1013" s="124"/>
      <c r="AM1013" s="74"/>
      <c r="AP1013" s="125"/>
      <c r="AQ1013" s="241"/>
      <c r="AR1013" s="125"/>
      <c r="AS1013" s="125"/>
      <c r="AT1013" s="238"/>
      <c r="AU1013" s="125"/>
      <c r="AV1013" s="125"/>
      <c r="AW1013" s="125"/>
      <c r="AX1013" s="238"/>
      <c r="AY1013" s="125"/>
      <c r="AZ1013" s="125"/>
      <c r="BA1013" s="125"/>
    </row>
    <row r="1014" spans="2:53" s="123" customFormat="1">
      <c r="B1014" s="125"/>
      <c r="D1014" s="125"/>
      <c r="I1014" s="125"/>
      <c r="Z1014" s="124"/>
      <c r="AA1014" s="74"/>
      <c r="AB1014" s="240"/>
      <c r="AD1014" s="124"/>
      <c r="AE1014" s="238"/>
      <c r="AF1014" s="239"/>
      <c r="AG1014" s="239"/>
      <c r="AH1014" s="124"/>
      <c r="AI1014" s="74"/>
      <c r="AJ1014" s="240"/>
      <c r="AL1014" s="124"/>
      <c r="AM1014" s="74"/>
      <c r="AP1014" s="125"/>
      <c r="AQ1014" s="241"/>
      <c r="AR1014" s="125"/>
      <c r="AS1014" s="125"/>
      <c r="AT1014" s="238"/>
      <c r="AU1014" s="125"/>
      <c r="AV1014" s="125"/>
      <c r="AW1014" s="125"/>
      <c r="AX1014" s="238"/>
      <c r="AY1014" s="125"/>
      <c r="AZ1014" s="125"/>
      <c r="BA1014" s="125"/>
    </row>
    <row r="1015" spans="2:53" s="123" customFormat="1">
      <c r="B1015" s="125"/>
      <c r="D1015" s="125"/>
      <c r="I1015" s="125"/>
      <c r="Z1015" s="124"/>
      <c r="AA1015" s="74"/>
      <c r="AB1015" s="240"/>
      <c r="AD1015" s="124"/>
      <c r="AE1015" s="238"/>
      <c r="AF1015" s="239"/>
      <c r="AG1015" s="239"/>
      <c r="AH1015" s="124"/>
      <c r="AI1015" s="74"/>
      <c r="AJ1015" s="240"/>
      <c r="AL1015" s="124"/>
      <c r="AM1015" s="74"/>
      <c r="AP1015" s="125"/>
      <c r="AQ1015" s="241"/>
      <c r="AR1015" s="125"/>
      <c r="AS1015" s="125"/>
      <c r="AT1015" s="238"/>
      <c r="AU1015" s="125"/>
      <c r="AV1015" s="125"/>
      <c r="AW1015" s="125"/>
      <c r="AX1015" s="238"/>
      <c r="AY1015" s="125"/>
      <c r="AZ1015" s="125"/>
      <c r="BA1015" s="125"/>
    </row>
    <row r="1016" spans="2:53" s="123" customFormat="1">
      <c r="B1016" s="125"/>
      <c r="D1016" s="125"/>
      <c r="I1016" s="125"/>
      <c r="Z1016" s="124"/>
      <c r="AA1016" s="74"/>
      <c r="AB1016" s="240"/>
      <c r="AD1016" s="124"/>
      <c r="AE1016" s="238"/>
      <c r="AF1016" s="239"/>
      <c r="AG1016" s="239"/>
      <c r="AH1016" s="124"/>
      <c r="AI1016" s="74"/>
      <c r="AJ1016" s="240"/>
      <c r="AL1016" s="124"/>
      <c r="AM1016" s="74"/>
      <c r="AP1016" s="125"/>
      <c r="AQ1016" s="241"/>
      <c r="AR1016" s="125"/>
      <c r="AS1016" s="125"/>
      <c r="AT1016" s="238"/>
      <c r="AU1016" s="125"/>
      <c r="AV1016" s="125"/>
      <c r="AW1016" s="125"/>
      <c r="AX1016" s="238"/>
      <c r="AY1016" s="125"/>
      <c r="AZ1016" s="125"/>
      <c r="BA1016" s="125"/>
    </row>
    <row r="1017" spans="2:53" s="123" customFormat="1">
      <c r="B1017" s="125"/>
      <c r="D1017" s="125"/>
      <c r="I1017" s="125"/>
      <c r="Z1017" s="124"/>
      <c r="AA1017" s="74"/>
      <c r="AB1017" s="240"/>
      <c r="AD1017" s="124"/>
      <c r="AE1017" s="238"/>
      <c r="AF1017" s="239"/>
      <c r="AG1017" s="239"/>
      <c r="AH1017" s="124"/>
      <c r="AI1017" s="74"/>
      <c r="AJ1017" s="240"/>
      <c r="AL1017" s="124"/>
      <c r="AM1017" s="74"/>
      <c r="AP1017" s="125"/>
      <c r="AQ1017" s="241"/>
      <c r="AR1017" s="125"/>
      <c r="AS1017" s="125"/>
      <c r="AT1017" s="238"/>
      <c r="AU1017" s="125"/>
      <c r="AV1017" s="125"/>
      <c r="AW1017" s="125"/>
      <c r="AX1017" s="238"/>
      <c r="AY1017" s="125"/>
      <c r="AZ1017" s="125"/>
      <c r="BA1017" s="125"/>
    </row>
    <row r="1018" spans="2:53" s="123" customFormat="1">
      <c r="B1018" s="125"/>
      <c r="D1018" s="125"/>
      <c r="I1018" s="125"/>
      <c r="Z1018" s="124"/>
      <c r="AA1018" s="74"/>
      <c r="AB1018" s="240"/>
      <c r="AD1018" s="124"/>
      <c r="AE1018" s="238"/>
      <c r="AF1018" s="239"/>
      <c r="AG1018" s="239"/>
      <c r="AH1018" s="124"/>
      <c r="AI1018" s="74"/>
      <c r="AJ1018" s="240"/>
      <c r="AL1018" s="124"/>
      <c r="AM1018" s="74"/>
      <c r="AP1018" s="125"/>
      <c r="AQ1018" s="241"/>
      <c r="AR1018" s="125"/>
      <c r="AS1018" s="125"/>
      <c r="AT1018" s="238"/>
      <c r="AU1018" s="125"/>
      <c r="AV1018" s="125"/>
      <c r="AW1018" s="125"/>
      <c r="AX1018" s="238"/>
      <c r="AY1018" s="125"/>
      <c r="AZ1018" s="125"/>
      <c r="BA1018" s="125"/>
    </row>
    <row r="1019" spans="2:53" s="123" customFormat="1">
      <c r="B1019" s="125"/>
      <c r="D1019" s="125"/>
      <c r="I1019" s="125"/>
      <c r="Z1019" s="124"/>
      <c r="AA1019" s="74"/>
      <c r="AB1019" s="240"/>
      <c r="AD1019" s="124"/>
      <c r="AE1019" s="238"/>
      <c r="AF1019" s="239"/>
      <c r="AG1019" s="239"/>
      <c r="AH1019" s="124"/>
      <c r="AI1019" s="74"/>
      <c r="AJ1019" s="240"/>
      <c r="AL1019" s="124"/>
      <c r="AM1019" s="74"/>
      <c r="AP1019" s="125"/>
      <c r="AQ1019" s="241"/>
      <c r="AR1019" s="125"/>
      <c r="AS1019" s="125"/>
      <c r="AT1019" s="238"/>
      <c r="AU1019" s="125"/>
      <c r="AV1019" s="125"/>
      <c r="AW1019" s="125"/>
      <c r="AX1019" s="238"/>
      <c r="AY1019" s="125"/>
      <c r="AZ1019" s="125"/>
      <c r="BA1019" s="125"/>
    </row>
    <row r="1020" spans="2:53" s="123" customFormat="1">
      <c r="B1020" s="125"/>
      <c r="D1020" s="125"/>
      <c r="I1020" s="125"/>
      <c r="Z1020" s="124"/>
      <c r="AA1020" s="74"/>
      <c r="AB1020" s="240"/>
      <c r="AD1020" s="124"/>
      <c r="AE1020" s="238"/>
      <c r="AF1020" s="239"/>
      <c r="AG1020" s="239"/>
      <c r="AH1020" s="124"/>
      <c r="AI1020" s="74"/>
      <c r="AJ1020" s="240"/>
      <c r="AL1020" s="124"/>
      <c r="AM1020" s="74"/>
      <c r="AP1020" s="125"/>
      <c r="AQ1020" s="241"/>
      <c r="AR1020" s="125"/>
      <c r="AS1020" s="125"/>
      <c r="AT1020" s="238"/>
      <c r="AU1020" s="125"/>
      <c r="AV1020" s="125"/>
      <c r="AW1020" s="125"/>
      <c r="AX1020" s="238"/>
      <c r="AY1020" s="125"/>
      <c r="AZ1020" s="125"/>
      <c r="BA1020" s="125"/>
    </row>
    <row r="1021" spans="2:53" s="123" customFormat="1">
      <c r="B1021" s="125"/>
      <c r="D1021" s="125"/>
      <c r="I1021" s="125"/>
      <c r="Z1021" s="124"/>
      <c r="AA1021" s="74"/>
      <c r="AB1021" s="240"/>
      <c r="AD1021" s="124"/>
      <c r="AE1021" s="238"/>
      <c r="AF1021" s="239"/>
      <c r="AG1021" s="239"/>
      <c r="AH1021" s="124"/>
      <c r="AI1021" s="74"/>
      <c r="AJ1021" s="240"/>
      <c r="AL1021" s="124"/>
      <c r="AM1021" s="74"/>
      <c r="AP1021" s="125"/>
      <c r="AQ1021" s="241"/>
      <c r="AR1021" s="125"/>
      <c r="AS1021" s="125"/>
      <c r="AT1021" s="238"/>
      <c r="AU1021" s="125"/>
      <c r="AV1021" s="125"/>
      <c r="AW1021" s="125"/>
      <c r="AX1021" s="238"/>
      <c r="AY1021" s="125"/>
      <c r="AZ1021" s="125"/>
      <c r="BA1021" s="125"/>
    </row>
    <row r="1022" spans="2:53" s="123" customFormat="1">
      <c r="B1022" s="125"/>
      <c r="D1022" s="125"/>
      <c r="I1022" s="125"/>
      <c r="Z1022" s="124"/>
      <c r="AA1022" s="74"/>
      <c r="AB1022" s="240"/>
      <c r="AD1022" s="124"/>
      <c r="AE1022" s="238"/>
      <c r="AF1022" s="239"/>
      <c r="AG1022" s="239"/>
      <c r="AH1022" s="124"/>
      <c r="AI1022" s="74"/>
      <c r="AJ1022" s="240"/>
      <c r="AL1022" s="124"/>
      <c r="AM1022" s="74"/>
      <c r="AP1022" s="125"/>
      <c r="AQ1022" s="241"/>
      <c r="AR1022" s="125"/>
      <c r="AS1022" s="125"/>
      <c r="AT1022" s="238"/>
      <c r="AU1022" s="125"/>
      <c r="AV1022" s="125"/>
      <c r="AW1022" s="125"/>
      <c r="AX1022" s="238"/>
      <c r="AY1022" s="125"/>
      <c r="AZ1022" s="125"/>
      <c r="BA1022" s="125"/>
    </row>
    <row r="1023" spans="2:53" s="123" customFormat="1">
      <c r="B1023" s="125"/>
      <c r="D1023" s="125"/>
      <c r="I1023" s="125"/>
      <c r="Z1023" s="124"/>
      <c r="AA1023" s="74"/>
      <c r="AB1023" s="240"/>
      <c r="AD1023" s="124"/>
      <c r="AE1023" s="238"/>
      <c r="AF1023" s="239"/>
      <c r="AG1023" s="239"/>
      <c r="AH1023" s="124"/>
      <c r="AI1023" s="74"/>
      <c r="AJ1023" s="240"/>
      <c r="AL1023" s="124"/>
      <c r="AM1023" s="74"/>
      <c r="AP1023" s="125"/>
      <c r="AQ1023" s="241"/>
      <c r="AR1023" s="125"/>
      <c r="AS1023" s="125"/>
      <c r="AT1023" s="238"/>
      <c r="AU1023" s="125"/>
      <c r="AV1023" s="125"/>
      <c r="AW1023" s="125"/>
      <c r="AX1023" s="238"/>
      <c r="AY1023" s="125"/>
      <c r="AZ1023" s="125"/>
      <c r="BA1023" s="125"/>
    </row>
    <row r="1024" spans="2:53" s="123" customFormat="1">
      <c r="B1024" s="125"/>
      <c r="D1024" s="125"/>
      <c r="I1024" s="125"/>
      <c r="Z1024" s="124"/>
      <c r="AA1024" s="74"/>
      <c r="AB1024" s="240"/>
      <c r="AD1024" s="124"/>
      <c r="AE1024" s="238"/>
      <c r="AF1024" s="239"/>
      <c r="AG1024" s="239"/>
      <c r="AH1024" s="124"/>
      <c r="AI1024" s="74"/>
      <c r="AJ1024" s="240"/>
      <c r="AL1024" s="124"/>
      <c r="AM1024" s="74"/>
      <c r="AP1024" s="125"/>
      <c r="AQ1024" s="241"/>
      <c r="AR1024" s="125"/>
      <c r="AS1024" s="125"/>
      <c r="AT1024" s="238"/>
      <c r="AU1024" s="125"/>
      <c r="AV1024" s="125"/>
      <c r="AW1024" s="125"/>
      <c r="AX1024" s="238"/>
      <c r="AY1024" s="125"/>
      <c r="AZ1024" s="125"/>
      <c r="BA1024" s="125"/>
    </row>
    <row r="1025" spans="2:53" s="123" customFormat="1">
      <c r="B1025" s="125"/>
      <c r="D1025" s="125"/>
      <c r="I1025" s="125"/>
      <c r="Z1025" s="124"/>
      <c r="AA1025" s="74"/>
      <c r="AB1025" s="240"/>
      <c r="AD1025" s="124"/>
      <c r="AE1025" s="238"/>
      <c r="AF1025" s="239"/>
      <c r="AG1025" s="239"/>
      <c r="AH1025" s="124"/>
      <c r="AI1025" s="74"/>
      <c r="AJ1025" s="240"/>
      <c r="AL1025" s="124"/>
      <c r="AM1025" s="74"/>
      <c r="AP1025" s="125"/>
      <c r="AQ1025" s="241"/>
      <c r="AR1025" s="125"/>
      <c r="AS1025" s="125"/>
      <c r="AT1025" s="238"/>
      <c r="AU1025" s="125"/>
      <c r="AV1025" s="125"/>
      <c r="AW1025" s="125"/>
      <c r="AX1025" s="238"/>
      <c r="AY1025" s="125"/>
      <c r="AZ1025" s="125"/>
      <c r="BA1025" s="125"/>
    </row>
    <row r="1026" spans="2:53" s="123" customFormat="1">
      <c r="B1026" s="125"/>
      <c r="D1026" s="125"/>
      <c r="I1026" s="125"/>
      <c r="Z1026" s="124"/>
      <c r="AA1026" s="74"/>
      <c r="AB1026" s="240"/>
      <c r="AD1026" s="124"/>
      <c r="AE1026" s="238"/>
      <c r="AF1026" s="239"/>
      <c r="AG1026" s="239"/>
      <c r="AH1026" s="124"/>
      <c r="AI1026" s="74"/>
      <c r="AJ1026" s="240"/>
      <c r="AL1026" s="124"/>
      <c r="AM1026" s="74"/>
      <c r="AP1026" s="125"/>
      <c r="AQ1026" s="241"/>
      <c r="AR1026" s="125"/>
      <c r="AS1026" s="125"/>
      <c r="AT1026" s="238"/>
      <c r="AU1026" s="125"/>
      <c r="AV1026" s="125"/>
      <c r="AW1026" s="125"/>
      <c r="AX1026" s="238"/>
      <c r="AY1026" s="125"/>
      <c r="AZ1026" s="125"/>
      <c r="BA1026" s="125"/>
    </row>
    <row r="1027" spans="2:53" s="123" customFormat="1">
      <c r="B1027" s="125"/>
      <c r="D1027" s="125"/>
      <c r="I1027" s="125"/>
      <c r="Z1027" s="124"/>
      <c r="AA1027" s="74"/>
      <c r="AB1027" s="240"/>
      <c r="AD1027" s="124"/>
      <c r="AE1027" s="238"/>
      <c r="AF1027" s="239"/>
      <c r="AG1027" s="239"/>
      <c r="AH1027" s="124"/>
      <c r="AI1027" s="74"/>
      <c r="AJ1027" s="240"/>
      <c r="AL1027" s="124"/>
      <c r="AM1027" s="74"/>
      <c r="AP1027" s="125"/>
      <c r="AQ1027" s="241"/>
      <c r="AR1027" s="125"/>
      <c r="AS1027" s="125"/>
      <c r="AT1027" s="238"/>
      <c r="AU1027" s="125"/>
      <c r="AV1027" s="125"/>
      <c r="AW1027" s="125"/>
      <c r="AX1027" s="238"/>
      <c r="AY1027" s="125"/>
      <c r="AZ1027" s="125"/>
      <c r="BA1027" s="125"/>
    </row>
    <row r="1028" spans="2:53" s="123" customFormat="1">
      <c r="B1028" s="125"/>
      <c r="D1028" s="125"/>
      <c r="I1028" s="125"/>
      <c r="Z1028" s="124"/>
      <c r="AA1028" s="74"/>
      <c r="AB1028" s="240"/>
      <c r="AD1028" s="124"/>
      <c r="AE1028" s="238"/>
      <c r="AF1028" s="239"/>
      <c r="AG1028" s="239"/>
      <c r="AH1028" s="124"/>
      <c r="AI1028" s="74"/>
      <c r="AJ1028" s="240"/>
      <c r="AL1028" s="124"/>
      <c r="AM1028" s="74"/>
      <c r="AP1028" s="125"/>
      <c r="AQ1028" s="241"/>
      <c r="AR1028" s="125"/>
      <c r="AS1028" s="125"/>
      <c r="AT1028" s="238"/>
      <c r="AU1028" s="125"/>
      <c r="AV1028" s="125"/>
      <c r="AW1028" s="125"/>
      <c r="AX1028" s="238"/>
      <c r="AY1028" s="125"/>
      <c r="AZ1028" s="125"/>
      <c r="BA1028" s="125"/>
    </row>
    <row r="1029" spans="2:53" s="123" customFormat="1">
      <c r="B1029" s="125"/>
      <c r="D1029" s="125"/>
      <c r="I1029" s="125"/>
      <c r="Z1029" s="124"/>
      <c r="AA1029" s="74"/>
      <c r="AB1029" s="240"/>
      <c r="AD1029" s="124"/>
      <c r="AE1029" s="238"/>
      <c r="AF1029" s="239"/>
      <c r="AG1029" s="239"/>
      <c r="AH1029" s="124"/>
      <c r="AI1029" s="74"/>
      <c r="AJ1029" s="240"/>
      <c r="AL1029" s="124"/>
      <c r="AM1029" s="74"/>
      <c r="AP1029" s="125"/>
      <c r="AQ1029" s="241"/>
      <c r="AR1029" s="125"/>
      <c r="AS1029" s="125"/>
      <c r="AT1029" s="238"/>
      <c r="AU1029" s="125"/>
      <c r="AV1029" s="125"/>
      <c r="AW1029" s="125"/>
      <c r="AX1029" s="238"/>
      <c r="AY1029" s="125"/>
      <c r="AZ1029" s="125"/>
      <c r="BA1029" s="125"/>
    </row>
    <row r="1030" spans="2:53" s="123" customFormat="1">
      <c r="B1030" s="125"/>
      <c r="D1030" s="125"/>
      <c r="I1030" s="125"/>
      <c r="Z1030" s="124"/>
      <c r="AA1030" s="74"/>
      <c r="AB1030" s="240"/>
      <c r="AD1030" s="124"/>
      <c r="AE1030" s="238"/>
      <c r="AF1030" s="239"/>
      <c r="AG1030" s="239"/>
      <c r="AH1030" s="124"/>
      <c r="AI1030" s="74"/>
      <c r="AJ1030" s="240"/>
      <c r="AL1030" s="124"/>
      <c r="AM1030" s="74"/>
      <c r="AP1030" s="125"/>
      <c r="AQ1030" s="241"/>
      <c r="AR1030" s="125"/>
      <c r="AS1030" s="125"/>
      <c r="AT1030" s="238"/>
      <c r="AU1030" s="125"/>
      <c r="AV1030" s="125"/>
      <c r="AW1030" s="125"/>
      <c r="AX1030" s="238"/>
      <c r="AY1030" s="125"/>
      <c r="AZ1030" s="125"/>
      <c r="BA1030" s="125"/>
    </row>
    <row r="1031" spans="2:53" s="123" customFormat="1">
      <c r="B1031" s="125"/>
      <c r="D1031" s="125"/>
      <c r="I1031" s="125"/>
      <c r="Z1031" s="124"/>
      <c r="AA1031" s="74"/>
      <c r="AB1031" s="240"/>
      <c r="AD1031" s="124"/>
      <c r="AE1031" s="238"/>
      <c r="AF1031" s="239"/>
      <c r="AG1031" s="239"/>
      <c r="AH1031" s="124"/>
      <c r="AI1031" s="74"/>
      <c r="AJ1031" s="240"/>
      <c r="AL1031" s="124"/>
      <c r="AM1031" s="74"/>
      <c r="AP1031" s="125"/>
      <c r="AQ1031" s="241"/>
      <c r="AR1031" s="125"/>
      <c r="AS1031" s="125"/>
      <c r="AT1031" s="238"/>
      <c r="AU1031" s="125"/>
      <c r="AV1031" s="125"/>
      <c r="AW1031" s="125"/>
      <c r="AX1031" s="238"/>
      <c r="AY1031" s="125"/>
      <c r="AZ1031" s="125"/>
      <c r="BA1031" s="125"/>
    </row>
    <row r="1032" spans="2:53" s="123" customFormat="1">
      <c r="B1032" s="125"/>
      <c r="D1032" s="125"/>
      <c r="I1032" s="125"/>
      <c r="Z1032" s="124"/>
      <c r="AA1032" s="74"/>
      <c r="AB1032" s="240"/>
      <c r="AD1032" s="124"/>
      <c r="AE1032" s="238"/>
      <c r="AF1032" s="239"/>
      <c r="AG1032" s="239"/>
      <c r="AH1032" s="124"/>
      <c r="AI1032" s="74"/>
      <c r="AJ1032" s="240"/>
      <c r="AL1032" s="124"/>
      <c r="AM1032" s="74"/>
      <c r="AP1032" s="125"/>
      <c r="AQ1032" s="241"/>
      <c r="AR1032" s="125"/>
      <c r="AS1032" s="125"/>
      <c r="AT1032" s="238"/>
      <c r="AU1032" s="125"/>
      <c r="AV1032" s="125"/>
      <c r="AW1032" s="125"/>
      <c r="AX1032" s="238"/>
      <c r="AY1032" s="125"/>
      <c r="AZ1032" s="125"/>
      <c r="BA1032" s="125"/>
    </row>
    <row r="1033" spans="2:53" s="123" customFormat="1">
      <c r="B1033" s="125"/>
      <c r="D1033" s="125"/>
      <c r="I1033" s="125"/>
      <c r="Z1033" s="124"/>
      <c r="AA1033" s="74"/>
      <c r="AB1033" s="240"/>
      <c r="AD1033" s="124"/>
      <c r="AE1033" s="238"/>
      <c r="AF1033" s="239"/>
      <c r="AG1033" s="239"/>
      <c r="AH1033" s="124"/>
      <c r="AI1033" s="74"/>
      <c r="AJ1033" s="240"/>
      <c r="AL1033" s="124"/>
      <c r="AM1033" s="74"/>
      <c r="AP1033" s="125"/>
      <c r="AQ1033" s="241"/>
      <c r="AR1033" s="125"/>
      <c r="AS1033" s="125"/>
      <c r="AT1033" s="238"/>
      <c r="AU1033" s="125"/>
      <c r="AV1033" s="125"/>
      <c r="AW1033" s="125"/>
      <c r="AX1033" s="238"/>
      <c r="AY1033" s="125"/>
      <c r="AZ1033" s="125"/>
      <c r="BA1033" s="125"/>
    </row>
    <row r="1034" spans="2:53" s="123" customFormat="1">
      <c r="B1034" s="125"/>
      <c r="D1034" s="125"/>
      <c r="I1034" s="125"/>
      <c r="Z1034" s="124"/>
      <c r="AA1034" s="74"/>
      <c r="AB1034" s="240"/>
      <c r="AD1034" s="124"/>
      <c r="AE1034" s="238"/>
      <c r="AF1034" s="239"/>
      <c r="AG1034" s="239"/>
      <c r="AH1034" s="124"/>
      <c r="AI1034" s="74"/>
      <c r="AJ1034" s="240"/>
      <c r="AL1034" s="124"/>
      <c r="AM1034" s="74"/>
      <c r="AP1034" s="125"/>
      <c r="AQ1034" s="241"/>
      <c r="AR1034" s="125"/>
      <c r="AS1034" s="125"/>
      <c r="AT1034" s="238"/>
      <c r="AU1034" s="125"/>
      <c r="AV1034" s="125"/>
      <c r="AW1034" s="125"/>
      <c r="AX1034" s="238"/>
      <c r="AY1034" s="125"/>
      <c r="AZ1034" s="125"/>
      <c r="BA1034" s="125"/>
    </row>
    <row r="1035" spans="2:53" s="123" customFormat="1">
      <c r="B1035" s="125"/>
      <c r="D1035" s="125"/>
      <c r="I1035" s="125"/>
      <c r="Z1035" s="124"/>
      <c r="AA1035" s="74"/>
      <c r="AB1035" s="240"/>
      <c r="AD1035" s="124"/>
      <c r="AE1035" s="238"/>
      <c r="AF1035" s="239"/>
      <c r="AG1035" s="239"/>
      <c r="AH1035" s="124"/>
      <c r="AI1035" s="74"/>
      <c r="AJ1035" s="240"/>
      <c r="AL1035" s="124"/>
      <c r="AM1035" s="74"/>
      <c r="AP1035" s="125"/>
      <c r="AQ1035" s="241"/>
      <c r="AR1035" s="125"/>
      <c r="AS1035" s="125"/>
      <c r="AT1035" s="238"/>
      <c r="AU1035" s="125"/>
      <c r="AV1035" s="125"/>
      <c r="AW1035" s="125"/>
      <c r="AX1035" s="238"/>
      <c r="AY1035" s="125"/>
      <c r="AZ1035" s="125"/>
      <c r="BA1035" s="125"/>
    </row>
    <row r="1036" spans="2:53" s="123" customFormat="1">
      <c r="B1036" s="125"/>
      <c r="D1036" s="125"/>
      <c r="I1036" s="125"/>
      <c r="Z1036" s="124"/>
      <c r="AA1036" s="74"/>
      <c r="AB1036" s="240"/>
      <c r="AD1036" s="124"/>
      <c r="AE1036" s="238"/>
      <c r="AF1036" s="239"/>
      <c r="AG1036" s="239"/>
      <c r="AH1036" s="124"/>
      <c r="AI1036" s="74"/>
      <c r="AJ1036" s="240"/>
      <c r="AL1036" s="124"/>
      <c r="AM1036" s="74"/>
      <c r="AP1036" s="125"/>
      <c r="AQ1036" s="241"/>
      <c r="AR1036" s="125"/>
      <c r="AS1036" s="125"/>
      <c r="AT1036" s="238"/>
      <c r="AU1036" s="125"/>
      <c r="AV1036" s="125"/>
      <c r="AW1036" s="125"/>
      <c r="AX1036" s="238"/>
      <c r="AY1036" s="125"/>
      <c r="AZ1036" s="125"/>
      <c r="BA1036" s="125"/>
    </row>
    <row r="1037" spans="2:53" s="123" customFormat="1">
      <c r="B1037" s="125"/>
      <c r="D1037" s="125"/>
      <c r="I1037" s="125"/>
      <c r="Z1037" s="124"/>
      <c r="AA1037" s="74"/>
      <c r="AB1037" s="240"/>
      <c r="AD1037" s="124"/>
      <c r="AE1037" s="238"/>
      <c r="AF1037" s="239"/>
      <c r="AG1037" s="239"/>
      <c r="AH1037" s="124"/>
      <c r="AI1037" s="74"/>
      <c r="AJ1037" s="240"/>
      <c r="AL1037" s="124"/>
      <c r="AM1037" s="74"/>
      <c r="AP1037" s="125"/>
      <c r="AQ1037" s="241"/>
      <c r="AR1037" s="125"/>
      <c r="AS1037" s="125"/>
      <c r="AT1037" s="238"/>
      <c r="AU1037" s="125"/>
      <c r="AV1037" s="125"/>
      <c r="AW1037" s="125"/>
      <c r="AX1037" s="238"/>
      <c r="AY1037" s="125"/>
      <c r="AZ1037" s="125"/>
      <c r="BA1037" s="125"/>
    </row>
    <row r="1038" spans="2:53" s="123" customFormat="1">
      <c r="B1038" s="125"/>
      <c r="D1038" s="125"/>
      <c r="I1038" s="125"/>
      <c r="Z1038" s="124"/>
      <c r="AA1038" s="74"/>
      <c r="AB1038" s="240"/>
      <c r="AD1038" s="124"/>
      <c r="AE1038" s="238"/>
      <c r="AF1038" s="239"/>
      <c r="AG1038" s="239"/>
      <c r="AH1038" s="124"/>
      <c r="AI1038" s="74"/>
      <c r="AJ1038" s="240"/>
      <c r="AL1038" s="124"/>
      <c r="AM1038" s="74"/>
      <c r="AP1038" s="125"/>
      <c r="AQ1038" s="241"/>
      <c r="AR1038" s="125"/>
      <c r="AS1038" s="125"/>
      <c r="AT1038" s="238"/>
      <c r="AU1038" s="125"/>
      <c r="AV1038" s="125"/>
      <c r="AW1038" s="125"/>
      <c r="AX1038" s="238"/>
      <c r="AY1038" s="125"/>
      <c r="AZ1038" s="125"/>
      <c r="BA1038" s="125"/>
    </row>
    <row r="1039" spans="2:53" s="123" customFormat="1">
      <c r="B1039" s="125"/>
      <c r="D1039" s="125"/>
      <c r="I1039" s="125"/>
      <c r="Z1039" s="124"/>
      <c r="AA1039" s="74"/>
      <c r="AB1039" s="240"/>
      <c r="AD1039" s="124"/>
      <c r="AE1039" s="238"/>
      <c r="AF1039" s="239"/>
      <c r="AG1039" s="239"/>
      <c r="AH1039" s="124"/>
      <c r="AI1039" s="74"/>
      <c r="AJ1039" s="240"/>
      <c r="AL1039" s="124"/>
      <c r="AM1039" s="74"/>
      <c r="AP1039" s="125"/>
      <c r="AQ1039" s="241"/>
      <c r="AR1039" s="125"/>
      <c r="AS1039" s="125"/>
      <c r="AT1039" s="238"/>
      <c r="AU1039" s="125"/>
      <c r="AV1039" s="125"/>
      <c r="AW1039" s="125"/>
      <c r="AX1039" s="238"/>
      <c r="AY1039" s="125"/>
      <c r="AZ1039" s="125"/>
      <c r="BA1039" s="125"/>
    </row>
    <row r="1040" spans="2:53" s="123" customFormat="1">
      <c r="B1040" s="125"/>
      <c r="D1040" s="125"/>
      <c r="I1040" s="125"/>
      <c r="Z1040" s="124"/>
      <c r="AA1040" s="74"/>
      <c r="AB1040" s="240"/>
      <c r="AD1040" s="124"/>
      <c r="AE1040" s="238"/>
      <c r="AF1040" s="239"/>
      <c r="AG1040" s="239"/>
      <c r="AH1040" s="124"/>
      <c r="AI1040" s="74"/>
      <c r="AJ1040" s="240"/>
      <c r="AL1040" s="124"/>
      <c r="AM1040" s="74"/>
      <c r="AP1040" s="125"/>
      <c r="AQ1040" s="241"/>
      <c r="AR1040" s="125"/>
      <c r="AS1040" s="125"/>
      <c r="AT1040" s="238"/>
      <c r="AU1040" s="125"/>
      <c r="AV1040" s="125"/>
      <c r="AW1040" s="125"/>
      <c r="AX1040" s="238"/>
      <c r="AY1040" s="125"/>
      <c r="AZ1040" s="125"/>
      <c r="BA1040" s="125"/>
    </row>
    <row r="1041" spans="2:53" s="123" customFormat="1">
      <c r="B1041" s="125"/>
      <c r="D1041" s="125"/>
      <c r="I1041" s="125"/>
      <c r="Z1041" s="124"/>
      <c r="AA1041" s="74"/>
      <c r="AB1041" s="240"/>
      <c r="AD1041" s="124"/>
      <c r="AE1041" s="238"/>
      <c r="AF1041" s="239"/>
      <c r="AG1041" s="239"/>
      <c r="AH1041" s="124"/>
      <c r="AI1041" s="74"/>
      <c r="AJ1041" s="240"/>
      <c r="AL1041" s="124"/>
      <c r="AM1041" s="74"/>
      <c r="AP1041" s="125"/>
      <c r="AQ1041" s="241"/>
      <c r="AR1041" s="125"/>
      <c r="AS1041" s="125"/>
      <c r="AT1041" s="238"/>
      <c r="AU1041" s="125"/>
      <c r="AV1041" s="125"/>
      <c r="AW1041" s="125"/>
      <c r="AX1041" s="238"/>
      <c r="AY1041" s="125"/>
      <c r="AZ1041" s="125"/>
      <c r="BA1041" s="125"/>
    </row>
    <row r="1042" spans="2:53" s="123" customFormat="1">
      <c r="B1042" s="125"/>
      <c r="D1042" s="125"/>
      <c r="I1042" s="125"/>
      <c r="Z1042" s="124"/>
      <c r="AA1042" s="74"/>
      <c r="AB1042" s="240"/>
      <c r="AD1042" s="124"/>
      <c r="AE1042" s="238"/>
      <c r="AF1042" s="239"/>
      <c r="AG1042" s="239"/>
      <c r="AH1042" s="124"/>
      <c r="AI1042" s="74"/>
      <c r="AJ1042" s="240"/>
      <c r="AL1042" s="124"/>
      <c r="AM1042" s="74"/>
      <c r="AP1042" s="125"/>
      <c r="AQ1042" s="241"/>
      <c r="AR1042" s="125"/>
      <c r="AS1042" s="125"/>
      <c r="AT1042" s="238"/>
      <c r="AU1042" s="125"/>
      <c r="AV1042" s="125"/>
      <c r="AW1042" s="125"/>
      <c r="AX1042" s="238"/>
      <c r="AY1042" s="125"/>
      <c r="AZ1042" s="125"/>
      <c r="BA1042" s="125"/>
    </row>
    <row r="1043" spans="2:53" s="123" customFormat="1">
      <c r="B1043" s="125"/>
      <c r="D1043" s="125"/>
      <c r="I1043" s="125"/>
      <c r="Z1043" s="124"/>
      <c r="AA1043" s="74"/>
      <c r="AB1043" s="240"/>
      <c r="AD1043" s="124"/>
      <c r="AE1043" s="238"/>
      <c r="AF1043" s="239"/>
      <c r="AG1043" s="239"/>
      <c r="AH1043" s="124"/>
      <c r="AI1043" s="74"/>
      <c r="AJ1043" s="240"/>
      <c r="AL1043" s="124"/>
      <c r="AM1043" s="74"/>
      <c r="AP1043" s="125"/>
      <c r="AQ1043" s="241"/>
      <c r="AR1043" s="125"/>
      <c r="AS1043" s="125"/>
      <c r="AT1043" s="238"/>
      <c r="AU1043" s="125"/>
      <c r="AV1043" s="125"/>
      <c r="AW1043" s="125"/>
      <c r="AX1043" s="238"/>
      <c r="AY1043" s="125"/>
      <c r="AZ1043" s="125"/>
      <c r="BA1043" s="125"/>
    </row>
    <row r="1044" spans="2:53" s="123" customFormat="1">
      <c r="B1044" s="125"/>
      <c r="D1044" s="125"/>
      <c r="I1044" s="125"/>
      <c r="Z1044" s="124"/>
      <c r="AA1044" s="74"/>
      <c r="AB1044" s="240"/>
      <c r="AD1044" s="124"/>
      <c r="AE1044" s="238"/>
      <c r="AF1044" s="239"/>
      <c r="AG1044" s="239"/>
      <c r="AH1044" s="124"/>
      <c r="AI1044" s="74"/>
      <c r="AJ1044" s="240"/>
      <c r="AL1044" s="124"/>
      <c r="AM1044" s="74"/>
      <c r="AP1044" s="125"/>
      <c r="AQ1044" s="241"/>
      <c r="AR1044" s="125"/>
      <c r="AS1044" s="125"/>
      <c r="AT1044" s="238"/>
      <c r="AU1044" s="125"/>
      <c r="AV1044" s="125"/>
      <c r="AW1044" s="125"/>
      <c r="AX1044" s="238"/>
      <c r="AY1044" s="125"/>
      <c r="AZ1044" s="125"/>
      <c r="BA1044" s="125"/>
    </row>
    <row r="1045" spans="2:53" s="123" customFormat="1">
      <c r="B1045" s="125"/>
      <c r="D1045" s="125"/>
      <c r="I1045" s="125"/>
      <c r="Z1045" s="124"/>
      <c r="AA1045" s="74"/>
      <c r="AB1045" s="240"/>
      <c r="AD1045" s="124"/>
      <c r="AE1045" s="238"/>
      <c r="AF1045" s="239"/>
      <c r="AG1045" s="239"/>
      <c r="AH1045" s="124"/>
      <c r="AI1045" s="74"/>
      <c r="AJ1045" s="240"/>
      <c r="AL1045" s="124"/>
      <c r="AM1045" s="74"/>
      <c r="AP1045" s="125"/>
      <c r="AQ1045" s="241"/>
      <c r="AR1045" s="125"/>
      <c r="AS1045" s="125"/>
      <c r="AT1045" s="238"/>
      <c r="AU1045" s="125"/>
      <c r="AV1045" s="125"/>
      <c r="AW1045" s="125"/>
      <c r="AX1045" s="238"/>
      <c r="AY1045" s="125"/>
      <c r="AZ1045" s="125"/>
      <c r="BA1045" s="125"/>
    </row>
    <row r="1046" spans="2:53" s="123" customFormat="1">
      <c r="B1046" s="125"/>
      <c r="D1046" s="125"/>
      <c r="I1046" s="125"/>
      <c r="Z1046" s="124"/>
      <c r="AA1046" s="74"/>
      <c r="AB1046" s="240"/>
      <c r="AD1046" s="124"/>
      <c r="AE1046" s="238"/>
      <c r="AF1046" s="239"/>
      <c r="AG1046" s="239"/>
      <c r="AH1046" s="124"/>
      <c r="AI1046" s="74"/>
      <c r="AJ1046" s="240"/>
      <c r="AL1046" s="124"/>
      <c r="AM1046" s="74"/>
      <c r="AP1046" s="125"/>
      <c r="AQ1046" s="241"/>
      <c r="AR1046" s="125"/>
      <c r="AS1046" s="125"/>
      <c r="AT1046" s="238"/>
      <c r="AU1046" s="125"/>
      <c r="AV1046" s="125"/>
      <c r="AW1046" s="125"/>
      <c r="AX1046" s="238"/>
      <c r="AY1046" s="125"/>
      <c r="AZ1046" s="125"/>
      <c r="BA1046" s="125"/>
    </row>
    <row r="1047" spans="2:53" s="123" customFormat="1">
      <c r="B1047" s="125"/>
      <c r="D1047" s="125"/>
      <c r="I1047" s="125"/>
      <c r="Z1047" s="124"/>
      <c r="AA1047" s="74"/>
      <c r="AB1047" s="240"/>
      <c r="AD1047" s="124"/>
      <c r="AE1047" s="238"/>
      <c r="AF1047" s="239"/>
      <c r="AG1047" s="239"/>
      <c r="AH1047" s="124"/>
      <c r="AI1047" s="74"/>
      <c r="AJ1047" s="240"/>
      <c r="AL1047" s="124"/>
      <c r="AM1047" s="74"/>
      <c r="AP1047" s="125"/>
      <c r="AQ1047" s="241"/>
      <c r="AR1047" s="125"/>
      <c r="AS1047" s="125"/>
      <c r="AT1047" s="238"/>
      <c r="AU1047" s="125"/>
      <c r="AV1047" s="125"/>
      <c r="AW1047" s="125"/>
      <c r="AX1047" s="238"/>
      <c r="AY1047" s="125"/>
      <c r="AZ1047" s="125"/>
      <c r="BA1047" s="125"/>
    </row>
    <row r="1048" spans="2:53" s="123" customFormat="1">
      <c r="B1048" s="125"/>
      <c r="D1048" s="125"/>
      <c r="I1048" s="125"/>
      <c r="Z1048" s="124"/>
      <c r="AA1048" s="74"/>
      <c r="AB1048" s="240"/>
      <c r="AD1048" s="124"/>
      <c r="AE1048" s="238"/>
      <c r="AF1048" s="239"/>
      <c r="AG1048" s="239"/>
      <c r="AH1048" s="124"/>
      <c r="AI1048" s="74"/>
      <c r="AJ1048" s="240"/>
      <c r="AL1048" s="124"/>
      <c r="AM1048" s="74"/>
      <c r="AP1048" s="125"/>
      <c r="AQ1048" s="241"/>
      <c r="AR1048" s="125"/>
      <c r="AS1048" s="125"/>
      <c r="AT1048" s="238"/>
      <c r="AU1048" s="125"/>
      <c r="AV1048" s="125"/>
      <c r="AW1048" s="125"/>
      <c r="AX1048" s="238"/>
      <c r="AY1048" s="125"/>
      <c r="AZ1048" s="125"/>
      <c r="BA1048" s="125"/>
    </row>
    <row r="1049" spans="2:53" s="123" customFormat="1">
      <c r="B1049" s="125"/>
      <c r="D1049" s="125"/>
      <c r="I1049" s="125"/>
      <c r="Z1049" s="124"/>
      <c r="AA1049" s="74"/>
      <c r="AB1049" s="240"/>
      <c r="AD1049" s="124"/>
      <c r="AE1049" s="238"/>
      <c r="AF1049" s="239"/>
      <c r="AG1049" s="239"/>
      <c r="AH1049" s="124"/>
      <c r="AI1049" s="74"/>
      <c r="AJ1049" s="240"/>
      <c r="AL1049" s="124"/>
      <c r="AM1049" s="74"/>
      <c r="AP1049" s="125"/>
      <c r="AQ1049" s="241"/>
      <c r="AR1049" s="125"/>
      <c r="AS1049" s="125"/>
      <c r="AT1049" s="238"/>
      <c r="AU1049" s="125"/>
      <c r="AV1049" s="125"/>
      <c r="AW1049" s="125"/>
      <c r="AX1049" s="238"/>
      <c r="AY1049" s="125"/>
      <c r="AZ1049" s="125"/>
      <c r="BA1049" s="125"/>
    </row>
    <row r="1050" spans="2:53" s="123" customFormat="1">
      <c r="B1050" s="125"/>
      <c r="D1050" s="125"/>
      <c r="I1050" s="125"/>
      <c r="Z1050" s="124"/>
      <c r="AA1050" s="74"/>
      <c r="AB1050" s="240"/>
      <c r="AD1050" s="124"/>
      <c r="AE1050" s="238"/>
      <c r="AF1050" s="239"/>
      <c r="AG1050" s="239"/>
      <c r="AH1050" s="124"/>
      <c r="AI1050" s="74"/>
      <c r="AJ1050" s="240"/>
      <c r="AL1050" s="124"/>
      <c r="AM1050" s="74"/>
      <c r="AP1050" s="125"/>
      <c r="AQ1050" s="241"/>
      <c r="AR1050" s="125"/>
      <c r="AS1050" s="125"/>
      <c r="AT1050" s="238"/>
      <c r="AU1050" s="125"/>
      <c r="AV1050" s="125"/>
      <c r="AW1050" s="125"/>
      <c r="AX1050" s="238"/>
      <c r="AY1050" s="125"/>
      <c r="AZ1050" s="125"/>
      <c r="BA1050" s="125"/>
    </row>
    <row r="1051" spans="2:53" s="123" customFormat="1">
      <c r="B1051" s="125"/>
      <c r="D1051" s="125"/>
      <c r="I1051" s="125"/>
      <c r="Z1051" s="124"/>
      <c r="AA1051" s="74"/>
      <c r="AB1051" s="240"/>
      <c r="AD1051" s="124"/>
      <c r="AE1051" s="238"/>
      <c r="AF1051" s="239"/>
      <c r="AG1051" s="239"/>
      <c r="AH1051" s="124"/>
      <c r="AI1051" s="74"/>
      <c r="AJ1051" s="240"/>
      <c r="AL1051" s="124"/>
      <c r="AM1051" s="74"/>
      <c r="AP1051" s="125"/>
      <c r="AQ1051" s="241"/>
      <c r="AR1051" s="125"/>
      <c r="AS1051" s="125"/>
      <c r="AT1051" s="238"/>
      <c r="AU1051" s="125"/>
      <c r="AV1051" s="125"/>
      <c r="AW1051" s="125"/>
      <c r="AX1051" s="238"/>
      <c r="AY1051" s="125"/>
      <c r="AZ1051" s="125"/>
      <c r="BA1051" s="125"/>
    </row>
    <row r="1052" spans="2:53" s="123" customFormat="1">
      <c r="B1052" s="125"/>
      <c r="D1052" s="125"/>
      <c r="I1052" s="125"/>
      <c r="Z1052" s="124"/>
      <c r="AA1052" s="74"/>
      <c r="AB1052" s="240"/>
      <c r="AD1052" s="124"/>
      <c r="AE1052" s="238"/>
      <c r="AF1052" s="239"/>
      <c r="AG1052" s="239"/>
      <c r="AH1052" s="124"/>
      <c r="AI1052" s="74"/>
      <c r="AJ1052" s="240"/>
      <c r="AL1052" s="124"/>
      <c r="AM1052" s="74"/>
      <c r="AP1052" s="125"/>
      <c r="AQ1052" s="241"/>
      <c r="AR1052" s="125"/>
      <c r="AS1052" s="125"/>
      <c r="AT1052" s="238"/>
      <c r="AU1052" s="125"/>
      <c r="AV1052" s="125"/>
      <c r="AW1052" s="125"/>
      <c r="AX1052" s="238"/>
      <c r="AY1052" s="125"/>
      <c r="AZ1052" s="125"/>
      <c r="BA1052" s="125"/>
    </row>
    <row r="1053" spans="2:53" s="123" customFormat="1">
      <c r="B1053" s="125"/>
      <c r="D1053" s="125"/>
      <c r="I1053" s="125"/>
      <c r="Z1053" s="124"/>
      <c r="AA1053" s="74"/>
      <c r="AB1053" s="240"/>
      <c r="AD1053" s="124"/>
      <c r="AE1053" s="238"/>
      <c r="AF1053" s="239"/>
      <c r="AG1053" s="239"/>
      <c r="AH1053" s="124"/>
      <c r="AI1053" s="74"/>
      <c r="AJ1053" s="240"/>
      <c r="AL1053" s="124"/>
      <c r="AM1053" s="74"/>
      <c r="AP1053" s="125"/>
      <c r="AQ1053" s="241"/>
      <c r="AR1053" s="125"/>
      <c r="AS1053" s="125"/>
      <c r="AT1053" s="238"/>
      <c r="AU1053" s="125"/>
      <c r="AV1053" s="125"/>
      <c r="AW1053" s="125"/>
      <c r="AX1053" s="238"/>
      <c r="AY1053" s="125"/>
      <c r="AZ1053" s="125"/>
      <c r="BA1053" s="125"/>
    </row>
    <row r="1054" spans="2:53" s="123" customFormat="1">
      <c r="B1054" s="125"/>
      <c r="D1054" s="125"/>
      <c r="I1054" s="125"/>
      <c r="Z1054" s="124"/>
      <c r="AA1054" s="74"/>
      <c r="AB1054" s="240"/>
      <c r="AD1054" s="124"/>
      <c r="AE1054" s="238"/>
      <c r="AF1054" s="239"/>
      <c r="AG1054" s="239"/>
      <c r="AH1054" s="124"/>
      <c r="AI1054" s="74"/>
      <c r="AJ1054" s="240"/>
      <c r="AL1054" s="124"/>
      <c r="AM1054" s="74"/>
      <c r="AP1054" s="125"/>
      <c r="AQ1054" s="241"/>
      <c r="AR1054" s="125"/>
      <c r="AS1054" s="125"/>
      <c r="AT1054" s="238"/>
      <c r="AU1054" s="125"/>
      <c r="AV1054" s="125"/>
      <c r="AW1054" s="125"/>
      <c r="AX1054" s="238"/>
      <c r="AY1054" s="125"/>
      <c r="AZ1054" s="125"/>
      <c r="BA1054" s="125"/>
    </row>
    <row r="1055" spans="2:53" s="123" customFormat="1">
      <c r="B1055" s="125"/>
      <c r="D1055" s="125"/>
      <c r="I1055" s="125"/>
      <c r="Z1055" s="124"/>
      <c r="AA1055" s="74"/>
      <c r="AB1055" s="240"/>
      <c r="AD1055" s="124"/>
      <c r="AE1055" s="238"/>
      <c r="AF1055" s="239"/>
      <c r="AG1055" s="239"/>
      <c r="AH1055" s="124"/>
      <c r="AI1055" s="74"/>
      <c r="AJ1055" s="240"/>
      <c r="AL1055" s="124"/>
      <c r="AM1055" s="74"/>
      <c r="AP1055" s="125"/>
      <c r="AQ1055" s="241"/>
      <c r="AR1055" s="125"/>
      <c r="AS1055" s="125"/>
      <c r="AT1055" s="238"/>
      <c r="AU1055" s="125"/>
      <c r="AV1055" s="125"/>
      <c r="AW1055" s="125"/>
      <c r="AX1055" s="238"/>
      <c r="AY1055" s="125"/>
      <c r="AZ1055" s="125"/>
      <c r="BA1055" s="125"/>
    </row>
    <row r="1056" spans="2:53" s="123" customFormat="1">
      <c r="B1056" s="125"/>
      <c r="D1056" s="125"/>
      <c r="I1056" s="125"/>
      <c r="Z1056" s="124"/>
      <c r="AA1056" s="74"/>
      <c r="AB1056" s="240"/>
      <c r="AD1056" s="124"/>
      <c r="AE1056" s="238"/>
      <c r="AF1056" s="239"/>
      <c r="AG1056" s="239"/>
      <c r="AH1056" s="124"/>
      <c r="AI1056" s="74"/>
      <c r="AJ1056" s="240"/>
      <c r="AL1056" s="124"/>
      <c r="AM1056" s="74"/>
      <c r="AP1056" s="125"/>
      <c r="AQ1056" s="241"/>
      <c r="AR1056" s="125"/>
      <c r="AS1056" s="125"/>
      <c r="AT1056" s="238"/>
      <c r="AU1056" s="125"/>
      <c r="AV1056" s="125"/>
      <c r="AW1056" s="125"/>
      <c r="AX1056" s="238"/>
      <c r="AY1056" s="125"/>
      <c r="AZ1056" s="125"/>
      <c r="BA1056" s="125"/>
    </row>
    <row r="1057" spans="2:53" s="123" customFormat="1">
      <c r="B1057" s="125"/>
      <c r="D1057" s="125"/>
      <c r="I1057" s="125"/>
      <c r="Z1057" s="124"/>
      <c r="AA1057" s="74"/>
      <c r="AB1057" s="240"/>
      <c r="AD1057" s="124"/>
      <c r="AE1057" s="238"/>
      <c r="AF1057" s="239"/>
      <c r="AG1057" s="239"/>
      <c r="AH1057" s="124"/>
      <c r="AI1057" s="74"/>
      <c r="AJ1057" s="240"/>
      <c r="AL1057" s="124"/>
      <c r="AM1057" s="74"/>
      <c r="AP1057" s="125"/>
      <c r="AQ1057" s="241"/>
      <c r="AR1057" s="125"/>
      <c r="AS1057" s="125"/>
      <c r="AT1057" s="238"/>
      <c r="AU1057" s="125"/>
      <c r="AV1057" s="125"/>
      <c r="AW1057" s="125"/>
      <c r="AX1057" s="238"/>
      <c r="AY1057" s="125"/>
      <c r="AZ1057" s="125"/>
      <c r="BA1057" s="125"/>
    </row>
    <row r="1058" spans="2:53" s="123" customFormat="1">
      <c r="B1058" s="125"/>
      <c r="D1058" s="125"/>
      <c r="I1058" s="125"/>
      <c r="Z1058" s="124"/>
      <c r="AA1058" s="74"/>
      <c r="AB1058" s="240"/>
      <c r="AD1058" s="124"/>
      <c r="AE1058" s="238"/>
      <c r="AF1058" s="239"/>
      <c r="AG1058" s="239"/>
      <c r="AH1058" s="124"/>
      <c r="AI1058" s="74"/>
      <c r="AJ1058" s="240"/>
      <c r="AL1058" s="124"/>
      <c r="AM1058" s="74"/>
      <c r="AP1058" s="125"/>
      <c r="AQ1058" s="241"/>
      <c r="AR1058" s="125"/>
      <c r="AS1058" s="125"/>
      <c r="AT1058" s="238"/>
      <c r="AU1058" s="125"/>
      <c r="AV1058" s="125"/>
      <c r="AW1058" s="125"/>
      <c r="AX1058" s="238"/>
      <c r="AY1058" s="125"/>
      <c r="AZ1058" s="125"/>
      <c r="BA1058" s="125"/>
    </row>
    <row r="1059" spans="2:53" s="123" customFormat="1">
      <c r="B1059" s="125"/>
      <c r="D1059" s="125"/>
      <c r="I1059" s="125"/>
      <c r="Z1059" s="124"/>
      <c r="AA1059" s="74"/>
      <c r="AB1059" s="240"/>
      <c r="AD1059" s="124"/>
      <c r="AE1059" s="238"/>
      <c r="AF1059" s="239"/>
      <c r="AG1059" s="239"/>
      <c r="AH1059" s="124"/>
      <c r="AI1059" s="74"/>
      <c r="AJ1059" s="240"/>
      <c r="AL1059" s="124"/>
      <c r="AM1059" s="74"/>
      <c r="AP1059" s="125"/>
      <c r="AQ1059" s="241"/>
      <c r="AR1059" s="125"/>
      <c r="AS1059" s="125"/>
      <c r="AT1059" s="238"/>
      <c r="AU1059" s="125"/>
      <c r="AV1059" s="125"/>
      <c r="AW1059" s="125"/>
      <c r="AX1059" s="238"/>
      <c r="AY1059" s="125"/>
      <c r="AZ1059" s="125"/>
      <c r="BA1059" s="125"/>
    </row>
    <row r="1060" spans="2:53" s="123" customFormat="1">
      <c r="B1060" s="125"/>
      <c r="D1060" s="125"/>
      <c r="I1060" s="125"/>
      <c r="Z1060" s="124"/>
      <c r="AA1060" s="74"/>
      <c r="AB1060" s="240"/>
      <c r="AD1060" s="124"/>
      <c r="AE1060" s="238"/>
      <c r="AF1060" s="239"/>
      <c r="AG1060" s="239"/>
      <c r="AH1060" s="124"/>
      <c r="AI1060" s="74"/>
      <c r="AJ1060" s="240"/>
      <c r="AL1060" s="124"/>
      <c r="AM1060" s="74"/>
      <c r="AP1060" s="125"/>
      <c r="AQ1060" s="241"/>
      <c r="AR1060" s="125"/>
      <c r="AS1060" s="125"/>
      <c r="AT1060" s="238"/>
      <c r="AU1060" s="125"/>
      <c r="AV1060" s="125"/>
      <c r="AW1060" s="125"/>
      <c r="AX1060" s="238"/>
      <c r="AY1060" s="125"/>
      <c r="AZ1060" s="125"/>
      <c r="BA1060" s="125"/>
    </row>
    <row r="1061" spans="2:53" s="123" customFormat="1">
      <c r="B1061" s="125"/>
      <c r="D1061" s="125"/>
      <c r="I1061" s="125"/>
      <c r="Z1061" s="124"/>
      <c r="AA1061" s="74"/>
      <c r="AB1061" s="240"/>
      <c r="AD1061" s="124"/>
      <c r="AE1061" s="238"/>
      <c r="AF1061" s="239"/>
      <c r="AG1061" s="239"/>
      <c r="AH1061" s="124"/>
      <c r="AI1061" s="74"/>
      <c r="AJ1061" s="240"/>
      <c r="AL1061" s="124"/>
      <c r="AM1061" s="74"/>
      <c r="AP1061" s="125"/>
      <c r="AQ1061" s="241"/>
      <c r="AR1061" s="125"/>
      <c r="AS1061" s="125"/>
      <c r="AT1061" s="238"/>
      <c r="AU1061" s="125"/>
      <c r="AV1061" s="125"/>
      <c r="AW1061" s="125"/>
      <c r="AX1061" s="238"/>
      <c r="AY1061" s="125"/>
      <c r="AZ1061" s="125"/>
      <c r="BA1061" s="125"/>
    </row>
    <row r="1062" spans="2:53" s="123" customFormat="1">
      <c r="B1062" s="125"/>
      <c r="D1062" s="125"/>
      <c r="I1062" s="125"/>
      <c r="Z1062" s="124"/>
      <c r="AA1062" s="74"/>
      <c r="AB1062" s="240"/>
      <c r="AD1062" s="124"/>
      <c r="AE1062" s="238"/>
      <c r="AF1062" s="239"/>
      <c r="AG1062" s="239"/>
      <c r="AH1062" s="124"/>
      <c r="AI1062" s="74"/>
      <c r="AJ1062" s="240"/>
      <c r="AL1062" s="124"/>
      <c r="AM1062" s="74"/>
      <c r="AP1062" s="125"/>
      <c r="AQ1062" s="241"/>
      <c r="AR1062" s="125"/>
      <c r="AS1062" s="125"/>
      <c r="AT1062" s="238"/>
      <c r="AU1062" s="125"/>
      <c r="AV1062" s="125"/>
      <c r="AW1062" s="125"/>
      <c r="AX1062" s="238"/>
      <c r="AY1062" s="125"/>
      <c r="AZ1062" s="125"/>
      <c r="BA1062" s="125"/>
    </row>
    <row r="1063" spans="2:53" s="123" customFormat="1">
      <c r="B1063" s="125"/>
      <c r="D1063" s="125"/>
      <c r="I1063" s="125"/>
      <c r="Z1063" s="124"/>
      <c r="AA1063" s="74"/>
      <c r="AB1063" s="240"/>
      <c r="AD1063" s="124"/>
      <c r="AE1063" s="238"/>
      <c r="AF1063" s="239"/>
      <c r="AG1063" s="239"/>
      <c r="AH1063" s="124"/>
      <c r="AI1063" s="74"/>
      <c r="AJ1063" s="240"/>
      <c r="AL1063" s="124"/>
      <c r="AM1063" s="74"/>
      <c r="AP1063" s="125"/>
      <c r="AQ1063" s="241"/>
      <c r="AR1063" s="125"/>
      <c r="AS1063" s="125"/>
      <c r="AT1063" s="238"/>
      <c r="AU1063" s="125"/>
      <c r="AV1063" s="125"/>
      <c r="AW1063" s="125"/>
      <c r="AX1063" s="238"/>
      <c r="AY1063" s="125"/>
      <c r="AZ1063" s="125"/>
      <c r="BA1063" s="125"/>
    </row>
    <row r="1064" spans="2:53" s="123" customFormat="1">
      <c r="B1064" s="125"/>
      <c r="D1064" s="125"/>
      <c r="I1064" s="125"/>
      <c r="Z1064" s="124"/>
      <c r="AA1064" s="74"/>
      <c r="AB1064" s="240"/>
      <c r="AD1064" s="124"/>
      <c r="AE1064" s="238"/>
      <c r="AF1064" s="239"/>
      <c r="AG1064" s="239"/>
      <c r="AH1064" s="124"/>
      <c r="AI1064" s="74"/>
      <c r="AJ1064" s="240"/>
      <c r="AL1064" s="124"/>
      <c r="AM1064" s="74"/>
      <c r="AP1064" s="125"/>
      <c r="AQ1064" s="241"/>
      <c r="AR1064" s="125"/>
      <c r="AS1064" s="125"/>
      <c r="AT1064" s="238"/>
      <c r="AU1064" s="125"/>
      <c r="AV1064" s="125"/>
      <c r="AW1064" s="125"/>
      <c r="AX1064" s="238"/>
      <c r="AY1064" s="125"/>
      <c r="AZ1064" s="125"/>
      <c r="BA1064" s="125"/>
    </row>
    <row r="1065" spans="2:53" s="123" customFormat="1">
      <c r="B1065" s="125"/>
      <c r="D1065" s="125"/>
      <c r="I1065" s="125"/>
      <c r="Z1065" s="124"/>
      <c r="AA1065" s="74"/>
      <c r="AB1065" s="240"/>
      <c r="AD1065" s="124"/>
      <c r="AE1065" s="238"/>
      <c r="AF1065" s="239"/>
      <c r="AG1065" s="239"/>
      <c r="AH1065" s="124"/>
      <c r="AI1065" s="74"/>
      <c r="AJ1065" s="240"/>
      <c r="AL1065" s="124"/>
      <c r="AM1065" s="74"/>
      <c r="AP1065" s="125"/>
      <c r="AQ1065" s="241"/>
      <c r="AR1065" s="125"/>
      <c r="AS1065" s="125"/>
      <c r="AT1065" s="238"/>
      <c r="AU1065" s="125"/>
      <c r="AV1065" s="125"/>
      <c r="AW1065" s="125"/>
      <c r="AX1065" s="238"/>
      <c r="AY1065" s="125"/>
      <c r="AZ1065" s="125"/>
      <c r="BA1065" s="125"/>
    </row>
    <row r="1066" spans="2:53" s="123" customFormat="1">
      <c r="B1066" s="125"/>
      <c r="D1066" s="125"/>
      <c r="I1066" s="125"/>
      <c r="Z1066" s="124"/>
      <c r="AA1066" s="74"/>
      <c r="AB1066" s="240"/>
      <c r="AD1066" s="124"/>
      <c r="AE1066" s="238"/>
      <c r="AF1066" s="239"/>
      <c r="AG1066" s="239"/>
      <c r="AH1066" s="124"/>
      <c r="AI1066" s="74"/>
      <c r="AJ1066" s="240"/>
      <c r="AL1066" s="124"/>
      <c r="AM1066" s="74"/>
      <c r="AP1066" s="125"/>
      <c r="AQ1066" s="241"/>
      <c r="AR1066" s="125"/>
      <c r="AS1066" s="125"/>
      <c r="AT1066" s="238"/>
      <c r="AU1066" s="125"/>
      <c r="AV1066" s="125"/>
      <c r="AW1066" s="125"/>
      <c r="AX1066" s="238"/>
      <c r="AY1066" s="125"/>
      <c r="AZ1066" s="125"/>
      <c r="BA1066" s="125"/>
    </row>
    <row r="1067" spans="2:53" s="123" customFormat="1">
      <c r="B1067" s="125"/>
      <c r="D1067" s="125"/>
      <c r="I1067" s="125"/>
      <c r="Z1067" s="124"/>
      <c r="AA1067" s="74"/>
      <c r="AB1067" s="240"/>
      <c r="AD1067" s="124"/>
      <c r="AE1067" s="238"/>
      <c r="AF1067" s="239"/>
      <c r="AG1067" s="239"/>
      <c r="AH1067" s="124"/>
      <c r="AI1067" s="74"/>
      <c r="AJ1067" s="240"/>
      <c r="AL1067" s="124"/>
      <c r="AM1067" s="74"/>
      <c r="AP1067" s="125"/>
      <c r="AQ1067" s="241"/>
      <c r="AR1067" s="125"/>
      <c r="AS1067" s="125"/>
      <c r="AT1067" s="238"/>
      <c r="AU1067" s="125"/>
      <c r="AV1067" s="125"/>
      <c r="AW1067" s="125"/>
      <c r="AX1067" s="238"/>
      <c r="AY1067" s="125"/>
      <c r="AZ1067" s="125"/>
      <c r="BA1067" s="125"/>
    </row>
    <row r="1068" spans="2:53" s="123" customFormat="1">
      <c r="B1068" s="125"/>
      <c r="D1068" s="125"/>
      <c r="I1068" s="125"/>
      <c r="Z1068" s="124"/>
      <c r="AA1068" s="74"/>
      <c r="AB1068" s="240"/>
      <c r="AD1068" s="124"/>
      <c r="AE1068" s="238"/>
      <c r="AF1068" s="239"/>
      <c r="AG1068" s="239"/>
      <c r="AH1068" s="124"/>
      <c r="AI1068" s="74"/>
      <c r="AJ1068" s="240"/>
      <c r="AL1068" s="124"/>
      <c r="AM1068" s="74"/>
      <c r="AP1068" s="125"/>
      <c r="AQ1068" s="241"/>
      <c r="AR1068" s="125"/>
      <c r="AS1068" s="125"/>
      <c r="AT1068" s="238"/>
      <c r="AU1068" s="125"/>
      <c r="AV1068" s="125"/>
      <c r="AW1068" s="125"/>
      <c r="AX1068" s="238"/>
      <c r="AY1068" s="125"/>
      <c r="AZ1068" s="125"/>
      <c r="BA1068" s="125"/>
    </row>
    <row r="1069" spans="2:53" s="123" customFormat="1">
      <c r="B1069" s="125"/>
      <c r="D1069" s="125"/>
      <c r="I1069" s="125"/>
      <c r="Z1069" s="124"/>
      <c r="AA1069" s="74"/>
      <c r="AB1069" s="240"/>
      <c r="AD1069" s="124"/>
      <c r="AE1069" s="238"/>
      <c r="AF1069" s="239"/>
      <c r="AG1069" s="239"/>
      <c r="AH1069" s="124"/>
      <c r="AI1069" s="74"/>
      <c r="AJ1069" s="240"/>
      <c r="AL1069" s="124"/>
      <c r="AM1069" s="74"/>
      <c r="AP1069" s="125"/>
      <c r="AQ1069" s="241"/>
      <c r="AR1069" s="125"/>
      <c r="AS1069" s="125"/>
      <c r="AT1069" s="238"/>
      <c r="AU1069" s="125"/>
      <c r="AV1069" s="125"/>
      <c r="AW1069" s="125"/>
      <c r="AX1069" s="238"/>
      <c r="AY1069" s="125"/>
      <c r="AZ1069" s="125"/>
      <c r="BA1069" s="125"/>
    </row>
    <row r="1070" spans="2:53" s="123" customFormat="1">
      <c r="B1070" s="125"/>
      <c r="D1070" s="125"/>
      <c r="I1070" s="125"/>
      <c r="Z1070" s="124"/>
      <c r="AA1070" s="74"/>
      <c r="AB1070" s="240"/>
      <c r="AD1070" s="124"/>
      <c r="AE1070" s="238"/>
      <c r="AF1070" s="239"/>
      <c r="AG1070" s="239"/>
      <c r="AH1070" s="124"/>
      <c r="AI1070" s="74"/>
      <c r="AJ1070" s="240"/>
      <c r="AL1070" s="124"/>
      <c r="AM1070" s="74"/>
      <c r="AP1070" s="125"/>
      <c r="AQ1070" s="241"/>
      <c r="AR1070" s="125"/>
      <c r="AS1070" s="125"/>
      <c r="AT1070" s="238"/>
      <c r="AU1070" s="125"/>
      <c r="AV1070" s="125"/>
      <c r="AW1070" s="125"/>
      <c r="AX1070" s="238"/>
      <c r="AY1070" s="125"/>
      <c r="AZ1070" s="125"/>
      <c r="BA1070" s="125"/>
    </row>
    <row r="1071" spans="2:53" s="123" customFormat="1">
      <c r="B1071" s="125"/>
      <c r="D1071" s="125"/>
      <c r="I1071" s="125"/>
      <c r="Z1071" s="124"/>
      <c r="AA1071" s="74"/>
      <c r="AB1071" s="240"/>
      <c r="AD1071" s="124"/>
      <c r="AE1071" s="238"/>
      <c r="AF1071" s="239"/>
      <c r="AG1071" s="239"/>
      <c r="AH1071" s="124"/>
      <c r="AI1071" s="74"/>
      <c r="AJ1071" s="240"/>
      <c r="AL1071" s="124"/>
      <c r="AM1071" s="74"/>
      <c r="AP1071" s="125"/>
      <c r="AQ1071" s="241"/>
      <c r="AR1071" s="125"/>
      <c r="AS1071" s="125"/>
      <c r="AT1071" s="238"/>
      <c r="AU1071" s="125"/>
      <c r="AV1071" s="125"/>
      <c r="AW1071" s="125"/>
      <c r="AX1071" s="238"/>
      <c r="AY1071" s="125"/>
      <c r="AZ1071" s="125"/>
      <c r="BA1071" s="125"/>
    </row>
    <row r="1072" spans="2:53" s="123" customFormat="1">
      <c r="B1072" s="125"/>
      <c r="D1072" s="125"/>
      <c r="I1072" s="125"/>
      <c r="Z1072" s="124"/>
      <c r="AA1072" s="74"/>
      <c r="AB1072" s="240"/>
      <c r="AD1072" s="124"/>
      <c r="AE1072" s="238"/>
      <c r="AF1072" s="239"/>
      <c r="AG1072" s="239"/>
      <c r="AH1072" s="124"/>
      <c r="AI1072" s="74"/>
      <c r="AJ1072" s="240"/>
      <c r="AL1072" s="124"/>
      <c r="AM1072" s="74"/>
      <c r="AP1072" s="125"/>
      <c r="AQ1072" s="241"/>
      <c r="AR1072" s="125"/>
      <c r="AS1072" s="125"/>
      <c r="AT1072" s="238"/>
      <c r="AU1072" s="125"/>
      <c r="AV1072" s="125"/>
      <c r="AW1072" s="125"/>
      <c r="AX1072" s="238"/>
      <c r="AY1072" s="125"/>
      <c r="AZ1072" s="125"/>
      <c r="BA1072" s="125"/>
    </row>
    <row r="1073" spans="2:53" s="123" customFormat="1">
      <c r="B1073" s="125"/>
      <c r="D1073" s="125"/>
      <c r="I1073" s="125"/>
      <c r="Z1073" s="124"/>
      <c r="AA1073" s="74"/>
      <c r="AB1073" s="240"/>
      <c r="AD1073" s="124"/>
      <c r="AE1073" s="238"/>
      <c r="AF1073" s="239"/>
      <c r="AG1073" s="239"/>
      <c r="AH1073" s="124"/>
      <c r="AI1073" s="74"/>
      <c r="AJ1073" s="240"/>
      <c r="AL1073" s="124"/>
      <c r="AM1073" s="74"/>
      <c r="AP1073" s="125"/>
      <c r="AQ1073" s="241"/>
      <c r="AR1073" s="125"/>
      <c r="AS1073" s="125"/>
      <c r="AT1073" s="238"/>
      <c r="AU1073" s="125"/>
      <c r="AV1073" s="125"/>
      <c r="AW1073" s="125"/>
      <c r="AX1073" s="238"/>
      <c r="AY1073" s="125"/>
      <c r="AZ1073" s="125"/>
      <c r="BA1073" s="125"/>
    </row>
    <row r="1074" spans="2:53" s="123" customFormat="1">
      <c r="B1074" s="125"/>
      <c r="D1074" s="125"/>
      <c r="I1074" s="125"/>
      <c r="Z1074" s="124"/>
      <c r="AA1074" s="74"/>
      <c r="AB1074" s="240"/>
      <c r="AD1074" s="124"/>
      <c r="AE1074" s="238"/>
      <c r="AF1074" s="239"/>
      <c r="AG1074" s="239"/>
      <c r="AH1074" s="124"/>
      <c r="AI1074" s="74"/>
      <c r="AJ1074" s="240"/>
      <c r="AL1074" s="124"/>
      <c r="AM1074" s="74"/>
      <c r="AP1074" s="125"/>
      <c r="AQ1074" s="241"/>
      <c r="AR1074" s="125"/>
      <c r="AS1074" s="125"/>
      <c r="AT1074" s="238"/>
      <c r="AU1074" s="125"/>
      <c r="AV1074" s="125"/>
      <c r="AW1074" s="125"/>
      <c r="AX1074" s="238"/>
      <c r="AY1074" s="125"/>
      <c r="AZ1074" s="125"/>
      <c r="BA1074" s="125"/>
    </row>
    <row r="1075" spans="2:53" s="123" customFormat="1">
      <c r="B1075" s="125"/>
      <c r="D1075" s="125"/>
      <c r="I1075" s="125"/>
      <c r="Z1075" s="124"/>
      <c r="AA1075" s="74"/>
      <c r="AB1075" s="240"/>
      <c r="AD1075" s="124"/>
      <c r="AE1075" s="238"/>
      <c r="AF1075" s="239"/>
      <c r="AG1075" s="239"/>
      <c r="AH1075" s="124"/>
      <c r="AI1075" s="74"/>
      <c r="AJ1075" s="240"/>
      <c r="AL1075" s="124"/>
      <c r="AM1075" s="74"/>
      <c r="AP1075" s="125"/>
      <c r="AQ1075" s="241"/>
      <c r="AR1075" s="125"/>
      <c r="AS1075" s="125"/>
      <c r="AT1075" s="238"/>
      <c r="AU1075" s="125"/>
      <c r="AV1075" s="125"/>
      <c r="AW1075" s="125"/>
      <c r="AX1075" s="238"/>
      <c r="AY1075" s="125"/>
      <c r="AZ1075" s="125"/>
      <c r="BA1075" s="125"/>
    </row>
    <row r="1076" spans="2:53" s="123" customFormat="1">
      <c r="B1076" s="125"/>
      <c r="D1076" s="125"/>
      <c r="I1076" s="125"/>
      <c r="Z1076" s="124"/>
      <c r="AA1076" s="74"/>
      <c r="AB1076" s="240"/>
      <c r="AD1076" s="124"/>
      <c r="AE1076" s="238"/>
      <c r="AF1076" s="239"/>
      <c r="AG1076" s="239"/>
      <c r="AH1076" s="124"/>
      <c r="AI1076" s="74"/>
      <c r="AJ1076" s="240"/>
      <c r="AL1076" s="124"/>
      <c r="AM1076" s="74"/>
      <c r="AP1076" s="125"/>
      <c r="AQ1076" s="241"/>
      <c r="AR1076" s="125"/>
      <c r="AS1076" s="125"/>
      <c r="AT1076" s="238"/>
      <c r="AU1076" s="125"/>
      <c r="AV1076" s="125"/>
      <c r="AW1076" s="125"/>
      <c r="AX1076" s="238"/>
      <c r="AY1076" s="125"/>
      <c r="AZ1076" s="125"/>
      <c r="BA1076" s="125"/>
    </row>
    <row r="1077" spans="2:53" s="123" customFormat="1">
      <c r="B1077" s="125"/>
      <c r="D1077" s="125"/>
      <c r="I1077" s="125"/>
      <c r="Z1077" s="124"/>
      <c r="AA1077" s="74"/>
      <c r="AB1077" s="240"/>
      <c r="AD1077" s="124"/>
      <c r="AE1077" s="238"/>
      <c r="AF1077" s="239"/>
      <c r="AG1077" s="239"/>
      <c r="AH1077" s="124"/>
      <c r="AI1077" s="74"/>
      <c r="AJ1077" s="240"/>
      <c r="AL1077" s="124"/>
      <c r="AM1077" s="74"/>
      <c r="AP1077" s="125"/>
      <c r="AQ1077" s="241"/>
      <c r="AR1077" s="125"/>
      <c r="AS1077" s="125"/>
      <c r="AT1077" s="238"/>
      <c r="AU1077" s="125"/>
      <c r="AV1077" s="125"/>
      <c r="AW1077" s="125"/>
      <c r="AX1077" s="238"/>
      <c r="AY1077" s="125"/>
      <c r="AZ1077" s="125"/>
      <c r="BA1077" s="125"/>
    </row>
    <row r="1078" spans="2:53" s="123" customFormat="1">
      <c r="B1078" s="125"/>
      <c r="D1078" s="125"/>
      <c r="I1078" s="125"/>
      <c r="Z1078" s="124"/>
      <c r="AA1078" s="74"/>
      <c r="AB1078" s="240"/>
      <c r="AD1078" s="124"/>
      <c r="AE1078" s="238"/>
      <c r="AF1078" s="239"/>
      <c r="AG1078" s="239"/>
      <c r="AH1078" s="124"/>
      <c r="AI1078" s="74"/>
      <c r="AJ1078" s="240"/>
      <c r="AL1078" s="124"/>
      <c r="AM1078" s="74"/>
      <c r="AP1078" s="125"/>
      <c r="AQ1078" s="241"/>
      <c r="AR1078" s="125"/>
      <c r="AS1078" s="125"/>
      <c r="AT1078" s="238"/>
      <c r="AU1078" s="125"/>
      <c r="AV1078" s="125"/>
      <c r="AW1078" s="125"/>
      <c r="AX1078" s="238"/>
      <c r="AY1078" s="125"/>
      <c r="AZ1078" s="125"/>
      <c r="BA1078" s="125"/>
    </row>
    <row r="1079" spans="2:53" s="123" customFormat="1">
      <c r="B1079" s="125"/>
      <c r="D1079" s="125"/>
      <c r="I1079" s="125"/>
      <c r="Z1079" s="124"/>
      <c r="AA1079" s="74"/>
      <c r="AB1079" s="240"/>
      <c r="AD1079" s="124"/>
      <c r="AE1079" s="238"/>
      <c r="AF1079" s="239"/>
      <c r="AG1079" s="239"/>
      <c r="AH1079" s="124"/>
      <c r="AI1079" s="74"/>
      <c r="AJ1079" s="240"/>
      <c r="AL1079" s="124"/>
      <c r="AM1079" s="74"/>
      <c r="AP1079" s="125"/>
      <c r="AQ1079" s="241"/>
      <c r="AR1079" s="125"/>
      <c r="AS1079" s="125"/>
      <c r="AT1079" s="238"/>
      <c r="AU1079" s="125"/>
      <c r="AV1079" s="125"/>
      <c r="AW1079" s="125"/>
      <c r="AX1079" s="238"/>
      <c r="AY1079" s="125"/>
      <c r="AZ1079" s="125"/>
      <c r="BA1079" s="125"/>
    </row>
    <row r="1080" spans="2:53" s="123" customFormat="1">
      <c r="B1080" s="125"/>
      <c r="D1080" s="125"/>
      <c r="I1080" s="125"/>
      <c r="Z1080" s="124"/>
      <c r="AA1080" s="74"/>
      <c r="AB1080" s="240"/>
      <c r="AD1080" s="124"/>
      <c r="AE1080" s="238"/>
      <c r="AF1080" s="239"/>
      <c r="AG1080" s="239"/>
      <c r="AH1080" s="124"/>
      <c r="AI1080" s="74"/>
      <c r="AJ1080" s="240"/>
      <c r="AL1080" s="124"/>
      <c r="AM1080" s="74"/>
      <c r="AP1080" s="125"/>
      <c r="AQ1080" s="241"/>
      <c r="AR1080" s="125"/>
      <c r="AS1080" s="125"/>
      <c r="AT1080" s="238"/>
      <c r="AU1080" s="125"/>
      <c r="AV1080" s="125"/>
      <c r="AW1080" s="125"/>
      <c r="AX1080" s="238"/>
      <c r="AY1080" s="125"/>
      <c r="AZ1080" s="125"/>
      <c r="BA1080" s="125"/>
    </row>
    <row r="1081" spans="2:53" s="123" customFormat="1">
      <c r="B1081" s="125"/>
      <c r="D1081" s="125"/>
      <c r="I1081" s="125"/>
      <c r="Z1081" s="124"/>
      <c r="AA1081" s="74"/>
      <c r="AB1081" s="240"/>
      <c r="AD1081" s="124"/>
      <c r="AE1081" s="238"/>
      <c r="AF1081" s="239"/>
      <c r="AG1081" s="239"/>
      <c r="AH1081" s="124"/>
      <c r="AI1081" s="74"/>
      <c r="AJ1081" s="240"/>
      <c r="AL1081" s="124"/>
      <c r="AM1081" s="74"/>
      <c r="AP1081" s="125"/>
      <c r="AQ1081" s="241"/>
      <c r="AR1081" s="125"/>
      <c r="AS1081" s="125"/>
      <c r="AT1081" s="238"/>
      <c r="AU1081" s="125"/>
      <c r="AV1081" s="125"/>
      <c r="AW1081" s="125"/>
      <c r="AX1081" s="238"/>
      <c r="AY1081" s="125"/>
      <c r="AZ1081" s="125"/>
      <c r="BA1081" s="125"/>
    </row>
    <row r="1082" spans="2:53" s="123" customFormat="1">
      <c r="B1082" s="125"/>
      <c r="D1082" s="125"/>
      <c r="I1082" s="125"/>
      <c r="Z1082" s="124"/>
      <c r="AA1082" s="74"/>
      <c r="AB1082" s="240"/>
      <c r="AD1082" s="124"/>
      <c r="AE1082" s="238"/>
      <c r="AF1082" s="239"/>
      <c r="AG1082" s="239"/>
      <c r="AH1082" s="124"/>
      <c r="AI1082" s="74"/>
      <c r="AJ1082" s="240"/>
      <c r="AL1082" s="124"/>
      <c r="AM1082" s="74"/>
      <c r="AP1082" s="125"/>
      <c r="AQ1082" s="241"/>
      <c r="AR1082" s="125"/>
      <c r="AS1082" s="125"/>
      <c r="AT1082" s="238"/>
      <c r="AU1082" s="125"/>
      <c r="AV1082" s="125"/>
      <c r="AW1082" s="125"/>
      <c r="AX1082" s="238"/>
      <c r="AY1082" s="125"/>
      <c r="AZ1082" s="125"/>
      <c r="BA1082" s="125"/>
    </row>
    <row r="1083" spans="2:53" s="123" customFormat="1">
      <c r="B1083" s="125"/>
      <c r="D1083" s="125"/>
      <c r="I1083" s="125"/>
      <c r="Z1083" s="124"/>
      <c r="AA1083" s="74"/>
      <c r="AB1083" s="240"/>
      <c r="AD1083" s="124"/>
      <c r="AE1083" s="238"/>
      <c r="AF1083" s="239"/>
      <c r="AG1083" s="239"/>
      <c r="AH1083" s="124"/>
      <c r="AI1083" s="74"/>
      <c r="AJ1083" s="240"/>
      <c r="AL1083" s="124"/>
      <c r="AM1083" s="74"/>
      <c r="AP1083" s="125"/>
      <c r="AQ1083" s="241"/>
      <c r="AR1083" s="125"/>
      <c r="AS1083" s="125"/>
      <c r="AT1083" s="238"/>
      <c r="AU1083" s="125"/>
      <c r="AV1083" s="125"/>
      <c r="AW1083" s="125"/>
      <c r="AX1083" s="238"/>
      <c r="AY1083" s="125"/>
      <c r="AZ1083" s="125"/>
      <c r="BA1083" s="125"/>
    </row>
    <row r="1084" spans="2:53" s="123" customFormat="1">
      <c r="B1084" s="125"/>
      <c r="D1084" s="125"/>
      <c r="I1084" s="125"/>
      <c r="Z1084" s="124"/>
      <c r="AA1084" s="74"/>
      <c r="AB1084" s="240"/>
      <c r="AD1084" s="124"/>
      <c r="AE1084" s="238"/>
      <c r="AF1084" s="239"/>
      <c r="AG1084" s="239"/>
      <c r="AH1084" s="124"/>
      <c r="AI1084" s="74"/>
      <c r="AJ1084" s="240"/>
      <c r="AL1084" s="124"/>
      <c r="AM1084" s="74"/>
      <c r="AP1084" s="125"/>
      <c r="AQ1084" s="241"/>
      <c r="AR1084" s="125"/>
      <c r="AS1084" s="125"/>
      <c r="AT1084" s="238"/>
      <c r="AU1084" s="125"/>
      <c r="AV1084" s="125"/>
      <c r="AW1084" s="125"/>
      <c r="AX1084" s="238"/>
      <c r="AY1084" s="125"/>
      <c r="AZ1084" s="125"/>
      <c r="BA1084" s="125"/>
    </row>
    <row r="1085" spans="2:53" s="123" customFormat="1">
      <c r="B1085" s="125"/>
      <c r="D1085" s="125"/>
      <c r="I1085" s="125"/>
      <c r="Z1085" s="124"/>
      <c r="AA1085" s="74"/>
      <c r="AB1085" s="240"/>
      <c r="AD1085" s="124"/>
      <c r="AE1085" s="238"/>
      <c r="AF1085" s="239"/>
      <c r="AG1085" s="239"/>
      <c r="AH1085" s="124"/>
      <c r="AI1085" s="74"/>
      <c r="AJ1085" s="240"/>
      <c r="AL1085" s="124"/>
      <c r="AM1085" s="74"/>
      <c r="AP1085" s="125"/>
      <c r="AQ1085" s="241"/>
      <c r="AR1085" s="125"/>
      <c r="AS1085" s="125"/>
      <c r="AT1085" s="238"/>
      <c r="AU1085" s="125"/>
      <c r="AV1085" s="125"/>
      <c r="AW1085" s="125"/>
      <c r="AX1085" s="238"/>
      <c r="AY1085" s="125"/>
      <c r="AZ1085" s="125"/>
      <c r="BA1085" s="125"/>
    </row>
    <row r="1086" spans="2:53" s="123" customFormat="1">
      <c r="B1086" s="125"/>
      <c r="D1086" s="125"/>
      <c r="I1086" s="125"/>
      <c r="Z1086" s="124"/>
      <c r="AA1086" s="74"/>
      <c r="AB1086" s="240"/>
      <c r="AD1086" s="124"/>
      <c r="AE1086" s="238"/>
      <c r="AF1086" s="239"/>
      <c r="AG1086" s="239"/>
      <c r="AH1086" s="124"/>
      <c r="AI1086" s="74"/>
      <c r="AJ1086" s="240"/>
      <c r="AL1086" s="124"/>
      <c r="AM1086" s="74"/>
      <c r="AP1086" s="125"/>
      <c r="AQ1086" s="241"/>
      <c r="AR1086" s="125"/>
      <c r="AS1086" s="125"/>
      <c r="AT1086" s="238"/>
      <c r="AU1086" s="125"/>
      <c r="AV1086" s="125"/>
      <c r="AW1086" s="125"/>
      <c r="AX1086" s="238"/>
      <c r="AY1086" s="125"/>
      <c r="AZ1086" s="125"/>
      <c r="BA1086" s="125"/>
    </row>
    <row r="1087" spans="2:53" s="123" customFormat="1">
      <c r="B1087" s="125"/>
      <c r="D1087" s="125"/>
      <c r="I1087" s="125"/>
      <c r="Z1087" s="124"/>
      <c r="AA1087" s="74"/>
      <c r="AB1087" s="240"/>
      <c r="AD1087" s="124"/>
      <c r="AE1087" s="238"/>
      <c r="AF1087" s="239"/>
      <c r="AG1087" s="239"/>
      <c r="AH1087" s="124"/>
      <c r="AI1087" s="74"/>
      <c r="AJ1087" s="240"/>
      <c r="AL1087" s="124"/>
      <c r="AM1087" s="74"/>
      <c r="AP1087" s="125"/>
      <c r="AQ1087" s="241"/>
      <c r="AR1087" s="125"/>
      <c r="AS1087" s="125"/>
      <c r="AT1087" s="238"/>
      <c r="AU1087" s="125"/>
      <c r="AV1087" s="125"/>
      <c r="AW1087" s="125"/>
      <c r="AX1087" s="238"/>
      <c r="AY1087" s="125"/>
      <c r="AZ1087" s="125"/>
      <c r="BA1087" s="125"/>
    </row>
    <row r="1088" spans="2:53" s="123" customFormat="1">
      <c r="B1088" s="125"/>
      <c r="D1088" s="125"/>
      <c r="I1088" s="125"/>
      <c r="Z1088" s="124"/>
      <c r="AA1088" s="74"/>
      <c r="AB1088" s="240"/>
      <c r="AD1088" s="124"/>
      <c r="AE1088" s="238"/>
      <c r="AF1088" s="239"/>
      <c r="AG1088" s="239"/>
      <c r="AH1088" s="124"/>
      <c r="AI1088" s="74"/>
      <c r="AJ1088" s="240"/>
      <c r="AL1088" s="124"/>
      <c r="AM1088" s="74"/>
      <c r="AP1088" s="125"/>
      <c r="AQ1088" s="241"/>
      <c r="AR1088" s="125"/>
      <c r="AS1088" s="125"/>
      <c r="AT1088" s="238"/>
      <c r="AU1088" s="125"/>
      <c r="AV1088" s="125"/>
      <c r="AW1088" s="125"/>
      <c r="AX1088" s="238"/>
      <c r="AY1088" s="125"/>
      <c r="AZ1088" s="125"/>
      <c r="BA1088" s="125"/>
    </row>
    <row r="1089" spans="2:53" s="123" customFormat="1">
      <c r="B1089" s="125"/>
      <c r="D1089" s="125"/>
      <c r="I1089" s="125"/>
      <c r="Z1089" s="124"/>
      <c r="AA1089" s="74"/>
      <c r="AB1089" s="240"/>
      <c r="AD1089" s="124"/>
      <c r="AE1089" s="238"/>
      <c r="AF1089" s="239"/>
      <c r="AG1089" s="239"/>
      <c r="AH1089" s="124"/>
      <c r="AI1089" s="74"/>
      <c r="AJ1089" s="240"/>
      <c r="AL1089" s="124"/>
      <c r="AM1089" s="74"/>
      <c r="AP1089" s="125"/>
      <c r="AQ1089" s="241"/>
      <c r="AR1089" s="125"/>
      <c r="AS1089" s="125"/>
      <c r="AT1089" s="238"/>
      <c r="AU1089" s="125"/>
      <c r="AV1089" s="125"/>
      <c r="AW1089" s="125"/>
      <c r="AX1089" s="238"/>
      <c r="AY1089" s="125"/>
      <c r="AZ1089" s="125"/>
      <c r="BA1089" s="125"/>
    </row>
    <row r="1090" spans="2:53" s="123" customFormat="1">
      <c r="B1090" s="125"/>
      <c r="D1090" s="125"/>
      <c r="I1090" s="125"/>
      <c r="Z1090" s="124"/>
      <c r="AA1090" s="74"/>
      <c r="AB1090" s="240"/>
      <c r="AD1090" s="124"/>
      <c r="AE1090" s="238"/>
      <c r="AF1090" s="239"/>
      <c r="AG1090" s="239"/>
      <c r="AH1090" s="124"/>
      <c r="AI1090" s="74"/>
      <c r="AJ1090" s="240"/>
      <c r="AL1090" s="124"/>
      <c r="AM1090" s="74"/>
      <c r="AP1090" s="125"/>
      <c r="AQ1090" s="241"/>
      <c r="AR1090" s="125"/>
      <c r="AS1090" s="125"/>
      <c r="AT1090" s="238"/>
      <c r="AU1090" s="125"/>
      <c r="AV1090" s="125"/>
      <c r="AW1090" s="125"/>
      <c r="AX1090" s="238"/>
      <c r="AY1090" s="125"/>
      <c r="AZ1090" s="125"/>
      <c r="BA1090" s="125"/>
    </row>
    <row r="1091" spans="2:53" s="123" customFormat="1">
      <c r="B1091" s="125"/>
      <c r="D1091" s="125"/>
      <c r="I1091" s="125"/>
      <c r="Z1091" s="124"/>
      <c r="AA1091" s="74"/>
      <c r="AB1091" s="240"/>
      <c r="AD1091" s="124"/>
      <c r="AE1091" s="238"/>
      <c r="AF1091" s="239"/>
      <c r="AG1091" s="239"/>
      <c r="AH1091" s="124"/>
      <c r="AI1091" s="74"/>
      <c r="AJ1091" s="240"/>
      <c r="AL1091" s="124"/>
      <c r="AM1091" s="74"/>
      <c r="AP1091" s="125"/>
      <c r="AQ1091" s="241"/>
      <c r="AR1091" s="125"/>
      <c r="AS1091" s="125"/>
      <c r="AT1091" s="238"/>
      <c r="AU1091" s="125"/>
      <c r="AV1091" s="125"/>
      <c r="AW1091" s="125"/>
      <c r="AX1091" s="238"/>
      <c r="AY1091" s="125"/>
      <c r="AZ1091" s="125"/>
      <c r="BA1091" s="125"/>
    </row>
    <row r="1092" spans="2:53" s="123" customFormat="1">
      <c r="B1092" s="125"/>
      <c r="D1092" s="125"/>
      <c r="I1092" s="125"/>
      <c r="Z1092" s="124"/>
      <c r="AA1092" s="74"/>
      <c r="AB1092" s="240"/>
      <c r="AD1092" s="124"/>
      <c r="AE1092" s="238"/>
      <c r="AF1092" s="239"/>
      <c r="AG1092" s="239"/>
      <c r="AH1092" s="124"/>
      <c r="AI1092" s="74"/>
      <c r="AJ1092" s="240"/>
      <c r="AL1092" s="124"/>
      <c r="AM1092" s="74"/>
      <c r="AP1092" s="125"/>
      <c r="AQ1092" s="241"/>
      <c r="AR1092" s="125"/>
      <c r="AS1092" s="125"/>
      <c r="AT1092" s="238"/>
      <c r="AU1092" s="125"/>
      <c r="AV1092" s="125"/>
      <c r="AW1092" s="125"/>
      <c r="AX1092" s="238"/>
      <c r="AY1092" s="125"/>
      <c r="AZ1092" s="125"/>
      <c r="BA1092" s="125"/>
    </row>
    <row r="1093" spans="2:53" s="123" customFormat="1">
      <c r="B1093" s="125"/>
      <c r="D1093" s="125"/>
      <c r="I1093" s="125"/>
      <c r="Z1093" s="124"/>
      <c r="AA1093" s="74"/>
      <c r="AB1093" s="240"/>
      <c r="AD1093" s="124"/>
      <c r="AE1093" s="238"/>
      <c r="AF1093" s="239"/>
      <c r="AG1093" s="239"/>
      <c r="AH1093" s="124"/>
      <c r="AI1093" s="74"/>
      <c r="AJ1093" s="240"/>
      <c r="AL1093" s="124"/>
      <c r="AM1093" s="74"/>
      <c r="AP1093" s="125"/>
      <c r="AQ1093" s="241"/>
      <c r="AR1093" s="125"/>
      <c r="AS1093" s="125"/>
      <c r="AT1093" s="238"/>
      <c r="AU1093" s="125"/>
      <c r="AV1093" s="125"/>
      <c r="AW1093" s="125"/>
      <c r="AX1093" s="238"/>
      <c r="AY1093" s="125"/>
      <c r="AZ1093" s="125"/>
      <c r="BA1093" s="125"/>
    </row>
    <row r="1094" spans="2:53" s="123" customFormat="1">
      <c r="B1094" s="125"/>
      <c r="D1094" s="125"/>
      <c r="I1094" s="125"/>
      <c r="Z1094" s="124"/>
      <c r="AA1094" s="74"/>
      <c r="AB1094" s="240"/>
      <c r="AD1094" s="124"/>
      <c r="AE1094" s="238"/>
      <c r="AF1094" s="239"/>
      <c r="AG1094" s="239"/>
      <c r="AH1094" s="124"/>
      <c r="AI1094" s="74"/>
      <c r="AJ1094" s="240"/>
      <c r="AL1094" s="124"/>
      <c r="AM1094" s="74"/>
      <c r="AP1094" s="125"/>
      <c r="AQ1094" s="241"/>
      <c r="AR1094" s="125"/>
      <c r="AS1094" s="125"/>
      <c r="AT1094" s="238"/>
      <c r="AU1094" s="125"/>
      <c r="AV1094" s="125"/>
      <c r="AW1094" s="125"/>
      <c r="AX1094" s="238"/>
      <c r="AY1094" s="125"/>
      <c r="AZ1094" s="125"/>
      <c r="BA1094" s="125"/>
    </row>
    <row r="1095" spans="2:53" s="123" customFormat="1">
      <c r="B1095" s="125"/>
      <c r="D1095" s="125"/>
      <c r="I1095" s="125"/>
      <c r="Z1095" s="124"/>
      <c r="AA1095" s="74"/>
      <c r="AB1095" s="240"/>
      <c r="AD1095" s="124"/>
      <c r="AE1095" s="238"/>
      <c r="AF1095" s="239"/>
      <c r="AG1095" s="239"/>
      <c r="AH1095" s="124"/>
      <c r="AI1095" s="74"/>
      <c r="AJ1095" s="240"/>
      <c r="AL1095" s="124"/>
      <c r="AM1095" s="74"/>
      <c r="AP1095" s="125"/>
      <c r="AQ1095" s="241"/>
      <c r="AR1095" s="125"/>
      <c r="AS1095" s="125"/>
      <c r="AT1095" s="238"/>
      <c r="AU1095" s="125"/>
      <c r="AV1095" s="125"/>
      <c r="AW1095" s="125"/>
      <c r="AX1095" s="238"/>
      <c r="AY1095" s="125"/>
      <c r="AZ1095" s="125"/>
      <c r="BA1095" s="125"/>
    </row>
    <row r="1096" spans="2:53" s="123" customFormat="1">
      <c r="B1096" s="125"/>
      <c r="D1096" s="125"/>
      <c r="I1096" s="125"/>
      <c r="Z1096" s="124"/>
      <c r="AA1096" s="74"/>
      <c r="AB1096" s="240"/>
      <c r="AD1096" s="124"/>
      <c r="AE1096" s="238"/>
      <c r="AF1096" s="239"/>
      <c r="AG1096" s="239"/>
      <c r="AH1096" s="124"/>
      <c r="AI1096" s="74"/>
      <c r="AJ1096" s="240"/>
      <c r="AL1096" s="124"/>
      <c r="AM1096" s="74"/>
      <c r="AP1096" s="125"/>
      <c r="AQ1096" s="241"/>
      <c r="AR1096" s="125"/>
      <c r="AS1096" s="125"/>
      <c r="AT1096" s="238"/>
      <c r="AU1096" s="125"/>
      <c r="AV1096" s="125"/>
      <c r="AW1096" s="125"/>
      <c r="AX1096" s="238"/>
      <c r="AY1096" s="125"/>
      <c r="AZ1096" s="125"/>
      <c r="BA1096" s="125"/>
    </row>
    <row r="1097" spans="2:53" s="123" customFormat="1">
      <c r="B1097" s="125"/>
      <c r="D1097" s="125"/>
      <c r="I1097" s="125"/>
      <c r="Z1097" s="124"/>
      <c r="AA1097" s="74"/>
      <c r="AB1097" s="240"/>
      <c r="AD1097" s="124"/>
      <c r="AE1097" s="238"/>
      <c r="AF1097" s="239"/>
      <c r="AG1097" s="239"/>
      <c r="AH1097" s="124"/>
      <c r="AI1097" s="74"/>
      <c r="AJ1097" s="240"/>
      <c r="AL1097" s="124"/>
      <c r="AM1097" s="74"/>
      <c r="AP1097" s="125"/>
      <c r="AQ1097" s="241"/>
      <c r="AR1097" s="125"/>
      <c r="AS1097" s="125"/>
      <c r="AT1097" s="238"/>
      <c r="AU1097" s="125"/>
      <c r="AV1097" s="125"/>
      <c r="AW1097" s="125"/>
      <c r="AX1097" s="238"/>
      <c r="AY1097" s="125"/>
      <c r="AZ1097" s="125"/>
      <c r="BA1097" s="125"/>
    </row>
    <row r="1098" spans="2:53" s="123" customFormat="1">
      <c r="B1098" s="125"/>
      <c r="D1098" s="125"/>
      <c r="I1098" s="125"/>
      <c r="Z1098" s="124"/>
      <c r="AA1098" s="74"/>
      <c r="AB1098" s="240"/>
      <c r="AD1098" s="124"/>
      <c r="AE1098" s="238"/>
      <c r="AF1098" s="239"/>
      <c r="AG1098" s="239"/>
      <c r="AH1098" s="124"/>
      <c r="AI1098" s="74"/>
      <c r="AJ1098" s="240"/>
      <c r="AL1098" s="124"/>
      <c r="AM1098" s="74"/>
      <c r="AP1098" s="125"/>
      <c r="AQ1098" s="241"/>
      <c r="AR1098" s="125"/>
      <c r="AS1098" s="125"/>
      <c r="AT1098" s="238"/>
      <c r="AU1098" s="125"/>
      <c r="AV1098" s="125"/>
      <c r="AW1098" s="125"/>
      <c r="AX1098" s="238"/>
      <c r="AY1098" s="125"/>
      <c r="AZ1098" s="125"/>
      <c r="BA1098" s="125"/>
    </row>
    <row r="1099" spans="2:53" s="123" customFormat="1">
      <c r="B1099" s="125"/>
      <c r="D1099" s="125"/>
      <c r="I1099" s="125"/>
      <c r="Z1099" s="124"/>
      <c r="AA1099" s="74"/>
      <c r="AB1099" s="240"/>
      <c r="AD1099" s="124"/>
      <c r="AE1099" s="238"/>
      <c r="AF1099" s="239"/>
      <c r="AG1099" s="239"/>
      <c r="AH1099" s="124"/>
      <c r="AI1099" s="74"/>
      <c r="AJ1099" s="240"/>
      <c r="AL1099" s="124"/>
      <c r="AM1099" s="74"/>
      <c r="AP1099" s="125"/>
      <c r="AQ1099" s="241"/>
      <c r="AR1099" s="125"/>
      <c r="AS1099" s="125"/>
      <c r="AT1099" s="238"/>
      <c r="AU1099" s="125"/>
      <c r="AV1099" s="125"/>
      <c r="AW1099" s="125"/>
      <c r="AX1099" s="238"/>
      <c r="AY1099" s="125"/>
      <c r="AZ1099" s="125"/>
      <c r="BA1099" s="125"/>
    </row>
    <row r="1100" spans="2:53" s="123" customFormat="1">
      <c r="B1100" s="125"/>
      <c r="D1100" s="125"/>
      <c r="I1100" s="125"/>
      <c r="Z1100" s="124"/>
      <c r="AA1100" s="74"/>
      <c r="AB1100" s="240"/>
      <c r="AD1100" s="124"/>
      <c r="AE1100" s="238"/>
      <c r="AF1100" s="239"/>
      <c r="AG1100" s="239"/>
      <c r="AH1100" s="124"/>
      <c r="AI1100" s="74"/>
      <c r="AJ1100" s="240"/>
      <c r="AL1100" s="124"/>
      <c r="AM1100" s="74"/>
      <c r="AP1100" s="125"/>
      <c r="AQ1100" s="241"/>
      <c r="AR1100" s="125"/>
      <c r="AS1100" s="125"/>
      <c r="AT1100" s="238"/>
      <c r="AU1100" s="125"/>
      <c r="AV1100" s="125"/>
      <c r="AW1100" s="125"/>
      <c r="AX1100" s="238"/>
      <c r="AY1100" s="125"/>
      <c r="AZ1100" s="125"/>
      <c r="BA1100" s="125"/>
    </row>
    <row r="1101" spans="2:53" s="123" customFormat="1">
      <c r="B1101" s="125"/>
      <c r="D1101" s="125"/>
      <c r="I1101" s="125"/>
      <c r="Z1101" s="124"/>
      <c r="AA1101" s="74"/>
      <c r="AB1101" s="240"/>
      <c r="AD1101" s="124"/>
      <c r="AE1101" s="238"/>
      <c r="AF1101" s="239"/>
      <c r="AG1101" s="239"/>
      <c r="AH1101" s="124"/>
      <c r="AI1101" s="74"/>
      <c r="AJ1101" s="240"/>
      <c r="AL1101" s="124"/>
      <c r="AM1101" s="74"/>
      <c r="AP1101" s="125"/>
      <c r="AQ1101" s="241"/>
      <c r="AR1101" s="125"/>
      <c r="AS1101" s="125"/>
      <c r="AT1101" s="238"/>
      <c r="AU1101" s="125"/>
      <c r="AV1101" s="125"/>
      <c r="AW1101" s="125"/>
      <c r="AX1101" s="238"/>
      <c r="AY1101" s="125"/>
      <c r="AZ1101" s="125"/>
      <c r="BA1101" s="125"/>
    </row>
    <row r="1102" spans="2:53" s="123" customFormat="1">
      <c r="B1102" s="125"/>
      <c r="D1102" s="125"/>
      <c r="I1102" s="125"/>
      <c r="Z1102" s="124"/>
      <c r="AA1102" s="74"/>
      <c r="AB1102" s="240"/>
      <c r="AD1102" s="124"/>
      <c r="AE1102" s="238"/>
      <c r="AF1102" s="239"/>
      <c r="AG1102" s="239"/>
      <c r="AH1102" s="124"/>
      <c r="AI1102" s="74"/>
      <c r="AJ1102" s="240"/>
      <c r="AL1102" s="124"/>
      <c r="AM1102" s="74"/>
      <c r="AP1102" s="125"/>
      <c r="AQ1102" s="241"/>
      <c r="AR1102" s="125"/>
      <c r="AS1102" s="125"/>
      <c r="AT1102" s="238"/>
      <c r="AU1102" s="125"/>
      <c r="AV1102" s="125"/>
      <c r="AW1102" s="125"/>
      <c r="AX1102" s="238"/>
      <c r="AY1102" s="125"/>
      <c r="AZ1102" s="125"/>
      <c r="BA1102" s="125"/>
    </row>
    <row r="1103" spans="2:53" s="123" customFormat="1">
      <c r="B1103" s="125"/>
      <c r="D1103" s="125"/>
      <c r="I1103" s="125"/>
      <c r="Z1103" s="124"/>
      <c r="AA1103" s="74"/>
      <c r="AB1103" s="240"/>
      <c r="AD1103" s="124"/>
      <c r="AE1103" s="238"/>
      <c r="AF1103" s="239"/>
      <c r="AG1103" s="239"/>
      <c r="AH1103" s="124"/>
      <c r="AI1103" s="74"/>
      <c r="AJ1103" s="240"/>
      <c r="AL1103" s="124"/>
      <c r="AM1103" s="74"/>
      <c r="AP1103" s="125"/>
      <c r="AQ1103" s="241"/>
      <c r="AR1103" s="125"/>
      <c r="AS1103" s="125"/>
      <c r="AT1103" s="238"/>
      <c r="AU1103" s="125"/>
      <c r="AV1103" s="125"/>
      <c r="AW1103" s="125"/>
      <c r="AX1103" s="238"/>
      <c r="AY1103" s="125"/>
      <c r="AZ1103" s="125"/>
      <c r="BA1103" s="125"/>
    </row>
    <row r="1104" spans="2:53" s="123" customFormat="1">
      <c r="B1104" s="125"/>
      <c r="D1104" s="125"/>
      <c r="I1104" s="125"/>
      <c r="Z1104" s="124"/>
      <c r="AA1104" s="74"/>
      <c r="AB1104" s="240"/>
      <c r="AD1104" s="124"/>
      <c r="AE1104" s="238"/>
      <c r="AF1104" s="239"/>
      <c r="AG1104" s="239"/>
      <c r="AH1104" s="124"/>
      <c r="AI1104" s="74"/>
      <c r="AJ1104" s="240"/>
      <c r="AL1104" s="124"/>
      <c r="AM1104" s="74"/>
      <c r="AP1104" s="125"/>
      <c r="AQ1104" s="241"/>
      <c r="AR1104" s="125"/>
      <c r="AS1104" s="125"/>
      <c r="AT1104" s="238"/>
      <c r="AU1104" s="125"/>
      <c r="AV1104" s="125"/>
      <c r="AW1104" s="125"/>
      <c r="AX1104" s="238"/>
      <c r="AY1104" s="125"/>
      <c r="AZ1104" s="125"/>
      <c r="BA1104" s="125"/>
    </row>
    <row r="1105" spans="2:53" s="123" customFormat="1">
      <c r="B1105" s="125"/>
      <c r="D1105" s="125"/>
      <c r="I1105" s="125"/>
      <c r="Z1105" s="124"/>
      <c r="AA1105" s="74"/>
      <c r="AB1105" s="240"/>
      <c r="AD1105" s="124"/>
      <c r="AE1105" s="238"/>
      <c r="AF1105" s="239"/>
      <c r="AG1105" s="239"/>
      <c r="AH1105" s="124"/>
      <c r="AI1105" s="74"/>
      <c r="AJ1105" s="240"/>
      <c r="AL1105" s="124"/>
      <c r="AM1105" s="74"/>
      <c r="AP1105" s="125"/>
      <c r="AQ1105" s="241"/>
      <c r="AR1105" s="125"/>
      <c r="AS1105" s="125"/>
      <c r="AT1105" s="238"/>
      <c r="AU1105" s="125"/>
      <c r="AV1105" s="125"/>
      <c r="AW1105" s="125"/>
      <c r="AX1105" s="238"/>
      <c r="AY1105" s="125"/>
      <c r="AZ1105" s="125"/>
      <c r="BA1105" s="125"/>
    </row>
    <row r="1106" spans="2:53" s="123" customFormat="1">
      <c r="B1106" s="125"/>
      <c r="D1106" s="125"/>
      <c r="I1106" s="125"/>
      <c r="Z1106" s="124"/>
      <c r="AA1106" s="74"/>
      <c r="AB1106" s="240"/>
      <c r="AD1106" s="124"/>
      <c r="AE1106" s="238"/>
      <c r="AF1106" s="239"/>
      <c r="AG1106" s="239"/>
      <c r="AH1106" s="124"/>
      <c r="AI1106" s="74"/>
      <c r="AJ1106" s="240"/>
      <c r="AL1106" s="124"/>
      <c r="AM1106" s="74"/>
      <c r="AP1106" s="125"/>
      <c r="AQ1106" s="241"/>
      <c r="AR1106" s="125"/>
      <c r="AS1106" s="125"/>
      <c r="AT1106" s="238"/>
      <c r="AU1106" s="125"/>
      <c r="AV1106" s="125"/>
      <c r="AW1106" s="125"/>
      <c r="AX1106" s="238"/>
      <c r="AY1106" s="125"/>
      <c r="AZ1106" s="125"/>
      <c r="BA1106" s="125"/>
    </row>
    <row r="1107" spans="2:53" s="123" customFormat="1">
      <c r="B1107" s="125"/>
      <c r="D1107" s="125"/>
      <c r="I1107" s="125"/>
      <c r="Z1107" s="124"/>
      <c r="AA1107" s="74"/>
      <c r="AB1107" s="240"/>
      <c r="AD1107" s="124"/>
      <c r="AE1107" s="238"/>
      <c r="AF1107" s="239"/>
      <c r="AG1107" s="239"/>
      <c r="AH1107" s="124"/>
      <c r="AI1107" s="74"/>
      <c r="AJ1107" s="240"/>
      <c r="AL1107" s="124"/>
      <c r="AM1107" s="74"/>
      <c r="AP1107" s="125"/>
      <c r="AQ1107" s="241"/>
      <c r="AR1107" s="125"/>
      <c r="AS1107" s="125"/>
      <c r="AT1107" s="238"/>
      <c r="AU1107" s="125"/>
      <c r="AV1107" s="125"/>
      <c r="AW1107" s="125"/>
      <c r="AX1107" s="238"/>
      <c r="AY1107" s="125"/>
      <c r="AZ1107" s="125"/>
      <c r="BA1107" s="125"/>
    </row>
    <row r="1108" spans="2:53" s="123" customFormat="1">
      <c r="B1108" s="125"/>
      <c r="D1108" s="125"/>
      <c r="I1108" s="125"/>
      <c r="Z1108" s="124"/>
      <c r="AA1108" s="74"/>
      <c r="AB1108" s="240"/>
      <c r="AD1108" s="124"/>
      <c r="AE1108" s="238"/>
      <c r="AF1108" s="239"/>
      <c r="AG1108" s="239"/>
      <c r="AH1108" s="124"/>
      <c r="AI1108" s="74"/>
      <c r="AJ1108" s="240"/>
      <c r="AL1108" s="124"/>
      <c r="AM1108" s="74"/>
      <c r="AP1108" s="125"/>
      <c r="AQ1108" s="241"/>
      <c r="AR1108" s="125"/>
      <c r="AS1108" s="125"/>
      <c r="AT1108" s="238"/>
      <c r="AU1108" s="125"/>
      <c r="AV1108" s="125"/>
      <c r="AW1108" s="125"/>
      <c r="AX1108" s="238"/>
      <c r="AY1108" s="125"/>
      <c r="AZ1108" s="125"/>
      <c r="BA1108" s="125"/>
    </row>
    <row r="1109" spans="2:53" s="123" customFormat="1">
      <c r="B1109" s="125"/>
      <c r="D1109" s="125"/>
      <c r="I1109" s="125"/>
      <c r="Z1109" s="124"/>
      <c r="AA1109" s="74"/>
      <c r="AB1109" s="240"/>
      <c r="AD1109" s="124"/>
      <c r="AE1109" s="238"/>
      <c r="AF1109" s="239"/>
      <c r="AG1109" s="239"/>
      <c r="AH1109" s="124"/>
      <c r="AI1109" s="74"/>
      <c r="AJ1109" s="240"/>
      <c r="AL1109" s="124"/>
      <c r="AM1109" s="74"/>
      <c r="AP1109" s="125"/>
      <c r="AQ1109" s="241"/>
      <c r="AR1109" s="125"/>
      <c r="AS1109" s="125"/>
      <c r="AT1109" s="238"/>
      <c r="AU1109" s="125"/>
      <c r="AV1109" s="125"/>
      <c r="AW1109" s="125"/>
      <c r="AX1109" s="238"/>
      <c r="AY1109" s="125"/>
      <c r="AZ1109" s="125"/>
      <c r="BA1109" s="125"/>
    </row>
    <row r="1110" spans="2:53" s="123" customFormat="1">
      <c r="B1110" s="125"/>
      <c r="D1110" s="125"/>
      <c r="I1110" s="125"/>
      <c r="Z1110" s="124"/>
      <c r="AA1110" s="74"/>
      <c r="AB1110" s="240"/>
      <c r="AD1110" s="124"/>
      <c r="AE1110" s="238"/>
      <c r="AF1110" s="239"/>
      <c r="AG1110" s="239"/>
      <c r="AH1110" s="124"/>
      <c r="AI1110" s="74"/>
      <c r="AJ1110" s="240"/>
      <c r="AL1110" s="124"/>
      <c r="AM1110" s="74"/>
      <c r="AP1110" s="125"/>
      <c r="AQ1110" s="241"/>
      <c r="AR1110" s="125"/>
      <c r="AS1110" s="125"/>
      <c r="AT1110" s="238"/>
      <c r="AU1110" s="125"/>
      <c r="AV1110" s="125"/>
      <c r="AW1110" s="125"/>
      <c r="AX1110" s="238"/>
      <c r="AY1110" s="125"/>
      <c r="AZ1110" s="125"/>
      <c r="BA1110" s="125"/>
    </row>
    <row r="1111" spans="2:53" s="123" customFormat="1">
      <c r="B1111" s="125"/>
      <c r="D1111" s="125"/>
      <c r="I1111" s="125"/>
      <c r="Z1111" s="124"/>
      <c r="AA1111" s="74"/>
      <c r="AB1111" s="240"/>
      <c r="AD1111" s="124"/>
      <c r="AE1111" s="238"/>
      <c r="AF1111" s="239"/>
      <c r="AG1111" s="239"/>
      <c r="AH1111" s="124"/>
      <c r="AI1111" s="74"/>
      <c r="AJ1111" s="240"/>
      <c r="AL1111" s="124"/>
      <c r="AM1111" s="74"/>
      <c r="AP1111" s="125"/>
      <c r="AQ1111" s="241"/>
      <c r="AR1111" s="125"/>
      <c r="AS1111" s="125"/>
      <c r="AT1111" s="238"/>
      <c r="AU1111" s="125"/>
      <c r="AV1111" s="125"/>
      <c r="AW1111" s="125"/>
      <c r="AX1111" s="238"/>
      <c r="AY1111" s="125"/>
      <c r="AZ1111" s="125"/>
      <c r="BA1111" s="125"/>
    </row>
    <row r="1112" spans="2:53" s="123" customFormat="1">
      <c r="B1112" s="125"/>
      <c r="D1112" s="125"/>
      <c r="I1112" s="125"/>
      <c r="Z1112" s="124"/>
      <c r="AA1112" s="74"/>
      <c r="AB1112" s="240"/>
      <c r="AD1112" s="124"/>
      <c r="AE1112" s="238"/>
      <c r="AF1112" s="239"/>
      <c r="AG1112" s="239"/>
      <c r="AH1112" s="124"/>
      <c r="AI1112" s="74"/>
      <c r="AJ1112" s="240"/>
      <c r="AL1112" s="124"/>
      <c r="AM1112" s="74"/>
      <c r="AP1112" s="125"/>
      <c r="AQ1112" s="241"/>
      <c r="AR1112" s="125"/>
      <c r="AS1112" s="125"/>
      <c r="AT1112" s="238"/>
      <c r="AU1112" s="125"/>
      <c r="AV1112" s="125"/>
      <c r="AW1112" s="125"/>
      <c r="AX1112" s="238"/>
      <c r="AY1112" s="125"/>
      <c r="AZ1112" s="125"/>
      <c r="BA1112" s="125"/>
    </row>
    <row r="1113" spans="2:53" s="123" customFormat="1">
      <c r="B1113" s="125"/>
      <c r="D1113" s="125"/>
      <c r="I1113" s="125"/>
      <c r="Z1113" s="124"/>
      <c r="AA1113" s="74"/>
      <c r="AB1113" s="240"/>
      <c r="AD1113" s="124"/>
      <c r="AE1113" s="238"/>
      <c r="AF1113" s="239"/>
      <c r="AG1113" s="239"/>
      <c r="AH1113" s="124"/>
      <c r="AI1113" s="74"/>
      <c r="AJ1113" s="240"/>
      <c r="AL1113" s="124"/>
      <c r="AM1113" s="74"/>
      <c r="AP1113" s="125"/>
      <c r="AQ1113" s="241"/>
      <c r="AR1113" s="125"/>
      <c r="AS1113" s="125"/>
      <c r="AT1113" s="238"/>
      <c r="AU1113" s="125"/>
      <c r="AV1113" s="125"/>
      <c r="AW1113" s="125"/>
      <c r="AX1113" s="238"/>
      <c r="AY1113" s="125"/>
      <c r="AZ1113" s="125"/>
      <c r="BA1113" s="125"/>
    </row>
    <row r="1114" spans="2:53" s="123" customFormat="1">
      <c r="B1114" s="125"/>
      <c r="D1114" s="125"/>
      <c r="I1114" s="125"/>
      <c r="Z1114" s="124"/>
      <c r="AA1114" s="74"/>
      <c r="AB1114" s="240"/>
      <c r="AD1114" s="124"/>
      <c r="AE1114" s="238"/>
      <c r="AF1114" s="239"/>
      <c r="AG1114" s="239"/>
      <c r="AH1114" s="124"/>
      <c r="AI1114" s="74"/>
      <c r="AJ1114" s="240"/>
      <c r="AL1114" s="124"/>
      <c r="AM1114" s="74"/>
      <c r="AP1114" s="125"/>
      <c r="AQ1114" s="241"/>
      <c r="AR1114" s="125"/>
      <c r="AS1114" s="125"/>
      <c r="AT1114" s="238"/>
      <c r="AU1114" s="125"/>
      <c r="AV1114" s="125"/>
      <c r="AW1114" s="125"/>
      <c r="AX1114" s="238"/>
      <c r="AY1114" s="125"/>
      <c r="AZ1114" s="125"/>
      <c r="BA1114" s="125"/>
    </row>
    <row r="1115" spans="2:53" s="123" customFormat="1">
      <c r="B1115" s="125"/>
      <c r="D1115" s="125"/>
      <c r="I1115" s="125"/>
      <c r="Z1115" s="124"/>
      <c r="AA1115" s="74"/>
      <c r="AB1115" s="240"/>
      <c r="AD1115" s="124"/>
      <c r="AE1115" s="238"/>
      <c r="AF1115" s="239"/>
      <c r="AG1115" s="239"/>
      <c r="AH1115" s="124"/>
      <c r="AI1115" s="74"/>
      <c r="AJ1115" s="240"/>
      <c r="AL1115" s="124"/>
      <c r="AM1115" s="74"/>
      <c r="AP1115" s="125"/>
      <c r="AQ1115" s="241"/>
      <c r="AR1115" s="125"/>
      <c r="AS1115" s="125"/>
      <c r="AT1115" s="238"/>
      <c r="AU1115" s="125"/>
      <c r="AV1115" s="125"/>
      <c r="AW1115" s="125"/>
      <c r="AX1115" s="238"/>
      <c r="AY1115" s="125"/>
      <c r="AZ1115" s="125"/>
      <c r="BA1115" s="125"/>
    </row>
    <row r="1116" spans="2:53" s="123" customFormat="1">
      <c r="B1116" s="125"/>
      <c r="D1116" s="125"/>
      <c r="I1116" s="125"/>
      <c r="Z1116" s="124"/>
      <c r="AA1116" s="74"/>
      <c r="AB1116" s="240"/>
      <c r="AD1116" s="124"/>
      <c r="AE1116" s="238"/>
      <c r="AF1116" s="239"/>
      <c r="AG1116" s="239"/>
      <c r="AH1116" s="124"/>
      <c r="AI1116" s="74"/>
      <c r="AJ1116" s="240"/>
      <c r="AL1116" s="124"/>
      <c r="AM1116" s="74"/>
      <c r="AP1116" s="125"/>
      <c r="AQ1116" s="241"/>
      <c r="AR1116" s="125"/>
      <c r="AS1116" s="125"/>
      <c r="AT1116" s="238"/>
      <c r="AU1116" s="125"/>
      <c r="AV1116" s="125"/>
      <c r="AW1116" s="125"/>
      <c r="AX1116" s="238"/>
      <c r="AY1116" s="125"/>
      <c r="AZ1116" s="125"/>
      <c r="BA1116" s="125"/>
    </row>
    <row r="1117" spans="2:53" s="123" customFormat="1">
      <c r="B1117" s="125"/>
      <c r="D1117" s="125"/>
      <c r="I1117" s="125"/>
      <c r="Z1117" s="124"/>
      <c r="AA1117" s="74"/>
      <c r="AB1117" s="240"/>
      <c r="AD1117" s="124"/>
      <c r="AE1117" s="238"/>
      <c r="AF1117" s="239"/>
      <c r="AG1117" s="239"/>
      <c r="AH1117" s="124"/>
      <c r="AI1117" s="74"/>
      <c r="AJ1117" s="240"/>
      <c r="AL1117" s="124"/>
      <c r="AM1117" s="74"/>
      <c r="AP1117" s="125"/>
      <c r="AQ1117" s="241"/>
      <c r="AR1117" s="125"/>
      <c r="AS1117" s="125"/>
      <c r="AT1117" s="238"/>
      <c r="AU1117" s="125"/>
      <c r="AV1117" s="125"/>
      <c r="AW1117" s="125"/>
      <c r="AX1117" s="238"/>
      <c r="AY1117" s="125"/>
      <c r="AZ1117" s="125"/>
      <c r="BA1117" s="125"/>
    </row>
    <row r="1118" spans="2:53" s="123" customFormat="1">
      <c r="B1118" s="125"/>
      <c r="D1118" s="125"/>
      <c r="I1118" s="125"/>
      <c r="Z1118" s="124"/>
      <c r="AA1118" s="74"/>
      <c r="AB1118" s="240"/>
      <c r="AD1118" s="124"/>
      <c r="AE1118" s="238"/>
      <c r="AF1118" s="239"/>
      <c r="AG1118" s="239"/>
      <c r="AH1118" s="124"/>
      <c r="AI1118" s="74"/>
      <c r="AJ1118" s="240"/>
      <c r="AL1118" s="124"/>
      <c r="AM1118" s="74"/>
      <c r="AP1118" s="125"/>
      <c r="AQ1118" s="241"/>
      <c r="AR1118" s="125"/>
      <c r="AS1118" s="125"/>
      <c r="AT1118" s="238"/>
      <c r="AU1118" s="125"/>
      <c r="AV1118" s="125"/>
      <c r="AW1118" s="125"/>
      <c r="AX1118" s="238"/>
      <c r="AY1118" s="125"/>
      <c r="AZ1118" s="125"/>
      <c r="BA1118" s="125"/>
    </row>
    <row r="1119" spans="2:53" s="123" customFormat="1">
      <c r="B1119" s="125"/>
      <c r="D1119" s="125"/>
      <c r="I1119" s="125"/>
      <c r="Z1119" s="124"/>
      <c r="AA1119" s="74"/>
      <c r="AB1119" s="240"/>
      <c r="AD1119" s="124"/>
      <c r="AE1119" s="238"/>
      <c r="AF1119" s="239"/>
      <c r="AG1119" s="239"/>
      <c r="AH1119" s="124"/>
      <c r="AI1119" s="74"/>
      <c r="AJ1119" s="240"/>
      <c r="AL1119" s="124"/>
      <c r="AM1119" s="74"/>
      <c r="AP1119" s="125"/>
      <c r="AQ1119" s="241"/>
      <c r="AR1119" s="125"/>
      <c r="AS1119" s="125"/>
      <c r="AT1119" s="238"/>
      <c r="AU1119" s="125"/>
      <c r="AV1119" s="125"/>
      <c r="AW1119" s="125"/>
      <c r="AX1119" s="238"/>
      <c r="AY1119" s="125"/>
      <c r="AZ1119" s="125"/>
      <c r="BA1119" s="125"/>
    </row>
    <row r="1120" spans="2:53" s="123" customFormat="1">
      <c r="B1120" s="125"/>
      <c r="D1120" s="125"/>
      <c r="I1120" s="125"/>
      <c r="Z1120" s="124"/>
      <c r="AA1120" s="74"/>
      <c r="AB1120" s="240"/>
      <c r="AD1120" s="124"/>
      <c r="AE1120" s="238"/>
      <c r="AF1120" s="239"/>
      <c r="AG1120" s="239"/>
      <c r="AH1120" s="124"/>
      <c r="AI1120" s="74"/>
      <c r="AJ1120" s="240"/>
      <c r="AL1120" s="124"/>
      <c r="AM1120" s="74"/>
      <c r="AP1120" s="125"/>
      <c r="AQ1120" s="241"/>
      <c r="AR1120" s="125"/>
      <c r="AS1120" s="125"/>
      <c r="AT1120" s="238"/>
      <c r="AU1120" s="125"/>
      <c r="AV1120" s="125"/>
      <c r="AW1120" s="125"/>
      <c r="AX1120" s="238"/>
      <c r="AY1120" s="125"/>
      <c r="AZ1120" s="125"/>
      <c r="BA1120" s="125"/>
    </row>
    <row r="1121" spans="2:53" s="123" customFormat="1">
      <c r="B1121" s="125"/>
      <c r="D1121" s="125"/>
      <c r="I1121" s="125"/>
      <c r="Z1121" s="124"/>
      <c r="AA1121" s="74"/>
      <c r="AB1121" s="240"/>
      <c r="AD1121" s="124"/>
      <c r="AE1121" s="238"/>
      <c r="AF1121" s="239"/>
      <c r="AG1121" s="239"/>
      <c r="AH1121" s="124"/>
      <c r="AI1121" s="74"/>
      <c r="AJ1121" s="240"/>
      <c r="AL1121" s="124"/>
      <c r="AM1121" s="74"/>
      <c r="AP1121" s="125"/>
      <c r="AQ1121" s="241"/>
      <c r="AR1121" s="125"/>
      <c r="AS1121" s="125"/>
      <c r="AT1121" s="238"/>
      <c r="AU1121" s="125"/>
      <c r="AV1121" s="125"/>
      <c r="AW1121" s="125"/>
      <c r="AX1121" s="238"/>
      <c r="AY1121" s="125"/>
      <c r="AZ1121" s="125"/>
      <c r="BA1121" s="125"/>
    </row>
    <row r="1122" spans="2:53" s="123" customFormat="1">
      <c r="B1122" s="125"/>
      <c r="D1122" s="125"/>
      <c r="I1122" s="125"/>
      <c r="Z1122" s="124"/>
      <c r="AA1122" s="74"/>
      <c r="AB1122" s="240"/>
      <c r="AD1122" s="124"/>
      <c r="AE1122" s="238"/>
      <c r="AF1122" s="239"/>
      <c r="AG1122" s="239"/>
      <c r="AH1122" s="124"/>
      <c r="AI1122" s="74"/>
      <c r="AJ1122" s="240"/>
      <c r="AL1122" s="124"/>
      <c r="AM1122" s="74"/>
      <c r="AP1122" s="125"/>
      <c r="AQ1122" s="241"/>
      <c r="AR1122" s="125"/>
      <c r="AS1122" s="125"/>
      <c r="AT1122" s="238"/>
      <c r="AU1122" s="125"/>
      <c r="AV1122" s="125"/>
      <c r="AW1122" s="125"/>
      <c r="AX1122" s="238"/>
      <c r="AY1122" s="125"/>
      <c r="AZ1122" s="125"/>
      <c r="BA1122" s="125"/>
    </row>
    <row r="1123" spans="2:53" s="123" customFormat="1">
      <c r="B1123" s="125"/>
      <c r="D1123" s="125"/>
      <c r="I1123" s="125"/>
      <c r="Z1123" s="124"/>
      <c r="AA1123" s="74"/>
      <c r="AB1123" s="240"/>
      <c r="AD1123" s="124"/>
      <c r="AE1123" s="238"/>
      <c r="AF1123" s="239"/>
      <c r="AG1123" s="239"/>
      <c r="AH1123" s="124"/>
      <c r="AI1123" s="74"/>
      <c r="AJ1123" s="240"/>
      <c r="AL1123" s="124"/>
      <c r="AM1123" s="74"/>
      <c r="AP1123" s="125"/>
      <c r="AQ1123" s="241"/>
      <c r="AR1123" s="125"/>
      <c r="AS1123" s="125"/>
      <c r="AT1123" s="238"/>
      <c r="AU1123" s="125"/>
      <c r="AV1123" s="125"/>
      <c r="AW1123" s="125"/>
      <c r="AX1123" s="238"/>
      <c r="AY1123" s="125"/>
      <c r="AZ1123" s="125"/>
      <c r="BA1123" s="125"/>
    </row>
    <row r="1124" spans="2:53" s="123" customFormat="1">
      <c r="B1124" s="125"/>
      <c r="D1124" s="125"/>
      <c r="I1124" s="125"/>
      <c r="Z1124" s="124"/>
      <c r="AA1124" s="74"/>
      <c r="AB1124" s="240"/>
      <c r="AD1124" s="124"/>
      <c r="AE1124" s="238"/>
      <c r="AF1124" s="239"/>
      <c r="AG1124" s="239"/>
      <c r="AH1124" s="124"/>
      <c r="AI1124" s="74"/>
      <c r="AJ1124" s="240"/>
      <c r="AL1124" s="124"/>
      <c r="AM1124" s="74"/>
      <c r="AP1124" s="125"/>
      <c r="AQ1124" s="241"/>
      <c r="AR1124" s="125"/>
      <c r="AS1124" s="125"/>
      <c r="AT1124" s="238"/>
      <c r="AU1124" s="125"/>
      <c r="AV1124" s="125"/>
      <c r="AW1124" s="125"/>
      <c r="AX1124" s="238"/>
      <c r="AY1124" s="125"/>
      <c r="AZ1124" s="125"/>
      <c r="BA1124" s="125"/>
    </row>
    <row r="1125" spans="2:53" s="123" customFormat="1">
      <c r="B1125" s="125"/>
      <c r="D1125" s="125"/>
      <c r="I1125" s="125"/>
      <c r="Z1125" s="124"/>
      <c r="AA1125" s="74"/>
      <c r="AB1125" s="240"/>
      <c r="AD1125" s="124"/>
      <c r="AE1125" s="238"/>
      <c r="AF1125" s="239"/>
      <c r="AG1125" s="239"/>
      <c r="AH1125" s="124"/>
      <c r="AI1125" s="74"/>
      <c r="AJ1125" s="240"/>
      <c r="AL1125" s="124"/>
      <c r="AM1125" s="74"/>
      <c r="AP1125" s="125"/>
      <c r="AQ1125" s="241"/>
      <c r="AR1125" s="125"/>
      <c r="AS1125" s="125"/>
      <c r="AT1125" s="238"/>
      <c r="AU1125" s="125"/>
      <c r="AV1125" s="125"/>
      <c r="AW1125" s="125"/>
      <c r="AX1125" s="238"/>
      <c r="AY1125" s="125"/>
      <c r="AZ1125" s="125"/>
      <c r="BA1125" s="125"/>
    </row>
    <row r="1126" spans="2:53" s="123" customFormat="1">
      <c r="B1126" s="125"/>
      <c r="D1126" s="125"/>
      <c r="I1126" s="125"/>
      <c r="Z1126" s="124"/>
      <c r="AA1126" s="74"/>
      <c r="AB1126" s="240"/>
      <c r="AD1126" s="124"/>
      <c r="AE1126" s="238"/>
      <c r="AF1126" s="239"/>
      <c r="AG1126" s="239"/>
      <c r="AH1126" s="124"/>
      <c r="AI1126" s="74"/>
      <c r="AJ1126" s="240"/>
      <c r="AL1126" s="124"/>
      <c r="AM1126" s="74"/>
      <c r="AP1126" s="125"/>
      <c r="AQ1126" s="241"/>
      <c r="AR1126" s="125"/>
      <c r="AS1126" s="125"/>
      <c r="AT1126" s="238"/>
      <c r="AU1126" s="125"/>
      <c r="AV1126" s="125"/>
      <c r="AW1126" s="125"/>
      <c r="AX1126" s="238"/>
      <c r="AY1126" s="125"/>
      <c r="AZ1126" s="125"/>
      <c r="BA1126" s="125"/>
    </row>
    <row r="1127" spans="2:53" s="123" customFormat="1">
      <c r="B1127" s="125"/>
      <c r="D1127" s="125"/>
      <c r="I1127" s="125"/>
      <c r="Z1127" s="124"/>
      <c r="AA1127" s="74"/>
      <c r="AB1127" s="240"/>
      <c r="AD1127" s="124"/>
      <c r="AE1127" s="238"/>
      <c r="AF1127" s="239"/>
      <c r="AG1127" s="239"/>
      <c r="AH1127" s="124"/>
      <c r="AI1127" s="74"/>
      <c r="AJ1127" s="240"/>
      <c r="AL1127" s="124"/>
      <c r="AM1127" s="74"/>
      <c r="AP1127" s="125"/>
      <c r="AQ1127" s="241"/>
      <c r="AR1127" s="125"/>
      <c r="AS1127" s="125"/>
      <c r="AT1127" s="238"/>
      <c r="AU1127" s="125"/>
      <c r="AV1127" s="125"/>
      <c r="AW1127" s="125"/>
      <c r="AX1127" s="238"/>
      <c r="AY1127" s="125"/>
      <c r="AZ1127" s="125"/>
      <c r="BA1127" s="125"/>
    </row>
    <row r="1128" spans="2:53" s="123" customFormat="1">
      <c r="B1128" s="125"/>
      <c r="D1128" s="125"/>
      <c r="I1128" s="125"/>
      <c r="Z1128" s="124"/>
      <c r="AA1128" s="74"/>
      <c r="AB1128" s="240"/>
      <c r="AD1128" s="124"/>
      <c r="AE1128" s="238"/>
      <c r="AF1128" s="239"/>
      <c r="AG1128" s="239"/>
      <c r="AH1128" s="124"/>
      <c r="AI1128" s="74"/>
      <c r="AJ1128" s="240"/>
      <c r="AL1128" s="124"/>
      <c r="AM1128" s="74"/>
      <c r="AP1128" s="125"/>
      <c r="AQ1128" s="241"/>
      <c r="AR1128" s="125"/>
      <c r="AS1128" s="125"/>
      <c r="AT1128" s="238"/>
      <c r="AU1128" s="125"/>
      <c r="AV1128" s="125"/>
      <c r="AW1128" s="125"/>
      <c r="AX1128" s="238"/>
      <c r="AY1128" s="125"/>
      <c r="AZ1128" s="125"/>
      <c r="BA1128" s="125"/>
    </row>
    <row r="1129" spans="2:53" s="123" customFormat="1">
      <c r="B1129" s="125"/>
      <c r="D1129" s="125"/>
      <c r="I1129" s="125"/>
      <c r="Z1129" s="124"/>
      <c r="AA1129" s="74"/>
      <c r="AB1129" s="240"/>
      <c r="AD1129" s="124"/>
      <c r="AE1129" s="238"/>
      <c r="AF1129" s="239"/>
      <c r="AG1129" s="239"/>
      <c r="AH1129" s="124"/>
      <c r="AI1129" s="74"/>
      <c r="AJ1129" s="240"/>
      <c r="AL1129" s="124"/>
      <c r="AM1129" s="74"/>
      <c r="AP1129" s="125"/>
      <c r="AQ1129" s="241"/>
      <c r="AR1129" s="125"/>
      <c r="AS1129" s="125"/>
      <c r="AT1129" s="238"/>
      <c r="AU1129" s="125"/>
      <c r="AV1129" s="125"/>
      <c r="AW1129" s="125"/>
      <c r="AX1129" s="238"/>
      <c r="AY1129" s="125"/>
      <c r="AZ1129" s="125"/>
      <c r="BA1129" s="125"/>
    </row>
    <row r="1130" spans="2:53" s="123" customFormat="1">
      <c r="B1130" s="125"/>
      <c r="D1130" s="125"/>
      <c r="I1130" s="125"/>
      <c r="Z1130" s="124"/>
      <c r="AA1130" s="74"/>
      <c r="AB1130" s="240"/>
      <c r="AD1130" s="124"/>
      <c r="AE1130" s="238"/>
      <c r="AF1130" s="239"/>
      <c r="AG1130" s="239"/>
      <c r="AH1130" s="124"/>
      <c r="AI1130" s="74"/>
      <c r="AJ1130" s="240"/>
      <c r="AL1130" s="124"/>
      <c r="AM1130" s="74"/>
      <c r="AP1130" s="125"/>
      <c r="AQ1130" s="241"/>
      <c r="AR1130" s="125"/>
      <c r="AS1130" s="125"/>
      <c r="AT1130" s="238"/>
      <c r="AU1130" s="125"/>
      <c r="AV1130" s="125"/>
      <c r="AW1130" s="125"/>
      <c r="AX1130" s="238"/>
      <c r="AY1130" s="125"/>
      <c r="AZ1130" s="125"/>
      <c r="BA1130" s="125"/>
    </row>
    <row r="1131" spans="2:53" s="123" customFormat="1">
      <c r="B1131" s="125"/>
      <c r="D1131" s="125"/>
      <c r="I1131" s="125"/>
      <c r="Z1131" s="124"/>
      <c r="AA1131" s="74"/>
      <c r="AB1131" s="240"/>
      <c r="AD1131" s="124"/>
      <c r="AE1131" s="238"/>
      <c r="AF1131" s="239"/>
      <c r="AG1131" s="239"/>
      <c r="AH1131" s="124"/>
      <c r="AI1131" s="74"/>
      <c r="AJ1131" s="240"/>
      <c r="AL1131" s="124"/>
      <c r="AM1131" s="74"/>
      <c r="AP1131" s="125"/>
      <c r="AQ1131" s="241"/>
      <c r="AR1131" s="125"/>
      <c r="AS1131" s="125"/>
      <c r="AT1131" s="238"/>
      <c r="AU1131" s="125"/>
      <c r="AV1131" s="125"/>
      <c r="AW1131" s="125"/>
      <c r="AX1131" s="238"/>
      <c r="AY1131" s="125"/>
      <c r="AZ1131" s="125"/>
      <c r="BA1131" s="125"/>
    </row>
    <row r="1132" spans="2:53" s="123" customFormat="1">
      <c r="B1132" s="125"/>
      <c r="D1132" s="125"/>
      <c r="I1132" s="125"/>
      <c r="Z1132" s="124"/>
      <c r="AA1132" s="74"/>
      <c r="AB1132" s="240"/>
      <c r="AD1132" s="124"/>
      <c r="AE1132" s="238"/>
      <c r="AF1132" s="239"/>
      <c r="AG1132" s="239"/>
      <c r="AH1132" s="124"/>
      <c r="AI1132" s="74"/>
      <c r="AJ1132" s="240"/>
      <c r="AL1132" s="124"/>
      <c r="AM1132" s="74"/>
      <c r="AP1132" s="125"/>
      <c r="AQ1132" s="241"/>
      <c r="AR1132" s="125"/>
      <c r="AS1132" s="125"/>
      <c r="AT1132" s="238"/>
      <c r="AU1132" s="125"/>
      <c r="AV1132" s="125"/>
      <c r="AW1132" s="125"/>
      <c r="AX1132" s="238"/>
      <c r="AY1132" s="125"/>
      <c r="AZ1132" s="125"/>
      <c r="BA1132" s="125"/>
    </row>
    <row r="1133" spans="2:53" s="123" customFormat="1">
      <c r="B1133" s="125"/>
      <c r="D1133" s="125"/>
      <c r="I1133" s="125"/>
      <c r="Z1133" s="124"/>
      <c r="AA1133" s="74"/>
      <c r="AB1133" s="240"/>
      <c r="AD1133" s="124"/>
      <c r="AE1133" s="238"/>
      <c r="AF1133" s="239"/>
      <c r="AG1133" s="239"/>
      <c r="AH1133" s="124"/>
      <c r="AI1133" s="74"/>
      <c r="AJ1133" s="240"/>
      <c r="AL1133" s="124"/>
      <c r="AM1133" s="74"/>
      <c r="AP1133" s="125"/>
      <c r="AQ1133" s="241"/>
      <c r="AR1133" s="125"/>
      <c r="AS1133" s="125"/>
      <c r="AT1133" s="238"/>
      <c r="AU1133" s="125"/>
      <c r="AV1133" s="125"/>
      <c r="AW1133" s="125"/>
      <c r="AX1133" s="238"/>
      <c r="AY1133" s="125"/>
      <c r="AZ1133" s="125"/>
      <c r="BA1133" s="125"/>
    </row>
    <row r="1134" spans="2:53" s="123" customFormat="1">
      <c r="B1134" s="125"/>
      <c r="D1134" s="125"/>
      <c r="I1134" s="125"/>
      <c r="Z1134" s="124"/>
      <c r="AA1134" s="74"/>
      <c r="AB1134" s="240"/>
      <c r="AD1134" s="124"/>
      <c r="AE1134" s="238"/>
      <c r="AF1134" s="239"/>
      <c r="AG1134" s="239"/>
      <c r="AH1134" s="124"/>
      <c r="AI1134" s="74"/>
      <c r="AJ1134" s="240"/>
      <c r="AL1134" s="124"/>
      <c r="AM1134" s="74"/>
      <c r="AP1134" s="125"/>
      <c r="AQ1134" s="241"/>
      <c r="AR1134" s="125"/>
      <c r="AS1134" s="125"/>
      <c r="AT1134" s="238"/>
      <c r="AU1134" s="125"/>
      <c r="AV1134" s="125"/>
      <c r="AW1134" s="125"/>
      <c r="AX1134" s="238"/>
      <c r="AY1134" s="125"/>
      <c r="AZ1134" s="125"/>
      <c r="BA1134" s="125"/>
    </row>
    <row r="1135" spans="2:53" s="123" customFormat="1">
      <c r="B1135" s="125"/>
      <c r="D1135" s="125"/>
      <c r="I1135" s="125"/>
      <c r="Z1135" s="124"/>
      <c r="AA1135" s="74"/>
      <c r="AB1135" s="240"/>
      <c r="AD1135" s="124"/>
      <c r="AE1135" s="238"/>
      <c r="AF1135" s="239"/>
      <c r="AG1135" s="239"/>
      <c r="AH1135" s="124"/>
      <c r="AI1135" s="74"/>
      <c r="AJ1135" s="240"/>
      <c r="AL1135" s="124"/>
      <c r="AM1135" s="74"/>
      <c r="AP1135" s="125"/>
      <c r="AQ1135" s="241"/>
      <c r="AR1135" s="125"/>
      <c r="AS1135" s="125"/>
      <c r="AT1135" s="238"/>
      <c r="AU1135" s="125"/>
      <c r="AV1135" s="125"/>
      <c r="AW1135" s="125"/>
      <c r="AX1135" s="238"/>
      <c r="AY1135" s="125"/>
      <c r="AZ1135" s="125"/>
      <c r="BA1135" s="125"/>
    </row>
    <row r="1136" spans="2:53" s="123" customFormat="1">
      <c r="B1136" s="125"/>
      <c r="D1136" s="125"/>
      <c r="I1136" s="125"/>
      <c r="Z1136" s="124"/>
      <c r="AA1136" s="74"/>
      <c r="AB1136" s="240"/>
      <c r="AD1136" s="124"/>
      <c r="AE1136" s="238"/>
      <c r="AF1136" s="239"/>
      <c r="AG1136" s="239"/>
      <c r="AH1136" s="124"/>
      <c r="AI1136" s="74"/>
      <c r="AJ1136" s="240"/>
      <c r="AL1136" s="124"/>
      <c r="AM1136" s="74"/>
      <c r="AP1136" s="125"/>
      <c r="AQ1136" s="241"/>
      <c r="AR1136" s="125"/>
      <c r="AS1136" s="125"/>
      <c r="AT1136" s="238"/>
      <c r="AU1136" s="125"/>
      <c r="AV1136" s="125"/>
      <c r="AW1136" s="125"/>
      <c r="AX1136" s="238"/>
      <c r="AY1136" s="125"/>
      <c r="AZ1136" s="125"/>
      <c r="BA1136" s="125"/>
    </row>
    <row r="1137" spans="2:53" s="123" customFormat="1">
      <c r="B1137" s="125"/>
      <c r="D1137" s="125"/>
      <c r="I1137" s="125"/>
      <c r="Z1137" s="124"/>
      <c r="AA1137" s="74"/>
      <c r="AB1137" s="240"/>
      <c r="AD1137" s="124"/>
      <c r="AE1137" s="238"/>
      <c r="AF1137" s="239"/>
      <c r="AG1137" s="239"/>
      <c r="AH1137" s="124"/>
      <c r="AI1137" s="74"/>
      <c r="AJ1137" s="240"/>
      <c r="AL1137" s="124"/>
      <c r="AM1137" s="74"/>
      <c r="AP1137" s="125"/>
      <c r="AQ1137" s="241"/>
      <c r="AR1137" s="125"/>
      <c r="AS1137" s="125"/>
      <c r="AT1137" s="238"/>
      <c r="AU1137" s="125"/>
      <c r="AV1137" s="125"/>
      <c r="AW1137" s="125"/>
      <c r="AX1137" s="238"/>
      <c r="AY1137" s="125"/>
      <c r="AZ1137" s="125"/>
      <c r="BA1137" s="125"/>
    </row>
    <row r="1138" spans="2:53" s="123" customFormat="1">
      <c r="B1138" s="125"/>
      <c r="D1138" s="125"/>
      <c r="I1138" s="125"/>
      <c r="Z1138" s="124"/>
      <c r="AA1138" s="74"/>
      <c r="AB1138" s="240"/>
      <c r="AD1138" s="124"/>
      <c r="AE1138" s="238"/>
      <c r="AF1138" s="239"/>
      <c r="AG1138" s="239"/>
      <c r="AH1138" s="124"/>
      <c r="AI1138" s="74"/>
      <c r="AJ1138" s="240"/>
      <c r="AL1138" s="124"/>
      <c r="AM1138" s="74"/>
      <c r="AP1138" s="125"/>
      <c r="AQ1138" s="241"/>
      <c r="AR1138" s="125"/>
      <c r="AS1138" s="125"/>
      <c r="AT1138" s="238"/>
      <c r="AU1138" s="125"/>
      <c r="AV1138" s="125"/>
      <c r="AW1138" s="125"/>
      <c r="AX1138" s="238"/>
      <c r="AY1138" s="125"/>
      <c r="AZ1138" s="125"/>
      <c r="BA1138" s="125"/>
    </row>
    <row r="1139" spans="2:53" s="123" customFormat="1">
      <c r="B1139" s="125"/>
      <c r="D1139" s="125"/>
      <c r="I1139" s="125"/>
      <c r="Z1139" s="124"/>
      <c r="AA1139" s="74"/>
      <c r="AB1139" s="240"/>
      <c r="AD1139" s="124"/>
      <c r="AE1139" s="238"/>
      <c r="AF1139" s="239"/>
      <c r="AG1139" s="239"/>
      <c r="AH1139" s="124"/>
      <c r="AI1139" s="74"/>
      <c r="AJ1139" s="240"/>
      <c r="AL1139" s="124"/>
      <c r="AM1139" s="74"/>
      <c r="AP1139" s="125"/>
      <c r="AQ1139" s="241"/>
      <c r="AR1139" s="125"/>
      <c r="AS1139" s="125"/>
      <c r="AT1139" s="238"/>
      <c r="AU1139" s="125"/>
      <c r="AV1139" s="125"/>
      <c r="AW1139" s="125"/>
      <c r="AX1139" s="238"/>
      <c r="AY1139" s="125"/>
      <c r="AZ1139" s="125"/>
      <c r="BA1139" s="125"/>
    </row>
    <row r="1140" spans="2:53" s="123" customFormat="1">
      <c r="B1140" s="125"/>
      <c r="D1140" s="125"/>
      <c r="I1140" s="125"/>
      <c r="Z1140" s="124"/>
      <c r="AA1140" s="74"/>
      <c r="AB1140" s="240"/>
      <c r="AD1140" s="124"/>
      <c r="AE1140" s="238"/>
      <c r="AF1140" s="239"/>
      <c r="AG1140" s="239"/>
      <c r="AH1140" s="124"/>
      <c r="AI1140" s="74"/>
      <c r="AJ1140" s="240"/>
      <c r="AL1140" s="124"/>
      <c r="AM1140" s="74"/>
      <c r="AP1140" s="125"/>
      <c r="AQ1140" s="241"/>
      <c r="AR1140" s="125"/>
      <c r="AS1140" s="125"/>
      <c r="AT1140" s="238"/>
      <c r="AU1140" s="125"/>
      <c r="AV1140" s="125"/>
      <c r="AW1140" s="125"/>
      <c r="AX1140" s="238"/>
      <c r="AY1140" s="125"/>
      <c r="AZ1140" s="125"/>
      <c r="BA1140" s="125"/>
    </row>
    <row r="1141" spans="2:53" s="123" customFormat="1">
      <c r="B1141" s="125"/>
      <c r="D1141" s="125"/>
      <c r="I1141" s="125"/>
      <c r="Z1141" s="124"/>
      <c r="AA1141" s="74"/>
      <c r="AB1141" s="240"/>
      <c r="AD1141" s="124"/>
      <c r="AE1141" s="238"/>
      <c r="AF1141" s="239"/>
      <c r="AG1141" s="239"/>
      <c r="AH1141" s="124"/>
      <c r="AI1141" s="74"/>
      <c r="AJ1141" s="240"/>
      <c r="AL1141" s="124"/>
      <c r="AM1141" s="74"/>
      <c r="AP1141" s="125"/>
      <c r="AQ1141" s="241"/>
      <c r="AR1141" s="125"/>
      <c r="AS1141" s="125"/>
      <c r="AT1141" s="238"/>
      <c r="AU1141" s="125"/>
      <c r="AV1141" s="125"/>
      <c r="AW1141" s="125"/>
      <c r="AX1141" s="238"/>
      <c r="AY1141" s="125"/>
      <c r="AZ1141" s="125"/>
      <c r="BA1141" s="125"/>
    </row>
    <row r="1142" spans="2:53" s="123" customFormat="1">
      <c r="B1142" s="125"/>
      <c r="D1142" s="125"/>
      <c r="I1142" s="125"/>
      <c r="Z1142" s="124"/>
      <c r="AA1142" s="74"/>
      <c r="AB1142" s="240"/>
      <c r="AD1142" s="124"/>
      <c r="AE1142" s="238"/>
      <c r="AF1142" s="239"/>
      <c r="AG1142" s="239"/>
      <c r="AH1142" s="124"/>
      <c r="AI1142" s="74"/>
      <c r="AJ1142" s="240"/>
      <c r="AL1142" s="124"/>
      <c r="AM1142" s="74"/>
      <c r="AP1142" s="125"/>
      <c r="AQ1142" s="241"/>
      <c r="AR1142" s="125"/>
      <c r="AS1142" s="125"/>
      <c r="AT1142" s="238"/>
      <c r="AU1142" s="125"/>
      <c r="AV1142" s="125"/>
      <c r="AW1142" s="125"/>
      <c r="AX1142" s="238"/>
      <c r="AY1142" s="125"/>
      <c r="AZ1142" s="125"/>
      <c r="BA1142" s="125"/>
    </row>
    <row r="1143" spans="2:53" s="123" customFormat="1">
      <c r="B1143" s="125"/>
      <c r="D1143" s="125"/>
      <c r="I1143" s="125"/>
      <c r="Z1143" s="124"/>
      <c r="AA1143" s="74"/>
      <c r="AB1143" s="240"/>
      <c r="AD1143" s="124"/>
      <c r="AE1143" s="238"/>
      <c r="AF1143" s="239"/>
      <c r="AG1143" s="239"/>
      <c r="AH1143" s="124"/>
      <c r="AI1143" s="74"/>
      <c r="AJ1143" s="240"/>
      <c r="AL1143" s="124"/>
      <c r="AM1143" s="74"/>
      <c r="AP1143" s="125"/>
      <c r="AQ1143" s="241"/>
      <c r="AR1143" s="125"/>
      <c r="AS1143" s="125"/>
      <c r="AT1143" s="238"/>
      <c r="AU1143" s="125"/>
      <c r="AV1143" s="125"/>
      <c r="AW1143" s="125"/>
      <c r="AX1143" s="238"/>
      <c r="AY1143" s="125"/>
      <c r="AZ1143" s="125"/>
      <c r="BA1143" s="125"/>
    </row>
    <row r="1144" spans="2:53" s="123" customFormat="1">
      <c r="B1144" s="125"/>
      <c r="D1144" s="125"/>
      <c r="I1144" s="125"/>
      <c r="Z1144" s="124"/>
      <c r="AA1144" s="74"/>
      <c r="AB1144" s="240"/>
      <c r="AD1144" s="124"/>
      <c r="AE1144" s="238"/>
      <c r="AF1144" s="239"/>
      <c r="AG1144" s="239"/>
      <c r="AH1144" s="124"/>
      <c r="AI1144" s="74"/>
      <c r="AJ1144" s="240"/>
      <c r="AL1144" s="124"/>
      <c r="AM1144" s="74"/>
      <c r="AP1144" s="125"/>
      <c r="AQ1144" s="241"/>
      <c r="AR1144" s="125"/>
      <c r="AS1144" s="125"/>
      <c r="AT1144" s="238"/>
      <c r="AU1144" s="125"/>
      <c r="AV1144" s="125"/>
      <c r="AW1144" s="125"/>
      <c r="AX1144" s="238"/>
      <c r="AY1144" s="125"/>
      <c r="AZ1144" s="125"/>
      <c r="BA1144" s="125"/>
    </row>
    <row r="1145" spans="2:53" s="123" customFormat="1">
      <c r="B1145" s="125"/>
      <c r="D1145" s="125"/>
      <c r="I1145" s="125"/>
      <c r="Z1145" s="124"/>
      <c r="AA1145" s="74"/>
      <c r="AB1145" s="240"/>
      <c r="AD1145" s="124"/>
      <c r="AE1145" s="238"/>
      <c r="AF1145" s="239"/>
      <c r="AG1145" s="239"/>
      <c r="AH1145" s="124"/>
      <c r="AI1145" s="74"/>
      <c r="AJ1145" s="240"/>
      <c r="AL1145" s="124"/>
      <c r="AM1145" s="74"/>
      <c r="AP1145" s="125"/>
      <c r="AQ1145" s="241"/>
      <c r="AR1145" s="125"/>
      <c r="AS1145" s="125"/>
      <c r="AT1145" s="238"/>
      <c r="AU1145" s="125"/>
      <c r="AV1145" s="125"/>
      <c r="AW1145" s="125"/>
      <c r="AX1145" s="238"/>
      <c r="AY1145" s="125"/>
      <c r="AZ1145" s="125"/>
      <c r="BA1145" s="125"/>
    </row>
    <row r="1146" spans="2:53" s="123" customFormat="1">
      <c r="B1146" s="125"/>
      <c r="D1146" s="125"/>
      <c r="I1146" s="125"/>
      <c r="Z1146" s="124"/>
      <c r="AA1146" s="74"/>
      <c r="AB1146" s="240"/>
      <c r="AD1146" s="124"/>
      <c r="AE1146" s="238"/>
      <c r="AF1146" s="239"/>
      <c r="AG1146" s="239"/>
      <c r="AH1146" s="124"/>
      <c r="AI1146" s="74"/>
      <c r="AJ1146" s="240"/>
      <c r="AL1146" s="124"/>
      <c r="AM1146" s="74"/>
      <c r="AP1146" s="125"/>
      <c r="AQ1146" s="241"/>
      <c r="AR1146" s="125"/>
      <c r="AS1146" s="125"/>
      <c r="AT1146" s="238"/>
      <c r="AU1146" s="125"/>
      <c r="AV1146" s="125"/>
      <c r="AW1146" s="125"/>
      <c r="AX1146" s="238"/>
      <c r="AY1146" s="125"/>
      <c r="AZ1146" s="125"/>
      <c r="BA1146" s="125"/>
    </row>
    <row r="1147" spans="2:53" s="123" customFormat="1">
      <c r="B1147" s="125"/>
      <c r="D1147" s="125"/>
      <c r="I1147" s="125"/>
      <c r="Z1147" s="124"/>
      <c r="AA1147" s="74"/>
      <c r="AB1147" s="240"/>
      <c r="AD1147" s="124"/>
      <c r="AE1147" s="238"/>
      <c r="AF1147" s="239"/>
      <c r="AG1147" s="239"/>
      <c r="AH1147" s="124"/>
      <c r="AI1147" s="74"/>
      <c r="AJ1147" s="240"/>
      <c r="AL1147" s="124"/>
      <c r="AM1147" s="74"/>
      <c r="AP1147" s="125"/>
      <c r="AQ1147" s="241"/>
      <c r="AR1147" s="125"/>
      <c r="AS1147" s="125"/>
      <c r="AT1147" s="238"/>
      <c r="AU1147" s="125"/>
      <c r="AV1147" s="125"/>
      <c r="AW1147" s="125"/>
      <c r="AX1147" s="238"/>
      <c r="AY1147" s="125"/>
      <c r="AZ1147" s="125"/>
      <c r="BA1147" s="125"/>
    </row>
    <row r="1148" spans="2:53" s="123" customFormat="1">
      <c r="B1148" s="125"/>
      <c r="D1148" s="125"/>
      <c r="I1148" s="125"/>
      <c r="Z1148" s="124"/>
      <c r="AA1148" s="74"/>
      <c r="AB1148" s="240"/>
      <c r="AD1148" s="124"/>
      <c r="AE1148" s="238"/>
      <c r="AF1148" s="239"/>
      <c r="AG1148" s="239"/>
      <c r="AH1148" s="124"/>
      <c r="AI1148" s="74"/>
      <c r="AJ1148" s="240"/>
      <c r="AL1148" s="124"/>
      <c r="AM1148" s="74"/>
      <c r="AP1148" s="125"/>
      <c r="AQ1148" s="241"/>
      <c r="AR1148" s="125"/>
      <c r="AS1148" s="125"/>
      <c r="AT1148" s="238"/>
      <c r="AU1148" s="125"/>
      <c r="AV1148" s="125"/>
      <c r="AW1148" s="125"/>
      <c r="AX1148" s="238"/>
      <c r="AY1148" s="125"/>
      <c r="AZ1148" s="125"/>
      <c r="BA1148" s="125"/>
    </row>
    <row r="1149" spans="2:53" s="123" customFormat="1">
      <c r="B1149" s="125"/>
      <c r="D1149" s="125"/>
      <c r="I1149" s="125"/>
      <c r="Z1149" s="124"/>
      <c r="AA1149" s="74"/>
      <c r="AB1149" s="240"/>
      <c r="AD1149" s="124"/>
      <c r="AE1149" s="238"/>
      <c r="AF1149" s="239"/>
      <c r="AG1149" s="239"/>
      <c r="AH1149" s="124"/>
      <c r="AI1149" s="74"/>
      <c r="AJ1149" s="240"/>
      <c r="AL1149" s="124"/>
      <c r="AM1149" s="74"/>
      <c r="AP1149" s="125"/>
      <c r="AQ1149" s="241"/>
      <c r="AR1149" s="125"/>
      <c r="AS1149" s="125"/>
      <c r="AT1149" s="238"/>
      <c r="AU1149" s="125"/>
      <c r="AV1149" s="125"/>
      <c r="AW1149" s="125"/>
      <c r="AX1149" s="238"/>
      <c r="AY1149" s="125"/>
      <c r="AZ1149" s="125"/>
      <c r="BA1149" s="125"/>
    </row>
    <row r="1150" spans="2:53" s="123" customFormat="1">
      <c r="B1150" s="125"/>
      <c r="D1150" s="125"/>
      <c r="I1150" s="125"/>
      <c r="Z1150" s="124"/>
      <c r="AA1150" s="74"/>
      <c r="AB1150" s="240"/>
      <c r="AD1150" s="124"/>
      <c r="AE1150" s="238"/>
      <c r="AF1150" s="239"/>
      <c r="AG1150" s="239"/>
      <c r="AH1150" s="124"/>
      <c r="AI1150" s="74"/>
      <c r="AJ1150" s="240"/>
      <c r="AL1150" s="124"/>
      <c r="AM1150" s="74"/>
      <c r="AP1150" s="125"/>
      <c r="AQ1150" s="241"/>
      <c r="AR1150" s="125"/>
      <c r="AS1150" s="125"/>
      <c r="AT1150" s="238"/>
      <c r="AU1150" s="125"/>
      <c r="AV1150" s="125"/>
      <c r="AW1150" s="125"/>
      <c r="AX1150" s="238"/>
      <c r="AY1150" s="125"/>
      <c r="AZ1150" s="125"/>
      <c r="BA1150" s="125"/>
    </row>
    <row r="1151" spans="2:53" s="123" customFormat="1">
      <c r="B1151" s="125"/>
      <c r="D1151" s="125"/>
      <c r="I1151" s="125"/>
      <c r="Z1151" s="124"/>
      <c r="AA1151" s="74"/>
      <c r="AB1151" s="240"/>
      <c r="AD1151" s="124"/>
      <c r="AE1151" s="238"/>
      <c r="AF1151" s="239"/>
      <c r="AG1151" s="239"/>
      <c r="AH1151" s="124"/>
      <c r="AI1151" s="74"/>
      <c r="AJ1151" s="240"/>
      <c r="AL1151" s="124"/>
      <c r="AM1151" s="74"/>
      <c r="AP1151" s="125"/>
      <c r="AQ1151" s="241"/>
      <c r="AR1151" s="125"/>
      <c r="AS1151" s="125"/>
      <c r="AT1151" s="238"/>
      <c r="AU1151" s="125"/>
      <c r="AV1151" s="125"/>
      <c r="AW1151" s="125"/>
      <c r="AX1151" s="238"/>
      <c r="AY1151" s="125"/>
      <c r="AZ1151" s="125"/>
      <c r="BA1151" s="125"/>
    </row>
    <row r="1152" spans="2:53" s="123" customFormat="1">
      <c r="B1152" s="125"/>
      <c r="D1152" s="125"/>
      <c r="I1152" s="125"/>
      <c r="Z1152" s="124"/>
      <c r="AA1152" s="74"/>
      <c r="AB1152" s="240"/>
      <c r="AD1152" s="124"/>
      <c r="AE1152" s="238"/>
      <c r="AF1152" s="239"/>
      <c r="AG1152" s="239"/>
      <c r="AH1152" s="124"/>
      <c r="AI1152" s="74"/>
      <c r="AJ1152" s="240"/>
      <c r="AL1152" s="124"/>
      <c r="AM1152" s="74"/>
      <c r="AP1152" s="125"/>
      <c r="AQ1152" s="241"/>
      <c r="AR1152" s="125"/>
      <c r="AS1152" s="125"/>
      <c r="AT1152" s="238"/>
      <c r="AU1152" s="125"/>
      <c r="AV1152" s="125"/>
      <c r="AW1152" s="125"/>
      <c r="AX1152" s="238"/>
      <c r="AY1152" s="125"/>
      <c r="AZ1152" s="125"/>
      <c r="BA1152" s="125"/>
    </row>
    <row r="1153" spans="2:53" s="123" customFormat="1">
      <c r="B1153" s="125"/>
      <c r="D1153" s="125"/>
      <c r="I1153" s="125"/>
      <c r="Z1153" s="124"/>
      <c r="AA1153" s="74"/>
      <c r="AB1153" s="240"/>
      <c r="AD1153" s="124"/>
      <c r="AE1153" s="238"/>
      <c r="AF1153" s="239"/>
      <c r="AG1153" s="239"/>
      <c r="AH1153" s="124"/>
      <c r="AI1153" s="74"/>
      <c r="AJ1153" s="240"/>
      <c r="AL1153" s="124"/>
      <c r="AM1153" s="74"/>
      <c r="AP1153" s="125"/>
      <c r="AQ1153" s="241"/>
      <c r="AR1153" s="125"/>
      <c r="AS1153" s="125"/>
      <c r="AT1153" s="238"/>
      <c r="AU1153" s="125"/>
      <c r="AV1153" s="125"/>
      <c r="AW1153" s="125"/>
      <c r="AX1153" s="238"/>
      <c r="AY1153" s="125"/>
      <c r="AZ1153" s="125"/>
      <c r="BA1153" s="125"/>
    </row>
    <row r="1154" spans="2:53" s="123" customFormat="1">
      <c r="B1154" s="125"/>
      <c r="D1154" s="125"/>
      <c r="I1154" s="125"/>
      <c r="Z1154" s="124"/>
      <c r="AA1154" s="74"/>
      <c r="AB1154" s="240"/>
      <c r="AD1154" s="124"/>
      <c r="AE1154" s="238"/>
      <c r="AF1154" s="239"/>
      <c r="AG1154" s="239"/>
      <c r="AH1154" s="124"/>
      <c r="AI1154" s="74"/>
      <c r="AJ1154" s="240"/>
      <c r="AL1154" s="124"/>
      <c r="AM1154" s="74"/>
      <c r="AP1154" s="125"/>
      <c r="AQ1154" s="241"/>
      <c r="AR1154" s="125"/>
      <c r="AS1154" s="125"/>
      <c r="AT1154" s="238"/>
      <c r="AU1154" s="125"/>
      <c r="AV1154" s="125"/>
      <c r="AW1154" s="125"/>
      <c r="AX1154" s="238"/>
      <c r="AY1154" s="125"/>
      <c r="AZ1154" s="125"/>
      <c r="BA1154" s="125"/>
    </row>
    <row r="1155" spans="2:53" s="123" customFormat="1">
      <c r="B1155" s="125"/>
      <c r="D1155" s="125"/>
      <c r="I1155" s="125"/>
      <c r="Z1155" s="124"/>
      <c r="AA1155" s="74"/>
      <c r="AB1155" s="240"/>
      <c r="AD1155" s="124"/>
      <c r="AE1155" s="238"/>
      <c r="AF1155" s="239"/>
      <c r="AG1155" s="239"/>
      <c r="AH1155" s="124"/>
      <c r="AI1155" s="74"/>
      <c r="AJ1155" s="240"/>
      <c r="AL1155" s="124"/>
      <c r="AM1155" s="74"/>
      <c r="AP1155" s="125"/>
      <c r="AQ1155" s="241"/>
      <c r="AR1155" s="125"/>
      <c r="AS1155" s="125"/>
      <c r="AT1155" s="238"/>
      <c r="AU1155" s="125"/>
      <c r="AV1155" s="125"/>
      <c r="AW1155" s="125"/>
      <c r="AX1155" s="238"/>
      <c r="AY1155" s="125"/>
      <c r="AZ1155" s="125"/>
      <c r="BA1155" s="125"/>
    </row>
    <row r="1156" spans="2:53" s="123" customFormat="1">
      <c r="B1156" s="125"/>
      <c r="D1156" s="125"/>
      <c r="I1156" s="125"/>
      <c r="Z1156" s="124"/>
      <c r="AA1156" s="74"/>
      <c r="AB1156" s="240"/>
      <c r="AD1156" s="124"/>
      <c r="AE1156" s="238"/>
      <c r="AF1156" s="239"/>
      <c r="AG1156" s="239"/>
      <c r="AH1156" s="124"/>
      <c r="AI1156" s="74"/>
      <c r="AJ1156" s="240"/>
      <c r="AL1156" s="124"/>
      <c r="AM1156" s="74"/>
      <c r="AP1156" s="125"/>
      <c r="AQ1156" s="241"/>
      <c r="AR1156" s="125"/>
      <c r="AS1156" s="125"/>
      <c r="AT1156" s="238"/>
      <c r="AU1156" s="125"/>
      <c r="AV1156" s="125"/>
      <c r="AW1156" s="125"/>
      <c r="AX1156" s="238"/>
      <c r="AY1156" s="125"/>
      <c r="AZ1156" s="125"/>
      <c r="BA1156" s="125"/>
    </row>
    <row r="1157" spans="2:53" s="123" customFormat="1">
      <c r="B1157" s="125"/>
      <c r="D1157" s="125"/>
      <c r="I1157" s="125"/>
      <c r="Z1157" s="124"/>
      <c r="AA1157" s="74"/>
      <c r="AB1157" s="240"/>
      <c r="AD1157" s="124"/>
      <c r="AE1157" s="238"/>
      <c r="AF1157" s="239"/>
      <c r="AG1157" s="239"/>
      <c r="AH1157" s="124"/>
      <c r="AI1157" s="74"/>
      <c r="AJ1157" s="240"/>
      <c r="AL1157" s="124"/>
      <c r="AM1157" s="74"/>
      <c r="AP1157" s="125"/>
      <c r="AQ1157" s="241"/>
      <c r="AR1157" s="125"/>
      <c r="AS1157" s="125"/>
      <c r="AT1157" s="238"/>
      <c r="AU1157" s="125"/>
      <c r="AV1157" s="125"/>
      <c r="AW1157" s="125"/>
      <c r="AX1157" s="238"/>
      <c r="AY1157" s="125"/>
      <c r="AZ1157" s="125"/>
      <c r="BA1157" s="125"/>
    </row>
    <row r="1158" spans="2:53" s="123" customFormat="1">
      <c r="B1158" s="125"/>
      <c r="D1158" s="125"/>
      <c r="I1158" s="125"/>
      <c r="Z1158" s="124"/>
      <c r="AA1158" s="74"/>
      <c r="AB1158" s="240"/>
      <c r="AD1158" s="124"/>
      <c r="AE1158" s="238"/>
      <c r="AF1158" s="239"/>
      <c r="AG1158" s="239"/>
      <c r="AH1158" s="124"/>
      <c r="AI1158" s="74"/>
      <c r="AJ1158" s="240"/>
      <c r="AL1158" s="124"/>
      <c r="AM1158" s="74"/>
      <c r="AP1158" s="125"/>
      <c r="AQ1158" s="241"/>
      <c r="AR1158" s="125"/>
      <c r="AS1158" s="125"/>
      <c r="AT1158" s="238"/>
      <c r="AU1158" s="125"/>
      <c r="AV1158" s="125"/>
      <c r="AW1158" s="125"/>
      <c r="AX1158" s="238"/>
      <c r="AY1158" s="125"/>
      <c r="AZ1158" s="125"/>
      <c r="BA1158" s="125"/>
    </row>
    <row r="1159" spans="2:53" s="123" customFormat="1">
      <c r="B1159" s="125"/>
      <c r="D1159" s="125"/>
      <c r="I1159" s="125"/>
      <c r="Z1159" s="124"/>
      <c r="AA1159" s="74"/>
      <c r="AB1159" s="240"/>
      <c r="AD1159" s="124"/>
      <c r="AE1159" s="238"/>
      <c r="AF1159" s="239"/>
      <c r="AG1159" s="239"/>
      <c r="AH1159" s="124"/>
      <c r="AI1159" s="74"/>
      <c r="AJ1159" s="240"/>
      <c r="AL1159" s="124"/>
      <c r="AM1159" s="74"/>
      <c r="AP1159" s="125"/>
      <c r="AQ1159" s="241"/>
      <c r="AR1159" s="125"/>
      <c r="AS1159" s="125"/>
      <c r="AT1159" s="238"/>
      <c r="AU1159" s="125"/>
      <c r="AV1159" s="125"/>
      <c r="AW1159" s="125"/>
      <c r="AX1159" s="238"/>
      <c r="AY1159" s="125"/>
      <c r="AZ1159" s="125"/>
      <c r="BA1159" s="125"/>
    </row>
    <row r="1160" spans="2:53" s="123" customFormat="1">
      <c r="B1160" s="125"/>
      <c r="D1160" s="125"/>
      <c r="I1160" s="125"/>
      <c r="Z1160" s="124"/>
      <c r="AA1160" s="74"/>
      <c r="AB1160" s="240"/>
      <c r="AD1160" s="124"/>
      <c r="AE1160" s="238"/>
      <c r="AF1160" s="239"/>
      <c r="AG1160" s="239"/>
      <c r="AH1160" s="124"/>
      <c r="AI1160" s="74"/>
      <c r="AJ1160" s="240"/>
      <c r="AL1160" s="124"/>
      <c r="AM1160" s="74"/>
      <c r="AP1160" s="125"/>
      <c r="AQ1160" s="241"/>
      <c r="AR1160" s="125"/>
      <c r="AS1160" s="125"/>
      <c r="AT1160" s="238"/>
      <c r="AU1160" s="125"/>
      <c r="AV1160" s="125"/>
      <c r="AW1160" s="125"/>
      <c r="AX1160" s="238"/>
      <c r="AY1160" s="125"/>
      <c r="AZ1160" s="125"/>
      <c r="BA1160" s="125"/>
    </row>
    <row r="1161" spans="2:53" s="123" customFormat="1">
      <c r="B1161" s="125"/>
      <c r="D1161" s="125"/>
      <c r="I1161" s="125"/>
      <c r="Z1161" s="124"/>
      <c r="AA1161" s="74"/>
      <c r="AB1161" s="240"/>
      <c r="AD1161" s="124"/>
      <c r="AE1161" s="238"/>
      <c r="AF1161" s="239"/>
      <c r="AG1161" s="239"/>
      <c r="AH1161" s="124"/>
      <c r="AI1161" s="74"/>
      <c r="AJ1161" s="240"/>
      <c r="AL1161" s="124"/>
      <c r="AM1161" s="74"/>
      <c r="AP1161" s="125"/>
      <c r="AQ1161" s="241"/>
      <c r="AR1161" s="125"/>
      <c r="AS1161" s="125"/>
      <c r="AT1161" s="238"/>
      <c r="AU1161" s="125"/>
      <c r="AV1161" s="125"/>
      <c r="AW1161" s="125"/>
      <c r="AX1161" s="238"/>
      <c r="AY1161" s="125"/>
      <c r="AZ1161" s="125"/>
      <c r="BA1161" s="125"/>
    </row>
    <row r="1162" spans="2:53" s="123" customFormat="1">
      <c r="B1162" s="125"/>
      <c r="D1162" s="125"/>
      <c r="I1162" s="125"/>
      <c r="Z1162" s="124"/>
      <c r="AA1162" s="74"/>
      <c r="AB1162" s="240"/>
      <c r="AD1162" s="124"/>
      <c r="AE1162" s="238"/>
      <c r="AF1162" s="239"/>
      <c r="AG1162" s="239"/>
      <c r="AH1162" s="124"/>
      <c r="AI1162" s="74"/>
      <c r="AJ1162" s="240"/>
      <c r="AL1162" s="124"/>
      <c r="AM1162" s="74"/>
      <c r="AP1162" s="125"/>
      <c r="AQ1162" s="241"/>
      <c r="AR1162" s="125"/>
      <c r="AS1162" s="125"/>
      <c r="AT1162" s="238"/>
      <c r="AU1162" s="125"/>
      <c r="AV1162" s="125"/>
      <c r="AW1162" s="125"/>
      <c r="AX1162" s="238"/>
      <c r="AY1162" s="125"/>
      <c r="AZ1162" s="125"/>
      <c r="BA1162" s="125"/>
    </row>
    <row r="1163" spans="2:53" s="123" customFormat="1">
      <c r="B1163" s="125"/>
      <c r="D1163" s="125"/>
      <c r="I1163" s="125"/>
      <c r="Z1163" s="124"/>
      <c r="AA1163" s="74"/>
      <c r="AB1163" s="240"/>
      <c r="AD1163" s="124"/>
      <c r="AE1163" s="238"/>
      <c r="AF1163" s="239"/>
      <c r="AG1163" s="239"/>
      <c r="AH1163" s="124"/>
      <c r="AI1163" s="74"/>
      <c r="AJ1163" s="240"/>
      <c r="AL1163" s="124"/>
      <c r="AM1163" s="74"/>
      <c r="AP1163" s="125"/>
      <c r="AQ1163" s="241"/>
      <c r="AR1163" s="125"/>
      <c r="AS1163" s="125"/>
      <c r="AT1163" s="238"/>
      <c r="AU1163" s="125"/>
      <c r="AV1163" s="125"/>
      <c r="AW1163" s="125"/>
      <c r="AX1163" s="238"/>
      <c r="AY1163" s="125"/>
      <c r="AZ1163" s="125"/>
      <c r="BA1163" s="125"/>
    </row>
    <row r="1164" spans="2:53" s="123" customFormat="1">
      <c r="B1164" s="125"/>
      <c r="D1164" s="125"/>
      <c r="I1164" s="125"/>
      <c r="Z1164" s="124"/>
      <c r="AA1164" s="74"/>
      <c r="AB1164" s="240"/>
      <c r="AD1164" s="124"/>
      <c r="AE1164" s="238"/>
      <c r="AF1164" s="239"/>
      <c r="AG1164" s="239"/>
      <c r="AH1164" s="124"/>
      <c r="AI1164" s="74"/>
      <c r="AJ1164" s="240"/>
      <c r="AL1164" s="124"/>
      <c r="AM1164" s="74"/>
      <c r="AP1164" s="125"/>
      <c r="AQ1164" s="241"/>
      <c r="AR1164" s="125"/>
      <c r="AS1164" s="125"/>
      <c r="AT1164" s="238"/>
      <c r="AU1164" s="125"/>
      <c r="AV1164" s="125"/>
      <c r="AW1164" s="125"/>
      <c r="AX1164" s="238"/>
      <c r="AY1164" s="125"/>
      <c r="AZ1164" s="125"/>
      <c r="BA1164" s="125"/>
    </row>
    <row r="1165" spans="2:53" s="123" customFormat="1">
      <c r="B1165" s="125"/>
      <c r="D1165" s="125"/>
      <c r="I1165" s="125"/>
      <c r="Z1165" s="124"/>
      <c r="AA1165" s="74"/>
      <c r="AB1165" s="240"/>
      <c r="AD1165" s="124"/>
      <c r="AE1165" s="238"/>
      <c r="AF1165" s="239"/>
      <c r="AG1165" s="239"/>
      <c r="AH1165" s="124"/>
      <c r="AI1165" s="74"/>
      <c r="AJ1165" s="240"/>
      <c r="AL1165" s="124"/>
      <c r="AM1165" s="74"/>
      <c r="AP1165" s="125"/>
      <c r="AQ1165" s="241"/>
      <c r="AR1165" s="125"/>
      <c r="AS1165" s="125"/>
      <c r="AT1165" s="238"/>
      <c r="AU1165" s="125"/>
      <c r="AV1165" s="125"/>
      <c r="AW1165" s="125"/>
      <c r="AX1165" s="238"/>
      <c r="AY1165" s="125"/>
      <c r="AZ1165" s="125"/>
      <c r="BA1165" s="125"/>
    </row>
    <row r="1166" spans="2:53" s="123" customFormat="1">
      <c r="B1166" s="125"/>
      <c r="D1166" s="125"/>
      <c r="I1166" s="125"/>
      <c r="Z1166" s="124"/>
      <c r="AA1166" s="74"/>
      <c r="AB1166" s="240"/>
      <c r="AD1166" s="124"/>
      <c r="AE1166" s="238"/>
      <c r="AF1166" s="239"/>
      <c r="AG1166" s="239"/>
      <c r="AH1166" s="124"/>
      <c r="AI1166" s="74"/>
      <c r="AJ1166" s="240"/>
      <c r="AL1166" s="124"/>
      <c r="AM1166" s="74"/>
      <c r="AP1166" s="125"/>
      <c r="AQ1166" s="241"/>
      <c r="AR1166" s="125"/>
      <c r="AS1166" s="125"/>
      <c r="AT1166" s="238"/>
      <c r="AU1166" s="125"/>
      <c r="AV1166" s="125"/>
      <c r="AW1166" s="125"/>
      <c r="AX1166" s="238"/>
      <c r="AY1166" s="125"/>
      <c r="AZ1166" s="125"/>
      <c r="BA1166" s="125"/>
    </row>
    <row r="1167" spans="2:53" s="123" customFormat="1">
      <c r="B1167" s="125"/>
      <c r="D1167" s="125"/>
      <c r="I1167" s="125"/>
      <c r="Z1167" s="124"/>
      <c r="AA1167" s="74"/>
      <c r="AB1167" s="240"/>
      <c r="AD1167" s="124"/>
      <c r="AE1167" s="238"/>
      <c r="AF1167" s="239"/>
      <c r="AG1167" s="239"/>
      <c r="AH1167" s="124"/>
      <c r="AI1167" s="74"/>
      <c r="AJ1167" s="240"/>
      <c r="AL1167" s="124"/>
      <c r="AM1167" s="74"/>
      <c r="AP1167" s="125"/>
      <c r="AQ1167" s="241"/>
      <c r="AR1167" s="125"/>
      <c r="AS1167" s="125"/>
      <c r="AT1167" s="238"/>
      <c r="AU1167" s="125"/>
      <c r="AV1167" s="125"/>
      <c r="AW1167" s="125"/>
      <c r="AX1167" s="238"/>
      <c r="AY1167" s="125"/>
      <c r="AZ1167" s="125"/>
      <c r="BA1167" s="125"/>
    </row>
    <row r="1168" spans="2:53" s="123" customFormat="1">
      <c r="B1168" s="125"/>
      <c r="D1168" s="125"/>
      <c r="I1168" s="125"/>
      <c r="Z1168" s="124"/>
      <c r="AA1168" s="74"/>
      <c r="AB1168" s="240"/>
      <c r="AD1168" s="124"/>
      <c r="AE1168" s="238"/>
      <c r="AF1168" s="239"/>
      <c r="AG1168" s="239"/>
      <c r="AH1168" s="124"/>
      <c r="AI1168" s="74"/>
      <c r="AJ1168" s="240"/>
      <c r="AL1168" s="124"/>
      <c r="AM1168" s="74"/>
      <c r="AP1168" s="125"/>
      <c r="AQ1168" s="241"/>
      <c r="AR1168" s="125"/>
      <c r="AS1168" s="125"/>
      <c r="AT1168" s="238"/>
      <c r="AU1168" s="125"/>
      <c r="AV1168" s="125"/>
      <c r="AW1168" s="125"/>
      <c r="AX1168" s="238"/>
      <c r="AY1168" s="125"/>
      <c r="AZ1168" s="125"/>
      <c r="BA1168" s="125"/>
    </row>
    <row r="1169" spans="2:53" s="123" customFormat="1">
      <c r="B1169" s="125"/>
      <c r="D1169" s="125"/>
      <c r="I1169" s="125"/>
      <c r="Z1169" s="124"/>
      <c r="AA1169" s="74"/>
      <c r="AB1169" s="240"/>
      <c r="AD1169" s="124"/>
      <c r="AE1169" s="238"/>
      <c r="AF1169" s="239"/>
      <c r="AG1169" s="239"/>
      <c r="AH1169" s="124"/>
      <c r="AI1169" s="74"/>
      <c r="AJ1169" s="240"/>
      <c r="AL1169" s="124"/>
      <c r="AM1169" s="74"/>
      <c r="AP1169" s="125"/>
      <c r="AQ1169" s="241"/>
      <c r="AR1169" s="125"/>
      <c r="AS1169" s="125"/>
      <c r="AT1169" s="238"/>
      <c r="AU1169" s="125"/>
      <c r="AV1169" s="125"/>
      <c r="AW1169" s="125"/>
      <c r="AX1169" s="238"/>
      <c r="AY1169" s="125"/>
      <c r="AZ1169" s="125"/>
      <c r="BA1169" s="125"/>
    </row>
    <row r="1170" spans="2:53" s="123" customFormat="1">
      <c r="B1170" s="125"/>
      <c r="D1170" s="125"/>
      <c r="I1170" s="125"/>
      <c r="Z1170" s="124"/>
      <c r="AA1170" s="74"/>
      <c r="AB1170" s="240"/>
      <c r="AD1170" s="124"/>
      <c r="AE1170" s="238"/>
      <c r="AF1170" s="239"/>
      <c r="AG1170" s="239"/>
      <c r="AH1170" s="124"/>
      <c r="AI1170" s="74"/>
      <c r="AJ1170" s="240"/>
      <c r="AL1170" s="124"/>
      <c r="AM1170" s="74"/>
      <c r="AP1170" s="125"/>
      <c r="AQ1170" s="241"/>
      <c r="AR1170" s="125"/>
      <c r="AS1170" s="125"/>
      <c r="AT1170" s="238"/>
      <c r="AU1170" s="125"/>
      <c r="AV1170" s="125"/>
      <c r="AW1170" s="125"/>
      <c r="AX1170" s="238"/>
      <c r="AY1170" s="125"/>
      <c r="AZ1170" s="125"/>
      <c r="BA1170" s="125"/>
    </row>
    <row r="1171" spans="2:53" s="123" customFormat="1">
      <c r="B1171" s="125"/>
      <c r="D1171" s="125"/>
      <c r="I1171" s="125"/>
      <c r="Z1171" s="124"/>
      <c r="AA1171" s="74"/>
      <c r="AB1171" s="240"/>
      <c r="AD1171" s="124"/>
      <c r="AE1171" s="238"/>
      <c r="AF1171" s="239"/>
      <c r="AG1171" s="239"/>
      <c r="AH1171" s="124"/>
      <c r="AI1171" s="74"/>
      <c r="AJ1171" s="240"/>
      <c r="AL1171" s="124"/>
      <c r="AM1171" s="74"/>
      <c r="AP1171" s="125"/>
      <c r="AQ1171" s="241"/>
      <c r="AR1171" s="125"/>
      <c r="AS1171" s="125"/>
      <c r="AT1171" s="238"/>
      <c r="AU1171" s="125"/>
      <c r="AV1171" s="125"/>
      <c r="AW1171" s="125"/>
      <c r="AX1171" s="238"/>
      <c r="AY1171" s="125"/>
      <c r="AZ1171" s="125"/>
      <c r="BA1171" s="125"/>
    </row>
    <row r="1172" spans="2:53" s="123" customFormat="1">
      <c r="B1172" s="125"/>
      <c r="D1172" s="125"/>
      <c r="I1172" s="125"/>
      <c r="Z1172" s="124"/>
      <c r="AA1172" s="74"/>
      <c r="AB1172" s="240"/>
      <c r="AD1172" s="124"/>
      <c r="AE1172" s="238"/>
      <c r="AF1172" s="239"/>
      <c r="AG1172" s="239"/>
      <c r="AH1172" s="124"/>
      <c r="AI1172" s="74"/>
      <c r="AJ1172" s="240"/>
      <c r="AL1172" s="124"/>
      <c r="AM1172" s="74"/>
      <c r="AP1172" s="125"/>
      <c r="AQ1172" s="241"/>
      <c r="AR1172" s="125"/>
      <c r="AS1172" s="125"/>
      <c r="AT1172" s="238"/>
      <c r="AU1172" s="125"/>
      <c r="AV1172" s="125"/>
      <c r="AW1172" s="125"/>
      <c r="AX1172" s="238"/>
      <c r="AY1172" s="125"/>
      <c r="AZ1172" s="125"/>
      <c r="BA1172" s="125"/>
    </row>
    <row r="1173" spans="2:53" s="123" customFormat="1">
      <c r="B1173" s="125"/>
      <c r="D1173" s="125"/>
      <c r="I1173" s="125"/>
      <c r="Z1173" s="124"/>
      <c r="AA1173" s="74"/>
      <c r="AB1173" s="240"/>
      <c r="AD1173" s="124"/>
      <c r="AE1173" s="238"/>
      <c r="AF1173" s="239"/>
      <c r="AG1173" s="239"/>
      <c r="AH1173" s="124"/>
      <c r="AI1173" s="74"/>
      <c r="AJ1173" s="240"/>
      <c r="AL1173" s="124"/>
      <c r="AM1173" s="74"/>
      <c r="AP1173" s="125"/>
      <c r="AQ1173" s="241"/>
      <c r="AR1173" s="125"/>
      <c r="AS1173" s="125"/>
      <c r="AT1173" s="238"/>
      <c r="AU1173" s="125"/>
      <c r="AV1173" s="125"/>
      <c r="AW1173" s="125"/>
      <c r="AX1173" s="238"/>
      <c r="AY1173" s="125"/>
      <c r="AZ1173" s="125"/>
      <c r="BA1173" s="125"/>
    </row>
    <row r="1174" spans="2:53" s="123" customFormat="1">
      <c r="B1174" s="125"/>
      <c r="D1174" s="125"/>
      <c r="I1174" s="125"/>
      <c r="Z1174" s="124"/>
      <c r="AA1174" s="74"/>
      <c r="AB1174" s="240"/>
      <c r="AD1174" s="124"/>
      <c r="AE1174" s="238"/>
      <c r="AF1174" s="239"/>
      <c r="AG1174" s="239"/>
      <c r="AH1174" s="124"/>
      <c r="AI1174" s="74"/>
      <c r="AJ1174" s="240"/>
      <c r="AL1174" s="124"/>
      <c r="AM1174" s="74"/>
      <c r="AP1174" s="125"/>
      <c r="AQ1174" s="241"/>
      <c r="AR1174" s="125"/>
      <c r="AS1174" s="125"/>
      <c r="AT1174" s="238"/>
      <c r="AU1174" s="125"/>
      <c r="AV1174" s="125"/>
      <c r="AW1174" s="125"/>
      <c r="AX1174" s="238"/>
      <c r="AY1174" s="125"/>
      <c r="AZ1174" s="125"/>
      <c r="BA1174" s="125"/>
    </row>
    <row r="1175" spans="2:53" s="123" customFormat="1">
      <c r="B1175" s="125"/>
      <c r="D1175" s="125"/>
      <c r="I1175" s="125"/>
      <c r="Z1175" s="124"/>
      <c r="AA1175" s="74"/>
      <c r="AB1175" s="240"/>
      <c r="AD1175" s="124"/>
      <c r="AE1175" s="238"/>
      <c r="AF1175" s="239"/>
      <c r="AG1175" s="239"/>
      <c r="AH1175" s="124"/>
      <c r="AI1175" s="74"/>
      <c r="AJ1175" s="240"/>
      <c r="AL1175" s="124"/>
      <c r="AM1175" s="74"/>
      <c r="AP1175" s="125"/>
      <c r="AQ1175" s="241"/>
      <c r="AR1175" s="125"/>
      <c r="AS1175" s="125"/>
      <c r="AT1175" s="238"/>
      <c r="AU1175" s="125"/>
      <c r="AV1175" s="125"/>
      <c r="AW1175" s="125"/>
      <c r="AX1175" s="238"/>
      <c r="AY1175" s="125"/>
      <c r="AZ1175" s="125"/>
      <c r="BA1175" s="125"/>
    </row>
    <row r="1176" spans="2:53" s="123" customFormat="1">
      <c r="B1176" s="125"/>
      <c r="D1176" s="125"/>
      <c r="I1176" s="125"/>
      <c r="Z1176" s="124"/>
      <c r="AA1176" s="74"/>
      <c r="AB1176" s="240"/>
      <c r="AD1176" s="124"/>
      <c r="AE1176" s="238"/>
      <c r="AF1176" s="239"/>
      <c r="AG1176" s="239"/>
      <c r="AH1176" s="124"/>
      <c r="AI1176" s="74"/>
      <c r="AJ1176" s="240"/>
      <c r="AL1176" s="124"/>
      <c r="AM1176" s="74"/>
      <c r="AP1176" s="125"/>
      <c r="AQ1176" s="241"/>
      <c r="AR1176" s="125"/>
      <c r="AS1176" s="125"/>
      <c r="AT1176" s="238"/>
      <c r="AU1176" s="125"/>
      <c r="AV1176" s="125"/>
      <c r="AW1176" s="125"/>
      <c r="AX1176" s="238"/>
      <c r="AY1176" s="125"/>
      <c r="AZ1176" s="125"/>
      <c r="BA1176" s="125"/>
    </row>
    <row r="1177" spans="2:53" s="123" customFormat="1">
      <c r="B1177" s="125"/>
      <c r="D1177" s="125"/>
      <c r="I1177" s="125"/>
      <c r="Z1177" s="124"/>
      <c r="AA1177" s="74"/>
      <c r="AB1177" s="240"/>
      <c r="AD1177" s="124"/>
      <c r="AE1177" s="238"/>
      <c r="AF1177" s="239"/>
      <c r="AG1177" s="239"/>
      <c r="AH1177" s="124"/>
      <c r="AI1177" s="74"/>
      <c r="AJ1177" s="240"/>
      <c r="AL1177" s="124"/>
      <c r="AM1177" s="74"/>
      <c r="AP1177" s="125"/>
      <c r="AQ1177" s="241"/>
      <c r="AR1177" s="125"/>
      <c r="AS1177" s="125"/>
      <c r="AT1177" s="238"/>
      <c r="AU1177" s="125"/>
      <c r="AV1177" s="125"/>
      <c r="AW1177" s="125"/>
      <c r="AX1177" s="238"/>
      <c r="AY1177" s="125"/>
      <c r="AZ1177" s="125"/>
      <c r="BA1177" s="125"/>
    </row>
    <row r="1178" spans="2:53" s="123" customFormat="1">
      <c r="B1178" s="125"/>
      <c r="D1178" s="125"/>
      <c r="I1178" s="125"/>
      <c r="Z1178" s="124"/>
      <c r="AA1178" s="74"/>
      <c r="AB1178" s="240"/>
      <c r="AD1178" s="124"/>
      <c r="AE1178" s="238"/>
      <c r="AF1178" s="239"/>
      <c r="AG1178" s="239"/>
      <c r="AH1178" s="124"/>
      <c r="AI1178" s="74"/>
      <c r="AJ1178" s="240"/>
      <c r="AL1178" s="124"/>
      <c r="AM1178" s="74"/>
      <c r="AP1178" s="125"/>
      <c r="AQ1178" s="241"/>
      <c r="AR1178" s="125"/>
      <c r="AS1178" s="125"/>
      <c r="AT1178" s="238"/>
      <c r="AU1178" s="125"/>
      <c r="AV1178" s="125"/>
      <c r="AW1178" s="125"/>
      <c r="AX1178" s="238"/>
      <c r="AY1178" s="125"/>
      <c r="AZ1178" s="125"/>
      <c r="BA1178" s="125"/>
    </row>
    <row r="1179" spans="2:53" s="123" customFormat="1">
      <c r="B1179" s="125"/>
      <c r="D1179" s="125"/>
      <c r="I1179" s="125"/>
      <c r="Z1179" s="124"/>
      <c r="AA1179" s="74"/>
      <c r="AB1179" s="240"/>
      <c r="AD1179" s="124"/>
      <c r="AE1179" s="238"/>
      <c r="AF1179" s="239"/>
      <c r="AG1179" s="239"/>
      <c r="AH1179" s="124"/>
      <c r="AI1179" s="74"/>
      <c r="AJ1179" s="240"/>
      <c r="AL1179" s="124"/>
      <c r="AM1179" s="74"/>
      <c r="AP1179" s="125"/>
      <c r="AQ1179" s="241"/>
      <c r="AR1179" s="125"/>
      <c r="AS1179" s="125"/>
      <c r="AT1179" s="238"/>
      <c r="AU1179" s="125"/>
      <c r="AV1179" s="125"/>
      <c r="AW1179" s="125"/>
      <c r="AX1179" s="238"/>
      <c r="AY1179" s="125"/>
      <c r="AZ1179" s="125"/>
      <c r="BA1179" s="125"/>
    </row>
    <row r="1180" spans="2:53" s="123" customFormat="1">
      <c r="B1180" s="125"/>
      <c r="D1180" s="125"/>
      <c r="I1180" s="125"/>
      <c r="Z1180" s="124"/>
      <c r="AA1180" s="74"/>
      <c r="AB1180" s="240"/>
      <c r="AD1180" s="124"/>
      <c r="AE1180" s="238"/>
      <c r="AF1180" s="239"/>
      <c r="AG1180" s="239"/>
      <c r="AH1180" s="124"/>
      <c r="AI1180" s="74"/>
      <c r="AJ1180" s="240"/>
      <c r="AL1180" s="124"/>
      <c r="AM1180" s="74"/>
      <c r="AP1180" s="125"/>
      <c r="AQ1180" s="241"/>
      <c r="AR1180" s="125"/>
      <c r="AS1180" s="125"/>
      <c r="AT1180" s="238"/>
      <c r="AU1180" s="125"/>
      <c r="AV1180" s="125"/>
      <c r="AW1180" s="125"/>
      <c r="AX1180" s="238"/>
      <c r="AY1180" s="125"/>
      <c r="AZ1180" s="125"/>
      <c r="BA1180" s="125"/>
    </row>
    <row r="1181" spans="2:53" s="123" customFormat="1">
      <c r="B1181" s="125"/>
      <c r="D1181" s="125"/>
      <c r="I1181" s="125"/>
      <c r="Z1181" s="124"/>
      <c r="AA1181" s="74"/>
      <c r="AB1181" s="240"/>
      <c r="AD1181" s="124"/>
      <c r="AE1181" s="238"/>
      <c r="AF1181" s="239"/>
      <c r="AG1181" s="239"/>
      <c r="AH1181" s="124"/>
      <c r="AI1181" s="74"/>
      <c r="AJ1181" s="240"/>
      <c r="AL1181" s="124"/>
      <c r="AM1181" s="74"/>
      <c r="AP1181" s="125"/>
      <c r="AQ1181" s="241"/>
      <c r="AR1181" s="125"/>
      <c r="AS1181" s="125"/>
      <c r="AT1181" s="238"/>
      <c r="AU1181" s="125"/>
      <c r="AV1181" s="125"/>
      <c r="AW1181" s="125"/>
      <c r="AX1181" s="238"/>
      <c r="AY1181" s="125"/>
      <c r="AZ1181" s="125"/>
      <c r="BA1181" s="125"/>
    </row>
    <row r="1182" spans="2:53" s="123" customFormat="1">
      <c r="B1182" s="125"/>
      <c r="D1182" s="125"/>
      <c r="I1182" s="125"/>
      <c r="Z1182" s="124"/>
      <c r="AA1182" s="74"/>
      <c r="AB1182" s="240"/>
      <c r="AD1182" s="124"/>
      <c r="AE1182" s="238"/>
      <c r="AF1182" s="239"/>
      <c r="AG1182" s="239"/>
      <c r="AH1182" s="124"/>
      <c r="AI1182" s="74"/>
      <c r="AJ1182" s="240"/>
      <c r="AL1182" s="124"/>
      <c r="AM1182" s="74"/>
      <c r="AP1182" s="125"/>
      <c r="AQ1182" s="241"/>
      <c r="AR1182" s="125"/>
      <c r="AS1182" s="125"/>
      <c r="AT1182" s="238"/>
      <c r="AU1182" s="125"/>
      <c r="AV1182" s="125"/>
      <c r="AW1182" s="125"/>
      <c r="AX1182" s="238"/>
      <c r="AY1182" s="125"/>
      <c r="AZ1182" s="125"/>
      <c r="BA1182" s="125"/>
    </row>
    <row r="1183" spans="2:53" s="123" customFormat="1">
      <c r="B1183" s="125"/>
      <c r="D1183" s="125"/>
      <c r="I1183" s="125"/>
      <c r="Z1183" s="124"/>
      <c r="AA1183" s="74"/>
      <c r="AB1183" s="240"/>
      <c r="AD1183" s="124"/>
      <c r="AE1183" s="238"/>
      <c r="AF1183" s="239"/>
      <c r="AG1183" s="239"/>
      <c r="AH1183" s="124"/>
      <c r="AI1183" s="74"/>
      <c r="AJ1183" s="240"/>
      <c r="AL1183" s="124"/>
      <c r="AM1183" s="74"/>
      <c r="AP1183" s="125"/>
      <c r="AQ1183" s="241"/>
      <c r="AR1183" s="125"/>
      <c r="AS1183" s="125"/>
      <c r="AT1183" s="238"/>
      <c r="AU1183" s="125"/>
      <c r="AV1183" s="125"/>
      <c r="AW1183" s="125"/>
      <c r="AX1183" s="238"/>
      <c r="AY1183" s="125"/>
      <c r="AZ1183" s="125"/>
      <c r="BA1183" s="125"/>
    </row>
    <row r="1184" spans="2:53" s="123" customFormat="1">
      <c r="B1184" s="125"/>
      <c r="D1184" s="125"/>
      <c r="I1184" s="125"/>
      <c r="Z1184" s="124"/>
      <c r="AA1184" s="74"/>
      <c r="AB1184" s="240"/>
      <c r="AD1184" s="124"/>
      <c r="AE1184" s="238"/>
      <c r="AF1184" s="239"/>
      <c r="AG1184" s="239"/>
      <c r="AH1184" s="124"/>
      <c r="AI1184" s="74"/>
      <c r="AJ1184" s="240"/>
      <c r="AL1184" s="124"/>
      <c r="AM1184" s="74"/>
      <c r="AP1184" s="125"/>
      <c r="AQ1184" s="241"/>
      <c r="AR1184" s="125"/>
      <c r="AS1184" s="125"/>
      <c r="AT1184" s="238"/>
      <c r="AU1184" s="125"/>
      <c r="AV1184" s="125"/>
      <c r="AW1184" s="125"/>
      <c r="AX1184" s="238"/>
      <c r="AY1184" s="125"/>
      <c r="AZ1184" s="125"/>
      <c r="BA1184" s="125"/>
    </row>
    <row r="1185" spans="2:53" s="123" customFormat="1">
      <c r="B1185" s="125"/>
      <c r="D1185" s="125"/>
      <c r="I1185" s="125"/>
      <c r="Z1185" s="124"/>
      <c r="AA1185" s="74"/>
      <c r="AB1185" s="240"/>
      <c r="AD1185" s="124"/>
      <c r="AE1185" s="238"/>
      <c r="AF1185" s="239"/>
      <c r="AG1185" s="239"/>
      <c r="AH1185" s="124"/>
      <c r="AI1185" s="74"/>
      <c r="AJ1185" s="240"/>
      <c r="AL1185" s="124"/>
      <c r="AM1185" s="74"/>
      <c r="AP1185" s="125"/>
      <c r="AQ1185" s="241"/>
      <c r="AR1185" s="125"/>
      <c r="AS1185" s="125"/>
      <c r="AT1185" s="238"/>
      <c r="AU1185" s="125"/>
      <c r="AV1185" s="125"/>
      <c r="AW1185" s="125"/>
      <c r="AX1185" s="238"/>
      <c r="AY1185" s="125"/>
      <c r="AZ1185" s="125"/>
      <c r="BA1185" s="125"/>
    </row>
    <row r="1186" spans="2:53" s="123" customFormat="1">
      <c r="B1186" s="125"/>
      <c r="D1186" s="125"/>
      <c r="I1186" s="125"/>
      <c r="Z1186" s="124"/>
      <c r="AA1186" s="74"/>
      <c r="AB1186" s="240"/>
      <c r="AD1186" s="124"/>
      <c r="AE1186" s="238"/>
      <c r="AF1186" s="239"/>
      <c r="AG1186" s="239"/>
      <c r="AH1186" s="124"/>
      <c r="AI1186" s="74"/>
      <c r="AJ1186" s="240"/>
      <c r="AL1186" s="124"/>
      <c r="AM1186" s="74"/>
      <c r="AP1186" s="125"/>
      <c r="AQ1186" s="241"/>
      <c r="AR1186" s="125"/>
      <c r="AS1186" s="125"/>
      <c r="AT1186" s="238"/>
      <c r="AU1186" s="125"/>
      <c r="AV1186" s="125"/>
      <c r="AW1186" s="125"/>
      <c r="AX1186" s="238"/>
      <c r="AY1186" s="125"/>
      <c r="AZ1186" s="125"/>
      <c r="BA1186" s="125"/>
    </row>
    <row r="1187" spans="2:53" s="123" customFormat="1">
      <c r="B1187" s="125"/>
      <c r="D1187" s="125"/>
      <c r="I1187" s="125"/>
      <c r="Z1187" s="124"/>
      <c r="AA1187" s="74"/>
      <c r="AB1187" s="240"/>
      <c r="AD1187" s="124"/>
      <c r="AE1187" s="238"/>
      <c r="AF1187" s="239"/>
      <c r="AG1187" s="239"/>
      <c r="AH1187" s="124"/>
      <c r="AI1187" s="74"/>
      <c r="AJ1187" s="240"/>
      <c r="AL1187" s="124"/>
      <c r="AM1187" s="74"/>
      <c r="AP1187" s="125"/>
      <c r="AQ1187" s="241"/>
      <c r="AR1187" s="125"/>
      <c r="AS1187" s="125"/>
      <c r="AT1187" s="238"/>
      <c r="AU1187" s="125"/>
      <c r="AV1187" s="125"/>
      <c r="AW1187" s="125"/>
      <c r="AX1187" s="238"/>
      <c r="AY1187" s="125"/>
      <c r="AZ1187" s="125"/>
      <c r="BA1187" s="125"/>
    </row>
    <row r="1188" spans="2:53" s="123" customFormat="1">
      <c r="B1188" s="125"/>
      <c r="D1188" s="125"/>
      <c r="I1188" s="125"/>
      <c r="Z1188" s="124"/>
      <c r="AA1188" s="74"/>
      <c r="AB1188" s="240"/>
      <c r="AD1188" s="124"/>
      <c r="AE1188" s="238"/>
      <c r="AF1188" s="239"/>
      <c r="AG1188" s="239"/>
      <c r="AH1188" s="124"/>
      <c r="AI1188" s="74"/>
      <c r="AJ1188" s="240"/>
      <c r="AL1188" s="124"/>
      <c r="AM1188" s="74"/>
      <c r="AP1188" s="125"/>
      <c r="AQ1188" s="241"/>
      <c r="AR1188" s="125"/>
      <c r="AS1188" s="125"/>
      <c r="AT1188" s="238"/>
      <c r="AU1188" s="125"/>
      <c r="AV1188" s="125"/>
      <c r="AW1188" s="125"/>
      <c r="AX1188" s="238"/>
      <c r="AY1188" s="125"/>
      <c r="AZ1188" s="125"/>
      <c r="BA1188" s="125"/>
    </row>
    <row r="1189" spans="2:53" s="123" customFormat="1">
      <c r="B1189" s="125"/>
      <c r="D1189" s="125"/>
      <c r="I1189" s="125"/>
      <c r="Z1189" s="124"/>
      <c r="AA1189" s="74"/>
      <c r="AB1189" s="240"/>
      <c r="AD1189" s="124"/>
      <c r="AE1189" s="238"/>
      <c r="AF1189" s="239"/>
      <c r="AG1189" s="239"/>
      <c r="AH1189" s="124"/>
      <c r="AI1189" s="74"/>
      <c r="AJ1189" s="240"/>
      <c r="AL1189" s="124"/>
      <c r="AM1189" s="74"/>
      <c r="AP1189" s="125"/>
      <c r="AQ1189" s="241"/>
      <c r="AR1189" s="125"/>
      <c r="AS1189" s="125"/>
      <c r="AT1189" s="238"/>
      <c r="AU1189" s="125"/>
      <c r="AV1189" s="125"/>
      <c r="AW1189" s="125"/>
      <c r="AX1189" s="238"/>
      <c r="AY1189" s="125"/>
      <c r="AZ1189" s="125"/>
      <c r="BA1189" s="125"/>
    </row>
    <row r="1190" spans="2:53" s="123" customFormat="1">
      <c r="B1190" s="125"/>
      <c r="D1190" s="125"/>
      <c r="I1190" s="125"/>
      <c r="Z1190" s="124"/>
      <c r="AA1190" s="74"/>
      <c r="AB1190" s="240"/>
      <c r="AD1190" s="124"/>
      <c r="AE1190" s="238"/>
      <c r="AF1190" s="239"/>
      <c r="AG1190" s="239"/>
      <c r="AH1190" s="124"/>
      <c r="AI1190" s="74"/>
      <c r="AJ1190" s="240"/>
      <c r="AL1190" s="124"/>
      <c r="AM1190" s="74"/>
      <c r="AP1190" s="125"/>
      <c r="AQ1190" s="241"/>
      <c r="AR1190" s="125"/>
      <c r="AS1190" s="125"/>
      <c r="AT1190" s="238"/>
      <c r="AU1190" s="125"/>
      <c r="AV1190" s="125"/>
      <c r="AW1190" s="125"/>
      <c r="AX1190" s="238"/>
      <c r="AY1190" s="125"/>
      <c r="AZ1190" s="125"/>
      <c r="BA1190" s="125"/>
    </row>
    <row r="1191" spans="2:53" s="123" customFormat="1">
      <c r="B1191" s="125"/>
      <c r="D1191" s="125"/>
      <c r="I1191" s="125"/>
      <c r="Z1191" s="124"/>
      <c r="AA1191" s="74"/>
      <c r="AB1191" s="240"/>
      <c r="AD1191" s="124"/>
      <c r="AE1191" s="238"/>
      <c r="AF1191" s="239"/>
      <c r="AG1191" s="239"/>
      <c r="AH1191" s="124"/>
      <c r="AI1191" s="74"/>
      <c r="AJ1191" s="240"/>
      <c r="AL1191" s="124"/>
      <c r="AM1191" s="74"/>
      <c r="AP1191" s="125"/>
      <c r="AQ1191" s="241"/>
      <c r="AR1191" s="125"/>
      <c r="AS1191" s="125"/>
      <c r="AT1191" s="238"/>
      <c r="AU1191" s="125"/>
      <c r="AV1191" s="125"/>
      <c r="AW1191" s="125"/>
      <c r="AX1191" s="238"/>
      <c r="AY1191" s="125"/>
      <c r="AZ1191" s="125"/>
      <c r="BA1191" s="125"/>
    </row>
    <row r="1192" spans="2:53" s="123" customFormat="1">
      <c r="B1192" s="125"/>
      <c r="D1192" s="125"/>
      <c r="I1192" s="125"/>
      <c r="Z1192" s="124"/>
      <c r="AA1192" s="74"/>
      <c r="AB1192" s="240"/>
      <c r="AD1192" s="124"/>
      <c r="AE1192" s="238"/>
      <c r="AF1192" s="239"/>
      <c r="AG1192" s="239"/>
      <c r="AH1192" s="124"/>
      <c r="AI1192" s="74"/>
      <c r="AJ1192" s="240"/>
      <c r="AL1192" s="124"/>
      <c r="AM1192" s="74"/>
      <c r="AP1192" s="125"/>
      <c r="AQ1192" s="241"/>
      <c r="AR1192" s="125"/>
      <c r="AS1192" s="125"/>
      <c r="AT1192" s="238"/>
      <c r="AU1192" s="125"/>
      <c r="AV1192" s="125"/>
      <c r="AW1192" s="125"/>
      <c r="AX1192" s="238"/>
      <c r="AY1192" s="125"/>
      <c r="AZ1192" s="125"/>
      <c r="BA1192" s="125"/>
    </row>
    <row r="1193" spans="2:53" s="123" customFormat="1">
      <c r="B1193" s="125"/>
      <c r="D1193" s="125"/>
      <c r="I1193" s="125"/>
      <c r="Z1193" s="124"/>
      <c r="AA1193" s="74"/>
      <c r="AB1193" s="240"/>
      <c r="AD1193" s="124"/>
      <c r="AE1193" s="238"/>
      <c r="AF1193" s="239"/>
      <c r="AG1193" s="239"/>
      <c r="AH1193" s="124"/>
      <c r="AI1193" s="74"/>
      <c r="AJ1193" s="240"/>
      <c r="AL1193" s="124"/>
      <c r="AM1193" s="74"/>
      <c r="AP1193" s="125"/>
      <c r="AQ1193" s="241"/>
      <c r="AR1193" s="125"/>
      <c r="AS1193" s="125"/>
      <c r="AT1193" s="238"/>
      <c r="AU1193" s="125"/>
      <c r="AV1193" s="125"/>
      <c r="AW1193" s="125"/>
      <c r="AX1193" s="238"/>
      <c r="AY1193" s="125"/>
      <c r="AZ1193" s="125"/>
      <c r="BA1193" s="125"/>
    </row>
    <row r="1194" spans="2:53" s="123" customFormat="1">
      <c r="B1194" s="125"/>
      <c r="D1194" s="125"/>
      <c r="I1194" s="125"/>
      <c r="Z1194" s="124"/>
      <c r="AA1194" s="74"/>
      <c r="AB1194" s="240"/>
      <c r="AD1194" s="124"/>
      <c r="AE1194" s="238"/>
      <c r="AF1194" s="239"/>
      <c r="AG1194" s="239"/>
      <c r="AH1194" s="124"/>
      <c r="AI1194" s="74"/>
      <c r="AJ1194" s="240"/>
      <c r="AL1194" s="124"/>
      <c r="AM1194" s="74"/>
      <c r="AP1194" s="125"/>
      <c r="AQ1194" s="241"/>
      <c r="AR1194" s="125"/>
      <c r="AS1194" s="125"/>
      <c r="AT1194" s="238"/>
      <c r="AU1194" s="125"/>
      <c r="AV1194" s="125"/>
      <c r="AW1194" s="125"/>
      <c r="AX1194" s="238"/>
      <c r="AY1194" s="125"/>
      <c r="AZ1194" s="125"/>
      <c r="BA1194" s="125"/>
    </row>
    <row r="1195" spans="2:53" s="123" customFormat="1">
      <c r="B1195" s="125"/>
      <c r="D1195" s="125"/>
      <c r="I1195" s="125"/>
      <c r="Z1195" s="124"/>
      <c r="AA1195" s="74"/>
      <c r="AB1195" s="240"/>
      <c r="AD1195" s="124"/>
      <c r="AE1195" s="238"/>
      <c r="AF1195" s="239"/>
      <c r="AG1195" s="239"/>
      <c r="AH1195" s="124"/>
      <c r="AI1195" s="74"/>
      <c r="AJ1195" s="240"/>
      <c r="AL1195" s="124"/>
      <c r="AM1195" s="74"/>
      <c r="AP1195" s="125"/>
      <c r="AQ1195" s="241"/>
      <c r="AR1195" s="125"/>
      <c r="AS1195" s="125"/>
      <c r="AT1195" s="238"/>
      <c r="AU1195" s="125"/>
      <c r="AV1195" s="125"/>
      <c r="AW1195" s="125"/>
      <c r="AX1195" s="238"/>
      <c r="AY1195" s="125"/>
      <c r="AZ1195" s="125"/>
      <c r="BA1195" s="125"/>
    </row>
    <row r="1196" spans="2:53" s="123" customFormat="1">
      <c r="B1196" s="125"/>
      <c r="D1196" s="125"/>
      <c r="I1196" s="125"/>
      <c r="Z1196" s="124"/>
      <c r="AA1196" s="74"/>
      <c r="AB1196" s="240"/>
      <c r="AD1196" s="124"/>
      <c r="AE1196" s="238"/>
      <c r="AF1196" s="239"/>
      <c r="AG1196" s="239"/>
      <c r="AH1196" s="124"/>
      <c r="AI1196" s="74"/>
      <c r="AJ1196" s="240"/>
      <c r="AL1196" s="124"/>
      <c r="AM1196" s="74"/>
      <c r="AP1196" s="125"/>
      <c r="AQ1196" s="241"/>
      <c r="AR1196" s="125"/>
      <c r="AS1196" s="125"/>
      <c r="AT1196" s="238"/>
      <c r="AU1196" s="125"/>
      <c r="AV1196" s="125"/>
      <c r="AW1196" s="125"/>
      <c r="AX1196" s="238"/>
      <c r="AY1196" s="125"/>
      <c r="AZ1196" s="125"/>
      <c r="BA1196" s="125"/>
    </row>
    <row r="1197" spans="2:53" s="123" customFormat="1">
      <c r="B1197" s="125"/>
      <c r="D1197" s="125"/>
      <c r="I1197" s="125"/>
      <c r="Z1197" s="124"/>
      <c r="AA1197" s="74"/>
      <c r="AB1197" s="240"/>
      <c r="AD1197" s="124"/>
      <c r="AE1197" s="238"/>
      <c r="AF1197" s="239"/>
      <c r="AG1197" s="239"/>
      <c r="AH1197" s="124"/>
      <c r="AI1197" s="74"/>
      <c r="AJ1197" s="240"/>
      <c r="AL1197" s="124"/>
      <c r="AM1197" s="74"/>
      <c r="AP1197" s="125"/>
      <c r="AQ1197" s="241"/>
      <c r="AR1197" s="125"/>
      <c r="AS1197" s="125"/>
      <c r="AT1197" s="238"/>
      <c r="AU1197" s="125"/>
      <c r="AV1197" s="125"/>
      <c r="AW1197" s="125"/>
      <c r="AX1197" s="238"/>
      <c r="AY1197" s="125"/>
      <c r="AZ1197" s="125"/>
      <c r="BA1197" s="125"/>
    </row>
    <row r="1198" spans="2:53" s="123" customFormat="1">
      <c r="B1198" s="125"/>
      <c r="D1198" s="125"/>
      <c r="I1198" s="125"/>
      <c r="Z1198" s="124"/>
      <c r="AA1198" s="74"/>
      <c r="AB1198" s="240"/>
      <c r="AD1198" s="124"/>
      <c r="AE1198" s="238"/>
      <c r="AF1198" s="239"/>
      <c r="AG1198" s="239"/>
      <c r="AH1198" s="124"/>
      <c r="AI1198" s="74"/>
      <c r="AJ1198" s="240"/>
      <c r="AL1198" s="124"/>
      <c r="AM1198" s="74"/>
      <c r="AP1198" s="125"/>
      <c r="AQ1198" s="241"/>
      <c r="AR1198" s="125"/>
      <c r="AS1198" s="125"/>
      <c r="AT1198" s="238"/>
      <c r="AU1198" s="125"/>
      <c r="AV1198" s="125"/>
      <c r="AW1198" s="125"/>
      <c r="AX1198" s="238"/>
      <c r="AY1198" s="125"/>
      <c r="AZ1198" s="125"/>
      <c r="BA1198" s="125"/>
    </row>
    <row r="1199" spans="2:53" s="123" customFormat="1">
      <c r="B1199" s="125"/>
      <c r="D1199" s="125"/>
      <c r="I1199" s="125"/>
      <c r="Z1199" s="124"/>
      <c r="AA1199" s="74"/>
      <c r="AB1199" s="240"/>
      <c r="AD1199" s="124"/>
      <c r="AE1199" s="238"/>
      <c r="AF1199" s="239"/>
      <c r="AG1199" s="239"/>
      <c r="AH1199" s="124"/>
      <c r="AI1199" s="74"/>
      <c r="AJ1199" s="240"/>
      <c r="AL1199" s="124"/>
      <c r="AM1199" s="74"/>
      <c r="AP1199" s="125"/>
      <c r="AQ1199" s="241"/>
      <c r="AR1199" s="125"/>
      <c r="AS1199" s="125"/>
      <c r="AT1199" s="238"/>
      <c r="AU1199" s="125"/>
      <c r="AV1199" s="125"/>
      <c r="AW1199" s="125"/>
      <c r="AX1199" s="238"/>
      <c r="AY1199" s="125"/>
      <c r="AZ1199" s="125"/>
      <c r="BA1199" s="125"/>
    </row>
    <row r="1200" spans="2:53" s="123" customFormat="1">
      <c r="B1200" s="125"/>
      <c r="D1200" s="125"/>
      <c r="I1200" s="125"/>
      <c r="Z1200" s="124"/>
      <c r="AA1200" s="74"/>
      <c r="AB1200" s="240"/>
      <c r="AD1200" s="124"/>
      <c r="AE1200" s="238"/>
      <c r="AF1200" s="239"/>
      <c r="AG1200" s="239"/>
      <c r="AH1200" s="124"/>
      <c r="AI1200" s="74"/>
      <c r="AJ1200" s="240"/>
      <c r="AL1200" s="124"/>
      <c r="AM1200" s="74"/>
      <c r="AP1200" s="125"/>
      <c r="AQ1200" s="241"/>
      <c r="AR1200" s="125"/>
      <c r="AS1200" s="125"/>
      <c r="AT1200" s="238"/>
      <c r="AU1200" s="125"/>
      <c r="AV1200" s="125"/>
      <c r="AW1200" s="125"/>
      <c r="AX1200" s="238"/>
      <c r="AY1200" s="125"/>
      <c r="AZ1200" s="125"/>
      <c r="BA1200" s="125"/>
    </row>
    <row r="1201" spans="2:53" s="123" customFormat="1">
      <c r="B1201" s="125"/>
      <c r="D1201" s="125"/>
      <c r="I1201" s="125"/>
      <c r="Z1201" s="124"/>
      <c r="AA1201" s="74"/>
      <c r="AB1201" s="240"/>
      <c r="AD1201" s="124"/>
      <c r="AE1201" s="238"/>
      <c r="AF1201" s="239"/>
      <c r="AG1201" s="239"/>
      <c r="AH1201" s="124"/>
      <c r="AI1201" s="74"/>
      <c r="AJ1201" s="240"/>
      <c r="AL1201" s="124"/>
      <c r="AM1201" s="74"/>
      <c r="AP1201" s="125"/>
      <c r="AQ1201" s="241"/>
      <c r="AR1201" s="125"/>
      <c r="AS1201" s="125"/>
      <c r="AT1201" s="238"/>
      <c r="AU1201" s="125"/>
      <c r="AV1201" s="125"/>
      <c r="AW1201" s="125"/>
      <c r="AX1201" s="238"/>
      <c r="AY1201" s="125"/>
      <c r="AZ1201" s="125"/>
      <c r="BA1201" s="125"/>
    </row>
    <row r="1202" spans="2:53" s="123" customFormat="1">
      <c r="B1202" s="125"/>
      <c r="D1202" s="125"/>
      <c r="I1202" s="125"/>
      <c r="Z1202" s="124"/>
      <c r="AA1202" s="74"/>
      <c r="AB1202" s="240"/>
      <c r="AD1202" s="124"/>
      <c r="AE1202" s="238"/>
      <c r="AF1202" s="239"/>
      <c r="AG1202" s="239"/>
      <c r="AH1202" s="124"/>
      <c r="AI1202" s="74"/>
      <c r="AJ1202" s="240"/>
      <c r="AL1202" s="124"/>
      <c r="AM1202" s="74"/>
      <c r="AP1202" s="125"/>
      <c r="AQ1202" s="241"/>
      <c r="AR1202" s="125"/>
      <c r="AS1202" s="125"/>
      <c r="AT1202" s="238"/>
      <c r="AU1202" s="125"/>
      <c r="AV1202" s="125"/>
      <c r="AW1202" s="125"/>
      <c r="AX1202" s="238"/>
      <c r="AY1202" s="125"/>
      <c r="AZ1202" s="125"/>
      <c r="BA1202" s="125"/>
    </row>
    <row r="1203" spans="2:53" s="123" customFormat="1">
      <c r="B1203" s="125"/>
      <c r="D1203" s="125"/>
      <c r="I1203" s="125"/>
      <c r="Z1203" s="124"/>
      <c r="AA1203" s="74"/>
      <c r="AB1203" s="240"/>
      <c r="AD1203" s="124"/>
      <c r="AE1203" s="238"/>
      <c r="AF1203" s="239"/>
      <c r="AG1203" s="239"/>
      <c r="AH1203" s="124"/>
      <c r="AI1203" s="74"/>
      <c r="AJ1203" s="240"/>
      <c r="AL1203" s="124"/>
      <c r="AM1203" s="74"/>
      <c r="AP1203" s="125"/>
      <c r="AQ1203" s="241"/>
      <c r="AR1203" s="125"/>
      <c r="AS1203" s="125"/>
      <c r="AT1203" s="238"/>
      <c r="AU1203" s="125"/>
      <c r="AV1203" s="125"/>
      <c r="AW1203" s="125"/>
      <c r="AX1203" s="238"/>
      <c r="AY1203" s="125"/>
      <c r="AZ1203" s="125"/>
      <c r="BA1203" s="125"/>
    </row>
    <row r="1204" spans="2:53" s="123" customFormat="1">
      <c r="B1204" s="125"/>
      <c r="D1204" s="125"/>
      <c r="I1204" s="125"/>
      <c r="Z1204" s="124"/>
      <c r="AA1204" s="74"/>
      <c r="AB1204" s="240"/>
      <c r="AD1204" s="124"/>
      <c r="AE1204" s="238"/>
      <c r="AF1204" s="239"/>
      <c r="AG1204" s="239"/>
      <c r="AH1204" s="124"/>
      <c r="AI1204" s="74"/>
      <c r="AJ1204" s="240"/>
      <c r="AL1204" s="124"/>
      <c r="AM1204" s="74"/>
      <c r="AP1204" s="125"/>
      <c r="AQ1204" s="241"/>
      <c r="AR1204" s="125"/>
      <c r="AS1204" s="125"/>
      <c r="AT1204" s="238"/>
      <c r="AU1204" s="125"/>
      <c r="AV1204" s="125"/>
      <c r="AW1204" s="125"/>
      <c r="AX1204" s="238"/>
      <c r="AY1204" s="125"/>
      <c r="AZ1204" s="125"/>
      <c r="BA1204" s="125"/>
    </row>
    <row r="1205" spans="2:53" s="123" customFormat="1">
      <c r="B1205" s="125"/>
      <c r="D1205" s="125"/>
      <c r="I1205" s="125"/>
      <c r="Z1205" s="124"/>
      <c r="AA1205" s="74"/>
      <c r="AB1205" s="240"/>
      <c r="AD1205" s="124"/>
      <c r="AE1205" s="238"/>
      <c r="AF1205" s="239"/>
      <c r="AG1205" s="239"/>
      <c r="AH1205" s="124"/>
      <c r="AI1205" s="74"/>
      <c r="AJ1205" s="240"/>
      <c r="AL1205" s="124"/>
      <c r="AM1205" s="74"/>
      <c r="AP1205" s="125"/>
      <c r="AQ1205" s="241"/>
      <c r="AR1205" s="125"/>
      <c r="AS1205" s="125"/>
      <c r="AT1205" s="238"/>
      <c r="AU1205" s="125"/>
      <c r="AV1205" s="125"/>
      <c r="AW1205" s="125"/>
      <c r="AX1205" s="238"/>
      <c r="AY1205" s="125"/>
      <c r="AZ1205" s="125"/>
      <c r="BA1205" s="125"/>
    </row>
    <row r="1206" spans="2:53" s="123" customFormat="1">
      <c r="B1206" s="125"/>
      <c r="D1206" s="125"/>
      <c r="I1206" s="125"/>
      <c r="Z1206" s="124"/>
      <c r="AA1206" s="74"/>
      <c r="AB1206" s="240"/>
      <c r="AD1206" s="124"/>
      <c r="AE1206" s="238"/>
      <c r="AF1206" s="239"/>
      <c r="AG1206" s="239"/>
      <c r="AH1206" s="124"/>
      <c r="AI1206" s="74"/>
      <c r="AJ1206" s="240"/>
      <c r="AL1206" s="124"/>
      <c r="AM1206" s="74"/>
      <c r="AP1206" s="125"/>
      <c r="AQ1206" s="241"/>
      <c r="AR1206" s="125"/>
      <c r="AS1206" s="125"/>
      <c r="AT1206" s="238"/>
      <c r="AU1206" s="125"/>
      <c r="AV1206" s="125"/>
      <c r="AW1206" s="125"/>
      <c r="AX1206" s="238"/>
      <c r="AY1206" s="125"/>
      <c r="AZ1206" s="125"/>
      <c r="BA1206" s="125"/>
    </row>
    <row r="1207" spans="2:53" s="123" customFormat="1">
      <c r="B1207" s="125"/>
      <c r="D1207" s="125"/>
      <c r="I1207" s="125"/>
      <c r="Z1207" s="124"/>
      <c r="AA1207" s="74"/>
      <c r="AB1207" s="240"/>
      <c r="AD1207" s="124"/>
      <c r="AE1207" s="238"/>
      <c r="AF1207" s="239"/>
      <c r="AG1207" s="239"/>
      <c r="AH1207" s="124"/>
      <c r="AI1207" s="74"/>
      <c r="AJ1207" s="240"/>
      <c r="AL1207" s="124"/>
      <c r="AM1207" s="74"/>
      <c r="AP1207" s="125"/>
      <c r="AQ1207" s="241"/>
      <c r="AR1207" s="125"/>
      <c r="AS1207" s="125"/>
      <c r="AT1207" s="238"/>
      <c r="AU1207" s="125"/>
      <c r="AV1207" s="125"/>
      <c r="AW1207" s="125"/>
      <c r="AX1207" s="238"/>
      <c r="AY1207" s="125"/>
      <c r="AZ1207" s="125"/>
      <c r="BA1207" s="125"/>
    </row>
    <row r="1208" spans="2:53" s="123" customFormat="1">
      <c r="B1208" s="125"/>
      <c r="D1208" s="125"/>
      <c r="I1208" s="125"/>
      <c r="Z1208" s="124"/>
      <c r="AA1208" s="74"/>
      <c r="AB1208" s="240"/>
      <c r="AD1208" s="124"/>
      <c r="AE1208" s="238"/>
      <c r="AF1208" s="239"/>
      <c r="AG1208" s="239"/>
      <c r="AH1208" s="124"/>
      <c r="AI1208" s="74"/>
      <c r="AJ1208" s="240"/>
      <c r="AL1208" s="124"/>
      <c r="AM1208" s="74"/>
      <c r="AP1208" s="125"/>
      <c r="AQ1208" s="241"/>
      <c r="AR1208" s="125"/>
      <c r="AS1208" s="125"/>
      <c r="AT1208" s="238"/>
      <c r="AU1208" s="125"/>
      <c r="AV1208" s="125"/>
      <c r="AW1208" s="125"/>
      <c r="AX1208" s="238"/>
      <c r="AY1208" s="125"/>
      <c r="AZ1208" s="125"/>
      <c r="BA1208" s="125"/>
    </row>
    <row r="1209" spans="2:53" s="123" customFormat="1">
      <c r="B1209" s="125"/>
      <c r="D1209" s="125"/>
      <c r="I1209" s="125"/>
      <c r="Z1209" s="124"/>
      <c r="AA1209" s="74"/>
      <c r="AB1209" s="240"/>
      <c r="AD1209" s="124"/>
      <c r="AE1209" s="238"/>
      <c r="AF1209" s="239"/>
      <c r="AG1209" s="239"/>
      <c r="AH1209" s="124"/>
      <c r="AI1209" s="74"/>
      <c r="AJ1209" s="240"/>
      <c r="AL1209" s="124"/>
      <c r="AM1209" s="74"/>
      <c r="AP1209" s="125"/>
      <c r="AQ1209" s="241"/>
      <c r="AR1209" s="125"/>
      <c r="AS1209" s="125"/>
      <c r="AT1209" s="238"/>
      <c r="AU1209" s="125"/>
      <c r="AV1209" s="125"/>
      <c r="AW1209" s="125"/>
      <c r="AX1209" s="238"/>
      <c r="AY1209" s="125"/>
      <c r="AZ1209" s="125"/>
      <c r="BA1209" s="125"/>
    </row>
    <row r="1210" spans="2:53" s="123" customFormat="1">
      <c r="B1210" s="125"/>
      <c r="D1210" s="125"/>
      <c r="I1210" s="125"/>
      <c r="Z1210" s="124"/>
      <c r="AA1210" s="74"/>
      <c r="AB1210" s="240"/>
      <c r="AD1210" s="124"/>
      <c r="AE1210" s="238"/>
      <c r="AF1210" s="239"/>
      <c r="AG1210" s="239"/>
      <c r="AH1210" s="124"/>
      <c r="AI1210" s="74"/>
      <c r="AJ1210" s="240"/>
      <c r="AL1210" s="124"/>
      <c r="AM1210" s="74"/>
      <c r="AP1210" s="125"/>
      <c r="AQ1210" s="241"/>
      <c r="AR1210" s="125"/>
      <c r="AS1210" s="125"/>
      <c r="AT1210" s="238"/>
      <c r="AU1210" s="125"/>
      <c r="AV1210" s="125"/>
      <c r="AW1210" s="125"/>
      <c r="AX1210" s="238"/>
      <c r="AY1210" s="125"/>
      <c r="AZ1210" s="125"/>
      <c r="BA1210" s="125"/>
    </row>
    <row r="1211" spans="2:53" s="123" customFormat="1">
      <c r="B1211" s="125"/>
      <c r="D1211" s="125"/>
      <c r="I1211" s="125"/>
      <c r="Z1211" s="124"/>
      <c r="AA1211" s="74"/>
      <c r="AB1211" s="240"/>
      <c r="AD1211" s="124"/>
      <c r="AE1211" s="238"/>
      <c r="AF1211" s="239"/>
      <c r="AG1211" s="239"/>
      <c r="AH1211" s="124"/>
      <c r="AI1211" s="74"/>
      <c r="AJ1211" s="240"/>
      <c r="AL1211" s="124"/>
      <c r="AM1211" s="74"/>
      <c r="AP1211" s="125"/>
      <c r="AQ1211" s="241"/>
      <c r="AR1211" s="125"/>
      <c r="AS1211" s="125"/>
      <c r="AT1211" s="238"/>
      <c r="AU1211" s="125"/>
      <c r="AV1211" s="125"/>
      <c r="AW1211" s="125"/>
      <c r="AX1211" s="238"/>
      <c r="AY1211" s="125"/>
      <c r="AZ1211" s="125"/>
      <c r="BA1211" s="125"/>
    </row>
    <row r="1212" spans="2:53" s="123" customFormat="1">
      <c r="B1212" s="125"/>
      <c r="D1212" s="125"/>
      <c r="I1212" s="125"/>
      <c r="Z1212" s="124"/>
      <c r="AA1212" s="74"/>
      <c r="AB1212" s="240"/>
      <c r="AD1212" s="124"/>
      <c r="AE1212" s="238"/>
      <c r="AF1212" s="239"/>
      <c r="AG1212" s="239"/>
      <c r="AH1212" s="124"/>
      <c r="AI1212" s="74"/>
      <c r="AJ1212" s="240"/>
      <c r="AL1212" s="124"/>
      <c r="AM1212" s="74"/>
      <c r="AP1212" s="125"/>
      <c r="AQ1212" s="241"/>
      <c r="AR1212" s="125"/>
      <c r="AS1212" s="125"/>
      <c r="AT1212" s="238"/>
      <c r="AU1212" s="125"/>
      <c r="AV1212" s="125"/>
      <c r="AW1212" s="125"/>
      <c r="AX1212" s="238"/>
      <c r="AY1212" s="125"/>
      <c r="AZ1212" s="125"/>
      <c r="BA1212" s="125"/>
    </row>
    <row r="1213" spans="2:53" s="123" customFormat="1">
      <c r="B1213" s="125"/>
      <c r="D1213" s="125"/>
      <c r="I1213" s="125"/>
      <c r="Z1213" s="124"/>
      <c r="AA1213" s="74"/>
      <c r="AB1213" s="240"/>
      <c r="AD1213" s="124"/>
      <c r="AE1213" s="238"/>
      <c r="AF1213" s="239"/>
      <c r="AG1213" s="239"/>
      <c r="AH1213" s="124"/>
      <c r="AI1213" s="74"/>
      <c r="AJ1213" s="240"/>
      <c r="AL1213" s="124"/>
      <c r="AM1213" s="74"/>
      <c r="AP1213" s="125"/>
      <c r="AQ1213" s="241"/>
      <c r="AR1213" s="125"/>
      <c r="AS1213" s="125"/>
      <c r="AT1213" s="238"/>
      <c r="AU1213" s="125"/>
      <c r="AV1213" s="125"/>
      <c r="AW1213" s="125"/>
      <c r="AX1213" s="238"/>
      <c r="AY1213" s="125"/>
      <c r="AZ1213" s="125"/>
      <c r="BA1213" s="125"/>
    </row>
    <row r="1214" spans="2:53" s="123" customFormat="1">
      <c r="B1214" s="125"/>
      <c r="D1214" s="125"/>
      <c r="I1214" s="125"/>
      <c r="Z1214" s="124"/>
      <c r="AA1214" s="74"/>
      <c r="AB1214" s="240"/>
      <c r="AD1214" s="124"/>
      <c r="AE1214" s="238"/>
      <c r="AF1214" s="239"/>
      <c r="AG1214" s="239"/>
      <c r="AH1214" s="124"/>
      <c r="AI1214" s="74"/>
      <c r="AJ1214" s="240"/>
      <c r="AL1214" s="124"/>
      <c r="AM1214" s="74"/>
      <c r="AP1214" s="125"/>
      <c r="AQ1214" s="241"/>
      <c r="AR1214" s="125"/>
      <c r="AS1214" s="125"/>
      <c r="AT1214" s="238"/>
      <c r="AU1214" s="125"/>
      <c r="AV1214" s="125"/>
      <c r="AW1214" s="125"/>
      <c r="AX1214" s="238"/>
      <c r="AY1214" s="125"/>
      <c r="AZ1214" s="125"/>
      <c r="BA1214" s="125"/>
    </row>
    <row r="1215" spans="2:53" s="123" customFormat="1">
      <c r="B1215" s="125"/>
      <c r="D1215" s="125"/>
      <c r="I1215" s="125"/>
      <c r="Z1215" s="124"/>
      <c r="AA1215" s="74"/>
      <c r="AB1215" s="240"/>
      <c r="AD1215" s="124"/>
      <c r="AE1215" s="238"/>
      <c r="AF1215" s="239"/>
      <c r="AG1215" s="239"/>
      <c r="AH1215" s="124"/>
      <c r="AI1215" s="74"/>
      <c r="AJ1215" s="240"/>
      <c r="AL1215" s="124"/>
      <c r="AM1215" s="74"/>
      <c r="AP1215" s="125"/>
      <c r="AQ1215" s="241"/>
      <c r="AR1215" s="125"/>
      <c r="AS1215" s="125"/>
      <c r="AT1215" s="238"/>
      <c r="AU1215" s="125"/>
      <c r="AV1215" s="125"/>
      <c r="AW1215" s="125"/>
      <c r="AX1215" s="238"/>
      <c r="AY1215" s="125"/>
      <c r="AZ1215" s="125"/>
      <c r="BA1215" s="125"/>
    </row>
    <row r="1216" spans="2:53" s="123" customFormat="1">
      <c r="B1216" s="125"/>
      <c r="D1216" s="125"/>
      <c r="I1216" s="125"/>
      <c r="Z1216" s="124"/>
      <c r="AA1216" s="74"/>
      <c r="AB1216" s="240"/>
      <c r="AD1216" s="124"/>
      <c r="AE1216" s="238"/>
      <c r="AF1216" s="239"/>
      <c r="AG1216" s="239"/>
      <c r="AH1216" s="124"/>
      <c r="AI1216" s="74"/>
      <c r="AJ1216" s="240"/>
      <c r="AL1216" s="124"/>
      <c r="AM1216" s="74"/>
      <c r="AP1216" s="125"/>
      <c r="AQ1216" s="241"/>
      <c r="AR1216" s="125"/>
      <c r="AS1216" s="125"/>
      <c r="AT1216" s="238"/>
      <c r="AU1216" s="125"/>
      <c r="AV1216" s="125"/>
      <c r="AW1216" s="125"/>
      <c r="AX1216" s="238"/>
      <c r="AY1216" s="125"/>
      <c r="AZ1216" s="125"/>
      <c r="BA1216" s="125"/>
    </row>
    <row r="1217" spans="2:53" s="123" customFormat="1">
      <c r="B1217" s="125"/>
      <c r="D1217" s="125"/>
      <c r="I1217" s="125"/>
      <c r="Z1217" s="124"/>
      <c r="AA1217" s="74"/>
      <c r="AB1217" s="240"/>
      <c r="AD1217" s="124"/>
      <c r="AE1217" s="238"/>
      <c r="AF1217" s="239"/>
      <c r="AG1217" s="239"/>
      <c r="AH1217" s="124"/>
      <c r="AI1217" s="74"/>
      <c r="AJ1217" s="240"/>
      <c r="AL1217" s="124"/>
      <c r="AM1217" s="74"/>
      <c r="AP1217" s="125"/>
      <c r="AQ1217" s="241"/>
      <c r="AR1217" s="125"/>
      <c r="AS1217" s="125"/>
      <c r="AT1217" s="238"/>
      <c r="AU1217" s="125"/>
      <c r="AV1217" s="125"/>
      <c r="AW1217" s="125"/>
      <c r="AX1217" s="238"/>
      <c r="AY1217" s="125"/>
      <c r="AZ1217" s="125"/>
      <c r="BA1217" s="125"/>
    </row>
    <row r="1218" spans="2:53" s="123" customFormat="1">
      <c r="B1218" s="125"/>
      <c r="D1218" s="125"/>
      <c r="I1218" s="125"/>
      <c r="Z1218" s="124"/>
      <c r="AA1218" s="74"/>
      <c r="AB1218" s="240"/>
      <c r="AD1218" s="124"/>
      <c r="AE1218" s="238"/>
      <c r="AF1218" s="239"/>
      <c r="AG1218" s="239"/>
      <c r="AH1218" s="124"/>
      <c r="AI1218" s="74"/>
      <c r="AJ1218" s="240"/>
      <c r="AL1218" s="124"/>
      <c r="AM1218" s="74"/>
      <c r="AP1218" s="125"/>
      <c r="AQ1218" s="241"/>
      <c r="AR1218" s="125"/>
      <c r="AS1218" s="125"/>
      <c r="AT1218" s="238"/>
      <c r="AU1218" s="125"/>
      <c r="AV1218" s="125"/>
      <c r="AW1218" s="125"/>
      <c r="AX1218" s="238"/>
      <c r="AY1218" s="125"/>
      <c r="AZ1218" s="125"/>
      <c r="BA1218" s="125"/>
    </row>
    <row r="1219" spans="2:53" s="123" customFormat="1">
      <c r="B1219" s="125"/>
      <c r="D1219" s="125"/>
      <c r="I1219" s="125"/>
      <c r="Z1219" s="124"/>
      <c r="AA1219" s="74"/>
      <c r="AB1219" s="240"/>
      <c r="AD1219" s="124"/>
      <c r="AE1219" s="238"/>
      <c r="AF1219" s="239"/>
      <c r="AG1219" s="239"/>
      <c r="AH1219" s="124"/>
      <c r="AI1219" s="74"/>
      <c r="AJ1219" s="240"/>
      <c r="AL1219" s="124"/>
      <c r="AM1219" s="74"/>
      <c r="AP1219" s="125"/>
      <c r="AQ1219" s="241"/>
      <c r="AR1219" s="125"/>
      <c r="AS1219" s="125"/>
      <c r="AT1219" s="238"/>
      <c r="AU1219" s="125"/>
      <c r="AV1219" s="125"/>
      <c r="AW1219" s="125"/>
      <c r="AX1219" s="238"/>
      <c r="AY1219" s="125"/>
      <c r="AZ1219" s="125"/>
      <c r="BA1219" s="125"/>
    </row>
    <row r="1220" spans="2:53" s="123" customFormat="1">
      <c r="B1220" s="125"/>
      <c r="D1220" s="125"/>
      <c r="I1220" s="125"/>
      <c r="Z1220" s="124"/>
      <c r="AA1220" s="74"/>
      <c r="AB1220" s="240"/>
      <c r="AD1220" s="124"/>
      <c r="AE1220" s="238"/>
      <c r="AF1220" s="239"/>
      <c r="AG1220" s="239"/>
      <c r="AH1220" s="124"/>
      <c r="AI1220" s="74"/>
      <c r="AJ1220" s="240"/>
      <c r="AL1220" s="124"/>
      <c r="AM1220" s="74"/>
      <c r="AP1220" s="125"/>
      <c r="AQ1220" s="241"/>
      <c r="AR1220" s="125"/>
      <c r="AS1220" s="125"/>
      <c r="AT1220" s="238"/>
      <c r="AU1220" s="125"/>
      <c r="AV1220" s="125"/>
      <c r="AW1220" s="125"/>
      <c r="AX1220" s="238"/>
      <c r="AY1220" s="125"/>
      <c r="AZ1220" s="125"/>
      <c r="BA1220" s="125"/>
    </row>
    <row r="1221" spans="2:53" s="123" customFormat="1">
      <c r="B1221" s="125"/>
      <c r="D1221" s="125"/>
      <c r="I1221" s="125"/>
      <c r="Z1221" s="124"/>
      <c r="AA1221" s="74"/>
      <c r="AB1221" s="240"/>
      <c r="AD1221" s="124"/>
      <c r="AE1221" s="238"/>
      <c r="AF1221" s="239"/>
      <c r="AG1221" s="239"/>
      <c r="AH1221" s="124"/>
      <c r="AI1221" s="74"/>
      <c r="AJ1221" s="240"/>
      <c r="AL1221" s="124"/>
      <c r="AM1221" s="74"/>
      <c r="AP1221" s="125"/>
      <c r="AQ1221" s="241"/>
      <c r="AR1221" s="125"/>
      <c r="AS1221" s="125"/>
      <c r="AT1221" s="238"/>
      <c r="AU1221" s="125"/>
      <c r="AV1221" s="125"/>
      <c r="AW1221" s="125"/>
      <c r="AX1221" s="238"/>
      <c r="AY1221" s="125"/>
      <c r="AZ1221" s="125"/>
      <c r="BA1221" s="125"/>
    </row>
    <row r="1222" spans="2:53" s="123" customFormat="1">
      <c r="B1222" s="125"/>
      <c r="D1222" s="125"/>
      <c r="I1222" s="125"/>
      <c r="Z1222" s="124"/>
      <c r="AA1222" s="74"/>
      <c r="AB1222" s="240"/>
      <c r="AD1222" s="124"/>
      <c r="AE1222" s="238"/>
      <c r="AF1222" s="239"/>
      <c r="AG1222" s="239"/>
      <c r="AH1222" s="124"/>
      <c r="AI1222" s="74"/>
      <c r="AJ1222" s="240"/>
      <c r="AL1222" s="124"/>
      <c r="AM1222" s="74"/>
      <c r="AP1222" s="125"/>
      <c r="AQ1222" s="241"/>
      <c r="AR1222" s="125"/>
      <c r="AS1222" s="125"/>
      <c r="AT1222" s="238"/>
      <c r="AU1222" s="125"/>
      <c r="AV1222" s="125"/>
      <c r="AW1222" s="125"/>
      <c r="AX1222" s="238"/>
      <c r="AY1222" s="125"/>
      <c r="AZ1222" s="125"/>
      <c r="BA1222" s="125"/>
    </row>
    <row r="1223" spans="2:53" s="123" customFormat="1">
      <c r="B1223" s="125"/>
      <c r="D1223" s="125"/>
      <c r="I1223" s="125"/>
      <c r="Z1223" s="124"/>
      <c r="AA1223" s="74"/>
      <c r="AB1223" s="240"/>
      <c r="AD1223" s="124"/>
      <c r="AE1223" s="238"/>
      <c r="AF1223" s="239"/>
      <c r="AG1223" s="239"/>
      <c r="AH1223" s="124"/>
      <c r="AI1223" s="74"/>
      <c r="AJ1223" s="240"/>
      <c r="AL1223" s="124"/>
      <c r="AM1223" s="74"/>
      <c r="AP1223" s="125"/>
      <c r="AQ1223" s="241"/>
      <c r="AR1223" s="125"/>
      <c r="AS1223" s="125"/>
      <c r="AT1223" s="238"/>
      <c r="AU1223" s="125"/>
      <c r="AV1223" s="125"/>
      <c r="AW1223" s="125"/>
      <c r="AX1223" s="238"/>
      <c r="AY1223" s="125"/>
      <c r="AZ1223" s="125"/>
      <c r="BA1223" s="125"/>
    </row>
    <row r="1224" spans="2:53" s="123" customFormat="1">
      <c r="B1224" s="125"/>
      <c r="D1224" s="125"/>
      <c r="I1224" s="125"/>
      <c r="Z1224" s="124"/>
      <c r="AA1224" s="74"/>
      <c r="AB1224" s="240"/>
      <c r="AD1224" s="124"/>
      <c r="AE1224" s="238"/>
      <c r="AF1224" s="239"/>
      <c r="AG1224" s="239"/>
      <c r="AH1224" s="124"/>
      <c r="AI1224" s="74"/>
      <c r="AJ1224" s="240"/>
      <c r="AL1224" s="124"/>
      <c r="AM1224" s="74"/>
      <c r="AP1224" s="125"/>
      <c r="AQ1224" s="241"/>
      <c r="AR1224" s="125"/>
      <c r="AS1224" s="125"/>
      <c r="AT1224" s="238"/>
      <c r="AU1224" s="125"/>
      <c r="AV1224" s="125"/>
      <c r="AW1224" s="125"/>
      <c r="AX1224" s="238"/>
      <c r="AY1224" s="125"/>
      <c r="AZ1224" s="125"/>
      <c r="BA1224" s="125"/>
    </row>
    <row r="1225" spans="2:53" s="123" customFormat="1">
      <c r="B1225" s="125"/>
      <c r="D1225" s="125"/>
      <c r="I1225" s="125"/>
      <c r="Z1225" s="124"/>
      <c r="AA1225" s="74"/>
      <c r="AB1225" s="240"/>
      <c r="AD1225" s="124"/>
      <c r="AE1225" s="238"/>
      <c r="AF1225" s="239"/>
      <c r="AG1225" s="239"/>
      <c r="AH1225" s="124"/>
      <c r="AI1225" s="74"/>
      <c r="AJ1225" s="240"/>
      <c r="AL1225" s="124"/>
      <c r="AM1225" s="74"/>
      <c r="AP1225" s="125"/>
      <c r="AQ1225" s="241"/>
      <c r="AR1225" s="125"/>
      <c r="AS1225" s="125"/>
      <c r="AT1225" s="238"/>
      <c r="AU1225" s="125"/>
      <c r="AV1225" s="125"/>
      <c r="AW1225" s="125"/>
      <c r="AX1225" s="238"/>
      <c r="AY1225" s="125"/>
      <c r="AZ1225" s="125"/>
      <c r="BA1225" s="125"/>
    </row>
    <row r="1226" spans="2:53" s="123" customFormat="1">
      <c r="B1226" s="125"/>
      <c r="D1226" s="125"/>
      <c r="I1226" s="125"/>
      <c r="Z1226" s="124"/>
      <c r="AA1226" s="74"/>
      <c r="AB1226" s="240"/>
      <c r="AD1226" s="124"/>
      <c r="AE1226" s="238"/>
      <c r="AF1226" s="239"/>
      <c r="AG1226" s="239"/>
      <c r="AH1226" s="124"/>
      <c r="AI1226" s="74"/>
      <c r="AJ1226" s="240"/>
      <c r="AL1226" s="124"/>
      <c r="AM1226" s="74"/>
      <c r="AP1226" s="125"/>
      <c r="AQ1226" s="241"/>
      <c r="AR1226" s="125"/>
      <c r="AS1226" s="125"/>
      <c r="AT1226" s="238"/>
      <c r="AU1226" s="125"/>
      <c r="AV1226" s="125"/>
      <c r="AW1226" s="125"/>
      <c r="AX1226" s="238"/>
      <c r="AY1226" s="125"/>
      <c r="AZ1226" s="125"/>
      <c r="BA1226" s="125"/>
    </row>
    <row r="1227" spans="2:53" s="123" customFormat="1">
      <c r="B1227" s="125"/>
      <c r="D1227" s="125"/>
      <c r="I1227" s="125"/>
      <c r="Z1227" s="124"/>
      <c r="AA1227" s="74"/>
      <c r="AB1227" s="240"/>
      <c r="AD1227" s="124"/>
      <c r="AE1227" s="238"/>
      <c r="AF1227" s="239"/>
      <c r="AG1227" s="239"/>
      <c r="AH1227" s="124"/>
      <c r="AI1227" s="74"/>
      <c r="AJ1227" s="240"/>
      <c r="AL1227" s="124"/>
      <c r="AM1227" s="74"/>
      <c r="AP1227" s="125"/>
      <c r="AQ1227" s="241"/>
      <c r="AR1227" s="125"/>
      <c r="AS1227" s="125"/>
      <c r="AT1227" s="238"/>
      <c r="AU1227" s="125"/>
      <c r="AV1227" s="125"/>
      <c r="AW1227" s="125"/>
      <c r="AX1227" s="238"/>
      <c r="AY1227" s="125"/>
      <c r="AZ1227" s="125"/>
      <c r="BA1227" s="125"/>
    </row>
    <row r="1228" spans="2:53" s="123" customFormat="1">
      <c r="B1228" s="125"/>
      <c r="D1228" s="125"/>
      <c r="I1228" s="125"/>
      <c r="Z1228" s="124"/>
      <c r="AA1228" s="74"/>
      <c r="AB1228" s="240"/>
      <c r="AD1228" s="124"/>
      <c r="AE1228" s="238"/>
      <c r="AF1228" s="239"/>
      <c r="AG1228" s="239"/>
      <c r="AH1228" s="124"/>
      <c r="AI1228" s="74"/>
      <c r="AJ1228" s="240"/>
      <c r="AL1228" s="124"/>
      <c r="AM1228" s="74"/>
      <c r="AP1228" s="125"/>
      <c r="AQ1228" s="241"/>
      <c r="AR1228" s="125"/>
      <c r="AS1228" s="125"/>
      <c r="AT1228" s="238"/>
      <c r="AU1228" s="125"/>
      <c r="AV1228" s="125"/>
      <c r="AW1228" s="125"/>
      <c r="AX1228" s="238"/>
      <c r="AY1228" s="125"/>
      <c r="AZ1228" s="125"/>
      <c r="BA1228" s="125"/>
    </row>
    <row r="1229" spans="2:53" s="123" customFormat="1">
      <c r="B1229" s="125"/>
      <c r="D1229" s="125"/>
      <c r="I1229" s="125"/>
      <c r="Z1229" s="124"/>
      <c r="AA1229" s="74"/>
      <c r="AB1229" s="240"/>
      <c r="AD1229" s="124"/>
      <c r="AE1229" s="238"/>
      <c r="AF1229" s="239"/>
      <c r="AG1229" s="239"/>
      <c r="AH1229" s="124"/>
      <c r="AI1229" s="74"/>
      <c r="AJ1229" s="240"/>
      <c r="AL1229" s="124"/>
      <c r="AM1229" s="74"/>
      <c r="AP1229" s="125"/>
      <c r="AQ1229" s="241"/>
      <c r="AR1229" s="125"/>
      <c r="AS1229" s="125"/>
      <c r="AT1229" s="238"/>
      <c r="AU1229" s="125"/>
      <c r="AV1229" s="125"/>
      <c r="AW1229" s="125"/>
      <c r="AX1229" s="238"/>
      <c r="AY1229" s="125"/>
      <c r="AZ1229" s="125"/>
      <c r="BA1229" s="125"/>
    </row>
    <row r="1230" spans="2:53" s="123" customFormat="1">
      <c r="B1230" s="125"/>
      <c r="D1230" s="125"/>
      <c r="I1230" s="125"/>
      <c r="Z1230" s="124"/>
      <c r="AA1230" s="74"/>
      <c r="AB1230" s="240"/>
      <c r="AD1230" s="124"/>
      <c r="AE1230" s="238"/>
      <c r="AF1230" s="239"/>
      <c r="AG1230" s="239"/>
      <c r="AH1230" s="124"/>
      <c r="AI1230" s="74"/>
      <c r="AJ1230" s="240"/>
      <c r="AL1230" s="124"/>
      <c r="AM1230" s="74"/>
      <c r="AP1230" s="125"/>
      <c r="AQ1230" s="241"/>
      <c r="AR1230" s="125"/>
      <c r="AS1230" s="125"/>
      <c r="AT1230" s="238"/>
      <c r="AU1230" s="125"/>
      <c r="AV1230" s="125"/>
      <c r="AW1230" s="125"/>
      <c r="AX1230" s="238"/>
      <c r="AY1230" s="125"/>
      <c r="AZ1230" s="125"/>
      <c r="BA1230" s="125"/>
    </row>
    <row r="1231" spans="2:53" s="123" customFormat="1">
      <c r="B1231" s="125"/>
      <c r="D1231" s="125"/>
      <c r="I1231" s="125"/>
      <c r="Z1231" s="124"/>
      <c r="AA1231" s="74"/>
      <c r="AB1231" s="240"/>
      <c r="AD1231" s="124"/>
      <c r="AE1231" s="238"/>
      <c r="AF1231" s="239"/>
      <c r="AG1231" s="239"/>
      <c r="AH1231" s="124"/>
      <c r="AI1231" s="74"/>
      <c r="AJ1231" s="240"/>
      <c r="AL1231" s="124"/>
      <c r="AM1231" s="74"/>
      <c r="AP1231" s="125"/>
      <c r="AQ1231" s="241"/>
      <c r="AR1231" s="125"/>
      <c r="AS1231" s="125"/>
      <c r="AT1231" s="238"/>
      <c r="AU1231" s="125"/>
      <c r="AV1231" s="125"/>
      <c r="AW1231" s="125"/>
      <c r="AX1231" s="238"/>
      <c r="AY1231" s="125"/>
      <c r="AZ1231" s="125"/>
      <c r="BA1231" s="125"/>
    </row>
    <row r="1232" spans="2:53" s="123" customFormat="1">
      <c r="B1232" s="125"/>
      <c r="D1232" s="125"/>
      <c r="I1232" s="125"/>
      <c r="Z1232" s="124"/>
      <c r="AA1232" s="74"/>
      <c r="AB1232" s="240"/>
      <c r="AD1232" s="124"/>
      <c r="AE1232" s="238"/>
      <c r="AF1232" s="239"/>
      <c r="AG1232" s="239"/>
      <c r="AH1232" s="124"/>
      <c r="AI1232" s="74"/>
      <c r="AJ1232" s="240"/>
      <c r="AL1232" s="124"/>
      <c r="AM1232" s="74"/>
      <c r="AP1232" s="125"/>
      <c r="AQ1232" s="241"/>
      <c r="AR1232" s="125"/>
      <c r="AS1232" s="125"/>
      <c r="AT1232" s="238"/>
      <c r="AU1232" s="125"/>
      <c r="AV1232" s="125"/>
      <c r="AW1232" s="125"/>
      <c r="AX1232" s="238"/>
      <c r="AY1232" s="125"/>
      <c r="AZ1232" s="125"/>
      <c r="BA1232" s="125"/>
    </row>
    <row r="1233" spans="2:53" s="123" customFormat="1">
      <c r="B1233" s="125"/>
      <c r="D1233" s="125"/>
      <c r="I1233" s="125"/>
      <c r="Z1233" s="124"/>
      <c r="AA1233" s="74"/>
      <c r="AB1233" s="240"/>
      <c r="AD1233" s="124"/>
      <c r="AE1233" s="238"/>
      <c r="AF1233" s="239"/>
      <c r="AG1233" s="239"/>
      <c r="AH1233" s="124"/>
      <c r="AI1233" s="74"/>
      <c r="AJ1233" s="240"/>
      <c r="AL1233" s="124"/>
      <c r="AM1233" s="74"/>
      <c r="AP1233" s="125"/>
      <c r="AQ1233" s="241"/>
      <c r="AR1233" s="125"/>
      <c r="AS1233" s="125"/>
      <c r="AT1233" s="238"/>
      <c r="AU1233" s="125"/>
      <c r="AV1233" s="125"/>
      <c r="AW1233" s="125"/>
      <c r="AX1233" s="238"/>
      <c r="AY1233" s="125"/>
      <c r="AZ1233" s="125"/>
      <c r="BA1233" s="125"/>
    </row>
    <row r="1234" spans="2:53" s="123" customFormat="1">
      <c r="B1234" s="125"/>
      <c r="D1234" s="125"/>
      <c r="I1234" s="125"/>
      <c r="Z1234" s="124"/>
      <c r="AA1234" s="74"/>
      <c r="AB1234" s="240"/>
      <c r="AD1234" s="124"/>
      <c r="AE1234" s="238"/>
      <c r="AF1234" s="239"/>
      <c r="AG1234" s="239"/>
      <c r="AH1234" s="124"/>
      <c r="AI1234" s="74"/>
      <c r="AJ1234" s="240"/>
      <c r="AL1234" s="124"/>
      <c r="AM1234" s="74"/>
      <c r="AP1234" s="125"/>
      <c r="AQ1234" s="241"/>
      <c r="AR1234" s="125"/>
      <c r="AS1234" s="125"/>
      <c r="AT1234" s="238"/>
      <c r="AU1234" s="125"/>
      <c r="AV1234" s="125"/>
      <c r="AW1234" s="125"/>
      <c r="AX1234" s="238"/>
      <c r="AY1234" s="125"/>
      <c r="AZ1234" s="125"/>
      <c r="BA1234" s="125"/>
    </row>
    <row r="1235" spans="2:53" s="123" customFormat="1">
      <c r="B1235" s="125"/>
      <c r="D1235" s="125"/>
      <c r="I1235" s="125"/>
      <c r="Z1235" s="124"/>
      <c r="AA1235" s="74"/>
      <c r="AB1235" s="240"/>
      <c r="AD1235" s="124"/>
      <c r="AE1235" s="238"/>
      <c r="AF1235" s="239"/>
      <c r="AG1235" s="239"/>
      <c r="AH1235" s="124"/>
      <c r="AI1235" s="74"/>
      <c r="AJ1235" s="240"/>
      <c r="AL1235" s="124"/>
      <c r="AM1235" s="74"/>
      <c r="AP1235" s="125"/>
      <c r="AQ1235" s="241"/>
      <c r="AR1235" s="125"/>
      <c r="AS1235" s="125"/>
      <c r="AT1235" s="238"/>
      <c r="AU1235" s="125"/>
      <c r="AV1235" s="125"/>
      <c r="AW1235" s="125"/>
      <c r="AX1235" s="238"/>
      <c r="AY1235" s="125"/>
      <c r="AZ1235" s="125"/>
      <c r="BA1235" s="125"/>
    </row>
    <row r="1236" spans="2:53" s="123" customFormat="1">
      <c r="B1236" s="125"/>
      <c r="D1236" s="125"/>
      <c r="I1236" s="125"/>
      <c r="Z1236" s="124"/>
      <c r="AA1236" s="74"/>
      <c r="AB1236" s="240"/>
      <c r="AD1236" s="124"/>
      <c r="AE1236" s="238"/>
      <c r="AF1236" s="239"/>
      <c r="AG1236" s="239"/>
      <c r="AH1236" s="124"/>
      <c r="AI1236" s="74"/>
      <c r="AJ1236" s="240"/>
      <c r="AL1236" s="124"/>
      <c r="AM1236" s="74"/>
      <c r="AP1236" s="125"/>
      <c r="AQ1236" s="241"/>
      <c r="AR1236" s="125"/>
      <c r="AS1236" s="125"/>
      <c r="AT1236" s="238"/>
      <c r="AU1236" s="125"/>
      <c r="AV1236" s="125"/>
      <c r="AW1236" s="125"/>
      <c r="AX1236" s="238"/>
      <c r="AY1236" s="125"/>
      <c r="AZ1236" s="125"/>
      <c r="BA1236" s="125"/>
    </row>
    <row r="1237" spans="2:53" s="123" customFormat="1">
      <c r="B1237" s="125"/>
      <c r="D1237" s="125"/>
      <c r="I1237" s="125"/>
      <c r="Z1237" s="124"/>
      <c r="AA1237" s="74"/>
      <c r="AB1237" s="240"/>
      <c r="AD1237" s="124"/>
      <c r="AE1237" s="238"/>
      <c r="AF1237" s="239"/>
      <c r="AG1237" s="239"/>
      <c r="AH1237" s="124"/>
      <c r="AI1237" s="74"/>
      <c r="AJ1237" s="240"/>
      <c r="AL1237" s="124"/>
      <c r="AM1237" s="74"/>
      <c r="AP1237" s="125"/>
      <c r="AQ1237" s="241"/>
      <c r="AR1237" s="125"/>
      <c r="AS1237" s="125"/>
      <c r="AT1237" s="238"/>
      <c r="AU1237" s="125"/>
      <c r="AV1237" s="125"/>
      <c r="AW1237" s="125"/>
      <c r="AX1237" s="238"/>
      <c r="AY1237" s="125"/>
      <c r="AZ1237" s="125"/>
      <c r="BA1237" s="125"/>
    </row>
    <row r="1238" spans="2:53" s="123" customFormat="1">
      <c r="B1238" s="125"/>
      <c r="D1238" s="125"/>
      <c r="I1238" s="125"/>
      <c r="Z1238" s="124"/>
      <c r="AA1238" s="74"/>
      <c r="AB1238" s="240"/>
      <c r="AD1238" s="124"/>
      <c r="AE1238" s="238"/>
      <c r="AF1238" s="239"/>
      <c r="AG1238" s="239"/>
      <c r="AH1238" s="124"/>
      <c r="AI1238" s="74"/>
      <c r="AJ1238" s="240"/>
      <c r="AL1238" s="124"/>
      <c r="AM1238" s="74"/>
      <c r="AP1238" s="125"/>
      <c r="AQ1238" s="241"/>
      <c r="AR1238" s="125"/>
      <c r="AS1238" s="125"/>
      <c r="AT1238" s="238"/>
      <c r="AU1238" s="125"/>
      <c r="AV1238" s="125"/>
      <c r="AW1238" s="125"/>
      <c r="AX1238" s="238"/>
      <c r="AY1238" s="125"/>
      <c r="AZ1238" s="125"/>
      <c r="BA1238" s="125"/>
    </row>
    <row r="1239" spans="2:53" s="123" customFormat="1">
      <c r="B1239" s="125"/>
      <c r="D1239" s="125"/>
      <c r="I1239" s="125"/>
      <c r="Z1239" s="124"/>
      <c r="AA1239" s="74"/>
      <c r="AB1239" s="240"/>
      <c r="AD1239" s="124"/>
      <c r="AE1239" s="238"/>
      <c r="AF1239" s="239"/>
      <c r="AG1239" s="239"/>
      <c r="AH1239" s="124"/>
      <c r="AI1239" s="74"/>
      <c r="AJ1239" s="240"/>
      <c r="AL1239" s="124"/>
      <c r="AM1239" s="74"/>
      <c r="AP1239" s="125"/>
      <c r="AQ1239" s="241"/>
      <c r="AR1239" s="125"/>
      <c r="AS1239" s="125"/>
      <c r="AT1239" s="238"/>
      <c r="AU1239" s="125"/>
      <c r="AV1239" s="125"/>
      <c r="AW1239" s="125"/>
      <c r="AX1239" s="238"/>
      <c r="AY1239" s="125"/>
      <c r="AZ1239" s="125"/>
      <c r="BA1239" s="125"/>
    </row>
    <row r="1240" spans="2:53" s="123" customFormat="1">
      <c r="B1240" s="125"/>
      <c r="D1240" s="125"/>
      <c r="I1240" s="125"/>
      <c r="Z1240" s="124"/>
      <c r="AA1240" s="74"/>
      <c r="AB1240" s="240"/>
      <c r="AD1240" s="124"/>
      <c r="AE1240" s="238"/>
      <c r="AF1240" s="239"/>
      <c r="AG1240" s="239"/>
      <c r="AH1240" s="124"/>
      <c r="AI1240" s="74"/>
      <c r="AJ1240" s="240"/>
      <c r="AL1240" s="124"/>
      <c r="AM1240" s="74"/>
      <c r="AP1240" s="125"/>
      <c r="AQ1240" s="241"/>
      <c r="AR1240" s="125"/>
      <c r="AS1240" s="125"/>
      <c r="AT1240" s="238"/>
      <c r="AU1240" s="125"/>
      <c r="AV1240" s="125"/>
      <c r="AW1240" s="125"/>
      <c r="AX1240" s="238"/>
      <c r="AY1240" s="125"/>
      <c r="AZ1240" s="125"/>
      <c r="BA1240" s="125"/>
    </row>
    <row r="1241" spans="2:53" s="123" customFormat="1">
      <c r="B1241" s="125"/>
      <c r="D1241" s="125"/>
      <c r="I1241" s="125"/>
      <c r="Z1241" s="124"/>
      <c r="AA1241" s="74"/>
      <c r="AB1241" s="240"/>
      <c r="AD1241" s="124"/>
      <c r="AE1241" s="238"/>
      <c r="AF1241" s="239"/>
      <c r="AG1241" s="239"/>
      <c r="AH1241" s="124"/>
      <c r="AI1241" s="74"/>
      <c r="AJ1241" s="240"/>
      <c r="AL1241" s="124"/>
      <c r="AM1241" s="74"/>
      <c r="AP1241" s="125"/>
      <c r="AQ1241" s="241"/>
      <c r="AR1241" s="125"/>
      <c r="AS1241" s="125"/>
      <c r="AT1241" s="238"/>
      <c r="AU1241" s="125"/>
      <c r="AV1241" s="125"/>
      <c r="AW1241" s="125"/>
      <c r="AX1241" s="238"/>
      <c r="AY1241" s="125"/>
      <c r="AZ1241" s="125"/>
      <c r="BA1241" s="125"/>
    </row>
    <row r="1242" spans="2:53" s="123" customFormat="1">
      <c r="B1242" s="125"/>
      <c r="D1242" s="125"/>
      <c r="I1242" s="125"/>
      <c r="Z1242" s="124"/>
      <c r="AA1242" s="74"/>
      <c r="AB1242" s="240"/>
      <c r="AD1242" s="124"/>
      <c r="AE1242" s="238"/>
      <c r="AF1242" s="239"/>
      <c r="AG1242" s="239"/>
      <c r="AH1242" s="124"/>
      <c r="AI1242" s="74"/>
      <c r="AJ1242" s="240"/>
      <c r="AL1242" s="124"/>
      <c r="AM1242" s="74"/>
      <c r="AP1242" s="125"/>
      <c r="AQ1242" s="241"/>
      <c r="AR1242" s="125"/>
      <c r="AS1242" s="125"/>
      <c r="AT1242" s="238"/>
      <c r="AU1242" s="125"/>
      <c r="AV1242" s="125"/>
      <c r="AW1242" s="125"/>
      <c r="AX1242" s="238"/>
      <c r="AY1242" s="125"/>
      <c r="AZ1242" s="125"/>
      <c r="BA1242" s="125"/>
    </row>
    <row r="1243" spans="2:53" s="123" customFormat="1">
      <c r="B1243" s="125"/>
      <c r="D1243" s="125"/>
      <c r="I1243" s="125"/>
      <c r="Z1243" s="124"/>
      <c r="AA1243" s="74"/>
      <c r="AB1243" s="240"/>
      <c r="AD1243" s="124"/>
      <c r="AE1243" s="238"/>
      <c r="AF1243" s="239"/>
      <c r="AG1243" s="239"/>
      <c r="AH1243" s="124"/>
      <c r="AI1243" s="74"/>
      <c r="AJ1243" s="240"/>
      <c r="AL1243" s="124"/>
      <c r="AM1243" s="74"/>
      <c r="AP1243" s="125"/>
      <c r="AQ1243" s="241"/>
      <c r="AR1243" s="125"/>
      <c r="AS1243" s="125"/>
      <c r="AT1243" s="238"/>
      <c r="AU1243" s="125"/>
      <c r="AV1243" s="125"/>
      <c r="AW1243" s="125"/>
      <c r="AX1243" s="238"/>
      <c r="AY1243" s="125"/>
      <c r="AZ1243" s="125"/>
      <c r="BA1243" s="125"/>
    </row>
    <row r="1244" spans="2:53" s="123" customFormat="1">
      <c r="B1244" s="125"/>
      <c r="D1244" s="125"/>
      <c r="I1244" s="125"/>
      <c r="Z1244" s="124"/>
      <c r="AA1244" s="74"/>
      <c r="AB1244" s="240"/>
      <c r="AD1244" s="124"/>
      <c r="AE1244" s="238"/>
      <c r="AF1244" s="239"/>
      <c r="AG1244" s="239"/>
      <c r="AH1244" s="124"/>
      <c r="AI1244" s="74"/>
      <c r="AJ1244" s="240"/>
      <c r="AL1244" s="124"/>
      <c r="AM1244" s="74"/>
      <c r="AP1244" s="125"/>
      <c r="AQ1244" s="241"/>
      <c r="AR1244" s="125"/>
      <c r="AS1244" s="125"/>
      <c r="AT1244" s="238"/>
      <c r="AU1244" s="125"/>
      <c r="AV1244" s="125"/>
      <c r="AW1244" s="125"/>
      <c r="AX1244" s="238"/>
      <c r="AY1244" s="125"/>
      <c r="AZ1244" s="125"/>
      <c r="BA1244" s="125"/>
    </row>
    <row r="1245" spans="2:53" s="123" customFormat="1">
      <c r="B1245" s="125"/>
      <c r="D1245" s="125"/>
      <c r="I1245" s="125"/>
      <c r="Z1245" s="124"/>
      <c r="AA1245" s="74"/>
      <c r="AB1245" s="240"/>
      <c r="AD1245" s="124"/>
      <c r="AE1245" s="238"/>
      <c r="AF1245" s="239"/>
      <c r="AG1245" s="239"/>
      <c r="AH1245" s="124"/>
      <c r="AI1245" s="74"/>
      <c r="AJ1245" s="240"/>
      <c r="AL1245" s="124"/>
      <c r="AM1245" s="74"/>
      <c r="AP1245" s="125"/>
      <c r="AQ1245" s="241"/>
      <c r="AR1245" s="125"/>
      <c r="AS1245" s="125"/>
      <c r="AT1245" s="238"/>
      <c r="AU1245" s="125"/>
      <c r="AV1245" s="125"/>
      <c r="AW1245" s="125"/>
      <c r="AX1245" s="238"/>
      <c r="AY1245" s="125"/>
      <c r="AZ1245" s="125"/>
      <c r="BA1245" s="125"/>
    </row>
    <row r="1246" spans="2:53" s="123" customFormat="1">
      <c r="B1246" s="125"/>
      <c r="D1246" s="125"/>
      <c r="I1246" s="125"/>
      <c r="Z1246" s="124"/>
      <c r="AA1246" s="74"/>
      <c r="AB1246" s="240"/>
      <c r="AD1246" s="124"/>
      <c r="AE1246" s="238"/>
      <c r="AF1246" s="239"/>
      <c r="AG1246" s="239"/>
      <c r="AH1246" s="124"/>
      <c r="AI1246" s="74"/>
      <c r="AJ1246" s="240"/>
      <c r="AL1246" s="124"/>
      <c r="AM1246" s="74"/>
      <c r="AP1246" s="125"/>
      <c r="AQ1246" s="241"/>
      <c r="AR1246" s="125"/>
      <c r="AS1246" s="125"/>
      <c r="AT1246" s="238"/>
      <c r="AU1246" s="125"/>
      <c r="AV1246" s="125"/>
      <c r="AW1246" s="125"/>
      <c r="AX1246" s="238"/>
      <c r="AY1246" s="125"/>
      <c r="AZ1246" s="125"/>
      <c r="BA1246" s="125"/>
    </row>
    <row r="1247" spans="2:53" s="123" customFormat="1">
      <c r="B1247" s="125"/>
      <c r="D1247" s="125"/>
      <c r="I1247" s="125"/>
      <c r="Z1247" s="124"/>
      <c r="AA1247" s="74"/>
      <c r="AB1247" s="240"/>
      <c r="AD1247" s="124"/>
      <c r="AE1247" s="238"/>
      <c r="AF1247" s="239"/>
      <c r="AG1247" s="239"/>
      <c r="AH1247" s="124"/>
      <c r="AI1247" s="74"/>
      <c r="AJ1247" s="240"/>
      <c r="AL1247" s="124"/>
      <c r="AM1247" s="74"/>
      <c r="AP1247" s="125"/>
      <c r="AQ1247" s="241"/>
      <c r="AR1247" s="125"/>
      <c r="AS1247" s="125"/>
      <c r="AT1247" s="238"/>
      <c r="AU1247" s="125"/>
      <c r="AV1247" s="125"/>
      <c r="AW1247" s="125"/>
      <c r="AX1247" s="238"/>
      <c r="AY1247" s="125"/>
      <c r="AZ1247" s="125"/>
      <c r="BA1247" s="125"/>
    </row>
    <row r="1248" spans="2:53" s="123" customFormat="1">
      <c r="B1248" s="125"/>
      <c r="D1248" s="125"/>
      <c r="I1248" s="125"/>
      <c r="Z1248" s="124"/>
      <c r="AA1248" s="74"/>
      <c r="AB1248" s="240"/>
      <c r="AD1248" s="124"/>
      <c r="AE1248" s="238"/>
      <c r="AF1248" s="239"/>
      <c r="AG1248" s="239"/>
      <c r="AH1248" s="124"/>
      <c r="AI1248" s="74"/>
      <c r="AJ1248" s="240"/>
      <c r="AL1248" s="124"/>
      <c r="AM1248" s="74"/>
      <c r="AP1248" s="125"/>
      <c r="AQ1248" s="241"/>
      <c r="AR1248" s="125"/>
      <c r="AS1248" s="125"/>
      <c r="AT1248" s="238"/>
      <c r="AU1248" s="125"/>
      <c r="AV1248" s="125"/>
      <c r="AW1248" s="125"/>
      <c r="AX1248" s="238"/>
      <c r="AY1248" s="125"/>
      <c r="AZ1248" s="125"/>
      <c r="BA1248" s="125"/>
    </row>
    <row r="1249" spans="2:53" s="123" customFormat="1">
      <c r="B1249" s="125"/>
      <c r="D1249" s="125"/>
      <c r="I1249" s="125"/>
      <c r="Z1249" s="124"/>
      <c r="AA1249" s="74"/>
      <c r="AB1249" s="240"/>
      <c r="AD1249" s="124"/>
      <c r="AE1249" s="238"/>
      <c r="AF1249" s="239"/>
      <c r="AG1249" s="239"/>
      <c r="AH1249" s="124"/>
      <c r="AI1249" s="74"/>
      <c r="AJ1249" s="240"/>
      <c r="AL1249" s="124"/>
      <c r="AM1249" s="74"/>
      <c r="AP1249" s="125"/>
      <c r="AQ1249" s="241"/>
      <c r="AR1249" s="125"/>
      <c r="AS1249" s="125"/>
      <c r="AT1249" s="238"/>
      <c r="AU1249" s="125"/>
      <c r="AV1249" s="125"/>
      <c r="AW1249" s="125"/>
      <c r="AX1249" s="238"/>
      <c r="AY1249" s="125"/>
      <c r="AZ1249" s="125"/>
      <c r="BA1249" s="125"/>
    </row>
    <row r="1250" spans="2:53" s="123" customFormat="1">
      <c r="B1250" s="125"/>
      <c r="D1250" s="125"/>
      <c r="I1250" s="125"/>
      <c r="Z1250" s="124"/>
      <c r="AA1250" s="74"/>
      <c r="AB1250" s="240"/>
      <c r="AD1250" s="124"/>
      <c r="AE1250" s="238"/>
      <c r="AF1250" s="239"/>
      <c r="AG1250" s="239"/>
      <c r="AH1250" s="124"/>
      <c r="AI1250" s="74"/>
      <c r="AJ1250" s="240"/>
      <c r="AL1250" s="124"/>
      <c r="AM1250" s="74"/>
      <c r="AP1250" s="125"/>
      <c r="AQ1250" s="241"/>
      <c r="AR1250" s="125"/>
      <c r="AS1250" s="125"/>
      <c r="AT1250" s="238"/>
      <c r="AU1250" s="125"/>
      <c r="AV1250" s="125"/>
      <c r="AW1250" s="125"/>
      <c r="AX1250" s="238"/>
      <c r="AY1250" s="125"/>
      <c r="AZ1250" s="125"/>
      <c r="BA1250" s="125"/>
    </row>
    <row r="1251" spans="2:53" s="123" customFormat="1">
      <c r="B1251" s="125"/>
      <c r="D1251" s="125"/>
      <c r="I1251" s="125"/>
      <c r="Z1251" s="124"/>
      <c r="AA1251" s="74"/>
      <c r="AB1251" s="240"/>
      <c r="AD1251" s="124"/>
      <c r="AE1251" s="238"/>
      <c r="AF1251" s="239"/>
      <c r="AG1251" s="239"/>
      <c r="AH1251" s="124"/>
      <c r="AI1251" s="74"/>
      <c r="AJ1251" s="240"/>
      <c r="AL1251" s="124"/>
      <c r="AM1251" s="74"/>
      <c r="AP1251" s="125"/>
      <c r="AQ1251" s="241"/>
      <c r="AR1251" s="125"/>
      <c r="AS1251" s="125"/>
      <c r="AT1251" s="238"/>
      <c r="AU1251" s="125"/>
      <c r="AV1251" s="125"/>
      <c r="AW1251" s="125"/>
      <c r="AX1251" s="238"/>
      <c r="AY1251" s="125"/>
      <c r="AZ1251" s="125"/>
      <c r="BA1251" s="125"/>
    </row>
    <row r="1252" spans="2:53" s="123" customFormat="1">
      <c r="B1252" s="125"/>
      <c r="D1252" s="125"/>
      <c r="I1252" s="125"/>
      <c r="Z1252" s="124"/>
      <c r="AA1252" s="74"/>
      <c r="AB1252" s="240"/>
      <c r="AD1252" s="124"/>
      <c r="AE1252" s="238"/>
      <c r="AF1252" s="239"/>
      <c r="AG1252" s="239"/>
      <c r="AH1252" s="124"/>
      <c r="AI1252" s="74"/>
      <c r="AJ1252" s="240"/>
      <c r="AL1252" s="124"/>
      <c r="AM1252" s="74"/>
      <c r="AP1252" s="125"/>
      <c r="AQ1252" s="241"/>
      <c r="AR1252" s="125"/>
      <c r="AS1252" s="125"/>
      <c r="AT1252" s="238"/>
      <c r="AU1252" s="125"/>
      <c r="AV1252" s="125"/>
      <c r="AW1252" s="125"/>
      <c r="AX1252" s="238"/>
      <c r="AY1252" s="125"/>
      <c r="AZ1252" s="125"/>
      <c r="BA1252" s="125"/>
    </row>
    <row r="1253" spans="2:53" s="123" customFormat="1">
      <c r="B1253" s="125"/>
      <c r="D1253" s="125"/>
      <c r="I1253" s="125"/>
      <c r="Z1253" s="124"/>
      <c r="AA1253" s="74"/>
      <c r="AB1253" s="240"/>
      <c r="AD1253" s="124"/>
      <c r="AE1253" s="238"/>
      <c r="AF1253" s="239"/>
      <c r="AG1253" s="239"/>
      <c r="AH1253" s="124"/>
      <c r="AI1253" s="74"/>
      <c r="AJ1253" s="240"/>
      <c r="AL1253" s="124"/>
      <c r="AM1253" s="74"/>
      <c r="AP1253" s="125"/>
      <c r="AQ1253" s="241"/>
      <c r="AR1253" s="125"/>
      <c r="AS1253" s="125"/>
      <c r="AT1253" s="238"/>
      <c r="AU1253" s="125"/>
      <c r="AV1253" s="125"/>
      <c r="AW1253" s="125"/>
      <c r="AX1253" s="238"/>
      <c r="AY1253" s="125"/>
      <c r="AZ1253" s="125"/>
      <c r="BA1253" s="125"/>
    </row>
    <row r="1254" spans="2:53" s="123" customFormat="1">
      <c r="B1254" s="125"/>
      <c r="D1254" s="125"/>
      <c r="I1254" s="125"/>
      <c r="Z1254" s="124"/>
      <c r="AA1254" s="74"/>
      <c r="AB1254" s="240"/>
      <c r="AD1254" s="124"/>
      <c r="AE1254" s="238"/>
      <c r="AF1254" s="239"/>
      <c r="AG1254" s="239"/>
      <c r="AH1254" s="124"/>
      <c r="AI1254" s="74"/>
      <c r="AJ1254" s="240"/>
      <c r="AL1254" s="124"/>
      <c r="AM1254" s="74"/>
      <c r="AP1254" s="125"/>
      <c r="AQ1254" s="241"/>
      <c r="AR1254" s="125"/>
      <c r="AS1254" s="125"/>
      <c r="AT1254" s="238"/>
      <c r="AU1254" s="125"/>
      <c r="AV1254" s="125"/>
      <c r="AW1254" s="125"/>
      <c r="AX1254" s="238"/>
      <c r="AY1254" s="125"/>
      <c r="AZ1254" s="125"/>
      <c r="BA1254" s="125"/>
    </row>
    <row r="1255" spans="2:53" s="123" customFormat="1">
      <c r="B1255" s="125"/>
      <c r="D1255" s="125"/>
      <c r="I1255" s="125"/>
      <c r="Z1255" s="124"/>
      <c r="AA1255" s="74"/>
      <c r="AB1255" s="240"/>
      <c r="AD1255" s="124"/>
      <c r="AE1255" s="238"/>
      <c r="AF1255" s="239"/>
      <c r="AG1255" s="239"/>
      <c r="AH1255" s="124"/>
      <c r="AI1255" s="74"/>
      <c r="AJ1255" s="240"/>
      <c r="AL1255" s="124"/>
      <c r="AM1255" s="74"/>
      <c r="AP1255" s="125"/>
      <c r="AQ1255" s="241"/>
      <c r="AR1255" s="125"/>
      <c r="AS1255" s="125"/>
      <c r="AT1255" s="238"/>
      <c r="AU1255" s="125"/>
      <c r="AV1255" s="125"/>
      <c r="AW1255" s="125"/>
      <c r="AX1255" s="238"/>
      <c r="AY1255" s="125"/>
      <c r="AZ1255" s="125"/>
      <c r="BA1255" s="125"/>
    </row>
    <row r="1256" spans="2:53" s="123" customFormat="1">
      <c r="B1256" s="125"/>
      <c r="D1256" s="125"/>
      <c r="I1256" s="125"/>
      <c r="Z1256" s="124"/>
      <c r="AA1256" s="74"/>
      <c r="AB1256" s="240"/>
      <c r="AD1256" s="124"/>
      <c r="AE1256" s="238"/>
      <c r="AF1256" s="239"/>
      <c r="AG1256" s="239"/>
      <c r="AH1256" s="124"/>
      <c r="AI1256" s="74"/>
      <c r="AJ1256" s="240"/>
      <c r="AL1256" s="124"/>
      <c r="AM1256" s="74"/>
      <c r="AP1256" s="125"/>
      <c r="AQ1256" s="241"/>
      <c r="AR1256" s="125"/>
      <c r="AS1256" s="125"/>
      <c r="AT1256" s="238"/>
      <c r="AU1256" s="125"/>
      <c r="AV1256" s="125"/>
      <c r="AW1256" s="125"/>
      <c r="AX1256" s="238"/>
      <c r="AY1256" s="125"/>
      <c r="AZ1256" s="125"/>
      <c r="BA1256" s="125"/>
    </row>
    <row r="1257" spans="2:53" s="123" customFormat="1">
      <c r="B1257" s="125"/>
      <c r="D1257" s="125"/>
      <c r="I1257" s="125"/>
      <c r="Z1257" s="124"/>
      <c r="AA1257" s="74"/>
      <c r="AB1257" s="240"/>
      <c r="AD1257" s="124"/>
      <c r="AE1257" s="238"/>
      <c r="AF1257" s="239"/>
      <c r="AG1257" s="239"/>
      <c r="AH1257" s="124"/>
      <c r="AI1257" s="74"/>
      <c r="AJ1257" s="240"/>
      <c r="AL1257" s="124"/>
      <c r="AM1257" s="74"/>
      <c r="AP1257" s="125"/>
      <c r="AQ1257" s="241"/>
      <c r="AR1257" s="125"/>
      <c r="AS1257" s="125"/>
      <c r="AT1257" s="238"/>
      <c r="AU1257" s="125"/>
      <c r="AV1257" s="125"/>
      <c r="AW1257" s="125"/>
      <c r="AX1257" s="238"/>
      <c r="AY1257" s="125"/>
      <c r="AZ1257" s="125"/>
      <c r="BA1257" s="125"/>
    </row>
    <row r="1258" spans="2:53" s="123" customFormat="1">
      <c r="B1258" s="125"/>
      <c r="D1258" s="125"/>
      <c r="I1258" s="125"/>
      <c r="Z1258" s="124"/>
      <c r="AA1258" s="74"/>
      <c r="AB1258" s="240"/>
      <c r="AD1258" s="124"/>
      <c r="AE1258" s="238"/>
      <c r="AF1258" s="239"/>
      <c r="AG1258" s="239"/>
      <c r="AH1258" s="124"/>
      <c r="AI1258" s="74"/>
      <c r="AJ1258" s="240"/>
      <c r="AL1258" s="124"/>
      <c r="AM1258" s="74"/>
      <c r="AP1258" s="125"/>
      <c r="AQ1258" s="241"/>
      <c r="AR1258" s="125"/>
      <c r="AS1258" s="125"/>
      <c r="AT1258" s="238"/>
      <c r="AU1258" s="125"/>
      <c r="AV1258" s="125"/>
      <c r="AW1258" s="125"/>
      <c r="AX1258" s="238"/>
      <c r="AY1258" s="125"/>
      <c r="AZ1258" s="125"/>
      <c r="BA1258" s="125"/>
    </row>
    <row r="1259" spans="2:53" s="123" customFormat="1">
      <c r="B1259" s="125"/>
      <c r="D1259" s="125"/>
      <c r="I1259" s="125"/>
      <c r="Z1259" s="124"/>
      <c r="AA1259" s="74"/>
      <c r="AB1259" s="240"/>
      <c r="AD1259" s="124"/>
      <c r="AE1259" s="238"/>
      <c r="AF1259" s="239"/>
      <c r="AG1259" s="239"/>
      <c r="AH1259" s="124"/>
      <c r="AI1259" s="74"/>
      <c r="AJ1259" s="240"/>
      <c r="AL1259" s="124"/>
      <c r="AM1259" s="74"/>
      <c r="AP1259" s="125"/>
      <c r="AQ1259" s="241"/>
      <c r="AR1259" s="125"/>
      <c r="AS1259" s="125"/>
      <c r="AT1259" s="238"/>
      <c r="AU1259" s="125"/>
      <c r="AV1259" s="125"/>
      <c r="AW1259" s="125"/>
      <c r="AX1259" s="238"/>
      <c r="AY1259" s="125"/>
      <c r="AZ1259" s="125"/>
      <c r="BA1259" s="125"/>
    </row>
    <row r="1260" spans="2:53" s="123" customFormat="1">
      <c r="B1260" s="125"/>
      <c r="D1260" s="125"/>
      <c r="I1260" s="125"/>
      <c r="Z1260" s="124"/>
      <c r="AA1260" s="74"/>
      <c r="AB1260" s="240"/>
      <c r="AD1260" s="124"/>
      <c r="AE1260" s="238"/>
      <c r="AF1260" s="239"/>
      <c r="AG1260" s="239"/>
      <c r="AH1260" s="124"/>
      <c r="AI1260" s="74"/>
      <c r="AJ1260" s="240"/>
      <c r="AL1260" s="124"/>
      <c r="AM1260" s="74"/>
      <c r="AP1260" s="125"/>
      <c r="AQ1260" s="241"/>
      <c r="AR1260" s="125"/>
      <c r="AS1260" s="125"/>
      <c r="AT1260" s="238"/>
      <c r="AU1260" s="125"/>
      <c r="AV1260" s="125"/>
      <c r="AW1260" s="125"/>
      <c r="AX1260" s="238"/>
      <c r="AY1260" s="125"/>
      <c r="AZ1260" s="125"/>
      <c r="BA1260" s="125"/>
    </row>
    <row r="1261" spans="2:53" s="123" customFormat="1">
      <c r="B1261" s="125"/>
      <c r="D1261" s="125"/>
      <c r="I1261" s="125"/>
      <c r="Z1261" s="124"/>
      <c r="AA1261" s="74"/>
      <c r="AB1261" s="240"/>
      <c r="AD1261" s="124"/>
      <c r="AE1261" s="238"/>
      <c r="AF1261" s="239"/>
      <c r="AG1261" s="239"/>
      <c r="AH1261" s="124"/>
      <c r="AI1261" s="74"/>
      <c r="AJ1261" s="240"/>
      <c r="AL1261" s="124"/>
      <c r="AM1261" s="74"/>
      <c r="AP1261" s="125"/>
      <c r="AQ1261" s="241"/>
      <c r="AR1261" s="125"/>
      <c r="AS1261" s="125"/>
      <c r="AT1261" s="238"/>
      <c r="AU1261" s="125"/>
      <c r="AV1261" s="125"/>
      <c r="AW1261" s="125"/>
      <c r="AX1261" s="238"/>
      <c r="AY1261" s="125"/>
      <c r="AZ1261" s="125"/>
      <c r="BA1261" s="125"/>
    </row>
    <row r="1262" spans="2:53" s="123" customFormat="1">
      <c r="B1262" s="125"/>
      <c r="D1262" s="125"/>
      <c r="I1262" s="125"/>
      <c r="Z1262" s="124"/>
      <c r="AA1262" s="74"/>
      <c r="AB1262" s="240"/>
      <c r="AD1262" s="124"/>
      <c r="AE1262" s="238"/>
      <c r="AF1262" s="239"/>
      <c r="AG1262" s="239"/>
      <c r="AH1262" s="124"/>
      <c r="AI1262" s="74"/>
      <c r="AJ1262" s="240"/>
      <c r="AL1262" s="124"/>
      <c r="AM1262" s="74"/>
      <c r="AP1262" s="125"/>
      <c r="AQ1262" s="241"/>
      <c r="AR1262" s="125"/>
      <c r="AS1262" s="125"/>
      <c r="AT1262" s="238"/>
      <c r="AU1262" s="125"/>
      <c r="AV1262" s="125"/>
      <c r="AW1262" s="125"/>
      <c r="AX1262" s="238"/>
      <c r="AY1262" s="125"/>
      <c r="AZ1262" s="125"/>
      <c r="BA1262" s="125"/>
    </row>
    <row r="1263" spans="2:53" s="123" customFormat="1">
      <c r="B1263" s="125"/>
      <c r="D1263" s="125"/>
      <c r="I1263" s="125"/>
      <c r="Z1263" s="124"/>
      <c r="AA1263" s="74"/>
      <c r="AB1263" s="240"/>
      <c r="AD1263" s="124"/>
      <c r="AE1263" s="238"/>
      <c r="AF1263" s="239"/>
      <c r="AG1263" s="239"/>
      <c r="AH1263" s="124"/>
      <c r="AI1263" s="74"/>
      <c r="AJ1263" s="240"/>
      <c r="AL1263" s="124"/>
      <c r="AM1263" s="74"/>
      <c r="AP1263" s="125"/>
      <c r="AQ1263" s="241"/>
      <c r="AR1263" s="125"/>
      <c r="AS1263" s="125"/>
      <c r="AT1263" s="238"/>
      <c r="AU1263" s="125"/>
      <c r="AV1263" s="125"/>
      <c r="AW1263" s="125"/>
      <c r="AX1263" s="238"/>
      <c r="AY1263" s="125"/>
      <c r="AZ1263" s="125"/>
      <c r="BA1263" s="125"/>
    </row>
    <row r="1264" spans="2:53" s="123" customFormat="1">
      <c r="B1264" s="125"/>
      <c r="D1264" s="125"/>
      <c r="I1264" s="125"/>
      <c r="Z1264" s="124"/>
      <c r="AA1264" s="74"/>
      <c r="AB1264" s="240"/>
      <c r="AD1264" s="124"/>
      <c r="AE1264" s="238"/>
      <c r="AF1264" s="239"/>
      <c r="AG1264" s="239"/>
      <c r="AH1264" s="124"/>
      <c r="AI1264" s="74"/>
      <c r="AJ1264" s="240"/>
      <c r="AL1264" s="124"/>
      <c r="AM1264" s="74"/>
      <c r="AP1264" s="125"/>
      <c r="AQ1264" s="241"/>
      <c r="AR1264" s="125"/>
      <c r="AS1264" s="125"/>
      <c r="AT1264" s="238"/>
      <c r="AU1264" s="125"/>
      <c r="AV1264" s="125"/>
      <c r="AW1264" s="125"/>
      <c r="AX1264" s="238"/>
      <c r="AY1264" s="125"/>
      <c r="AZ1264" s="125"/>
      <c r="BA1264" s="125"/>
    </row>
    <row r="1265" spans="2:53" s="123" customFormat="1">
      <c r="B1265" s="125"/>
      <c r="D1265" s="125"/>
      <c r="I1265" s="125"/>
      <c r="Z1265" s="124"/>
      <c r="AA1265" s="74"/>
      <c r="AB1265" s="240"/>
      <c r="AD1265" s="124"/>
      <c r="AE1265" s="238"/>
      <c r="AF1265" s="239"/>
      <c r="AG1265" s="239"/>
      <c r="AH1265" s="124"/>
      <c r="AI1265" s="74"/>
      <c r="AJ1265" s="240"/>
      <c r="AL1265" s="124"/>
      <c r="AM1265" s="74"/>
      <c r="AP1265" s="125"/>
      <c r="AQ1265" s="241"/>
      <c r="AR1265" s="125"/>
      <c r="AS1265" s="125"/>
      <c r="AT1265" s="238"/>
      <c r="AU1265" s="125"/>
      <c r="AV1265" s="125"/>
      <c r="AW1265" s="125"/>
      <c r="AX1265" s="238"/>
      <c r="AY1265" s="125"/>
      <c r="AZ1265" s="125"/>
      <c r="BA1265" s="125"/>
    </row>
    <row r="1266" spans="2:53" s="123" customFormat="1">
      <c r="B1266" s="125"/>
      <c r="D1266" s="125"/>
      <c r="I1266" s="125"/>
      <c r="Z1266" s="124"/>
      <c r="AA1266" s="74"/>
      <c r="AB1266" s="240"/>
      <c r="AD1266" s="124"/>
      <c r="AE1266" s="238"/>
      <c r="AF1266" s="239"/>
      <c r="AG1266" s="239"/>
      <c r="AH1266" s="124"/>
      <c r="AI1266" s="74"/>
      <c r="AJ1266" s="240"/>
      <c r="AL1266" s="124"/>
      <c r="AM1266" s="74"/>
      <c r="AP1266" s="125"/>
      <c r="AQ1266" s="241"/>
      <c r="AR1266" s="125"/>
      <c r="AS1266" s="125"/>
      <c r="AT1266" s="238"/>
      <c r="AU1266" s="125"/>
      <c r="AV1266" s="125"/>
      <c r="AW1266" s="125"/>
      <c r="AX1266" s="238"/>
      <c r="AY1266" s="125"/>
      <c r="AZ1266" s="125"/>
      <c r="BA1266" s="125"/>
    </row>
    <row r="1267" spans="2:53" s="123" customFormat="1">
      <c r="B1267" s="125"/>
      <c r="D1267" s="125"/>
      <c r="I1267" s="125"/>
      <c r="Z1267" s="124"/>
      <c r="AA1267" s="74"/>
      <c r="AB1267" s="240"/>
      <c r="AD1267" s="124"/>
      <c r="AE1267" s="238"/>
      <c r="AF1267" s="239"/>
      <c r="AG1267" s="239"/>
      <c r="AH1267" s="124"/>
      <c r="AI1267" s="74"/>
      <c r="AJ1267" s="240"/>
      <c r="AL1267" s="124"/>
      <c r="AM1267" s="74"/>
      <c r="AP1267" s="125"/>
      <c r="AQ1267" s="241"/>
      <c r="AR1267" s="125"/>
      <c r="AS1267" s="125"/>
      <c r="AT1267" s="238"/>
      <c r="AU1267" s="125"/>
      <c r="AV1267" s="125"/>
      <c r="AW1267" s="125"/>
      <c r="AX1267" s="238"/>
      <c r="AY1267" s="125"/>
      <c r="AZ1267" s="125"/>
      <c r="BA1267" s="125"/>
    </row>
    <row r="1268" spans="2:53" s="123" customFormat="1">
      <c r="B1268" s="125"/>
      <c r="D1268" s="125"/>
      <c r="I1268" s="125"/>
      <c r="Z1268" s="124"/>
      <c r="AA1268" s="74"/>
      <c r="AB1268" s="240"/>
      <c r="AD1268" s="124"/>
      <c r="AE1268" s="238"/>
      <c r="AF1268" s="239"/>
      <c r="AG1268" s="239"/>
      <c r="AH1268" s="124"/>
      <c r="AI1268" s="74"/>
      <c r="AJ1268" s="240"/>
      <c r="AL1268" s="124"/>
      <c r="AM1268" s="74"/>
      <c r="AP1268" s="125"/>
      <c r="AQ1268" s="241"/>
      <c r="AR1268" s="125"/>
      <c r="AS1268" s="125"/>
      <c r="AT1268" s="238"/>
      <c r="AU1268" s="125"/>
      <c r="AV1268" s="125"/>
      <c r="AW1268" s="125"/>
      <c r="AX1268" s="238"/>
      <c r="AY1268" s="125"/>
      <c r="AZ1268" s="125"/>
      <c r="BA1268" s="125"/>
    </row>
    <row r="1269" spans="2:53" s="123" customFormat="1">
      <c r="B1269" s="125"/>
      <c r="D1269" s="125"/>
      <c r="I1269" s="125"/>
      <c r="Z1269" s="124"/>
      <c r="AA1269" s="74"/>
      <c r="AB1269" s="240"/>
      <c r="AD1269" s="124"/>
      <c r="AE1269" s="238"/>
      <c r="AF1269" s="239"/>
      <c r="AG1269" s="239"/>
      <c r="AH1269" s="124"/>
      <c r="AI1269" s="74"/>
      <c r="AJ1269" s="240"/>
      <c r="AL1269" s="124"/>
      <c r="AM1269" s="74"/>
      <c r="AP1269" s="125"/>
      <c r="AQ1269" s="241"/>
      <c r="AR1269" s="125"/>
      <c r="AS1269" s="125"/>
      <c r="AT1269" s="238"/>
      <c r="AU1269" s="125"/>
      <c r="AV1269" s="125"/>
      <c r="AW1269" s="125"/>
      <c r="AX1269" s="238"/>
      <c r="AY1269" s="125"/>
      <c r="AZ1269" s="125"/>
      <c r="BA1269" s="125"/>
    </row>
    <row r="1270" spans="2:53" s="123" customFormat="1">
      <c r="B1270" s="125"/>
      <c r="D1270" s="125"/>
      <c r="I1270" s="125"/>
      <c r="Z1270" s="124"/>
      <c r="AA1270" s="74"/>
      <c r="AB1270" s="240"/>
      <c r="AD1270" s="124"/>
      <c r="AE1270" s="238"/>
      <c r="AF1270" s="239"/>
      <c r="AG1270" s="239"/>
      <c r="AH1270" s="124"/>
      <c r="AI1270" s="74"/>
      <c r="AJ1270" s="240"/>
      <c r="AL1270" s="124"/>
      <c r="AM1270" s="74"/>
      <c r="AP1270" s="125"/>
      <c r="AQ1270" s="241"/>
      <c r="AR1270" s="125"/>
      <c r="AS1270" s="125"/>
      <c r="AT1270" s="238"/>
      <c r="AU1270" s="125"/>
      <c r="AV1270" s="125"/>
      <c r="AW1270" s="125"/>
      <c r="AX1270" s="238"/>
      <c r="AY1270" s="125"/>
      <c r="AZ1270" s="125"/>
      <c r="BA1270" s="125"/>
    </row>
    <row r="1271" spans="2:53" s="123" customFormat="1">
      <c r="B1271" s="125"/>
      <c r="D1271" s="125"/>
      <c r="I1271" s="125"/>
      <c r="Z1271" s="124"/>
      <c r="AA1271" s="74"/>
      <c r="AB1271" s="240"/>
      <c r="AD1271" s="124"/>
      <c r="AE1271" s="238"/>
      <c r="AF1271" s="239"/>
      <c r="AG1271" s="239"/>
      <c r="AH1271" s="124"/>
      <c r="AI1271" s="74"/>
      <c r="AJ1271" s="240"/>
      <c r="AL1271" s="124"/>
      <c r="AM1271" s="74"/>
      <c r="AP1271" s="125"/>
      <c r="AQ1271" s="241"/>
      <c r="AR1271" s="125"/>
      <c r="AS1271" s="125"/>
      <c r="AT1271" s="238"/>
      <c r="AU1271" s="125"/>
      <c r="AV1271" s="125"/>
      <c r="AW1271" s="125"/>
      <c r="AX1271" s="238"/>
      <c r="AY1271" s="125"/>
      <c r="AZ1271" s="125"/>
      <c r="BA1271" s="125"/>
    </row>
    <row r="1272" spans="2:53" s="123" customFormat="1">
      <c r="B1272" s="125"/>
      <c r="D1272" s="125"/>
      <c r="I1272" s="125"/>
      <c r="Z1272" s="124"/>
      <c r="AA1272" s="74"/>
      <c r="AB1272" s="240"/>
      <c r="AD1272" s="124"/>
      <c r="AE1272" s="238"/>
      <c r="AF1272" s="239"/>
      <c r="AG1272" s="239"/>
      <c r="AH1272" s="124"/>
      <c r="AI1272" s="74"/>
      <c r="AJ1272" s="240"/>
      <c r="AL1272" s="124"/>
      <c r="AM1272" s="74"/>
      <c r="AP1272" s="125"/>
      <c r="AQ1272" s="241"/>
      <c r="AR1272" s="125"/>
      <c r="AS1272" s="125"/>
      <c r="AT1272" s="238"/>
      <c r="AU1272" s="125"/>
      <c r="AV1272" s="125"/>
      <c r="AW1272" s="125"/>
      <c r="AX1272" s="238"/>
      <c r="AY1272" s="125"/>
      <c r="AZ1272" s="125"/>
      <c r="BA1272" s="125"/>
    </row>
    <row r="1273" spans="2:53" s="123" customFormat="1">
      <c r="B1273" s="125"/>
      <c r="D1273" s="125"/>
      <c r="I1273" s="125"/>
      <c r="Z1273" s="124"/>
      <c r="AA1273" s="74"/>
      <c r="AB1273" s="240"/>
      <c r="AD1273" s="124"/>
      <c r="AE1273" s="238"/>
      <c r="AF1273" s="239"/>
      <c r="AG1273" s="239"/>
      <c r="AH1273" s="124"/>
      <c r="AI1273" s="74"/>
      <c r="AJ1273" s="240"/>
      <c r="AL1273" s="124"/>
      <c r="AM1273" s="74"/>
      <c r="AP1273" s="125"/>
      <c r="AQ1273" s="241"/>
      <c r="AR1273" s="125"/>
      <c r="AS1273" s="125"/>
      <c r="AT1273" s="238"/>
      <c r="AU1273" s="125"/>
      <c r="AV1273" s="125"/>
      <c r="AW1273" s="125"/>
      <c r="AX1273" s="238"/>
      <c r="AY1273" s="125"/>
      <c r="AZ1273" s="125"/>
      <c r="BA1273" s="125"/>
    </row>
    <row r="1274" spans="2:53" s="123" customFormat="1">
      <c r="B1274" s="125"/>
      <c r="D1274" s="125"/>
      <c r="I1274" s="125"/>
      <c r="Z1274" s="124"/>
      <c r="AA1274" s="74"/>
      <c r="AB1274" s="240"/>
      <c r="AD1274" s="124"/>
      <c r="AE1274" s="238"/>
      <c r="AF1274" s="239"/>
      <c r="AG1274" s="239"/>
      <c r="AH1274" s="124"/>
      <c r="AI1274" s="74"/>
      <c r="AJ1274" s="240"/>
      <c r="AL1274" s="124"/>
      <c r="AM1274" s="74"/>
      <c r="AP1274" s="125"/>
      <c r="AQ1274" s="241"/>
      <c r="AR1274" s="125"/>
      <c r="AS1274" s="125"/>
      <c r="AT1274" s="238"/>
      <c r="AU1274" s="125"/>
      <c r="AV1274" s="125"/>
      <c r="AW1274" s="125"/>
      <c r="AX1274" s="238"/>
      <c r="AY1274" s="125"/>
      <c r="AZ1274" s="125"/>
      <c r="BA1274" s="125"/>
    </row>
    <row r="1275" spans="2:53" s="123" customFormat="1">
      <c r="B1275" s="125"/>
      <c r="D1275" s="125"/>
      <c r="I1275" s="125"/>
      <c r="Z1275" s="124"/>
      <c r="AA1275" s="74"/>
      <c r="AB1275" s="240"/>
      <c r="AD1275" s="124"/>
      <c r="AE1275" s="238"/>
      <c r="AF1275" s="239"/>
      <c r="AG1275" s="239"/>
      <c r="AH1275" s="124"/>
      <c r="AI1275" s="74"/>
      <c r="AJ1275" s="240"/>
      <c r="AL1275" s="124"/>
      <c r="AM1275" s="74"/>
      <c r="AP1275" s="125"/>
      <c r="AQ1275" s="241"/>
      <c r="AR1275" s="125"/>
      <c r="AS1275" s="125"/>
      <c r="AT1275" s="238"/>
      <c r="AU1275" s="125"/>
      <c r="AV1275" s="125"/>
      <c r="AW1275" s="125"/>
      <c r="AX1275" s="238"/>
      <c r="AY1275" s="125"/>
      <c r="AZ1275" s="125"/>
      <c r="BA1275" s="125"/>
    </row>
    <row r="1276" spans="2:53" s="123" customFormat="1">
      <c r="B1276" s="125"/>
      <c r="D1276" s="125"/>
      <c r="I1276" s="125"/>
      <c r="Z1276" s="124"/>
      <c r="AA1276" s="74"/>
      <c r="AB1276" s="240"/>
      <c r="AD1276" s="124"/>
      <c r="AE1276" s="238"/>
      <c r="AF1276" s="239"/>
      <c r="AG1276" s="239"/>
      <c r="AH1276" s="124"/>
      <c r="AI1276" s="74"/>
      <c r="AJ1276" s="240"/>
      <c r="AL1276" s="124"/>
      <c r="AM1276" s="74"/>
      <c r="AP1276" s="125"/>
      <c r="AQ1276" s="241"/>
      <c r="AR1276" s="125"/>
      <c r="AS1276" s="125"/>
      <c r="AT1276" s="238"/>
      <c r="AU1276" s="125"/>
      <c r="AV1276" s="125"/>
      <c r="AW1276" s="125"/>
      <c r="AX1276" s="238"/>
      <c r="AY1276" s="125"/>
      <c r="AZ1276" s="125"/>
      <c r="BA1276" s="125"/>
    </row>
    <row r="1277" spans="2:53" s="123" customFormat="1">
      <c r="B1277" s="125"/>
      <c r="D1277" s="125"/>
      <c r="I1277" s="125"/>
      <c r="Z1277" s="124"/>
      <c r="AA1277" s="74"/>
      <c r="AB1277" s="240"/>
      <c r="AD1277" s="124"/>
      <c r="AE1277" s="238"/>
      <c r="AF1277" s="239"/>
      <c r="AG1277" s="239"/>
      <c r="AH1277" s="124"/>
      <c r="AI1277" s="74"/>
      <c r="AJ1277" s="240"/>
      <c r="AL1277" s="124"/>
      <c r="AM1277" s="74"/>
      <c r="AP1277" s="125"/>
      <c r="AQ1277" s="241"/>
      <c r="AR1277" s="125"/>
      <c r="AS1277" s="125"/>
      <c r="AT1277" s="238"/>
      <c r="AU1277" s="125"/>
      <c r="AV1277" s="125"/>
      <c r="AW1277" s="125"/>
      <c r="AX1277" s="238"/>
      <c r="AY1277" s="125"/>
      <c r="AZ1277" s="125"/>
      <c r="BA1277" s="125"/>
    </row>
    <row r="1278" spans="2:53" s="123" customFormat="1">
      <c r="B1278" s="125"/>
      <c r="D1278" s="125"/>
      <c r="I1278" s="125"/>
      <c r="Z1278" s="124"/>
      <c r="AA1278" s="74"/>
      <c r="AB1278" s="240"/>
      <c r="AD1278" s="124"/>
      <c r="AE1278" s="238"/>
      <c r="AF1278" s="239"/>
      <c r="AG1278" s="239"/>
      <c r="AH1278" s="124"/>
      <c r="AI1278" s="74"/>
      <c r="AJ1278" s="240"/>
      <c r="AL1278" s="124"/>
      <c r="AM1278" s="74"/>
      <c r="AP1278" s="125"/>
      <c r="AQ1278" s="241"/>
      <c r="AR1278" s="125"/>
      <c r="AS1278" s="125"/>
      <c r="AT1278" s="238"/>
      <c r="AU1278" s="125"/>
      <c r="AV1278" s="125"/>
      <c r="AW1278" s="125"/>
      <c r="AX1278" s="238"/>
      <c r="AY1278" s="125"/>
      <c r="AZ1278" s="125"/>
      <c r="BA1278" s="125"/>
    </row>
    <row r="1279" spans="2:53" s="123" customFormat="1">
      <c r="B1279" s="125"/>
      <c r="D1279" s="125"/>
      <c r="I1279" s="125"/>
      <c r="Z1279" s="124"/>
      <c r="AA1279" s="74"/>
      <c r="AB1279" s="240"/>
      <c r="AD1279" s="124"/>
      <c r="AE1279" s="238"/>
      <c r="AF1279" s="239"/>
      <c r="AG1279" s="239"/>
      <c r="AH1279" s="124"/>
      <c r="AI1279" s="74"/>
      <c r="AJ1279" s="240"/>
      <c r="AL1279" s="124"/>
      <c r="AM1279" s="74"/>
      <c r="AP1279" s="125"/>
      <c r="AQ1279" s="241"/>
      <c r="AR1279" s="125"/>
      <c r="AS1279" s="125"/>
      <c r="AT1279" s="238"/>
      <c r="AU1279" s="125"/>
      <c r="AV1279" s="125"/>
      <c r="AW1279" s="125"/>
      <c r="AX1279" s="238"/>
      <c r="AY1279" s="125"/>
      <c r="AZ1279" s="125"/>
      <c r="BA1279" s="125"/>
    </row>
    <row r="1280" spans="2:53" s="123" customFormat="1">
      <c r="B1280" s="125"/>
      <c r="D1280" s="125"/>
      <c r="I1280" s="125"/>
      <c r="Z1280" s="124"/>
      <c r="AA1280" s="74"/>
      <c r="AB1280" s="240"/>
      <c r="AD1280" s="124"/>
      <c r="AE1280" s="238"/>
      <c r="AF1280" s="239"/>
      <c r="AG1280" s="239"/>
      <c r="AH1280" s="124"/>
      <c r="AI1280" s="74"/>
      <c r="AJ1280" s="240"/>
      <c r="AL1280" s="124"/>
      <c r="AM1280" s="74"/>
      <c r="AP1280" s="125"/>
      <c r="AQ1280" s="241"/>
      <c r="AR1280" s="125"/>
      <c r="AS1280" s="125"/>
      <c r="AT1280" s="238"/>
      <c r="AU1280" s="125"/>
      <c r="AV1280" s="125"/>
      <c r="AW1280" s="125"/>
      <c r="AX1280" s="238"/>
      <c r="AY1280" s="125"/>
      <c r="AZ1280" s="125"/>
      <c r="BA1280" s="125"/>
    </row>
    <row r="1281" spans="2:53" s="123" customFormat="1">
      <c r="B1281" s="125"/>
      <c r="D1281" s="125"/>
      <c r="I1281" s="125"/>
      <c r="Z1281" s="124"/>
      <c r="AA1281" s="74"/>
      <c r="AB1281" s="240"/>
      <c r="AD1281" s="124"/>
      <c r="AE1281" s="238"/>
      <c r="AF1281" s="239"/>
      <c r="AG1281" s="239"/>
      <c r="AH1281" s="124"/>
      <c r="AI1281" s="74"/>
      <c r="AJ1281" s="240"/>
      <c r="AL1281" s="124"/>
      <c r="AM1281" s="74"/>
      <c r="AP1281" s="125"/>
      <c r="AQ1281" s="241"/>
      <c r="AR1281" s="125"/>
      <c r="AS1281" s="125"/>
      <c r="AT1281" s="238"/>
      <c r="AU1281" s="125"/>
      <c r="AV1281" s="125"/>
      <c r="AW1281" s="125"/>
      <c r="AX1281" s="238"/>
      <c r="AY1281" s="125"/>
      <c r="AZ1281" s="125"/>
      <c r="BA1281" s="125"/>
    </row>
    <row r="1282" spans="2:53" s="123" customFormat="1">
      <c r="B1282" s="125"/>
      <c r="D1282" s="125"/>
      <c r="I1282" s="125"/>
      <c r="Z1282" s="124"/>
      <c r="AA1282" s="74"/>
      <c r="AB1282" s="240"/>
      <c r="AD1282" s="124"/>
      <c r="AE1282" s="238"/>
      <c r="AF1282" s="239"/>
      <c r="AG1282" s="239"/>
      <c r="AH1282" s="124"/>
      <c r="AI1282" s="74"/>
      <c r="AJ1282" s="240"/>
      <c r="AL1282" s="124"/>
      <c r="AM1282" s="74"/>
      <c r="AP1282" s="125"/>
      <c r="AQ1282" s="241"/>
      <c r="AR1282" s="125"/>
      <c r="AS1282" s="125"/>
      <c r="AT1282" s="238"/>
      <c r="AU1282" s="125"/>
      <c r="AV1282" s="125"/>
      <c r="AW1282" s="125"/>
      <c r="AX1282" s="238"/>
      <c r="AY1282" s="125"/>
      <c r="AZ1282" s="125"/>
      <c r="BA1282" s="125"/>
    </row>
    <row r="1283" spans="2:53" s="123" customFormat="1">
      <c r="B1283" s="125"/>
      <c r="D1283" s="125"/>
      <c r="I1283" s="125"/>
      <c r="Z1283" s="124"/>
      <c r="AA1283" s="74"/>
      <c r="AB1283" s="240"/>
      <c r="AD1283" s="124"/>
      <c r="AE1283" s="238"/>
      <c r="AF1283" s="239"/>
      <c r="AG1283" s="239"/>
      <c r="AH1283" s="124"/>
      <c r="AI1283" s="74"/>
      <c r="AJ1283" s="240"/>
      <c r="AL1283" s="124"/>
      <c r="AM1283" s="74"/>
      <c r="AP1283" s="125"/>
      <c r="AQ1283" s="241"/>
      <c r="AR1283" s="125"/>
      <c r="AS1283" s="125"/>
      <c r="AT1283" s="238"/>
      <c r="AU1283" s="125"/>
      <c r="AV1283" s="125"/>
      <c r="AW1283" s="125"/>
      <c r="AX1283" s="238"/>
      <c r="AY1283" s="125"/>
      <c r="AZ1283" s="125"/>
      <c r="BA1283" s="125"/>
    </row>
    <row r="1284" spans="2:53" s="123" customFormat="1">
      <c r="B1284" s="125"/>
      <c r="D1284" s="125"/>
      <c r="I1284" s="125"/>
      <c r="Z1284" s="124"/>
      <c r="AA1284" s="74"/>
      <c r="AB1284" s="240"/>
      <c r="AD1284" s="124"/>
      <c r="AE1284" s="238"/>
      <c r="AF1284" s="239"/>
      <c r="AG1284" s="239"/>
      <c r="AH1284" s="124"/>
      <c r="AI1284" s="74"/>
      <c r="AJ1284" s="240"/>
      <c r="AL1284" s="124"/>
      <c r="AM1284" s="74"/>
      <c r="AP1284" s="125"/>
      <c r="AQ1284" s="241"/>
      <c r="AR1284" s="125"/>
      <c r="AS1284" s="125"/>
      <c r="AT1284" s="238"/>
      <c r="AU1284" s="125"/>
      <c r="AV1284" s="125"/>
      <c r="AW1284" s="125"/>
      <c r="AX1284" s="238"/>
      <c r="AY1284" s="125"/>
      <c r="AZ1284" s="125"/>
      <c r="BA1284" s="125"/>
    </row>
    <row r="1285" spans="2:53" s="123" customFormat="1">
      <c r="B1285" s="125"/>
      <c r="D1285" s="125"/>
      <c r="I1285" s="125"/>
      <c r="Z1285" s="124"/>
      <c r="AA1285" s="74"/>
      <c r="AB1285" s="240"/>
      <c r="AD1285" s="124"/>
      <c r="AE1285" s="238"/>
      <c r="AF1285" s="239"/>
      <c r="AG1285" s="239"/>
      <c r="AH1285" s="124"/>
      <c r="AI1285" s="74"/>
      <c r="AJ1285" s="240"/>
      <c r="AL1285" s="124"/>
      <c r="AM1285" s="74"/>
      <c r="AP1285" s="125"/>
      <c r="AQ1285" s="241"/>
      <c r="AR1285" s="125"/>
      <c r="AS1285" s="125"/>
      <c r="AT1285" s="238"/>
      <c r="AU1285" s="125"/>
      <c r="AV1285" s="125"/>
      <c r="AW1285" s="125"/>
      <c r="AX1285" s="238"/>
      <c r="AY1285" s="125"/>
      <c r="AZ1285" s="125"/>
      <c r="BA1285" s="125"/>
    </row>
    <row r="1286" spans="2:53" s="123" customFormat="1">
      <c r="B1286" s="125"/>
      <c r="D1286" s="125"/>
      <c r="I1286" s="125"/>
      <c r="Z1286" s="124"/>
      <c r="AA1286" s="74"/>
      <c r="AB1286" s="240"/>
      <c r="AD1286" s="124"/>
      <c r="AE1286" s="238"/>
      <c r="AF1286" s="239"/>
      <c r="AG1286" s="239"/>
      <c r="AH1286" s="124"/>
      <c r="AI1286" s="74"/>
      <c r="AJ1286" s="240"/>
      <c r="AL1286" s="124"/>
      <c r="AM1286" s="74"/>
      <c r="AP1286" s="125"/>
      <c r="AQ1286" s="241"/>
      <c r="AR1286" s="125"/>
      <c r="AS1286" s="125"/>
      <c r="AT1286" s="238"/>
      <c r="AU1286" s="125"/>
      <c r="AV1286" s="125"/>
      <c r="AW1286" s="125"/>
      <c r="AX1286" s="238"/>
      <c r="AY1286" s="125"/>
      <c r="AZ1286" s="125"/>
      <c r="BA1286" s="125"/>
    </row>
    <row r="1287" spans="2:53" s="123" customFormat="1">
      <c r="B1287" s="125"/>
      <c r="D1287" s="125"/>
      <c r="I1287" s="125"/>
      <c r="Z1287" s="124"/>
      <c r="AA1287" s="74"/>
      <c r="AB1287" s="240"/>
      <c r="AD1287" s="124"/>
      <c r="AE1287" s="238"/>
      <c r="AF1287" s="239"/>
      <c r="AG1287" s="239"/>
      <c r="AH1287" s="124"/>
      <c r="AI1287" s="74"/>
      <c r="AJ1287" s="240"/>
      <c r="AL1287" s="124"/>
      <c r="AM1287" s="74"/>
      <c r="AP1287" s="125"/>
      <c r="AQ1287" s="241"/>
      <c r="AR1287" s="125"/>
      <c r="AS1287" s="125"/>
      <c r="AT1287" s="238"/>
      <c r="AU1287" s="125"/>
      <c r="AV1287" s="125"/>
      <c r="AW1287" s="125"/>
      <c r="AX1287" s="238"/>
      <c r="AY1287" s="125"/>
      <c r="AZ1287" s="125"/>
      <c r="BA1287" s="125"/>
    </row>
    <row r="1288" spans="2:53" s="123" customFormat="1">
      <c r="B1288" s="125"/>
      <c r="D1288" s="125"/>
      <c r="I1288" s="125"/>
      <c r="Z1288" s="124"/>
      <c r="AA1288" s="74"/>
      <c r="AB1288" s="240"/>
      <c r="AD1288" s="124"/>
      <c r="AE1288" s="238"/>
      <c r="AF1288" s="239"/>
      <c r="AG1288" s="239"/>
      <c r="AH1288" s="124"/>
      <c r="AI1288" s="74"/>
      <c r="AJ1288" s="240"/>
      <c r="AL1288" s="124"/>
      <c r="AM1288" s="74"/>
      <c r="AP1288" s="125"/>
      <c r="AQ1288" s="241"/>
      <c r="AR1288" s="125"/>
      <c r="AS1288" s="125"/>
      <c r="AT1288" s="238"/>
      <c r="AU1288" s="125"/>
      <c r="AV1288" s="125"/>
      <c r="AW1288" s="125"/>
      <c r="AX1288" s="238"/>
      <c r="AY1288" s="125"/>
      <c r="AZ1288" s="125"/>
      <c r="BA1288" s="125"/>
    </row>
    <row r="1289" spans="2:53" s="123" customFormat="1">
      <c r="B1289" s="125"/>
      <c r="D1289" s="125"/>
      <c r="I1289" s="125"/>
      <c r="Z1289" s="124"/>
      <c r="AA1289" s="74"/>
      <c r="AB1289" s="240"/>
      <c r="AD1289" s="124"/>
      <c r="AE1289" s="238"/>
      <c r="AF1289" s="239"/>
      <c r="AG1289" s="239"/>
      <c r="AH1289" s="124"/>
      <c r="AI1289" s="74"/>
      <c r="AJ1289" s="240"/>
      <c r="AL1289" s="124"/>
      <c r="AM1289" s="74"/>
      <c r="AP1289" s="125"/>
      <c r="AQ1289" s="241"/>
      <c r="AR1289" s="125"/>
      <c r="AS1289" s="125"/>
      <c r="AT1289" s="238"/>
      <c r="AU1289" s="125"/>
      <c r="AV1289" s="125"/>
      <c r="AW1289" s="125"/>
      <c r="AX1289" s="238"/>
      <c r="AY1289" s="125"/>
      <c r="AZ1289" s="125"/>
      <c r="BA1289" s="125"/>
    </row>
    <row r="1290" spans="2:53" s="123" customFormat="1">
      <c r="B1290" s="125"/>
      <c r="D1290" s="125"/>
      <c r="I1290" s="125"/>
      <c r="Z1290" s="124"/>
      <c r="AA1290" s="74"/>
      <c r="AB1290" s="240"/>
      <c r="AD1290" s="124"/>
      <c r="AE1290" s="238"/>
      <c r="AF1290" s="239"/>
      <c r="AG1290" s="239"/>
      <c r="AH1290" s="124"/>
      <c r="AI1290" s="74"/>
      <c r="AJ1290" s="240"/>
      <c r="AL1290" s="124"/>
      <c r="AM1290" s="74"/>
      <c r="AP1290" s="125"/>
      <c r="AQ1290" s="241"/>
      <c r="AR1290" s="125"/>
      <c r="AS1290" s="125"/>
      <c r="AT1290" s="238"/>
      <c r="AU1290" s="125"/>
      <c r="AV1290" s="125"/>
      <c r="AW1290" s="125"/>
      <c r="AX1290" s="238"/>
      <c r="AY1290" s="125"/>
      <c r="AZ1290" s="125"/>
      <c r="BA1290" s="125"/>
    </row>
    <row r="1291" spans="2:53" s="123" customFormat="1">
      <c r="B1291" s="125"/>
      <c r="D1291" s="125"/>
      <c r="I1291" s="125"/>
      <c r="Z1291" s="124"/>
      <c r="AA1291" s="74"/>
      <c r="AB1291" s="240"/>
      <c r="AD1291" s="124"/>
      <c r="AE1291" s="238"/>
      <c r="AF1291" s="239"/>
      <c r="AG1291" s="239"/>
      <c r="AH1291" s="124"/>
      <c r="AI1291" s="74"/>
      <c r="AJ1291" s="240"/>
      <c r="AL1291" s="124"/>
      <c r="AM1291" s="74"/>
      <c r="AP1291" s="125"/>
      <c r="AQ1291" s="241"/>
      <c r="AR1291" s="125"/>
      <c r="AS1291" s="125"/>
      <c r="AT1291" s="238"/>
      <c r="AU1291" s="125"/>
      <c r="AV1291" s="125"/>
      <c r="AW1291" s="125"/>
      <c r="AX1291" s="238"/>
      <c r="AY1291" s="125"/>
      <c r="AZ1291" s="125"/>
      <c r="BA1291" s="125"/>
    </row>
    <row r="1292" spans="2:53" s="123" customFormat="1">
      <c r="B1292" s="125"/>
      <c r="D1292" s="125"/>
      <c r="I1292" s="125"/>
      <c r="Z1292" s="124"/>
      <c r="AA1292" s="74"/>
      <c r="AB1292" s="240"/>
      <c r="AD1292" s="124"/>
      <c r="AE1292" s="238"/>
      <c r="AF1292" s="239"/>
      <c r="AG1292" s="239"/>
      <c r="AH1292" s="124"/>
      <c r="AI1292" s="74"/>
      <c r="AJ1292" s="240"/>
      <c r="AL1292" s="124"/>
      <c r="AM1292" s="74"/>
      <c r="AP1292" s="125"/>
      <c r="AQ1292" s="241"/>
      <c r="AR1292" s="125"/>
      <c r="AS1292" s="125"/>
      <c r="AT1292" s="238"/>
      <c r="AU1292" s="125"/>
      <c r="AV1292" s="125"/>
      <c r="AW1292" s="125"/>
      <c r="AX1292" s="238"/>
      <c r="AY1292" s="125"/>
      <c r="AZ1292" s="125"/>
      <c r="BA1292" s="125"/>
    </row>
    <row r="1293" spans="2:53" s="123" customFormat="1">
      <c r="B1293" s="125"/>
      <c r="D1293" s="125"/>
      <c r="I1293" s="125"/>
      <c r="Z1293" s="124"/>
      <c r="AA1293" s="74"/>
      <c r="AB1293" s="240"/>
      <c r="AD1293" s="124"/>
      <c r="AE1293" s="238"/>
      <c r="AF1293" s="239"/>
      <c r="AG1293" s="239"/>
      <c r="AH1293" s="124"/>
      <c r="AI1293" s="74"/>
      <c r="AJ1293" s="240"/>
      <c r="AL1293" s="124"/>
      <c r="AM1293" s="74"/>
      <c r="AP1293" s="125"/>
      <c r="AQ1293" s="241"/>
      <c r="AR1293" s="125"/>
      <c r="AS1293" s="125"/>
      <c r="AT1293" s="238"/>
      <c r="AU1293" s="125"/>
      <c r="AV1293" s="125"/>
      <c r="AW1293" s="125"/>
      <c r="AX1293" s="238"/>
      <c r="AY1293" s="125"/>
      <c r="AZ1293" s="125"/>
      <c r="BA1293" s="125"/>
    </row>
    <row r="1294" spans="2:53" s="123" customFormat="1">
      <c r="B1294" s="125"/>
      <c r="D1294" s="125"/>
      <c r="I1294" s="125"/>
      <c r="Z1294" s="124"/>
      <c r="AA1294" s="74"/>
      <c r="AB1294" s="240"/>
      <c r="AD1294" s="124"/>
      <c r="AE1294" s="238"/>
      <c r="AF1294" s="239"/>
      <c r="AG1294" s="239"/>
      <c r="AH1294" s="124"/>
      <c r="AI1294" s="74"/>
      <c r="AJ1294" s="240"/>
      <c r="AL1294" s="124"/>
      <c r="AM1294" s="74"/>
      <c r="AP1294" s="125"/>
      <c r="AQ1294" s="241"/>
      <c r="AR1294" s="125"/>
      <c r="AS1294" s="125"/>
      <c r="AT1294" s="238"/>
      <c r="AU1294" s="125"/>
      <c r="AV1294" s="125"/>
      <c r="AW1294" s="125"/>
      <c r="AX1294" s="238"/>
      <c r="AY1294" s="125"/>
      <c r="AZ1294" s="125"/>
      <c r="BA1294" s="125"/>
    </row>
    <row r="1295" spans="2:53" s="123" customFormat="1">
      <c r="B1295" s="125"/>
      <c r="D1295" s="125"/>
      <c r="I1295" s="125"/>
      <c r="Z1295" s="124"/>
      <c r="AA1295" s="74"/>
      <c r="AB1295" s="240"/>
      <c r="AD1295" s="124"/>
      <c r="AE1295" s="238"/>
      <c r="AF1295" s="239"/>
      <c r="AG1295" s="239"/>
      <c r="AH1295" s="124"/>
      <c r="AI1295" s="74"/>
      <c r="AJ1295" s="240"/>
      <c r="AL1295" s="124"/>
      <c r="AM1295" s="74"/>
      <c r="AP1295" s="125"/>
      <c r="AQ1295" s="241"/>
      <c r="AR1295" s="125"/>
      <c r="AS1295" s="125"/>
      <c r="AT1295" s="238"/>
      <c r="AU1295" s="125"/>
      <c r="AV1295" s="125"/>
      <c r="AW1295" s="125"/>
      <c r="AX1295" s="238"/>
      <c r="AY1295" s="125"/>
      <c r="AZ1295" s="125"/>
      <c r="BA1295" s="125"/>
    </row>
    <row r="1296" spans="2:53" s="123" customFormat="1">
      <c r="B1296" s="125"/>
      <c r="D1296" s="125"/>
      <c r="I1296" s="125"/>
      <c r="Z1296" s="124"/>
      <c r="AA1296" s="74"/>
      <c r="AB1296" s="240"/>
      <c r="AD1296" s="124"/>
      <c r="AE1296" s="238"/>
      <c r="AF1296" s="239"/>
      <c r="AG1296" s="239"/>
      <c r="AH1296" s="124"/>
      <c r="AI1296" s="74"/>
      <c r="AJ1296" s="240"/>
      <c r="AL1296" s="124"/>
      <c r="AM1296" s="74"/>
      <c r="AP1296" s="125"/>
      <c r="AQ1296" s="241"/>
      <c r="AR1296" s="125"/>
      <c r="AS1296" s="125"/>
      <c r="AT1296" s="238"/>
      <c r="AU1296" s="125"/>
      <c r="AV1296" s="125"/>
      <c r="AW1296" s="125"/>
      <c r="AX1296" s="238"/>
      <c r="AY1296" s="125"/>
      <c r="AZ1296" s="125"/>
      <c r="BA1296" s="125"/>
    </row>
    <row r="1297" spans="2:53" s="123" customFormat="1">
      <c r="B1297" s="125"/>
      <c r="D1297" s="125"/>
      <c r="I1297" s="125"/>
      <c r="Z1297" s="124"/>
      <c r="AA1297" s="74"/>
      <c r="AB1297" s="240"/>
      <c r="AD1297" s="124"/>
      <c r="AE1297" s="238"/>
      <c r="AF1297" s="239"/>
      <c r="AG1297" s="239"/>
      <c r="AH1297" s="124"/>
      <c r="AI1297" s="74"/>
      <c r="AJ1297" s="240"/>
      <c r="AL1297" s="124"/>
      <c r="AM1297" s="74"/>
      <c r="AP1297" s="125"/>
      <c r="AQ1297" s="241"/>
      <c r="AR1297" s="125"/>
      <c r="AS1297" s="125"/>
      <c r="AT1297" s="238"/>
      <c r="AU1297" s="125"/>
      <c r="AV1297" s="125"/>
      <c r="AW1297" s="125"/>
      <c r="AX1297" s="238"/>
      <c r="AY1297" s="125"/>
      <c r="AZ1297" s="125"/>
      <c r="BA1297" s="125"/>
    </row>
    <row r="1298" spans="2:53" s="123" customFormat="1">
      <c r="B1298" s="125"/>
      <c r="D1298" s="125"/>
      <c r="I1298" s="125"/>
      <c r="Z1298" s="124"/>
      <c r="AA1298" s="74"/>
      <c r="AB1298" s="240"/>
      <c r="AD1298" s="124"/>
      <c r="AE1298" s="238"/>
      <c r="AF1298" s="239"/>
      <c r="AG1298" s="239"/>
      <c r="AH1298" s="124"/>
      <c r="AI1298" s="74"/>
      <c r="AJ1298" s="240"/>
      <c r="AL1298" s="124"/>
      <c r="AM1298" s="74"/>
      <c r="AP1298" s="125"/>
      <c r="AQ1298" s="241"/>
      <c r="AR1298" s="125"/>
      <c r="AS1298" s="125"/>
      <c r="AT1298" s="238"/>
      <c r="AU1298" s="125"/>
      <c r="AV1298" s="125"/>
      <c r="AW1298" s="125"/>
      <c r="AX1298" s="238"/>
      <c r="AY1298" s="125"/>
      <c r="AZ1298" s="125"/>
      <c r="BA1298" s="125"/>
    </row>
    <row r="1299" spans="2:53" s="123" customFormat="1">
      <c r="B1299" s="125"/>
      <c r="D1299" s="125"/>
      <c r="I1299" s="125"/>
      <c r="Z1299" s="124"/>
      <c r="AA1299" s="74"/>
      <c r="AB1299" s="240"/>
      <c r="AD1299" s="124"/>
      <c r="AE1299" s="238"/>
      <c r="AF1299" s="239"/>
      <c r="AG1299" s="239"/>
      <c r="AH1299" s="124"/>
      <c r="AI1299" s="74"/>
      <c r="AJ1299" s="240"/>
      <c r="AL1299" s="124"/>
      <c r="AM1299" s="74"/>
      <c r="AP1299" s="125"/>
      <c r="AQ1299" s="241"/>
      <c r="AR1299" s="125"/>
      <c r="AS1299" s="125"/>
      <c r="AT1299" s="238"/>
      <c r="AU1299" s="125"/>
      <c r="AV1299" s="125"/>
      <c r="AW1299" s="125"/>
      <c r="AX1299" s="238"/>
      <c r="AY1299" s="125"/>
      <c r="AZ1299" s="125"/>
      <c r="BA1299" s="125"/>
    </row>
    <row r="1300" spans="2:53" s="123" customFormat="1">
      <c r="B1300" s="125"/>
      <c r="D1300" s="125"/>
      <c r="I1300" s="125"/>
      <c r="Z1300" s="124"/>
      <c r="AA1300" s="74"/>
      <c r="AB1300" s="240"/>
      <c r="AD1300" s="124"/>
      <c r="AE1300" s="238"/>
      <c r="AF1300" s="239"/>
      <c r="AG1300" s="239"/>
      <c r="AH1300" s="124"/>
      <c r="AI1300" s="74"/>
      <c r="AJ1300" s="240"/>
      <c r="AL1300" s="124"/>
      <c r="AM1300" s="74"/>
      <c r="AP1300" s="125"/>
      <c r="AQ1300" s="241"/>
      <c r="AR1300" s="125"/>
      <c r="AS1300" s="125"/>
      <c r="AT1300" s="238"/>
      <c r="AU1300" s="125"/>
      <c r="AV1300" s="125"/>
      <c r="AW1300" s="125"/>
      <c r="AX1300" s="238"/>
      <c r="AY1300" s="125"/>
      <c r="AZ1300" s="125"/>
      <c r="BA1300" s="125"/>
    </row>
    <row r="1301" spans="2:53" s="123" customFormat="1">
      <c r="B1301" s="125"/>
      <c r="D1301" s="125"/>
      <c r="I1301" s="125"/>
      <c r="Z1301" s="124"/>
      <c r="AA1301" s="74"/>
      <c r="AB1301" s="240"/>
      <c r="AD1301" s="124"/>
      <c r="AE1301" s="238"/>
      <c r="AF1301" s="239"/>
      <c r="AG1301" s="239"/>
      <c r="AH1301" s="124"/>
      <c r="AI1301" s="74"/>
      <c r="AJ1301" s="240"/>
      <c r="AL1301" s="124"/>
      <c r="AM1301" s="74"/>
      <c r="AP1301" s="125"/>
      <c r="AQ1301" s="241"/>
      <c r="AR1301" s="125"/>
      <c r="AS1301" s="125"/>
      <c r="AT1301" s="238"/>
      <c r="AU1301" s="125"/>
      <c r="AV1301" s="125"/>
      <c r="AW1301" s="125"/>
      <c r="AX1301" s="238"/>
      <c r="AY1301" s="125"/>
      <c r="AZ1301" s="125"/>
      <c r="BA1301" s="125"/>
    </row>
    <row r="1302" spans="2:53" s="123" customFormat="1">
      <c r="B1302" s="125"/>
      <c r="D1302" s="125"/>
      <c r="I1302" s="125"/>
      <c r="Z1302" s="124"/>
      <c r="AA1302" s="74"/>
      <c r="AB1302" s="240"/>
      <c r="AD1302" s="124"/>
      <c r="AE1302" s="238"/>
      <c r="AF1302" s="239"/>
      <c r="AG1302" s="239"/>
      <c r="AH1302" s="124"/>
      <c r="AI1302" s="74"/>
      <c r="AJ1302" s="240"/>
      <c r="AL1302" s="124"/>
      <c r="AM1302" s="74"/>
      <c r="AP1302" s="125"/>
      <c r="AQ1302" s="241"/>
      <c r="AR1302" s="125"/>
      <c r="AS1302" s="125"/>
      <c r="AT1302" s="238"/>
      <c r="AU1302" s="125"/>
      <c r="AV1302" s="125"/>
      <c r="AW1302" s="125"/>
      <c r="AX1302" s="238"/>
      <c r="AY1302" s="125"/>
      <c r="AZ1302" s="125"/>
      <c r="BA1302" s="125"/>
    </row>
    <row r="1303" spans="2:53" s="123" customFormat="1">
      <c r="B1303" s="125"/>
      <c r="D1303" s="125"/>
      <c r="I1303" s="125"/>
      <c r="Z1303" s="124"/>
      <c r="AA1303" s="74"/>
      <c r="AB1303" s="240"/>
      <c r="AD1303" s="124"/>
      <c r="AE1303" s="238"/>
      <c r="AF1303" s="239"/>
      <c r="AG1303" s="239"/>
      <c r="AH1303" s="124"/>
      <c r="AI1303" s="74"/>
      <c r="AJ1303" s="240"/>
      <c r="AL1303" s="124"/>
      <c r="AM1303" s="74"/>
      <c r="AP1303" s="125"/>
      <c r="AQ1303" s="241"/>
      <c r="AR1303" s="125"/>
      <c r="AS1303" s="125"/>
      <c r="AT1303" s="238"/>
      <c r="AU1303" s="125"/>
      <c r="AV1303" s="125"/>
      <c r="AW1303" s="125"/>
      <c r="AX1303" s="238"/>
      <c r="AY1303" s="125"/>
      <c r="AZ1303" s="125"/>
      <c r="BA1303" s="125"/>
    </row>
    <row r="1304" spans="2:53" s="123" customFormat="1">
      <c r="B1304" s="125"/>
      <c r="D1304" s="125"/>
      <c r="I1304" s="125"/>
      <c r="Z1304" s="124"/>
      <c r="AA1304" s="74"/>
      <c r="AB1304" s="240"/>
      <c r="AD1304" s="124"/>
      <c r="AE1304" s="238"/>
      <c r="AF1304" s="239"/>
      <c r="AG1304" s="239"/>
      <c r="AH1304" s="124"/>
      <c r="AI1304" s="74"/>
      <c r="AJ1304" s="240"/>
      <c r="AL1304" s="124"/>
      <c r="AM1304" s="74"/>
      <c r="AP1304" s="125"/>
      <c r="AQ1304" s="241"/>
      <c r="AR1304" s="125"/>
      <c r="AS1304" s="125"/>
      <c r="AT1304" s="238"/>
      <c r="AU1304" s="125"/>
      <c r="AV1304" s="125"/>
      <c r="AW1304" s="125"/>
      <c r="AX1304" s="238"/>
      <c r="AY1304" s="125"/>
      <c r="AZ1304" s="125"/>
      <c r="BA1304" s="125"/>
    </row>
    <row r="1305" spans="2:53" s="123" customFormat="1">
      <c r="B1305" s="125"/>
      <c r="D1305" s="125"/>
      <c r="I1305" s="125"/>
      <c r="Z1305" s="124"/>
      <c r="AA1305" s="74"/>
      <c r="AB1305" s="240"/>
      <c r="AD1305" s="124"/>
      <c r="AE1305" s="238"/>
      <c r="AF1305" s="239"/>
      <c r="AG1305" s="239"/>
      <c r="AH1305" s="124"/>
      <c r="AI1305" s="74"/>
      <c r="AJ1305" s="240"/>
      <c r="AL1305" s="124"/>
      <c r="AM1305" s="74"/>
      <c r="AP1305" s="125"/>
      <c r="AQ1305" s="241"/>
      <c r="AR1305" s="125"/>
      <c r="AS1305" s="125"/>
      <c r="AT1305" s="238"/>
      <c r="AU1305" s="125"/>
      <c r="AV1305" s="125"/>
      <c r="AW1305" s="125"/>
      <c r="AX1305" s="238"/>
      <c r="AY1305" s="125"/>
      <c r="AZ1305" s="125"/>
      <c r="BA1305" s="125"/>
    </row>
    <row r="1306" spans="2:53" s="123" customFormat="1">
      <c r="B1306" s="125"/>
      <c r="D1306" s="125"/>
      <c r="I1306" s="125"/>
      <c r="Z1306" s="124"/>
      <c r="AA1306" s="74"/>
      <c r="AB1306" s="240"/>
      <c r="AD1306" s="124"/>
      <c r="AE1306" s="238"/>
      <c r="AF1306" s="239"/>
      <c r="AG1306" s="239"/>
      <c r="AH1306" s="124"/>
      <c r="AI1306" s="74"/>
      <c r="AJ1306" s="240"/>
      <c r="AL1306" s="124"/>
      <c r="AM1306" s="74"/>
      <c r="AP1306" s="125"/>
      <c r="AQ1306" s="241"/>
      <c r="AR1306" s="125"/>
      <c r="AS1306" s="125"/>
      <c r="AT1306" s="238"/>
      <c r="AU1306" s="125"/>
      <c r="AV1306" s="125"/>
      <c r="AW1306" s="125"/>
      <c r="AX1306" s="238"/>
      <c r="AY1306" s="125"/>
      <c r="AZ1306" s="125"/>
      <c r="BA1306" s="125"/>
    </row>
    <row r="1307" spans="2:53" s="123" customFormat="1">
      <c r="B1307" s="125"/>
      <c r="D1307" s="125"/>
      <c r="I1307" s="125"/>
      <c r="Z1307" s="124"/>
      <c r="AA1307" s="74"/>
      <c r="AB1307" s="240"/>
      <c r="AD1307" s="124"/>
      <c r="AE1307" s="238"/>
      <c r="AF1307" s="239"/>
      <c r="AG1307" s="239"/>
      <c r="AH1307" s="124"/>
      <c r="AI1307" s="74"/>
      <c r="AJ1307" s="240"/>
      <c r="AL1307" s="124"/>
      <c r="AM1307" s="74"/>
      <c r="AP1307" s="125"/>
      <c r="AQ1307" s="241"/>
      <c r="AR1307" s="125"/>
      <c r="AS1307" s="125"/>
      <c r="AT1307" s="238"/>
      <c r="AU1307" s="125"/>
      <c r="AV1307" s="125"/>
      <c r="AW1307" s="125"/>
      <c r="AX1307" s="238"/>
      <c r="AY1307" s="125"/>
      <c r="AZ1307" s="125"/>
      <c r="BA1307" s="125"/>
    </row>
    <row r="1308" spans="2:53" s="123" customFormat="1">
      <c r="B1308" s="125"/>
      <c r="D1308" s="125"/>
      <c r="I1308" s="125"/>
      <c r="Z1308" s="124"/>
      <c r="AA1308" s="74"/>
      <c r="AB1308" s="240"/>
      <c r="AD1308" s="124"/>
      <c r="AE1308" s="238"/>
      <c r="AF1308" s="239"/>
      <c r="AG1308" s="239"/>
      <c r="AH1308" s="124"/>
      <c r="AI1308" s="74"/>
      <c r="AJ1308" s="240"/>
      <c r="AL1308" s="124"/>
      <c r="AM1308" s="74"/>
      <c r="AP1308" s="125"/>
      <c r="AQ1308" s="241"/>
      <c r="AR1308" s="125"/>
      <c r="AS1308" s="125"/>
      <c r="AT1308" s="238"/>
      <c r="AU1308" s="125"/>
      <c r="AV1308" s="125"/>
      <c r="AW1308" s="125"/>
      <c r="AX1308" s="238"/>
      <c r="AY1308" s="125"/>
      <c r="AZ1308" s="125"/>
      <c r="BA1308" s="125"/>
    </row>
    <row r="1309" spans="2:53" s="123" customFormat="1">
      <c r="B1309" s="125"/>
      <c r="D1309" s="125"/>
      <c r="I1309" s="125"/>
      <c r="Z1309" s="124"/>
      <c r="AA1309" s="74"/>
      <c r="AB1309" s="240"/>
      <c r="AD1309" s="124"/>
      <c r="AE1309" s="238"/>
      <c r="AF1309" s="239"/>
      <c r="AG1309" s="239"/>
      <c r="AH1309" s="124"/>
      <c r="AI1309" s="74"/>
      <c r="AJ1309" s="240"/>
      <c r="AL1309" s="124"/>
      <c r="AM1309" s="74"/>
      <c r="AP1309" s="125"/>
      <c r="AQ1309" s="241"/>
      <c r="AR1309" s="125"/>
      <c r="AS1309" s="125"/>
      <c r="AT1309" s="238"/>
      <c r="AU1309" s="125"/>
      <c r="AV1309" s="125"/>
      <c r="AW1309" s="125"/>
      <c r="AX1309" s="238"/>
      <c r="AY1309" s="125"/>
      <c r="AZ1309" s="125"/>
      <c r="BA1309" s="125"/>
    </row>
    <row r="1310" spans="2:53" s="123" customFormat="1">
      <c r="B1310" s="125"/>
      <c r="D1310" s="125"/>
      <c r="I1310" s="125"/>
      <c r="Z1310" s="124"/>
      <c r="AA1310" s="74"/>
      <c r="AB1310" s="240"/>
      <c r="AD1310" s="124"/>
      <c r="AE1310" s="238"/>
      <c r="AF1310" s="239"/>
      <c r="AG1310" s="239"/>
      <c r="AH1310" s="124"/>
      <c r="AI1310" s="74"/>
      <c r="AJ1310" s="240"/>
      <c r="AL1310" s="124"/>
      <c r="AM1310" s="74"/>
      <c r="AP1310" s="125"/>
      <c r="AQ1310" s="241"/>
      <c r="AR1310" s="125"/>
      <c r="AS1310" s="125"/>
      <c r="AT1310" s="238"/>
      <c r="AU1310" s="125"/>
      <c r="AV1310" s="125"/>
      <c r="AW1310" s="125"/>
      <c r="AX1310" s="238"/>
      <c r="AY1310" s="125"/>
      <c r="AZ1310" s="125"/>
      <c r="BA1310" s="125"/>
    </row>
    <row r="1311" spans="2:53" s="123" customFormat="1">
      <c r="B1311" s="125"/>
      <c r="D1311" s="125"/>
      <c r="I1311" s="125"/>
      <c r="Z1311" s="124"/>
      <c r="AA1311" s="74"/>
      <c r="AB1311" s="240"/>
      <c r="AD1311" s="124"/>
      <c r="AE1311" s="238"/>
      <c r="AF1311" s="239"/>
      <c r="AG1311" s="239"/>
      <c r="AH1311" s="124"/>
      <c r="AI1311" s="74"/>
      <c r="AJ1311" s="240"/>
      <c r="AL1311" s="124"/>
      <c r="AM1311" s="74"/>
      <c r="AP1311" s="125"/>
      <c r="AQ1311" s="241"/>
      <c r="AR1311" s="125"/>
      <c r="AS1311" s="125"/>
      <c r="AT1311" s="238"/>
      <c r="AU1311" s="125"/>
      <c r="AV1311" s="125"/>
      <c r="AW1311" s="125"/>
      <c r="AX1311" s="238"/>
      <c r="AY1311" s="125"/>
      <c r="AZ1311" s="125"/>
      <c r="BA1311" s="125"/>
    </row>
    <row r="1312" spans="2:53" s="123" customFormat="1">
      <c r="B1312" s="125"/>
      <c r="D1312" s="125"/>
      <c r="I1312" s="125"/>
      <c r="Z1312" s="124"/>
      <c r="AA1312" s="74"/>
      <c r="AB1312" s="240"/>
      <c r="AD1312" s="124"/>
      <c r="AE1312" s="238"/>
      <c r="AF1312" s="239"/>
      <c r="AG1312" s="239"/>
      <c r="AH1312" s="124"/>
      <c r="AI1312" s="74"/>
      <c r="AJ1312" s="240"/>
      <c r="AL1312" s="124"/>
      <c r="AM1312" s="74"/>
      <c r="AP1312" s="125"/>
      <c r="AQ1312" s="241"/>
      <c r="AR1312" s="125"/>
      <c r="AS1312" s="125"/>
      <c r="AT1312" s="238"/>
      <c r="AU1312" s="125"/>
      <c r="AV1312" s="125"/>
      <c r="AW1312" s="125"/>
      <c r="AX1312" s="238"/>
      <c r="AY1312" s="125"/>
      <c r="AZ1312" s="125"/>
      <c r="BA1312" s="125"/>
    </row>
    <row r="1313" spans="2:53" s="123" customFormat="1">
      <c r="B1313" s="125"/>
      <c r="D1313" s="125"/>
      <c r="I1313" s="125"/>
      <c r="Z1313" s="124"/>
      <c r="AA1313" s="74"/>
      <c r="AB1313" s="240"/>
      <c r="AD1313" s="124"/>
      <c r="AE1313" s="238"/>
      <c r="AF1313" s="239"/>
      <c r="AG1313" s="239"/>
      <c r="AH1313" s="124"/>
      <c r="AI1313" s="74"/>
      <c r="AJ1313" s="240"/>
      <c r="AL1313" s="124"/>
      <c r="AM1313" s="74"/>
      <c r="AP1313" s="125"/>
      <c r="AQ1313" s="241"/>
      <c r="AR1313" s="125"/>
      <c r="AS1313" s="125"/>
      <c r="AT1313" s="238"/>
      <c r="AU1313" s="125"/>
      <c r="AV1313" s="125"/>
      <c r="AW1313" s="125"/>
      <c r="AX1313" s="238"/>
      <c r="AY1313" s="125"/>
      <c r="AZ1313" s="125"/>
      <c r="BA1313" s="125"/>
    </row>
    <row r="1314" spans="2:53" s="123" customFormat="1">
      <c r="B1314" s="125"/>
      <c r="D1314" s="125"/>
      <c r="I1314" s="125"/>
      <c r="Z1314" s="124"/>
      <c r="AA1314" s="74"/>
      <c r="AB1314" s="240"/>
      <c r="AD1314" s="124"/>
      <c r="AE1314" s="238"/>
      <c r="AF1314" s="239"/>
      <c r="AG1314" s="239"/>
      <c r="AH1314" s="124"/>
      <c r="AI1314" s="74"/>
      <c r="AJ1314" s="240"/>
      <c r="AL1314" s="124"/>
      <c r="AM1314" s="74"/>
      <c r="AP1314" s="125"/>
      <c r="AQ1314" s="241"/>
      <c r="AR1314" s="125"/>
      <c r="AS1314" s="125"/>
      <c r="AT1314" s="238"/>
      <c r="AU1314" s="125"/>
      <c r="AV1314" s="125"/>
      <c r="AW1314" s="125"/>
      <c r="AX1314" s="238"/>
      <c r="AY1314" s="125"/>
      <c r="AZ1314" s="125"/>
      <c r="BA1314" s="125"/>
    </row>
    <row r="1315" spans="2:53" s="123" customFormat="1">
      <c r="B1315" s="125"/>
      <c r="D1315" s="125"/>
      <c r="I1315" s="125"/>
      <c r="Z1315" s="124"/>
      <c r="AA1315" s="74"/>
      <c r="AB1315" s="240"/>
      <c r="AD1315" s="124"/>
      <c r="AE1315" s="238"/>
      <c r="AF1315" s="239"/>
      <c r="AG1315" s="239"/>
      <c r="AH1315" s="124"/>
      <c r="AI1315" s="74"/>
      <c r="AJ1315" s="240"/>
      <c r="AL1315" s="124"/>
      <c r="AM1315" s="74"/>
      <c r="AP1315" s="125"/>
      <c r="AQ1315" s="241"/>
      <c r="AR1315" s="125"/>
      <c r="AS1315" s="125"/>
      <c r="AT1315" s="238"/>
      <c r="AU1315" s="125"/>
      <c r="AV1315" s="125"/>
      <c r="AW1315" s="125"/>
      <c r="AX1315" s="238"/>
      <c r="AY1315" s="125"/>
      <c r="AZ1315" s="125"/>
      <c r="BA1315" s="125"/>
    </row>
    <row r="1316" spans="2:53" s="123" customFormat="1">
      <c r="B1316" s="125"/>
      <c r="D1316" s="125"/>
      <c r="I1316" s="125"/>
      <c r="Z1316" s="124"/>
      <c r="AA1316" s="74"/>
      <c r="AB1316" s="240"/>
      <c r="AD1316" s="124"/>
      <c r="AE1316" s="238"/>
      <c r="AF1316" s="239"/>
      <c r="AG1316" s="239"/>
      <c r="AH1316" s="124"/>
      <c r="AI1316" s="74"/>
      <c r="AJ1316" s="240"/>
      <c r="AL1316" s="124"/>
      <c r="AM1316" s="74"/>
      <c r="AP1316" s="125"/>
      <c r="AQ1316" s="241"/>
      <c r="AR1316" s="125"/>
      <c r="AS1316" s="125"/>
      <c r="AT1316" s="238"/>
      <c r="AU1316" s="125"/>
      <c r="AV1316" s="125"/>
      <c r="AW1316" s="125"/>
      <c r="AX1316" s="238"/>
      <c r="AY1316" s="125"/>
      <c r="AZ1316" s="125"/>
      <c r="BA1316" s="125"/>
    </row>
    <row r="1317" spans="2:53" s="123" customFormat="1">
      <c r="B1317" s="125"/>
      <c r="D1317" s="125"/>
      <c r="I1317" s="125"/>
      <c r="Z1317" s="124"/>
      <c r="AA1317" s="74"/>
      <c r="AB1317" s="240"/>
      <c r="AD1317" s="124"/>
      <c r="AE1317" s="238"/>
      <c r="AF1317" s="239"/>
      <c r="AG1317" s="239"/>
      <c r="AH1317" s="124"/>
      <c r="AI1317" s="74"/>
      <c r="AJ1317" s="240"/>
      <c r="AL1317" s="124"/>
      <c r="AM1317" s="74"/>
      <c r="AP1317" s="125"/>
      <c r="AQ1317" s="241"/>
      <c r="AR1317" s="125"/>
      <c r="AS1317" s="125"/>
      <c r="AT1317" s="238"/>
      <c r="AU1317" s="125"/>
      <c r="AV1317" s="125"/>
      <c r="AW1317" s="125"/>
      <c r="AX1317" s="238"/>
      <c r="AY1317" s="125"/>
      <c r="AZ1317" s="125"/>
      <c r="BA1317" s="125"/>
    </row>
    <row r="1318" spans="2:53" s="123" customFormat="1">
      <c r="B1318" s="125"/>
      <c r="D1318" s="125"/>
      <c r="I1318" s="125"/>
      <c r="Z1318" s="124"/>
      <c r="AA1318" s="74"/>
      <c r="AB1318" s="240"/>
      <c r="AD1318" s="124"/>
      <c r="AE1318" s="238"/>
      <c r="AF1318" s="239"/>
      <c r="AG1318" s="239"/>
      <c r="AH1318" s="124"/>
      <c r="AI1318" s="74"/>
      <c r="AJ1318" s="240"/>
      <c r="AL1318" s="124"/>
      <c r="AM1318" s="74"/>
      <c r="AP1318" s="125"/>
      <c r="AQ1318" s="241"/>
      <c r="AR1318" s="125"/>
      <c r="AS1318" s="125"/>
      <c r="AT1318" s="238"/>
      <c r="AU1318" s="125"/>
      <c r="AV1318" s="125"/>
      <c r="AW1318" s="125"/>
      <c r="AX1318" s="238"/>
      <c r="AY1318" s="125"/>
      <c r="AZ1318" s="125"/>
      <c r="BA1318" s="125"/>
    </row>
    <row r="1319" spans="2:53" s="123" customFormat="1">
      <c r="B1319" s="125"/>
      <c r="D1319" s="125"/>
      <c r="I1319" s="125"/>
      <c r="Z1319" s="124"/>
      <c r="AA1319" s="74"/>
      <c r="AB1319" s="240"/>
      <c r="AD1319" s="124"/>
      <c r="AE1319" s="238"/>
      <c r="AF1319" s="239"/>
      <c r="AG1319" s="239"/>
      <c r="AH1319" s="124"/>
      <c r="AI1319" s="74"/>
      <c r="AJ1319" s="240"/>
      <c r="AL1319" s="124"/>
      <c r="AM1319" s="74"/>
      <c r="AP1319" s="125"/>
      <c r="AQ1319" s="241"/>
      <c r="AR1319" s="125"/>
      <c r="AS1319" s="125"/>
      <c r="AT1319" s="238"/>
      <c r="AU1319" s="125"/>
      <c r="AV1319" s="125"/>
      <c r="AW1319" s="125"/>
      <c r="AX1319" s="238"/>
      <c r="AY1319" s="125"/>
      <c r="AZ1319" s="125"/>
      <c r="BA1319" s="125"/>
    </row>
    <row r="1320" spans="2:53" s="123" customFormat="1">
      <c r="B1320" s="125"/>
      <c r="D1320" s="125"/>
      <c r="I1320" s="125"/>
      <c r="Z1320" s="124"/>
      <c r="AA1320" s="74"/>
      <c r="AB1320" s="240"/>
      <c r="AD1320" s="124"/>
      <c r="AE1320" s="238"/>
      <c r="AF1320" s="239"/>
      <c r="AG1320" s="239"/>
      <c r="AH1320" s="124"/>
      <c r="AI1320" s="74"/>
      <c r="AJ1320" s="240"/>
      <c r="AL1320" s="124"/>
      <c r="AM1320" s="74"/>
      <c r="AP1320" s="125"/>
      <c r="AQ1320" s="241"/>
      <c r="AR1320" s="125"/>
      <c r="AS1320" s="125"/>
      <c r="AT1320" s="238"/>
      <c r="AU1320" s="125"/>
      <c r="AV1320" s="125"/>
      <c r="AW1320" s="125"/>
      <c r="AX1320" s="238"/>
      <c r="AY1320" s="125"/>
      <c r="AZ1320" s="125"/>
      <c r="BA1320" s="125"/>
    </row>
    <row r="1321" spans="2:53" s="123" customFormat="1">
      <c r="B1321" s="125"/>
      <c r="D1321" s="125"/>
      <c r="I1321" s="125"/>
      <c r="Z1321" s="124"/>
      <c r="AA1321" s="74"/>
      <c r="AB1321" s="240"/>
      <c r="AD1321" s="124"/>
      <c r="AE1321" s="238"/>
      <c r="AF1321" s="239"/>
      <c r="AG1321" s="239"/>
      <c r="AH1321" s="124"/>
      <c r="AI1321" s="74"/>
      <c r="AJ1321" s="240"/>
      <c r="AL1321" s="124"/>
      <c r="AM1321" s="74"/>
      <c r="AP1321" s="125"/>
      <c r="AQ1321" s="241"/>
      <c r="AR1321" s="125"/>
      <c r="AS1321" s="125"/>
      <c r="AT1321" s="238"/>
      <c r="AU1321" s="125"/>
      <c r="AV1321" s="125"/>
      <c r="AW1321" s="125"/>
      <c r="AX1321" s="238"/>
      <c r="AY1321" s="125"/>
      <c r="AZ1321" s="125"/>
      <c r="BA1321" s="125"/>
    </row>
    <row r="1322" spans="2:53" s="123" customFormat="1">
      <c r="B1322" s="125"/>
      <c r="D1322" s="125"/>
      <c r="I1322" s="125"/>
      <c r="Z1322" s="124"/>
      <c r="AA1322" s="74"/>
      <c r="AB1322" s="240"/>
      <c r="AD1322" s="124"/>
      <c r="AE1322" s="238"/>
      <c r="AF1322" s="239"/>
      <c r="AG1322" s="239"/>
      <c r="AH1322" s="124"/>
      <c r="AI1322" s="74"/>
      <c r="AJ1322" s="240"/>
      <c r="AL1322" s="124"/>
      <c r="AM1322" s="74"/>
      <c r="AP1322" s="125"/>
      <c r="AQ1322" s="241"/>
      <c r="AR1322" s="125"/>
      <c r="AS1322" s="125"/>
      <c r="AT1322" s="238"/>
      <c r="AU1322" s="125"/>
      <c r="AV1322" s="125"/>
      <c r="AW1322" s="125"/>
      <c r="AX1322" s="238"/>
      <c r="AY1322" s="125"/>
      <c r="AZ1322" s="125"/>
      <c r="BA1322" s="125"/>
    </row>
    <row r="1323" spans="2:53" s="123" customFormat="1">
      <c r="B1323" s="125"/>
      <c r="D1323" s="125"/>
      <c r="I1323" s="125"/>
      <c r="Z1323" s="124"/>
      <c r="AA1323" s="74"/>
      <c r="AB1323" s="240"/>
      <c r="AD1323" s="124"/>
      <c r="AE1323" s="238"/>
      <c r="AF1323" s="239"/>
      <c r="AG1323" s="239"/>
      <c r="AH1323" s="124"/>
      <c r="AI1323" s="74"/>
      <c r="AJ1323" s="240"/>
      <c r="AL1323" s="124"/>
      <c r="AM1323" s="74"/>
      <c r="AP1323" s="125"/>
      <c r="AQ1323" s="241"/>
      <c r="AR1323" s="125"/>
      <c r="AS1323" s="125"/>
      <c r="AT1323" s="238"/>
      <c r="AU1323" s="125"/>
      <c r="AV1323" s="125"/>
      <c r="AW1323" s="125"/>
      <c r="AX1323" s="238"/>
      <c r="AY1323" s="125"/>
      <c r="AZ1323" s="125"/>
      <c r="BA1323" s="125"/>
    </row>
    <row r="1324" spans="2:53" s="123" customFormat="1">
      <c r="B1324" s="125"/>
      <c r="D1324" s="125"/>
      <c r="I1324" s="125"/>
      <c r="Z1324" s="124"/>
      <c r="AA1324" s="74"/>
      <c r="AB1324" s="240"/>
      <c r="AD1324" s="124"/>
      <c r="AE1324" s="238"/>
      <c r="AF1324" s="239"/>
      <c r="AG1324" s="239"/>
      <c r="AH1324" s="124"/>
      <c r="AI1324" s="74"/>
      <c r="AJ1324" s="240"/>
      <c r="AL1324" s="124"/>
      <c r="AM1324" s="74"/>
      <c r="AP1324" s="125"/>
      <c r="AQ1324" s="241"/>
      <c r="AR1324" s="125"/>
      <c r="AS1324" s="125"/>
      <c r="AT1324" s="238"/>
      <c r="AU1324" s="125"/>
      <c r="AV1324" s="125"/>
      <c r="AW1324" s="125"/>
      <c r="AX1324" s="238"/>
      <c r="AY1324" s="125"/>
      <c r="AZ1324" s="125"/>
      <c r="BA1324" s="125"/>
    </row>
    <row r="1325" spans="2:53" s="123" customFormat="1">
      <c r="B1325" s="125"/>
      <c r="D1325" s="125"/>
      <c r="I1325" s="125"/>
      <c r="Z1325" s="124"/>
      <c r="AA1325" s="74"/>
      <c r="AB1325" s="240"/>
      <c r="AD1325" s="124"/>
      <c r="AE1325" s="238"/>
      <c r="AF1325" s="239"/>
      <c r="AG1325" s="239"/>
      <c r="AH1325" s="124"/>
      <c r="AI1325" s="74"/>
      <c r="AJ1325" s="240"/>
      <c r="AL1325" s="124"/>
      <c r="AM1325" s="74"/>
      <c r="AP1325" s="125"/>
      <c r="AQ1325" s="241"/>
      <c r="AR1325" s="125"/>
      <c r="AS1325" s="125"/>
      <c r="AT1325" s="238"/>
      <c r="AU1325" s="125"/>
      <c r="AV1325" s="125"/>
      <c r="AW1325" s="125"/>
      <c r="AX1325" s="238"/>
      <c r="AY1325" s="125"/>
      <c r="AZ1325" s="125"/>
      <c r="BA1325" s="125"/>
    </row>
    <row r="1326" spans="2:53" s="123" customFormat="1">
      <c r="B1326" s="125"/>
      <c r="D1326" s="125"/>
      <c r="I1326" s="125"/>
      <c r="Z1326" s="124"/>
      <c r="AA1326" s="74"/>
      <c r="AB1326" s="240"/>
      <c r="AD1326" s="124"/>
      <c r="AE1326" s="238"/>
      <c r="AF1326" s="239"/>
      <c r="AG1326" s="239"/>
      <c r="AH1326" s="124"/>
      <c r="AI1326" s="74"/>
      <c r="AJ1326" s="240"/>
      <c r="AL1326" s="124"/>
      <c r="AM1326" s="74"/>
      <c r="AP1326" s="125"/>
      <c r="AQ1326" s="241"/>
      <c r="AR1326" s="125"/>
      <c r="AS1326" s="125"/>
      <c r="AT1326" s="238"/>
      <c r="AU1326" s="125"/>
      <c r="AV1326" s="125"/>
      <c r="AW1326" s="125"/>
      <c r="AX1326" s="238"/>
      <c r="AY1326" s="125"/>
      <c r="AZ1326" s="125"/>
      <c r="BA1326" s="125"/>
    </row>
    <row r="1327" spans="2:53" s="123" customFormat="1">
      <c r="B1327" s="125"/>
      <c r="D1327" s="125"/>
      <c r="I1327" s="125"/>
      <c r="Z1327" s="124"/>
      <c r="AA1327" s="74"/>
      <c r="AB1327" s="240"/>
      <c r="AD1327" s="124"/>
      <c r="AE1327" s="238"/>
      <c r="AF1327" s="239"/>
      <c r="AG1327" s="239"/>
      <c r="AH1327" s="124"/>
      <c r="AI1327" s="74"/>
      <c r="AJ1327" s="240"/>
      <c r="AL1327" s="124"/>
      <c r="AM1327" s="74"/>
      <c r="AP1327" s="125"/>
      <c r="AQ1327" s="241"/>
      <c r="AR1327" s="125"/>
      <c r="AS1327" s="125"/>
      <c r="AT1327" s="238"/>
      <c r="AU1327" s="125"/>
      <c r="AV1327" s="125"/>
      <c r="AW1327" s="125"/>
      <c r="AX1327" s="238"/>
      <c r="AY1327" s="125"/>
      <c r="AZ1327" s="125"/>
      <c r="BA1327" s="125"/>
    </row>
    <row r="1328" spans="2:53" s="123" customFormat="1">
      <c r="B1328" s="125"/>
      <c r="D1328" s="125"/>
      <c r="I1328" s="125"/>
      <c r="Z1328" s="124"/>
      <c r="AA1328" s="74"/>
      <c r="AB1328" s="240"/>
      <c r="AD1328" s="124"/>
      <c r="AE1328" s="238"/>
      <c r="AF1328" s="239"/>
      <c r="AG1328" s="239"/>
      <c r="AH1328" s="124"/>
      <c r="AI1328" s="74"/>
      <c r="AJ1328" s="240"/>
      <c r="AL1328" s="124"/>
      <c r="AM1328" s="74"/>
      <c r="AP1328" s="125"/>
      <c r="AQ1328" s="241"/>
      <c r="AR1328" s="125"/>
      <c r="AS1328" s="125"/>
      <c r="AT1328" s="238"/>
      <c r="AU1328" s="125"/>
      <c r="AV1328" s="125"/>
      <c r="AW1328" s="125"/>
      <c r="AX1328" s="238"/>
      <c r="AY1328" s="125"/>
      <c r="AZ1328" s="125"/>
      <c r="BA1328" s="125"/>
    </row>
    <row r="1329" spans="2:53" s="123" customFormat="1">
      <c r="B1329" s="125"/>
      <c r="D1329" s="125"/>
      <c r="I1329" s="125"/>
      <c r="Z1329" s="124"/>
      <c r="AA1329" s="74"/>
      <c r="AB1329" s="240"/>
      <c r="AD1329" s="124"/>
      <c r="AE1329" s="238"/>
      <c r="AF1329" s="239"/>
      <c r="AG1329" s="239"/>
      <c r="AH1329" s="124"/>
      <c r="AI1329" s="74"/>
      <c r="AJ1329" s="240"/>
      <c r="AL1329" s="124"/>
      <c r="AM1329" s="74"/>
      <c r="AP1329" s="125"/>
      <c r="AQ1329" s="241"/>
      <c r="AR1329" s="125"/>
      <c r="AS1329" s="125"/>
      <c r="AT1329" s="238"/>
      <c r="AU1329" s="125"/>
      <c r="AV1329" s="125"/>
      <c r="AW1329" s="125"/>
      <c r="AX1329" s="238"/>
      <c r="AY1329" s="125"/>
      <c r="AZ1329" s="125"/>
      <c r="BA1329" s="125"/>
    </row>
    <row r="1330" spans="2:53" s="123" customFormat="1">
      <c r="B1330" s="125"/>
      <c r="D1330" s="125"/>
      <c r="I1330" s="125"/>
      <c r="Z1330" s="124"/>
      <c r="AA1330" s="74"/>
      <c r="AB1330" s="240"/>
      <c r="AD1330" s="124"/>
      <c r="AE1330" s="238"/>
      <c r="AF1330" s="239"/>
      <c r="AG1330" s="239"/>
      <c r="AH1330" s="124"/>
      <c r="AI1330" s="74"/>
      <c r="AJ1330" s="240"/>
      <c r="AL1330" s="124"/>
      <c r="AM1330" s="74"/>
      <c r="AP1330" s="125"/>
      <c r="AQ1330" s="241"/>
      <c r="AR1330" s="125"/>
      <c r="AS1330" s="125"/>
      <c r="AT1330" s="238"/>
      <c r="AU1330" s="125"/>
      <c r="AV1330" s="125"/>
      <c r="AW1330" s="125"/>
      <c r="AX1330" s="238"/>
      <c r="AY1330" s="125"/>
      <c r="AZ1330" s="125"/>
      <c r="BA1330" s="125"/>
    </row>
    <row r="1331" spans="2:53" s="123" customFormat="1">
      <c r="B1331" s="125"/>
      <c r="D1331" s="125"/>
      <c r="I1331" s="125"/>
      <c r="Z1331" s="124"/>
      <c r="AA1331" s="74"/>
      <c r="AB1331" s="240"/>
      <c r="AD1331" s="124"/>
      <c r="AE1331" s="238"/>
      <c r="AF1331" s="239"/>
      <c r="AG1331" s="239"/>
      <c r="AH1331" s="124"/>
      <c r="AI1331" s="74"/>
      <c r="AJ1331" s="240"/>
      <c r="AL1331" s="124"/>
      <c r="AM1331" s="74"/>
      <c r="AP1331" s="125"/>
      <c r="AQ1331" s="241"/>
      <c r="AR1331" s="125"/>
      <c r="AS1331" s="125"/>
      <c r="AT1331" s="238"/>
      <c r="AU1331" s="125"/>
      <c r="AV1331" s="125"/>
      <c r="AW1331" s="125"/>
      <c r="AX1331" s="238"/>
      <c r="AY1331" s="125"/>
      <c r="AZ1331" s="125"/>
      <c r="BA1331" s="125"/>
    </row>
    <row r="1332" spans="2:53" s="123" customFormat="1">
      <c r="B1332" s="125"/>
      <c r="D1332" s="125"/>
      <c r="I1332" s="125"/>
      <c r="Z1332" s="124"/>
      <c r="AA1332" s="74"/>
      <c r="AB1332" s="240"/>
      <c r="AD1332" s="124"/>
      <c r="AE1332" s="238"/>
      <c r="AF1332" s="239"/>
      <c r="AG1332" s="239"/>
      <c r="AH1332" s="124"/>
      <c r="AI1332" s="74"/>
      <c r="AJ1332" s="240"/>
      <c r="AL1332" s="124"/>
      <c r="AM1332" s="74"/>
      <c r="AP1332" s="125"/>
      <c r="AQ1332" s="241"/>
      <c r="AR1332" s="125"/>
      <c r="AS1332" s="125"/>
      <c r="AT1332" s="238"/>
      <c r="AU1332" s="125"/>
      <c r="AV1332" s="125"/>
      <c r="AW1332" s="125"/>
      <c r="AX1332" s="238"/>
      <c r="AY1332" s="125"/>
      <c r="AZ1332" s="125"/>
      <c r="BA1332" s="125"/>
    </row>
    <row r="1333" spans="2:53" s="123" customFormat="1">
      <c r="B1333" s="125"/>
      <c r="D1333" s="125"/>
      <c r="I1333" s="125"/>
      <c r="Z1333" s="124"/>
      <c r="AA1333" s="74"/>
      <c r="AB1333" s="240"/>
      <c r="AD1333" s="124"/>
      <c r="AE1333" s="238"/>
      <c r="AF1333" s="239"/>
      <c r="AG1333" s="239"/>
      <c r="AH1333" s="124"/>
      <c r="AI1333" s="74"/>
      <c r="AJ1333" s="240"/>
      <c r="AL1333" s="124"/>
      <c r="AM1333" s="74"/>
      <c r="AP1333" s="125"/>
      <c r="AQ1333" s="241"/>
      <c r="AR1333" s="125"/>
      <c r="AS1333" s="125"/>
      <c r="AT1333" s="238"/>
      <c r="AU1333" s="125"/>
      <c r="AV1333" s="125"/>
      <c r="AW1333" s="125"/>
      <c r="AX1333" s="238"/>
      <c r="AY1333" s="125"/>
      <c r="AZ1333" s="125"/>
      <c r="BA1333" s="125"/>
    </row>
    <row r="1334" spans="2:53" s="123" customFormat="1">
      <c r="B1334" s="125"/>
      <c r="D1334" s="125"/>
      <c r="I1334" s="125"/>
      <c r="Z1334" s="124"/>
      <c r="AA1334" s="74"/>
      <c r="AB1334" s="240"/>
      <c r="AD1334" s="124"/>
      <c r="AE1334" s="238"/>
      <c r="AF1334" s="239"/>
      <c r="AG1334" s="239"/>
      <c r="AH1334" s="124"/>
      <c r="AI1334" s="74"/>
      <c r="AJ1334" s="240"/>
      <c r="AL1334" s="124"/>
      <c r="AM1334" s="74"/>
      <c r="AP1334" s="125"/>
      <c r="AQ1334" s="241"/>
      <c r="AR1334" s="125"/>
      <c r="AS1334" s="125"/>
      <c r="AT1334" s="238"/>
      <c r="AU1334" s="125"/>
      <c r="AV1334" s="125"/>
      <c r="AW1334" s="125"/>
      <c r="AX1334" s="238"/>
      <c r="AY1334" s="125"/>
      <c r="AZ1334" s="125"/>
      <c r="BA1334" s="125"/>
    </row>
    <row r="1335" spans="2:53" s="123" customFormat="1">
      <c r="B1335" s="125"/>
      <c r="D1335" s="125"/>
      <c r="I1335" s="125"/>
      <c r="Z1335" s="124"/>
      <c r="AA1335" s="74"/>
      <c r="AB1335" s="240"/>
      <c r="AD1335" s="124"/>
      <c r="AE1335" s="238"/>
      <c r="AF1335" s="239"/>
      <c r="AG1335" s="239"/>
      <c r="AH1335" s="124"/>
      <c r="AI1335" s="74"/>
      <c r="AJ1335" s="240"/>
      <c r="AL1335" s="124"/>
      <c r="AM1335" s="74"/>
      <c r="AP1335" s="125"/>
      <c r="AQ1335" s="241"/>
      <c r="AR1335" s="125"/>
      <c r="AS1335" s="125"/>
      <c r="AT1335" s="238"/>
      <c r="AU1335" s="125"/>
      <c r="AV1335" s="125"/>
      <c r="AW1335" s="125"/>
      <c r="AX1335" s="238"/>
      <c r="AY1335" s="125"/>
      <c r="AZ1335" s="125"/>
      <c r="BA1335" s="125"/>
    </row>
    <row r="1336" spans="2:53" s="123" customFormat="1">
      <c r="B1336" s="125"/>
      <c r="D1336" s="125"/>
      <c r="I1336" s="125"/>
      <c r="Z1336" s="124"/>
      <c r="AA1336" s="74"/>
      <c r="AB1336" s="240"/>
      <c r="AD1336" s="124"/>
      <c r="AE1336" s="238"/>
      <c r="AF1336" s="239"/>
      <c r="AG1336" s="239"/>
      <c r="AH1336" s="124"/>
      <c r="AI1336" s="74"/>
      <c r="AJ1336" s="240"/>
      <c r="AL1336" s="124"/>
      <c r="AM1336" s="74"/>
      <c r="AP1336" s="125"/>
      <c r="AQ1336" s="241"/>
      <c r="AR1336" s="125"/>
      <c r="AS1336" s="125"/>
      <c r="AT1336" s="238"/>
      <c r="AU1336" s="125"/>
      <c r="AV1336" s="125"/>
      <c r="AW1336" s="125"/>
      <c r="AX1336" s="238"/>
      <c r="AY1336" s="125"/>
      <c r="AZ1336" s="125"/>
      <c r="BA1336" s="125"/>
    </row>
    <row r="1337" spans="2:53" s="123" customFormat="1">
      <c r="B1337" s="125"/>
      <c r="D1337" s="125"/>
      <c r="I1337" s="125"/>
      <c r="Z1337" s="124"/>
      <c r="AA1337" s="74"/>
      <c r="AB1337" s="240"/>
      <c r="AD1337" s="124"/>
      <c r="AE1337" s="238"/>
      <c r="AF1337" s="239"/>
      <c r="AG1337" s="239"/>
      <c r="AH1337" s="124"/>
      <c r="AI1337" s="74"/>
      <c r="AJ1337" s="240"/>
      <c r="AL1337" s="124"/>
      <c r="AM1337" s="74"/>
      <c r="AP1337" s="125"/>
      <c r="AQ1337" s="241"/>
      <c r="AR1337" s="125"/>
      <c r="AS1337" s="125"/>
      <c r="AT1337" s="238"/>
      <c r="AU1337" s="125"/>
      <c r="AV1337" s="125"/>
      <c r="AW1337" s="125"/>
      <c r="AX1337" s="238"/>
      <c r="AY1337" s="125"/>
      <c r="AZ1337" s="125"/>
      <c r="BA1337" s="125"/>
    </row>
    <row r="1338" spans="2:53" s="123" customFormat="1">
      <c r="B1338" s="125"/>
      <c r="D1338" s="125"/>
      <c r="I1338" s="125"/>
      <c r="Z1338" s="124"/>
      <c r="AA1338" s="74"/>
      <c r="AB1338" s="240"/>
      <c r="AD1338" s="124"/>
      <c r="AE1338" s="238"/>
      <c r="AF1338" s="239"/>
      <c r="AG1338" s="239"/>
      <c r="AH1338" s="124"/>
      <c r="AI1338" s="74"/>
      <c r="AJ1338" s="240"/>
      <c r="AL1338" s="124"/>
      <c r="AM1338" s="74"/>
      <c r="AP1338" s="125"/>
      <c r="AQ1338" s="241"/>
      <c r="AR1338" s="125"/>
      <c r="AS1338" s="125"/>
      <c r="AT1338" s="238"/>
      <c r="AU1338" s="125"/>
      <c r="AV1338" s="125"/>
      <c r="AW1338" s="125"/>
      <c r="AX1338" s="238"/>
      <c r="AY1338" s="125"/>
      <c r="AZ1338" s="125"/>
      <c r="BA1338" s="125"/>
    </row>
    <row r="1339" spans="2:53" s="123" customFormat="1">
      <c r="B1339" s="125"/>
      <c r="D1339" s="125"/>
      <c r="I1339" s="125"/>
      <c r="Z1339" s="124"/>
      <c r="AA1339" s="74"/>
      <c r="AB1339" s="240"/>
      <c r="AD1339" s="124"/>
      <c r="AE1339" s="238"/>
      <c r="AF1339" s="239"/>
      <c r="AG1339" s="239"/>
      <c r="AH1339" s="124"/>
      <c r="AI1339" s="74"/>
      <c r="AJ1339" s="240"/>
      <c r="AL1339" s="124"/>
      <c r="AM1339" s="74"/>
      <c r="AP1339" s="125"/>
      <c r="AQ1339" s="241"/>
      <c r="AR1339" s="125"/>
      <c r="AS1339" s="125"/>
      <c r="AT1339" s="238"/>
      <c r="AU1339" s="125"/>
      <c r="AV1339" s="125"/>
      <c r="AW1339" s="125"/>
      <c r="AX1339" s="238"/>
      <c r="AY1339" s="125"/>
      <c r="AZ1339" s="125"/>
      <c r="BA1339" s="125"/>
    </row>
    <row r="1340" spans="2:53" s="123" customFormat="1">
      <c r="B1340" s="125"/>
      <c r="D1340" s="125"/>
      <c r="I1340" s="125"/>
      <c r="Z1340" s="124"/>
      <c r="AA1340" s="74"/>
      <c r="AB1340" s="240"/>
      <c r="AD1340" s="124"/>
      <c r="AE1340" s="238"/>
      <c r="AF1340" s="239"/>
      <c r="AG1340" s="239"/>
      <c r="AH1340" s="124"/>
      <c r="AI1340" s="74"/>
      <c r="AJ1340" s="240"/>
      <c r="AL1340" s="124"/>
      <c r="AM1340" s="74"/>
      <c r="AP1340" s="125"/>
      <c r="AQ1340" s="241"/>
      <c r="AR1340" s="125"/>
      <c r="AS1340" s="125"/>
      <c r="AT1340" s="238"/>
      <c r="AU1340" s="125"/>
      <c r="AV1340" s="125"/>
      <c r="AW1340" s="125"/>
      <c r="AX1340" s="238"/>
      <c r="AY1340" s="125"/>
      <c r="AZ1340" s="125"/>
      <c r="BA1340" s="125"/>
    </row>
    <row r="1341" spans="2:53" s="123" customFormat="1">
      <c r="B1341" s="125"/>
      <c r="D1341" s="125"/>
      <c r="I1341" s="125"/>
      <c r="Z1341" s="124"/>
      <c r="AA1341" s="74"/>
      <c r="AB1341" s="240"/>
      <c r="AD1341" s="124"/>
      <c r="AE1341" s="238"/>
      <c r="AF1341" s="239"/>
      <c r="AG1341" s="239"/>
      <c r="AH1341" s="124"/>
      <c r="AI1341" s="74"/>
      <c r="AJ1341" s="240"/>
      <c r="AL1341" s="124"/>
      <c r="AM1341" s="74"/>
      <c r="AP1341" s="125"/>
      <c r="AQ1341" s="241"/>
      <c r="AR1341" s="125"/>
      <c r="AS1341" s="125"/>
      <c r="AT1341" s="238"/>
      <c r="AU1341" s="125"/>
      <c r="AV1341" s="125"/>
      <c r="AW1341" s="125"/>
      <c r="AX1341" s="238"/>
      <c r="AY1341" s="125"/>
      <c r="AZ1341" s="125"/>
      <c r="BA1341" s="125"/>
    </row>
    <row r="1342" spans="2:53" s="123" customFormat="1">
      <c r="B1342" s="125"/>
      <c r="D1342" s="125"/>
      <c r="I1342" s="125"/>
      <c r="Z1342" s="124"/>
      <c r="AA1342" s="74"/>
      <c r="AB1342" s="240"/>
      <c r="AD1342" s="124"/>
      <c r="AE1342" s="238"/>
      <c r="AF1342" s="239"/>
      <c r="AG1342" s="239"/>
      <c r="AH1342" s="124"/>
      <c r="AI1342" s="74"/>
      <c r="AJ1342" s="240"/>
      <c r="AL1342" s="124"/>
      <c r="AM1342" s="74"/>
      <c r="AP1342" s="125"/>
      <c r="AQ1342" s="241"/>
      <c r="AR1342" s="125"/>
      <c r="AS1342" s="125"/>
      <c r="AT1342" s="238"/>
      <c r="AU1342" s="125"/>
      <c r="AV1342" s="125"/>
      <c r="AW1342" s="125"/>
      <c r="AX1342" s="238"/>
      <c r="AY1342" s="125"/>
      <c r="AZ1342" s="125"/>
      <c r="BA1342" s="125"/>
    </row>
    <row r="1343" spans="2:53" s="123" customFormat="1">
      <c r="B1343" s="125"/>
      <c r="D1343" s="125"/>
      <c r="I1343" s="125"/>
      <c r="Z1343" s="124"/>
      <c r="AA1343" s="74"/>
      <c r="AB1343" s="240"/>
      <c r="AD1343" s="124"/>
      <c r="AE1343" s="238"/>
      <c r="AF1343" s="239"/>
      <c r="AG1343" s="239"/>
      <c r="AH1343" s="124"/>
      <c r="AI1343" s="74"/>
      <c r="AJ1343" s="240"/>
      <c r="AL1343" s="124"/>
      <c r="AM1343" s="74"/>
      <c r="AP1343" s="125"/>
      <c r="AQ1343" s="241"/>
      <c r="AR1343" s="125"/>
      <c r="AS1343" s="125"/>
      <c r="AT1343" s="238"/>
      <c r="AU1343" s="125"/>
      <c r="AV1343" s="125"/>
      <c r="AW1343" s="125"/>
      <c r="AX1343" s="238"/>
      <c r="AY1343" s="125"/>
      <c r="AZ1343" s="125"/>
      <c r="BA1343" s="125"/>
    </row>
    <row r="1344" spans="2:53" s="123" customFormat="1">
      <c r="B1344" s="125"/>
      <c r="D1344" s="125"/>
      <c r="I1344" s="125"/>
      <c r="Z1344" s="124"/>
      <c r="AA1344" s="74"/>
      <c r="AB1344" s="240"/>
      <c r="AD1344" s="124"/>
      <c r="AE1344" s="238"/>
      <c r="AF1344" s="239"/>
      <c r="AG1344" s="239"/>
      <c r="AH1344" s="124"/>
      <c r="AI1344" s="74"/>
      <c r="AJ1344" s="240"/>
      <c r="AL1344" s="124"/>
      <c r="AM1344" s="74"/>
      <c r="AP1344" s="125"/>
      <c r="AQ1344" s="241"/>
      <c r="AR1344" s="125"/>
      <c r="AS1344" s="125"/>
      <c r="AT1344" s="238"/>
      <c r="AU1344" s="125"/>
      <c r="AV1344" s="125"/>
      <c r="AW1344" s="125"/>
      <c r="AX1344" s="238"/>
      <c r="AY1344" s="125"/>
      <c r="AZ1344" s="125"/>
      <c r="BA1344" s="125"/>
    </row>
    <row r="1345" spans="2:53" s="123" customFormat="1">
      <c r="B1345" s="125"/>
      <c r="D1345" s="125"/>
      <c r="I1345" s="125"/>
      <c r="Z1345" s="124"/>
      <c r="AA1345" s="74"/>
      <c r="AB1345" s="240"/>
      <c r="AD1345" s="124"/>
      <c r="AE1345" s="238"/>
      <c r="AF1345" s="239"/>
      <c r="AG1345" s="239"/>
      <c r="AH1345" s="124"/>
      <c r="AI1345" s="74"/>
      <c r="AJ1345" s="240"/>
      <c r="AL1345" s="124"/>
      <c r="AM1345" s="74"/>
      <c r="AP1345" s="125"/>
      <c r="AQ1345" s="241"/>
      <c r="AR1345" s="125"/>
      <c r="AS1345" s="125"/>
      <c r="AT1345" s="238"/>
      <c r="AU1345" s="125"/>
      <c r="AV1345" s="125"/>
      <c r="AW1345" s="125"/>
      <c r="AX1345" s="238"/>
      <c r="AY1345" s="125"/>
      <c r="AZ1345" s="125"/>
      <c r="BA1345" s="125"/>
    </row>
    <row r="1346" spans="2:53" s="123" customFormat="1">
      <c r="B1346" s="125"/>
      <c r="D1346" s="125"/>
      <c r="I1346" s="125"/>
      <c r="Z1346" s="124"/>
      <c r="AA1346" s="74"/>
      <c r="AB1346" s="240"/>
      <c r="AD1346" s="124"/>
      <c r="AE1346" s="238"/>
      <c r="AF1346" s="239"/>
      <c r="AG1346" s="239"/>
      <c r="AH1346" s="124"/>
      <c r="AI1346" s="74"/>
      <c r="AJ1346" s="240"/>
      <c r="AL1346" s="124"/>
      <c r="AM1346" s="74"/>
      <c r="AP1346" s="125"/>
      <c r="AQ1346" s="241"/>
      <c r="AR1346" s="125"/>
      <c r="AS1346" s="125"/>
      <c r="AT1346" s="238"/>
      <c r="AU1346" s="125"/>
      <c r="AV1346" s="125"/>
      <c r="AW1346" s="125"/>
      <c r="AX1346" s="238"/>
      <c r="AY1346" s="125"/>
      <c r="AZ1346" s="125"/>
      <c r="BA1346" s="125"/>
    </row>
    <row r="1347" spans="2:53" s="123" customFormat="1">
      <c r="B1347" s="125"/>
      <c r="D1347" s="125"/>
      <c r="I1347" s="125"/>
      <c r="Z1347" s="124"/>
      <c r="AA1347" s="74"/>
      <c r="AB1347" s="240"/>
      <c r="AD1347" s="124"/>
      <c r="AE1347" s="238"/>
      <c r="AF1347" s="239"/>
      <c r="AG1347" s="239"/>
      <c r="AH1347" s="124"/>
      <c r="AI1347" s="74"/>
      <c r="AJ1347" s="240"/>
      <c r="AL1347" s="124"/>
      <c r="AM1347" s="74"/>
      <c r="AP1347" s="125"/>
      <c r="AQ1347" s="241"/>
      <c r="AR1347" s="125"/>
      <c r="AS1347" s="125"/>
      <c r="AT1347" s="238"/>
      <c r="AU1347" s="125"/>
      <c r="AV1347" s="125"/>
      <c r="AW1347" s="125"/>
      <c r="AX1347" s="238"/>
      <c r="AY1347" s="125"/>
      <c r="AZ1347" s="125"/>
      <c r="BA1347" s="125"/>
    </row>
    <row r="1348" spans="2:53" s="123" customFormat="1">
      <c r="B1348" s="125"/>
      <c r="D1348" s="125"/>
      <c r="I1348" s="125"/>
      <c r="Z1348" s="124"/>
      <c r="AA1348" s="74"/>
      <c r="AB1348" s="240"/>
      <c r="AD1348" s="124"/>
      <c r="AE1348" s="238"/>
      <c r="AF1348" s="239"/>
      <c r="AG1348" s="239"/>
      <c r="AH1348" s="124"/>
      <c r="AI1348" s="74"/>
      <c r="AJ1348" s="240"/>
      <c r="AL1348" s="124"/>
      <c r="AM1348" s="74"/>
      <c r="AP1348" s="125"/>
      <c r="AQ1348" s="241"/>
      <c r="AR1348" s="125"/>
      <c r="AS1348" s="125"/>
      <c r="AT1348" s="238"/>
      <c r="AU1348" s="125"/>
      <c r="AV1348" s="125"/>
      <c r="AW1348" s="125"/>
      <c r="AX1348" s="238"/>
      <c r="AY1348" s="125"/>
      <c r="AZ1348" s="125"/>
      <c r="BA1348" s="125"/>
    </row>
    <row r="1349" spans="2:53" s="123" customFormat="1">
      <c r="B1349" s="125"/>
      <c r="D1349" s="125"/>
      <c r="I1349" s="125"/>
      <c r="Z1349" s="124"/>
      <c r="AA1349" s="74"/>
      <c r="AB1349" s="240"/>
      <c r="AD1349" s="124"/>
      <c r="AE1349" s="238"/>
      <c r="AF1349" s="239"/>
      <c r="AG1349" s="239"/>
      <c r="AH1349" s="124"/>
      <c r="AI1349" s="74"/>
      <c r="AJ1349" s="240"/>
      <c r="AL1349" s="124"/>
      <c r="AM1349" s="74"/>
      <c r="AP1349" s="125"/>
      <c r="AQ1349" s="241"/>
      <c r="AR1349" s="125"/>
      <c r="AS1349" s="125"/>
      <c r="AT1349" s="238"/>
      <c r="AU1349" s="125"/>
      <c r="AV1349" s="125"/>
      <c r="AW1349" s="125"/>
      <c r="AX1349" s="238"/>
      <c r="AY1349" s="125"/>
      <c r="AZ1349" s="125"/>
      <c r="BA1349" s="125"/>
    </row>
    <row r="1350" spans="2:53" s="123" customFormat="1">
      <c r="B1350" s="125"/>
      <c r="D1350" s="125"/>
      <c r="I1350" s="125"/>
      <c r="Z1350" s="124"/>
      <c r="AA1350" s="74"/>
      <c r="AB1350" s="240"/>
      <c r="AD1350" s="124"/>
      <c r="AE1350" s="238"/>
      <c r="AF1350" s="239"/>
      <c r="AG1350" s="239"/>
      <c r="AH1350" s="124"/>
      <c r="AI1350" s="74"/>
      <c r="AJ1350" s="240"/>
      <c r="AL1350" s="124"/>
      <c r="AM1350" s="74"/>
      <c r="AP1350" s="125"/>
      <c r="AQ1350" s="241"/>
      <c r="AR1350" s="125"/>
      <c r="AS1350" s="125"/>
      <c r="AT1350" s="238"/>
      <c r="AU1350" s="125"/>
      <c r="AV1350" s="125"/>
      <c r="AW1350" s="125"/>
      <c r="AX1350" s="238"/>
      <c r="AY1350" s="125"/>
      <c r="AZ1350" s="125"/>
      <c r="BA1350" s="125"/>
    </row>
    <row r="1351" spans="2:53" s="123" customFormat="1">
      <c r="B1351" s="125"/>
      <c r="D1351" s="125"/>
      <c r="I1351" s="125"/>
      <c r="Z1351" s="124"/>
      <c r="AA1351" s="74"/>
      <c r="AB1351" s="240"/>
      <c r="AD1351" s="124"/>
      <c r="AE1351" s="238"/>
      <c r="AF1351" s="239"/>
      <c r="AG1351" s="239"/>
      <c r="AH1351" s="124"/>
      <c r="AI1351" s="74"/>
      <c r="AJ1351" s="240"/>
      <c r="AL1351" s="124"/>
      <c r="AM1351" s="74"/>
      <c r="AP1351" s="125"/>
      <c r="AQ1351" s="241"/>
      <c r="AR1351" s="125"/>
      <c r="AS1351" s="125"/>
      <c r="AT1351" s="238"/>
      <c r="AU1351" s="125"/>
      <c r="AV1351" s="125"/>
      <c r="AW1351" s="125"/>
      <c r="AX1351" s="238"/>
      <c r="AY1351" s="125"/>
      <c r="AZ1351" s="125"/>
      <c r="BA1351" s="125"/>
    </row>
    <row r="1352" spans="2:53" s="123" customFormat="1">
      <c r="B1352" s="125"/>
      <c r="D1352" s="125"/>
      <c r="I1352" s="125"/>
      <c r="Z1352" s="124"/>
      <c r="AA1352" s="74"/>
      <c r="AB1352" s="240"/>
      <c r="AD1352" s="124"/>
      <c r="AE1352" s="238"/>
      <c r="AF1352" s="239"/>
      <c r="AG1352" s="239"/>
      <c r="AH1352" s="124"/>
      <c r="AI1352" s="74"/>
      <c r="AJ1352" s="240"/>
      <c r="AL1352" s="124"/>
      <c r="AM1352" s="74"/>
      <c r="AP1352" s="125"/>
      <c r="AQ1352" s="241"/>
      <c r="AR1352" s="125"/>
      <c r="AS1352" s="125"/>
      <c r="AT1352" s="238"/>
      <c r="AU1352" s="125"/>
      <c r="AV1352" s="125"/>
      <c r="AW1352" s="125"/>
      <c r="AX1352" s="238"/>
      <c r="AY1352" s="125"/>
      <c r="AZ1352" s="125"/>
      <c r="BA1352" s="125"/>
    </row>
    <row r="1353" spans="2:53" s="123" customFormat="1">
      <c r="B1353" s="125"/>
      <c r="D1353" s="125"/>
      <c r="I1353" s="125"/>
      <c r="Z1353" s="124"/>
      <c r="AA1353" s="74"/>
      <c r="AB1353" s="240"/>
      <c r="AD1353" s="124"/>
      <c r="AE1353" s="238"/>
      <c r="AF1353" s="239"/>
      <c r="AG1353" s="239"/>
      <c r="AH1353" s="124"/>
      <c r="AI1353" s="74"/>
      <c r="AJ1353" s="240"/>
      <c r="AL1353" s="124"/>
      <c r="AM1353" s="74"/>
      <c r="AP1353" s="125"/>
      <c r="AQ1353" s="241"/>
      <c r="AR1353" s="125"/>
      <c r="AS1353" s="125"/>
      <c r="AT1353" s="238"/>
      <c r="AU1353" s="125"/>
      <c r="AV1353" s="125"/>
      <c r="AW1353" s="125"/>
      <c r="AX1353" s="238"/>
      <c r="AY1353" s="125"/>
      <c r="AZ1353" s="125"/>
      <c r="BA1353" s="125"/>
    </row>
    <row r="1354" spans="2:53" s="123" customFormat="1">
      <c r="B1354" s="125"/>
      <c r="D1354" s="125"/>
      <c r="I1354" s="125"/>
      <c r="Z1354" s="124"/>
      <c r="AA1354" s="74"/>
      <c r="AB1354" s="240"/>
      <c r="AD1354" s="124"/>
      <c r="AE1354" s="238"/>
      <c r="AF1354" s="239"/>
      <c r="AG1354" s="239"/>
      <c r="AH1354" s="124"/>
      <c r="AI1354" s="74"/>
      <c r="AJ1354" s="240"/>
      <c r="AL1354" s="124"/>
      <c r="AM1354" s="74"/>
      <c r="AP1354" s="125"/>
      <c r="AQ1354" s="241"/>
      <c r="AR1354" s="125"/>
      <c r="AS1354" s="125"/>
      <c r="AT1354" s="238"/>
      <c r="AU1354" s="125"/>
      <c r="AV1354" s="125"/>
      <c r="AW1354" s="125"/>
      <c r="AX1354" s="238"/>
      <c r="AY1354" s="125"/>
      <c r="AZ1354" s="125"/>
      <c r="BA1354" s="125"/>
    </row>
    <row r="1355" spans="2:53" s="123" customFormat="1">
      <c r="B1355" s="125"/>
      <c r="D1355" s="125"/>
      <c r="I1355" s="125"/>
      <c r="Z1355" s="124"/>
      <c r="AA1355" s="74"/>
      <c r="AB1355" s="240"/>
      <c r="AD1355" s="124"/>
      <c r="AE1355" s="238"/>
      <c r="AF1355" s="239"/>
      <c r="AG1355" s="239"/>
      <c r="AH1355" s="124"/>
      <c r="AI1355" s="74"/>
      <c r="AJ1355" s="240"/>
      <c r="AL1355" s="124"/>
      <c r="AM1355" s="74"/>
      <c r="AP1355" s="125"/>
      <c r="AQ1355" s="241"/>
      <c r="AR1355" s="125"/>
      <c r="AS1355" s="125"/>
      <c r="AT1355" s="238"/>
      <c r="AU1355" s="125"/>
      <c r="AV1355" s="125"/>
      <c r="AW1355" s="125"/>
      <c r="AX1355" s="238"/>
      <c r="AY1355" s="125"/>
      <c r="AZ1355" s="125"/>
      <c r="BA1355" s="125"/>
    </row>
    <row r="1356" spans="2:53" s="123" customFormat="1">
      <c r="B1356" s="125"/>
      <c r="D1356" s="125"/>
      <c r="I1356" s="125"/>
      <c r="Z1356" s="124"/>
      <c r="AA1356" s="74"/>
      <c r="AB1356" s="240"/>
      <c r="AD1356" s="124"/>
      <c r="AE1356" s="238"/>
      <c r="AF1356" s="239"/>
      <c r="AG1356" s="239"/>
      <c r="AH1356" s="124"/>
      <c r="AI1356" s="74"/>
      <c r="AJ1356" s="240"/>
      <c r="AL1356" s="124"/>
      <c r="AM1356" s="74"/>
      <c r="AP1356" s="125"/>
      <c r="AQ1356" s="241"/>
      <c r="AR1356" s="125"/>
      <c r="AS1356" s="125"/>
      <c r="AT1356" s="238"/>
      <c r="AU1356" s="125"/>
      <c r="AV1356" s="125"/>
      <c r="AW1356" s="125"/>
      <c r="AX1356" s="238"/>
      <c r="AY1356" s="125"/>
      <c r="AZ1356" s="125"/>
      <c r="BA1356" s="125"/>
    </row>
    <row r="1357" spans="2:53" s="123" customFormat="1">
      <c r="B1357" s="125"/>
      <c r="D1357" s="125"/>
      <c r="I1357" s="125"/>
      <c r="Z1357" s="124"/>
      <c r="AA1357" s="74"/>
      <c r="AB1357" s="240"/>
      <c r="AD1357" s="124"/>
      <c r="AE1357" s="238"/>
      <c r="AF1357" s="239"/>
      <c r="AG1357" s="239"/>
      <c r="AH1357" s="124"/>
      <c r="AI1357" s="74"/>
      <c r="AJ1357" s="240"/>
      <c r="AL1357" s="124"/>
      <c r="AM1357" s="74"/>
      <c r="AP1357" s="125"/>
      <c r="AQ1357" s="241"/>
      <c r="AR1357" s="125"/>
      <c r="AS1357" s="125"/>
      <c r="AT1357" s="238"/>
      <c r="AU1357" s="125"/>
      <c r="AV1357" s="125"/>
      <c r="AW1357" s="125"/>
      <c r="AX1357" s="238"/>
      <c r="AY1357" s="125"/>
      <c r="AZ1357" s="125"/>
      <c r="BA1357" s="125"/>
    </row>
    <row r="1358" spans="2:53" s="123" customFormat="1">
      <c r="B1358" s="125"/>
      <c r="D1358" s="125"/>
      <c r="I1358" s="125"/>
      <c r="Z1358" s="124"/>
      <c r="AA1358" s="74"/>
      <c r="AB1358" s="240"/>
      <c r="AD1358" s="124"/>
      <c r="AE1358" s="238"/>
      <c r="AF1358" s="239"/>
      <c r="AG1358" s="239"/>
      <c r="AH1358" s="124"/>
      <c r="AI1358" s="74"/>
      <c r="AJ1358" s="240"/>
      <c r="AL1358" s="124"/>
      <c r="AM1358" s="74"/>
      <c r="AP1358" s="125"/>
      <c r="AQ1358" s="241"/>
      <c r="AR1358" s="125"/>
      <c r="AS1358" s="125"/>
      <c r="AT1358" s="238"/>
      <c r="AU1358" s="125"/>
      <c r="AV1358" s="125"/>
      <c r="AW1358" s="125"/>
      <c r="AX1358" s="238"/>
      <c r="AY1358" s="125"/>
      <c r="AZ1358" s="125"/>
      <c r="BA1358" s="125"/>
    </row>
    <row r="1359" spans="2:53" s="123" customFormat="1">
      <c r="B1359" s="125"/>
      <c r="D1359" s="125"/>
      <c r="I1359" s="125"/>
      <c r="Z1359" s="124"/>
      <c r="AA1359" s="74"/>
      <c r="AB1359" s="240"/>
      <c r="AD1359" s="124"/>
      <c r="AE1359" s="238"/>
      <c r="AF1359" s="239"/>
      <c r="AG1359" s="239"/>
      <c r="AH1359" s="124"/>
      <c r="AI1359" s="74"/>
      <c r="AJ1359" s="240"/>
      <c r="AL1359" s="124"/>
      <c r="AM1359" s="74"/>
      <c r="AP1359" s="125"/>
      <c r="AQ1359" s="241"/>
      <c r="AR1359" s="125"/>
      <c r="AS1359" s="125"/>
      <c r="AT1359" s="238"/>
      <c r="AU1359" s="125"/>
      <c r="AV1359" s="125"/>
      <c r="AW1359" s="125"/>
      <c r="AX1359" s="238"/>
      <c r="AY1359" s="125"/>
      <c r="AZ1359" s="125"/>
      <c r="BA1359" s="125"/>
    </row>
    <row r="1360" spans="2:53" s="123" customFormat="1">
      <c r="B1360" s="125"/>
      <c r="D1360" s="125"/>
      <c r="I1360" s="125"/>
      <c r="Z1360" s="124"/>
      <c r="AA1360" s="74"/>
      <c r="AB1360" s="240"/>
      <c r="AD1360" s="124"/>
      <c r="AE1360" s="238"/>
      <c r="AF1360" s="239"/>
      <c r="AG1360" s="239"/>
      <c r="AH1360" s="124"/>
      <c r="AI1360" s="74"/>
      <c r="AJ1360" s="240"/>
      <c r="AL1360" s="124"/>
      <c r="AM1360" s="74"/>
      <c r="AP1360" s="125"/>
      <c r="AQ1360" s="241"/>
      <c r="AR1360" s="125"/>
      <c r="AS1360" s="125"/>
      <c r="AT1360" s="238"/>
      <c r="AU1360" s="125"/>
      <c r="AV1360" s="125"/>
      <c r="AW1360" s="125"/>
      <c r="AX1360" s="238"/>
      <c r="AY1360" s="125"/>
      <c r="AZ1360" s="125"/>
      <c r="BA1360" s="125"/>
    </row>
    <row r="1361" spans="2:53" s="123" customFormat="1">
      <c r="B1361" s="125"/>
      <c r="D1361" s="125"/>
      <c r="I1361" s="125"/>
      <c r="Z1361" s="124"/>
      <c r="AA1361" s="74"/>
      <c r="AB1361" s="240"/>
      <c r="AD1361" s="124"/>
      <c r="AE1361" s="238"/>
      <c r="AF1361" s="239"/>
      <c r="AG1361" s="239"/>
      <c r="AH1361" s="124"/>
      <c r="AI1361" s="74"/>
      <c r="AJ1361" s="240"/>
      <c r="AL1361" s="124"/>
      <c r="AM1361" s="74"/>
      <c r="AP1361" s="125"/>
      <c r="AQ1361" s="241"/>
      <c r="AR1361" s="125"/>
      <c r="AS1361" s="125"/>
      <c r="AT1361" s="238"/>
      <c r="AU1361" s="125"/>
      <c r="AV1361" s="125"/>
      <c r="AW1361" s="125"/>
      <c r="AX1361" s="238"/>
      <c r="AY1361" s="125"/>
      <c r="AZ1361" s="125"/>
      <c r="BA1361" s="125"/>
    </row>
    <row r="1362" spans="2:53" s="123" customFormat="1">
      <c r="B1362" s="125"/>
      <c r="D1362" s="125"/>
      <c r="I1362" s="125"/>
      <c r="Z1362" s="124"/>
      <c r="AA1362" s="74"/>
      <c r="AB1362" s="240"/>
      <c r="AD1362" s="124"/>
      <c r="AE1362" s="238"/>
      <c r="AF1362" s="239"/>
      <c r="AG1362" s="239"/>
      <c r="AH1362" s="124"/>
      <c r="AI1362" s="74"/>
      <c r="AJ1362" s="240"/>
      <c r="AL1362" s="124"/>
      <c r="AM1362" s="74"/>
      <c r="AP1362" s="125"/>
      <c r="AQ1362" s="241"/>
      <c r="AR1362" s="125"/>
      <c r="AS1362" s="125"/>
      <c r="AT1362" s="238"/>
      <c r="AU1362" s="125"/>
      <c r="AV1362" s="125"/>
      <c r="AW1362" s="125"/>
      <c r="AX1362" s="238"/>
      <c r="AY1362" s="125"/>
      <c r="AZ1362" s="125"/>
      <c r="BA1362" s="125"/>
    </row>
    <row r="1363" spans="2:53" s="123" customFormat="1">
      <c r="B1363" s="125"/>
      <c r="D1363" s="125"/>
      <c r="I1363" s="125"/>
      <c r="Z1363" s="124"/>
      <c r="AA1363" s="74"/>
      <c r="AB1363" s="240"/>
      <c r="AD1363" s="124"/>
      <c r="AE1363" s="238"/>
      <c r="AF1363" s="239"/>
      <c r="AG1363" s="239"/>
      <c r="AH1363" s="124"/>
      <c r="AI1363" s="74"/>
      <c r="AJ1363" s="240"/>
      <c r="AL1363" s="124"/>
      <c r="AM1363" s="74"/>
      <c r="AP1363" s="125"/>
      <c r="AQ1363" s="241"/>
      <c r="AR1363" s="125"/>
      <c r="AS1363" s="125"/>
      <c r="AT1363" s="238"/>
      <c r="AU1363" s="125"/>
      <c r="AV1363" s="125"/>
      <c r="AW1363" s="125"/>
      <c r="AX1363" s="238"/>
      <c r="AY1363" s="125"/>
      <c r="AZ1363" s="125"/>
      <c r="BA1363" s="125"/>
    </row>
    <row r="1364" spans="2:53" s="123" customFormat="1">
      <c r="B1364" s="125"/>
      <c r="D1364" s="125"/>
      <c r="I1364" s="125"/>
      <c r="Z1364" s="124"/>
      <c r="AA1364" s="74"/>
      <c r="AB1364" s="240"/>
      <c r="AD1364" s="124"/>
      <c r="AE1364" s="238"/>
      <c r="AF1364" s="239"/>
      <c r="AG1364" s="239"/>
      <c r="AH1364" s="124"/>
      <c r="AI1364" s="74"/>
      <c r="AJ1364" s="240"/>
      <c r="AL1364" s="124"/>
      <c r="AM1364" s="74"/>
      <c r="AP1364" s="125"/>
      <c r="AQ1364" s="241"/>
      <c r="AR1364" s="125"/>
      <c r="AS1364" s="125"/>
      <c r="AT1364" s="238"/>
      <c r="AU1364" s="125"/>
      <c r="AV1364" s="125"/>
      <c r="AW1364" s="125"/>
      <c r="AX1364" s="238"/>
      <c r="AY1364" s="125"/>
      <c r="AZ1364" s="125"/>
      <c r="BA1364" s="125"/>
    </row>
    <row r="1365" spans="2:53" s="123" customFormat="1">
      <c r="B1365" s="125"/>
      <c r="D1365" s="125"/>
      <c r="I1365" s="125"/>
      <c r="Z1365" s="124"/>
      <c r="AA1365" s="74"/>
      <c r="AB1365" s="240"/>
      <c r="AD1365" s="124"/>
      <c r="AE1365" s="238"/>
      <c r="AF1365" s="239"/>
      <c r="AG1365" s="239"/>
      <c r="AH1365" s="124"/>
      <c r="AI1365" s="74"/>
      <c r="AJ1365" s="240"/>
      <c r="AL1365" s="124"/>
      <c r="AM1365" s="74"/>
      <c r="AP1365" s="125"/>
      <c r="AQ1365" s="241"/>
      <c r="AR1365" s="125"/>
      <c r="AS1365" s="125"/>
      <c r="AT1365" s="238"/>
      <c r="AU1365" s="125"/>
      <c r="AV1365" s="125"/>
      <c r="AW1365" s="125"/>
      <c r="AX1365" s="238"/>
      <c r="AY1365" s="125"/>
      <c r="AZ1365" s="125"/>
      <c r="BA1365" s="125"/>
    </row>
    <row r="1366" spans="2:53" s="123" customFormat="1">
      <c r="B1366" s="125"/>
      <c r="D1366" s="125"/>
      <c r="I1366" s="125"/>
      <c r="Z1366" s="124"/>
      <c r="AA1366" s="74"/>
      <c r="AB1366" s="240"/>
      <c r="AD1366" s="124"/>
      <c r="AE1366" s="238"/>
      <c r="AF1366" s="239"/>
      <c r="AG1366" s="239"/>
      <c r="AH1366" s="124"/>
      <c r="AI1366" s="74"/>
      <c r="AJ1366" s="240"/>
      <c r="AL1366" s="124"/>
      <c r="AM1366" s="74"/>
      <c r="AP1366" s="125"/>
      <c r="AQ1366" s="241"/>
      <c r="AR1366" s="125"/>
      <c r="AS1366" s="125"/>
      <c r="AT1366" s="238"/>
      <c r="AU1366" s="125"/>
      <c r="AV1366" s="125"/>
      <c r="AW1366" s="125"/>
      <c r="AX1366" s="238"/>
      <c r="AY1366" s="125"/>
      <c r="AZ1366" s="125"/>
      <c r="BA1366" s="125"/>
    </row>
    <row r="1367" spans="2:53" s="123" customFormat="1">
      <c r="B1367" s="125"/>
      <c r="D1367" s="125"/>
      <c r="I1367" s="125"/>
      <c r="Z1367" s="124"/>
      <c r="AA1367" s="74"/>
      <c r="AB1367" s="240"/>
      <c r="AD1367" s="124"/>
      <c r="AE1367" s="238"/>
      <c r="AF1367" s="239"/>
      <c r="AG1367" s="239"/>
      <c r="AH1367" s="124"/>
      <c r="AI1367" s="74"/>
      <c r="AJ1367" s="240"/>
      <c r="AL1367" s="124"/>
      <c r="AM1367" s="74"/>
      <c r="AP1367" s="125"/>
      <c r="AQ1367" s="241"/>
      <c r="AR1367" s="125"/>
      <c r="AS1367" s="125"/>
      <c r="AT1367" s="238"/>
      <c r="AU1367" s="125"/>
      <c r="AV1367" s="125"/>
      <c r="AW1367" s="125"/>
      <c r="AX1367" s="238"/>
      <c r="AY1367" s="125"/>
      <c r="AZ1367" s="125"/>
      <c r="BA1367" s="125"/>
    </row>
    <row r="1368" spans="2:53" s="123" customFormat="1">
      <c r="B1368" s="125"/>
      <c r="D1368" s="125"/>
      <c r="I1368" s="125"/>
      <c r="Z1368" s="124"/>
      <c r="AA1368" s="74"/>
      <c r="AB1368" s="240"/>
      <c r="AD1368" s="124"/>
      <c r="AE1368" s="238"/>
      <c r="AF1368" s="239"/>
      <c r="AG1368" s="239"/>
      <c r="AH1368" s="124"/>
      <c r="AI1368" s="74"/>
      <c r="AJ1368" s="240"/>
      <c r="AL1368" s="124"/>
      <c r="AM1368" s="74"/>
      <c r="AP1368" s="125"/>
      <c r="AQ1368" s="241"/>
      <c r="AR1368" s="125"/>
      <c r="AS1368" s="125"/>
      <c r="AT1368" s="238"/>
      <c r="AU1368" s="125"/>
      <c r="AV1368" s="125"/>
      <c r="AW1368" s="125"/>
      <c r="AX1368" s="238"/>
      <c r="AY1368" s="125"/>
      <c r="AZ1368" s="125"/>
      <c r="BA1368" s="125"/>
    </row>
    <row r="1369" spans="2:53" s="123" customFormat="1">
      <c r="B1369" s="125"/>
      <c r="D1369" s="125"/>
      <c r="I1369" s="125"/>
      <c r="Z1369" s="124"/>
      <c r="AA1369" s="74"/>
      <c r="AB1369" s="240"/>
      <c r="AD1369" s="124"/>
      <c r="AE1369" s="238"/>
      <c r="AF1369" s="239"/>
      <c r="AG1369" s="239"/>
      <c r="AH1369" s="124"/>
      <c r="AI1369" s="74"/>
      <c r="AJ1369" s="240"/>
      <c r="AL1369" s="124"/>
      <c r="AM1369" s="74"/>
      <c r="AP1369" s="125"/>
      <c r="AQ1369" s="241"/>
      <c r="AR1369" s="125"/>
      <c r="AS1369" s="125"/>
      <c r="AT1369" s="238"/>
      <c r="AU1369" s="125"/>
      <c r="AV1369" s="125"/>
      <c r="AW1369" s="125"/>
      <c r="AX1369" s="238"/>
      <c r="AY1369" s="125"/>
      <c r="AZ1369" s="125"/>
      <c r="BA1369" s="125"/>
    </row>
    <row r="1370" spans="2:53" s="123" customFormat="1">
      <c r="B1370" s="125"/>
      <c r="D1370" s="125"/>
      <c r="I1370" s="125"/>
      <c r="Z1370" s="124"/>
      <c r="AA1370" s="74"/>
      <c r="AB1370" s="240"/>
      <c r="AD1370" s="124"/>
      <c r="AE1370" s="238"/>
      <c r="AF1370" s="239"/>
      <c r="AG1370" s="239"/>
      <c r="AH1370" s="124"/>
      <c r="AI1370" s="74"/>
      <c r="AJ1370" s="240"/>
      <c r="AL1370" s="124"/>
      <c r="AM1370" s="74"/>
      <c r="AP1370" s="125"/>
      <c r="AQ1370" s="241"/>
      <c r="AR1370" s="125"/>
      <c r="AS1370" s="125"/>
      <c r="AT1370" s="238"/>
      <c r="AU1370" s="125"/>
      <c r="AV1370" s="125"/>
      <c r="AW1370" s="125"/>
      <c r="AX1370" s="238"/>
      <c r="AY1370" s="125"/>
      <c r="AZ1370" s="125"/>
      <c r="BA1370" s="125"/>
    </row>
    <row r="1371" spans="2:53" s="123" customFormat="1">
      <c r="B1371" s="125"/>
      <c r="D1371" s="125"/>
      <c r="I1371" s="125"/>
      <c r="Z1371" s="124"/>
      <c r="AA1371" s="74"/>
      <c r="AB1371" s="240"/>
      <c r="AD1371" s="124"/>
      <c r="AE1371" s="238"/>
      <c r="AF1371" s="239"/>
      <c r="AG1371" s="239"/>
      <c r="AH1371" s="124"/>
      <c r="AI1371" s="74"/>
      <c r="AJ1371" s="240"/>
      <c r="AL1371" s="124"/>
      <c r="AM1371" s="74"/>
      <c r="AP1371" s="125"/>
      <c r="AQ1371" s="241"/>
      <c r="AR1371" s="125"/>
      <c r="AS1371" s="125"/>
      <c r="AT1371" s="238"/>
      <c r="AU1371" s="125"/>
      <c r="AV1371" s="125"/>
      <c r="AW1371" s="125"/>
      <c r="AX1371" s="238"/>
      <c r="AY1371" s="125"/>
      <c r="AZ1371" s="125"/>
      <c r="BA1371" s="125"/>
    </row>
    <row r="1372" spans="2:53" s="123" customFormat="1">
      <c r="B1372" s="125"/>
      <c r="D1372" s="125"/>
      <c r="I1372" s="125"/>
      <c r="Z1372" s="124"/>
      <c r="AA1372" s="74"/>
      <c r="AB1372" s="240"/>
      <c r="AD1372" s="124"/>
      <c r="AE1372" s="238"/>
      <c r="AF1372" s="239"/>
      <c r="AG1372" s="239"/>
      <c r="AH1372" s="124"/>
      <c r="AI1372" s="74"/>
      <c r="AJ1372" s="240"/>
      <c r="AL1372" s="124"/>
      <c r="AM1372" s="74"/>
      <c r="AP1372" s="125"/>
      <c r="AQ1372" s="241"/>
      <c r="AR1372" s="125"/>
      <c r="AS1372" s="125"/>
      <c r="AT1372" s="238"/>
      <c r="AU1372" s="125"/>
      <c r="AV1372" s="125"/>
      <c r="AW1372" s="125"/>
      <c r="AX1372" s="238"/>
      <c r="AY1372" s="125"/>
      <c r="AZ1372" s="125"/>
      <c r="BA1372" s="125"/>
    </row>
    <row r="1373" spans="2:53" s="123" customFormat="1">
      <c r="B1373" s="125"/>
      <c r="D1373" s="125"/>
      <c r="I1373" s="125"/>
      <c r="Z1373" s="124"/>
      <c r="AA1373" s="74"/>
      <c r="AB1373" s="240"/>
      <c r="AD1373" s="124"/>
      <c r="AE1373" s="238"/>
      <c r="AF1373" s="239"/>
      <c r="AG1373" s="239"/>
      <c r="AH1373" s="124"/>
      <c r="AI1373" s="74"/>
      <c r="AJ1373" s="240"/>
      <c r="AL1373" s="124"/>
      <c r="AM1373" s="74"/>
      <c r="AP1373" s="125"/>
      <c r="AQ1373" s="241"/>
      <c r="AR1373" s="125"/>
      <c r="AS1373" s="125"/>
      <c r="AT1373" s="238"/>
      <c r="AU1373" s="125"/>
      <c r="AV1373" s="125"/>
      <c r="AW1373" s="125"/>
      <c r="AX1373" s="238"/>
      <c r="AY1373" s="125"/>
      <c r="AZ1373" s="125"/>
      <c r="BA1373" s="125"/>
    </row>
    <row r="1374" spans="2:53" s="123" customFormat="1">
      <c r="B1374" s="125"/>
      <c r="D1374" s="125"/>
      <c r="I1374" s="125"/>
      <c r="Z1374" s="124"/>
      <c r="AA1374" s="74"/>
      <c r="AB1374" s="240"/>
      <c r="AD1374" s="124"/>
      <c r="AE1374" s="238"/>
      <c r="AF1374" s="239"/>
      <c r="AG1374" s="239"/>
      <c r="AH1374" s="124"/>
      <c r="AI1374" s="74"/>
      <c r="AJ1374" s="240"/>
      <c r="AL1374" s="124"/>
      <c r="AM1374" s="74"/>
      <c r="AP1374" s="125"/>
      <c r="AQ1374" s="241"/>
      <c r="AR1374" s="125"/>
      <c r="AS1374" s="125"/>
      <c r="AT1374" s="238"/>
      <c r="AU1374" s="125"/>
      <c r="AV1374" s="125"/>
      <c r="AW1374" s="125"/>
      <c r="AX1374" s="238"/>
      <c r="AY1374" s="125"/>
      <c r="AZ1374" s="125"/>
      <c r="BA1374" s="125"/>
    </row>
    <row r="1375" spans="2:53" s="123" customFormat="1">
      <c r="B1375" s="125"/>
      <c r="D1375" s="125"/>
      <c r="I1375" s="125"/>
      <c r="Z1375" s="124"/>
      <c r="AA1375" s="74"/>
      <c r="AB1375" s="240"/>
      <c r="AD1375" s="124"/>
      <c r="AE1375" s="238"/>
      <c r="AF1375" s="239"/>
      <c r="AG1375" s="239"/>
      <c r="AH1375" s="124"/>
      <c r="AI1375" s="74"/>
      <c r="AJ1375" s="240"/>
      <c r="AL1375" s="124"/>
      <c r="AM1375" s="74"/>
      <c r="AP1375" s="125"/>
      <c r="AQ1375" s="241"/>
      <c r="AR1375" s="125"/>
      <c r="AS1375" s="125"/>
      <c r="AT1375" s="238"/>
      <c r="AU1375" s="125"/>
      <c r="AV1375" s="125"/>
      <c r="AW1375" s="125"/>
      <c r="AX1375" s="238"/>
      <c r="AY1375" s="125"/>
      <c r="AZ1375" s="125"/>
      <c r="BA1375" s="125"/>
    </row>
    <row r="1376" spans="2:53" s="123" customFormat="1">
      <c r="B1376" s="125"/>
      <c r="D1376" s="125"/>
      <c r="I1376" s="125"/>
      <c r="Z1376" s="124"/>
      <c r="AA1376" s="74"/>
      <c r="AB1376" s="240"/>
      <c r="AD1376" s="124"/>
      <c r="AE1376" s="238"/>
      <c r="AF1376" s="239"/>
      <c r="AG1376" s="239"/>
      <c r="AH1376" s="124"/>
      <c r="AI1376" s="74"/>
      <c r="AJ1376" s="240"/>
      <c r="AL1376" s="124"/>
      <c r="AM1376" s="74"/>
      <c r="AP1376" s="125"/>
      <c r="AQ1376" s="241"/>
      <c r="AR1376" s="125"/>
      <c r="AS1376" s="125"/>
      <c r="AT1376" s="238"/>
      <c r="AU1376" s="125"/>
      <c r="AV1376" s="125"/>
      <c r="AW1376" s="125"/>
      <c r="AX1376" s="238"/>
      <c r="AY1376" s="125"/>
      <c r="AZ1376" s="125"/>
      <c r="BA1376" s="125"/>
    </row>
    <row r="1377" spans="2:53" s="123" customFormat="1">
      <c r="B1377" s="125"/>
      <c r="D1377" s="125"/>
      <c r="I1377" s="125"/>
      <c r="Z1377" s="124"/>
      <c r="AA1377" s="74"/>
      <c r="AB1377" s="240"/>
      <c r="AD1377" s="124"/>
      <c r="AE1377" s="238"/>
      <c r="AF1377" s="239"/>
      <c r="AG1377" s="239"/>
      <c r="AH1377" s="124"/>
      <c r="AI1377" s="74"/>
      <c r="AJ1377" s="240"/>
      <c r="AL1377" s="124"/>
      <c r="AM1377" s="74"/>
      <c r="AP1377" s="125"/>
      <c r="AQ1377" s="241"/>
      <c r="AR1377" s="125"/>
      <c r="AS1377" s="125"/>
      <c r="AT1377" s="238"/>
      <c r="AU1377" s="125"/>
      <c r="AV1377" s="125"/>
      <c r="AW1377" s="125"/>
      <c r="AX1377" s="238"/>
      <c r="AY1377" s="125"/>
      <c r="AZ1377" s="125"/>
      <c r="BA1377" s="125"/>
    </row>
    <row r="1378" spans="2:53" s="123" customFormat="1">
      <c r="B1378" s="125"/>
      <c r="D1378" s="125"/>
      <c r="I1378" s="125"/>
      <c r="Z1378" s="124"/>
      <c r="AA1378" s="74"/>
      <c r="AB1378" s="240"/>
      <c r="AD1378" s="124"/>
      <c r="AE1378" s="238"/>
      <c r="AF1378" s="239"/>
      <c r="AG1378" s="239"/>
      <c r="AH1378" s="124"/>
      <c r="AI1378" s="74"/>
      <c r="AJ1378" s="240"/>
      <c r="AL1378" s="124"/>
      <c r="AM1378" s="74"/>
      <c r="AP1378" s="125"/>
      <c r="AQ1378" s="241"/>
      <c r="AR1378" s="125"/>
      <c r="AS1378" s="125"/>
      <c r="AT1378" s="238"/>
      <c r="AU1378" s="125"/>
      <c r="AV1378" s="125"/>
      <c r="AW1378" s="125"/>
      <c r="AX1378" s="238"/>
      <c r="AY1378" s="125"/>
      <c r="AZ1378" s="125"/>
      <c r="BA1378" s="125"/>
    </row>
    <row r="1379" spans="2:53" s="123" customFormat="1">
      <c r="B1379" s="125"/>
      <c r="D1379" s="125"/>
      <c r="I1379" s="125"/>
      <c r="Z1379" s="124"/>
      <c r="AA1379" s="74"/>
      <c r="AB1379" s="240"/>
      <c r="AD1379" s="124"/>
      <c r="AE1379" s="238"/>
      <c r="AF1379" s="239"/>
      <c r="AG1379" s="239"/>
      <c r="AH1379" s="124"/>
      <c r="AI1379" s="74"/>
      <c r="AJ1379" s="240"/>
      <c r="AL1379" s="124"/>
      <c r="AM1379" s="74"/>
      <c r="AP1379" s="125"/>
      <c r="AQ1379" s="241"/>
      <c r="AR1379" s="125"/>
      <c r="AS1379" s="125"/>
      <c r="AT1379" s="238"/>
      <c r="AU1379" s="125"/>
      <c r="AV1379" s="125"/>
      <c r="AW1379" s="125"/>
      <c r="AX1379" s="238"/>
      <c r="AY1379" s="125"/>
      <c r="AZ1379" s="125"/>
      <c r="BA1379" s="125"/>
    </row>
    <row r="1380" spans="2:53" s="123" customFormat="1">
      <c r="B1380" s="125"/>
      <c r="D1380" s="125"/>
      <c r="I1380" s="125"/>
      <c r="Z1380" s="124"/>
      <c r="AA1380" s="74"/>
      <c r="AB1380" s="240"/>
      <c r="AD1380" s="124"/>
      <c r="AE1380" s="238"/>
      <c r="AF1380" s="239"/>
      <c r="AG1380" s="239"/>
      <c r="AH1380" s="124"/>
      <c r="AI1380" s="74"/>
      <c r="AJ1380" s="240"/>
      <c r="AL1380" s="124"/>
      <c r="AM1380" s="74"/>
      <c r="AP1380" s="125"/>
      <c r="AQ1380" s="241"/>
      <c r="AR1380" s="125"/>
      <c r="AS1380" s="125"/>
      <c r="AT1380" s="238"/>
      <c r="AU1380" s="125"/>
      <c r="AV1380" s="125"/>
      <c r="AW1380" s="125"/>
      <c r="AX1380" s="238"/>
      <c r="AY1380" s="125"/>
      <c r="AZ1380" s="125"/>
      <c r="BA1380" s="125"/>
    </row>
    <row r="1381" spans="2:53" s="123" customFormat="1">
      <c r="B1381" s="125"/>
      <c r="D1381" s="125"/>
      <c r="I1381" s="125"/>
      <c r="Z1381" s="124"/>
      <c r="AA1381" s="74"/>
      <c r="AB1381" s="240"/>
      <c r="AD1381" s="124"/>
      <c r="AE1381" s="238"/>
      <c r="AF1381" s="239"/>
      <c r="AG1381" s="239"/>
      <c r="AH1381" s="124"/>
      <c r="AI1381" s="74"/>
      <c r="AJ1381" s="240"/>
      <c r="AL1381" s="124"/>
      <c r="AM1381" s="74"/>
      <c r="AP1381" s="125"/>
      <c r="AQ1381" s="241"/>
      <c r="AR1381" s="125"/>
      <c r="AS1381" s="125"/>
      <c r="AT1381" s="238"/>
      <c r="AU1381" s="125"/>
      <c r="AV1381" s="125"/>
      <c r="AW1381" s="125"/>
      <c r="AX1381" s="238"/>
      <c r="AY1381" s="125"/>
      <c r="AZ1381" s="125"/>
      <c r="BA1381" s="125"/>
    </row>
    <row r="1382" spans="2:53" s="123" customFormat="1">
      <c r="B1382" s="125"/>
      <c r="D1382" s="125"/>
      <c r="I1382" s="125"/>
      <c r="Z1382" s="124"/>
      <c r="AA1382" s="74"/>
      <c r="AB1382" s="240"/>
      <c r="AD1382" s="124"/>
      <c r="AE1382" s="238"/>
      <c r="AF1382" s="239"/>
      <c r="AG1382" s="239"/>
      <c r="AH1382" s="124"/>
      <c r="AI1382" s="74"/>
      <c r="AJ1382" s="240"/>
      <c r="AL1382" s="124"/>
      <c r="AM1382" s="74"/>
      <c r="AP1382" s="125"/>
      <c r="AQ1382" s="241"/>
      <c r="AR1382" s="125"/>
      <c r="AS1382" s="125"/>
      <c r="AT1382" s="238"/>
      <c r="AU1382" s="125"/>
      <c r="AV1382" s="125"/>
      <c r="AW1382" s="125"/>
      <c r="AX1382" s="238"/>
      <c r="AY1382" s="125"/>
      <c r="AZ1382" s="125"/>
      <c r="BA1382" s="125"/>
    </row>
    <row r="1383" spans="2:53" s="123" customFormat="1">
      <c r="B1383" s="125"/>
      <c r="D1383" s="125"/>
      <c r="I1383" s="125"/>
      <c r="Z1383" s="124"/>
      <c r="AA1383" s="74"/>
      <c r="AB1383" s="240"/>
      <c r="AD1383" s="124"/>
      <c r="AE1383" s="238"/>
      <c r="AF1383" s="239"/>
      <c r="AG1383" s="239"/>
      <c r="AH1383" s="124"/>
      <c r="AI1383" s="74"/>
      <c r="AJ1383" s="240"/>
      <c r="AL1383" s="124"/>
      <c r="AM1383" s="74"/>
      <c r="AP1383" s="125"/>
      <c r="AQ1383" s="241"/>
      <c r="AR1383" s="125"/>
      <c r="AS1383" s="125"/>
      <c r="AT1383" s="238"/>
      <c r="AU1383" s="125"/>
      <c r="AV1383" s="125"/>
      <c r="AW1383" s="125"/>
      <c r="AX1383" s="238"/>
      <c r="AY1383" s="125"/>
      <c r="AZ1383" s="125"/>
      <c r="BA1383" s="125"/>
    </row>
    <row r="1384" spans="2:53" s="123" customFormat="1">
      <c r="B1384" s="125"/>
      <c r="D1384" s="125"/>
      <c r="I1384" s="125"/>
      <c r="Z1384" s="124"/>
      <c r="AA1384" s="74"/>
      <c r="AB1384" s="240"/>
      <c r="AD1384" s="124"/>
      <c r="AE1384" s="238"/>
      <c r="AF1384" s="239"/>
      <c r="AG1384" s="239"/>
      <c r="AH1384" s="124"/>
      <c r="AI1384" s="74"/>
      <c r="AJ1384" s="240"/>
      <c r="AL1384" s="124"/>
      <c r="AM1384" s="74"/>
      <c r="AP1384" s="125"/>
      <c r="AQ1384" s="241"/>
      <c r="AR1384" s="125"/>
      <c r="AS1384" s="125"/>
      <c r="AT1384" s="238"/>
      <c r="AU1384" s="125"/>
      <c r="AV1384" s="125"/>
      <c r="AW1384" s="125"/>
      <c r="AX1384" s="238"/>
      <c r="AY1384" s="125"/>
      <c r="AZ1384" s="125"/>
      <c r="BA1384" s="125"/>
    </row>
    <row r="1385" spans="2:53" s="123" customFormat="1">
      <c r="B1385" s="125"/>
      <c r="D1385" s="125"/>
      <c r="I1385" s="125"/>
      <c r="Z1385" s="124"/>
      <c r="AA1385" s="74"/>
      <c r="AB1385" s="240"/>
      <c r="AD1385" s="124"/>
      <c r="AE1385" s="238"/>
      <c r="AF1385" s="239"/>
      <c r="AG1385" s="239"/>
      <c r="AH1385" s="124"/>
      <c r="AI1385" s="74"/>
      <c r="AJ1385" s="240"/>
      <c r="AL1385" s="124"/>
      <c r="AM1385" s="74"/>
      <c r="AP1385" s="125"/>
      <c r="AQ1385" s="241"/>
      <c r="AR1385" s="125"/>
      <c r="AS1385" s="125"/>
      <c r="AT1385" s="238"/>
      <c r="AU1385" s="125"/>
      <c r="AV1385" s="125"/>
      <c r="AW1385" s="125"/>
      <c r="AX1385" s="238"/>
      <c r="AY1385" s="125"/>
      <c r="AZ1385" s="125"/>
      <c r="BA1385" s="125"/>
    </row>
    <row r="1386" spans="2:53" s="123" customFormat="1">
      <c r="B1386" s="125"/>
      <c r="D1386" s="125"/>
      <c r="I1386" s="125"/>
      <c r="Z1386" s="124"/>
      <c r="AA1386" s="74"/>
      <c r="AB1386" s="240"/>
      <c r="AD1386" s="124"/>
      <c r="AE1386" s="238"/>
      <c r="AF1386" s="239"/>
      <c r="AG1386" s="239"/>
      <c r="AH1386" s="124"/>
      <c r="AI1386" s="74"/>
      <c r="AJ1386" s="240"/>
      <c r="AL1386" s="124"/>
      <c r="AM1386" s="74"/>
      <c r="AP1386" s="125"/>
      <c r="AQ1386" s="241"/>
      <c r="AR1386" s="125"/>
      <c r="AS1386" s="125"/>
      <c r="AT1386" s="238"/>
      <c r="AU1386" s="125"/>
      <c r="AV1386" s="125"/>
      <c r="AW1386" s="125"/>
      <c r="AX1386" s="238"/>
      <c r="AY1386" s="125"/>
      <c r="AZ1386" s="125"/>
      <c r="BA1386" s="125"/>
    </row>
    <row r="1387" spans="2:53" s="123" customFormat="1">
      <c r="B1387" s="125"/>
      <c r="D1387" s="125"/>
      <c r="I1387" s="125"/>
      <c r="Z1387" s="124"/>
      <c r="AA1387" s="74"/>
      <c r="AB1387" s="240"/>
      <c r="AD1387" s="124"/>
      <c r="AE1387" s="238"/>
      <c r="AF1387" s="239"/>
      <c r="AG1387" s="239"/>
      <c r="AH1387" s="124"/>
      <c r="AI1387" s="74"/>
      <c r="AJ1387" s="240"/>
      <c r="AL1387" s="124"/>
      <c r="AM1387" s="74"/>
      <c r="AP1387" s="125"/>
      <c r="AQ1387" s="241"/>
      <c r="AR1387" s="125"/>
      <c r="AS1387" s="125"/>
      <c r="AT1387" s="238"/>
      <c r="AU1387" s="125"/>
      <c r="AV1387" s="125"/>
      <c r="AW1387" s="125"/>
      <c r="AX1387" s="238"/>
      <c r="AY1387" s="125"/>
      <c r="AZ1387" s="125"/>
      <c r="BA1387" s="125"/>
    </row>
    <row r="1388" spans="2:53" s="123" customFormat="1">
      <c r="B1388" s="125"/>
      <c r="D1388" s="125"/>
      <c r="I1388" s="125"/>
      <c r="Z1388" s="124"/>
      <c r="AA1388" s="74"/>
      <c r="AB1388" s="240"/>
      <c r="AD1388" s="124"/>
      <c r="AE1388" s="238"/>
      <c r="AF1388" s="239"/>
      <c r="AG1388" s="239"/>
      <c r="AH1388" s="124"/>
      <c r="AI1388" s="74"/>
      <c r="AJ1388" s="240"/>
      <c r="AL1388" s="124"/>
      <c r="AM1388" s="74"/>
      <c r="AP1388" s="125"/>
      <c r="AQ1388" s="241"/>
      <c r="AR1388" s="125"/>
      <c r="AS1388" s="125"/>
      <c r="AT1388" s="238"/>
      <c r="AU1388" s="125"/>
      <c r="AV1388" s="125"/>
      <c r="AW1388" s="125"/>
      <c r="AX1388" s="238"/>
      <c r="AY1388" s="125"/>
      <c r="AZ1388" s="125"/>
      <c r="BA1388" s="125"/>
    </row>
    <row r="1389" spans="2:53" s="123" customFormat="1">
      <c r="B1389" s="125"/>
      <c r="D1389" s="125"/>
      <c r="I1389" s="125"/>
      <c r="Z1389" s="124"/>
      <c r="AA1389" s="74"/>
      <c r="AB1389" s="240"/>
      <c r="AD1389" s="124"/>
      <c r="AE1389" s="238"/>
      <c r="AF1389" s="239"/>
      <c r="AG1389" s="239"/>
      <c r="AH1389" s="124"/>
      <c r="AI1389" s="74"/>
      <c r="AJ1389" s="240"/>
      <c r="AL1389" s="124"/>
      <c r="AM1389" s="74"/>
      <c r="AP1389" s="125"/>
      <c r="AQ1389" s="241"/>
      <c r="AR1389" s="125"/>
      <c r="AS1389" s="125"/>
      <c r="AT1389" s="238"/>
      <c r="AU1389" s="125"/>
      <c r="AV1389" s="125"/>
      <c r="AW1389" s="125"/>
      <c r="AX1389" s="238"/>
      <c r="AY1389" s="125"/>
      <c r="AZ1389" s="125"/>
      <c r="BA1389" s="125"/>
    </row>
    <row r="1390" spans="2:53" s="123" customFormat="1">
      <c r="B1390" s="125"/>
      <c r="D1390" s="125"/>
      <c r="I1390" s="125"/>
      <c r="Z1390" s="124"/>
      <c r="AA1390" s="74"/>
      <c r="AB1390" s="240"/>
      <c r="AD1390" s="124"/>
      <c r="AE1390" s="238"/>
      <c r="AF1390" s="239"/>
      <c r="AG1390" s="239"/>
      <c r="AH1390" s="124"/>
      <c r="AI1390" s="74"/>
      <c r="AJ1390" s="240"/>
      <c r="AL1390" s="124"/>
      <c r="AM1390" s="74"/>
      <c r="AP1390" s="125"/>
      <c r="AQ1390" s="241"/>
      <c r="AR1390" s="125"/>
      <c r="AS1390" s="125"/>
      <c r="AT1390" s="238"/>
      <c r="AU1390" s="125"/>
      <c r="AV1390" s="125"/>
      <c r="AW1390" s="125"/>
      <c r="AX1390" s="238"/>
      <c r="AY1390" s="125"/>
      <c r="AZ1390" s="125"/>
      <c r="BA1390" s="125"/>
    </row>
    <row r="1391" spans="2:53" s="123" customFormat="1">
      <c r="B1391" s="125"/>
      <c r="D1391" s="125"/>
      <c r="I1391" s="125"/>
      <c r="Z1391" s="124"/>
      <c r="AA1391" s="74"/>
      <c r="AB1391" s="240"/>
      <c r="AD1391" s="124"/>
      <c r="AE1391" s="238"/>
      <c r="AF1391" s="239"/>
      <c r="AG1391" s="239"/>
      <c r="AH1391" s="124"/>
      <c r="AI1391" s="74"/>
      <c r="AJ1391" s="240"/>
      <c r="AL1391" s="124"/>
      <c r="AM1391" s="74"/>
      <c r="AP1391" s="125"/>
      <c r="AQ1391" s="241"/>
      <c r="AR1391" s="125"/>
      <c r="AS1391" s="125"/>
      <c r="AT1391" s="238"/>
      <c r="AU1391" s="125"/>
      <c r="AV1391" s="125"/>
      <c r="AW1391" s="125"/>
      <c r="AX1391" s="238"/>
      <c r="AY1391" s="125"/>
      <c r="AZ1391" s="125"/>
      <c r="BA1391" s="125"/>
    </row>
    <row r="1392" spans="2:53" s="123" customFormat="1">
      <c r="B1392" s="125"/>
      <c r="D1392" s="125"/>
      <c r="I1392" s="125"/>
      <c r="Z1392" s="124"/>
      <c r="AA1392" s="74"/>
      <c r="AB1392" s="240"/>
      <c r="AD1392" s="124"/>
      <c r="AE1392" s="238"/>
      <c r="AF1392" s="239"/>
      <c r="AG1392" s="239"/>
      <c r="AH1392" s="124"/>
      <c r="AI1392" s="74"/>
      <c r="AJ1392" s="240"/>
      <c r="AL1392" s="124"/>
      <c r="AM1392" s="74"/>
      <c r="AP1392" s="125"/>
      <c r="AQ1392" s="241"/>
      <c r="AR1392" s="125"/>
      <c r="AS1392" s="125"/>
      <c r="AT1392" s="238"/>
      <c r="AU1392" s="125"/>
      <c r="AV1392" s="125"/>
      <c r="AW1392" s="125"/>
      <c r="AX1392" s="238"/>
      <c r="AY1392" s="125"/>
      <c r="AZ1392" s="125"/>
      <c r="BA1392" s="125"/>
    </row>
    <row r="1393" spans="2:53" s="123" customFormat="1">
      <c r="B1393" s="125"/>
      <c r="D1393" s="125"/>
      <c r="I1393" s="125"/>
      <c r="Z1393" s="124"/>
      <c r="AA1393" s="74"/>
      <c r="AB1393" s="240"/>
      <c r="AD1393" s="124"/>
      <c r="AE1393" s="238"/>
      <c r="AF1393" s="239"/>
      <c r="AG1393" s="239"/>
      <c r="AH1393" s="124"/>
      <c r="AI1393" s="74"/>
      <c r="AJ1393" s="240"/>
      <c r="AL1393" s="124"/>
      <c r="AM1393" s="74"/>
      <c r="AP1393" s="125"/>
      <c r="AQ1393" s="241"/>
      <c r="AR1393" s="125"/>
      <c r="AS1393" s="125"/>
      <c r="AT1393" s="238"/>
      <c r="AU1393" s="125"/>
      <c r="AV1393" s="125"/>
      <c r="AW1393" s="125"/>
      <c r="AX1393" s="238"/>
      <c r="AY1393" s="125"/>
      <c r="AZ1393" s="125"/>
      <c r="BA1393" s="125"/>
    </row>
    <row r="1394" spans="2:53" s="123" customFormat="1">
      <c r="B1394" s="125"/>
      <c r="D1394" s="125"/>
      <c r="I1394" s="125"/>
      <c r="Z1394" s="124"/>
      <c r="AA1394" s="74"/>
      <c r="AB1394" s="240"/>
      <c r="AD1394" s="124"/>
      <c r="AE1394" s="238"/>
      <c r="AF1394" s="239"/>
      <c r="AG1394" s="239"/>
      <c r="AH1394" s="124"/>
      <c r="AI1394" s="74"/>
      <c r="AJ1394" s="240"/>
      <c r="AL1394" s="124"/>
      <c r="AM1394" s="74"/>
      <c r="AP1394" s="125"/>
      <c r="AQ1394" s="241"/>
      <c r="AR1394" s="125"/>
      <c r="AS1394" s="125"/>
      <c r="AT1394" s="238"/>
      <c r="AU1394" s="125"/>
      <c r="AV1394" s="125"/>
      <c r="AW1394" s="125"/>
      <c r="AX1394" s="238"/>
      <c r="AY1394" s="125"/>
      <c r="AZ1394" s="125"/>
      <c r="BA1394" s="125"/>
    </row>
    <row r="1395" spans="2:53" s="123" customFormat="1">
      <c r="B1395" s="125"/>
      <c r="D1395" s="125"/>
      <c r="I1395" s="125"/>
      <c r="Z1395" s="124"/>
      <c r="AA1395" s="74"/>
      <c r="AB1395" s="240"/>
      <c r="AD1395" s="124"/>
      <c r="AE1395" s="238"/>
      <c r="AF1395" s="239"/>
      <c r="AG1395" s="239"/>
      <c r="AH1395" s="124"/>
      <c r="AI1395" s="74"/>
      <c r="AJ1395" s="240"/>
      <c r="AL1395" s="124"/>
      <c r="AM1395" s="74"/>
      <c r="AP1395" s="125"/>
      <c r="AQ1395" s="241"/>
      <c r="AR1395" s="125"/>
      <c r="AS1395" s="125"/>
      <c r="AT1395" s="238"/>
      <c r="AU1395" s="125"/>
      <c r="AV1395" s="125"/>
      <c r="AW1395" s="125"/>
      <c r="AX1395" s="238"/>
      <c r="AY1395" s="125"/>
      <c r="AZ1395" s="125"/>
      <c r="BA1395" s="125"/>
    </row>
    <row r="1396" spans="2:53" s="123" customFormat="1">
      <c r="B1396" s="125"/>
      <c r="D1396" s="125"/>
      <c r="I1396" s="125"/>
      <c r="Z1396" s="124"/>
      <c r="AA1396" s="74"/>
      <c r="AB1396" s="240"/>
      <c r="AD1396" s="124"/>
      <c r="AE1396" s="238"/>
      <c r="AF1396" s="239"/>
      <c r="AG1396" s="239"/>
      <c r="AH1396" s="124"/>
      <c r="AI1396" s="74"/>
      <c r="AJ1396" s="240"/>
      <c r="AL1396" s="124"/>
      <c r="AM1396" s="74"/>
      <c r="AP1396" s="125"/>
      <c r="AQ1396" s="241"/>
      <c r="AR1396" s="125"/>
      <c r="AS1396" s="125"/>
      <c r="AT1396" s="238"/>
      <c r="AU1396" s="125"/>
      <c r="AV1396" s="125"/>
      <c r="AW1396" s="125"/>
      <c r="AX1396" s="238"/>
      <c r="AY1396" s="125"/>
      <c r="AZ1396" s="125"/>
      <c r="BA1396" s="125"/>
    </row>
    <row r="1397" spans="2:53" s="123" customFormat="1">
      <c r="B1397" s="125"/>
      <c r="D1397" s="125"/>
      <c r="I1397" s="125"/>
      <c r="Z1397" s="124"/>
      <c r="AA1397" s="74"/>
      <c r="AB1397" s="240"/>
      <c r="AD1397" s="124"/>
      <c r="AE1397" s="238"/>
      <c r="AF1397" s="239"/>
      <c r="AG1397" s="239"/>
      <c r="AH1397" s="124"/>
      <c r="AI1397" s="74"/>
      <c r="AJ1397" s="240"/>
      <c r="AL1397" s="124"/>
      <c r="AM1397" s="74"/>
      <c r="AP1397" s="125"/>
      <c r="AQ1397" s="241"/>
      <c r="AR1397" s="125"/>
      <c r="AS1397" s="125"/>
      <c r="AT1397" s="238"/>
      <c r="AU1397" s="125"/>
      <c r="AV1397" s="125"/>
      <c r="AW1397" s="125"/>
      <c r="AX1397" s="238"/>
      <c r="AY1397" s="125"/>
      <c r="AZ1397" s="125"/>
      <c r="BA1397" s="125"/>
    </row>
    <row r="1398" spans="2:53" s="123" customFormat="1">
      <c r="B1398" s="125"/>
      <c r="D1398" s="125"/>
      <c r="I1398" s="125"/>
      <c r="Z1398" s="124"/>
      <c r="AA1398" s="74"/>
      <c r="AB1398" s="240"/>
      <c r="AD1398" s="124"/>
      <c r="AE1398" s="238"/>
      <c r="AF1398" s="239"/>
      <c r="AG1398" s="239"/>
      <c r="AH1398" s="124"/>
      <c r="AI1398" s="74"/>
      <c r="AJ1398" s="240"/>
      <c r="AL1398" s="124"/>
      <c r="AM1398" s="74"/>
      <c r="AP1398" s="125"/>
      <c r="AQ1398" s="241"/>
      <c r="AR1398" s="125"/>
      <c r="AS1398" s="125"/>
      <c r="AT1398" s="238"/>
      <c r="AU1398" s="125"/>
      <c r="AV1398" s="125"/>
      <c r="AW1398" s="125"/>
      <c r="AX1398" s="238"/>
      <c r="AY1398" s="125"/>
      <c r="AZ1398" s="125"/>
      <c r="BA1398" s="125"/>
    </row>
    <row r="1399" spans="2:53" s="123" customFormat="1">
      <c r="B1399" s="125"/>
      <c r="D1399" s="125"/>
      <c r="I1399" s="125"/>
      <c r="Z1399" s="124"/>
      <c r="AA1399" s="74"/>
      <c r="AB1399" s="240"/>
      <c r="AD1399" s="124"/>
      <c r="AE1399" s="238"/>
      <c r="AF1399" s="239"/>
      <c r="AG1399" s="239"/>
      <c r="AH1399" s="124"/>
      <c r="AI1399" s="74"/>
      <c r="AJ1399" s="240"/>
      <c r="AL1399" s="124"/>
      <c r="AM1399" s="74"/>
      <c r="AP1399" s="125"/>
      <c r="AQ1399" s="241"/>
      <c r="AR1399" s="125"/>
      <c r="AS1399" s="125"/>
      <c r="AT1399" s="238"/>
      <c r="AU1399" s="125"/>
      <c r="AV1399" s="125"/>
      <c r="AW1399" s="125"/>
      <c r="AX1399" s="238"/>
      <c r="AY1399" s="125"/>
      <c r="AZ1399" s="125"/>
      <c r="BA1399" s="125"/>
    </row>
    <row r="1400" spans="2:53" s="123" customFormat="1">
      <c r="B1400" s="125"/>
      <c r="D1400" s="125"/>
      <c r="I1400" s="125"/>
      <c r="Z1400" s="124"/>
      <c r="AA1400" s="74"/>
      <c r="AB1400" s="240"/>
      <c r="AD1400" s="124"/>
      <c r="AE1400" s="238"/>
      <c r="AF1400" s="239"/>
      <c r="AG1400" s="239"/>
      <c r="AH1400" s="124"/>
      <c r="AI1400" s="74"/>
      <c r="AJ1400" s="240"/>
      <c r="AL1400" s="124"/>
      <c r="AM1400" s="74"/>
      <c r="AP1400" s="125"/>
      <c r="AQ1400" s="241"/>
      <c r="AR1400" s="125"/>
      <c r="AS1400" s="125"/>
      <c r="AT1400" s="238"/>
      <c r="AU1400" s="125"/>
      <c r="AV1400" s="125"/>
      <c r="AW1400" s="125"/>
      <c r="AX1400" s="238"/>
      <c r="AY1400" s="125"/>
      <c r="AZ1400" s="125"/>
      <c r="BA1400" s="125"/>
    </row>
    <row r="1401" spans="2:53" s="123" customFormat="1">
      <c r="B1401" s="125"/>
      <c r="D1401" s="125"/>
      <c r="I1401" s="125"/>
      <c r="Z1401" s="124"/>
      <c r="AA1401" s="74"/>
      <c r="AB1401" s="240"/>
      <c r="AD1401" s="124"/>
      <c r="AE1401" s="238"/>
      <c r="AF1401" s="239"/>
      <c r="AG1401" s="239"/>
      <c r="AH1401" s="124"/>
      <c r="AI1401" s="74"/>
      <c r="AJ1401" s="240"/>
      <c r="AL1401" s="124"/>
      <c r="AM1401" s="74"/>
      <c r="AP1401" s="125"/>
      <c r="AQ1401" s="241"/>
      <c r="AR1401" s="125"/>
      <c r="AS1401" s="125"/>
      <c r="AT1401" s="238"/>
      <c r="AU1401" s="125"/>
      <c r="AV1401" s="125"/>
      <c r="AW1401" s="125"/>
      <c r="AX1401" s="238"/>
      <c r="AY1401" s="125"/>
      <c r="AZ1401" s="125"/>
      <c r="BA1401" s="125"/>
    </row>
    <row r="1402" spans="2:53" s="123" customFormat="1">
      <c r="B1402" s="125"/>
      <c r="D1402" s="125"/>
      <c r="I1402" s="125"/>
      <c r="Z1402" s="124"/>
      <c r="AA1402" s="74"/>
      <c r="AB1402" s="240"/>
      <c r="AD1402" s="124"/>
      <c r="AE1402" s="238"/>
      <c r="AF1402" s="239"/>
      <c r="AG1402" s="239"/>
      <c r="AH1402" s="124"/>
      <c r="AI1402" s="74"/>
      <c r="AJ1402" s="240"/>
      <c r="AL1402" s="124"/>
      <c r="AM1402" s="74"/>
      <c r="AP1402" s="125"/>
      <c r="AQ1402" s="241"/>
      <c r="AR1402" s="125"/>
      <c r="AS1402" s="125"/>
      <c r="AT1402" s="238"/>
      <c r="AU1402" s="125"/>
      <c r="AV1402" s="125"/>
      <c r="AW1402" s="125"/>
      <c r="AX1402" s="238"/>
      <c r="AY1402" s="125"/>
      <c r="AZ1402" s="125"/>
      <c r="BA1402" s="125"/>
    </row>
    <row r="1403" spans="2:53" s="123" customFormat="1">
      <c r="B1403" s="125"/>
      <c r="D1403" s="125"/>
      <c r="I1403" s="125"/>
      <c r="Z1403" s="124"/>
      <c r="AA1403" s="74"/>
      <c r="AB1403" s="240"/>
      <c r="AD1403" s="124"/>
      <c r="AE1403" s="238"/>
      <c r="AF1403" s="239"/>
      <c r="AG1403" s="239"/>
      <c r="AH1403" s="124"/>
      <c r="AI1403" s="74"/>
      <c r="AJ1403" s="240"/>
      <c r="AL1403" s="124"/>
      <c r="AM1403" s="74"/>
      <c r="AP1403" s="125"/>
      <c r="AQ1403" s="241"/>
      <c r="AR1403" s="125"/>
      <c r="AS1403" s="125"/>
      <c r="AT1403" s="238"/>
      <c r="AU1403" s="125"/>
      <c r="AV1403" s="125"/>
      <c r="AW1403" s="125"/>
      <c r="AX1403" s="238"/>
      <c r="AY1403" s="125"/>
      <c r="AZ1403" s="125"/>
      <c r="BA1403" s="125"/>
    </row>
    <row r="1404" spans="2:53" s="123" customFormat="1">
      <c r="B1404" s="125"/>
      <c r="D1404" s="125"/>
      <c r="I1404" s="125"/>
      <c r="Z1404" s="124"/>
      <c r="AA1404" s="74"/>
      <c r="AB1404" s="240"/>
      <c r="AD1404" s="124"/>
      <c r="AE1404" s="238"/>
      <c r="AF1404" s="239"/>
      <c r="AG1404" s="239"/>
      <c r="AH1404" s="124"/>
      <c r="AI1404" s="74"/>
      <c r="AJ1404" s="240"/>
      <c r="AL1404" s="124"/>
      <c r="AM1404" s="74"/>
      <c r="AP1404" s="125"/>
      <c r="AQ1404" s="241"/>
      <c r="AR1404" s="125"/>
      <c r="AS1404" s="125"/>
      <c r="AT1404" s="238"/>
      <c r="AU1404" s="125"/>
      <c r="AV1404" s="125"/>
      <c r="AW1404" s="125"/>
      <c r="AX1404" s="238"/>
      <c r="AY1404" s="125"/>
      <c r="AZ1404" s="125"/>
      <c r="BA1404" s="125"/>
    </row>
    <row r="1405" spans="2:53" s="123" customFormat="1">
      <c r="B1405" s="125"/>
      <c r="D1405" s="125"/>
      <c r="I1405" s="125"/>
      <c r="Z1405" s="124"/>
      <c r="AA1405" s="74"/>
      <c r="AB1405" s="240"/>
      <c r="AD1405" s="124"/>
      <c r="AE1405" s="238"/>
      <c r="AF1405" s="239"/>
      <c r="AG1405" s="239"/>
      <c r="AH1405" s="124"/>
      <c r="AI1405" s="74"/>
      <c r="AJ1405" s="240"/>
      <c r="AL1405" s="124"/>
      <c r="AM1405" s="74"/>
      <c r="AP1405" s="125"/>
      <c r="AQ1405" s="241"/>
      <c r="AR1405" s="125"/>
      <c r="AS1405" s="125"/>
      <c r="AT1405" s="238"/>
      <c r="AU1405" s="125"/>
      <c r="AV1405" s="125"/>
      <c r="AW1405" s="125"/>
      <c r="AX1405" s="238"/>
      <c r="AY1405" s="125"/>
      <c r="AZ1405" s="125"/>
      <c r="BA1405" s="125"/>
    </row>
    <row r="1406" spans="2:53" s="123" customFormat="1">
      <c r="B1406" s="125"/>
      <c r="D1406" s="125"/>
      <c r="I1406" s="125"/>
      <c r="Z1406" s="124"/>
      <c r="AA1406" s="74"/>
      <c r="AB1406" s="240"/>
      <c r="AD1406" s="124"/>
      <c r="AE1406" s="238"/>
      <c r="AF1406" s="239"/>
      <c r="AG1406" s="239"/>
      <c r="AH1406" s="124"/>
      <c r="AI1406" s="74"/>
      <c r="AJ1406" s="240"/>
      <c r="AL1406" s="124"/>
      <c r="AM1406" s="74"/>
      <c r="AP1406" s="125"/>
      <c r="AQ1406" s="241"/>
      <c r="AR1406" s="125"/>
      <c r="AS1406" s="125"/>
      <c r="AT1406" s="238"/>
      <c r="AU1406" s="125"/>
      <c r="AV1406" s="125"/>
      <c r="AW1406" s="125"/>
      <c r="AX1406" s="238"/>
      <c r="AY1406" s="125"/>
      <c r="AZ1406" s="125"/>
      <c r="BA1406" s="125"/>
    </row>
    <row r="1407" spans="2:53" s="123" customFormat="1">
      <c r="B1407" s="125"/>
      <c r="D1407" s="125"/>
      <c r="I1407" s="125"/>
      <c r="Z1407" s="124"/>
      <c r="AA1407" s="74"/>
      <c r="AB1407" s="240"/>
      <c r="AD1407" s="124"/>
      <c r="AE1407" s="238"/>
      <c r="AF1407" s="239"/>
      <c r="AG1407" s="239"/>
      <c r="AH1407" s="124"/>
      <c r="AI1407" s="74"/>
      <c r="AJ1407" s="240"/>
      <c r="AL1407" s="124"/>
      <c r="AM1407" s="74"/>
      <c r="AP1407" s="125"/>
      <c r="AQ1407" s="241"/>
      <c r="AR1407" s="125"/>
      <c r="AS1407" s="125"/>
      <c r="AT1407" s="238"/>
      <c r="AU1407" s="125"/>
      <c r="AV1407" s="125"/>
      <c r="AW1407" s="125"/>
      <c r="AX1407" s="238"/>
      <c r="AY1407" s="125"/>
      <c r="AZ1407" s="125"/>
      <c r="BA1407" s="125"/>
    </row>
    <row r="1408" spans="2:53" s="123" customFormat="1">
      <c r="B1408" s="125"/>
      <c r="D1408" s="125"/>
      <c r="I1408" s="125"/>
      <c r="Z1408" s="124"/>
      <c r="AA1408" s="74"/>
      <c r="AB1408" s="240"/>
      <c r="AD1408" s="124"/>
      <c r="AE1408" s="238"/>
      <c r="AF1408" s="239"/>
      <c r="AG1408" s="239"/>
      <c r="AH1408" s="124"/>
      <c r="AI1408" s="74"/>
      <c r="AJ1408" s="240"/>
      <c r="AL1408" s="124"/>
      <c r="AM1408" s="74"/>
      <c r="AP1408" s="125"/>
      <c r="AQ1408" s="241"/>
      <c r="AR1408" s="125"/>
      <c r="AS1408" s="125"/>
      <c r="AT1408" s="238"/>
      <c r="AU1408" s="125"/>
      <c r="AV1408" s="125"/>
      <c r="AW1408" s="125"/>
      <c r="AX1408" s="238"/>
      <c r="AY1408" s="125"/>
      <c r="AZ1408" s="125"/>
      <c r="BA1408" s="125"/>
    </row>
    <row r="1409" spans="2:53" s="123" customFormat="1">
      <c r="B1409" s="125"/>
      <c r="D1409" s="125"/>
      <c r="I1409" s="125"/>
      <c r="Z1409" s="124"/>
      <c r="AA1409" s="74"/>
      <c r="AB1409" s="240"/>
      <c r="AD1409" s="124"/>
      <c r="AE1409" s="238"/>
      <c r="AF1409" s="239"/>
      <c r="AG1409" s="239"/>
      <c r="AH1409" s="124"/>
      <c r="AI1409" s="74"/>
      <c r="AJ1409" s="240"/>
      <c r="AL1409" s="124"/>
      <c r="AM1409" s="74"/>
      <c r="AP1409" s="125"/>
      <c r="AQ1409" s="241"/>
      <c r="AR1409" s="125"/>
      <c r="AS1409" s="125"/>
      <c r="AT1409" s="238"/>
      <c r="AU1409" s="125"/>
      <c r="AV1409" s="125"/>
      <c r="AW1409" s="125"/>
      <c r="AX1409" s="238"/>
      <c r="AY1409" s="125"/>
      <c r="AZ1409" s="125"/>
      <c r="BA1409" s="125"/>
    </row>
    <row r="1410" spans="2:53" s="123" customFormat="1">
      <c r="B1410" s="125"/>
      <c r="D1410" s="125"/>
      <c r="I1410" s="125"/>
      <c r="Z1410" s="124"/>
      <c r="AA1410" s="74"/>
      <c r="AB1410" s="240"/>
      <c r="AD1410" s="124"/>
      <c r="AE1410" s="238"/>
      <c r="AF1410" s="239"/>
      <c r="AG1410" s="239"/>
      <c r="AH1410" s="124"/>
      <c r="AI1410" s="74"/>
      <c r="AJ1410" s="240"/>
      <c r="AL1410" s="124"/>
      <c r="AM1410" s="74"/>
      <c r="AP1410" s="125"/>
      <c r="AQ1410" s="241"/>
      <c r="AR1410" s="125"/>
      <c r="AS1410" s="125"/>
      <c r="AT1410" s="238"/>
      <c r="AU1410" s="125"/>
      <c r="AV1410" s="125"/>
      <c r="AW1410" s="125"/>
      <c r="AX1410" s="238"/>
      <c r="AY1410" s="125"/>
      <c r="AZ1410" s="125"/>
      <c r="BA1410" s="125"/>
    </row>
    <row r="1411" spans="2:53" s="123" customFormat="1">
      <c r="B1411" s="125"/>
      <c r="D1411" s="125"/>
      <c r="I1411" s="125"/>
      <c r="Z1411" s="124"/>
      <c r="AA1411" s="74"/>
      <c r="AB1411" s="240"/>
      <c r="AD1411" s="124"/>
      <c r="AE1411" s="238"/>
      <c r="AF1411" s="239"/>
      <c r="AG1411" s="239"/>
      <c r="AH1411" s="124"/>
      <c r="AI1411" s="74"/>
      <c r="AJ1411" s="240"/>
      <c r="AL1411" s="124"/>
      <c r="AM1411" s="74"/>
      <c r="AP1411" s="125"/>
      <c r="AQ1411" s="241"/>
      <c r="AR1411" s="125"/>
      <c r="AS1411" s="125"/>
      <c r="AT1411" s="238"/>
      <c r="AU1411" s="125"/>
      <c r="AV1411" s="125"/>
      <c r="AW1411" s="125"/>
      <c r="AX1411" s="238"/>
      <c r="AY1411" s="125"/>
      <c r="AZ1411" s="125"/>
      <c r="BA1411" s="125"/>
    </row>
    <row r="1412" spans="2:53" s="123" customFormat="1">
      <c r="B1412" s="125"/>
      <c r="D1412" s="125"/>
      <c r="I1412" s="125"/>
      <c r="Z1412" s="124"/>
      <c r="AA1412" s="74"/>
      <c r="AB1412" s="240"/>
      <c r="AD1412" s="124"/>
      <c r="AE1412" s="238"/>
      <c r="AF1412" s="239"/>
      <c r="AG1412" s="239"/>
      <c r="AH1412" s="124"/>
      <c r="AI1412" s="74"/>
      <c r="AJ1412" s="240"/>
      <c r="AL1412" s="124"/>
      <c r="AM1412" s="74"/>
      <c r="AP1412" s="125"/>
      <c r="AQ1412" s="241"/>
      <c r="AR1412" s="125"/>
      <c r="AS1412" s="125"/>
      <c r="AT1412" s="238"/>
      <c r="AU1412" s="125"/>
      <c r="AV1412" s="125"/>
      <c r="AW1412" s="125"/>
      <c r="AX1412" s="238"/>
      <c r="AY1412" s="125"/>
      <c r="AZ1412" s="125"/>
      <c r="BA1412" s="125"/>
    </row>
    <row r="1413" spans="2:53" s="123" customFormat="1">
      <c r="B1413" s="125"/>
      <c r="D1413" s="125"/>
      <c r="I1413" s="125"/>
      <c r="Z1413" s="124"/>
      <c r="AA1413" s="74"/>
      <c r="AB1413" s="240"/>
      <c r="AD1413" s="124"/>
      <c r="AE1413" s="238"/>
      <c r="AF1413" s="239"/>
      <c r="AG1413" s="239"/>
      <c r="AH1413" s="124"/>
      <c r="AI1413" s="74"/>
      <c r="AJ1413" s="240"/>
      <c r="AL1413" s="124"/>
      <c r="AM1413" s="74"/>
      <c r="AP1413" s="125"/>
      <c r="AQ1413" s="241"/>
      <c r="AR1413" s="125"/>
      <c r="AS1413" s="125"/>
      <c r="AT1413" s="238"/>
      <c r="AU1413" s="125"/>
      <c r="AV1413" s="125"/>
      <c r="AW1413" s="125"/>
      <c r="AX1413" s="238"/>
      <c r="AY1413" s="125"/>
      <c r="AZ1413" s="125"/>
      <c r="BA1413" s="125"/>
    </row>
    <row r="1414" spans="2:53" s="123" customFormat="1">
      <c r="B1414" s="125"/>
      <c r="D1414" s="125"/>
      <c r="I1414" s="125"/>
      <c r="Z1414" s="124"/>
      <c r="AA1414" s="74"/>
      <c r="AB1414" s="240"/>
      <c r="AD1414" s="124"/>
      <c r="AE1414" s="238"/>
      <c r="AF1414" s="239"/>
      <c r="AG1414" s="239"/>
      <c r="AH1414" s="124"/>
      <c r="AI1414" s="74"/>
      <c r="AJ1414" s="240"/>
      <c r="AL1414" s="124"/>
      <c r="AM1414" s="74"/>
      <c r="AP1414" s="125"/>
      <c r="AQ1414" s="241"/>
      <c r="AR1414" s="125"/>
      <c r="AS1414" s="125"/>
      <c r="AT1414" s="238"/>
      <c r="AU1414" s="125"/>
      <c r="AV1414" s="125"/>
      <c r="AW1414" s="125"/>
      <c r="AX1414" s="238"/>
      <c r="AY1414" s="125"/>
      <c r="AZ1414" s="125"/>
      <c r="BA1414" s="125"/>
    </row>
    <row r="1415" spans="2:53" s="123" customFormat="1">
      <c r="B1415" s="125"/>
      <c r="D1415" s="125"/>
      <c r="I1415" s="125"/>
      <c r="Z1415" s="124"/>
      <c r="AA1415" s="74"/>
      <c r="AB1415" s="240"/>
      <c r="AD1415" s="124"/>
      <c r="AE1415" s="238"/>
      <c r="AF1415" s="239"/>
      <c r="AG1415" s="239"/>
      <c r="AH1415" s="124"/>
      <c r="AI1415" s="74"/>
      <c r="AJ1415" s="240"/>
      <c r="AL1415" s="124"/>
      <c r="AM1415" s="74"/>
      <c r="AP1415" s="125"/>
      <c r="AQ1415" s="241"/>
      <c r="AR1415" s="125"/>
      <c r="AS1415" s="125"/>
      <c r="AT1415" s="238"/>
      <c r="AU1415" s="125"/>
      <c r="AV1415" s="125"/>
      <c r="AW1415" s="125"/>
      <c r="AX1415" s="238"/>
      <c r="AY1415" s="125"/>
      <c r="AZ1415" s="125"/>
      <c r="BA1415" s="125"/>
    </row>
    <row r="1416" spans="2:53" s="123" customFormat="1">
      <c r="B1416" s="125"/>
      <c r="D1416" s="125"/>
      <c r="I1416" s="125"/>
      <c r="Z1416" s="124"/>
      <c r="AA1416" s="74"/>
      <c r="AB1416" s="240"/>
      <c r="AD1416" s="124"/>
      <c r="AE1416" s="238"/>
      <c r="AF1416" s="239"/>
      <c r="AG1416" s="239"/>
      <c r="AH1416" s="124"/>
      <c r="AI1416" s="74"/>
      <c r="AJ1416" s="240"/>
      <c r="AL1416" s="124"/>
      <c r="AM1416" s="74"/>
      <c r="AP1416" s="125"/>
      <c r="AQ1416" s="241"/>
      <c r="AR1416" s="125"/>
      <c r="AS1416" s="125"/>
      <c r="AT1416" s="238"/>
      <c r="AU1416" s="125"/>
      <c r="AV1416" s="125"/>
      <c r="AW1416" s="125"/>
      <c r="AX1416" s="238"/>
      <c r="AY1416" s="125"/>
      <c r="AZ1416" s="125"/>
      <c r="BA1416" s="125"/>
    </row>
    <row r="1417" spans="2:53" s="123" customFormat="1">
      <c r="B1417" s="125"/>
      <c r="D1417" s="125"/>
      <c r="I1417" s="125"/>
      <c r="Z1417" s="124"/>
      <c r="AA1417" s="74"/>
      <c r="AB1417" s="240"/>
      <c r="AD1417" s="124"/>
      <c r="AE1417" s="238"/>
      <c r="AF1417" s="239"/>
      <c r="AG1417" s="239"/>
      <c r="AH1417" s="124"/>
      <c r="AI1417" s="74"/>
      <c r="AJ1417" s="240"/>
      <c r="AL1417" s="124"/>
      <c r="AM1417" s="74"/>
      <c r="AP1417" s="125"/>
      <c r="AQ1417" s="241"/>
      <c r="AR1417" s="125"/>
      <c r="AS1417" s="125"/>
      <c r="AT1417" s="238"/>
      <c r="AU1417" s="125"/>
      <c r="AV1417" s="125"/>
      <c r="AW1417" s="125"/>
      <c r="AX1417" s="238"/>
      <c r="AY1417" s="125"/>
      <c r="AZ1417" s="125"/>
      <c r="BA1417" s="125"/>
    </row>
    <row r="1418" spans="2:53" s="123" customFormat="1">
      <c r="B1418" s="125"/>
      <c r="D1418" s="125"/>
      <c r="I1418" s="125"/>
      <c r="Z1418" s="124"/>
      <c r="AA1418" s="74"/>
      <c r="AB1418" s="240"/>
      <c r="AD1418" s="124"/>
      <c r="AE1418" s="238"/>
      <c r="AF1418" s="239"/>
      <c r="AG1418" s="239"/>
      <c r="AH1418" s="124"/>
      <c r="AI1418" s="74"/>
      <c r="AJ1418" s="240"/>
      <c r="AL1418" s="124"/>
      <c r="AM1418" s="74"/>
      <c r="AP1418" s="125"/>
      <c r="AQ1418" s="241"/>
      <c r="AR1418" s="125"/>
      <c r="AS1418" s="125"/>
      <c r="AT1418" s="238"/>
      <c r="AU1418" s="125"/>
      <c r="AV1418" s="125"/>
      <c r="AW1418" s="125"/>
      <c r="AX1418" s="238"/>
      <c r="AY1418" s="125"/>
      <c r="AZ1418" s="125"/>
      <c r="BA1418" s="125"/>
    </row>
    <row r="1419" spans="2:53" s="123" customFormat="1">
      <c r="B1419" s="125"/>
      <c r="D1419" s="125"/>
      <c r="I1419" s="125"/>
      <c r="Z1419" s="124"/>
      <c r="AA1419" s="74"/>
      <c r="AB1419" s="240"/>
      <c r="AD1419" s="124"/>
      <c r="AE1419" s="238"/>
      <c r="AF1419" s="239"/>
      <c r="AG1419" s="239"/>
      <c r="AH1419" s="124"/>
      <c r="AI1419" s="74"/>
      <c r="AJ1419" s="240"/>
      <c r="AL1419" s="124"/>
      <c r="AM1419" s="74"/>
      <c r="AP1419" s="125"/>
      <c r="AQ1419" s="241"/>
      <c r="AR1419" s="125"/>
      <c r="AS1419" s="125"/>
      <c r="AT1419" s="238"/>
      <c r="AU1419" s="125"/>
      <c r="AV1419" s="125"/>
      <c r="AW1419" s="125"/>
      <c r="AX1419" s="238"/>
      <c r="AY1419" s="125"/>
      <c r="AZ1419" s="125"/>
      <c r="BA1419" s="125"/>
    </row>
    <row r="1420" spans="2:53" s="123" customFormat="1">
      <c r="B1420" s="125"/>
      <c r="D1420" s="125"/>
      <c r="I1420" s="125"/>
      <c r="Z1420" s="124"/>
      <c r="AA1420" s="74"/>
      <c r="AB1420" s="240"/>
      <c r="AD1420" s="124"/>
      <c r="AE1420" s="238"/>
      <c r="AF1420" s="239"/>
      <c r="AG1420" s="239"/>
      <c r="AH1420" s="124"/>
      <c r="AI1420" s="74"/>
      <c r="AJ1420" s="240"/>
      <c r="AL1420" s="124"/>
      <c r="AM1420" s="74"/>
      <c r="AP1420" s="125"/>
      <c r="AQ1420" s="241"/>
      <c r="AR1420" s="125"/>
      <c r="AS1420" s="125"/>
      <c r="AT1420" s="238"/>
      <c r="AU1420" s="125"/>
      <c r="AV1420" s="125"/>
      <c r="AW1420" s="125"/>
      <c r="AX1420" s="238"/>
      <c r="AY1420" s="125"/>
      <c r="AZ1420" s="125"/>
      <c r="BA1420" s="125"/>
    </row>
    <row r="1421" spans="2:53" s="123" customFormat="1">
      <c r="B1421" s="125"/>
      <c r="D1421" s="125"/>
      <c r="I1421" s="125"/>
      <c r="Z1421" s="124"/>
      <c r="AA1421" s="74"/>
      <c r="AB1421" s="240"/>
      <c r="AD1421" s="124"/>
      <c r="AE1421" s="238"/>
      <c r="AF1421" s="239"/>
      <c r="AG1421" s="239"/>
      <c r="AH1421" s="124"/>
      <c r="AI1421" s="74"/>
      <c r="AJ1421" s="240"/>
      <c r="AL1421" s="124"/>
      <c r="AM1421" s="74"/>
      <c r="AP1421" s="125"/>
      <c r="AQ1421" s="241"/>
      <c r="AR1421" s="125"/>
      <c r="AS1421" s="125"/>
      <c r="AT1421" s="238"/>
      <c r="AU1421" s="125"/>
      <c r="AV1421" s="125"/>
      <c r="AW1421" s="125"/>
      <c r="AX1421" s="238"/>
      <c r="AY1421" s="125"/>
      <c r="AZ1421" s="125"/>
      <c r="BA1421" s="125"/>
    </row>
    <row r="1422" spans="2:53" s="123" customFormat="1">
      <c r="B1422" s="125"/>
      <c r="D1422" s="125"/>
      <c r="I1422" s="125"/>
      <c r="Z1422" s="124"/>
      <c r="AA1422" s="74"/>
      <c r="AB1422" s="240"/>
      <c r="AD1422" s="124"/>
      <c r="AE1422" s="238"/>
      <c r="AF1422" s="239"/>
      <c r="AG1422" s="239"/>
      <c r="AH1422" s="124"/>
      <c r="AI1422" s="74"/>
      <c r="AJ1422" s="240"/>
      <c r="AL1422" s="124"/>
      <c r="AM1422" s="74"/>
      <c r="AP1422" s="125"/>
      <c r="AQ1422" s="241"/>
      <c r="AR1422" s="125"/>
      <c r="AS1422" s="125"/>
      <c r="AT1422" s="238"/>
      <c r="AU1422" s="125"/>
      <c r="AV1422" s="125"/>
      <c r="AW1422" s="125"/>
      <c r="AX1422" s="238"/>
      <c r="AY1422" s="125"/>
      <c r="AZ1422" s="125"/>
      <c r="BA1422" s="125"/>
    </row>
    <row r="1423" spans="2:53" s="123" customFormat="1">
      <c r="B1423" s="125"/>
      <c r="D1423" s="125"/>
      <c r="I1423" s="125"/>
      <c r="Z1423" s="124"/>
      <c r="AA1423" s="74"/>
      <c r="AB1423" s="240"/>
      <c r="AD1423" s="124"/>
      <c r="AE1423" s="238"/>
      <c r="AF1423" s="239"/>
      <c r="AG1423" s="239"/>
      <c r="AH1423" s="124"/>
      <c r="AI1423" s="74"/>
      <c r="AJ1423" s="240"/>
      <c r="AL1423" s="124"/>
      <c r="AM1423" s="74"/>
      <c r="AP1423" s="125"/>
      <c r="AQ1423" s="241"/>
      <c r="AR1423" s="125"/>
      <c r="AS1423" s="125"/>
      <c r="AT1423" s="238"/>
      <c r="AU1423" s="125"/>
      <c r="AV1423" s="125"/>
      <c r="AW1423" s="125"/>
      <c r="AX1423" s="238"/>
      <c r="AY1423" s="125"/>
      <c r="AZ1423" s="125"/>
      <c r="BA1423" s="125"/>
    </row>
    <row r="1424" spans="2:53" s="123" customFormat="1">
      <c r="B1424" s="125"/>
      <c r="D1424" s="125"/>
      <c r="I1424" s="125"/>
      <c r="Z1424" s="124"/>
      <c r="AA1424" s="74"/>
      <c r="AB1424" s="240"/>
      <c r="AD1424" s="124"/>
      <c r="AE1424" s="238"/>
      <c r="AF1424" s="239"/>
      <c r="AG1424" s="239"/>
      <c r="AH1424" s="124"/>
      <c r="AI1424" s="74"/>
      <c r="AJ1424" s="240"/>
      <c r="AL1424" s="124"/>
      <c r="AM1424" s="74"/>
      <c r="AP1424" s="125"/>
      <c r="AQ1424" s="241"/>
      <c r="AR1424" s="125"/>
      <c r="AS1424" s="125"/>
      <c r="AT1424" s="238"/>
      <c r="AU1424" s="125"/>
      <c r="AV1424" s="125"/>
      <c r="AW1424" s="125"/>
      <c r="AX1424" s="238"/>
      <c r="AY1424" s="125"/>
      <c r="AZ1424" s="125"/>
      <c r="BA1424" s="125"/>
    </row>
    <row r="1425" spans="2:53" s="123" customFormat="1">
      <c r="B1425" s="125"/>
      <c r="D1425" s="125"/>
      <c r="I1425" s="125"/>
      <c r="Z1425" s="124"/>
      <c r="AA1425" s="74"/>
      <c r="AB1425" s="240"/>
      <c r="AD1425" s="124"/>
      <c r="AE1425" s="238"/>
      <c r="AF1425" s="239"/>
      <c r="AG1425" s="239"/>
      <c r="AH1425" s="124"/>
      <c r="AI1425" s="74"/>
      <c r="AJ1425" s="240"/>
      <c r="AL1425" s="124"/>
      <c r="AM1425" s="74"/>
      <c r="AP1425" s="125"/>
      <c r="AQ1425" s="241"/>
      <c r="AR1425" s="125"/>
      <c r="AS1425" s="125"/>
      <c r="AT1425" s="238"/>
      <c r="AU1425" s="125"/>
      <c r="AV1425" s="125"/>
      <c r="AW1425" s="125"/>
      <c r="AX1425" s="238"/>
      <c r="AY1425" s="125"/>
      <c r="AZ1425" s="125"/>
      <c r="BA1425" s="125"/>
    </row>
    <row r="1426" spans="2:53" s="123" customFormat="1">
      <c r="B1426" s="125"/>
      <c r="D1426" s="125"/>
      <c r="I1426" s="125"/>
      <c r="Z1426" s="124"/>
      <c r="AA1426" s="74"/>
      <c r="AB1426" s="240"/>
      <c r="AD1426" s="124"/>
      <c r="AE1426" s="238"/>
      <c r="AF1426" s="239"/>
      <c r="AG1426" s="239"/>
      <c r="AH1426" s="124"/>
      <c r="AI1426" s="74"/>
      <c r="AJ1426" s="240"/>
      <c r="AL1426" s="124"/>
      <c r="AM1426" s="74"/>
      <c r="AP1426" s="125"/>
      <c r="AQ1426" s="241"/>
      <c r="AR1426" s="125"/>
      <c r="AS1426" s="125"/>
      <c r="AT1426" s="238"/>
      <c r="AU1426" s="125"/>
      <c r="AV1426" s="125"/>
      <c r="AW1426" s="125"/>
      <c r="AX1426" s="238"/>
      <c r="AY1426" s="125"/>
      <c r="AZ1426" s="125"/>
      <c r="BA1426" s="125"/>
    </row>
    <row r="1427" spans="2:53" s="123" customFormat="1">
      <c r="B1427" s="125"/>
      <c r="D1427" s="125"/>
      <c r="I1427" s="125"/>
      <c r="Z1427" s="124"/>
      <c r="AA1427" s="74"/>
      <c r="AB1427" s="240"/>
      <c r="AD1427" s="124"/>
      <c r="AE1427" s="238"/>
      <c r="AF1427" s="239"/>
      <c r="AG1427" s="239"/>
      <c r="AH1427" s="124"/>
      <c r="AI1427" s="74"/>
      <c r="AJ1427" s="240"/>
      <c r="AL1427" s="124"/>
      <c r="AM1427" s="74"/>
      <c r="AP1427" s="125"/>
      <c r="AQ1427" s="241"/>
      <c r="AR1427" s="125"/>
      <c r="AS1427" s="125"/>
      <c r="AT1427" s="238"/>
      <c r="AU1427" s="125"/>
      <c r="AV1427" s="125"/>
      <c r="AW1427" s="125"/>
      <c r="AX1427" s="238"/>
      <c r="AY1427" s="125"/>
      <c r="AZ1427" s="125"/>
      <c r="BA1427" s="125"/>
    </row>
    <row r="1428" spans="2:53" s="123" customFormat="1">
      <c r="B1428" s="125"/>
      <c r="D1428" s="125"/>
      <c r="I1428" s="125"/>
      <c r="Z1428" s="124"/>
      <c r="AA1428" s="74"/>
      <c r="AB1428" s="240"/>
      <c r="AD1428" s="124"/>
      <c r="AE1428" s="238"/>
      <c r="AF1428" s="239"/>
      <c r="AG1428" s="239"/>
      <c r="AH1428" s="124"/>
      <c r="AI1428" s="74"/>
      <c r="AJ1428" s="240"/>
      <c r="AL1428" s="124"/>
      <c r="AM1428" s="74"/>
      <c r="AP1428" s="125"/>
      <c r="AQ1428" s="241"/>
      <c r="AR1428" s="125"/>
      <c r="AS1428" s="125"/>
      <c r="AT1428" s="238"/>
      <c r="AU1428" s="125"/>
      <c r="AV1428" s="125"/>
      <c r="AW1428" s="125"/>
      <c r="AX1428" s="238"/>
      <c r="AY1428" s="125"/>
      <c r="AZ1428" s="125"/>
      <c r="BA1428" s="125"/>
    </row>
    <row r="1429" spans="2:53" s="123" customFormat="1">
      <c r="B1429" s="125"/>
      <c r="D1429" s="125"/>
      <c r="I1429" s="125"/>
      <c r="Z1429" s="124"/>
      <c r="AA1429" s="74"/>
      <c r="AB1429" s="240"/>
      <c r="AD1429" s="124"/>
      <c r="AE1429" s="238"/>
      <c r="AF1429" s="239"/>
      <c r="AG1429" s="239"/>
      <c r="AH1429" s="124"/>
      <c r="AI1429" s="74"/>
      <c r="AJ1429" s="240"/>
      <c r="AL1429" s="124"/>
      <c r="AM1429" s="74"/>
      <c r="AP1429" s="125"/>
      <c r="AQ1429" s="241"/>
      <c r="AR1429" s="125"/>
      <c r="AS1429" s="125"/>
      <c r="AT1429" s="238"/>
      <c r="AU1429" s="125"/>
      <c r="AV1429" s="125"/>
      <c r="AW1429" s="125"/>
      <c r="AX1429" s="238"/>
      <c r="AY1429" s="125"/>
      <c r="AZ1429" s="125"/>
      <c r="BA1429" s="125"/>
    </row>
    <row r="1430" spans="2:53" s="123" customFormat="1">
      <c r="B1430" s="125"/>
      <c r="D1430" s="125"/>
      <c r="I1430" s="125"/>
      <c r="Z1430" s="124"/>
      <c r="AA1430" s="74"/>
      <c r="AB1430" s="240"/>
      <c r="AD1430" s="124"/>
      <c r="AE1430" s="238"/>
      <c r="AF1430" s="239"/>
      <c r="AG1430" s="239"/>
      <c r="AH1430" s="124"/>
      <c r="AI1430" s="74"/>
      <c r="AJ1430" s="240"/>
      <c r="AL1430" s="124"/>
      <c r="AM1430" s="74"/>
      <c r="AP1430" s="125"/>
      <c r="AQ1430" s="241"/>
      <c r="AR1430" s="125"/>
      <c r="AS1430" s="125"/>
      <c r="AT1430" s="238"/>
      <c r="AU1430" s="125"/>
      <c r="AV1430" s="125"/>
      <c r="AW1430" s="125"/>
      <c r="AX1430" s="238"/>
      <c r="AY1430" s="125"/>
      <c r="AZ1430" s="125"/>
      <c r="BA1430" s="125"/>
    </row>
    <row r="1431" spans="2:53" s="123" customFormat="1">
      <c r="B1431" s="125"/>
      <c r="D1431" s="125"/>
      <c r="I1431" s="125"/>
      <c r="Z1431" s="124"/>
      <c r="AA1431" s="74"/>
      <c r="AB1431" s="240"/>
      <c r="AD1431" s="124"/>
      <c r="AE1431" s="238"/>
      <c r="AF1431" s="239"/>
      <c r="AG1431" s="239"/>
      <c r="AH1431" s="124"/>
      <c r="AI1431" s="74"/>
      <c r="AJ1431" s="240"/>
      <c r="AL1431" s="124"/>
      <c r="AM1431" s="74"/>
      <c r="AP1431" s="125"/>
      <c r="AQ1431" s="241"/>
      <c r="AR1431" s="125"/>
      <c r="AS1431" s="125"/>
      <c r="AT1431" s="238"/>
      <c r="AU1431" s="125"/>
      <c r="AV1431" s="125"/>
      <c r="AW1431" s="125"/>
      <c r="AX1431" s="238"/>
      <c r="AY1431" s="125"/>
      <c r="AZ1431" s="125"/>
      <c r="BA1431" s="125"/>
    </row>
    <row r="1432" spans="2:53" s="123" customFormat="1">
      <c r="B1432" s="125"/>
      <c r="D1432" s="125"/>
      <c r="I1432" s="125"/>
      <c r="Z1432" s="124"/>
      <c r="AA1432" s="74"/>
      <c r="AB1432" s="240"/>
      <c r="AD1432" s="124"/>
      <c r="AE1432" s="238"/>
      <c r="AF1432" s="239"/>
      <c r="AG1432" s="239"/>
      <c r="AH1432" s="124"/>
      <c r="AI1432" s="74"/>
      <c r="AJ1432" s="240"/>
      <c r="AL1432" s="124"/>
      <c r="AM1432" s="74"/>
      <c r="AP1432" s="125"/>
      <c r="AQ1432" s="241"/>
      <c r="AR1432" s="125"/>
      <c r="AS1432" s="125"/>
      <c r="AT1432" s="238"/>
      <c r="AU1432" s="125"/>
      <c r="AV1432" s="125"/>
      <c r="AW1432" s="125"/>
      <c r="AX1432" s="238"/>
      <c r="AY1432" s="125"/>
      <c r="AZ1432" s="125"/>
      <c r="BA1432" s="125"/>
    </row>
    <row r="1433" spans="2:53" s="123" customFormat="1">
      <c r="B1433" s="125"/>
      <c r="D1433" s="125"/>
      <c r="I1433" s="125"/>
      <c r="Z1433" s="124"/>
      <c r="AA1433" s="74"/>
      <c r="AB1433" s="240"/>
      <c r="AD1433" s="124"/>
      <c r="AE1433" s="238"/>
      <c r="AF1433" s="239"/>
      <c r="AG1433" s="239"/>
      <c r="AH1433" s="124"/>
      <c r="AI1433" s="74"/>
      <c r="AJ1433" s="240"/>
      <c r="AL1433" s="124"/>
      <c r="AM1433" s="74"/>
      <c r="AP1433" s="125"/>
      <c r="AQ1433" s="241"/>
      <c r="AR1433" s="125"/>
      <c r="AS1433" s="125"/>
      <c r="AT1433" s="238"/>
      <c r="AU1433" s="125"/>
      <c r="AV1433" s="125"/>
      <c r="AW1433" s="125"/>
      <c r="AX1433" s="238"/>
      <c r="AY1433" s="125"/>
      <c r="AZ1433" s="125"/>
      <c r="BA1433" s="125"/>
    </row>
    <row r="1434" spans="2:53" s="123" customFormat="1">
      <c r="B1434" s="125"/>
      <c r="D1434" s="125"/>
      <c r="I1434" s="125"/>
      <c r="Z1434" s="124"/>
      <c r="AA1434" s="74"/>
      <c r="AB1434" s="240"/>
      <c r="AD1434" s="124"/>
      <c r="AE1434" s="238"/>
      <c r="AF1434" s="239"/>
      <c r="AG1434" s="239"/>
      <c r="AH1434" s="124"/>
      <c r="AI1434" s="74"/>
      <c r="AJ1434" s="240"/>
      <c r="AL1434" s="124"/>
      <c r="AM1434" s="74"/>
      <c r="AP1434" s="125"/>
      <c r="AQ1434" s="241"/>
      <c r="AR1434" s="125"/>
      <c r="AS1434" s="125"/>
      <c r="AT1434" s="238"/>
      <c r="AU1434" s="125"/>
      <c r="AV1434" s="125"/>
      <c r="AW1434" s="125"/>
      <c r="AX1434" s="238"/>
      <c r="AY1434" s="125"/>
      <c r="AZ1434" s="125"/>
      <c r="BA1434" s="125"/>
    </row>
    <row r="1435" spans="2:53" s="123" customFormat="1">
      <c r="B1435" s="125"/>
      <c r="D1435" s="125"/>
      <c r="I1435" s="125"/>
      <c r="Z1435" s="124"/>
      <c r="AA1435" s="74"/>
      <c r="AB1435" s="240"/>
      <c r="AD1435" s="124"/>
      <c r="AE1435" s="238"/>
      <c r="AF1435" s="239"/>
      <c r="AG1435" s="239"/>
      <c r="AH1435" s="124"/>
      <c r="AI1435" s="74"/>
      <c r="AJ1435" s="240"/>
      <c r="AL1435" s="124"/>
      <c r="AM1435" s="74"/>
      <c r="AP1435" s="125"/>
      <c r="AQ1435" s="241"/>
      <c r="AR1435" s="125"/>
      <c r="AS1435" s="125"/>
      <c r="AT1435" s="238"/>
      <c r="AU1435" s="125"/>
      <c r="AV1435" s="125"/>
      <c r="AW1435" s="125"/>
      <c r="AX1435" s="238"/>
      <c r="AY1435" s="125"/>
      <c r="AZ1435" s="125"/>
      <c r="BA1435" s="125"/>
    </row>
    <row r="1436" spans="2:53" s="123" customFormat="1">
      <c r="B1436" s="125"/>
      <c r="D1436" s="125"/>
      <c r="I1436" s="125"/>
      <c r="Z1436" s="124"/>
      <c r="AA1436" s="74"/>
      <c r="AB1436" s="240"/>
      <c r="AD1436" s="124"/>
      <c r="AE1436" s="238"/>
      <c r="AF1436" s="239"/>
      <c r="AG1436" s="239"/>
      <c r="AH1436" s="124"/>
      <c r="AI1436" s="74"/>
      <c r="AJ1436" s="240"/>
      <c r="AL1436" s="124"/>
      <c r="AM1436" s="74"/>
      <c r="AP1436" s="125"/>
      <c r="AQ1436" s="241"/>
      <c r="AR1436" s="125"/>
      <c r="AS1436" s="125"/>
      <c r="AT1436" s="238"/>
      <c r="AU1436" s="125"/>
      <c r="AV1436" s="125"/>
      <c r="AW1436" s="125"/>
      <c r="AX1436" s="238"/>
      <c r="AY1436" s="125"/>
      <c r="AZ1436" s="125"/>
      <c r="BA1436" s="125"/>
    </row>
    <row r="1437" spans="2:53" s="123" customFormat="1">
      <c r="B1437" s="125"/>
      <c r="D1437" s="125"/>
      <c r="I1437" s="125"/>
      <c r="Z1437" s="124"/>
      <c r="AA1437" s="74"/>
      <c r="AB1437" s="240"/>
      <c r="AD1437" s="124"/>
      <c r="AE1437" s="238"/>
      <c r="AF1437" s="239"/>
      <c r="AG1437" s="239"/>
      <c r="AH1437" s="124"/>
      <c r="AI1437" s="74"/>
      <c r="AJ1437" s="240"/>
      <c r="AL1437" s="124"/>
      <c r="AM1437" s="74"/>
      <c r="AP1437" s="125"/>
      <c r="AQ1437" s="241"/>
      <c r="AR1437" s="125"/>
      <c r="AS1437" s="125"/>
      <c r="AT1437" s="238"/>
      <c r="AU1437" s="125"/>
      <c r="AV1437" s="125"/>
      <c r="AW1437" s="125"/>
      <c r="AX1437" s="238"/>
      <c r="AY1437" s="125"/>
      <c r="AZ1437" s="125"/>
      <c r="BA1437" s="125"/>
    </row>
    <row r="1438" spans="2:53" s="123" customFormat="1">
      <c r="B1438" s="125"/>
      <c r="D1438" s="125"/>
      <c r="I1438" s="125"/>
      <c r="Z1438" s="124"/>
      <c r="AA1438" s="74"/>
      <c r="AB1438" s="240"/>
      <c r="AD1438" s="124"/>
      <c r="AE1438" s="238"/>
      <c r="AF1438" s="239"/>
      <c r="AG1438" s="239"/>
      <c r="AH1438" s="124"/>
      <c r="AI1438" s="74"/>
      <c r="AJ1438" s="240"/>
      <c r="AL1438" s="124"/>
      <c r="AM1438" s="74"/>
      <c r="AP1438" s="125"/>
      <c r="AQ1438" s="241"/>
      <c r="AR1438" s="125"/>
      <c r="AS1438" s="125"/>
      <c r="AT1438" s="238"/>
      <c r="AU1438" s="125"/>
      <c r="AV1438" s="125"/>
      <c r="AW1438" s="125"/>
      <c r="AX1438" s="238"/>
      <c r="AY1438" s="125"/>
      <c r="AZ1438" s="125"/>
      <c r="BA1438" s="125"/>
    </row>
    <row r="1439" spans="2:53" s="123" customFormat="1">
      <c r="B1439" s="125"/>
      <c r="D1439" s="125"/>
      <c r="I1439" s="125"/>
      <c r="Z1439" s="124"/>
      <c r="AA1439" s="74"/>
      <c r="AB1439" s="240"/>
      <c r="AD1439" s="124"/>
      <c r="AE1439" s="238"/>
      <c r="AF1439" s="239"/>
      <c r="AG1439" s="239"/>
      <c r="AH1439" s="124"/>
      <c r="AI1439" s="74"/>
      <c r="AJ1439" s="240"/>
      <c r="AL1439" s="124"/>
      <c r="AM1439" s="74"/>
      <c r="AP1439" s="125"/>
      <c r="AQ1439" s="241"/>
      <c r="AR1439" s="125"/>
      <c r="AS1439" s="125"/>
      <c r="AT1439" s="238"/>
      <c r="AU1439" s="125"/>
      <c r="AV1439" s="125"/>
      <c r="AW1439" s="125"/>
      <c r="AX1439" s="238"/>
      <c r="AY1439" s="125"/>
      <c r="AZ1439" s="125"/>
      <c r="BA1439" s="125"/>
    </row>
    <row r="1440" spans="2:53" s="123" customFormat="1">
      <c r="B1440" s="125"/>
      <c r="D1440" s="125"/>
      <c r="I1440" s="125"/>
      <c r="Z1440" s="124"/>
      <c r="AA1440" s="74"/>
      <c r="AB1440" s="240"/>
      <c r="AD1440" s="124"/>
      <c r="AE1440" s="238"/>
      <c r="AF1440" s="239"/>
      <c r="AG1440" s="239"/>
      <c r="AH1440" s="124"/>
      <c r="AI1440" s="74"/>
      <c r="AJ1440" s="240"/>
      <c r="AL1440" s="124"/>
      <c r="AM1440" s="74"/>
      <c r="AP1440" s="125"/>
      <c r="AQ1440" s="241"/>
      <c r="AR1440" s="125"/>
      <c r="AS1440" s="125"/>
      <c r="AT1440" s="238"/>
      <c r="AU1440" s="125"/>
      <c r="AV1440" s="125"/>
      <c r="AW1440" s="125"/>
      <c r="AX1440" s="238"/>
      <c r="AY1440" s="125"/>
      <c r="AZ1440" s="125"/>
      <c r="BA1440" s="125"/>
    </row>
    <row r="1441" spans="2:53" s="123" customFormat="1">
      <c r="B1441" s="125"/>
      <c r="D1441" s="125"/>
      <c r="I1441" s="125"/>
      <c r="Z1441" s="124"/>
      <c r="AA1441" s="74"/>
      <c r="AB1441" s="240"/>
      <c r="AD1441" s="124"/>
      <c r="AE1441" s="238"/>
      <c r="AF1441" s="239"/>
      <c r="AG1441" s="239"/>
      <c r="AH1441" s="124"/>
      <c r="AI1441" s="74"/>
      <c r="AJ1441" s="240"/>
      <c r="AL1441" s="124"/>
      <c r="AM1441" s="74"/>
      <c r="AP1441" s="125"/>
      <c r="AQ1441" s="241"/>
      <c r="AR1441" s="125"/>
      <c r="AS1441" s="125"/>
      <c r="AT1441" s="238"/>
      <c r="AU1441" s="125"/>
      <c r="AV1441" s="125"/>
      <c r="AW1441" s="125"/>
      <c r="AX1441" s="238"/>
      <c r="AY1441" s="125"/>
      <c r="AZ1441" s="125"/>
      <c r="BA1441" s="125"/>
    </row>
    <row r="1442" spans="2:53" s="123" customFormat="1">
      <c r="B1442" s="125"/>
      <c r="D1442" s="125"/>
      <c r="I1442" s="125"/>
      <c r="Z1442" s="124"/>
      <c r="AA1442" s="74"/>
      <c r="AB1442" s="240"/>
      <c r="AD1442" s="124"/>
      <c r="AE1442" s="238"/>
      <c r="AF1442" s="239"/>
      <c r="AG1442" s="239"/>
      <c r="AH1442" s="124"/>
      <c r="AI1442" s="74"/>
      <c r="AJ1442" s="240"/>
      <c r="AL1442" s="124"/>
      <c r="AM1442" s="74"/>
      <c r="AP1442" s="125"/>
      <c r="AQ1442" s="241"/>
      <c r="AR1442" s="125"/>
      <c r="AS1442" s="125"/>
      <c r="AT1442" s="238"/>
      <c r="AU1442" s="125"/>
      <c r="AV1442" s="125"/>
      <c r="AW1442" s="125"/>
      <c r="AX1442" s="238"/>
      <c r="AY1442" s="125"/>
      <c r="AZ1442" s="125"/>
      <c r="BA1442" s="125"/>
    </row>
    <row r="1443" spans="2:53" s="123" customFormat="1">
      <c r="B1443" s="125"/>
      <c r="D1443" s="125"/>
      <c r="I1443" s="125"/>
      <c r="Z1443" s="124"/>
      <c r="AA1443" s="74"/>
      <c r="AB1443" s="240"/>
      <c r="AD1443" s="124"/>
      <c r="AE1443" s="238"/>
      <c r="AF1443" s="239"/>
      <c r="AG1443" s="239"/>
      <c r="AH1443" s="124"/>
      <c r="AI1443" s="74"/>
      <c r="AJ1443" s="240"/>
      <c r="AL1443" s="124"/>
      <c r="AM1443" s="74"/>
      <c r="AP1443" s="125"/>
      <c r="AQ1443" s="241"/>
      <c r="AR1443" s="125"/>
      <c r="AS1443" s="125"/>
      <c r="AT1443" s="238"/>
      <c r="AU1443" s="125"/>
      <c r="AV1443" s="125"/>
      <c r="AW1443" s="125"/>
      <c r="AX1443" s="238"/>
      <c r="AY1443" s="125"/>
      <c r="AZ1443" s="125"/>
      <c r="BA1443" s="125"/>
    </row>
    <row r="1444" spans="2:53" s="123" customFormat="1">
      <c r="B1444" s="125"/>
      <c r="D1444" s="125"/>
      <c r="I1444" s="125"/>
      <c r="Z1444" s="124"/>
      <c r="AA1444" s="74"/>
      <c r="AB1444" s="240"/>
      <c r="AD1444" s="124"/>
      <c r="AE1444" s="238"/>
      <c r="AF1444" s="239"/>
      <c r="AG1444" s="239"/>
      <c r="AH1444" s="124"/>
      <c r="AI1444" s="74"/>
      <c r="AJ1444" s="240"/>
      <c r="AL1444" s="124"/>
      <c r="AM1444" s="74"/>
      <c r="AP1444" s="125"/>
      <c r="AQ1444" s="241"/>
      <c r="AR1444" s="125"/>
      <c r="AS1444" s="125"/>
      <c r="AT1444" s="238"/>
      <c r="AU1444" s="125"/>
      <c r="AV1444" s="125"/>
      <c r="AW1444" s="125"/>
      <c r="AX1444" s="238"/>
      <c r="AY1444" s="125"/>
      <c r="AZ1444" s="125"/>
      <c r="BA1444" s="125"/>
    </row>
    <row r="1445" spans="2:53" s="123" customFormat="1">
      <c r="B1445" s="125"/>
      <c r="D1445" s="125"/>
      <c r="I1445" s="125"/>
      <c r="Z1445" s="124"/>
      <c r="AA1445" s="74"/>
      <c r="AB1445" s="240"/>
      <c r="AD1445" s="124"/>
      <c r="AE1445" s="238"/>
      <c r="AF1445" s="239"/>
      <c r="AG1445" s="239"/>
      <c r="AH1445" s="124"/>
      <c r="AI1445" s="74"/>
      <c r="AJ1445" s="240"/>
      <c r="AL1445" s="124"/>
      <c r="AM1445" s="74"/>
      <c r="AP1445" s="125"/>
      <c r="AQ1445" s="241"/>
      <c r="AR1445" s="125"/>
      <c r="AS1445" s="125"/>
      <c r="AT1445" s="238"/>
      <c r="AU1445" s="125"/>
      <c r="AV1445" s="125"/>
      <c r="AW1445" s="125"/>
      <c r="AX1445" s="238"/>
      <c r="AY1445" s="125"/>
      <c r="AZ1445" s="125"/>
      <c r="BA1445" s="125"/>
    </row>
    <row r="1446" spans="2:53" s="123" customFormat="1">
      <c r="B1446" s="125"/>
      <c r="D1446" s="125"/>
      <c r="I1446" s="125"/>
      <c r="Z1446" s="124"/>
      <c r="AA1446" s="74"/>
      <c r="AB1446" s="240"/>
      <c r="AD1446" s="124"/>
      <c r="AE1446" s="238"/>
      <c r="AF1446" s="239"/>
      <c r="AG1446" s="239"/>
      <c r="AH1446" s="124"/>
      <c r="AI1446" s="74"/>
      <c r="AJ1446" s="240"/>
      <c r="AL1446" s="124"/>
      <c r="AM1446" s="74"/>
      <c r="AP1446" s="125"/>
      <c r="AQ1446" s="241"/>
      <c r="AR1446" s="125"/>
      <c r="AS1446" s="125"/>
      <c r="AT1446" s="238"/>
      <c r="AU1446" s="125"/>
      <c r="AV1446" s="125"/>
      <c r="AW1446" s="125"/>
      <c r="AX1446" s="238"/>
      <c r="AY1446" s="125"/>
      <c r="AZ1446" s="125"/>
      <c r="BA1446" s="125"/>
    </row>
    <row r="1447" spans="2:53" s="123" customFormat="1">
      <c r="B1447" s="125"/>
      <c r="D1447" s="125"/>
      <c r="I1447" s="125"/>
      <c r="Z1447" s="124"/>
      <c r="AA1447" s="74"/>
      <c r="AB1447" s="240"/>
      <c r="AD1447" s="124"/>
      <c r="AE1447" s="238"/>
      <c r="AF1447" s="239"/>
      <c r="AG1447" s="239"/>
      <c r="AH1447" s="124"/>
      <c r="AI1447" s="74"/>
      <c r="AJ1447" s="240"/>
      <c r="AL1447" s="124"/>
      <c r="AM1447" s="74"/>
      <c r="AP1447" s="125"/>
      <c r="AQ1447" s="241"/>
      <c r="AR1447" s="125"/>
      <c r="AS1447" s="125"/>
      <c r="AT1447" s="238"/>
      <c r="AU1447" s="125"/>
      <c r="AV1447" s="125"/>
      <c r="AW1447" s="125"/>
      <c r="AX1447" s="238"/>
      <c r="AY1447" s="125"/>
      <c r="AZ1447" s="125"/>
      <c r="BA1447" s="125"/>
    </row>
    <row r="1448" spans="2:53" s="123" customFormat="1">
      <c r="B1448" s="125"/>
      <c r="D1448" s="125"/>
      <c r="I1448" s="125"/>
      <c r="Z1448" s="124"/>
      <c r="AA1448" s="74"/>
      <c r="AB1448" s="240"/>
      <c r="AD1448" s="124"/>
      <c r="AE1448" s="238"/>
      <c r="AF1448" s="239"/>
      <c r="AG1448" s="239"/>
      <c r="AH1448" s="124"/>
      <c r="AI1448" s="74"/>
      <c r="AJ1448" s="240"/>
      <c r="AL1448" s="124"/>
      <c r="AM1448" s="74"/>
      <c r="AP1448" s="125"/>
      <c r="AQ1448" s="241"/>
      <c r="AR1448" s="125"/>
      <c r="AS1448" s="125"/>
      <c r="AT1448" s="238"/>
      <c r="AU1448" s="125"/>
      <c r="AV1448" s="125"/>
      <c r="AW1448" s="125"/>
      <c r="AX1448" s="238"/>
      <c r="AY1448" s="125"/>
      <c r="AZ1448" s="125"/>
      <c r="BA1448" s="125"/>
    </row>
    <row r="1449" spans="2:53" s="123" customFormat="1">
      <c r="B1449" s="125"/>
      <c r="D1449" s="125"/>
      <c r="I1449" s="125"/>
      <c r="Z1449" s="124"/>
      <c r="AA1449" s="74"/>
      <c r="AB1449" s="240"/>
      <c r="AD1449" s="124"/>
      <c r="AE1449" s="238"/>
      <c r="AF1449" s="239"/>
      <c r="AG1449" s="239"/>
      <c r="AH1449" s="124"/>
      <c r="AI1449" s="74"/>
      <c r="AJ1449" s="240"/>
      <c r="AL1449" s="124"/>
      <c r="AM1449" s="74"/>
      <c r="AP1449" s="125"/>
      <c r="AQ1449" s="241"/>
      <c r="AR1449" s="125"/>
      <c r="AS1449" s="125"/>
      <c r="AT1449" s="238"/>
      <c r="AU1449" s="125"/>
      <c r="AV1449" s="125"/>
      <c r="AW1449" s="125"/>
      <c r="AX1449" s="238"/>
      <c r="AY1449" s="125"/>
      <c r="AZ1449" s="125"/>
      <c r="BA1449" s="125"/>
    </row>
    <row r="1450" spans="2:53" s="123" customFormat="1">
      <c r="B1450" s="125"/>
      <c r="D1450" s="125"/>
      <c r="I1450" s="125"/>
      <c r="Z1450" s="124"/>
      <c r="AA1450" s="74"/>
      <c r="AB1450" s="240"/>
      <c r="AD1450" s="124"/>
      <c r="AE1450" s="238"/>
      <c r="AF1450" s="239"/>
      <c r="AG1450" s="239"/>
      <c r="AH1450" s="124"/>
      <c r="AI1450" s="74"/>
      <c r="AJ1450" s="240"/>
      <c r="AL1450" s="124"/>
      <c r="AM1450" s="74"/>
      <c r="AP1450" s="125"/>
      <c r="AQ1450" s="241"/>
      <c r="AR1450" s="125"/>
      <c r="AS1450" s="125"/>
      <c r="AT1450" s="238"/>
      <c r="AU1450" s="125"/>
      <c r="AV1450" s="125"/>
      <c r="AW1450" s="125"/>
      <c r="AX1450" s="238"/>
      <c r="AY1450" s="125"/>
      <c r="AZ1450" s="125"/>
      <c r="BA1450" s="125"/>
    </row>
    <row r="1451" spans="2:53" s="123" customFormat="1">
      <c r="B1451" s="125"/>
      <c r="D1451" s="125"/>
      <c r="I1451" s="125"/>
      <c r="Z1451" s="124"/>
      <c r="AA1451" s="74"/>
      <c r="AB1451" s="240"/>
      <c r="AD1451" s="124"/>
      <c r="AE1451" s="238"/>
      <c r="AF1451" s="239"/>
      <c r="AG1451" s="239"/>
      <c r="AH1451" s="124"/>
      <c r="AI1451" s="74"/>
      <c r="AJ1451" s="240"/>
      <c r="AL1451" s="124"/>
      <c r="AM1451" s="74"/>
      <c r="AP1451" s="125"/>
      <c r="AQ1451" s="241"/>
      <c r="AR1451" s="125"/>
      <c r="AS1451" s="125"/>
      <c r="AT1451" s="238"/>
      <c r="AU1451" s="125"/>
      <c r="AV1451" s="125"/>
      <c r="AW1451" s="125"/>
      <c r="AX1451" s="238"/>
      <c r="AY1451" s="125"/>
      <c r="AZ1451" s="125"/>
      <c r="BA1451" s="125"/>
    </row>
    <row r="1452" spans="2:53" s="123" customFormat="1">
      <c r="B1452" s="125"/>
      <c r="D1452" s="125"/>
      <c r="I1452" s="125"/>
      <c r="Z1452" s="124"/>
      <c r="AA1452" s="74"/>
      <c r="AB1452" s="240"/>
      <c r="AD1452" s="124"/>
      <c r="AE1452" s="238"/>
      <c r="AF1452" s="239"/>
      <c r="AG1452" s="239"/>
      <c r="AH1452" s="124"/>
      <c r="AI1452" s="74"/>
      <c r="AJ1452" s="240"/>
      <c r="AL1452" s="124"/>
      <c r="AM1452" s="74"/>
      <c r="AP1452" s="125"/>
      <c r="AQ1452" s="241"/>
      <c r="AR1452" s="125"/>
      <c r="AS1452" s="125"/>
      <c r="AT1452" s="238"/>
      <c r="AU1452" s="125"/>
      <c r="AV1452" s="125"/>
      <c r="AW1452" s="125"/>
      <c r="AX1452" s="238"/>
      <c r="AY1452" s="125"/>
      <c r="AZ1452" s="125"/>
      <c r="BA1452" s="125"/>
    </row>
    <row r="1453" spans="2:53" s="123" customFormat="1">
      <c r="B1453" s="125"/>
      <c r="D1453" s="125"/>
      <c r="I1453" s="125"/>
      <c r="Z1453" s="124"/>
      <c r="AA1453" s="74"/>
      <c r="AB1453" s="240"/>
      <c r="AD1453" s="124"/>
      <c r="AE1453" s="238"/>
      <c r="AF1453" s="239"/>
      <c r="AG1453" s="239"/>
      <c r="AH1453" s="124"/>
      <c r="AI1453" s="74"/>
      <c r="AJ1453" s="240"/>
      <c r="AL1453" s="124"/>
      <c r="AM1453" s="74"/>
      <c r="AP1453" s="125"/>
      <c r="AQ1453" s="241"/>
      <c r="AR1453" s="125"/>
      <c r="AS1453" s="125"/>
      <c r="AT1453" s="238"/>
      <c r="AU1453" s="125"/>
      <c r="AV1453" s="125"/>
      <c r="AW1453" s="125"/>
      <c r="AX1453" s="238"/>
      <c r="AY1453" s="125"/>
      <c r="AZ1453" s="125"/>
      <c r="BA1453" s="125"/>
    </row>
    <row r="1454" spans="2:53" s="123" customFormat="1">
      <c r="B1454" s="125"/>
      <c r="D1454" s="125"/>
      <c r="I1454" s="125"/>
      <c r="Z1454" s="124"/>
      <c r="AA1454" s="74"/>
      <c r="AB1454" s="240"/>
      <c r="AD1454" s="124"/>
      <c r="AE1454" s="238"/>
      <c r="AF1454" s="239"/>
      <c r="AG1454" s="239"/>
      <c r="AH1454" s="124"/>
      <c r="AI1454" s="74"/>
      <c r="AJ1454" s="240"/>
      <c r="AL1454" s="124"/>
      <c r="AM1454" s="74"/>
      <c r="AP1454" s="125"/>
      <c r="AQ1454" s="241"/>
      <c r="AR1454" s="125"/>
      <c r="AS1454" s="125"/>
      <c r="AT1454" s="238"/>
      <c r="AU1454" s="125"/>
      <c r="AV1454" s="125"/>
      <c r="AW1454" s="125"/>
      <c r="AX1454" s="238"/>
      <c r="AY1454" s="125"/>
      <c r="AZ1454" s="125"/>
      <c r="BA1454" s="125"/>
    </row>
    <row r="1455" spans="2:53" s="123" customFormat="1">
      <c r="B1455" s="125"/>
      <c r="D1455" s="125"/>
      <c r="I1455" s="125"/>
      <c r="Z1455" s="124"/>
      <c r="AA1455" s="74"/>
      <c r="AB1455" s="240"/>
      <c r="AD1455" s="124"/>
      <c r="AE1455" s="238"/>
      <c r="AF1455" s="239"/>
      <c r="AG1455" s="239"/>
      <c r="AH1455" s="124"/>
      <c r="AI1455" s="74"/>
      <c r="AJ1455" s="240"/>
      <c r="AL1455" s="124"/>
      <c r="AM1455" s="74"/>
      <c r="AP1455" s="125"/>
      <c r="AQ1455" s="241"/>
      <c r="AR1455" s="125"/>
      <c r="AS1455" s="125"/>
      <c r="AT1455" s="238"/>
      <c r="AU1455" s="125"/>
      <c r="AV1455" s="125"/>
      <c r="AW1455" s="125"/>
      <c r="AX1455" s="238"/>
      <c r="AY1455" s="125"/>
      <c r="AZ1455" s="125"/>
      <c r="BA1455" s="125"/>
    </row>
    <row r="1456" spans="2:53" s="123" customFormat="1">
      <c r="B1456" s="125"/>
      <c r="D1456" s="125"/>
      <c r="I1456" s="125"/>
      <c r="Z1456" s="124"/>
      <c r="AA1456" s="74"/>
      <c r="AB1456" s="240"/>
      <c r="AD1456" s="124"/>
      <c r="AE1456" s="238"/>
      <c r="AF1456" s="239"/>
      <c r="AG1456" s="239"/>
      <c r="AH1456" s="124"/>
      <c r="AI1456" s="74"/>
      <c r="AJ1456" s="240"/>
      <c r="AL1456" s="124"/>
      <c r="AM1456" s="74"/>
      <c r="AP1456" s="125"/>
      <c r="AQ1456" s="241"/>
      <c r="AR1456" s="125"/>
      <c r="AS1456" s="125"/>
      <c r="AT1456" s="238"/>
      <c r="AU1456" s="125"/>
      <c r="AV1456" s="125"/>
      <c r="AW1456" s="125"/>
      <c r="AX1456" s="238"/>
      <c r="AY1456" s="125"/>
      <c r="AZ1456" s="125"/>
      <c r="BA1456" s="125"/>
    </row>
    <row r="1457" spans="2:53" s="123" customFormat="1">
      <c r="B1457" s="125"/>
      <c r="D1457" s="125"/>
      <c r="I1457" s="125"/>
      <c r="Z1457" s="124"/>
      <c r="AA1457" s="74"/>
      <c r="AB1457" s="240"/>
      <c r="AD1457" s="124"/>
      <c r="AE1457" s="238"/>
      <c r="AF1457" s="239"/>
      <c r="AG1457" s="239"/>
      <c r="AH1457" s="124"/>
      <c r="AI1457" s="74"/>
      <c r="AJ1457" s="240"/>
      <c r="AL1457" s="124"/>
      <c r="AM1457" s="74"/>
      <c r="AP1457" s="125"/>
      <c r="AQ1457" s="241"/>
      <c r="AR1457" s="125"/>
      <c r="AS1457" s="125"/>
      <c r="AT1457" s="238"/>
      <c r="AU1457" s="125"/>
      <c r="AV1457" s="125"/>
      <c r="AW1457" s="125"/>
      <c r="AX1457" s="238"/>
      <c r="AY1457" s="125"/>
      <c r="AZ1457" s="125"/>
      <c r="BA1457" s="125"/>
    </row>
    <row r="1458" spans="2:53" s="123" customFormat="1">
      <c r="B1458" s="125"/>
      <c r="D1458" s="125"/>
      <c r="I1458" s="125"/>
      <c r="Z1458" s="124"/>
      <c r="AA1458" s="74"/>
      <c r="AB1458" s="240"/>
      <c r="AD1458" s="124"/>
      <c r="AE1458" s="238"/>
      <c r="AF1458" s="239"/>
      <c r="AG1458" s="239"/>
      <c r="AH1458" s="124"/>
      <c r="AI1458" s="74"/>
      <c r="AJ1458" s="240"/>
      <c r="AL1458" s="124"/>
      <c r="AM1458" s="74"/>
      <c r="AP1458" s="125"/>
      <c r="AQ1458" s="241"/>
      <c r="AR1458" s="125"/>
      <c r="AS1458" s="125"/>
      <c r="AT1458" s="238"/>
      <c r="AU1458" s="125"/>
      <c r="AV1458" s="125"/>
      <c r="AW1458" s="125"/>
      <c r="AX1458" s="238"/>
      <c r="AY1458" s="125"/>
      <c r="AZ1458" s="125"/>
      <c r="BA1458" s="125"/>
    </row>
    <row r="1459" spans="2:53" s="123" customFormat="1">
      <c r="B1459" s="125"/>
      <c r="D1459" s="125"/>
      <c r="I1459" s="125"/>
      <c r="Z1459" s="124"/>
      <c r="AA1459" s="74"/>
      <c r="AB1459" s="240"/>
      <c r="AD1459" s="124"/>
      <c r="AE1459" s="238"/>
      <c r="AF1459" s="239"/>
      <c r="AG1459" s="239"/>
      <c r="AH1459" s="124"/>
      <c r="AI1459" s="74"/>
      <c r="AJ1459" s="240"/>
      <c r="AL1459" s="124"/>
      <c r="AM1459" s="74"/>
      <c r="AP1459" s="125"/>
      <c r="AQ1459" s="241"/>
      <c r="AR1459" s="125"/>
      <c r="AS1459" s="125"/>
      <c r="AT1459" s="238"/>
      <c r="AU1459" s="125"/>
      <c r="AV1459" s="125"/>
      <c r="AW1459" s="125"/>
      <c r="AX1459" s="238"/>
      <c r="AY1459" s="125"/>
      <c r="AZ1459" s="125"/>
      <c r="BA1459" s="125"/>
    </row>
    <row r="1460" spans="2:53" s="123" customFormat="1">
      <c r="B1460" s="125"/>
      <c r="D1460" s="125"/>
      <c r="I1460" s="125"/>
      <c r="Z1460" s="124"/>
      <c r="AA1460" s="74"/>
      <c r="AB1460" s="240"/>
      <c r="AD1460" s="124"/>
      <c r="AE1460" s="238"/>
      <c r="AF1460" s="239"/>
      <c r="AG1460" s="239"/>
      <c r="AH1460" s="124"/>
      <c r="AI1460" s="74"/>
      <c r="AJ1460" s="240"/>
      <c r="AL1460" s="124"/>
      <c r="AM1460" s="74"/>
      <c r="AP1460" s="125"/>
      <c r="AQ1460" s="241"/>
      <c r="AR1460" s="125"/>
      <c r="AS1460" s="125"/>
      <c r="AT1460" s="238"/>
      <c r="AU1460" s="125"/>
      <c r="AV1460" s="125"/>
      <c r="AW1460" s="125"/>
      <c r="AX1460" s="238"/>
      <c r="AY1460" s="125"/>
      <c r="AZ1460" s="125"/>
      <c r="BA1460" s="125"/>
    </row>
    <row r="1461" spans="2:53" s="123" customFormat="1">
      <c r="B1461" s="125"/>
      <c r="D1461" s="125"/>
      <c r="I1461" s="125"/>
      <c r="Z1461" s="124"/>
      <c r="AA1461" s="74"/>
      <c r="AB1461" s="240"/>
      <c r="AD1461" s="124"/>
      <c r="AE1461" s="238"/>
      <c r="AF1461" s="239"/>
      <c r="AG1461" s="239"/>
      <c r="AH1461" s="124"/>
      <c r="AI1461" s="74"/>
      <c r="AJ1461" s="240"/>
      <c r="AL1461" s="124"/>
      <c r="AM1461" s="74"/>
      <c r="AP1461" s="125"/>
      <c r="AQ1461" s="241"/>
      <c r="AR1461" s="125"/>
      <c r="AS1461" s="125"/>
      <c r="AT1461" s="238"/>
      <c r="AU1461" s="125"/>
      <c r="AV1461" s="125"/>
      <c r="AW1461" s="125"/>
      <c r="AX1461" s="238"/>
      <c r="AY1461" s="125"/>
      <c r="AZ1461" s="125"/>
      <c r="BA1461" s="125"/>
    </row>
    <row r="1462" spans="2:53" s="123" customFormat="1">
      <c r="B1462" s="125"/>
      <c r="D1462" s="125"/>
      <c r="I1462" s="125"/>
      <c r="Z1462" s="124"/>
      <c r="AA1462" s="74"/>
      <c r="AB1462" s="240"/>
      <c r="AD1462" s="124"/>
      <c r="AE1462" s="238"/>
      <c r="AF1462" s="239"/>
      <c r="AG1462" s="239"/>
      <c r="AH1462" s="124"/>
      <c r="AI1462" s="74"/>
      <c r="AJ1462" s="240"/>
      <c r="AL1462" s="124"/>
      <c r="AM1462" s="74"/>
      <c r="AP1462" s="125"/>
      <c r="AQ1462" s="241"/>
      <c r="AR1462" s="125"/>
      <c r="AS1462" s="125"/>
      <c r="AT1462" s="238"/>
      <c r="AU1462" s="125"/>
      <c r="AV1462" s="125"/>
      <c r="AW1462" s="125"/>
      <c r="AX1462" s="238"/>
      <c r="AY1462" s="125"/>
      <c r="AZ1462" s="125"/>
      <c r="BA1462" s="125"/>
    </row>
    <row r="1463" spans="2:53" s="123" customFormat="1">
      <c r="B1463" s="125"/>
      <c r="D1463" s="125"/>
      <c r="I1463" s="125"/>
      <c r="Z1463" s="124"/>
      <c r="AA1463" s="74"/>
      <c r="AB1463" s="240"/>
      <c r="AD1463" s="124"/>
      <c r="AE1463" s="238"/>
      <c r="AF1463" s="239"/>
      <c r="AG1463" s="239"/>
      <c r="AH1463" s="124"/>
      <c r="AI1463" s="74"/>
      <c r="AJ1463" s="240"/>
      <c r="AL1463" s="124"/>
      <c r="AM1463" s="74"/>
      <c r="AP1463" s="125"/>
      <c r="AQ1463" s="241"/>
      <c r="AR1463" s="125"/>
      <c r="AS1463" s="125"/>
      <c r="AT1463" s="238"/>
      <c r="AU1463" s="125"/>
      <c r="AV1463" s="125"/>
      <c r="AW1463" s="125"/>
      <c r="AX1463" s="238"/>
      <c r="AY1463" s="125"/>
      <c r="AZ1463" s="125"/>
      <c r="BA1463" s="125"/>
    </row>
    <row r="1464" spans="2:53" s="123" customFormat="1">
      <c r="B1464" s="125"/>
      <c r="D1464" s="125"/>
      <c r="I1464" s="125"/>
      <c r="Z1464" s="124"/>
      <c r="AA1464" s="74"/>
      <c r="AB1464" s="240"/>
      <c r="AD1464" s="124"/>
      <c r="AE1464" s="238"/>
      <c r="AF1464" s="239"/>
      <c r="AG1464" s="239"/>
      <c r="AH1464" s="124"/>
      <c r="AI1464" s="74"/>
      <c r="AJ1464" s="240"/>
      <c r="AL1464" s="124"/>
      <c r="AM1464" s="74"/>
      <c r="AP1464" s="125"/>
      <c r="AQ1464" s="241"/>
      <c r="AR1464" s="125"/>
      <c r="AS1464" s="125"/>
      <c r="AT1464" s="238"/>
      <c r="AU1464" s="125"/>
      <c r="AV1464" s="125"/>
      <c r="AW1464" s="125"/>
      <c r="AX1464" s="238"/>
      <c r="AY1464" s="125"/>
      <c r="AZ1464" s="125"/>
      <c r="BA1464" s="125"/>
    </row>
    <row r="1465" spans="2:53" s="123" customFormat="1">
      <c r="B1465" s="125"/>
      <c r="D1465" s="125"/>
      <c r="I1465" s="125"/>
      <c r="Z1465" s="124"/>
      <c r="AA1465" s="74"/>
      <c r="AB1465" s="240"/>
      <c r="AD1465" s="124"/>
      <c r="AE1465" s="238"/>
      <c r="AF1465" s="239"/>
      <c r="AG1465" s="239"/>
      <c r="AH1465" s="124"/>
      <c r="AI1465" s="74"/>
      <c r="AJ1465" s="240"/>
      <c r="AL1465" s="124"/>
      <c r="AM1465" s="74"/>
      <c r="AP1465" s="125"/>
      <c r="AQ1465" s="241"/>
      <c r="AR1465" s="125"/>
      <c r="AS1465" s="125"/>
      <c r="AT1465" s="238"/>
      <c r="AU1465" s="125"/>
      <c r="AV1465" s="125"/>
      <c r="AW1465" s="125"/>
      <c r="AX1465" s="238"/>
      <c r="AY1465" s="125"/>
      <c r="AZ1465" s="125"/>
      <c r="BA1465" s="125"/>
    </row>
    <row r="1466" spans="2:53" s="123" customFormat="1">
      <c r="B1466" s="125"/>
      <c r="D1466" s="125"/>
      <c r="I1466" s="125"/>
      <c r="Z1466" s="124"/>
      <c r="AA1466" s="74"/>
      <c r="AB1466" s="240"/>
      <c r="AD1466" s="124"/>
      <c r="AE1466" s="238"/>
      <c r="AF1466" s="239"/>
      <c r="AG1466" s="239"/>
      <c r="AH1466" s="124"/>
      <c r="AI1466" s="74"/>
      <c r="AJ1466" s="240"/>
      <c r="AL1466" s="124"/>
      <c r="AM1466" s="74"/>
      <c r="AP1466" s="125"/>
      <c r="AQ1466" s="241"/>
      <c r="AR1466" s="125"/>
      <c r="AS1466" s="125"/>
      <c r="AT1466" s="238"/>
      <c r="AU1466" s="125"/>
      <c r="AV1466" s="125"/>
      <c r="AW1466" s="125"/>
      <c r="AX1466" s="238"/>
      <c r="AY1466" s="125"/>
      <c r="AZ1466" s="125"/>
      <c r="BA1466" s="125"/>
    </row>
    <row r="1467" spans="2:53" s="123" customFormat="1">
      <c r="B1467" s="125"/>
      <c r="D1467" s="125"/>
      <c r="I1467" s="125"/>
      <c r="Z1467" s="124"/>
      <c r="AA1467" s="74"/>
      <c r="AB1467" s="240"/>
      <c r="AD1467" s="124"/>
      <c r="AE1467" s="238"/>
      <c r="AF1467" s="239"/>
      <c r="AG1467" s="239"/>
      <c r="AH1467" s="124"/>
      <c r="AI1467" s="74"/>
      <c r="AJ1467" s="240"/>
      <c r="AL1467" s="124"/>
      <c r="AM1467" s="74"/>
      <c r="AP1467" s="125"/>
      <c r="AQ1467" s="241"/>
      <c r="AR1467" s="125"/>
      <c r="AS1467" s="125"/>
      <c r="AT1467" s="238"/>
      <c r="AU1467" s="125"/>
      <c r="AV1467" s="125"/>
      <c r="AW1467" s="125"/>
      <c r="AX1467" s="238"/>
      <c r="AY1467" s="125"/>
      <c r="AZ1467" s="125"/>
      <c r="BA1467" s="125"/>
    </row>
    <row r="1468" spans="2:53" s="123" customFormat="1">
      <c r="B1468" s="125"/>
      <c r="D1468" s="125"/>
      <c r="I1468" s="125"/>
      <c r="Z1468" s="124"/>
      <c r="AA1468" s="74"/>
      <c r="AB1468" s="240"/>
      <c r="AD1468" s="124"/>
      <c r="AE1468" s="238"/>
      <c r="AF1468" s="239"/>
      <c r="AG1468" s="239"/>
      <c r="AH1468" s="124"/>
      <c r="AI1468" s="74"/>
      <c r="AJ1468" s="240"/>
      <c r="AL1468" s="124"/>
      <c r="AM1468" s="74"/>
      <c r="AP1468" s="125"/>
      <c r="AQ1468" s="241"/>
      <c r="AR1468" s="125"/>
      <c r="AS1468" s="125"/>
      <c r="AT1468" s="238"/>
      <c r="AU1468" s="125"/>
      <c r="AV1468" s="125"/>
      <c r="AW1468" s="125"/>
      <c r="AX1468" s="238"/>
      <c r="AY1468" s="125"/>
      <c r="AZ1468" s="125"/>
      <c r="BA1468" s="125"/>
    </row>
    <row r="1469" spans="2:53" s="123" customFormat="1">
      <c r="B1469" s="125"/>
      <c r="D1469" s="125"/>
      <c r="I1469" s="125"/>
      <c r="Z1469" s="124"/>
      <c r="AA1469" s="74"/>
      <c r="AB1469" s="240"/>
      <c r="AD1469" s="124"/>
      <c r="AE1469" s="238"/>
      <c r="AF1469" s="239"/>
      <c r="AG1469" s="239"/>
      <c r="AH1469" s="124"/>
      <c r="AI1469" s="74"/>
      <c r="AJ1469" s="240"/>
      <c r="AL1469" s="124"/>
      <c r="AM1469" s="74"/>
      <c r="AP1469" s="125"/>
      <c r="AQ1469" s="241"/>
      <c r="AR1469" s="125"/>
      <c r="AS1469" s="125"/>
      <c r="AT1469" s="238"/>
      <c r="AU1469" s="125"/>
      <c r="AV1469" s="125"/>
      <c r="AW1469" s="125"/>
      <c r="AX1469" s="238"/>
      <c r="AY1469" s="125"/>
      <c r="AZ1469" s="125"/>
      <c r="BA1469" s="125"/>
    </row>
    <row r="1470" spans="2:53" s="123" customFormat="1">
      <c r="B1470" s="125"/>
      <c r="D1470" s="125"/>
      <c r="I1470" s="125"/>
      <c r="Z1470" s="124"/>
      <c r="AA1470" s="74"/>
      <c r="AB1470" s="240"/>
      <c r="AD1470" s="124"/>
      <c r="AE1470" s="238"/>
      <c r="AF1470" s="239"/>
      <c r="AG1470" s="239"/>
      <c r="AH1470" s="124"/>
      <c r="AI1470" s="74"/>
      <c r="AJ1470" s="240"/>
      <c r="AL1470" s="124"/>
      <c r="AM1470" s="74"/>
      <c r="AP1470" s="125"/>
      <c r="AQ1470" s="241"/>
      <c r="AR1470" s="125"/>
      <c r="AS1470" s="125"/>
      <c r="AT1470" s="238"/>
      <c r="AU1470" s="125"/>
      <c r="AV1470" s="125"/>
      <c r="AW1470" s="125"/>
      <c r="AX1470" s="238"/>
      <c r="AY1470" s="125"/>
      <c r="AZ1470" s="125"/>
      <c r="BA1470" s="125"/>
    </row>
    <row r="1471" spans="2:53" s="123" customFormat="1">
      <c r="B1471" s="125"/>
      <c r="D1471" s="125"/>
      <c r="I1471" s="125"/>
      <c r="Z1471" s="124"/>
      <c r="AA1471" s="74"/>
      <c r="AB1471" s="240"/>
      <c r="AD1471" s="124"/>
      <c r="AE1471" s="238"/>
      <c r="AF1471" s="239"/>
      <c r="AG1471" s="239"/>
      <c r="AH1471" s="124"/>
      <c r="AI1471" s="74"/>
      <c r="AJ1471" s="240"/>
      <c r="AL1471" s="124"/>
      <c r="AM1471" s="74"/>
      <c r="AP1471" s="125"/>
      <c r="AQ1471" s="241"/>
      <c r="AR1471" s="125"/>
      <c r="AS1471" s="125"/>
      <c r="AT1471" s="238"/>
      <c r="AU1471" s="125"/>
      <c r="AV1471" s="125"/>
      <c r="AW1471" s="125"/>
      <c r="AX1471" s="238"/>
      <c r="AY1471" s="125"/>
      <c r="AZ1471" s="125"/>
      <c r="BA1471" s="125"/>
    </row>
    <row r="1472" spans="2:53" s="123" customFormat="1">
      <c r="B1472" s="125"/>
      <c r="D1472" s="125"/>
      <c r="I1472" s="125"/>
      <c r="Z1472" s="124"/>
      <c r="AA1472" s="74"/>
      <c r="AB1472" s="240"/>
      <c r="AD1472" s="124"/>
      <c r="AE1472" s="238"/>
      <c r="AF1472" s="239"/>
      <c r="AG1472" s="239"/>
      <c r="AH1472" s="124"/>
      <c r="AI1472" s="74"/>
      <c r="AJ1472" s="240"/>
      <c r="AL1472" s="124"/>
      <c r="AM1472" s="74"/>
      <c r="AP1472" s="125"/>
      <c r="AQ1472" s="241"/>
      <c r="AR1472" s="125"/>
      <c r="AS1472" s="125"/>
      <c r="AT1472" s="238"/>
      <c r="AU1472" s="125"/>
      <c r="AV1472" s="125"/>
      <c r="AW1472" s="125"/>
      <c r="AX1472" s="238"/>
      <c r="AY1472" s="125"/>
      <c r="AZ1472" s="125"/>
      <c r="BA1472" s="125"/>
    </row>
    <row r="1473" spans="2:53" s="123" customFormat="1">
      <c r="B1473" s="125"/>
      <c r="D1473" s="125"/>
      <c r="I1473" s="125"/>
      <c r="Z1473" s="124"/>
      <c r="AA1473" s="74"/>
      <c r="AB1473" s="240"/>
      <c r="AD1473" s="124"/>
      <c r="AE1473" s="238"/>
      <c r="AF1473" s="239"/>
      <c r="AG1473" s="239"/>
      <c r="AH1473" s="124"/>
      <c r="AI1473" s="74"/>
      <c r="AJ1473" s="240"/>
      <c r="AL1473" s="124"/>
      <c r="AM1473" s="74"/>
      <c r="AP1473" s="125"/>
      <c r="AQ1473" s="241"/>
      <c r="AR1473" s="125"/>
      <c r="AS1473" s="125"/>
      <c r="AT1473" s="238"/>
      <c r="AU1473" s="125"/>
      <c r="AV1473" s="125"/>
      <c r="AW1473" s="125"/>
      <c r="AX1473" s="238"/>
      <c r="AY1473" s="125"/>
      <c r="AZ1473" s="125"/>
      <c r="BA1473" s="125"/>
    </row>
    <row r="1474" spans="2:53" s="123" customFormat="1">
      <c r="B1474" s="125"/>
      <c r="D1474" s="125"/>
      <c r="I1474" s="125"/>
      <c r="Z1474" s="124"/>
      <c r="AA1474" s="74"/>
      <c r="AB1474" s="240"/>
      <c r="AD1474" s="124"/>
      <c r="AE1474" s="238"/>
      <c r="AF1474" s="239"/>
      <c r="AG1474" s="239"/>
      <c r="AH1474" s="124"/>
      <c r="AI1474" s="74"/>
      <c r="AJ1474" s="240"/>
      <c r="AL1474" s="124"/>
      <c r="AM1474" s="74"/>
      <c r="AP1474" s="125"/>
      <c r="AQ1474" s="241"/>
      <c r="AR1474" s="125"/>
      <c r="AS1474" s="125"/>
      <c r="AT1474" s="238"/>
      <c r="AU1474" s="125"/>
      <c r="AV1474" s="125"/>
      <c r="AW1474" s="125"/>
      <c r="AX1474" s="238"/>
      <c r="AY1474" s="125"/>
      <c r="AZ1474" s="125"/>
      <c r="BA1474" s="125"/>
    </row>
    <row r="1475" spans="2:53" s="123" customFormat="1">
      <c r="B1475" s="125"/>
      <c r="D1475" s="125"/>
      <c r="I1475" s="125"/>
      <c r="Z1475" s="124"/>
      <c r="AA1475" s="74"/>
      <c r="AB1475" s="240"/>
      <c r="AD1475" s="124"/>
      <c r="AE1475" s="238"/>
      <c r="AF1475" s="239"/>
      <c r="AG1475" s="239"/>
      <c r="AH1475" s="124"/>
      <c r="AI1475" s="74"/>
      <c r="AJ1475" s="240"/>
      <c r="AL1475" s="124"/>
      <c r="AM1475" s="74"/>
      <c r="AP1475" s="125"/>
      <c r="AQ1475" s="241"/>
      <c r="AR1475" s="125"/>
      <c r="AS1475" s="125"/>
      <c r="AT1475" s="238"/>
      <c r="AU1475" s="125"/>
      <c r="AV1475" s="125"/>
      <c r="AW1475" s="125"/>
      <c r="AX1475" s="238"/>
      <c r="AY1475" s="125"/>
      <c r="AZ1475" s="125"/>
      <c r="BA1475" s="125"/>
    </row>
    <row r="1476" spans="2:53" s="123" customFormat="1">
      <c r="B1476" s="125"/>
      <c r="D1476" s="125"/>
      <c r="I1476" s="125"/>
      <c r="Z1476" s="124"/>
      <c r="AA1476" s="74"/>
      <c r="AB1476" s="240"/>
      <c r="AD1476" s="124"/>
      <c r="AE1476" s="238"/>
      <c r="AF1476" s="239"/>
      <c r="AG1476" s="239"/>
      <c r="AH1476" s="124"/>
      <c r="AI1476" s="74"/>
      <c r="AJ1476" s="240"/>
      <c r="AL1476" s="124"/>
      <c r="AM1476" s="74"/>
      <c r="AP1476" s="125"/>
      <c r="AQ1476" s="241"/>
      <c r="AR1476" s="125"/>
      <c r="AS1476" s="125"/>
      <c r="AT1476" s="238"/>
      <c r="AU1476" s="125"/>
      <c r="AV1476" s="125"/>
      <c r="AW1476" s="125"/>
      <c r="AX1476" s="238"/>
      <c r="AY1476" s="125"/>
      <c r="AZ1476" s="125"/>
      <c r="BA1476" s="125"/>
    </row>
    <row r="1477" spans="2:53" s="123" customFormat="1">
      <c r="B1477" s="125"/>
      <c r="D1477" s="125"/>
      <c r="I1477" s="125"/>
      <c r="Z1477" s="124"/>
      <c r="AA1477" s="74"/>
      <c r="AB1477" s="240"/>
      <c r="AD1477" s="124"/>
      <c r="AE1477" s="238"/>
      <c r="AF1477" s="239"/>
      <c r="AG1477" s="239"/>
      <c r="AH1477" s="124"/>
      <c r="AI1477" s="74"/>
      <c r="AJ1477" s="240"/>
      <c r="AL1477" s="124"/>
      <c r="AM1477" s="74"/>
      <c r="AP1477" s="125"/>
      <c r="AQ1477" s="241"/>
      <c r="AR1477" s="125"/>
      <c r="AS1477" s="125"/>
      <c r="AT1477" s="238"/>
      <c r="AU1477" s="125"/>
      <c r="AV1477" s="125"/>
      <c r="AW1477" s="125"/>
      <c r="AX1477" s="238"/>
      <c r="AY1477" s="125"/>
      <c r="AZ1477" s="125"/>
      <c r="BA1477" s="125"/>
    </row>
    <row r="1478" spans="2:53" s="123" customFormat="1">
      <c r="B1478" s="125"/>
      <c r="D1478" s="125"/>
      <c r="I1478" s="125"/>
      <c r="Z1478" s="124"/>
      <c r="AA1478" s="74"/>
      <c r="AB1478" s="240"/>
      <c r="AD1478" s="124"/>
      <c r="AE1478" s="238"/>
      <c r="AF1478" s="239"/>
      <c r="AG1478" s="239"/>
      <c r="AH1478" s="124"/>
      <c r="AI1478" s="74"/>
      <c r="AJ1478" s="240"/>
      <c r="AL1478" s="124"/>
      <c r="AM1478" s="74"/>
      <c r="AP1478" s="125"/>
      <c r="AQ1478" s="241"/>
      <c r="AR1478" s="125"/>
      <c r="AS1478" s="125"/>
      <c r="AT1478" s="238"/>
      <c r="AU1478" s="125"/>
      <c r="AV1478" s="125"/>
      <c r="AW1478" s="125"/>
      <c r="AX1478" s="238"/>
      <c r="AY1478" s="125"/>
      <c r="AZ1478" s="125"/>
      <c r="BA1478" s="125"/>
    </row>
    <row r="1479" spans="2:53" s="123" customFormat="1">
      <c r="B1479" s="125"/>
      <c r="D1479" s="125"/>
      <c r="I1479" s="125"/>
      <c r="Z1479" s="124"/>
      <c r="AA1479" s="74"/>
      <c r="AB1479" s="240"/>
      <c r="AD1479" s="124"/>
      <c r="AE1479" s="238"/>
      <c r="AF1479" s="239"/>
      <c r="AG1479" s="239"/>
      <c r="AH1479" s="124"/>
      <c r="AI1479" s="74"/>
      <c r="AJ1479" s="240"/>
      <c r="AL1479" s="124"/>
      <c r="AM1479" s="74"/>
      <c r="AP1479" s="125"/>
      <c r="AQ1479" s="241"/>
      <c r="AR1479" s="125"/>
      <c r="AS1479" s="125"/>
      <c r="AT1479" s="238"/>
      <c r="AU1479" s="125"/>
      <c r="AV1479" s="125"/>
      <c r="AW1479" s="125"/>
      <c r="AX1479" s="238"/>
      <c r="AY1479" s="125"/>
      <c r="AZ1479" s="125"/>
      <c r="BA1479" s="125"/>
    </row>
    <row r="1480" spans="2:53" s="123" customFormat="1">
      <c r="B1480" s="125"/>
      <c r="D1480" s="125"/>
      <c r="I1480" s="125"/>
      <c r="Z1480" s="124"/>
      <c r="AA1480" s="74"/>
      <c r="AB1480" s="240"/>
      <c r="AD1480" s="124"/>
      <c r="AE1480" s="238"/>
      <c r="AF1480" s="239"/>
      <c r="AG1480" s="239"/>
      <c r="AH1480" s="124"/>
      <c r="AI1480" s="74"/>
      <c r="AJ1480" s="240"/>
      <c r="AL1480" s="124"/>
      <c r="AM1480" s="74"/>
      <c r="AP1480" s="125"/>
      <c r="AQ1480" s="241"/>
      <c r="AR1480" s="125"/>
      <c r="AS1480" s="125"/>
      <c r="AT1480" s="238"/>
      <c r="AU1480" s="125"/>
      <c r="AV1480" s="125"/>
      <c r="AW1480" s="125"/>
      <c r="AX1480" s="238"/>
      <c r="AY1480" s="125"/>
      <c r="AZ1480" s="125"/>
      <c r="BA1480" s="125"/>
    </row>
    <row r="1481" spans="2:53" s="123" customFormat="1">
      <c r="B1481" s="125"/>
      <c r="D1481" s="125"/>
      <c r="I1481" s="125"/>
      <c r="Z1481" s="124"/>
      <c r="AA1481" s="74"/>
      <c r="AB1481" s="240"/>
      <c r="AD1481" s="124"/>
      <c r="AE1481" s="238"/>
      <c r="AF1481" s="239"/>
      <c r="AG1481" s="239"/>
      <c r="AH1481" s="124"/>
      <c r="AI1481" s="74"/>
      <c r="AJ1481" s="240"/>
      <c r="AL1481" s="124"/>
      <c r="AM1481" s="74"/>
      <c r="AP1481" s="125"/>
      <c r="AQ1481" s="241"/>
      <c r="AR1481" s="125"/>
      <c r="AS1481" s="125"/>
      <c r="AT1481" s="238"/>
      <c r="AU1481" s="125"/>
      <c r="AV1481" s="125"/>
      <c r="AW1481" s="125"/>
      <c r="AX1481" s="238"/>
      <c r="AY1481" s="125"/>
      <c r="AZ1481" s="125"/>
      <c r="BA1481" s="125"/>
    </row>
    <row r="1482" spans="2:53" s="123" customFormat="1">
      <c r="B1482" s="125"/>
      <c r="D1482" s="125"/>
      <c r="I1482" s="125"/>
      <c r="Z1482" s="124"/>
      <c r="AA1482" s="74"/>
      <c r="AB1482" s="240"/>
      <c r="AD1482" s="124"/>
      <c r="AE1482" s="238"/>
      <c r="AF1482" s="239"/>
      <c r="AG1482" s="239"/>
      <c r="AH1482" s="124"/>
      <c r="AI1482" s="74"/>
      <c r="AJ1482" s="240"/>
      <c r="AL1482" s="124"/>
      <c r="AM1482" s="74"/>
      <c r="AP1482" s="125"/>
      <c r="AQ1482" s="241"/>
      <c r="AR1482" s="125"/>
      <c r="AS1482" s="125"/>
      <c r="AT1482" s="238"/>
      <c r="AU1482" s="125"/>
      <c r="AV1482" s="125"/>
      <c r="AW1482" s="125"/>
      <c r="AX1482" s="238"/>
      <c r="AY1482" s="125"/>
      <c r="AZ1482" s="125"/>
      <c r="BA1482" s="125"/>
    </row>
    <row r="1483" spans="2:53" s="123" customFormat="1">
      <c r="B1483" s="125"/>
      <c r="D1483" s="125"/>
      <c r="I1483" s="125"/>
      <c r="Z1483" s="124"/>
      <c r="AA1483" s="74"/>
      <c r="AB1483" s="240"/>
      <c r="AD1483" s="124"/>
      <c r="AE1483" s="238"/>
      <c r="AF1483" s="239"/>
      <c r="AG1483" s="239"/>
      <c r="AH1483" s="124"/>
      <c r="AI1483" s="74"/>
      <c r="AJ1483" s="240"/>
      <c r="AL1483" s="124"/>
      <c r="AM1483" s="74"/>
      <c r="AP1483" s="125"/>
      <c r="AQ1483" s="241"/>
      <c r="AR1483" s="125"/>
      <c r="AS1483" s="125"/>
      <c r="AT1483" s="238"/>
      <c r="AU1483" s="125"/>
      <c r="AV1483" s="125"/>
      <c r="AW1483" s="125"/>
      <c r="AX1483" s="238"/>
      <c r="AY1483" s="125"/>
      <c r="AZ1483" s="125"/>
      <c r="BA1483" s="125"/>
    </row>
    <row r="1484" spans="2:53" s="123" customFormat="1">
      <c r="B1484" s="125"/>
      <c r="D1484" s="125"/>
      <c r="I1484" s="125"/>
      <c r="Z1484" s="124"/>
      <c r="AA1484" s="74"/>
      <c r="AB1484" s="240"/>
      <c r="AD1484" s="124"/>
      <c r="AE1484" s="238"/>
      <c r="AF1484" s="239"/>
      <c r="AG1484" s="239"/>
      <c r="AH1484" s="124"/>
      <c r="AI1484" s="74"/>
      <c r="AJ1484" s="240"/>
      <c r="AL1484" s="124"/>
      <c r="AM1484" s="74"/>
      <c r="AP1484" s="125"/>
      <c r="AQ1484" s="241"/>
      <c r="AR1484" s="125"/>
      <c r="AS1484" s="125"/>
      <c r="AT1484" s="238"/>
      <c r="AU1484" s="125"/>
      <c r="AV1484" s="125"/>
      <c r="AW1484" s="125"/>
      <c r="AX1484" s="238"/>
      <c r="AY1484" s="125"/>
      <c r="AZ1484" s="125"/>
      <c r="BA1484" s="125"/>
    </row>
    <row r="1485" spans="2:53" s="123" customFormat="1">
      <c r="B1485" s="125"/>
      <c r="D1485" s="125"/>
      <c r="I1485" s="125"/>
      <c r="Z1485" s="124"/>
      <c r="AA1485" s="74"/>
      <c r="AB1485" s="240"/>
      <c r="AD1485" s="124"/>
      <c r="AE1485" s="238"/>
      <c r="AF1485" s="239"/>
      <c r="AG1485" s="239"/>
      <c r="AH1485" s="124"/>
      <c r="AI1485" s="74"/>
      <c r="AJ1485" s="240"/>
      <c r="AL1485" s="124"/>
      <c r="AM1485" s="74"/>
      <c r="AP1485" s="125"/>
      <c r="AQ1485" s="241"/>
      <c r="AR1485" s="125"/>
      <c r="AS1485" s="125"/>
      <c r="AT1485" s="238"/>
      <c r="AU1485" s="125"/>
      <c r="AV1485" s="125"/>
      <c r="AW1485" s="125"/>
      <c r="AX1485" s="238"/>
      <c r="AY1485" s="125"/>
      <c r="AZ1485" s="125"/>
      <c r="BA1485" s="125"/>
    </row>
    <row r="1486" spans="2:53" s="123" customFormat="1">
      <c r="B1486" s="125"/>
      <c r="D1486" s="125"/>
      <c r="I1486" s="125"/>
      <c r="Z1486" s="124"/>
      <c r="AA1486" s="74"/>
      <c r="AB1486" s="240"/>
      <c r="AD1486" s="124"/>
      <c r="AE1486" s="238"/>
      <c r="AF1486" s="239"/>
      <c r="AG1486" s="239"/>
      <c r="AH1486" s="124"/>
      <c r="AI1486" s="74"/>
      <c r="AJ1486" s="240"/>
      <c r="AL1486" s="124"/>
      <c r="AM1486" s="74"/>
      <c r="AP1486" s="125"/>
      <c r="AQ1486" s="241"/>
      <c r="AR1486" s="125"/>
      <c r="AS1486" s="125"/>
      <c r="AT1486" s="238"/>
      <c r="AU1486" s="125"/>
      <c r="AV1486" s="125"/>
      <c r="AW1486" s="125"/>
      <c r="AX1486" s="238"/>
      <c r="AY1486" s="125"/>
      <c r="AZ1486" s="125"/>
      <c r="BA1486" s="125"/>
    </row>
    <row r="1487" spans="2:53" s="123" customFormat="1">
      <c r="B1487" s="125"/>
      <c r="D1487" s="125"/>
      <c r="I1487" s="125"/>
      <c r="Z1487" s="124"/>
      <c r="AA1487" s="74"/>
      <c r="AB1487" s="240"/>
      <c r="AD1487" s="124"/>
      <c r="AE1487" s="238"/>
      <c r="AF1487" s="239"/>
      <c r="AG1487" s="239"/>
      <c r="AH1487" s="124"/>
      <c r="AI1487" s="74"/>
      <c r="AJ1487" s="240"/>
      <c r="AL1487" s="124"/>
      <c r="AM1487" s="74"/>
      <c r="AP1487" s="125"/>
      <c r="AQ1487" s="241"/>
      <c r="AR1487" s="125"/>
      <c r="AS1487" s="125"/>
      <c r="AT1487" s="238"/>
      <c r="AU1487" s="125"/>
      <c r="AV1487" s="125"/>
      <c r="AW1487" s="125"/>
      <c r="AX1487" s="238"/>
      <c r="AY1487" s="125"/>
      <c r="AZ1487" s="125"/>
      <c r="BA1487" s="125"/>
    </row>
    <row r="1488" spans="2:53" s="123" customFormat="1">
      <c r="B1488" s="125"/>
      <c r="D1488" s="125"/>
      <c r="I1488" s="125"/>
      <c r="Z1488" s="124"/>
      <c r="AA1488" s="74"/>
      <c r="AB1488" s="240"/>
      <c r="AD1488" s="124"/>
      <c r="AE1488" s="238"/>
      <c r="AF1488" s="239"/>
      <c r="AG1488" s="239"/>
      <c r="AH1488" s="124"/>
      <c r="AI1488" s="74"/>
      <c r="AJ1488" s="240"/>
      <c r="AL1488" s="124"/>
      <c r="AM1488" s="74"/>
      <c r="AP1488" s="125"/>
      <c r="AQ1488" s="241"/>
      <c r="AR1488" s="125"/>
      <c r="AS1488" s="125"/>
      <c r="AT1488" s="238"/>
      <c r="AU1488" s="125"/>
      <c r="AV1488" s="125"/>
      <c r="AW1488" s="125"/>
      <c r="AX1488" s="238"/>
      <c r="AY1488" s="125"/>
      <c r="AZ1488" s="125"/>
      <c r="BA1488" s="125"/>
    </row>
    <row r="1489" spans="2:53" s="123" customFormat="1">
      <c r="B1489" s="125"/>
      <c r="D1489" s="125"/>
      <c r="I1489" s="125"/>
      <c r="Z1489" s="124"/>
      <c r="AA1489" s="74"/>
      <c r="AB1489" s="240"/>
      <c r="AD1489" s="124"/>
      <c r="AE1489" s="238"/>
      <c r="AF1489" s="239"/>
      <c r="AG1489" s="239"/>
      <c r="AH1489" s="124"/>
      <c r="AI1489" s="74"/>
      <c r="AJ1489" s="240"/>
      <c r="AL1489" s="124"/>
      <c r="AM1489" s="74"/>
      <c r="AP1489" s="125"/>
      <c r="AQ1489" s="241"/>
      <c r="AR1489" s="125"/>
      <c r="AS1489" s="125"/>
      <c r="AT1489" s="238"/>
      <c r="AU1489" s="125"/>
      <c r="AV1489" s="125"/>
      <c r="AW1489" s="125"/>
      <c r="AX1489" s="238"/>
      <c r="AY1489" s="125"/>
      <c r="AZ1489" s="125"/>
      <c r="BA1489" s="125"/>
    </row>
    <row r="1490" spans="2:53" s="123" customFormat="1">
      <c r="B1490" s="125"/>
      <c r="D1490" s="125"/>
      <c r="I1490" s="125"/>
      <c r="Z1490" s="124"/>
      <c r="AA1490" s="74"/>
      <c r="AB1490" s="240"/>
      <c r="AD1490" s="124"/>
      <c r="AE1490" s="238"/>
      <c r="AF1490" s="239"/>
      <c r="AG1490" s="239"/>
      <c r="AH1490" s="124"/>
      <c r="AI1490" s="74"/>
      <c r="AJ1490" s="240"/>
      <c r="AL1490" s="124"/>
      <c r="AM1490" s="74"/>
      <c r="AP1490" s="125"/>
      <c r="AQ1490" s="241"/>
      <c r="AR1490" s="125"/>
      <c r="AS1490" s="125"/>
      <c r="AT1490" s="238"/>
      <c r="AU1490" s="125"/>
      <c r="AV1490" s="125"/>
      <c r="AW1490" s="125"/>
      <c r="AX1490" s="238"/>
      <c r="AY1490" s="125"/>
      <c r="AZ1490" s="125"/>
      <c r="BA1490" s="125"/>
    </row>
    <row r="1491" spans="2:53" s="123" customFormat="1">
      <c r="B1491" s="125"/>
      <c r="D1491" s="125"/>
      <c r="I1491" s="125"/>
      <c r="Z1491" s="124"/>
      <c r="AA1491" s="74"/>
      <c r="AB1491" s="240"/>
      <c r="AD1491" s="124"/>
      <c r="AE1491" s="238"/>
      <c r="AF1491" s="239"/>
      <c r="AG1491" s="239"/>
      <c r="AH1491" s="124"/>
      <c r="AI1491" s="74"/>
      <c r="AJ1491" s="240"/>
      <c r="AL1491" s="124"/>
      <c r="AM1491" s="74"/>
      <c r="AP1491" s="125"/>
      <c r="AQ1491" s="241"/>
      <c r="AR1491" s="125"/>
      <c r="AS1491" s="125"/>
      <c r="AT1491" s="238"/>
      <c r="AU1491" s="125"/>
      <c r="AV1491" s="125"/>
      <c r="AW1491" s="125"/>
      <c r="AX1491" s="238"/>
      <c r="AY1491" s="125"/>
      <c r="AZ1491" s="125"/>
      <c r="BA1491" s="125"/>
    </row>
    <row r="1492" spans="2:53" s="123" customFormat="1">
      <c r="B1492" s="125"/>
      <c r="D1492" s="125"/>
      <c r="I1492" s="125"/>
      <c r="Z1492" s="124"/>
      <c r="AA1492" s="74"/>
      <c r="AB1492" s="240"/>
      <c r="AD1492" s="124"/>
      <c r="AE1492" s="238"/>
      <c r="AF1492" s="239"/>
      <c r="AG1492" s="239"/>
      <c r="AH1492" s="124"/>
      <c r="AI1492" s="74"/>
      <c r="AJ1492" s="240"/>
      <c r="AL1492" s="124"/>
      <c r="AM1492" s="74"/>
      <c r="AP1492" s="125"/>
      <c r="AQ1492" s="241"/>
      <c r="AR1492" s="125"/>
      <c r="AS1492" s="125"/>
      <c r="AT1492" s="238"/>
      <c r="AU1492" s="125"/>
      <c r="AV1492" s="125"/>
      <c r="AW1492" s="125"/>
      <c r="AX1492" s="238"/>
      <c r="AY1492" s="125"/>
      <c r="AZ1492" s="125"/>
      <c r="BA1492" s="125"/>
    </row>
    <row r="1493" spans="2:53" s="123" customFormat="1">
      <c r="B1493" s="125"/>
      <c r="D1493" s="125"/>
      <c r="I1493" s="125"/>
      <c r="Z1493" s="124"/>
      <c r="AA1493" s="74"/>
      <c r="AB1493" s="240"/>
      <c r="AD1493" s="124"/>
      <c r="AE1493" s="238"/>
      <c r="AF1493" s="239"/>
      <c r="AG1493" s="239"/>
      <c r="AH1493" s="124"/>
      <c r="AI1493" s="74"/>
      <c r="AJ1493" s="240"/>
      <c r="AL1493" s="124"/>
      <c r="AM1493" s="74"/>
      <c r="AP1493" s="125"/>
      <c r="AQ1493" s="241"/>
      <c r="AR1493" s="125"/>
      <c r="AS1493" s="125"/>
      <c r="AT1493" s="238"/>
      <c r="AU1493" s="125"/>
      <c r="AV1493" s="125"/>
      <c r="AW1493" s="125"/>
      <c r="AX1493" s="238"/>
      <c r="AY1493" s="125"/>
      <c r="AZ1493" s="125"/>
      <c r="BA1493" s="125"/>
    </row>
    <row r="1494" spans="2:53" s="123" customFormat="1">
      <c r="B1494" s="125"/>
      <c r="D1494" s="125"/>
      <c r="I1494" s="125"/>
      <c r="Z1494" s="124"/>
      <c r="AA1494" s="74"/>
      <c r="AB1494" s="240"/>
      <c r="AD1494" s="124"/>
      <c r="AE1494" s="238"/>
      <c r="AF1494" s="239"/>
      <c r="AG1494" s="239"/>
      <c r="AH1494" s="124"/>
      <c r="AI1494" s="74"/>
      <c r="AJ1494" s="240"/>
      <c r="AL1494" s="124"/>
      <c r="AM1494" s="74"/>
      <c r="AP1494" s="125"/>
      <c r="AQ1494" s="241"/>
      <c r="AR1494" s="125"/>
      <c r="AS1494" s="125"/>
      <c r="AT1494" s="238"/>
      <c r="AU1494" s="125"/>
      <c r="AV1494" s="125"/>
      <c r="AW1494" s="125"/>
      <c r="AX1494" s="238"/>
      <c r="AY1494" s="125"/>
      <c r="AZ1494" s="125"/>
      <c r="BA1494" s="125"/>
    </row>
    <row r="1495" spans="2:53" s="123" customFormat="1">
      <c r="B1495" s="125"/>
      <c r="D1495" s="125"/>
      <c r="I1495" s="125"/>
      <c r="Z1495" s="124"/>
      <c r="AA1495" s="74"/>
      <c r="AB1495" s="240"/>
      <c r="AD1495" s="124"/>
      <c r="AE1495" s="238"/>
      <c r="AF1495" s="239"/>
      <c r="AG1495" s="239"/>
      <c r="AH1495" s="124"/>
      <c r="AI1495" s="74"/>
      <c r="AJ1495" s="240"/>
      <c r="AL1495" s="124"/>
      <c r="AM1495" s="74"/>
      <c r="AP1495" s="125"/>
      <c r="AQ1495" s="241"/>
      <c r="AR1495" s="125"/>
      <c r="AS1495" s="125"/>
      <c r="AT1495" s="238"/>
      <c r="AU1495" s="125"/>
      <c r="AV1495" s="125"/>
      <c r="AW1495" s="125"/>
      <c r="AX1495" s="238"/>
      <c r="AY1495" s="125"/>
      <c r="AZ1495" s="125"/>
      <c r="BA1495" s="125"/>
    </row>
    <row r="1496" spans="2:53" s="123" customFormat="1">
      <c r="B1496" s="125"/>
      <c r="D1496" s="125"/>
      <c r="I1496" s="125"/>
      <c r="Z1496" s="124"/>
      <c r="AA1496" s="74"/>
      <c r="AB1496" s="240"/>
      <c r="AD1496" s="124"/>
      <c r="AE1496" s="238"/>
      <c r="AF1496" s="239"/>
      <c r="AG1496" s="239"/>
      <c r="AH1496" s="124"/>
      <c r="AI1496" s="74"/>
      <c r="AJ1496" s="240"/>
      <c r="AL1496" s="124"/>
      <c r="AM1496" s="74"/>
      <c r="AP1496" s="125"/>
      <c r="AQ1496" s="241"/>
      <c r="AR1496" s="125"/>
      <c r="AS1496" s="125"/>
      <c r="AT1496" s="238"/>
      <c r="AU1496" s="125"/>
      <c r="AV1496" s="125"/>
      <c r="AW1496" s="125"/>
      <c r="AX1496" s="238"/>
      <c r="AY1496" s="125"/>
      <c r="AZ1496" s="125"/>
      <c r="BA1496" s="125"/>
    </row>
    <row r="1497" spans="2:53" s="123" customFormat="1">
      <c r="B1497" s="125"/>
      <c r="D1497" s="125"/>
      <c r="I1497" s="125"/>
      <c r="Z1497" s="124"/>
      <c r="AA1497" s="74"/>
      <c r="AB1497" s="240"/>
      <c r="AD1497" s="124"/>
      <c r="AE1497" s="238"/>
      <c r="AF1497" s="239"/>
      <c r="AG1497" s="239"/>
      <c r="AH1497" s="124"/>
      <c r="AI1497" s="74"/>
      <c r="AJ1497" s="240"/>
      <c r="AL1497" s="124"/>
      <c r="AM1497" s="74"/>
      <c r="AP1497" s="125"/>
      <c r="AQ1497" s="241"/>
      <c r="AR1497" s="125"/>
      <c r="AS1497" s="125"/>
      <c r="AT1497" s="238"/>
      <c r="AU1497" s="125"/>
      <c r="AV1497" s="125"/>
      <c r="AW1497" s="125"/>
      <c r="AX1497" s="238"/>
      <c r="AY1497" s="125"/>
      <c r="AZ1497" s="125"/>
      <c r="BA1497" s="125"/>
    </row>
    <row r="1498" spans="2:53" s="123" customFormat="1">
      <c r="B1498" s="125"/>
      <c r="D1498" s="125"/>
      <c r="I1498" s="125"/>
      <c r="Z1498" s="124"/>
      <c r="AA1498" s="74"/>
      <c r="AB1498" s="240"/>
      <c r="AD1498" s="124"/>
      <c r="AE1498" s="238"/>
      <c r="AF1498" s="239"/>
      <c r="AG1498" s="239"/>
      <c r="AH1498" s="124"/>
      <c r="AI1498" s="74"/>
      <c r="AJ1498" s="240"/>
      <c r="AL1498" s="124"/>
      <c r="AM1498" s="74"/>
      <c r="AP1498" s="125"/>
      <c r="AQ1498" s="241"/>
      <c r="AR1498" s="125"/>
      <c r="AS1498" s="125"/>
      <c r="AT1498" s="238"/>
      <c r="AU1498" s="125"/>
      <c r="AV1498" s="125"/>
      <c r="AW1498" s="125"/>
      <c r="AX1498" s="238"/>
      <c r="AY1498" s="125"/>
      <c r="AZ1498" s="125"/>
      <c r="BA1498" s="125"/>
    </row>
    <row r="1499" spans="2:53" s="123" customFormat="1">
      <c r="B1499" s="125"/>
      <c r="D1499" s="125"/>
      <c r="I1499" s="125"/>
      <c r="Z1499" s="124"/>
      <c r="AA1499" s="74"/>
      <c r="AB1499" s="240"/>
      <c r="AD1499" s="124"/>
      <c r="AE1499" s="238"/>
      <c r="AF1499" s="239"/>
      <c r="AG1499" s="239"/>
      <c r="AH1499" s="124"/>
      <c r="AI1499" s="74"/>
      <c r="AJ1499" s="240"/>
      <c r="AL1499" s="124"/>
      <c r="AM1499" s="74"/>
      <c r="AP1499" s="125"/>
      <c r="AQ1499" s="241"/>
      <c r="AR1499" s="125"/>
      <c r="AS1499" s="125"/>
      <c r="AT1499" s="238"/>
      <c r="AU1499" s="125"/>
      <c r="AV1499" s="125"/>
      <c r="AW1499" s="125"/>
      <c r="AX1499" s="238"/>
      <c r="AY1499" s="125"/>
      <c r="AZ1499" s="125"/>
      <c r="BA1499" s="125"/>
    </row>
    <row r="1500" spans="2:53" s="123" customFormat="1">
      <c r="B1500" s="125"/>
      <c r="D1500" s="125"/>
      <c r="I1500" s="125"/>
      <c r="Z1500" s="124"/>
      <c r="AA1500" s="74"/>
      <c r="AB1500" s="240"/>
      <c r="AD1500" s="124"/>
      <c r="AE1500" s="238"/>
      <c r="AF1500" s="239"/>
      <c r="AG1500" s="239"/>
      <c r="AH1500" s="124"/>
      <c r="AI1500" s="74"/>
      <c r="AJ1500" s="240"/>
      <c r="AL1500" s="124"/>
      <c r="AM1500" s="74"/>
      <c r="AP1500" s="125"/>
      <c r="AQ1500" s="241"/>
      <c r="AR1500" s="125"/>
      <c r="AS1500" s="125"/>
      <c r="AT1500" s="238"/>
      <c r="AU1500" s="125"/>
      <c r="AV1500" s="125"/>
      <c r="AW1500" s="125"/>
      <c r="AX1500" s="238"/>
      <c r="AY1500" s="125"/>
      <c r="AZ1500" s="125"/>
      <c r="BA1500" s="125"/>
    </row>
    <row r="1501" spans="2:53" s="123" customFormat="1">
      <c r="B1501" s="125"/>
      <c r="D1501" s="125"/>
      <c r="I1501" s="125"/>
      <c r="Z1501" s="124"/>
      <c r="AA1501" s="74"/>
      <c r="AB1501" s="240"/>
      <c r="AD1501" s="124"/>
      <c r="AE1501" s="238"/>
      <c r="AF1501" s="239"/>
      <c r="AG1501" s="239"/>
      <c r="AH1501" s="124"/>
      <c r="AI1501" s="74"/>
      <c r="AJ1501" s="240"/>
      <c r="AL1501" s="124"/>
      <c r="AM1501" s="74"/>
      <c r="AP1501" s="125"/>
      <c r="AQ1501" s="241"/>
      <c r="AR1501" s="125"/>
      <c r="AS1501" s="125"/>
      <c r="AT1501" s="238"/>
      <c r="AU1501" s="125"/>
      <c r="AV1501" s="125"/>
      <c r="AW1501" s="125"/>
      <c r="AX1501" s="238"/>
      <c r="AY1501" s="125"/>
      <c r="AZ1501" s="125"/>
      <c r="BA1501" s="125"/>
    </row>
    <row r="1502" spans="2:53" s="123" customFormat="1">
      <c r="B1502" s="125"/>
      <c r="D1502" s="125"/>
      <c r="I1502" s="125"/>
      <c r="Z1502" s="124"/>
      <c r="AA1502" s="74"/>
      <c r="AB1502" s="240"/>
      <c r="AD1502" s="124"/>
      <c r="AE1502" s="238"/>
      <c r="AF1502" s="239"/>
      <c r="AG1502" s="239"/>
      <c r="AH1502" s="124"/>
      <c r="AI1502" s="74"/>
      <c r="AJ1502" s="240"/>
      <c r="AL1502" s="124"/>
      <c r="AM1502" s="74"/>
      <c r="AP1502" s="125"/>
      <c r="AQ1502" s="241"/>
      <c r="AR1502" s="125"/>
      <c r="AS1502" s="125"/>
      <c r="AT1502" s="238"/>
      <c r="AU1502" s="125"/>
      <c r="AV1502" s="125"/>
      <c r="AW1502" s="125"/>
      <c r="AX1502" s="238"/>
      <c r="AY1502" s="125"/>
      <c r="AZ1502" s="125"/>
      <c r="BA1502" s="125"/>
    </row>
    <row r="1503" spans="2:53" s="123" customFormat="1">
      <c r="B1503" s="125"/>
      <c r="D1503" s="125"/>
      <c r="I1503" s="125"/>
      <c r="Z1503" s="124"/>
      <c r="AA1503" s="74"/>
      <c r="AB1503" s="240"/>
      <c r="AD1503" s="124"/>
      <c r="AE1503" s="238"/>
      <c r="AF1503" s="239"/>
      <c r="AG1503" s="239"/>
      <c r="AH1503" s="124"/>
      <c r="AI1503" s="74"/>
      <c r="AJ1503" s="240"/>
      <c r="AL1503" s="124"/>
      <c r="AM1503" s="74"/>
      <c r="AP1503" s="125"/>
      <c r="AQ1503" s="241"/>
      <c r="AR1503" s="125"/>
      <c r="AS1503" s="125"/>
      <c r="AT1503" s="238"/>
      <c r="AU1503" s="125"/>
      <c r="AV1503" s="125"/>
      <c r="AW1503" s="125"/>
      <c r="AX1503" s="238"/>
      <c r="AY1503" s="125"/>
      <c r="AZ1503" s="125"/>
      <c r="BA1503" s="125"/>
    </row>
    <row r="1504" spans="2:53" s="123" customFormat="1">
      <c r="B1504" s="125"/>
      <c r="D1504" s="125"/>
      <c r="I1504" s="125"/>
      <c r="Z1504" s="124"/>
      <c r="AA1504" s="74"/>
      <c r="AB1504" s="240"/>
      <c r="AD1504" s="124"/>
      <c r="AE1504" s="238"/>
      <c r="AF1504" s="239"/>
      <c r="AG1504" s="239"/>
      <c r="AH1504" s="124"/>
      <c r="AI1504" s="74"/>
      <c r="AJ1504" s="240"/>
      <c r="AL1504" s="124"/>
      <c r="AM1504" s="74"/>
      <c r="AP1504" s="125"/>
      <c r="AQ1504" s="241"/>
      <c r="AR1504" s="125"/>
      <c r="AS1504" s="125"/>
      <c r="AT1504" s="238"/>
      <c r="AU1504" s="125"/>
      <c r="AV1504" s="125"/>
      <c r="AW1504" s="125"/>
      <c r="AX1504" s="238"/>
      <c r="AY1504" s="125"/>
      <c r="AZ1504" s="125"/>
      <c r="BA1504" s="125"/>
    </row>
    <row r="1505" spans="2:53" s="123" customFormat="1">
      <c r="B1505" s="125"/>
      <c r="D1505" s="125"/>
      <c r="I1505" s="125"/>
      <c r="Z1505" s="124"/>
      <c r="AA1505" s="74"/>
      <c r="AB1505" s="240"/>
      <c r="AD1505" s="124"/>
      <c r="AE1505" s="238"/>
      <c r="AF1505" s="239"/>
      <c r="AG1505" s="239"/>
      <c r="AH1505" s="124"/>
      <c r="AI1505" s="74"/>
      <c r="AJ1505" s="240"/>
      <c r="AL1505" s="124"/>
      <c r="AM1505" s="74"/>
      <c r="AP1505" s="125"/>
      <c r="AQ1505" s="241"/>
      <c r="AR1505" s="125"/>
      <c r="AS1505" s="125"/>
      <c r="AT1505" s="238"/>
      <c r="AU1505" s="125"/>
      <c r="AV1505" s="125"/>
      <c r="AW1505" s="125"/>
      <c r="AX1505" s="238"/>
      <c r="AY1505" s="125"/>
      <c r="AZ1505" s="125"/>
      <c r="BA1505" s="125"/>
    </row>
    <row r="1506" spans="2:53" s="123" customFormat="1">
      <c r="B1506" s="125"/>
      <c r="D1506" s="125"/>
      <c r="I1506" s="125"/>
      <c r="Z1506" s="124"/>
      <c r="AA1506" s="74"/>
      <c r="AB1506" s="240"/>
      <c r="AD1506" s="124"/>
      <c r="AE1506" s="238"/>
      <c r="AF1506" s="239"/>
      <c r="AG1506" s="239"/>
      <c r="AH1506" s="124"/>
      <c r="AI1506" s="74"/>
      <c r="AJ1506" s="240"/>
      <c r="AL1506" s="124"/>
      <c r="AM1506" s="74"/>
      <c r="AP1506" s="125"/>
      <c r="AQ1506" s="241"/>
      <c r="AR1506" s="125"/>
      <c r="AS1506" s="125"/>
      <c r="AT1506" s="238"/>
      <c r="AU1506" s="125"/>
      <c r="AV1506" s="125"/>
      <c r="AW1506" s="125"/>
      <c r="AX1506" s="238"/>
      <c r="AY1506" s="125"/>
      <c r="AZ1506" s="125"/>
      <c r="BA1506" s="125"/>
    </row>
    <row r="1507" spans="2:53" s="123" customFormat="1">
      <c r="B1507" s="125"/>
      <c r="D1507" s="125"/>
      <c r="I1507" s="125"/>
      <c r="Z1507" s="124"/>
      <c r="AA1507" s="74"/>
      <c r="AB1507" s="240"/>
      <c r="AD1507" s="124"/>
      <c r="AE1507" s="238"/>
      <c r="AF1507" s="239"/>
      <c r="AG1507" s="239"/>
      <c r="AH1507" s="124"/>
      <c r="AI1507" s="74"/>
      <c r="AJ1507" s="240"/>
      <c r="AL1507" s="124"/>
      <c r="AM1507" s="74"/>
      <c r="AP1507" s="125"/>
      <c r="AQ1507" s="241"/>
      <c r="AR1507" s="125"/>
      <c r="AS1507" s="125"/>
      <c r="AT1507" s="238"/>
      <c r="AU1507" s="125"/>
      <c r="AV1507" s="125"/>
      <c r="AW1507" s="125"/>
      <c r="AX1507" s="238"/>
      <c r="AY1507" s="125"/>
      <c r="AZ1507" s="125"/>
      <c r="BA1507" s="125"/>
    </row>
    <row r="1508" spans="2:53" s="123" customFormat="1">
      <c r="B1508" s="125"/>
      <c r="D1508" s="125"/>
      <c r="I1508" s="125"/>
      <c r="Z1508" s="124"/>
      <c r="AA1508" s="74"/>
      <c r="AB1508" s="240"/>
      <c r="AD1508" s="124"/>
      <c r="AE1508" s="238"/>
      <c r="AF1508" s="239"/>
      <c r="AG1508" s="239"/>
      <c r="AH1508" s="124"/>
      <c r="AI1508" s="74"/>
      <c r="AJ1508" s="240"/>
      <c r="AL1508" s="124"/>
      <c r="AM1508" s="74"/>
      <c r="AP1508" s="125"/>
      <c r="AQ1508" s="241"/>
      <c r="AR1508" s="125"/>
      <c r="AS1508" s="125"/>
      <c r="AT1508" s="238"/>
      <c r="AU1508" s="125"/>
      <c r="AV1508" s="125"/>
      <c r="AW1508" s="125"/>
      <c r="AX1508" s="238"/>
      <c r="AY1508" s="125"/>
      <c r="AZ1508" s="125"/>
      <c r="BA1508" s="125"/>
    </row>
    <row r="1509" spans="2:53" s="123" customFormat="1">
      <c r="B1509" s="125"/>
      <c r="D1509" s="125"/>
      <c r="I1509" s="125"/>
      <c r="Z1509" s="124"/>
      <c r="AA1509" s="74"/>
      <c r="AB1509" s="240"/>
      <c r="AD1509" s="124"/>
      <c r="AE1509" s="238"/>
      <c r="AF1509" s="239"/>
      <c r="AG1509" s="239"/>
      <c r="AH1509" s="124"/>
      <c r="AI1509" s="74"/>
      <c r="AJ1509" s="240"/>
      <c r="AL1509" s="124"/>
      <c r="AM1509" s="74"/>
      <c r="AP1509" s="125"/>
      <c r="AQ1509" s="241"/>
      <c r="AR1509" s="125"/>
      <c r="AS1509" s="125"/>
      <c r="AT1509" s="238"/>
      <c r="AU1509" s="125"/>
      <c r="AV1509" s="125"/>
      <c r="AW1509" s="125"/>
      <c r="AX1509" s="238"/>
      <c r="AY1509" s="125"/>
      <c r="AZ1509" s="125"/>
      <c r="BA1509" s="125"/>
    </row>
    <row r="1510" spans="2:53" s="123" customFormat="1">
      <c r="B1510" s="125"/>
      <c r="D1510" s="125"/>
      <c r="I1510" s="125"/>
      <c r="Z1510" s="124"/>
      <c r="AA1510" s="74"/>
      <c r="AB1510" s="240"/>
      <c r="AD1510" s="124"/>
      <c r="AE1510" s="238"/>
      <c r="AF1510" s="239"/>
      <c r="AG1510" s="239"/>
      <c r="AH1510" s="124"/>
      <c r="AI1510" s="74"/>
      <c r="AJ1510" s="240"/>
      <c r="AL1510" s="124"/>
      <c r="AM1510" s="74"/>
      <c r="AP1510" s="125"/>
      <c r="AQ1510" s="241"/>
      <c r="AR1510" s="125"/>
      <c r="AS1510" s="125"/>
      <c r="AT1510" s="238"/>
      <c r="AU1510" s="125"/>
      <c r="AV1510" s="125"/>
      <c r="AW1510" s="125"/>
      <c r="AX1510" s="238"/>
      <c r="AY1510" s="125"/>
      <c r="AZ1510" s="125"/>
      <c r="BA1510" s="125"/>
    </row>
    <row r="1511" spans="2:53" s="123" customFormat="1">
      <c r="B1511" s="125"/>
      <c r="D1511" s="125"/>
      <c r="I1511" s="125"/>
      <c r="Z1511" s="124"/>
      <c r="AA1511" s="74"/>
      <c r="AB1511" s="240"/>
      <c r="AD1511" s="124"/>
      <c r="AE1511" s="238"/>
      <c r="AF1511" s="239"/>
      <c r="AG1511" s="239"/>
      <c r="AH1511" s="124"/>
      <c r="AI1511" s="74"/>
      <c r="AJ1511" s="240"/>
      <c r="AL1511" s="124"/>
      <c r="AM1511" s="74"/>
      <c r="AP1511" s="125"/>
      <c r="AQ1511" s="241"/>
      <c r="AR1511" s="125"/>
      <c r="AS1511" s="125"/>
      <c r="AT1511" s="238"/>
      <c r="AU1511" s="125"/>
      <c r="AV1511" s="125"/>
      <c r="AW1511" s="125"/>
      <c r="AX1511" s="238"/>
      <c r="AY1511" s="125"/>
      <c r="AZ1511" s="125"/>
      <c r="BA1511" s="125"/>
    </row>
    <row r="1512" spans="2:53" s="123" customFormat="1">
      <c r="B1512" s="125"/>
      <c r="D1512" s="125"/>
      <c r="I1512" s="125"/>
      <c r="Z1512" s="124"/>
      <c r="AA1512" s="74"/>
      <c r="AB1512" s="240"/>
      <c r="AD1512" s="124"/>
      <c r="AE1512" s="238"/>
      <c r="AF1512" s="239"/>
      <c r="AG1512" s="239"/>
      <c r="AH1512" s="124"/>
      <c r="AI1512" s="74"/>
      <c r="AJ1512" s="240"/>
      <c r="AL1512" s="124"/>
      <c r="AM1512" s="74"/>
      <c r="AP1512" s="125"/>
      <c r="AQ1512" s="241"/>
      <c r="AR1512" s="125"/>
      <c r="AS1512" s="125"/>
      <c r="AT1512" s="238"/>
      <c r="AU1512" s="125"/>
      <c r="AV1512" s="125"/>
      <c r="AW1512" s="125"/>
      <c r="AX1512" s="238"/>
      <c r="AY1512" s="125"/>
      <c r="AZ1512" s="125"/>
      <c r="BA1512" s="125"/>
    </row>
    <row r="1513" spans="2:53" s="123" customFormat="1">
      <c r="B1513" s="125"/>
      <c r="D1513" s="125"/>
      <c r="I1513" s="125"/>
      <c r="Z1513" s="124"/>
      <c r="AA1513" s="74"/>
      <c r="AB1513" s="240"/>
      <c r="AD1513" s="124"/>
      <c r="AE1513" s="238"/>
      <c r="AF1513" s="239"/>
      <c r="AG1513" s="239"/>
      <c r="AH1513" s="124"/>
      <c r="AI1513" s="74"/>
      <c r="AJ1513" s="240"/>
      <c r="AL1513" s="124"/>
      <c r="AM1513" s="74"/>
      <c r="AP1513" s="125"/>
      <c r="AQ1513" s="241"/>
      <c r="AR1513" s="125"/>
      <c r="AS1513" s="125"/>
      <c r="AT1513" s="238"/>
      <c r="AU1513" s="125"/>
      <c r="AV1513" s="125"/>
      <c r="AW1513" s="125"/>
      <c r="AX1513" s="238"/>
      <c r="AY1513" s="125"/>
      <c r="AZ1513" s="125"/>
      <c r="BA1513" s="125"/>
    </row>
    <row r="1514" spans="2:53" s="123" customFormat="1">
      <c r="B1514" s="125"/>
      <c r="D1514" s="125"/>
      <c r="I1514" s="125"/>
      <c r="Z1514" s="124"/>
      <c r="AA1514" s="74"/>
      <c r="AB1514" s="240"/>
      <c r="AD1514" s="124"/>
      <c r="AE1514" s="238"/>
      <c r="AF1514" s="239"/>
      <c r="AG1514" s="239"/>
      <c r="AH1514" s="124"/>
      <c r="AI1514" s="74"/>
      <c r="AJ1514" s="240"/>
      <c r="AL1514" s="124"/>
      <c r="AM1514" s="74"/>
      <c r="AP1514" s="125"/>
      <c r="AQ1514" s="241"/>
      <c r="AR1514" s="125"/>
      <c r="AS1514" s="125"/>
      <c r="AT1514" s="238"/>
      <c r="AU1514" s="125"/>
      <c r="AV1514" s="125"/>
      <c r="AW1514" s="125"/>
      <c r="AX1514" s="238"/>
      <c r="AY1514" s="125"/>
      <c r="AZ1514" s="125"/>
      <c r="BA1514" s="125"/>
    </row>
    <row r="1515" spans="2:53" s="123" customFormat="1">
      <c r="B1515" s="125"/>
      <c r="D1515" s="125"/>
      <c r="I1515" s="125"/>
      <c r="Z1515" s="124"/>
      <c r="AA1515" s="74"/>
      <c r="AB1515" s="240"/>
      <c r="AD1515" s="124"/>
      <c r="AE1515" s="238"/>
      <c r="AF1515" s="239"/>
      <c r="AG1515" s="239"/>
      <c r="AH1515" s="124"/>
      <c r="AI1515" s="74"/>
      <c r="AJ1515" s="240"/>
      <c r="AL1515" s="124"/>
      <c r="AM1515" s="74"/>
      <c r="AP1515" s="125"/>
      <c r="AQ1515" s="241"/>
      <c r="AR1515" s="125"/>
      <c r="AS1515" s="125"/>
      <c r="AT1515" s="238"/>
      <c r="AU1515" s="125"/>
      <c r="AV1515" s="125"/>
      <c r="AW1515" s="125"/>
      <c r="AX1515" s="238"/>
      <c r="AY1515" s="125"/>
      <c r="AZ1515" s="125"/>
      <c r="BA1515" s="125"/>
    </row>
    <row r="1516" spans="2:53" s="123" customFormat="1">
      <c r="B1516" s="125"/>
      <c r="D1516" s="125"/>
      <c r="I1516" s="125"/>
      <c r="Z1516" s="124"/>
      <c r="AA1516" s="74"/>
      <c r="AB1516" s="240"/>
      <c r="AD1516" s="124"/>
      <c r="AE1516" s="238"/>
      <c r="AF1516" s="239"/>
      <c r="AG1516" s="239"/>
      <c r="AH1516" s="124"/>
      <c r="AI1516" s="74"/>
      <c r="AJ1516" s="240"/>
      <c r="AL1516" s="124"/>
      <c r="AM1516" s="74"/>
      <c r="AP1516" s="125"/>
      <c r="AQ1516" s="241"/>
      <c r="AR1516" s="125"/>
      <c r="AS1516" s="125"/>
      <c r="AT1516" s="238"/>
      <c r="AU1516" s="125"/>
      <c r="AV1516" s="125"/>
      <c r="AW1516" s="125"/>
      <c r="AX1516" s="238"/>
      <c r="AY1516" s="125"/>
      <c r="AZ1516" s="125"/>
      <c r="BA1516" s="125"/>
    </row>
    <row r="1517" spans="2:53" s="123" customFormat="1">
      <c r="B1517" s="125"/>
      <c r="D1517" s="125"/>
      <c r="I1517" s="125"/>
      <c r="Z1517" s="124"/>
      <c r="AA1517" s="74"/>
      <c r="AB1517" s="240"/>
      <c r="AD1517" s="124"/>
      <c r="AE1517" s="238"/>
      <c r="AF1517" s="239"/>
      <c r="AG1517" s="239"/>
      <c r="AH1517" s="124"/>
      <c r="AI1517" s="74"/>
      <c r="AJ1517" s="240"/>
      <c r="AL1517" s="124"/>
      <c r="AM1517" s="74"/>
      <c r="AP1517" s="125"/>
      <c r="AQ1517" s="241"/>
      <c r="AR1517" s="125"/>
      <c r="AS1517" s="125"/>
      <c r="AT1517" s="238"/>
      <c r="AU1517" s="125"/>
      <c r="AV1517" s="125"/>
      <c r="AW1517" s="125"/>
      <c r="AX1517" s="238"/>
      <c r="AY1517" s="125"/>
      <c r="AZ1517" s="125"/>
      <c r="BA1517" s="125"/>
    </row>
    <row r="1518" spans="2:53" s="123" customFormat="1">
      <c r="B1518" s="125"/>
      <c r="D1518" s="125"/>
      <c r="I1518" s="125"/>
      <c r="Z1518" s="124"/>
      <c r="AA1518" s="74"/>
      <c r="AB1518" s="240"/>
      <c r="AD1518" s="124"/>
      <c r="AE1518" s="238"/>
      <c r="AF1518" s="239"/>
      <c r="AG1518" s="239"/>
      <c r="AH1518" s="124"/>
      <c r="AI1518" s="74"/>
      <c r="AJ1518" s="240"/>
      <c r="AL1518" s="124"/>
      <c r="AM1518" s="74"/>
      <c r="AP1518" s="125"/>
      <c r="AQ1518" s="241"/>
      <c r="AR1518" s="125"/>
      <c r="AS1518" s="125"/>
      <c r="AT1518" s="238"/>
      <c r="AU1518" s="125"/>
      <c r="AV1518" s="125"/>
      <c r="AW1518" s="125"/>
      <c r="AX1518" s="238"/>
      <c r="AY1518" s="125"/>
      <c r="AZ1518" s="125"/>
      <c r="BA1518" s="125"/>
    </row>
    <row r="1519" spans="2:53" s="123" customFormat="1">
      <c r="B1519" s="125"/>
      <c r="D1519" s="125"/>
      <c r="I1519" s="125"/>
      <c r="Z1519" s="124"/>
      <c r="AA1519" s="74"/>
      <c r="AB1519" s="240"/>
      <c r="AD1519" s="124"/>
      <c r="AE1519" s="238"/>
      <c r="AF1519" s="239"/>
      <c r="AG1519" s="239"/>
      <c r="AH1519" s="124"/>
      <c r="AI1519" s="74"/>
      <c r="AJ1519" s="240"/>
      <c r="AL1519" s="124"/>
      <c r="AM1519" s="74"/>
      <c r="AP1519" s="125"/>
      <c r="AQ1519" s="241"/>
      <c r="AR1519" s="125"/>
      <c r="AS1519" s="125"/>
      <c r="AT1519" s="238"/>
      <c r="AU1519" s="125"/>
      <c r="AV1519" s="125"/>
      <c r="AW1519" s="125"/>
      <c r="AX1519" s="238"/>
      <c r="AY1519" s="125"/>
      <c r="AZ1519" s="125"/>
      <c r="BA1519" s="125"/>
    </row>
    <row r="1520" spans="2:53" s="123" customFormat="1">
      <c r="B1520" s="125"/>
      <c r="D1520" s="125"/>
      <c r="I1520" s="125"/>
      <c r="Z1520" s="124"/>
      <c r="AA1520" s="74"/>
      <c r="AB1520" s="240"/>
      <c r="AD1520" s="124"/>
      <c r="AE1520" s="238"/>
      <c r="AF1520" s="239"/>
      <c r="AG1520" s="239"/>
      <c r="AH1520" s="124"/>
      <c r="AI1520" s="74"/>
      <c r="AJ1520" s="240"/>
      <c r="AL1520" s="124"/>
      <c r="AM1520" s="74"/>
      <c r="AP1520" s="125"/>
      <c r="AQ1520" s="241"/>
      <c r="AR1520" s="125"/>
      <c r="AS1520" s="125"/>
      <c r="AT1520" s="238"/>
      <c r="AU1520" s="125"/>
      <c r="AV1520" s="125"/>
      <c r="AW1520" s="125"/>
      <c r="AX1520" s="238"/>
      <c r="AY1520" s="125"/>
      <c r="AZ1520" s="125"/>
      <c r="BA1520" s="125"/>
    </row>
    <row r="1521" spans="2:53" s="123" customFormat="1">
      <c r="B1521" s="125"/>
      <c r="D1521" s="125"/>
      <c r="I1521" s="125"/>
      <c r="Z1521" s="124"/>
      <c r="AA1521" s="74"/>
      <c r="AB1521" s="240"/>
      <c r="AD1521" s="124"/>
      <c r="AE1521" s="238"/>
      <c r="AF1521" s="239"/>
      <c r="AG1521" s="239"/>
      <c r="AH1521" s="124"/>
      <c r="AI1521" s="74"/>
      <c r="AJ1521" s="240"/>
      <c r="AL1521" s="124"/>
      <c r="AM1521" s="74"/>
      <c r="AP1521" s="125"/>
      <c r="AQ1521" s="241"/>
      <c r="AR1521" s="125"/>
      <c r="AS1521" s="125"/>
      <c r="AT1521" s="238"/>
      <c r="AU1521" s="125"/>
      <c r="AV1521" s="125"/>
      <c r="AW1521" s="125"/>
      <c r="AX1521" s="238"/>
      <c r="AY1521" s="125"/>
      <c r="AZ1521" s="125"/>
      <c r="BA1521" s="125"/>
    </row>
    <row r="1522" spans="2:53" s="123" customFormat="1">
      <c r="B1522" s="125"/>
      <c r="D1522" s="125"/>
      <c r="I1522" s="125"/>
      <c r="Z1522" s="124"/>
      <c r="AA1522" s="74"/>
      <c r="AB1522" s="240"/>
      <c r="AD1522" s="124"/>
      <c r="AE1522" s="238"/>
      <c r="AF1522" s="239"/>
      <c r="AG1522" s="239"/>
      <c r="AH1522" s="124"/>
      <c r="AI1522" s="74"/>
      <c r="AJ1522" s="240"/>
      <c r="AL1522" s="124"/>
      <c r="AM1522" s="74"/>
      <c r="AP1522" s="125"/>
      <c r="AQ1522" s="241"/>
      <c r="AR1522" s="125"/>
      <c r="AS1522" s="125"/>
      <c r="AT1522" s="238"/>
      <c r="AU1522" s="125"/>
      <c r="AV1522" s="125"/>
      <c r="AW1522" s="125"/>
      <c r="AX1522" s="238"/>
      <c r="AY1522" s="125"/>
      <c r="AZ1522" s="125"/>
      <c r="BA1522" s="125"/>
    </row>
    <row r="1523" spans="2:53" s="123" customFormat="1">
      <c r="B1523" s="125"/>
      <c r="D1523" s="125"/>
      <c r="I1523" s="125"/>
      <c r="Z1523" s="124"/>
      <c r="AA1523" s="74"/>
      <c r="AB1523" s="240"/>
      <c r="AD1523" s="124"/>
      <c r="AE1523" s="238"/>
      <c r="AF1523" s="239"/>
      <c r="AG1523" s="239"/>
      <c r="AH1523" s="124"/>
      <c r="AI1523" s="74"/>
      <c r="AJ1523" s="240"/>
      <c r="AL1523" s="124"/>
      <c r="AM1523" s="74"/>
      <c r="AP1523" s="125"/>
      <c r="AQ1523" s="241"/>
      <c r="AR1523" s="125"/>
      <c r="AS1523" s="125"/>
      <c r="AT1523" s="238"/>
      <c r="AU1523" s="125"/>
      <c r="AV1523" s="125"/>
      <c r="AW1523" s="125"/>
      <c r="AX1523" s="238"/>
      <c r="AY1523" s="125"/>
      <c r="AZ1523" s="125"/>
      <c r="BA1523" s="125"/>
    </row>
    <row r="1524" spans="2:53" s="123" customFormat="1">
      <c r="B1524" s="125"/>
      <c r="D1524" s="125"/>
      <c r="I1524" s="125"/>
      <c r="Z1524" s="124"/>
      <c r="AA1524" s="74"/>
      <c r="AB1524" s="240"/>
      <c r="AD1524" s="124"/>
      <c r="AE1524" s="238"/>
      <c r="AF1524" s="239"/>
      <c r="AG1524" s="239"/>
      <c r="AH1524" s="124"/>
      <c r="AI1524" s="74"/>
      <c r="AJ1524" s="240"/>
      <c r="AL1524" s="124"/>
      <c r="AM1524" s="74"/>
      <c r="AP1524" s="125"/>
      <c r="AQ1524" s="241"/>
      <c r="AR1524" s="125"/>
      <c r="AS1524" s="125"/>
      <c r="AT1524" s="238"/>
      <c r="AU1524" s="125"/>
      <c r="AV1524" s="125"/>
      <c r="AW1524" s="125"/>
      <c r="AX1524" s="238"/>
      <c r="AY1524" s="125"/>
      <c r="AZ1524" s="125"/>
      <c r="BA1524" s="125"/>
    </row>
    <row r="1525" spans="2:53" s="123" customFormat="1">
      <c r="B1525" s="125"/>
      <c r="D1525" s="125"/>
      <c r="I1525" s="125"/>
      <c r="Z1525" s="124"/>
      <c r="AA1525" s="74"/>
      <c r="AB1525" s="240"/>
      <c r="AD1525" s="124"/>
      <c r="AE1525" s="238"/>
      <c r="AF1525" s="239"/>
      <c r="AG1525" s="239"/>
      <c r="AH1525" s="124"/>
      <c r="AI1525" s="74"/>
      <c r="AJ1525" s="240"/>
      <c r="AL1525" s="124"/>
      <c r="AM1525" s="74"/>
      <c r="AP1525" s="125"/>
      <c r="AQ1525" s="241"/>
      <c r="AR1525" s="125"/>
      <c r="AS1525" s="125"/>
      <c r="AT1525" s="238"/>
      <c r="AU1525" s="125"/>
      <c r="AV1525" s="125"/>
      <c r="AW1525" s="125"/>
      <c r="AX1525" s="238"/>
      <c r="AY1525" s="125"/>
      <c r="AZ1525" s="125"/>
      <c r="BA1525" s="125"/>
    </row>
    <row r="1526" spans="2:53" s="123" customFormat="1">
      <c r="B1526" s="125"/>
      <c r="D1526" s="125"/>
      <c r="I1526" s="125"/>
      <c r="Z1526" s="124"/>
      <c r="AA1526" s="74"/>
      <c r="AB1526" s="240"/>
      <c r="AD1526" s="124"/>
      <c r="AE1526" s="238"/>
      <c r="AF1526" s="239"/>
      <c r="AG1526" s="239"/>
      <c r="AH1526" s="124"/>
      <c r="AI1526" s="74"/>
      <c r="AJ1526" s="240"/>
      <c r="AL1526" s="124"/>
      <c r="AM1526" s="74"/>
      <c r="AP1526" s="125"/>
      <c r="AQ1526" s="241"/>
      <c r="AR1526" s="125"/>
      <c r="AS1526" s="125"/>
      <c r="AT1526" s="238"/>
      <c r="AU1526" s="125"/>
      <c r="AV1526" s="125"/>
      <c r="AW1526" s="125"/>
      <c r="AX1526" s="238"/>
      <c r="AY1526" s="125"/>
      <c r="AZ1526" s="125"/>
      <c r="BA1526" s="125"/>
    </row>
    <row r="1527" spans="2:53" s="123" customFormat="1">
      <c r="B1527" s="125"/>
      <c r="D1527" s="125"/>
      <c r="I1527" s="125"/>
      <c r="Z1527" s="124"/>
      <c r="AA1527" s="74"/>
      <c r="AB1527" s="240"/>
      <c r="AD1527" s="124"/>
      <c r="AE1527" s="238"/>
      <c r="AF1527" s="239"/>
      <c r="AG1527" s="239"/>
      <c r="AH1527" s="124"/>
      <c r="AI1527" s="74"/>
      <c r="AJ1527" s="240"/>
      <c r="AL1527" s="124"/>
      <c r="AM1527" s="74"/>
      <c r="AP1527" s="125"/>
      <c r="AQ1527" s="241"/>
      <c r="AR1527" s="125"/>
      <c r="AS1527" s="125"/>
      <c r="AT1527" s="238"/>
      <c r="AU1527" s="125"/>
      <c r="AV1527" s="125"/>
      <c r="AW1527" s="125"/>
      <c r="AX1527" s="238"/>
      <c r="AY1527" s="125"/>
      <c r="AZ1527" s="125"/>
      <c r="BA1527" s="125"/>
    </row>
    <row r="1528" spans="2:53" s="123" customFormat="1">
      <c r="B1528" s="125"/>
      <c r="D1528" s="125"/>
      <c r="I1528" s="125"/>
      <c r="Z1528" s="124"/>
      <c r="AA1528" s="74"/>
      <c r="AB1528" s="240"/>
      <c r="AD1528" s="124"/>
      <c r="AE1528" s="238"/>
      <c r="AF1528" s="239"/>
      <c r="AG1528" s="239"/>
      <c r="AH1528" s="124"/>
      <c r="AI1528" s="74"/>
      <c r="AJ1528" s="240"/>
      <c r="AL1528" s="124"/>
      <c r="AM1528" s="74"/>
      <c r="AP1528" s="125"/>
      <c r="AQ1528" s="241"/>
      <c r="AR1528" s="125"/>
      <c r="AS1528" s="125"/>
      <c r="AT1528" s="238"/>
      <c r="AU1528" s="125"/>
      <c r="AV1528" s="125"/>
      <c r="AW1528" s="125"/>
      <c r="AX1528" s="238"/>
      <c r="AY1528" s="125"/>
      <c r="AZ1528" s="125"/>
      <c r="BA1528" s="125"/>
    </row>
    <row r="1529" spans="2:53" s="123" customFormat="1">
      <c r="B1529" s="125"/>
      <c r="D1529" s="125"/>
      <c r="I1529" s="125"/>
      <c r="Z1529" s="124"/>
      <c r="AA1529" s="74"/>
      <c r="AB1529" s="240"/>
      <c r="AD1529" s="124"/>
      <c r="AE1529" s="238"/>
      <c r="AF1529" s="239"/>
      <c r="AG1529" s="239"/>
      <c r="AH1529" s="124"/>
      <c r="AI1529" s="74"/>
      <c r="AJ1529" s="240"/>
      <c r="AL1529" s="124"/>
      <c r="AM1529" s="74"/>
      <c r="AP1529" s="125"/>
      <c r="AQ1529" s="241"/>
      <c r="AR1529" s="125"/>
      <c r="AS1529" s="125"/>
      <c r="AT1529" s="238"/>
      <c r="AU1529" s="125"/>
      <c r="AV1529" s="125"/>
      <c r="AW1529" s="125"/>
      <c r="AX1529" s="238"/>
      <c r="AY1529" s="125"/>
      <c r="AZ1529" s="125"/>
      <c r="BA1529" s="125"/>
    </row>
    <row r="1530" spans="2:53" s="123" customFormat="1">
      <c r="B1530" s="125"/>
      <c r="D1530" s="125"/>
      <c r="I1530" s="125"/>
      <c r="Z1530" s="124"/>
      <c r="AA1530" s="74"/>
      <c r="AB1530" s="240"/>
      <c r="AD1530" s="124"/>
      <c r="AE1530" s="238"/>
      <c r="AF1530" s="239"/>
      <c r="AG1530" s="239"/>
      <c r="AH1530" s="124"/>
      <c r="AI1530" s="74"/>
      <c r="AJ1530" s="240"/>
      <c r="AL1530" s="124"/>
      <c r="AM1530" s="74"/>
      <c r="AP1530" s="125"/>
      <c r="AQ1530" s="241"/>
      <c r="AR1530" s="125"/>
      <c r="AS1530" s="125"/>
      <c r="AT1530" s="238"/>
      <c r="AU1530" s="125"/>
      <c r="AV1530" s="125"/>
      <c r="AW1530" s="125"/>
      <c r="AX1530" s="238"/>
      <c r="AY1530" s="125"/>
      <c r="AZ1530" s="125"/>
      <c r="BA1530" s="125"/>
    </row>
    <row r="1531" spans="2:53" s="123" customFormat="1">
      <c r="B1531" s="125"/>
      <c r="D1531" s="125"/>
      <c r="I1531" s="125"/>
      <c r="Z1531" s="124"/>
      <c r="AA1531" s="74"/>
      <c r="AB1531" s="240"/>
      <c r="AD1531" s="124"/>
      <c r="AE1531" s="238"/>
      <c r="AF1531" s="239"/>
      <c r="AG1531" s="239"/>
      <c r="AH1531" s="124"/>
      <c r="AI1531" s="74"/>
      <c r="AJ1531" s="240"/>
      <c r="AL1531" s="124"/>
      <c r="AM1531" s="74"/>
      <c r="AP1531" s="125"/>
      <c r="AQ1531" s="241"/>
      <c r="AR1531" s="125"/>
      <c r="AS1531" s="125"/>
      <c r="AT1531" s="238"/>
      <c r="AU1531" s="125"/>
      <c r="AV1531" s="125"/>
      <c r="AW1531" s="125"/>
      <c r="AX1531" s="238"/>
      <c r="AY1531" s="125"/>
      <c r="AZ1531" s="125"/>
      <c r="BA1531" s="125"/>
    </row>
    <row r="1532" spans="2:53" s="123" customFormat="1">
      <c r="B1532" s="125"/>
      <c r="D1532" s="125"/>
      <c r="I1532" s="125"/>
      <c r="Z1532" s="124"/>
      <c r="AA1532" s="74"/>
      <c r="AB1532" s="240"/>
      <c r="AD1532" s="124"/>
      <c r="AE1532" s="238"/>
      <c r="AF1532" s="239"/>
      <c r="AG1532" s="239"/>
      <c r="AH1532" s="124"/>
      <c r="AI1532" s="74"/>
      <c r="AJ1532" s="240"/>
      <c r="AL1532" s="124"/>
      <c r="AM1532" s="74"/>
      <c r="AP1532" s="125"/>
      <c r="AQ1532" s="241"/>
      <c r="AR1532" s="125"/>
      <c r="AS1532" s="125"/>
      <c r="AT1532" s="238"/>
      <c r="AU1532" s="125"/>
      <c r="AV1532" s="125"/>
      <c r="AW1532" s="125"/>
      <c r="AX1532" s="238"/>
      <c r="AY1532" s="125"/>
      <c r="AZ1532" s="125"/>
      <c r="BA1532" s="125"/>
    </row>
    <row r="1533" spans="2:53" s="123" customFormat="1">
      <c r="B1533" s="125"/>
      <c r="D1533" s="125"/>
      <c r="I1533" s="125"/>
      <c r="Z1533" s="124"/>
      <c r="AA1533" s="74"/>
      <c r="AB1533" s="240"/>
      <c r="AD1533" s="124"/>
      <c r="AE1533" s="238"/>
      <c r="AF1533" s="239"/>
      <c r="AG1533" s="239"/>
      <c r="AH1533" s="124"/>
      <c r="AI1533" s="74"/>
      <c r="AJ1533" s="240"/>
      <c r="AL1533" s="124"/>
      <c r="AM1533" s="74"/>
      <c r="AP1533" s="125"/>
      <c r="AQ1533" s="241"/>
      <c r="AR1533" s="125"/>
      <c r="AS1533" s="125"/>
      <c r="AT1533" s="238"/>
      <c r="AU1533" s="125"/>
      <c r="AV1533" s="125"/>
      <c r="AW1533" s="125"/>
      <c r="AX1533" s="238"/>
      <c r="AY1533" s="125"/>
      <c r="AZ1533" s="125"/>
      <c r="BA1533" s="125"/>
    </row>
    <row r="1534" spans="2:53" s="123" customFormat="1">
      <c r="B1534" s="125"/>
      <c r="D1534" s="125"/>
      <c r="I1534" s="125"/>
      <c r="Z1534" s="124"/>
      <c r="AA1534" s="74"/>
      <c r="AB1534" s="240"/>
      <c r="AD1534" s="124"/>
      <c r="AE1534" s="238"/>
      <c r="AF1534" s="239"/>
      <c r="AG1534" s="239"/>
      <c r="AH1534" s="124"/>
      <c r="AI1534" s="74"/>
      <c r="AJ1534" s="240"/>
      <c r="AL1534" s="124"/>
      <c r="AM1534" s="74"/>
      <c r="AP1534" s="125"/>
      <c r="AQ1534" s="241"/>
      <c r="AR1534" s="125"/>
      <c r="AS1534" s="125"/>
      <c r="AT1534" s="238"/>
      <c r="AU1534" s="125"/>
      <c r="AV1534" s="125"/>
      <c r="AW1534" s="125"/>
      <c r="AX1534" s="238"/>
      <c r="AY1534" s="125"/>
      <c r="AZ1534" s="125"/>
      <c r="BA1534" s="125"/>
    </row>
    <row r="1535" spans="2:53" s="123" customFormat="1">
      <c r="B1535" s="125"/>
      <c r="D1535" s="125"/>
      <c r="I1535" s="125"/>
      <c r="Z1535" s="124"/>
      <c r="AA1535" s="74"/>
      <c r="AB1535" s="240"/>
      <c r="AD1535" s="124"/>
      <c r="AE1535" s="238"/>
      <c r="AF1535" s="239"/>
      <c r="AG1535" s="239"/>
      <c r="AH1535" s="124"/>
      <c r="AI1535" s="74"/>
      <c r="AJ1535" s="240"/>
      <c r="AL1535" s="124"/>
      <c r="AM1535" s="74"/>
      <c r="AP1535" s="125"/>
      <c r="AQ1535" s="241"/>
      <c r="AR1535" s="125"/>
      <c r="AS1535" s="125"/>
      <c r="AT1535" s="238"/>
      <c r="AU1535" s="125"/>
      <c r="AV1535" s="125"/>
      <c r="AW1535" s="125"/>
      <c r="AX1535" s="238"/>
      <c r="AY1535" s="125"/>
      <c r="AZ1535" s="125"/>
      <c r="BA1535" s="125"/>
    </row>
    <row r="1536" spans="2:53" s="123" customFormat="1">
      <c r="B1536" s="125"/>
      <c r="D1536" s="125"/>
      <c r="I1536" s="125"/>
      <c r="Z1536" s="124"/>
      <c r="AA1536" s="74"/>
      <c r="AB1536" s="240"/>
      <c r="AD1536" s="124"/>
      <c r="AE1536" s="238"/>
      <c r="AF1536" s="239"/>
      <c r="AG1536" s="239"/>
      <c r="AH1536" s="124"/>
      <c r="AI1536" s="74"/>
      <c r="AJ1536" s="240"/>
      <c r="AL1536" s="124"/>
      <c r="AM1536" s="74"/>
      <c r="AP1536" s="125"/>
      <c r="AQ1536" s="241"/>
      <c r="AR1536" s="125"/>
      <c r="AS1536" s="125"/>
      <c r="AT1536" s="238"/>
      <c r="AU1536" s="125"/>
      <c r="AV1536" s="125"/>
      <c r="AW1536" s="125"/>
      <c r="AX1536" s="238"/>
      <c r="AY1536" s="125"/>
      <c r="AZ1536" s="125"/>
      <c r="BA1536" s="125"/>
    </row>
    <row r="1537" spans="2:53" s="123" customFormat="1">
      <c r="B1537" s="125"/>
      <c r="D1537" s="125"/>
      <c r="I1537" s="125"/>
      <c r="Z1537" s="124"/>
      <c r="AA1537" s="74"/>
      <c r="AB1537" s="240"/>
      <c r="AD1537" s="124"/>
      <c r="AE1537" s="238"/>
      <c r="AF1537" s="239"/>
      <c r="AG1537" s="239"/>
      <c r="AH1537" s="124"/>
      <c r="AI1537" s="74"/>
      <c r="AJ1537" s="240"/>
      <c r="AL1537" s="124"/>
      <c r="AM1537" s="74"/>
      <c r="AP1537" s="125"/>
      <c r="AQ1537" s="241"/>
      <c r="AR1537" s="125"/>
      <c r="AS1537" s="125"/>
      <c r="AT1537" s="238"/>
      <c r="AU1537" s="125"/>
      <c r="AV1537" s="125"/>
      <c r="AW1537" s="125"/>
      <c r="AX1537" s="238"/>
      <c r="AY1537" s="125"/>
      <c r="AZ1537" s="125"/>
      <c r="BA1537" s="125"/>
    </row>
    <row r="1538" spans="2:53" s="123" customFormat="1">
      <c r="B1538" s="125"/>
      <c r="D1538" s="125"/>
      <c r="I1538" s="125"/>
      <c r="Z1538" s="124"/>
      <c r="AA1538" s="74"/>
      <c r="AB1538" s="240"/>
      <c r="AD1538" s="124"/>
      <c r="AE1538" s="238"/>
      <c r="AF1538" s="239"/>
      <c r="AG1538" s="239"/>
      <c r="AH1538" s="124"/>
      <c r="AI1538" s="74"/>
      <c r="AJ1538" s="240"/>
      <c r="AL1538" s="124"/>
      <c r="AM1538" s="74"/>
      <c r="AP1538" s="125"/>
      <c r="AQ1538" s="241"/>
      <c r="AR1538" s="125"/>
      <c r="AS1538" s="125"/>
      <c r="AT1538" s="238"/>
      <c r="AU1538" s="125"/>
      <c r="AV1538" s="125"/>
      <c r="AW1538" s="125"/>
      <c r="AX1538" s="238"/>
      <c r="AY1538" s="125"/>
      <c r="AZ1538" s="125"/>
      <c r="BA1538" s="125"/>
    </row>
    <row r="1539" spans="2:53" s="123" customFormat="1">
      <c r="B1539" s="125"/>
      <c r="D1539" s="125"/>
      <c r="I1539" s="125"/>
      <c r="Z1539" s="124"/>
      <c r="AA1539" s="74"/>
      <c r="AB1539" s="240"/>
      <c r="AD1539" s="124"/>
      <c r="AE1539" s="238"/>
      <c r="AF1539" s="239"/>
      <c r="AG1539" s="239"/>
      <c r="AH1539" s="124"/>
      <c r="AI1539" s="74"/>
      <c r="AJ1539" s="240"/>
      <c r="AL1539" s="124"/>
      <c r="AM1539" s="74"/>
      <c r="AP1539" s="125"/>
      <c r="AQ1539" s="241"/>
      <c r="AR1539" s="125"/>
      <c r="AS1539" s="125"/>
      <c r="AT1539" s="238"/>
      <c r="AU1539" s="125"/>
      <c r="AV1539" s="125"/>
      <c r="AW1539" s="125"/>
      <c r="AX1539" s="238"/>
      <c r="AY1539" s="125"/>
      <c r="AZ1539" s="125"/>
      <c r="BA1539" s="125"/>
    </row>
    <row r="1540" spans="2:53" s="123" customFormat="1">
      <c r="B1540" s="125"/>
      <c r="D1540" s="125"/>
      <c r="I1540" s="125"/>
      <c r="Z1540" s="124"/>
      <c r="AA1540" s="74"/>
      <c r="AB1540" s="240"/>
      <c r="AD1540" s="124"/>
      <c r="AE1540" s="238"/>
      <c r="AF1540" s="239"/>
      <c r="AG1540" s="239"/>
      <c r="AH1540" s="124"/>
      <c r="AI1540" s="74"/>
      <c r="AJ1540" s="240"/>
      <c r="AL1540" s="124"/>
      <c r="AM1540" s="74"/>
      <c r="AP1540" s="125"/>
      <c r="AQ1540" s="241"/>
      <c r="AR1540" s="125"/>
      <c r="AS1540" s="125"/>
      <c r="AT1540" s="238"/>
      <c r="AU1540" s="125"/>
      <c r="AV1540" s="125"/>
      <c r="AW1540" s="125"/>
      <c r="AX1540" s="238"/>
      <c r="AY1540" s="125"/>
      <c r="AZ1540" s="125"/>
      <c r="BA1540" s="125"/>
    </row>
    <row r="1541" spans="2:53" s="123" customFormat="1">
      <c r="B1541" s="125"/>
      <c r="D1541" s="125"/>
      <c r="I1541" s="125"/>
      <c r="Z1541" s="124"/>
      <c r="AA1541" s="74"/>
      <c r="AB1541" s="240"/>
      <c r="AD1541" s="124"/>
      <c r="AE1541" s="238"/>
      <c r="AF1541" s="239"/>
      <c r="AG1541" s="239"/>
      <c r="AH1541" s="124"/>
      <c r="AI1541" s="74"/>
      <c r="AJ1541" s="240"/>
      <c r="AL1541" s="124"/>
      <c r="AM1541" s="74"/>
      <c r="AP1541" s="125"/>
      <c r="AQ1541" s="241"/>
      <c r="AR1541" s="125"/>
      <c r="AS1541" s="125"/>
      <c r="AT1541" s="238"/>
      <c r="AU1541" s="125"/>
      <c r="AV1541" s="125"/>
      <c r="AW1541" s="125"/>
      <c r="AX1541" s="238"/>
      <c r="AY1541" s="125"/>
      <c r="AZ1541" s="125"/>
      <c r="BA1541" s="125"/>
    </row>
    <row r="1542" spans="2:53" s="123" customFormat="1">
      <c r="B1542" s="125"/>
      <c r="D1542" s="125"/>
      <c r="I1542" s="125"/>
      <c r="Z1542" s="124"/>
      <c r="AA1542" s="74"/>
      <c r="AB1542" s="240"/>
      <c r="AD1542" s="124"/>
      <c r="AE1542" s="238"/>
      <c r="AF1542" s="239"/>
      <c r="AG1542" s="239"/>
      <c r="AH1542" s="124"/>
      <c r="AI1542" s="74"/>
      <c r="AJ1542" s="240"/>
      <c r="AL1542" s="124"/>
      <c r="AM1542" s="74"/>
      <c r="AP1542" s="125"/>
      <c r="AQ1542" s="241"/>
      <c r="AR1542" s="125"/>
      <c r="AS1542" s="125"/>
      <c r="AT1542" s="238"/>
      <c r="AU1542" s="125"/>
      <c r="AV1542" s="125"/>
      <c r="AW1542" s="125"/>
      <c r="AX1542" s="238"/>
      <c r="AY1542" s="125"/>
      <c r="AZ1542" s="125"/>
      <c r="BA1542" s="125"/>
    </row>
    <row r="1543" spans="2:53" s="123" customFormat="1">
      <c r="B1543" s="125"/>
      <c r="D1543" s="125"/>
      <c r="I1543" s="125"/>
      <c r="Z1543" s="124"/>
      <c r="AA1543" s="74"/>
      <c r="AB1543" s="240"/>
      <c r="AD1543" s="124"/>
      <c r="AE1543" s="238"/>
      <c r="AF1543" s="239"/>
      <c r="AG1543" s="239"/>
      <c r="AH1543" s="124"/>
      <c r="AI1543" s="74"/>
      <c r="AJ1543" s="240"/>
      <c r="AL1543" s="124"/>
      <c r="AM1543" s="74"/>
      <c r="AP1543" s="125"/>
      <c r="AQ1543" s="241"/>
      <c r="AR1543" s="125"/>
      <c r="AS1543" s="125"/>
      <c r="AT1543" s="238"/>
      <c r="AU1543" s="125"/>
      <c r="AV1543" s="125"/>
      <c r="AW1543" s="125"/>
      <c r="AX1543" s="238"/>
      <c r="AY1543" s="125"/>
      <c r="AZ1543" s="125"/>
      <c r="BA1543" s="125"/>
    </row>
    <row r="1544" spans="2:53" s="123" customFormat="1">
      <c r="B1544" s="125"/>
      <c r="D1544" s="125"/>
      <c r="I1544" s="125"/>
      <c r="Z1544" s="124"/>
      <c r="AA1544" s="74"/>
      <c r="AB1544" s="240"/>
      <c r="AD1544" s="124"/>
      <c r="AE1544" s="238"/>
      <c r="AF1544" s="239"/>
      <c r="AG1544" s="239"/>
      <c r="AH1544" s="124"/>
      <c r="AI1544" s="74"/>
      <c r="AJ1544" s="240"/>
      <c r="AL1544" s="124"/>
      <c r="AM1544" s="74"/>
      <c r="AP1544" s="125"/>
      <c r="AQ1544" s="241"/>
      <c r="AR1544" s="125"/>
      <c r="AS1544" s="125"/>
      <c r="AT1544" s="238"/>
      <c r="AU1544" s="125"/>
      <c r="AV1544" s="125"/>
      <c r="AW1544" s="125"/>
      <c r="AX1544" s="238"/>
      <c r="AY1544" s="125"/>
      <c r="AZ1544" s="125"/>
      <c r="BA1544" s="125"/>
    </row>
    <row r="1545" spans="2:53" s="123" customFormat="1">
      <c r="B1545" s="125"/>
      <c r="D1545" s="125"/>
      <c r="I1545" s="125"/>
      <c r="Z1545" s="124"/>
      <c r="AA1545" s="74"/>
      <c r="AB1545" s="240"/>
      <c r="AD1545" s="124"/>
      <c r="AE1545" s="238"/>
      <c r="AF1545" s="239"/>
      <c r="AG1545" s="239"/>
      <c r="AH1545" s="124"/>
      <c r="AI1545" s="74"/>
      <c r="AJ1545" s="240"/>
      <c r="AL1545" s="124"/>
      <c r="AM1545" s="74"/>
      <c r="AP1545" s="125"/>
      <c r="AQ1545" s="241"/>
      <c r="AR1545" s="125"/>
      <c r="AS1545" s="125"/>
      <c r="AT1545" s="238"/>
      <c r="AU1545" s="125"/>
      <c r="AV1545" s="125"/>
      <c r="AW1545" s="125"/>
      <c r="AX1545" s="238"/>
      <c r="AY1545" s="125"/>
      <c r="AZ1545" s="125"/>
      <c r="BA1545" s="125"/>
    </row>
    <row r="1546" spans="2:53" s="123" customFormat="1">
      <c r="B1546" s="125"/>
      <c r="D1546" s="125"/>
      <c r="I1546" s="125"/>
      <c r="Z1546" s="124"/>
      <c r="AA1546" s="74"/>
      <c r="AB1546" s="240"/>
      <c r="AD1546" s="124"/>
      <c r="AE1546" s="238"/>
      <c r="AF1546" s="239"/>
      <c r="AG1546" s="239"/>
      <c r="AH1546" s="124"/>
      <c r="AI1546" s="74"/>
      <c r="AJ1546" s="240"/>
      <c r="AL1546" s="124"/>
      <c r="AM1546" s="74"/>
      <c r="AP1546" s="125"/>
      <c r="AQ1546" s="241"/>
      <c r="AR1546" s="125"/>
      <c r="AS1546" s="125"/>
      <c r="AT1546" s="238"/>
      <c r="AU1546" s="125"/>
      <c r="AV1546" s="125"/>
      <c r="AW1546" s="125"/>
      <c r="AX1546" s="238"/>
      <c r="AY1546" s="125"/>
      <c r="AZ1546" s="125"/>
      <c r="BA1546" s="125"/>
    </row>
    <row r="1547" spans="2:53" s="123" customFormat="1">
      <c r="B1547" s="125"/>
      <c r="D1547" s="125"/>
      <c r="I1547" s="125"/>
      <c r="Z1547" s="124"/>
      <c r="AA1547" s="74"/>
      <c r="AB1547" s="240"/>
      <c r="AD1547" s="124"/>
      <c r="AE1547" s="238"/>
      <c r="AF1547" s="239"/>
      <c r="AG1547" s="239"/>
      <c r="AH1547" s="124"/>
      <c r="AI1547" s="74"/>
      <c r="AJ1547" s="240"/>
      <c r="AL1547" s="124"/>
      <c r="AM1547" s="74"/>
      <c r="AP1547" s="125"/>
      <c r="AQ1547" s="241"/>
      <c r="AR1547" s="125"/>
      <c r="AS1547" s="125"/>
      <c r="AT1547" s="238"/>
      <c r="AU1547" s="125"/>
      <c r="AV1547" s="125"/>
      <c r="AW1547" s="125"/>
      <c r="AX1547" s="238"/>
      <c r="AY1547" s="125"/>
      <c r="AZ1547" s="125"/>
      <c r="BA1547" s="125"/>
    </row>
    <row r="1548" spans="2:53" s="123" customFormat="1">
      <c r="B1548" s="125"/>
      <c r="D1548" s="125"/>
      <c r="I1548" s="125"/>
      <c r="Z1548" s="124"/>
      <c r="AA1548" s="74"/>
      <c r="AB1548" s="240"/>
      <c r="AD1548" s="124"/>
      <c r="AE1548" s="238"/>
      <c r="AF1548" s="239"/>
      <c r="AG1548" s="239"/>
      <c r="AH1548" s="124"/>
      <c r="AI1548" s="74"/>
      <c r="AJ1548" s="240"/>
      <c r="AL1548" s="124"/>
      <c r="AM1548" s="74"/>
      <c r="AP1548" s="125"/>
      <c r="AQ1548" s="241"/>
      <c r="AR1548" s="125"/>
      <c r="AS1548" s="125"/>
      <c r="AT1548" s="238"/>
      <c r="AU1548" s="125"/>
      <c r="AV1548" s="125"/>
      <c r="AW1548" s="125"/>
      <c r="AX1548" s="238"/>
      <c r="AY1548" s="125"/>
      <c r="AZ1548" s="125"/>
      <c r="BA1548" s="125"/>
    </row>
    <row r="1549" spans="2:53" s="123" customFormat="1">
      <c r="B1549" s="125"/>
      <c r="D1549" s="125"/>
      <c r="I1549" s="125"/>
      <c r="Z1549" s="124"/>
      <c r="AA1549" s="74"/>
      <c r="AB1549" s="240"/>
      <c r="AD1549" s="124"/>
      <c r="AE1549" s="238"/>
      <c r="AF1549" s="239"/>
      <c r="AG1549" s="239"/>
      <c r="AH1549" s="124"/>
      <c r="AI1549" s="74"/>
      <c r="AJ1549" s="240"/>
      <c r="AL1549" s="124"/>
      <c r="AM1549" s="74"/>
      <c r="AP1549" s="125"/>
      <c r="AQ1549" s="241"/>
      <c r="AR1549" s="125"/>
      <c r="AS1549" s="125"/>
      <c r="AT1549" s="238"/>
      <c r="AU1549" s="125"/>
      <c r="AV1549" s="125"/>
      <c r="AW1549" s="125"/>
      <c r="AX1549" s="238"/>
      <c r="AY1549" s="125"/>
      <c r="AZ1549" s="125"/>
      <c r="BA1549" s="125"/>
    </row>
    <row r="1550" spans="2:53" s="123" customFormat="1">
      <c r="B1550" s="125"/>
      <c r="D1550" s="125"/>
      <c r="I1550" s="125"/>
      <c r="Z1550" s="124"/>
      <c r="AA1550" s="74"/>
      <c r="AB1550" s="240"/>
      <c r="AD1550" s="124"/>
      <c r="AE1550" s="238"/>
      <c r="AF1550" s="239"/>
      <c r="AG1550" s="239"/>
      <c r="AH1550" s="124"/>
      <c r="AI1550" s="74"/>
      <c r="AJ1550" s="240"/>
      <c r="AL1550" s="124"/>
      <c r="AM1550" s="74"/>
      <c r="AP1550" s="125"/>
      <c r="AQ1550" s="241"/>
      <c r="AR1550" s="125"/>
      <c r="AS1550" s="125"/>
      <c r="AT1550" s="238"/>
      <c r="AU1550" s="125"/>
      <c r="AV1550" s="125"/>
      <c r="AW1550" s="125"/>
      <c r="AX1550" s="238"/>
      <c r="AY1550" s="125"/>
      <c r="AZ1550" s="125"/>
      <c r="BA1550" s="125"/>
    </row>
    <row r="1551" spans="2:53" s="123" customFormat="1">
      <c r="B1551" s="125"/>
      <c r="D1551" s="125"/>
      <c r="I1551" s="125"/>
      <c r="Z1551" s="124"/>
      <c r="AA1551" s="74"/>
      <c r="AB1551" s="240"/>
      <c r="AD1551" s="124"/>
      <c r="AE1551" s="238"/>
      <c r="AF1551" s="239"/>
      <c r="AG1551" s="239"/>
      <c r="AH1551" s="124"/>
      <c r="AI1551" s="74"/>
      <c r="AJ1551" s="240"/>
      <c r="AL1551" s="124"/>
      <c r="AM1551" s="74"/>
      <c r="AP1551" s="125"/>
      <c r="AQ1551" s="241"/>
      <c r="AR1551" s="125"/>
      <c r="AS1551" s="125"/>
      <c r="AT1551" s="238"/>
      <c r="AU1551" s="125"/>
      <c r="AV1551" s="125"/>
      <c r="AW1551" s="125"/>
      <c r="AX1551" s="238"/>
      <c r="AY1551" s="125"/>
      <c r="AZ1551" s="125"/>
      <c r="BA1551" s="125"/>
    </row>
    <row r="1552" spans="2:53" s="123" customFormat="1">
      <c r="B1552" s="125"/>
      <c r="D1552" s="125"/>
      <c r="I1552" s="125"/>
      <c r="Z1552" s="124"/>
      <c r="AA1552" s="74"/>
      <c r="AB1552" s="240"/>
      <c r="AD1552" s="124"/>
      <c r="AE1552" s="238"/>
      <c r="AF1552" s="239"/>
      <c r="AG1552" s="239"/>
      <c r="AH1552" s="124"/>
      <c r="AI1552" s="74"/>
      <c r="AJ1552" s="240"/>
      <c r="AL1552" s="124"/>
      <c r="AM1552" s="74"/>
      <c r="AP1552" s="125"/>
      <c r="AQ1552" s="241"/>
      <c r="AR1552" s="125"/>
      <c r="AS1552" s="125"/>
      <c r="AT1552" s="238"/>
      <c r="AU1552" s="125"/>
      <c r="AV1552" s="125"/>
      <c r="AW1552" s="125"/>
      <c r="AX1552" s="238"/>
      <c r="AY1552" s="125"/>
      <c r="AZ1552" s="125"/>
      <c r="BA1552" s="125"/>
    </row>
    <row r="1553" spans="2:53" s="123" customFormat="1">
      <c r="B1553" s="125"/>
      <c r="D1553" s="125"/>
      <c r="I1553" s="125"/>
      <c r="Z1553" s="124"/>
      <c r="AA1553" s="74"/>
      <c r="AB1553" s="240"/>
      <c r="AD1553" s="124"/>
      <c r="AE1553" s="238"/>
      <c r="AF1553" s="239"/>
      <c r="AG1553" s="239"/>
      <c r="AH1553" s="124"/>
      <c r="AI1553" s="74"/>
      <c r="AJ1553" s="240"/>
      <c r="AL1553" s="124"/>
      <c r="AM1553" s="74"/>
      <c r="AP1553" s="125"/>
      <c r="AQ1553" s="241"/>
      <c r="AR1553" s="125"/>
      <c r="AS1553" s="125"/>
      <c r="AT1553" s="238"/>
      <c r="AU1553" s="125"/>
      <c r="AV1553" s="125"/>
      <c r="AW1553" s="125"/>
      <c r="AX1553" s="238"/>
      <c r="AY1553" s="125"/>
      <c r="AZ1553" s="125"/>
      <c r="BA1553" s="125"/>
    </row>
    <row r="1554" spans="2:53" s="123" customFormat="1">
      <c r="B1554" s="125"/>
      <c r="D1554" s="125"/>
      <c r="I1554" s="125"/>
      <c r="Z1554" s="124"/>
      <c r="AA1554" s="74"/>
      <c r="AB1554" s="240"/>
      <c r="AD1554" s="124"/>
      <c r="AE1554" s="238"/>
      <c r="AF1554" s="239"/>
      <c r="AG1554" s="239"/>
      <c r="AH1554" s="124"/>
      <c r="AI1554" s="74"/>
      <c r="AJ1554" s="240"/>
      <c r="AL1554" s="124"/>
      <c r="AM1554" s="74"/>
      <c r="AP1554" s="125"/>
      <c r="AQ1554" s="241"/>
      <c r="AR1554" s="125"/>
      <c r="AS1554" s="125"/>
      <c r="AT1554" s="238"/>
      <c r="AU1554" s="125"/>
      <c r="AV1554" s="125"/>
      <c r="AW1554" s="125"/>
      <c r="AX1554" s="238"/>
      <c r="AY1554" s="125"/>
      <c r="AZ1554" s="125"/>
      <c r="BA1554" s="125"/>
    </row>
    <row r="1555" spans="2:53" s="123" customFormat="1">
      <c r="B1555" s="125"/>
      <c r="D1555" s="125"/>
      <c r="I1555" s="125"/>
      <c r="Z1555" s="124"/>
      <c r="AA1555" s="74"/>
      <c r="AB1555" s="240"/>
      <c r="AD1555" s="124"/>
      <c r="AE1555" s="238"/>
      <c r="AF1555" s="239"/>
      <c r="AG1555" s="239"/>
      <c r="AH1555" s="124"/>
      <c r="AI1555" s="74"/>
      <c r="AJ1555" s="240"/>
      <c r="AL1555" s="124"/>
      <c r="AM1555" s="74"/>
      <c r="AP1555" s="125"/>
      <c r="AQ1555" s="241"/>
      <c r="AR1555" s="125"/>
      <c r="AS1555" s="125"/>
      <c r="AT1555" s="238"/>
      <c r="AU1555" s="125"/>
      <c r="AV1555" s="125"/>
      <c r="AW1555" s="125"/>
      <c r="AX1555" s="238"/>
      <c r="AY1555" s="125"/>
      <c r="AZ1555" s="125"/>
      <c r="BA1555" s="125"/>
    </row>
    <row r="1556" spans="2:53" s="123" customFormat="1">
      <c r="B1556" s="125"/>
      <c r="D1556" s="125"/>
      <c r="I1556" s="125"/>
      <c r="Z1556" s="124"/>
      <c r="AA1556" s="74"/>
      <c r="AB1556" s="240"/>
      <c r="AD1556" s="124"/>
      <c r="AE1556" s="238"/>
      <c r="AF1556" s="239"/>
      <c r="AG1556" s="239"/>
      <c r="AH1556" s="124"/>
      <c r="AI1556" s="74"/>
      <c r="AJ1556" s="240"/>
      <c r="AL1556" s="124"/>
      <c r="AM1556" s="74"/>
      <c r="AP1556" s="125"/>
      <c r="AQ1556" s="241"/>
      <c r="AR1556" s="125"/>
      <c r="AS1556" s="125"/>
      <c r="AT1556" s="238"/>
      <c r="AU1556" s="125"/>
      <c r="AV1556" s="125"/>
      <c r="AW1556" s="125"/>
      <c r="AX1556" s="238"/>
      <c r="AY1556" s="125"/>
      <c r="AZ1556" s="125"/>
      <c r="BA1556" s="125"/>
    </row>
    <row r="1557" spans="2:53" s="123" customFormat="1">
      <c r="B1557" s="125"/>
      <c r="D1557" s="125"/>
      <c r="I1557" s="125"/>
      <c r="Z1557" s="124"/>
      <c r="AA1557" s="74"/>
      <c r="AB1557" s="240"/>
      <c r="AD1557" s="124"/>
      <c r="AE1557" s="238"/>
      <c r="AF1557" s="239"/>
      <c r="AG1557" s="239"/>
      <c r="AH1557" s="124"/>
      <c r="AI1557" s="74"/>
      <c r="AJ1557" s="240"/>
      <c r="AL1557" s="124"/>
      <c r="AM1557" s="74"/>
      <c r="AP1557" s="125"/>
      <c r="AQ1557" s="241"/>
      <c r="AR1557" s="125"/>
      <c r="AS1557" s="125"/>
      <c r="AT1557" s="238"/>
      <c r="AU1557" s="125"/>
      <c r="AV1557" s="125"/>
      <c r="AW1557" s="125"/>
      <c r="AX1557" s="238"/>
      <c r="AY1557" s="125"/>
      <c r="AZ1557" s="125"/>
      <c r="BA1557" s="125"/>
    </row>
    <row r="1558" spans="2:53" s="123" customFormat="1">
      <c r="B1558" s="125"/>
      <c r="D1558" s="125"/>
      <c r="I1558" s="125"/>
      <c r="Z1558" s="124"/>
      <c r="AA1558" s="74"/>
      <c r="AB1558" s="240"/>
      <c r="AD1558" s="124"/>
      <c r="AE1558" s="238"/>
      <c r="AF1558" s="239"/>
      <c r="AG1558" s="239"/>
      <c r="AH1558" s="124"/>
      <c r="AI1558" s="74"/>
      <c r="AJ1558" s="240"/>
      <c r="AL1558" s="124"/>
      <c r="AM1558" s="74"/>
      <c r="AP1558" s="125"/>
      <c r="AQ1558" s="241"/>
      <c r="AR1558" s="125"/>
      <c r="AS1558" s="125"/>
      <c r="AT1558" s="238"/>
      <c r="AU1558" s="125"/>
      <c r="AV1558" s="125"/>
      <c r="AW1558" s="125"/>
      <c r="AX1558" s="238"/>
      <c r="AY1558" s="125"/>
      <c r="AZ1558" s="125"/>
      <c r="BA1558" s="125"/>
    </row>
    <row r="1559" spans="2:53" s="123" customFormat="1">
      <c r="B1559" s="125"/>
      <c r="D1559" s="125"/>
      <c r="I1559" s="125"/>
      <c r="Z1559" s="124"/>
      <c r="AA1559" s="74"/>
      <c r="AB1559" s="240"/>
      <c r="AD1559" s="124"/>
      <c r="AE1559" s="238"/>
      <c r="AF1559" s="239"/>
      <c r="AG1559" s="239"/>
      <c r="AH1559" s="124"/>
      <c r="AI1559" s="74"/>
      <c r="AJ1559" s="240"/>
      <c r="AL1559" s="124"/>
      <c r="AM1559" s="74"/>
      <c r="AP1559" s="125"/>
      <c r="AQ1559" s="241"/>
      <c r="AR1559" s="125"/>
      <c r="AS1559" s="125"/>
      <c r="AT1559" s="238"/>
      <c r="AU1559" s="125"/>
      <c r="AV1559" s="125"/>
      <c r="AW1559" s="125"/>
      <c r="AX1559" s="238"/>
      <c r="AY1559" s="125"/>
      <c r="AZ1559" s="125"/>
      <c r="BA1559" s="125"/>
    </row>
    <row r="1560" spans="2:53" s="123" customFormat="1">
      <c r="B1560" s="125"/>
      <c r="D1560" s="125"/>
      <c r="I1560" s="125"/>
      <c r="Z1560" s="124"/>
      <c r="AA1560" s="74"/>
      <c r="AB1560" s="240"/>
      <c r="AD1560" s="124"/>
      <c r="AE1560" s="238"/>
      <c r="AF1560" s="239"/>
      <c r="AG1560" s="239"/>
      <c r="AH1560" s="124"/>
      <c r="AI1560" s="74"/>
      <c r="AJ1560" s="240"/>
      <c r="AL1560" s="124"/>
      <c r="AM1560" s="74"/>
      <c r="AP1560" s="125"/>
      <c r="AQ1560" s="241"/>
      <c r="AR1560" s="125"/>
      <c r="AS1560" s="125"/>
      <c r="AT1560" s="238"/>
      <c r="AU1560" s="125"/>
      <c r="AV1560" s="125"/>
      <c r="AW1560" s="125"/>
      <c r="AX1560" s="238"/>
      <c r="AY1560" s="125"/>
      <c r="AZ1560" s="125"/>
      <c r="BA1560" s="125"/>
    </row>
    <row r="1561" spans="2:53" s="123" customFormat="1">
      <c r="B1561" s="125"/>
      <c r="D1561" s="125"/>
      <c r="I1561" s="125"/>
      <c r="Z1561" s="124"/>
      <c r="AA1561" s="74"/>
      <c r="AB1561" s="240"/>
      <c r="AD1561" s="124"/>
      <c r="AE1561" s="238"/>
      <c r="AF1561" s="239"/>
      <c r="AG1561" s="239"/>
      <c r="AH1561" s="124"/>
      <c r="AI1561" s="74"/>
      <c r="AJ1561" s="240"/>
      <c r="AL1561" s="124"/>
      <c r="AM1561" s="74"/>
      <c r="AP1561" s="125"/>
      <c r="AQ1561" s="241"/>
      <c r="AR1561" s="125"/>
      <c r="AS1561" s="125"/>
      <c r="AT1561" s="238"/>
      <c r="AU1561" s="125"/>
      <c r="AV1561" s="125"/>
      <c r="AW1561" s="125"/>
      <c r="AX1561" s="238"/>
      <c r="AY1561" s="125"/>
      <c r="AZ1561" s="125"/>
      <c r="BA1561" s="125"/>
    </row>
    <row r="1562" spans="2:53" s="123" customFormat="1">
      <c r="B1562" s="125"/>
      <c r="D1562" s="125"/>
      <c r="I1562" s="125"/>
      <c r="Z1562" s="124"/>
      <c r="AA1562" s="74"/>
      <c r="AB1562" s="240"/>
      <c r="AD1562" s="124"/>
      <c r="AE1562" s="238"/>
      <c r="AF1562" s="239"/>
      <c r="AG1562" s="239"/>
      <c r="AH1562" s="124"/>
      <c r="AI1562" s="74"/>
      <c r="AJ1562" s="240"/>
      <c r="AL1562" s="124"/>
      <c r="AM1562" s="74"/>
      <c r="AP1562" s="125"/>
      <c r="AQ1562" s="241"/>
      <c r="AR1562" s="125"/>
      <c r="AS1562" s="125"/>
      <c r="AT1562" s="238"/>
      <c r="AU1562" s="125"/>
      <c r="AV1562" s="125"/>
      <c r="AW1562" s="125"/>
      <c r="AX1562" s="238"/>
      <c r="AY1562" s="125"/>
      <c r="AZ1562" s="125"/>
      <c r="BA1562" s="125"/>
    </row>
    <row r="1563" spans="2:53" s="123" customFormat="1">
      <c r="B1563" s="125"/>
      <c r="D1563" s="125"/>
      <c r="I1563" s="125"/>
      <c r="Z1563" s="124"/>
      <c r="AA1563" s="74"/>
      <c r="AB1563" s="240"/>
      <c r="AD1563" s="124"/>
      <c r="AE1563" s="238"/>
      <c r="AF1563" s="239"/>
      <c r="AG1563" s="239"/>
      <c r="AH1563" s="124"/>
      <c r="AI1563" s="74"/>
      <c r="AJ1563" s="240"/>
      <c r="AL1563" s="124"/>
      <c r="AM1563" s="74"/>
      <c r="AP1563" s="125"/>
      <c r="AQ1563" s="241"/>
      <c r="AR1563" s="125"/>
      <c r="AS1563" s="125"/>
      <c r="AT1563" s="238"/>
      <c r="AU1563" s="125"/>
      <c r="AV1563" s="125"/>
      <c r="AW1563" s="125"/>
      <c r="AX1563" s="238"/>
      <c r="AY1563" s="125"/>
      <c r="AZ1563" s="125"/>
      <c r="BA1563" s="125"/>
    </row>
    <row r="1564" spans="2:53" s="123" customFormat="1">
      <c r="B1564" s="125"/>
      <c r="D1564" s="125"/>
      <c r="I1564" s="125"/>
      <c r="Z1564" s="124"/>
      <c r="AA1564" s="74"/>
      <c r="AB1564" s="240"/>
      <c r="AD1564" s="124"/>
      <c r="AE1564" s="238"/>
      <c r="AF1564" s="239"/>
      <c r="AG1564" s="239"/>
      <c r="AH1564" s="124"/>
      <c r="AI1564" s="74"/>
      <c r="AJ1564" s="240"/>
      <c r="AL1564" s="124"/>
      <c r="AM1564" s="74"/>
      <c r="AP1564" s="125"/>
      <c r="AQ1564" s="241"/>
      <c r="AR1564" s="125"/>
      <c r="AS1564" s="125"/>
      <c r="AT1564" s="238"/>
      <c r="AU1564" s="125"/>
      <c r="AV1564" s="125"/>
      <c r="AW1564" s="125"/>
      <c r="AX1564" s="238"/>
      <c r="AY1564" s="125"/>
      <c r="AZ1564" s="125"/>
      <c r="BA1564" s="125"/>
    </row>
    <row r="1565" spans="2:53" s="123" customFormat="1">
      <c r="B1565" s="125"/>
      <c r="D1565" s="125"/>
      <c r="I1565" s="125"/>
      <c r="Z1565" s="124"/>
      <c r="AA1565" s="74"/>
      <c r="AB1565" s="240"/>
      <c r="AD1565" s="124"/>
      <c r="AE1565" s="238"/>
      <c r="AF1565" s="239"/>
      <c r="AG1565" s="239"/>
      <c r="AH1565" s="124"/>
      <c r="AI1565" s="74"/>
      <c r="AJ1565" s="240"/>
      <c r="AL1565" s="124"/>
      <c r="AM1565" s="74"/>
      <c r="AP1565" s="125"/>
      <c r="AQ1565" s="241"/>
      <c r="AR1565" s="125"/>
      <c r="AS1565" s="125"/>
      <c r="AT1565" s="238"/>
      <c r="AU1565" s="125"/>
      <c r="AV1565" s="125"/>
      <c r="AW1565" s="125"/>
      <c r="AX1565" s="238"/>
      <c r="AY1565" s="125"/>
      <c r="AZ1565" s="125"/>
      <c r="BA1565" s="125"/>
    </row>
    <row r="1566" spans="2:53" s="123" customFormat="1">
      <c r="B1566" s="125"/>
      <c r="D1566" s="125"/>
      <c r="I1566" s="125"/>
      <c r="Z1566" s="124"/>
      <c r="AA1566" s="74"/>
      <c r="AB1566" s="240"/>
      <c r="AD1566" s="124"/>
      <c r="AE1566" s="238"/>
      <c r="AF1566" s="239"/>
      <c r="AG1566" s="239"/>
      <c r="AH1566" s="124"/>
      <c r="AI1566" s="74"/>
      <c r="AJ1566" s="240"/>
      <c r="AL1566" s="124"/>
      <c r="AM1566" s="74"/>
      <c r="AP1566" s="125"/>
      <c r="AQ1566" s="241"/>
      <c r="AR1566" s="125"/>
      <c r="AS1566" s="125"/>
      <c r="AT1566" s="238"/>
      <c r="AU1566" s="125"/>
      <c r="AV1566" s="125"/>
      <c r="AW1566" s="125"/>
      <c r="AX1566" s="238"/>
      <c r="AY1566" s="125"/>
      <c r="AZ1566" s="125"/>
      <c r="BA1566" s="125"/>
    </row>
    <row r="1567" spans="2:53" s="123" customFormat="1">
      <c r="B1567" s="125"/>
      <c r="D1567" s="125"/>
      <c r="I1567" s="125"/>
      <c r="Z1567" s="124"/>
      <c r="AA1567" s="74"/>
      <c r="AB1567" s="240"/>
      <c r="AD1567" s="124"/>
      <c r="AE1567" s="238"/>
      <c r="AF1567" s="239"/>
      <c r="AG1567" s="239"/>
      <c r="AH1567" s="124"/>
      <c r="AI1567" s="74"/>
      <c r="AJ1567" s="240"/>
      <c r="AL1567" s="124"/>
      <c r="AM1567" s="74"/>
      <c r="AP1567" s="125"/>
      <c r="AQ1567" s="241"/>
      <c r="AR1567" s="125"/>
      <c r="AS1567" s="125"/>
      <c r="AT1567" s="238"/>
      <c r="AU1567" s="125"/>
      <c r="AV1567" s="125"/>
      <c r="AW1567" s="125"/>
      <c r="AX1567" s="238"/>
      <c r="AY1567" s="125"/>
      <c r="AZ1567" s="125"/>
      <c r="BA1567" s="125"/>
    </row>
    <row r="1568" spans="2:53" s="123" customFormat="1">
      <c r="B1568" s="125"/>
      <c r="D1568" s="125"/>
      <c r="I1568" s="125"/>
      <c r="Z1568" s="124"/>
      <c r="AA1568" s="74"/>
      <c r="AB1568" s="240"/>
      <c r="AD1568" s="124"/>
      <c r="AE1568" s="238"/>
      <c r="AF1568" s="239"/>
      <c r="AG1568" s="239"/>
      <c r="AH1568" s="124"/>
      <c r="AI1568" s="74"/>
      <c r="AJ1568" s="240"/>
      <c r="AL1568" s="124"/>
      <c r="AM1568" s="74"/>
      <c r="AP1568" s="125"/>
      <c r="AQ1568" s="241"/>
      <c r="AR1568" s="125"/>
      <c r="AS1568" s="125"/>
      <c r="AT1568" s="238"/>
      <c r="AU1568" s="125"/>
      <c r="AV1568" s="125"/>
      <c r="AW1568" s="125"/>
      <c r="AX1568" s="238"/>
      <c r="AY1568" s="125"/>
      <c r="AZ1568" s="125"/>
      <c r="BA1568" s="125"/>
    </row>
    <row r="1569" spans="2:53" s="123" customFormat="1">
      <c r="B1569" s="125"/>
      <c r="D1569" s="125"/>
      <c r="I1569" s="125"/>
      <c r="Z1569" s="124"/>
      <c r="AA1569" s="74"/>
      <c r="AB1569" s="240"/>
      <c r="AD1569" s="124"/>
      <c r="AE1569" s="238"/>
      <c r="AF1569" s="239"/>
      <c r="AG1569" s="239"/>
      <c r="AH1569" s="124"/>
      <c r="AI1569" s="74"/>
      <c r="AJ1569" s="240"/>
      <c r="AL1569" s="124"/>
      <c r="AM1569" s="74"/>
      <c r="AP1569" s="125"/>
      <c r="AQ1569" s="241"/>
      <c r="AR1569" s="125"/>
      <c r="AS1569" s="125"/>
      <c r="AT1569" s="238"/>
      <c r="AU1569" s="125"/>
      <c r="AV1569" s="125"/>
      <c r="AW1569" s="125"/>
      <c r="AX1569" s="238"/>
      <c r="AY1569" s="125"/>
      <c r="AZ1569" s="125"/>
      <c r="BA1569" s="125"/>
    </row>
    <row r="1570" spans="2:53" s="123" customFormat="1">
      <c r="B1570" s="125"/>
      <c r="D1570" s="125"/>
      <c r="I1570" s="125"/>
      <c r="Z1570" s="124"/>
      <c r="AA1570" s="74"/>
      <c r="AB1570" s="240"/>
      <c r="AD1570" s="124"/>
      <c r="AE1570" s="238"/>
      <c r="AF1570" s="239"/>
      <c r="AG1570" s="239"/>
      <c r="AH1570" s="124"/>
      <c r="AI1570" s="74"/>
      <c r="AJ1570" s="240"/>
      <c r="AL1570" s="124"/>
      <c r="AM1570" s="74"/>
      <c r="AP1570" s="125"/>
      <c r="AQ1570" s="241"/>
      <c r="AR1570" s="125"/>
      <c r="AS1570" s="125"/>
      <c r="AT1570" s="238"/>
      <c r="AU1570" s="125"/>
      <c r="AV1570" s="125"/>
      <c r="AW1570" s="125"/>
      <c r="AX1570" s="238"/>
      <c r="AY1570" s="125"/>
      <c r="AZ1570" s="125"/>
      <c r="BA1570" s="125"/>
    </row>
    <row r="1571" spans="2:53" s="123" customFormat="1">
      <c r="B1571" s="125"/>
      <c r="D1571" s="125"/>
      <c r="I1571" s="125"/>
      <c r="Z1571" s="124"/>
      <c r="AA1571" s="74"/>
      <c r="AB1571" s="240"/>
      <c r="AD1571" s="124"/>
      <c r="AE1571" s="238"/>
      <c r="AF1571" s="239"/>
      <c r="AG1571" s="239"/>
      <c r="AH1571" s="124"/>
      <c r="AI1571" s="74"/>
      <c r="AJ1571" s="240"/>
      <c r="AL1571" s="124"/>
      <c r="AM1571" s="74"/>
      <c r="AP1571" s="125"/>
      <c r="AQ1571" s="241"/>
      <c r="AR1571" s="125"/>
      <c r="AS1571" s="125"/>
      <c r="AT1571" s="238"/>
      <c r="AU1571" s="125"/>
      <c r="AV1571" s="125"/>
      <c r="AW1571" s="125"/>
      <c r="AX1571" s="238"/>
      <c r="AY1571" s="125"/>
      <c r="AZ1571" s="125"/>
      <c r="BA1571" s="125"/>
    </row>
    <row r="1572" spans="2:53" s="123" customFormat="1">
      <c r="B1572" s="125"/>
      <c r="D1572" s="125"/>
      <c r="I1572" s="125"/>
      <c r="Z1572" s="124"/>
      <c r="AA1572" s="74"/>
      <c r="AB1572" s="240"/>
      <c r="AD1572" s="124"/>
      <c r="AE1572" s="238"/>
      <c r="AF1572" s="239"/>
      <c r="AG1572" s="239"/>
      <c r="AH1572" s="124"/>
      <c r="AI1572" s="74"/>
      <c r="AJ1572" s="240"/>
      <c r="AL1572" s="124"/>
      <c r="AM1572" s="74"/>
      <c r="AP1572" s="125"/>
      <c r="AQ1572" s="241"/>
      <c r="AR1572" s="125"/>
      <c r="AS1572" s="125"/>
      <c r="AT1572" s="238"/>
      <c r="AU1572" s="125"/>
      <c r="AV1572" s="125"/>
      <c r="AW1572" s="125"/>
      <c r="AX1572" s="238"/>
      <c r="AY1572" s="125"/>
      <c r="AZ1572" s="125"/>
      <c r="BA1572" s="125"/>
    </row>
    <row r="1573" spans="2:53" s="123" customFormat="1">
      <c r="B1573" s="125"/>
      <c r="D1573" s="125"/>
      <c r="I1573" s="125"/>
      <c r="Z1573" s="124"/>
      <c r="AA1573" s="74"/>
      <c r="AB1573" s="240"/>
      <c r="AD1573" s="124"/>
      <c r="AE1573" s="238"/>
      <c r="AF1573" s="239"/>
      <c r="AG1573" s="239"/>
      <c r="AH1573" s="124"/>
      <c r="AI1573" s="74"/>
      <c r="AJ1573" s="240"/>
      <c r="AL1573" s="124"/>
      <c r="AM1573" s="74"/>
      <c r="AP1573" s="125"/>
      <c r="AQ1573" s="241"/>
      <c r="AR1573" s="125"/>
      <c r="AS1573" s="125"/>
      <c r="AT1573" s="238"/>
      <c r="AU1573" s="125"/>
      <c r="AV1573" s="125"/>
      <c r="AW1573" s="125"/>
      <c r="AX1573" s="238"/>
      <c r="AY1573" s="125"/>
      <c r="AZ1573" s="125"/>
      <c r="BA1573" s="125"/>
    </row>
    <row r="1574" spans="2:53" s="123" customFormat="1">
      <c r="B1574" s="125"/>
      <c r="D1574" s="125"/>
      <c r="I1574" s="125"/>
      <c r="Z1574" s="124"/>
      <c r="AA1574" s="74"/>
      <c r="AB1574" s="240"/>
      <c r="AD1574" s="124"/>
      <c r="AE1574" s="238"/>
      <c r="AF1574" s="239"/>
      <c r="AG1574" s="239"/>
      <c r="AH1574" s="124"/>
      <c r="AI1574" s="74"/>
      <c r="AJ1574" s="240"/>
      <c r="AL1574" s="124"/>
      <c r="AM1574" s="74"/>
      <c r="AP1574" s="125"/>
      <c r="AQ1574" s="241"/>
      <c r="AR1574" s="125"/>
      <c r="AS1574" s="125"/>
      <c r="AT1574" s="238"/>
      <c r="AU1574" s="125"/>
      <c r="AV1574" s="125"/>
      <c r="AW1574" s="125"/>
      <c r="AX1574" s="238"/>
      <c r="AY1574" s="125"/>
      <c r="AZ1574" s="125"/>
      <c r="BA1574" s="125"/>
    </row>
    <row r="1575" spans="2:53" s="123" customFormat="1">
      <c r="B1575" s="125"/>
      <c r="D1575" s="125"/>
      <c r="I1575" s="125"/>
      <c r="Z1575" s="124"/>
      <c r="AA1575" s="74"/>
      <c r="AB1575" s="240"/>
      <c r="AD1575" s="124"/>
      <c r="AE1575" s="238"/>
      <c r="AF1575" s="239"/>
      <c r="AG1575" s="239"/>
      <c r="AH1575" s="124"/>
      <c r="AI1575" s="74"/>
      <c r="AJ1575" s="240"/>
      <c r="AL1575" s="124"/>
      <c r="AM1575" s="74"/>
      <c r="AP1575" s="125"/>
      <c r="AQ1575" s="241"/>
      <c r="AR1575" s="125"/>
      <c r="AS1575" s="125"/>
      <c r="AT1575" s="238"/>
      <c r="AU1575" s="125"/>
      <c r="AV1575" s="125"/>
      <c r="AW1575" s="125"/>
      <c r="AX1575" s="238"/>
      <c r="AY1575" s="125"/>
      <c r="AZ1575" s="125"/>
      <c r="BA1575" s="125"/>
    </row>
    <row r="1576" spans="2:53" s="123" customFormat="1">
      <c r="B1576" s="125"/>
      <c r="D1576" s="125"/>
      <c r="I1576" s="125"/>
      <c r="Z1576" s="124"/>
      <c r="AA1576" s="74"/>
      <c r="AB1576" s="240"/>
      <c r="AD1576" s="124"/>
      <c r="AE1576" s="238"/>
      <c r="AF1576" s="239"/>
      <c r="AG1576" s="239"/>
      <c r="AH1576" s="124"/>
      <c r="AI1576" s="74"/>
      <c r="AJ1576" s="240"/>
      <c r="AL1576" s="124"/>
      <c r="AM1576" s="74"/>
      <c r="AP1576" s="125"/>
      <c r="AQ1576" s="241"/>
      <c r="AR1576" s="125"/>
      <c r="AS1576" s="125"/>
      <c r="AT1576" s="238"/>
      <c r="AU1576" s="125"/>
      <c r="AV1576" s="125"/>
      <c r="AW1576" s="125"/>
      <c r="AX1576" s="238"/>
      <c r="AY1576" s="125"/>
      <c r="AZ1576" s="125"/>
      <c r="BA1576" s="125"/>
    </row>
    <row r="1577" spans="2:53" s="123" customFormat="1">
      <c r="B1577" s="125"/>
      <c r="D1577" s="125"/>
      <c r="I1577" s="125"/>
      <c r="Z1577" s="124"/>
      <c r="AA1577" s="74"/>
      <c r="AB1577" s="240"/>
      <c r="AD1577" s="124"/>
      <c r="AE1577" s="238"/>
      <c r="AF1577" s="239"/>
      <c r="AG1577" s="239"/>
      <c r="AH1577" s="124"/>
      <c r="AI1577" s="74"/>
      <c r="AJ1577" s="240"/>
      <c r="AL1577" s="124"/>
      <c r="AM1577" s="74"/>
      <c r="AP1577" s="125"/>
      <c r="AQ1577" s="241"/>
      <c r="AR1577" s="125"/>
      <c r="AS1577" s="125"/>
      <c r="AT1577" s="238"/>
      <c r="AU1577" s="125"/>
      <c r="AV1577" s="125"/>
      <c r="AW1577" s="125"/>
      <c r="AX1577" s="238"/>
      <c r="AY1577" s="125"/>
      <c r="AZ1577" s="125"/>
      <c r="BA1577" s="125"/>
    </row>
    <row r="1578" spans="2:53" s="123" customFormat="1">
      <c r="B1578" s="125"/>
      <c r="D1578" s="125"/>
      <c r="I1578" s="125"/>
      <c r="Z1578" s="124"/>
      <c r="AA1578" s="74"/>
      <c r="AB1578" s="240"/>
      <c r="AD1578" s="124"/>
      <c r="AE1578" s="238"/>
      <c r="AF1578" s="239"/>
      <c r="AG1578" s="239"/>
      <c r="AH1578" s="124"/>
      <c r="AI1578" s="74"/>
      <c r="AJ1578" s="240"/>
      <c r="AL1578" s="124"/>
      <c r="AM1578" s="74"/>
      <c r="AP1578" s="125"/>
      <c r="AQ1578" s="241"/>
      <c r="AR1578" s="125"/>
      <c r="AS1578" s="125"/>
      <c r="AT1578" s="238"/>
      <c r="AU1578" s="125"/>
      <c r="AV1578" s="125"/>
      <c r="AW1578" s="125"/>
      <c r="AX1578" s="238"/>
      <c r="AY1578" s="125"/>
      <c r="AZ1578" s="125"/>
      <c r="BA1578" s="125"/>
    </row>
    <row r="1579" spans="2:53" s="123" customFormat="1">
      <c r="B1579" s="125"/>
      <c r="D1579" s="125"/>
      <c r="I1579" s="125"/>
      <c r="Z1579" s="124"/>
      <c r="AA1579" s="74"/>
      <c r="AB1579" s="240"/>
      <c r="AD1579" s="124"/>
      <c r="AE1579" s="238"/>
      <c r="AF1579" s="239"/>
      <c r="AG1579" s="239"/>
      <c r="AH1579" s="124"/>
      <c r="AI1579" s="74"/>
      <c r="AJ1579" s="240"/>
      <c r="AL1579" s="124"/>
      <c r="AM1579" s="74"/>
      <c r="AP1579" s="125"/>
      <c r="AQ1579" s="241"/>
      <c r="AR1579" s="125"/>
      <c r="AS1579" s="125"/>
      <c r="AT1579" s="238"/>
      <c r="AU1579" s="125"/>
      <c r="AV1579" s="125"/>
      <c r="AW1579" s="125"/>
      <c r="AX1579" s="238"/>
      <c r="AY1579" s="125"/>
      <c r="AZ1579" s="125"/>
      <c r="BA1579" s="125"/>
    </row>
    <row r="1580" spans="2:53" s="123" customFormat="1">
      <c r="B1580" s="125"/>
      <c r="D1580" s="125"/>
      <c r="I1580" s="125"/>
      <c r="Z1580" s="124"/>
      <c r="AA1580" s="74"/>
      <c r="AB1580" s="240"/>
      <c r="AD1580" s="124"/>
      <c r="AE1580" s="238"/>
      <c r="AF1580" s="239"/>
      <c r="AG1580" s="239"/>
      <c r="AH1580" s="124"/>
      <c r="AI1580" s="74"/>
      <c r="AJ1580" s="240"/>
      <c r="AL1580" s="124"/>
      <c r="AM1580" s="74"/>
      <c r="AP1580" s="125"/>
      <c r="AQ1580" s="241"/>
      <c r="AR1580" s="125"/>
      <c r="AS1580" s="125"/>
      <c r="AT1580" s="238"/>
      <c r="AU1580" s="125"/>
      <c r="AV1580" s="125"/>
      <c r="AW1580" s="125"/>
      <c r="AX1580" s="238"/>
      <c r="AY1580" s="125"/>
      <c r="AZ1580" s="125"/>
      <c r="BA1580" s="125"/>
    </row>
    <row r="1581" spans="2:53" s="123" customFormat="1">
      <c r="B1581" s="125"/>
      <c r="D1581" s="125"/>
      <c r="I1581" s="125"/>
      <c r="Z1581" s="124"/>
      <c r="AA1581" s="74"/>
      <c r="AB1581" s="240"/>
      <c r="AD1581" s="124"/>
      <c r="AE1581" s="238"/>
      <c r="AF1581" s="239"/>
      <c r="AG1581" s="239"/>
      <c r="AH1581" s="124"/>
      <c r="AI1581" s="74"/>
      <c r="AJ1581" s="240"/>
      <c r="AL1581" s="124"/>
      <c r="AM1581" s="74"/>
      <c r="AP1581" s="125"/>
      <c r="AQ1581" s="241"/>
      <c r="AR1581" s="125"/>
      <c r="AS1581" s="125"/>
      <c r="AT1581" s="238"/>
      <c r="AU1581" s="125"/>
      <c r="AV1581" s="125"/>
      <c r="AW1581" s="125"/>
      <c r="AX1581" s="238"/>
      <c r="AY1581" s="125"/>
      <c r="AZ1581" s="125"/>
      <c r="BA1581" s="125"/>
    </row>
    <row r="1582" spans="2:53" s="123" customFormat="1">
      <c r="B1582" s="125"/>
      <c r="D1582" s="125"/>
      <c r="I1582" s="125"/>
      <c r="Z1582" s="124"/>
      <c r="AA1582" s="74"/>
      <c r="AB1582" s="240"/>
      <c r="AD1582" s="124"/>
      <c r="AE1582" s="238"/>
      <c r="AF1582" s="239"/>
      <c r="AG1582" s="239"/>
      <c r="AH1582" s="124"/>
      <c r="AI1582" s="74"/>
      <c r="AJ1582" s="240"/>
      <c r="AL1582" s="124"/>
      <c r="AM1582" s="74"/>
      <c r="AP1582" s="125"/>
      <c r="AQ1582" s="241"/>
      <c r="AR1582" s="125"/>
      <c r="AS1582" s="125"/>
      <c r="AT1582" s="238"/>
      <c r="AU1582" s="125"/>
      <c r="AV1582" s="125"/>
      <c r="AW1582" s="125"/>
      <c r="AX1582" s="238"/>
      <c r="AY1582" s="125"/>
      <c r="AZ1582" s="125"/>
      <c r="BA1582" s="125"/>
    </row>
    <row r="1583" spans="2:53" s="123" customFormat="1">
      <c r="B1583" s="125"/>
      <c r="D1583" s="125"/>
      <c r="I1583" s="125"/>
      <c r="Z1583" s="124"/>
      <c r="AA1583" s="74"/>
      <c r="AB1583" s="240"/>
      <c r="AD1583" s="124"/>
      <c r="AE1583" s="238"/>
      <c r="AF1583" s="239"/>
      <c r="AG1583" s="239"/>
      <c r="AH1583" s="124"/>
      <c r="AI1583" s="74"/>
      <c r="AJ1583" s="240"/>
      <c r="AL1583" s="124"/>
      <c r="AM1583" s="74"/>
      <c r="AP1583" s="125"/>
      <c r="AQ1583" s="241"/>
      <c r="AR1583" s="125"/>
      <c r="AS1583" s="125"/>
      <c r="AT1583" s="238"/>
      <c r="AU1583" s="125"/>
      <c r="AV1583" s="125"/>
      <c r="AW1583" s="125"/>
      <c r="AX1583" s="238"/>
      <c r="AY1583" s="125"/>
      <c r="AZ1583" s="125"/>
      <c r="BA1583" s="125"/>
    </row>
    <row r="1584" spans="2:53" s="123" customFormat="1">
      <c r="B1584" s="125"/>
      <c r="D1584" s="125"/>
      <c r="I1584" s="125"/>
      <c r="Z1584" s="124"/>
      <c r="AA1584" s="74"/>
      <c r="AB1584" s="240"/>
      <c r="AD1584" s="124"/>
      <c r="AE1584" s="238"/>
      <c r="AF1584" s="239"/>
      <c r="AG1584" s="239"/>
      <c r="AH1584" s="124"/>
      <c r="AI1584" s="74"/>
      <c r="AJ1584" s="240"/>
      <c r="AL1584" s="124"/>
      <c r="AM1584" s="74"/>
      <c r="AP1584" s="125"/>
      <c r="AQ1584" s="241"/>
      <c r="AR1584" s="125"/>
      <c r="AS1584" s="125"/>
      <c r="AT1584" s="238"/>
      <c r="AU1584" s="125"/>
      <c r="AV1584" s="125"/>
      <c r="AW1584" s="125"/>
      <c r="AX1584" s="238"/>
      <c r="AY1584" s="125"/>
      <c r="AZ1584" s="125"/>
      <c r="BA1584" s="125"/>
    </row>
    <row r="1585" spans="2:53" s="123" customFormat="1">
      <c r="B1585" s="125"/>
      <c r="D1585" s="125"/>
      <c r="I1585" s="125"/>
      <c r="Z1585" s="124"/>
      <c r="AA1585" s="74"/>
      <c r="AB1585" s="240"/>
      <c r="AD1585" s="124"/>
      <c r="AE1585" s="238"/>
      <c r="AF1585" s="239"/>
      <c r="AG1585" s="239"/>
      <c r="AH1585" s="124"/>
      <c r="AI1585" s="74"/>
      <c r="AJ1585" s="240"/>
      <c r="AL1585" s="124"/>
      <c r="AM1585" s="74"/>
      <c r="AP1585" s="125"/>
      <c r="AQ1585" s="241"/>
      <c r="AR1585" s="125"/>
      <c r="AS1585" s="125"/>
      <c r="AT1585" s="238"/>
      <c r="AU1585" s="125"/>
      <c r="AV1585" s="125"/>
      <c r="AW1585" s="125"/>
      <c r="AX1585" s="238"/>
      <c r="AY1585" s="125"/>
      <c r="AZ1585" s="125"/>
      <c r="BA1585" s="125"/>
    </row>
    <row r="1586" spans="2:53" s="123" customFormat="1">
      <c r="B1586" s="125"/>
      <c r="D1586" s="125"/>
      <c r="I1586" s="125"/>
      <c r="Z1586" s="124"/>
      <c r="AA1586" s="74"/>
      <c r="AB1586" s="240"/>
      <c r="AD1586" s="124"/>
      <c r="AE1586" s="238"/>
      <c r="AF1586" s="239"/>
      <c r="AG1586" s="239"/>
      <c r="AH1586" s="124"/>
      <c r="AI1586" s="74"/>
      <c r="AJ1586" s="240"/>
      <c r="AL1586" s="124"/>
      <c r="AM1586" s="74"/>
      <c r="AP1586" s="125"/>
      <c r="AQ1586" s="241"/>
      <c r="AR1586" s="125"/>
      <c r="AS1586" s="125"/>
      <c r="AT1586" s="238"/>
      <c r="AU1586" s="125"/>
      <c r="AV1586" s="125"/>
      <c r="AW1586" s="125"/>
      <c r="AX1586" s="238"/>
      <c r="AY1586" s="125"/>
      <c r="AZ1586" s="125"/>
      <c r="BA1586" s="125"/>
    </row>
    <row r="1587" spans="2:53" s="123" customFormat="1">
      <c r="B1587" s="125"/>
      <c r="D1587" s="125"/>
      <c r="I1587" s="125"/>
      <c r="Z1587" s="124"/>
      <c r="AA1587" s="74"/>
      <c r="AB1587" s="240"/>
      <c r="AD1587" s="124"/>
      <c r="AE1587" s="238"/>
      <c r="AF1587" s="239"/>
      <c r="AG1587" s="239"/>
      <c r="AH1587" s="124"/>
      <c r="AI1587" s="74"/>
      <c r="AJ1587" s="240"/>
      <c r="AL1587" s="124"/>
      <c r="AM1587" s="74"/>
      <c r="AP1587" s="125"/>
      <c r="AQ1587" s="241"/>
      <c r="AR1587" s="125"/>
      <c r="AS1587" s="125"/>
      <c r="AT1587" s="238"/>
      <c r="AU1587" s="125"/>
      <c r="AV1587" s="125"/>
      <c r="AW1587" s="125"/>
      <c r="AX1587" s="238"/>
      <c r="AY1587" s="125"/>
      <c r="AZ1587" s="125"/>
      <c r="BA1587" s="125"/>
    </row>
    <row r="1588" spans="2:53" s="123" customFormat="1">
      <c r="B1588" s="125"/>
      <c r="D1588" s="125"/>
      <c r="I1588" s="125"/>
      <c r="Z1588" s="124"/>
      <c r="AA1588" s="74"/>
      <c r="AB1588" s="240"/>
      <c r="AD1588" s="124"/>
      <c r="AE1588" s="238"/>
      <c r="AF1588" s="239"/>
      <c r="AG1588" s="239"/>
      <c r="AH1588" s="124"/>
      <c r="AI1588" s="74"/>
      <c r="AJ1588" s="240"/>
      <c r="AL1588" s="124"/>
      <c r="AM1588" s="74"/>
      <c r="AP1588" s="125"/>
      <c r="AQ1588" s="241"/>
      <c r="AR1588" s="125"/>
      <c r="AS1588" s="125"/>
      <c r="AT1588" s="238"/>
      <c r="AU1588" s="125"/>
      <c r="AV1588" s="125"/>
      <c r="AW1588" s="125"/>
      <c r="AX1588" s="238"/>
      <c r="AY1588" s="125"/>
      <c r="AZ1588" s="125"/>
      <c r="BA1588" s="125"/>
    </row>
    <row r="1589" spans="2:53" s="123" customFormat="1">
      <c r="B1589" s="125"/>
      <c r="D1589" s="125"/>
      <c r="I1589" s="125"/>
      <c r="Z1589" s="124"/>
      <c r="AA1589" s="74"/>
      <c r="AB1589" s="240"/>
      <c r="AD1589" s="124"/>
      <c r="AE1589" s="238"/>
      <c r="AF1589" s="239"/>
      <c r="AG1589" s="239"/>
      <c r="AH1589" s="124"/>
      <c r="AI1589" s="74"/>
      <c r="AJ1589" s="240"/>
      <c r="AL1589" s="124"/>
      <c r="AM1589" s="74"/>
      <c r="AP1589" s="125"/>
      <c r="AQ1589" s="241"/>
      <c r="AR1589" s="125"/>
      <c r="AS1589" s="125"/>
      <c r="AT1589" s="238"/>
      <c r="AU1589" s="125"/>
      <c r="AV1589" s="125"/>
      <c r="AW1589" s="125"/>
      <c r="AX1589" s="238"/>
      <c r="AY1589" s="125"/>
      <c r="AZ1589" s="125"/>
      <c r="BA1589" s="125"/>
    </row>
    <row r="1590" spans="2:53" s="123" customFormat="1">
      <c r="B1590" s="125"/>
      <c r="D1590" s="125"/>
      <c r="I1590" s="125"/>
      <c r="Z1590" s="124"/>
      <c r="AA1590" s="74"/>
      <c r="AB1590" s="240"/>
      <c r="AD1590" s="124"/>
      <c r="AE1590" s="238"/>
      <c r="AF1590" s="239"/>
      <c r="AG1590" s="239"/>
      <c r="AH1590" s="124"/>
      <c r="AI1590" s="74"/>
      <c r="AJ1590" s="240"/>
      <c r="AL1590" s="124"/>
      <c r="AM1590" s="74"/>
      <c r="AP1590" s="125"/>
      <c r="AQ1590" s="241"/>
      <c r="AR1590" s="125"/>
      <c r="AS1590" s="125"/>
      <c r="AT1590" s="238"/>
      <c r="AU1590" s="125"/>
      <c r="AV1590" s="125"/>
      <c r="AW1590" s="125"/>
      <c r="AX1590" s="238"/>
      <c r="AY1590" s="125"/>
      <c r="AZ1590" s="125"/>
      <c r="BA1590" s="125"/>
    </row>
    <row r="1591" spans="2:53" s="123" customFormat="1">
      <c r="B1591" s="125"/>
      <c r="D1591" s="125"/>
      <c r="I1591" s="125"/>
      <c r="Z1591" s="124"/>
      <c r="AA1591" s="74"/>
      <c r="AB1591" s="240"/>
      <c r="AD1591" s="124"/>
      <c r="AE1591" s="238"/>
      <c r="AF1591" s="239"/>
      <c r="AG1591" s="239"/>
      <c r="AH1591" s="124"/>
      <c r="AI1591" s="74"/>
      <c r="AJ1591" s="240"/>
      <c r="AL1591" s="124"/>
      <c r="AM1591" s="74"/>
      <c r="AP1591" s="125"/>
      <c r="AQ1591" s="241"/>
      <c r="AR1591" s="125"/>
      <c r="AS1591" s="125"/>
      <c r="AT1591" s="238"/>
      <c r="AU1591" s="125"/>
      <c r="AV1591" s="125"/>
      <c r="AW1591" s="125"/>
      <c r="AX1591" s="238"/>
      <c r="AY1591" s="125"/>
      <c r="AZ1591" s="125"/>
      <c r="BA1591" s="125"/>
    </row>
    <row r="1592" spans="2:53" s="123" customFormat="1">
      <c r="B1592" s="125"/>
      <c r="D1592" s="125"/>
      <c r="I1592" s="125"/>
      <c r="Z1592" s="124"/>
      <c r="AA1592" s="74"/>
      <c r="AB1592" s="240"/>
      <c r="AD1592" s="124"/>
      <c r="AE1592" s="238"/>
      <c r="AF1592" s="239"/>
      <c r="AG1592" s="239"/>
      <c r="AH1592" s="124"/>
      <c r="AI1592" s="74"/>
      <c r="AJ1592" s="240"/>
      <c r="AL1592" s="124"/>
      <c r="AM1592" s="74"/>
      <c r="AP1592" s="125"/>
      <c r="AQ1592" s="241"/>
      <c r="AR1592" s="125"/>
      <c r="AS1592" s="125"/>
      <c r="AT1592" s="238"/>
      <c r="AU1592" s="125"/>
      <c r="AV1592" s="125"/>
      <c r="AW1592" s="125"/>
      <c r="AX1592" s="238"/>
      <c r="AY1592" s="125"/>
      <c r="AZ1592" s="125"/>
      <c r="BA1592" s="125"/>
    </row>
    <row r="1593" spans="2:53" s="123" customFormat="1">
      <c r="B1593" s="125"/>
      <c r="D1593" s="125"/>
      <c r="I1593" s="125"/>
      <c r="Z1593" s="124"/>
      <c r="AA1593" s="74"/>
      <c r="AB1593" s="240"/>
      <c r="AD1593" s="124"/>
      <c r="AE1593" s="238"/>
      <c r="AF1593" s="239"/>
      <c r="AG1593" s="239"/>
      <c r="AH1593" s="124"/>
      <c r="AI1593" s="74"/>
      <c r="AJ1593" s="240"/>
      <c r="AL1593" s="124"/>
      <c r="AM1593" s="74"/>
      <c r="AP1593" s="125"/>
      <c r="AQ1593" s="241"/>
      <c r="AR1593" s="125"/>
      <c r="AS1593" s="125"/>
      <c r="AT1593" s="238"/>
      <c r="AU1593" s="125"/>
      <c r="AV1593" s="125"/>
      <c r="AW1593" s="125"/>
      <c r="AX1593" s="238"/>
      <c r="AY1593" s="125"/>
      <c r="AZ1593" s="125"/>
      <c r="BA1593" s="125"/>
    </row>
    <row r="1594" spans="2:53" s="123" customFormat="1">
      <c r="B1594" s="125"/>
      <c r="D1594" s="125"/>
      <c r="I1594" s="125"/>
      <c r="Z1594" s="124"/>
      <c r="AA1594" s="74"/>
      <c r="AB1594" s="240"/>
      <c r="AD1594" s="124"/>
      <c r="AE1594" s="238"/>
      <c r="AF1594" s="239"/>
      <c r="AG1594" s="239"/>
      <c r="AH1594" s="124"/>
      <c r="AI1594" s="74"/>
      <c r="AJ1594" s="240"/>
      <c r="AL1594" s="124"/>
      <c r="AM1594" s="74"/>
      <c r="AP1594" s="125"/>
      <c r="AQ1594" s="241"/>
      <c r="AR1594" s="125"/>
      <c r="AS1594" s="125"/>
      <c r="AT1594" s="238"/>
      <c r="AU1594" s="125"/>
      <c r="AV1594" s="125"/>
      <c r="AW1594" s="125"/>
      <c r="AX1594" s="238"/>
      <c r="AY1594" s="125"/>
      <c r="AZ1594" s="125"/>
      <c r="BA1594" s="125"/>
    </row>
    <row r="1595" spans="2:53" s="123" customFormat="1">
      <c r="B1595" s="125"/>
      <c r="D1595" s="125"/>
      <c r="I1595" s="125"/>
      <c r="Z1595" s="124"/>
      <c r="AA1595" s="74"/>
      <c r="AB1595" s="240"/>
      <c r="AD1595" s="124"/>
      <c r="AE1595" s="238"/>
      <c r="AF1595" s="239"/>
      <c r="AG1595" s="239"/>
      <c r="AH1595" s="124"/>
      <c r="AI1595" s="74"/>
      <c r="AJ1595" s="240"/>
      <c r="AL1595" s="124"/>
      <c r="AM1595" s="74"/>
      <c r="AP1595" s="125"/>
      <c r="AQ1595" s="241"/>
      <c r="AR1595" s="125"/>
      <c r="AS1595" s="125"/>
      <c r="AT1595" s="238"/>
      <c r="AU1595" s="125"/>
      <c r="AV1595" s="125"/>
      <c r="AW1595" s="125"/>
      <c r="AX1595" s="238"/>
      <c r="AY1595" s="125"/>
      <c r="AZ1595" s="125"/>
      <c r="BA1595" s="125"/>
    </row>
    <row r="1596" spans="2:53" s="123" customFormat="1">
      <c r="B1596" s="125"/>
      <c r="D1596" s="125"/>
      <c r="I1596" s="125"/>
      <c r="Z1596" s="124"/>
      <c r="AA1596" s="74"/>
      <c r="AB1596" s="240"/>
      <c r="AD1596" s="124"/>
      <c r="AE1596" s="238"/>
      <c r="AF1596" s="239"/>
      <c r="AG1596" s="239"/>
      <c r="AH1596" s="124"/>
      <c r="AI1596" s="74"/>
      <c r="AJ1596" s="240"/>
      <c r="AL1596" s="124"/>
      <c r="AM1596" s="74"/>
      <c r="AP1596" s="125"/>
      <c r="AQ1596" s="241"/>
      <c r="AR1596" s="125"/>
      <c r="AS1596" s="125"/>
      <c r="AT1596" s="238"/>
      <c r="AU1596" s="125"/>
      <c r="AV1596" s="125"/>
      <c r="AW1596" s="125"/>
      <c r="AX1596" s="238"/>
      <c r="AY1596" s="125"/>
      <c r="AZ1596" s="125"/>
      <c r="BA1596" s="125"/>
    </row>
    <row r="1597" spans="2:53" s="123" customFormat="1">
      <c r="B1597" s="125"/>
      <c r="D1597" s="125"/>
      <c r="I1597" s="125"/>
      <c r="Z1597" s="124"/>
      <c r="AA1597" s="74"/>
      <c r="AB1597" s="240"/>
      <c r="AD1597" s="124"/>
      <c r="AE1597" s="238"/>
      <c r="AF1597" s="239"/>
      <c r="AG1597" s="239"/>
      <c r="AH1597" s="124"/>
      <c r="AI1597" s="74"/>
      <c r="AJ1597" s="240"/>
      <c r="AL1597" s="124"/>
      <c r="AM1597" s="74"/>
      <c r="AP1597" s="125"/>
      <c r="AQ1597" s="241"/>
      <c r="AR1597" s="125"/>
      <c r="AS1597" s="125"/>
      <c r="AT1597" s="238"/>
      <c r="AU1597" s="125"/>
      <c r="AV1597" s="125"/>
      <c r="AW1597" s="125"/>
      <c r="AX1597" s="238"/>
      <c r="AY1597" s="125"/>
      <c r="AZ1597" s="125"/>
      <c r="BA1597" s="125"/>
    </row>
    <row r="1598" spans="2:53" s="123" customFormat="1">
      <c r="B1598" s="125"/>
      <c r="D1598" s="125"/>
      <c r="I1598" s="125"/>
      <c r="Z1598" s="124"/>
      <c r="AA1598" s="74"/>
      <c r="AB1598" s="240"/>
      <c r="AD1598" s="124"/>
      <c r="AE1598" s="238"/>
      <c r="AF1598" s="239"/>
      <c r="AG1598" s="239"/>
      <c r="AH1598" s="124"/>
      <c r="AI1598" s="74"/>
      <c r="AJ1598" s="240"/>
      <c r="AL1598" s="124"/>
      <c r="AM1598" s="74"/>
      <c r="AP1598" s="125"/>
      <c r="AQ1598" s="241"/>
      <c r="AR1598" s="125"/>
      <c r="AS1598" s="125"/>
      <c r="AT1598" s="238"/>
      <c r="AU1598" s="125"/>
      <c r="AV1598" s="125"/>
      <c r="AW1598" s="125"/>
      <c r="AX1598" s="238"/>
      <c r="AY1598" s="125"/>
      <c r="AZ1598" s="125"/>
      <c r="BA1598" s="125"/>
    </row>
    <row r="1599" spans="2:53" s="123" customFormat="1">
      <c r="B1599" s="125"/>
      <c r="D1599" s="125"/>
      <c r="I1599" s="125"/>
      <c r="Z1599" s="124"/>
      <c r="AA1599" s="74"/>
      <c r="AB1599" s="240"/>
      <c r="AD1599" s="124"/>
      <c r="AE1599" s="238"/>
      <c r="AF1599" s="239"/>
      <c r="AG1599" s="239"/>
      <c r="AH1599" s="124"/>
      <c r="AI1599" s="74"/>
      <c r="AJ1599" s="240"/>
      <c r="AL1599" s="124"/>
      <c r="AM1599" s="74"/>
      <c r="AP1599" s="125"/>
      <c r="AQ1599" s="241"/>
      <c r="AR1599" s="125"/>
      <c r="AS1599" s="125"/>
      <c r="AT1599" s="238"/>
      <c r="AU1599" s="125"/>
      <c r="AV1599" s="125"/>
      <c r="AW1599" s="125"/>
      <c r="AX1599" s="238"/>
      <c r="AY1599" s="125"/>
      <c r="AZ1599" s="125"/>
      <c r="BA1599" s="125"/>
    </row>
    <row r="1600" spans="2:53" s="123" customFormat="1">
      <c r="B1600" s="125"/>
      <c r="D1600" s="125"/>
      <c r="I1600" s="125"/>
      <c r="Z1600" s="124"/>
      <c r="AA1600" s="74"/>
      <c r="AB1600" s="240"/>
      <c r="AD1600" s="124"/>
      <c r="AE1600" s="238"/>
      <c r="AF1600" s="239"/>
      <c r="AG1600" s="239"/>
      <c r="AH1600" s="124"/>
      <c r="AI1600" s="74"/>
      <c r="AJ1600" s="240"/>
      <c r="AL1600" s="124"/>
      <c r="AM1600" s="74"/>
      <c r="AP1600" s="125"/>
      <c r="AQ1600" s="241"/>
      <c r="AR1600" s="125"/>
      <c r="AS1600" s="125"/>
      <c r="AT1600" s="238"/>
      <c r="AU1600" s="125"/>
      <c r="AV1600" s="125"/>
      <c r="AW1600" s="125"/>
      <c r="AX1600" s="238"/>
      <c r="AY1600" s="125"/>
      <c r="AZ1600" s="125"/>
      <c r="BA1600" s="125"/>
    </row>
    <row r="1601" spans="2:53" s="123" customFormat="1">
      <c r="B1601" s="125"/>
      <c r="D1601" s="125"/>
      <c r="I1601" s="125"/>
      <c r="Z1601" s="124"/>
      <c r="AA1601" s="74"/>
      <c r="AB1601" s="240"/>
      <c r="AD1601" s="124"/>
      <c r="AE1601" s="238"/>
      <c r="AF1601" s="239"/>
      <c r="AG1601" s="239"/>
      <c r="AH1601" s="124"/>
      <c r="AI1601" s="74"/>
      <c r="AJ1601" s="240"/>
      <c r="AL1601" s="124"/>
      <c r="AM1601" s="74"/>
      <c r="AP1601" s="125"/>
      <c r="AQ1601" s="241"/>
      <c r="AR1601" s="125"/>
      <c r="AS1601" s="125"/>
      <c r="AT1601" s="238"/>
      <c r="AU1601" s="125"/>
      <c r="AV1601" s="125"/>
      <c r="AW1601" s="125"/>
      <c r="AX1601" s="238"/>
      <c r="AY1601" s="125"/>
      <c r="AZ1601" s="125"/>
      <c r="BA1601" s="125"/>
    </row>
    <row r="1602" spans="2:53" s="123" customFormat="1">
      <c r="B1602" s="125"/>
      <c r="D1602" s="125"/>
      <c r="I1602" s="125"/>
      <c r="Z1602" s="124"/>
      <c r="AA1602" s="74"/>
      <c r="AB1602" s="240"/>
      <c r="AD1602" s="124"/>
      <c r="AE1602" s="238"/>
      <c r="AF1602" s="239"/>
      <c r="AG1602" s="239"/>
      <c r="AH1602" s="124"/>
      <c r="AI1602" s="74"/>
      <c r="AJ1602" s="240"/>
      <c r="AL1602" s="124"/>
      <c r="AM1602" s="74"/>
      <c r="AP1602" s="125"/>
      <c r="AQ1602" s="241"/>
      <c r="AR1602" s="125"/>
      <c r="AS1602" s="125"/>
      <c r="AT1602" s="238"/>
      <c r="AU1602" s="125"/>
      <c r="AV1602" s="125"/>
      <c r="AW1602" s="125"/>
      <c r="AX1602" s="238"/>
      <c r="AY1602" s="125"/>
      <c r="AZ1602" s="125"/>
      <c r="BA1602" s="125"/>
    </row>
    <row r="1603" spans="2:53" s="123" customFormat="1">
      <c r="B1603" s="125"/>
      <c r="D1603" s="125"/>
      <c r="I1603" s="125"/>
      <c r="Z1603" s="124"/>
      <c r="AA1603" s="74"/>
      <c r="AB1603" s="240"/>
      <c r="AD1603" s="124"/>
      <c r="AE1603" s="238"/>
      <c r="AF1603" s="239"/>
      <c r="AG1603" s="239"/>
      <c r="AH1603" s="124"/>
      <c r="AI1603" s="74"/>
      <c r="AJ1603" s="240"/>
      <c r="AL1603" s="124"/>
      <c r="AM1603" s="74"/>
      <c r="AP1603" s="125"/>
      <c r="AQ1603" s="241"/>
      <c r="AR1603" s="125"/>
      <c r="AS1603" s="125"/>
      <c r="AT1603" s="238"/>
      <c r="AU1603" s="125"/>
      <c r="AV1603" s="125"/>
      <c r="AW1603" s="125"/>
      <c r="AX1603" s="238"/>
      <c r="AY1603" s="125"/>
      <c r="AZ1603" s="125"/>
      <c r="BA1603" s="125"/>
    </row>
    <row r="1604" spans="2:53" s="123" customFormat="1">
      <c r="B1604" s="125"/>
      <c r="D1604" s="125"/>
      <c r="I1604" s="125"/>
      <c r="Z1604" s="124"/>
      <c r="AA1604" s="74"/>
      <c r="AB1604" s="240"/>
      <c r="AD1604" s="124"/>
      <c r="AE1604" s="238"/>
      <c r="AF1604" s="239"/>
      <c r="AG1604" s="239"/>
      <c r="AH1604" s="124"/>
      <c r="AI1604" s="74"/>
      <c r="AJ1604" s="240"/>
      <c r="AL1604" s="124"/>
      <c r="AM1604" s="74"/>
      <c r="AP1604" s="125"/>
      <c r="AQ1604" s="241"/>
      <c r="AR1604" s="125"/>
      <c r="AS1604" s="125"/>
      <c r="AT1604" s="238"/>
      <c r="AU1604" s="125"/>
      <c r="AV1604" s="125"/>
      <c r="AW1604" s="125"/>
      <c r="AX1604" s="238"/>
      <c r="AY1604" s="125"/>
      <c r="AZ1604" s="125"/>
      <c r="BA1604" s="125"/>
    </row>
    <row r="1605" spans="2:53" s="123" customFormat="1">
      <c r="B1605" s="125"/>
      <c r="D1605" s="125"/>
      <c r="I1605" s="125"/>
      <c r="Z1605" s="124"/>
      <c r="AA1605" s="74"/>
      <c r="AB1605" s="240"/>
      <c r="AD1605" s="124"/>
      <c r="AE1605" s="238"/>
      <c r="AF1605" s="239"/>
      <c r="AG1605" s="239"/>
      <c r="AH1605" s="124"/>
      <c r="AI1605" s="74"/>
      <c r="AJ1605" s="240"/>
      <c r="AL1605" s="124"/>
      <c r="AM1605" s="74"/>
      <c r="AP1605" s="125"/>
      <c r="AQ1605" s="241"/>
      <c r="AR1605" s="125"/>
      <c r="AS1605" s="125"/>
      <c r="AT1605" s="238"/>
      <c r="AU1605" s="125"/>
      <c r="AV1605" s="125"/>
      <c r="AW1605" s="125"/>
      <c r="AX1605" s="238"/>
      <c r="AY1605" s="125"/>
      <c r="AZ1605" s="125"/>
      <c r="BA1605" s="125"/>
    </row>
    <row r="1606" spans="2:53" s="123" customFormat="1">
      <c r="B1606" s="125"/>
      <c r="D1606" s="125"/>
      <c r="I1606" s="125"/>
      <c r="Z1606" s="124"/>
      <c r="AA1606" s="74"/>
      <c r="AB1606" s="240"/>
      <c r="AD1606" s="124"/>
      <c r="AE1606" s="238"/>
      <c r="AF1606" s="239"/>
      <c r="AG1606" s="239"/>
      <c r="AH1606" s="124"/>
      <c r="AI1606" s="74"/>
      <c r="AJ1606" s="240"/>
      <c r="AL1606" s="124"/>
      <c r="AM1606" s="74"/>
      <c r="AP1606" s="125"/>
      <c r="AQ1606" s="241"/>
      <c r="AR1606" s="125"/>
      <c r="AS1606" s="125"/>
      <c r="AT1606" s="238"/>
      <c r="AU1606" s="125"/>
      <c r="AV1606" s="125"/>
      <c r="AW1606" s="125"/>
      <c r="AX1606" s="238"/>
      <c r="AY1606" s="125"/>
      <c r="AZ1606" s="125"/>
      <c r="BA1606" s="125"/>
    </row>
    <row r="1607" spans="2:53" s="123" customFormat="1">
      <c r="B1607" s="125"/>
      <c r="D1607" s="125"/>
      <c r="I1607" s="125"/>
      <c r="Z1607" s="124"/>
      <c r="AA1607" s="74"/>
      <c r="AB1607" s="240"/>
      <c r="AD1607" s="124"/>
      <c r="AE1607" s="238"/>
      <c r="AF1607" s="239"/>
      <c r="AG1607" s="239"/>
      <c r="AH1607" s="124"/>
      <c r="AI1607" s="74"/>
      <c r="AJ1607" s="240"/>
      <c r="AL1607" s="124"/>
      <c r="AM1607" s="74"/>
      <c r="AP1607" s="125"/>
      <c r="AQ1607" s="241"/>
      <c r="AR1607" s="125"/>
      <c r="AS1607" s="125"/>
      <c r="AT1607" s="238"/>
      <c r="AU1607" s="125"/>
      <c r="AV1607" s="125"/>
      <c r="AW1607" s="125"/>
      <c r="AX1607" s="238"/>
      <c r="AY1607" s="125"/>
      <c r="AZ1607" s="125"/>
      <c r="BA1607" s="125"/>
    </row>
    <row r="1608" spans="2:53" s="123" customFormat="1">
      <c r="B1608" s="125"/>
      <c r="D1608" s="125"/>
      <c r="I1608" s="125"/>
      <c r="Z1608" s="124"/>
      <c r="AA1608" s="74"/>
      <c r="AB1608" s="240"/>
      <c r="AD1608" s="124"/>
      <c r="AE1608" s="238"/>
      <c r="AF1608" s="239"/>
      <c r="AG1608" s="239"/>
      <c r="AH1608" s="124"/>
      <c r="AI1608" s="74"/>
      <c r="AJ1608" s="240"/>
      <c r="AL1608" s="124"/>
      <c r="AM1608" s="74"/>
      <c r="AP1608" s="125"/>
      <c r="AQ1608" s="241"/>
      <c r="AR1608" s="125"/>
      <c r="AS1608" s="125"/>
      <c r="AT1608" s="238"/>
      <c r="AU1608" s="125"/>
      <c r="AV1608" s="125"/>
      <c r="AW1608" s="125"/>
      <c r="AX1608" s="238"/>
      <c r="AY1608" s="125"/>
      <c r="AZ1608" s="125"/>
      <c r="BA1608" s="125"/>
    </row>
    <row r="1609" spans="2:53" s="123" customFormat="1">
      <c r="B1609" s="125"/>
      <c r="D1609" s="125"/>
      <c r="I1609" s="125"/>
      <c r="Z1609" s="124"/>
      <c r="AA1609" s="74"/>
      <c r="AB1609" s="240"/>
      <c r="AD1609" s="124"/>
      <c r="AE1609" s="238"/>
      <c r="AF1609" s="239"/>
      <c r="AG1609" s="239"/>
      <c r="AH1609" s="124"/>
      <c r="AI1609" s="74"/>
      <c r="AJ1609" s="240"/>
      <c r="AL1609" s="124"/>
      <c r="AM1609" s="74"/>
      <c r="AP1609" s="125"/>
      <c r="AQ1609" s="241"/>
      <c r="AR1609" s="125"/>
      <c r="AS1609" s="125"/>
      <c r="AT1609" s="238"/>
      <c r="AU1609" s="125"/>
      <c r="AV1609" s="125"/>
      <c r="AW1609" s="125"/>
      <c r="AX1609" s="238"/>
      <c r="AY1609" s="125"/>
      <c r="AZ1609" s="125"/>
      <c r="BA1609" s="125"/>
    </row>
    <row r="1610" spans="2:53" s="123" customFormat="1">
      <c r="B1610" s="125"/>
      <c r="D1610" s="125"/>
      <c r="I1610" s="125"/>
      <c r="Z1610" s="124"/>
      <c r="AA1610" s="74"/>
      <c r="AB1610" s="240"/>
      <c r="AD1610" s="124"/>
      <c r="AE1610" s="238"/>
      <c r="AF1610" s="239"/>
      <c r="AG1610" s="239"/>
      <c r="AH1610" s="124"/>
      <c r="AI1610" s="74"/>
      <c r="AJ1610" s="240"/>
      <c r="AL1610" s="124"/>
      <c r="AM1610" s="74"/>
      <c r="AP1610" s="125"/>
      <c r="AQ1610" s="241"/>
      <c r="AR1610" s="125"/>
      <c r="AS1610" s="125"/>
      <c r="AT1610" s="238"/>
      <c r="AU1610" s="125"/>
      <c r="AV1610" s="125"/>
      <c r="AW1610" s="125"/>
      <c r="AX1610" s="238"/>
      <c r="AY1610" s="125"/>
      <c r="AZ1610" s="125"/>
      <c r="BA1610" s="125"/>
    </row>
    <row r="1611" spans="2:53" s="123" customFormat="1">
      <c r="B1611" s="125"/>
      <c r="D1611" s="125"/>
      <c r="I1611" s="125"/>
      <c r="Z1611" s="124"/>
      <c r="AA1611" s="74"/>
      <c r="AB1611" s="240"/>
      <c r="AD1611" s="124"/>
      <c r="AE1611" s="238"/>
      <c r="AF1611" s="239"/>
      <c r="AG1611" s="239"/>
      <c r="AH1611" s="124"/>
      <c r="AI1611" s="74"/>
      <c r="AJ1611" s="240"/>
      <c r="AL1611" s="124"/>
      <c r="AM1611" s="74"/>
      <c r="AP1611" s="125"/>
      <c r="AQ1611" s="241"/>
      <c r="AR1611" s="125"/>
      <c r="AS1611" s="125"/>
      <c r="AT1611" s="238"/>
      <c r="AU1611" s="125"/>
      <c r="AV1611" s="125"/>
      <c r="AW1611" s="125"/>
      <c r="AX1611" s="238"/>
      <c r="AY1611" s="125"/>
      <c r="AZ1611" s="125"/>
      <c r="BA1611" s="125"/>
    </row>
    <row r="1612" spans="2:53" s="123" customFormat="1">
      <c r="B1612" s="125"/>
      <c r="D1612" s="125"/>
      <c r="I1612" s="125"/>
      <c r="Z1612" s="124"/>
      <c r="AA1612" s="74"/>
      <c r="AB1612" s="240"/>
      <c r="AD1612" s="124"/>
      <c r="AE1612" s="238"/>
      <c r="AF1612" s="239"/>
      <c r="AG1612" s="239"/>
      <c r="AH1612" s="124"/>
      <c r="AI1612" s="74"/>
      <c r="AJ1612" s="240"/>
      <c r="AL1612" s="124"/>
      <c r="AM1612" s="74"/>
      <c r="AP1612" s="125"/>
      <c r="AQ1612" s="241"/>
      <c r="AR1612" s="125"/>
      <c r="AS1612" s="125"/>
      <c r="AT1612" s="238"/>
      <c r="AU1612" s="125"/>
      <c r="AV1612" s="125"/>
      <c r="AW1612" s="125"/>
      <c r="AX1612" s="238"/>
      <c r="AY1612" s="125"/>
      <c r="AZ1612" s="125"/>
      <c r="BA1612" s="125"/>
    </row>
    <row r="1613" spans="2:53" s="123" customFormat="1">
      <c r="B1613" s="125"/>
      <c r="D1613" s="125"/>
      <c r="I1613" s="125"/>
      <c r="Z1613" s="124"/>
      <c r="AA1613" s="74"/>
      <c r="AB1613" s="240"/>
      <c r="AD1613" s="124"/>
      <c r="AE1613" s="238"/>
      <c r="AF1613" s="239"/>
      <c r="AG1613" s="239"/>
      <c r="AH1613" s="124"/>
      <c r="AI1613" s="74"/>
      <c r="AJ1613" s="240"/>
      <c r="AL1613" s="124"/>
      <c r="AM1613" s="74"/>
      <c r="AP1613" s="125"/>
      <c r="AQ1613" s="241"/>
      <c r="AR1613" s="125"/>
      <c r="AS1613" s="125"/>
      <c r="AT1613" s="238"/>
      <c r="AU1613" s="125"/>
      <c r="AV1613" s="125"/>
      <c r="AW1613" s="125"/>
      <c r="AX1613" s="238"/>
      <c r="AY1613" s="125"/>
      <c r="AZ1613" s="125"/>
      <c r="BA1613" s="125"/>
    </row>
    <row r="1614" spans="2:53" s="123" customFormat="1">
      <c r="B1614" s="125"/>
      <c r="D1614" s="125"/>
      <c r="I1614" s="125"/>
      <c r="Z1614" s="124"/>
      <c r="AA1614" s="74"/>
      <c r="AB1614" s="240"/>
      <c r="AD1614" s="124"/>
      <c r="AE1614" s="238"/>
      <c r="AF1614" s="239"/>
      <c r="AG1614" s="239"/>
      <c r="AH1614" s="124"/>
      <c r="AI1614" s="74"/>
      <c r="AJ1614" s="240"/>
      <c r="AL1614" s="124"/>
      <c r="AM1614" s="74"/>
      <c r="AP1614" s="125"/>
      <c r="AQ1614" s="241"/>
      <c r="AR1614" s="125"/>
      <c r="AS1614" s="125"/>
      <c r="AT1614" s="238"/>
      <c r="AU1614" s="125"/>
      <c r="AV1614" s="125"/>
      <c r="AW1614" s="125"/>
      <c r="AX1614" s="238"/>
      <c r="AY1614" s="125"/>
      <c r="AZ1614" s="125"/>
      <c r="BA1614" s="125"/>
    </row>
    <row r="1615" spans="2:53" s="123" customFormat="1">
      <c r="B1615" s="125"/>
      <c r="D1615" s="125"/>
      <c r="I1615" s="125"/>
      <c r="Z1615" s="124"/>
      <c r="AA1615" s="74"/>
      <c r="AB1615" s="240"/>
      <c r="AD1615" s="124"/>
      <c r="AE1615" s="238"/>
      <c r="AF1615" s="239"/>
      <c r="AG1615" s="239"/>
      <c r="AH1615" s="124"/>
      <c r="AI1615" s="74"/>
      <c r="AJ1615" s="240"/>
      <c r="AL1615" s="124"/>
      <c r="AM1615" s="74"/>
      <c r="AP1615" s="125"/>
      <c r="AQ1615" s="241"/>
      <c r="AR1615" s="125"/>
      <c r="AS1615" s="125"/>
      <c r="AT1615" s="238"/>
      <c r="AU1615" s="125"/>
      <c r="AV1615" s="125"/>
      <c r="AW1615" s="125"/>
      <c r="AX1615" s="238"/>
      <c r="AY1615" s="125"/>
      <c r="AZ1615" s="125"/>
      <c r="BA1615" s="125"/>
    </row>
    <row r="1616" spans="2:53" s="123" customFormat="1">
      <c r="B1616" s="125"/>
      <c r="D1616" s="125"/>
      <c r="I1616" s="125"/>
      <c r="Z1616" s="124"/>
      <c r="AA1616" s="74"/>
      <c r="AB1616" s="240"/>
      <c r="AD1616" s="124"/>
      <c r="AE1616" s="238"/>
      <c r="AF1616" s="239"/>
      <c r="AG1616" s="239"/>
      <c r="AH1616" s="124"/>
      <c r="AI1616" s="74"/>
      <c r="AJ1616" s="240"/>
      <c r="AL1616" s="124"/>
      <c r="AM1616" s="74"/>
      <c r="AP1616" s="125"/>
      <c r="AQ1616" s="241"/>
      <c r="AR1616" s="125"/>
      <c r="AS1616" s="125"/>
      <c r="AT1616" s="238"/>
      <c r="AU1616" s="125"/>
      <c r="AV1616" s="125"/>
      <c r="AW1616" s="125"/>
      <c r="AX1616" s="238"/>
      <c r="AY1616" s="125"/>
      <c r="AZ1616" s="125"/>
      <c r="BA1616" s="125"/>
    </row>
    <row r="1617" spans="2:53" s="123" customFormat="1">
      <c r="B1617" s="125"/>
      <c r="D1617" s="125"/>
      <c r="I1617" s="125"/>
      <c r="Z1617" s="124"/>
      <c r="AA1617" s="74"/>
      <c r="AB1617" s="240"/>
      <c r="AD1617" s="124"/>
      <c r="AE1617" s="238"/>
      <c r="AF1617" s="239"/>
      <c r="AG1617" s="239"/>
      <c r="AH1617" s="124"/>
      <c r="AI1617" s="74"/>
      <c r="AJ1617" s="240"/>
      <c r="AL1617" s="124"/>
      <c r="AM1617" s="74"/>
      <c r="AP1617" s="125"/>
      <c r="AQ1617" s="241"/>
      <c r="AR1617" s="125"/>
      <c r="AS1617" s="125"/>
      <c r="AT1617" s="238"/>
      <c r="AU1617" s="125"/>
      <c r="AV1617" s="125"/>
      <c r="AW1617" s="125"/>
      <c r="AX1617" s="238"/>
      <c r="AY1617" s="125"/>
      <c r="AZ1617" s="125"/>
      <c r="BA1617" s="125"/>
    </row>
    <row r="1618" spans="2:53" s="123" customFormat="1">
      <c r="B1618" s="125"/>
      <c r="D1618" s="125"/>
      <c r="I1618" s="125"/>
      <c r="Z1618" s="124"/>
      <c r="AA1618" s="74"/>
      <c r="AB1618" s="240"/>
      <c r="AD1618" s="124"/>
      <c r="AE1618" s="238"/>
      <c r="AF1618" s="239"/>
      <c r="AG1618" s="239"/>
      <c r="AH1618" s="124"/>
      <c r="AI1618" s="74"/>
      <c r="AJ1618" s="240"/>
      <c r="AL1618" s="124"/>
      <c r="AM1618" s="74"/>
      <c r="AP1618" s="125"/>
      <c r="AQ1618" s="241"/>
      <c r="AR1618" s="125"/>
      <c r="AS1618" s="125"/>
      <c r="AT1618" s="238"/>
      <c r="AU1618" s="125"/>
      <c r="AV1618" s="125"/>
      <c r="AW1618" s="125"/>
      <c r="AX1618" s="238"/>
      <c r="AY1618" s="125"/>
      <c r="AZ1618" s="125"/>
      <c r="BA1618" s="125"/>
    </row>
    <row r="1619" spans="2:53" s="123" customFormat="1">
      <c r="B1619" s="125"/>
      <c r="D1619" s="125"/>
      <c r="I1619" s="125"/>
      <c r="Z1619" s="124"/>
      <c r="AA1619" s="74"/>
      <c r="AB1619" s="240"/>
      <c r="AD1619" s="124"/>
      <c r="AE1619" s="238"/>
      <c r="AF1619" s="239"/>
      <c r="AG1619" s="239"/>
      <c r="AH1619" s="124"/>
      <c r="AI1619" s="74"/>
      <c r="AJ1619" s="240"/>
      <c r="AL1619" s="124"/>
      <c r="AM1619" s="74"/>
      <c r="AP1619" s="125"/>
      <c r="AQ1619" s="241"/>
      <c r="AR1619" s="125"/>
      <c r="AS1619" s="125"/>
      <c r="AT1619" s="238"/>
      <c r="AU1619" s="125"/>
      <c r="AV1619" s="125"/>
      <c r="AW1619" s="125"/>
      <c r="AX1619" s="238"/>
      <c r="AY1619" s="125"/>
      <c r="AZ1619" s="125"/>
      <c r="BA1619" s="125"/>
    </row>
    <row r="1620" spans="2:53" s="123" customFormat="1">
      <c r="B1620" s="125"/>
      <c r="D1620" s="125"/>
      <c r="I1620" s="125"/>
      <c r="Z1620" s="124"/>
      <c r="AA1620" s="74"/>
      <c r="AB1620" s="240"/>
      <c r="AD1620" s="124"/>
      <c r="AE1620" s="238"/>
      <c r="AF1620" s="239"/>
      <c r="AG1620" s="239"/>
      <c r="AH1620" s="124"/>
      <c r="AI1620" s="74"/>
      <c r="AJ1620" s="240"/>
      <c r="AL1620" s="124"/>
      <c r="AM1620" s="74"/>
      <c r="AP1620" s="125"/>
      <c r="AQ1620" s="241"/>
      <c r="AR1620" s="125"/>
      <c r="AS1620" s="125"/>
      <c r="AT1620" s="238"/>
      <c r="AU1620" s="125"/>
      <c r="AV1620" s="125"/>
      <c r="AW1620" s="125"/>
      <c r="AX1620" s="238"/>
      <c r="AY1620" s="125"/>
      <c r="AZ1620" s="125"/>
      <c r="BA1620" s="125"/>
    </row>
    <row r="1621" spans="2:53" s="123" customFormat="1">
      <c r="B1621" s="125"/>
      <c r="D1621" s="125"/>
      <c r="I1621" s="125"/>
      <c r="Z1621" s="124"/>
      <c r="AA1621" s="74"/>
      <c r="AB1621" s="240"/>
      <c r="AD1621" s="124"/>
      <c r="AE1621" s="238"/>
      <c r="AF1621" s="239"/>
      <c r="AG1621" s="239"/>
      <c r="AH1621" s="124"/>
      <c r="AI1621" s="74"/>
      <c r="AJ1621" s="240"/>
      <c r="AL1621" s="124"/>
      <c r="AM1621" s="74"/>
      <c r="AP1621" s="125"/>
      <c r="AQ1621" s="241"/>
      <c r="AR1621" s="125"/>
      <c r="AS1621" s="125"/>
      <c r="AT1621" s="238"/>
      <c r="AU1621" s="125"/>
      <c r="AV1621" s="125"/>
      <c r="AW1621" s="125"/>
      <c r="AX1621" s="238"/>
      <c r="AY1621" s="125"/>
      <c r="AZ1621" s="125"/>
      <c r="BA1621" s="125"/>
    </row>
    <row r="1622" spans="2:53" s="123" customFormat="1">
      <c r="B1622" s="125"/>
      <c r="D1622" s="125"/>
      <c r="I1622" s="125"/>
      <c r="Z1622" s="124"/>
      <c r="AA1622" s="74"/>
      <c r="AB1622" s="240"/>
      <c r="AD1622" s="124"/>
      <c r="AE1622" s="238"/>
      <c r="AF1622" s="239"/>
      <c r="AG1622" s="239"/>
      <c r="AH1622" s="124"/>
      <c r="AI1622" s="74"/>
      <c r="AJ1622" s="240"/>
      <c r="AL1622" s="124"/>
      <c r="AM1622" s="74"/>
      <c r="AP1622" s="125"/>
      <c r="AQ1622" s="241"/>
      <c r="AR1622" s="125"/>
      <c r="AS1622" s="125"/>
      <c r="AT1622" s="238"/>
      <c r="AU1622" s="125"/>
      <c r="AV1622" s="125"/>
      <c r="AW1622" s="125"/>
      <c r="AX1622" s="238"/>
      <c r="AY1622" s="125"/>
      <c r="AZ1622" s="125"/>
      <c r="BA1622" s="125"/>
    </row>
    <row r="1623" spans="2:53" s="123" customFormat="1">
      <c r="B1623" s="125"/>
      <c r="D1623" s="125"/>
      <c r="I1623" s="125"/>
      <c r="Z1623" s="124"/>
      <c r="AA1623" s="74"/>
      <c r="AB1623" s="240"/>
      <c r="AD1623" s="124"/>
      <c r="AE1623" s="238"/>
      <c r="AF1623" s="239"/>
      <c r="AG1623" s="239"/>
      <c r="AH1623" s="124"/>
      <c r="AI1623" s="74"/>
      <c r="AJ1623" s="240"/>
      <c r="AL1623" s="124"/>
      <c r="AM1623" s="74"/>
      <c r="AP1623" s="125"/>
      <c r="AQ1623" s="241"/>
      <c r="AR1623" s="125"/>
      <c r="AS1623" s="125"/>
      <c r="AT1623" s="238"/>
      <c r="AU1623" s="125"/>
      <c r="AV1623" s="125"/>
      <c r="AW1623" s="125"/>
      <c r="AX1623" s="238"/>
      <c r="AY1623" s="125"/>
      <c r="AZ1623" s="125"/>
      <c r="BA1623" s="125"/>
    </row>
    <row r="1624" spans="2:53" s="123" customFormat="1">
      <c r="B1624" s="125"/>
      <c r="D1624" s="125"/>
      <c r="I1624" s="125"/>
      <c r="Z1624" s="124"/>
      <c r="AA1624" s="74"/>
      <c r="AB1624" s="240"/>
      <c r="AD1624" s="124"/>
      <c r="AE1624" s="238"/>
      <c r="AF1624" s="239"/>
      <c r="AG1624" s="239"/>
      <c r="AH1624" s="124"/>
      <c r="AI1624" s="74"/>
      <c r="AJ1624" s="240"/>
      <c r="AL1624" s="124"/>
      <c r="AM1624" s="74"/>
      <c r="AP1624" s="125"/>
      <c r="AQ1624" s="241"/>
      <c r="AR1624" s="125"/>
      <c r="AS1624" s="125"/>
      <c r="AT1624" s="238"/>
      <c r="AU1624" s="125"/>
      <c r="AV1624" s="125"/>
      <c r="AW1624" s="125"/>
      <c r="AX1624" s="238"/>
      <c r="AY1624" s="125"/>
      <c r="AZ1624" s="125"/>
      <c r="BA1624" s="125"/>
    </row>
    <row r="1625" spans="2:53" s="123" customFormat="1">
      <c r="B1625" s="125"/>
      <c r="D1625" s="125"/>
      <c r="I1625" s="125"/>
      <c r="Z1625" s="124"/>
      <c r="AA1625" s="74"/>
      <c r="AB1625" s="240"/>
      <c r="AD1625" s="124"/>
      <c r="AE1625" s="238"/>
      <c r="AF1625" s="239"/>
      <c r="AG1625" s="239"/>
      <c r="AH1625" s="124"/>
      <c r="AI1625" s="74"/>
      <c r="AJ1625" s="240"/>
      <c r="AL1625" s="124"/>
      <c r="AM1625" s="74"/>
      <c r="AP1625" s="125"/>
      <c r="AQ1625" s="241"/>
      <c r="AR1625" s="125"/>
      <c r="AS1625" s="125"/>
      <c r="AT1625" s="238"/>
      <c r="AU1625" s="125"/>
      <c r="AV1625" s="125"/>
      <c r="AW1625" s="125"/>
      <c r="AX1625" s="238"/>
      <c r="AY1625" s="125"/>
      <c r="AZ1625" s="125"/>
      <c r="BA1625" s="125"/>
    </row>
    <row r="1626" spans="2:53" s="123" customFormat="1">
      <c r="B1626" s="125"/>
      <c r="D1626" s="125"/>
      <c r="I1626" s="125"/>
      <c r="Z1626" s="124"/>
      <c r="AA1626" s="74"/>
      <c r="AB1626" s="240"/>
      <c r="AD1626" s="124"/>
      <c r="AE1626" s="238"/>
      <c r="AF1626" s="239"/>
      <c r="AG1626" s="239"/>
      <c r="AH1626" s="124"/>
      <c r="AI1626" s="74"/>
      <c r="AJ1626" s="240"/>
      <c r="AL1626" s="124"/>
      <c r="AM1626" s="74"/>
      <c r="AP1626" s="125"/>
      <c r="AQ1626" s="241"/>
      <c r="AR1626" s="125"/>
      <c r="AS1626" s="125"/>
      <c r="AT1626" s="238"/>
      <c r="AU1626" s="125"/>
      <c r="AV1626" s="125"/>
      <c r="AW1626" s="125"/>
      <c r="AX1626" s="238"/>
      <c r="AY1626" s="125"/>
      <c r="AZ1626" s="125"/>
      <c r="BA1626" s="125"/>
    </row>
    <row r="1627" spans="2:53" s="123" customFormat="1">
      <c r="B1627" s="125"/>
      <c r="D1627" s="125"/>
      <c r="I1627" s="125"/>
      <c r="Z1627" s="124"/>
      <c r="AA1627" s="74"/>
      <c r="AB1627" s="240"/>
      <c r="AD1627" s="124"/>
      <c r="AE1627" s="238"/>
      <c r="AF1627" s="239"/>
      <c r="AG1627" s="239"/>
      <c r="AH1627" s="124"/>
      <c r="AI1627" s="74"/>
      <c r="AJ1627" s="240"/>
      <c r="AL1627" s="124"/>
      <c r="AM1627" s="74"/>
      <c r="AP1627" s="125"/>
      <c r="AQ1627" s="241"/>
      <c r="AR1627" s="125"/>
      <c r="AS1627" s="125"/>
      <c r="AT1627" s="238"/>
      <c r="AU1627" s="125"/>
      <c r="AV1627" s="125"/>
      <c r="AW1627" s="125"/>
      <c r="AX1627" s="238"/>
      <c r="AY1627" s="125"/>
      <c r="AZ1627" s="125"/>
      <c r="BA1627" s="125"/>
    </row>
    <row r="1628" spans="2:53" s="123" customFormat="1">
      <c r="B1628" s="125"/>
      <c r="D1628" s="125"/>
      <c r="I1628" s="125"/>
      <c r="Z1628" s="124"/>
      <c r="AA1628" s="74"/>
      <c r="AB1628" s="240"/>
      <c r="AD1628" s="124"/>
      <c r="AE1628" s="238"/>
      <c r="AF1628" s="239"/>
      <c r="AG1628" s="239"/>
      <c r="AH1628" s="124"/>
      <c r="AI1628" s="74"/>
      <c r="AJ1628" s="240"/>
      <c r="AL1628" s="124"/>
      <c r="AM1628" s="74"/>
      <c r="AP1628" s="125"/>
      <c r="AQ1628" s="241"/>
      <c r="AR1628" s="125"/>
      <c r="AS1628" s="125"/>
      <c r="AT1628" s="238"/>
      <c r="AU1628" s="125"/>
      <c r="AV1628" s="125"/>
      <c r="AW1628" s="125"/>
      <c r="AX1628" s="238"/>
      <c r="AY1628" s="125"/>
      <c r="AZ1628" s="125"/>
      <c r="BA1628" s="125"/>
    </row>
    <row r="1629" spans="2:53" s="123" customFormat="1">
      <c r="B1629" s="125"/>
      <c r="D1629" s="125"/>
      <c r="I1629" s="125"/>
      <c r="Z1629" s="124"/>
      <c r="AA1629" s="74"/>
      <c r="AB1629" s="240"/>
      <c r="AD1629" s="124"/>
      <c r="AE1629" s="238"/>
      <c r="AF1629" s="239"/>
      <c r="AG1629" s="239"/>
      <c r="AH1629" s="124"/>
      <c r="AI1629" s="74"/>
      <c r="AJ1629" s="240"/>
      <c r="AL1629" s="124"/>
      <c r="AM1629" s="74"/>
      <c r="AP1629" s="125"/>
      <c r="AQ1629" s="241"/>
      <c r="AR1629" s="125"/>
      <c r="AS1629" s="125"/>
      <c r="AT1629" s="238"/>
      <c r="AU1629" s="125"/>
      <c r="AV1629" s="125"/>
      <c r="AW1629" s="125"/>
      <c r="AX1629" s="238"/>
      <c r="AY1629" s="125"/>
      <c r="AZ1629" s="125"/>
      <c r="BA1629" s="125"/>
    </row>
    <row r="1630" spans="2:53" s="123" customFormat="1">
      <c r="B1630" s="125"/>
      <c r="D1630" s="125"/>
      <c r="I1630" s="125"/>
      <c r="Z1630" s="124"/>
      <c r="AA1630" s="74"/>
      <c r="AB1630" s="240"/>
      <c r="AD1630" s="124"/>
      <c r="AE1630" s="238"/>
      <c r="AF1630" s="239"/>
      <c r="AG1630" s="239"/>
      <c r="AH1630" s="124"/>
      <c r="AI1630" s="74"/>
      <c r="AJ1630" s="240"/>
      <c r="AL1630" s="124"/>
      <c r="AM1630" s="74"/>
      <c r="AP1630" s="125"/>
      <c r="AQ1630" s="241"/>
      <c r="AR1630" s="125"/>
      <c r="AS1630" s="125"/>
      <c r="AT1630" s="238"/>
      <c r="AU1630" s="125"/>
      <c r="AV1630" s="125"/>
      <c r="AW1630" s="125"/>
      <c r="AX1630" s="238"/>
      <c r="AY1630" s="125"/>
      <c r="AZ1630" s="125"/>
      <c r="BA1630" s="125"/>
    </row>
    <row r="1631" spans="2:53" s="123" customFormat="1">
      <c r="B1631" s="125"/>
      <c r="D1631" s="125"/>
      <c r="I1631" s="125"/>
      <c r="Z1631" s="124"/>
      <c r="AA1631" s="74"/>
      <c r="AB1631" s="240"/>
      <c r="AD1631" s="124"/>
      <c r="AE1631" s="238"/>
      <c r="AF1631" s="239"/>
      <c r="AG1631" s="239"/>
      <c r="AH1631" s="124"/>
      <c r="AI1631" s="74"/>
      <c r="AJ1631" s="240"/>
      <c r="AL1631" s="124"/>
      <c r="AM1631" s="74"/>
      <c r="AP1631" s="125"/>
      <c r="AQ1631" s="241"/>
      <c r="AR1631" s="125"/>
      <c r="AS1631" s="125"/>
      <c r="AT1631" s="238"/>
      <c r="AU1631" s="125"/>
      <c r="AV1631" s="125"/>
      <c r="AW1631" s="125"/>
      <c r="AX1631" s="238"/>
      <c r="AY1631" s="125"/>
      <c r="AZ1631" s="125"/>
      <c r="BA1631" s="125"/>
    </row>
    <row r="1632" spans="2:53" s="123" customFormat="1">
      <c r="B1632" s="125"/>
      <c r="D1632" s="125"/>
      <c r="I1632" s="125"/>
      <c r="Z1632" s="124"/>
      <c r="AA1632" s="74"/>
      <c r="AB1632" s="240"/>
      <c r="AD1632" s="124"/>
      <c r="AE1632" s="238"/>
      <c r="AF1632" s="239"/>
      <c r="AG1632" s="239"/>
      <c r="AH1632" s="124"/>
      <c r="AI1632" s="74"/>
      <c r="AJ1632" s="240"/>
      <c r="AL1632" s="124"/>
      <c r="AM1632" s="74"/>
      <c r="AP1632" s="125"/>
      <c r="AQ1632" s="241"/>
      <c r="AR1632" s="125"/>
      <c r="AS1632" s="125"/>
      <c r="AT1632" s="238"/>
      <c r="AU1632" s="125"/>
      <c r="AV1632" s="125"/>
      <c r="AW1632" s="125"/>
      <c r="AX1632" s="238"/>
      <c r="AY1632" s="125"/>
      <c r="AZ1632" s="125"/>
      <c r="BA1632" s="125"/>
    </row>
    <row r="1633" spans="2:53" s="123" customFormat="1">
      <c r="B1633" s="125"/>
      <c r="D1633" s="125"/>
      <c r="I1633" s="125"/>
      <c r="Z1633" s="124"/>
      <c r="AA1633" s="74"/>
      <c r="AB1633" s="240"/>
      <c r="AD1633" s="124"/>
      <c r="AE1633" s="238"/>
      <c r="AF1633" s="239"/>
      <c r="AG1633" s="239"/>
      <c r="AH1633" s="124"/>
      <c r="AI1633" s="74"/>
      <c r="AJ1633" s="240"/>
      <c r="AL1633" s="124"/>
      <c r="AM1633" s="74"/>
      <c r="AP1633" s="125"/>
      <c r="AQ1633" s="241"/>
      <c r="AR1633" s="125"/>
      <c r="AS1633" s="125"/>
      <c r="AT1633" s="238"/>
      <c r="AU1633" s="125"/>
      <c r="AV1633" s="125"/>
      <c r="AW1633" s="125"/>
      <c r="AX1633" s="238"/>
      <c r="AY1633" s="125"/>
      <c r="AZ1633" s="125"/>
      <c r="BA1633" s="125"/>
    </row>
    <row r="1634" spans="2:53" s="123" customFormat="1">
      <c r="B1634" s="125"/>
      <c r="D1634" s="125"/>
      <c r="I1634" s="125"/>
      <c r="Z1634" s="124"/>
      <c r="AA1634" s="74"/>
      <c r="AB1634" s="240"/>
      <c r="AD1634" s="124"/>
      <c r="AE1634" s="238"/>
      <c r="AF1634" s="239"/>
      <c r="AG1634" s="239"/>
      <c r="AH1634" s="124"/>
      <c r="AI1634" s="74"/>
      <c r="AJ1634" s="240"/>
      <c r="AL1634" s="124"/>
      <c r="AM1634" s="74"/>
      <c r="AP1634" s="125"/>
      <c r="AQ1634" s="241"/>
      <c r="AR1634" s="125"/>
      <c r="AS1634" s="125"/>
      <c r="AT1634" s="238"/>
      <c r="AU1634" s="125"/>
      <c r="AV1634" s="125"/>
      <c r="AW1634" s="125"/>
      <c r="AX1634" s="238"/>
      <c r="AY1634" s="125"/>
      <c r="AZ1634" s="125"/>
      <c r="BA1634" s="125"/>
    </row>
    <row r="1635" spans="2:53" s="123" customFormat="1">
      <c r="B1635" s="125"/>
      <c r="D1635" s="125"/>
      <c r="I1635" s="125"/>
      <c r="Z1635" s="124"/>
      <c r="AA1635" s="74"/>
      <c r="AB1635" s="240"/>
      <c r="AD1635" s="124"/>
      <c r="AE1635" s="238"/>
      <c r="AF1635" s="239"/>
      <c r="AG1635" s="239"/>
      <c r="AH1635" s="124"/>
      <c r="AI1635" s="74"/>
      <c r="AJ1635" s="240"/>
      <c r="AL1635" s="124"/>
      <c r="AM1635" s="74"/>
      <c r="AP1635" s="125"/>
      <c r="AQ1635" s="241"/>
      <c r="AR1635" s="125"/>
      <c r="AS1635" s="125"/>
      <c r="AT1635" s="238"/>
      <c r="AU1635" s="125"/>
      <c r="AV1635" s="125"/>
      <c r="AW1635" s="125"/>
      <c r="AX1635" s="238"/>
      <c r="AY1635" s="125"/>
      <c r="AZ1635" s="125"/>
      <c r="BA1635" s="125"/>
    </row>
    <row r="1636" spans="2:53" s="123" customFormat="1">
      <c r="B1636" s="125"/>
      <c r="D1636" s="125"/>
      <c r="I1636" s="125"/>
      <c r="Z1636" s="124"/>
      <c r="AA1636" s="74"/>
      <c r="AB1636" s="240"/>
      <c r="AD1636" s="124"/>
      <c r="AE1636" s="238"/>
      <c r="AF1636" s="239"/>
      <c r="AG1636" s="239"/>
      <c r="AH1636" s="124"/>
      <c r="AI1636" s="74"/>
      <c r="AJ1636" s="240"/>
      <c r="AL1636" s="124"/>
      <c r="AM1636" s="74"/>
      <c r="AP1636" s="125"/>
      <c r="AQ1636" s="241"/>
      <c r="AR1636" s="125"/>
      <c r="AS1636" s="125"/>
      <c r="AT1636" s="238"/>
      <c r="AU1636" s="125"/>
      <c r="AV1636" s="125"/>
      <c r="AW1636" s="125"/>
      <c r="AX1636" s="238"/>
      <c r="AY1636" s="125"/>
      <c r="AZ1636" s="125"/>
      <c r="BA1636" s="125"/>
    </row>
    <row r="1637" spans="2:53" s="123" customFormat="1">
      <c r="B1637" s="125"/>
      <c r="D1637" s="125"/>
      <c r="I1637" s="125"/>
      <c r="Z1637" s="124"/>
      <c r="AA1637" s="74"/>
      <c r="AB1637" s="240"/>
      <c r="AD1637" s="124"/>
      <c r="AE1637" s="238"/>
      <c r="AF1637" s="239"/>
      <c r="AG1637" s="239"/>
      <c r="AH1637" s="124"/>
      <c r="AI1637" s="74"/>
      <c r="AJ1637" s="240"/>
      <c r="AL1637" s="124"/>
      <c r="AM1637" s="74"/>
      <c r="AP1637" s="125"/>
      <c r="AQ1637" s="241"/>
      <c r="AR1637" s="125"/>
      <c r="AS1637" s="125"/>
      <c r="AT1637" s="238"/>
      <c r="AU1637" s="125"/>
      <c r="AV1637" s="125"/>
      <c r="AW1637" s="125"/>
      <c r="AX1637" s="238"/>
      <c r="AY1637" s="125"/>
      <c r="AZ1637" s="125"/>
      <c r="BA1637" s="125"/>
    </row>
    <row r="1638" spans="2:53" s="123" customFormat="1">
      <c r="B1638" s="125"/>
      <c r="D1638" s="125"/>
      <c r="I1638" s="125"/>
      <c r="Z1638" s="124"/>
      <c r="AA1638" s="74"/>
      <c r="AB1638" s="240"/>
      <c r="AD1638" s="124"/>
      <c r="AE1638" s="238"/>
      <c r="AF1638" s="239"/>
      <c r="AG1638" s="239"/>
      <c r="AH1638" s="124"/>
      <c r="AI1638" s="74"/>
      <c r="AJ1638" s="240"/>
      <c r="AL1638" s="124"/>
      <c r="AM1638" s="74"/>
      <c r="AP1638" s="125"/>
      <c r="AQ1638" s="241"/>
      <c r="AR1638" s="125"/>
      <c r="AS1638" s="125"/>
      <c r="AT1638" s="238"/>
      <c r="AU1638" s="125"/>
      <c r="AV1638" s="125"/>
      <c r="AW1638" s="125"/>
      <c r="AX1638" s="238"/>
      <c r="AY1638" s="125"/>
      <c r="AZ1638" s="125"/>
      <c r="BA1638" s="125"/>
    </row>
    <row r="1639" spans="2:53" s="123" customFormat="1">
      <c r="B1639" s="125"/>
      <c r="D1639" s="125"/>
      <c r="I1639" s="125"/>
      <c r="Z1639" s="124"/>
      <c r="AA1639" s="74"/>
      <c r="AB1639" s="240"/>
      <c r="AD1639" s="124"/>
      <c r="AE1639" s="238"/>
      <c r="AF1639" s="239"/>
      <c r="AG1639" s="239"/>
      <c r="AH1639" s="124"/>
      <c r="AI1639" s="74"/>
      <c r="AJ1639" s="240"/>
      <c r="AL1639" s="124"/>
      <c r="AM1639" s="74"/>
      <c r="AP1639" s="125"/>
      <c r="AQ1639" s="241"/>
      <c r="AR1639" s="125"/>
      <c r="AS1639" s="125"/>
      <c r="AT1639" s="238"/>
      <c r="AU1639" s="125"/>
      <c r="AV1639" s="125"/>
      <c r="AW1639" s="125"/>
      <c r="AX1639" s="238"/>
      <c r="AY1639" s="125"/>
      <c r="AZ1639" s="125"/>
      <c r="BA1639" s="125"/>
    </row>
    <row r="1640" spans="2:53" s="123" customFormat="1">
      <c r="B1640" s="125"/>
      <c r="D1640" s="125"/>
      <c r="I1640" s="125"/>
      <c r="Z1640" s="124"/>
      <c r="AA1640" s="74"/>
      <c r="AB1640" s="240"/>
      <c r="AD1640" s="124"/>
      <c r="AE1640" s="238"/>
      <c r="AF1640" s="239"/>
      <c r="AG1640" s="239"/>
      <c r="AH1640" s="124"/>
      <c r="AI1640" s="74"/>
      <c r="AJ1640" s="240"/>
      <c r="AL1640" s="124"/>
      <c r="AM1640" s="74"/>
      <c r="AP1640" s="125"/>
      <c r="AQ1640" s="241"/>
      <c r="AR1640" s="125"/>
      <c r="AS1640" s="125"/>
      <c r="AT1640" s="238"/>
      <c r="AU1640" s="125"/>
      <c r="AV1640" s="125"/>
      <c r="AW1640" s="125"/>
      <c r="AX1640" s="238"/>
      <c r="AY1640" s="125"/>
      <c r="AZ1640" s="125"/>
      <c r="BA1640" s="125"/>
    </row>
    <row r="1641" spans="2:53" s="123" customFormat="1">
      <c r="B1641" s="125"/>
      <c r="D1641" s="125"/>
      <c r="I1641" s="125"/>
      <c r="Z1641" s="124"/>
      <c r="AA1641" s="74"/>
      <c r="AB1641" s="240"/>
      <c r="AD1641" s="124"/>
      <c r="AE1641" s="238"/>
      <c r="AF1641" s="239"/>
      <c r="AG1641" s="239"/>
      <c r="AH1641" s="124"/>
      <c r="AI1641" s="74"/>
      <c r="AJ1641" s="240"/>
      <c r="AL1641" s="124"/>
      <c r="AM1641" s="74"/>
      <c r="AP1641" s="125"/>
      <c r="AQ1641" s="241"/>
      <c r="AR1641" s="125"/>
      <c r="AS1641" s="125"/>
      <c r="AT1641" s="238"/>
      <c r="AU1641" s="125"/>
      <c r="AV1641" s="125"/>
      <c r="AW1641" s="125"/>
      <c r="AX1641" s="238"/>
      <c r="AY1641" s="125"/>
      <c r="AZ1641" s="125"/>
      <c r="BA1641" s="125"/>
    </row>
    <row r="1642" spans="2:53" s="123" customFormat="1">
      <c r="B1642" s="125"/>
      <c r="D1642" s="125"/>
      <c r="I1642" s="125"/>
      <c r="Z1642" s="124"/>
      <c r="AA1642" s="74"/>
      <c r="AB1642" s="240"/>
      <c r="AD1642" s="124"/>
      <c r="AE1642" s="238"/>
      <c r="AF1642" s="239"/>
      <c r="AG1642" s="239"/>
      <c r="AH1642" s="124"/>
      <c r="AI1642" s="74"/>
      <c r="AJ1642" s="240"/>
      <c r="AL1642" s="124"/>
      <c r="AM1642" s="74"/>
      <c r="AP1642" s="125"/>
      <c r="AQ1642" s="241"/>
      <c r="AR1642" s="125"/>
      <c r="AS1642" s="125"/>
      <c r="AT1642" s="238"/>
      <c r="AU1642" s="125"/>
      <c r="AV1642" s="125"/>
      <c r="AW1642" s="125"/>
      <c r="AX1642" s="238"/>
      <c r="AY1642" s="125"/>
      <c r="AZ1642" s="125"/>
      <c r="BA1642" s="125"/>
    </row>
    <row r="1643" spans="2:53" s="123" customFormat="1">
      <c r="B1643" s="125"/>
      <c r="D1643" s="125"/>
      <c r="I1643" s="125"/>
      <c r="Z1643" s="124"/>
      <c r="AA1643" s="74"/>
      <c r="AB1643" s="240"/>
      <c r="AD1643" s="124"/>
      <c r="AE1643" s="238"/>
      <c r="AF1643" s="239"/>
      <c r="AG1643" s="239"/>
      <c r="AH1643" s="124"/>
      <c r="AI1643" s="74"/>
      <c r="AJ1643" s="240"/>
      <c r="AL1643" s="124"/>
      <c r="AM1643" s="74"/>
      <c r="AP1643" s="125"/>
      <c r="AQ1643" s="241"/>
      <c r="AR1643" s="125"/>
      <c r="AS1643" s="125"/>
      <c r="AT1643" s="238"/>
      <c r="AU1643" s="125"/>
      <c r="AV1643" s="125"/>
      <c r="AW1643" s="125"/>
      <c r="AX1643" s="238"/>
      <c r="AY1643" s="125"/>
      <c r="AZ1643" s="125"/>
      <c r="BA1643" s="125"/>
    </row>
    <row r="1644" spans="2:53" s="123" customFormat="1">
      <c r="B1644" s="125"/>
      <c r="D1644" s="125"/>
      <c r="I1644" s="125"/>
      <c r="Z1644" s="124"/>
      <c r="AA1644" s="74"/>
      <c r="AB1644" s="240"/>
      <c r="AD1644" s="124"/>
      <c r="AE1644" s="238"/>
      <c r="AF1644" s="239"/>
      <c r="AG1644" s="239"/>
      <c r="AH1644" s="124"/>
      <c r="AI1644" s="74"/>
      <c r="AJ1644" s="240"/>
      <c r="AL1644" s="124"/>
      <c r="AM1644" s="74"/>
      <c r="AP1644" s="125"/>
      <c r="AQ1644" s="241"/>
      <c r="AR1644" s="125"/>
      <c r="AS1644" s="125"/>
      <c r="AT1644" s="238"/>
      <c r="AU1644" s="125"/>
      <c r="AV1644" s="125"/>
      <c r="AW1644" s="125"/>
      <c r="AX1644" s="238"/>
      <c r="AY1644" s="125"/>
      <c r="AZ1644" s="125"/>
      <c r="BA1644" s="125"/>
    </row>
    <row r="1645" spans="2:53" s="123" customFormat="1">
      <c r="B1645" s="125"/>
      <c r="D1645" s="125"/>
      <c r="I1645" s="125"/>
      <c r="Z1645" s="124"/>
      <c r="AA1645" s="74"/>
      <c r="AB1645" s="240"/>
      <c r="AD1645" s="124"/>
      <c r="AE1645" s="238"/>
      <c r="AF1645" s="239"/>
      <c r="AG1645" s="239"/>
      <c r="AH1645" s="124"/>
      <c r="AI1645" s="74"/>
      <c r="AJ1645" s="240"/>
      <c r="AL1645" s="124"/>
      <c r="AM1645" s="74"/>
      <c r="AP1645" s="125"/>
      <c r="AQ1645" s="241"/>
      <c r="AR1645" s="125"/>
      <c r="AS1645" s="125"/>
      <c r="AT1645" s="238"/>
      <c r="AU1645" s="125"/>
      <c r="AV1645" s="125"/>
      <c r="AW1645" s="125"/>
      <c r="AX1645" s="238"/>
      <c r="AY1645" s="125"/>
      <c r="AZ1645" s="125"/>
      <c r="BA1645" s="125"/>
    </row>
    <row r="1646" spans="2:53" s="123" customFormat="1">
      <c r="B1646" s="125"/>
      <c r="D1646" s="125"/>
      <c r="I1646" s="125"/>
      <c r="Z1646" s="124"/>
      <c r="AA1646" s="74"/>
      <c r="AB1646" s="240"/>
      <c r="AD1646" s="124"/>
      <c r="AE1646" s="238"/>
      <c r="AF1646" s="239"/>
      <c r="AG1646" s="239"/>
      <c r="AH1646" s="124"/>
      <c r="AI1646" s="74"/>
      <c r="AJ1646" s="240"/>
      <c r="AL1646" s="124"/>
      <c r="AM1646" s="74"/>
      <c r="AP1646" s="125"/>
      <c r="AQ1646" s="241"/>
      <c r="AR1646" s="125"/>
      <c r="AS1646" s="125"/>
      <c r="AT1646" s="238"/>
      <c r="AU1646" s="125"/>
      <c r="AV1646" s="125"/>
      <c r="AW1646" s="125"/>
      <c r="AX1646" s="238"/>
      <c r="AY1646" s="125"/>
      <c r="AZ1646" s="125"/>
      <c r="BA1646" s="125"/>
    </row>
    <row r="1647" spans="2:53" s="123" customFormat="1">
      <c r="B1647" s="125"/>
      <c r="D1647" s="125"/>
      <c r="I1647" s="125"/>
      <c r="Z1647" s="124"/>
      <c r="AA1647" s="74"/>
      <c r="AB1647" s="240"/>
      <c r="AD1647" s="124"/>
      <c r="AE1647" s="238"/>
      <c r="AF1647" s="239"/>
      <c r="AG1647" s="239"/>
      <c r="AH1647" s="124"/>
      <c r="AI1647" s="74"/>
      <c r="AJ1647" s="240"/>
      <c r="AL1647" s="124"/>
      <c r="AM1647" s="74"/>
      <c r="AP1647" s="125"/>
      <c r="AQ1647" s="241"/>
      <c r="AR1647" s="125"/>
      <c r="AS1647" s="125"/>
      <c r="AT1647" s="238"/>
      <c r="AU1647" s="125"/>
      <c r="AV1647" s="125"/>
      <c r="AW1647" s="125"/>
      <c r="AX1647" s="238"/>
      <c r="AY1647" s="125"/>
      <c r="AZ1647" s="125"/>
      <c r="BA1647" s="125"/>
    </row>
    <row r="1648" spans="2:53" s="123" customFormat="1">
      <c r="B1648" s="125"/>
      <c r="D1648" s="125"/>
      <c r="I1648" s="125"/>
      <c r="Z1648" s="124"/>
      <c r="AA1648" s="74"/>
      <c r="AB1648" s="240"/>
      <c r="AD1648" s="124"/>
      <c r="AE1648" s="238"/>
      <c r="AF1648" s="239"/>
      <c r="AG1648" s="239"/>
      <c r="AH1648" s="124"/>
      <c r="AI1648" s="74"/>
      <c r="AJ1648" s="240"/>
      <c r="AL1648" s="124"/>
      <c r="AM1648" s="74"/>
      <c r="AP1648" s="125"/>
      <c r="AQ1648" s="241"/>
      <c r="AR1648" s="125"/>
      <c r="AS1648" s="125"/>
      <c r="AT1648" s="238"/>
      <c r="AU1648" s="125"/>
      <c r="AV1648" s="125"/>
      <c r="AW1648" s="125"/>
      <c r="AX1648" s="238"/>
      <c r="AY1648" s="125"/>
      <c r="AZ1648" s="125"/>
      <c r="BA1648" s="125"/>
    </row>
    <row r="1649" spans="2:53" s="123" customFormat="1">
      <c r="B1649" s="125"/>
      <c r="D1649" s="125"/>
      <c r="I1649" s="125"/>
      <c r="Z1649" s="124"/>
      <c r="AA1649" s="74"/>
      <c r="AB1649" s="240"/>
      <c r="AD1649" s="124"/>
      <c r="AE1649" s="238"/>
      <c r="AF1649" s="239"/>
      <c r="AG1649" s="239"/>
      <c r="AH1649" s="124"/>
      <c r="AI1649" s="74"/>
      <c r="AJ1649" s="240"/>
      <c r="AL1649" s="124"/>
      <c r="AM1649" s="74"/>
      <c r="AP1649" s="125"/>
      <c r="AQ1649" s="241"/>
      <c r="AR1649" s="125"/>
      <c r="AS1649" s="125"/>
      <c r="AT1649" s="238"/>
      <c r="AU1649" s="125"/>
      <c r="AV1649" s="125"/>
      <c r="AW1649" s="125"/>
      <c r="AX1649" s="238"/>
      <c r="AY1649" s="125"/>
      <c r="AZ1649" s="125"/>
      <c r="BA1649" s="125"/>
    </row>
    <row r="1650" spans="2:53" s="123" customFormat="1">
      <c r="B1650" s="125"/>
      <c r="D1650" s="125"/>
      <c r="I1650" s="125"/>
      <c r="Z1650" s="124"/>
      <c r="AA1650" s="74"/>
      <c r="AB1650" s="240"/>
      <c r="AD1650" s="124"/>
      <c r="AE1650" s="238"/>
      <c r="AF1650" s="239"/>
      <c r="AG1650" s="239"/>
      <c r="AH1650" s="124"/>
      <c r="AI1650" s="74"/>
      <c r="AJ1650" s="240"/>
      <c r="AL1650" s="124"/>
      <c r="AM1650" s="74"/>
      <c r="AP1650" s="125"/>
      <c r="AQ1650" s="241"/>
      <c r="AR1650" s="125"/>
      <c r="AS1650" s="125"/>
      <c r="AT1650" s="238"/>
      <c r="AU1650" s="125"/>
      <c r="AV1650" s="125"/>
      <c r="AW1650" s="125"/>
      <c r="AX1650" s="238"/>
      <c r="AY1650" s="125"/>
      <c r="AZ1650" s="125"/>
      <c r="BA1650" s="125"/>
    </row>
    <row r="1651" spans="2:53" s="123" customFormat="1">
      <c r="B1651" s="125"/>
      <c r="D1651" s="125"/>
      <c r="I1651" s="125"/>
      <c r="Z1651" s="124"/>
      <c r="AA1651" s="74"/>
      <c r="AB1651" s="240"/>
      <c r="AD1651" s="124"/>
      <c r="AE1651" s="238"/>
      <c r="AF1651" s="239"/>
      <c r="AG1651" s="239"/>
      <c r="AH1651" s="124"/>
      <c r="AI1651" s="74"/>
      <c r="AJ1651" s="240"/>
      <c r="AL1651" s="124"/>
      <c r="AM1651" s="74"/>
      <c r="AP1651" s="125"/>
      <c r="AQ1651" s="241"/>
      <c r="AR1651" s="125"/>
      <c r="AS1651" s="125"/>
      <c r="AT1651" s="238"/>
      <c r="AU1651" s="125"/>
      <c r="AV1651" s="125"/>
      <c r="AW1651" s="125"/>
      <c r="AX1651" s="238"/>
      <c r="AY1651" s="125"/>
      <c r="AZ1651" s="125"/>
      <c r="BA1651" s="125"/>
    </row>
    <row r="1652" spans="2:53" s="123" customFormat="1">
      <c r="B1652" s="125"/>
      <c r="D1652" s="125"/>
      <c r="I1652" s="125"/>
      <c r="Z1652" s="124"/>
      <c r="AA1652" s="74"/>
      <c r="AB1652" s="240"/>
      <c r="AD1652" s="124"/>
      <c r="AE1652" s="238"/>
      <c r="AF1652" s="239"/>
      <c r="AG1652" s="239"/>
      <c r="AH1652" s="124"/>
      <c r="AI1652" s="74"/>
      <c r="AJ1652" s="240"/>
      <c r="AL1652" s="124"/>
      <c r="AM1652" s="74"/>
      <c r="AP1652" s="125"/>
      <c r="AQ1652" s="241"/>
      <c r="AR1652" s="125"/>
      <c r="AS1652" s="125"/>
      <c r="AT1652" s="238"/>
      <c r="AU1652" s="125"/>
      <c r="AV1652" s="125"/>
      <c r="AW1652" s="125"/>
      <c r="AX1652" s="238"/>
      <c r="AY1652" s="125"/>
      <c r="AZ1652" s="125"/>
      <c r="BA1652" s="125"/>
    </row>
    <row r="1653" spans="2:53" s="123" customFormat="1">
      <c r="B1653" s="125"/>
      <c r="D1653" s="125"/>
      <c r="I1653" s="125"/>
      <c r="Z1653" s="124"/>
      <c r="AA1653" s="74"/>
      <c r="AB1653" s="240"/>
      <c r="AD1653" s="124"/>
      <c r="AE1653" s="238"/>
      <c r="AF1653" s="239"/>
      <c r="AG1653" s="239"/>
      <c r="AH1653" s="124"/>
      <c r="AI1653" s="74"/>
      <c r="AJ1653" s="240"/>
      <c r="AL1653" s="124"/>
      <c r="AM1653" s="74"/>
      <c r="AP1653" s="125"/>
      <c r="AQ1653" s="241"/>
      <c r="AR1653" s="125"/>
      <c r="AS1653" s="125"/>
      <c r="AT1653" s="238"/>
      <c r="AU1653" s="125"/>
      <c r="AV1653" s="125"/>
      <c r="AW1653" s="125"/>
      <c r="AX1653" s="238"/>
      <c r="AY1653" s="125"/>
      <c r="AZ1653" s="125"/>
      <c r="BA1653" s="125"/>
    </row>
    <row r="1654" spans="2:53" s="123" customFormat="1">
      <c r="B1654" s="125"/>
      <c r="D1654" s="125"/>
      <c r="I1654" s="125"/>
      <c r="Z1654" s="124"/>
      <c r="AA1654" s="74"/>
      <c r="AB1654" s="240"/>
      <c r="AD1654" s="124"/>
      <c r="AE1654" s="238"/>
      <c r="AF1654" s="239"/>
      <c r="AG1654" s="239"/>
      <c r="AH1654" s="124"/>
      <c r="AI1654" s="74"/>
      <c r="AJ1654" s="240"/>
      <c r="AL1654" s="124"/>
      <c r="AM1654" s="74"/>
      <c r="AP1654" s="125"/>
      <c r="AQ1654" s="241"/>
      <c r="AR1654" s="125"/>
      <c r="AS1654" s="125"/>
      <c r="AT1654" s="238"/>
      <c r="AU1654" s="125"/>
      <c r="AV1654" s="125"/>
      <c r="AW1654" s="125"/>
      <c r="AX1654" s="238"/>
      <c r="AY1654" s="125"/>
      <c r="AZ1654" s="125"/>
      <c r="BA1654" s="125"/>
    </row>
    <row r="1655" spans="2:53" s="123" customFormat="1">
      <c r="B1655" s="125"/>
      <c r="D1655" s="125"/>
      <c r="I1655" s="125"/>
      <c r="Z1655" s="124"/>
      <c r="AA1655" s="74"/>
      <c r="AB1655" s="240"/>
      <c r="AD1655" s="124"/>
      <c r="AE1655" s="238"/>
      <c r="AF1655" s="239"/>
      <c r="AG1655" s="239"/>
      <c r="AH1655" s="124"/>
      <c r="AI1655" s="74"/>
      <c r="AJ1655" s="240"/>
      <c r="AL1655" s="124"/>
      <c r="AM1655" s="74"/>
      <c r="AP1655" s="125"/>
      <c r="AQ1655" s="241"/>
      <c r="AR1655" s="125"/>
      <c r="AS1655" s="125"/>
      <c r="AT1655" s="238"/>
      <c r="AU1655" s="125"/>
      <c r="AV1655" s="125"/>
      <c r="AW1655" s="125"/>
      <c r="AX1655" s="238"/>
      <c r="AY1655" s="125"/>
      <c r="AZ1655" s="125"/>
      <c r="BA1655" s="125"/>
    </row>
    <row r="1656" spans="2:53" s="123" customFormat="1">
      <c r="B1656" s="125"/>
      <c r="D1656" s="125"/>
      <c r="I1656" s="125"/>
      <c r="Z1656" s="124"/>
      <c r="AA1656" s="74"/>
      <c r="AB1656" s="240"/>
      <c r="AD1656" s="124"/>
      <c r="AE1656" s="238"/>
      <c r="AF1656" s="239"/>
      <c r="AG1656" s="239"/>
      <c r="AH1656" s="124"/>
      <c r="AI1656" s="74"/>
      <c r="AJ1656" s="240"/>
      <c r="AL1656" s="124"/>
      <c r="AM1656" s="74"/>
      <c r="AP1656" s="125"/>
      <c r="AQ1656" s="241"/>
      <c r="AR1656" s="125"/>
      <c r="AS1656" s="125"/>
      <c r="AT1656" s="238"/>
      <c r="AU1656" s="125"/>
      <c r="AV1656" s="125"/>
      <c r="AW1656" s="125"/>
      <c r="AX1656" s="238"/>
      <c r="AY1656" s="125"/>
      <c r="AZ1656" s="125"/>
      <c r="BA1656" s="125"/>
    </row>
    <row r="1657" spans="2:53" s="123" customFormat="1">
      <c r="B1657" s="125"/>
      <c r="D1657" s="125"/>
      <c r="I1657" s="125"/>
      <c r="Z1657" s="124"/>
      <c r="AA1657" s="74"/>
      <c r="AB1657" s="240"/>
      <c r="AD1657" s="124"/>
      <c r="AE1657" s="238"/>
      <c r="AF1657" s="239"/>
      <c r="AG1657" s="239"/>
      <c r="AH1657" s="124"/>
      <c r="AI1657" s="74"/>
      <c r="AJ1657" s="240"/>
      <c r="AL1657" s="124"/>
      <c r="AM1657" s="74"/>
      <c r="AP1657" s="125"/>
      <c r="AQ1657" s="241"/>
      <c r="AR1657" s="125"/>
      <c r="AS1657" s="125"/>
      <c r="AT1657" s="238"/>
      <c r="AU1657" s="125"/>
      <c r="AV1657" s="125"/>
      <c r="AW1657" s="125"/>
      <c r="AX1657" s="238"/>
      <c r="AY1657" s="125"/>
      <c r="AZ1657" s="125"/>
      <c r="BA1657" s="125"/>
    </row>
    <row r="1658" spans="2:53" s="123" customFormat="1">
      <c r="B1658" s="125"/>
      <c r="D1658" s="125"/>
      <c r="I1658" s="125"/>
      <c r="Z1658" s="124"/>
      <c r="AA1658" s="74"/>
      <c r="AB1658" s="240"/>
      <c r="AD1658" s="124"/>
      <c r="AE1658" s="238"/>
      <c r="AF1658" s="239"/>
      <c r="AG1658" s="239"/>
      <c r="AH1658" s="124"/>
      <c r="AI1658" s="74"/>
      <c r="AJ1658" s="240"/>
      <c r="AL1658" s="124"/>
      <c r="AM1658" s="74"/>
      <c r="AP1658" s="125"/>
      <c r="AQ1658" s="241"/>
      <c r="AR1658" s="125"/>
      <c r="AS1658" s="125"/>
      <c r="AT1658" s="238"/>
      <c r="AU1658" s="125"/>
      <c r="AV1658" s="125"/>
      <c r="AW1658" s="125"/>
      <c r="AX1658" s="238"/>
      <c r="AY1658" s="125"/>
      <c r="AZ1658" s="125"/>
      <c r="BA1658" s="125"/>
    </row>
    <row r="1659" spans="2:53" s="123" customFormat="1">
      <c r="B1659" s="125"/>
      <c r="D1659" s="125"/>
      <c r="I1659" s="125"/>
      <c r="Z1659" s="124"/>
      <c r="AA1659" s="74"/>
      <c r="AB1659" s="240"/>
      <c r="AD1659" s="124"/>
      <c r="AE1659" s="238"/>
      <c r="AF1659" s="239"/>
      <c r="AG1659" s="239"/>
      <c r="AH1659" s="124"/>
      <c r="AI1659" s="74"/>
      <c r="AJ1659" s="240"/>
      <c r="AL1659" s="124"/>
      <c r="AM1659" s="74"/>
      <c r="AP1659" s="125"/>
      <c r="AQ1659" s="241"/>
      <c r="AR1659" s="125"/>
      <c r="AS1659" s="125"/>
      <c r="AT1659" s="238"/>
      <c r="AU1659" s="125"/>
      <c r="AV1659" s="125"/>
      <c r="AW1659" s="125"/>
      <c r="AX1659" s="238"/>
      <c r="AY1659" s="125"/>
      <c r="AZ1659" s="125"/>
      <c r="BA1659" s="125"/>
    </row>
    <row r="1660" spans="2:53" s="123" customFormat="1">
      <c r="B1660" s="125"/>
      <c r="D1660" s="125"/>
      <c r="I1660" s="125"/>
      <c r="Z1660" s="124"/>
      <c r="AA1660" s="74"/>
      <c r="AB1660" s="240"/>
      <c r="AD1660" s="124"/>
      <c r="AE1660" s="238"/>
      <c r="AF1660" s="239"/>
      <c r="AG1660" s="239"/>
      <c r="AH1660" s="124"/>
      <c r="AI1660" s="74"/>
      <c r="AJ1660" s="240"/>
      <c r="AL1660" s="124"/>
      <c r="AM1660" s="74"/>
      <c r="AP1660" s="125"/>
      <c r="AQ1660" s="241"/>
      <c r="AR1660" s="125"/>
      <c r="AS1660" s="125"/>
      <c r="AT1660" s="238"/>
      <c r="AU1660" s="125"/>
      <c r="AV1660" s="125"/>
      <c r="AW1660" s="125"/>
      <c r="AX1660" s="238"/>
      <c r="AY1660" s="125"/>
      <c r="AZ1660" s="125"/>
      <c r="BA1660" s="125"/>
    </row>
    <row r="1661" spans="2:53" s="123" customFormat="1">
      <c r="B1661" s="125"/>
      <c r="D1661" s="125"/>
      <c r="I1661" s="125"/>
      <c r="Z1661" s="124"/>
      <c r="AA1661" s="74"/>
      <c r="AB1661" s="240"/>
      <c r="AD1661" s="124"/>
      <c r="AE1661" s="238"/>
      <c r="AF1661" s="239"/>
      <c r="AG1661" s="239"/>
      <c r="AH1661" s="124"/>
      <c r="AI1661" s="74"/>
      <c r="AJ1661" s="240"/>
      <c r="AL1661" s="124"/>
      <c r="AM1661" s="74"/>
      <c r="AP1661" s="125"/>
      <c r="AQ1661" s="241"/>
      <c r="AR1661" s="125"/>
      <c r="AS1661" s="125"/>
      <c r="AT1661" s="238"/>
      <c r="AU1661" s="125"/>
      <c r="AV1661" s="125"/>
      <c r="AW1661" s="125"/>
      <c r="AX1661" s="238"/>
      <c r="AY1661" s="125"/>
      <c r="AZ1661" s="125"/>
      <c r="BA1661" s="125"/>
    </row>
    <row r="1662" spans="2:53" s="123" customFormat="1">
      <c r="B1662" s="125"/>
      <c r="D1662" s="125"/>
      <c r="I1662" s="125"/>
      <c r="Z1662" s="124"/>
      <c r="AA1662" s="74"/>
      <c r="AB1662" s="240"/>
      <c r="AD1662" s="124"/>
      <c r="AE1662" s="238"/>
      <c r="AF1662" s="239"/>
      <c r="AG1662" s="239"/>
      <c r="AH1662" s="124"/>
      <c r="AI1662" s="74"/>
      <c r="AJ1662" s="240"/>
      <c r="AL1662" s="124"/>
      <c r="AM1662" s="74"/>
      <c r="AP1662" s="125"/>
      <c r="AQ1662" s="241"/>
      <c r="AR1662" s="125"/>
      <c r="AS1662" s="125"/>
      <c r="AT1662" s="238"/>
      <c r="AU1662" s="125"/>
      <c r="AV1662" s="125"/>
      <c r="AW1662" s="125"/>
      <c r="AX1662" s="238"/>
      <c r="AY1662" s="125"/>
      <c r="AZ1662" s="125"/>
      <c r="BA1662" s="125"/>
    </row>
    <row r="1663" spans="2:53" s="123" customFormat="1">
      <c r="B1663" s="125"/>
      <c r="D1663" s="125"/>
      <c r="I1663" s="125"/>
      <c r="Z1663" s="124"/>
      <c r="AA1663" s="74"/>
      <c r="AB1663" s="240"/>
      <c r="AD1663" s="124"/>
      <c r="AE1663" s="238"/>
      <c r="AF1663" s="239"/>
      <c r="AG1663" s="239"/>
      <c r="AH1663" s="124"/>
      <c r="AI1663" s="74"/>
      <c r="AJ1663" s="240"/>
      <c r="AL1663" s="124"/>
      <c r="AM1663" s="74"/>
      <c r="AP1663" s="125"/>
      <c r="AQ1663" s="241"/>
      <c r="AR1663" s="125"/>
      <c r="AS1663" s="125"/>
      <c r="AT1663" s="238"/>
      <c r="AU1663" s="125"/>
      <c r="AV1663" s="125"/>
      <c r="AW1663" s="125"/>
      <c r="AX1663" s="238"/>
      <c r="AY1663" s="125"/>
      <c r="AZ1663" s="125"/>
      <c r="BA1663" s="125"/>
    </row>
    <row r="1664" spans="2:53" s="123" customFormat="1">
      <c r="B1664" s="125"/>
      <c r="D1664" s="125"/>
      <c r="I1664" s="125"/>
      <c r="Z1664" s="124"/>
      <c r="AA1664" s="74"/>
      <c r="AB1664" s="240"/>
      <c r="AD1664" s="124"/>
      <c r="AE1664" s="238"/>
      <c r="AF1664" s="239"/>
      <c r="AG1664" s="239"/>
      <c r="AH1664" s="124"/>
      <c r="AI1664" s="74"/>
      <c r="AJ1664" s="240"/>
      <c r="AL1664" s="124"/>
      <c r="AM1664" s="74"/>
      <c r="AP1664" s="125"/>
      <c r="AQ1664" s="241"/>
      <c r="AR1664" s="125"/>
      <c r="AS1664" s="125"/>
      <c r="AT1664" s="238"/>
      <c r="AU1664" s="125"/>
      <c r="AV1664" s="125"/>
      <c r="AW1664" s="125"/>
      <c r="AX1664" s="238"/>
      <c r="AY1664" s="125"/>
      <c r="AZ1664" s="125"/>
      <c r="BA1664" s="125"/>
    </row>
    <row r="1665" spans="2:53" s="123" customFormat="1">
      <c r="B1665" s="125"/>
      <c r="D1665" s="125"/>
      <c r="I1665" s="125"/>
      <c r="Z1665" s="124"/>
      <c r="AA1665" s="74"/>
      <c r="AB1665" s="240"/>
      <c r="AD1665" s="124"/>
      <c r="AE1665" s="238"/>
      <c r="AF1665" s="239"/>
      <c r="AG1665" s="239"/>
      <c r="AH1665" s="124"/>
      <c r="AI1665" s="74"/>
      <c r="AJ1665" s="240"/>
      <c r="AL1665" s="124"/>
      <c r="AM1665" s="74"/>
      <c r="AP1665" s="125"/>
      <c r="AQ1665" s="241"/>
      <c r="AR1665" s="125"/>
      <c r="AS1665" s="125"/>
      <c r="AT1665" s="238"/>
      <c r="AU1665" s="125"/>
      <c r="AV1665" s="125"/>
      <c r="AW1665" s="125"/>
      <c r="AX1665" s="238"/>
      <c r="AY1665" s="125"/>
      <c r="AZ1665" s="125"/>
      <c r="BA1665" s="125"/>
    </row>
    <row r="1666" spans="2:53" s="123" customFormat="1">
      <c r="B1666" s="125"/>
      <c r="D1666" s="125"/>
      <c r="I1666" s="125"/>
      <c r="Z1666" s="124"/>
      <c r="AA1666" s="74"/>
      <c r="AB1666" s="240"/>
      <c r="AD1666" s="124"/>
      <c r="AE1666" s="238"/>
      <c r="AF1666" s="239"/>
      <c r="AG1666" s="239"/>
      <c r="AH1666" s="124"/>
      <c r="AI1666" s="74"/>
      <c r="AJ1666" s="240"/>
      <c r="AL1666" s="124"/>
      <c r="AM1666" s="74"/>
      <c r="AP1666" s="125"/>
      <c r="AQ1666" s="241"/>
      <c r="AR1666" s="125"/>
      <c r="AS1666" s="125"/>
      <c r="AT1666" s="238"/>
      <c r="AU1666" s="125"/>
      <c r="AV1666" s="125"/>
      <c r="AW1666" s="125"/>
      <c r="AX1666" s="238"/>
      <c r="AY1666" s="125"/>
      <c r="AZ1666" s="125"/>
      <c r="BA1666" s="125"/>
    </row>
    <row r="1667" spans="2:53" s="123" customFormat="1">
      <c r="B1667" s="125"/>
      <c r="D1667" s="125"/>
      <c r="I1667" s="125"/>
      <c r="Z1667" s="124"/>
      <c r="AA1667" s="74"/>
      <c r="AB1667" s="240"/>
      <c r="AD1667" s="124"/>
      <c r="AE1667" s="238"/>
      <c r="AF1667" s="239"/>
      <c r="AG1667" s="239"/>
      <c r="AH1667" s="124"/>
      <c r="AI1667" s="74"/>
      <c r="AJ1667" s="240"/>
      <c r="AL1667" s="124"/>
      <c r="AM1667" s="74"/>
      <c r="AP1667" s="125"/>
      <c r="AQ1667" s="241"/>
      <c r="AR1667" s="125"/>
      <c r="AS1667" s="125"/>
      <c r="AT1667" s="238"/>
      <c r="AU1667" s="125"/>
      <c r="AV1667" s="125"/>
      <c r="AW1667" s="125"/>
      <c r="AX1667" s="238"/>
      <c r="AY1667" s="125"/>
      <c r="AZ1667" s="125"/>
      <c r="BA1667" s="125"/>
    </row>
    <row r="1668" spans="2:53" s="123" customFormat="1">
      <c r="B1668" s="125"/>
      <c r="D1668" s="125"/>
      <c r="I1668" s="125"/>
      <c r="Z1668" s="124"/>
      <c r="AA1668" s="74"/>
      <c r="AB1668" s="240"/>
      <c r="AD1668" s="124"/>
      <c r="AE1668" s="238"/>
      <c r="AF1668" s="239"/>
      <c r="AG1668" s="239"/>
      <c r="AH1668" s="124"/>
      <c r="AI1668" s="74"/>
      <c r="AJ1668" s="240"/>
      <c r="AL1668" s="124"/>
      <c r="AM1668" s="74"/>
      <c r="AP1668" s="125"/>
      <c r="AQ1668" s="241"/>
      <c r="AR1668" s="125"/>
      <c r="AS1668" s="125"/>
      <c r="AT1668" s="238"/>
      <c r="AU1668" s="125"/>
      <c r="AV1668" s="125"/>
      <c r="AW1668" s="125"/>
      <c r="AX1668" s="238"/>
      <c r="AY1668" s="125"/>
      <c r="AZ1668" s="125"/>
      <c r="BA1668" s="125"/>
    </row>
    <row r="1669" spans="2:53" s="123" customFormat="1">
      <c r="B1669" s="125"/>
      <c r="D1669" s="125"/>
      <c r="I1669" s="125"/>
      <c r="Z1669" s="124"/>
      <c r="AA1669" s="74"/>
      <c r="AB1669" s="240"/>
      <c r="AD1669" s="124"/>
      <c r="AE1669" s="238"/>
      <c r="AF1669" s="239"/>
      <c r="AG1669" s="239"/>
      <c r="AH1669" s="124"/>
      <c r="AI1669" s="74"/>
      <c r="AJ1669" s="240"/>
      <c r="AL1669" s="124"/>
      <c r="AM1669" s="74"/>
      <c r="AP1669" s="125"/>
      <c r="AQ1669" s="241"/>
      <c r="AR1669" s="125"/>
      <c r="AS1669" s="125"/>
      <c r="AT1669" s="238"/>
      <c r="AU1669" s="125"/>
      <c r="AV1669" s="125"/>
      <c r="AW1669" s="125"/>
      <c r="AX1669" s="238"/>
      <c r="AY1669" s="125"/>
      <c r="AZ1669" s="125"/>
      <c r="BA1669" s="125"/>
    </row>
    <row r="1670" spans="2:53" s="123" customFormat="1">
      <c r="B1670" s="125"/>
      <c r="D1670" s="125"/>
      <c r="I1670" s="125"/>
      <c r="Z1670" s="124"/>
      <c r="AA1670" s="74"/>
      <c r="AB1670" s="240"/>
      <c r="AD1670" s="124"/>
      <c r="AE1670" s="238"/>
      <c r="AF1670" s="239"/>
      <c r="AG1670" s="239"/>
      <c r="AH1670" s="124"/>
      <c r="AI1670" s="74"/>
      <c r="AJ1670" s="240"/>
      <c r="AL1670" s="124"/>
      <c r="AM1670" s="74"/>
      <c r="AP1670" s="125"/>
      <c r="AQ1670" s="241"/>
      <c r="AR1670" s="125"/>
      <c r="AS1670" s="125"/>
      <c r="AT1670" s="238"/>
      <c r="AU1670" s="125"/>
      <c r="AV1670" s="125"/>
      <c r="AW1670" s="125"/>
      <c r="AX1670" s="238"/>
      <c r="AY1670" s="125"/>
      <c r="AZ1670" s="125"/>
      <c r="BA1670" s="125"/>
    </row>
    <row r="1671" spans="2:53" s="123" customFormat="1">
      <c r="B1671" s="125"/>
      <c r="D1671" s="125"/>
      <c r="I1671" s="125"/>
      <c r="Z1671" s="124"/>
      <c r="AA1671" s="74"/>
      <c r="AB1671" s="240"/>
      <c r="AD1671" s="124"/>
      <c r="AE1671" s="238"/>
      <c r="AF1671" s="239"/>
      <c r="AG1671" s="239"/>
      <c r="AH1671" s="124"/>
      <c r="AI1671" s="74"/>
      <c r="AJ1671" s="240"/>
      <c r="AL1671" s="124"/>
      <c r="AM1671" s="74"/>
      <c r="AP1671" s="125"/>
      <c r="AQ1671" s="241"/>
      <c r="AR1671" s="125"/>
      <c r="AS1671" s="125"/>
      <c r="AT1671" s="238"/>
      <c r="AU1671" s="125"/>
      <c r="AV1671" s="125"/>
      <c r="AW1671" s="125"/>
      <c r="AX1671" s="238"/>
      <c r="AY1671" s="125"/>
      <c r="AZ1671" s="125"/>
      <c r="BA1671" s="125"/>
    </row>
    <row r="1672" spans="2:53" s="123" customFormat="1">
      <c r="B1672" s="125"/>
      <c r="D1672" s="125"/>
      <c r="I1672" s="125"/>
      <c r="Z1672" s="124"/>
      <c r="AA1672" s="74"/>
      <c r="AB1672" s="240"/>
      <c r="AD1672" s="124"/>
      <c r="AE1672" s="238"/>
      <c r="AF1672" s="239"/>
      <c r="AG1672" s="239"/>
      <c r="AH1672" s="124"/>
      <c r="AI1672" s="74"/>
      <c r="AJ1672" s="240"/>
      <c r="AL1672" s="124"/>
      <c r="AM1672" s="74"/>
      <c r="AP1672" s="125"/>
      <c r="AQ1672" s="241"/>
      <c r="AR1672" s="125"/>
      <c r="AS1672" s="125"/>
      <c r="AT1672" s="238"/>
      <c r="AU1672" s="125"/>
      <c r="AV1672" s="125"/>
      <c r="AW1672" s="125"/>
      <c r="AX1672" s="238"/>
      <c r="AY1672" s="125"/>
      <c r="AZ1672" s="125"/>
      <c r="BA1672" s="125"/>
    </row>
    <row r="1673" spans="2:53" s="123" customFormat="1">
      <c r="B1673" s="125"/>
      <c r="D1673" s="125"/>
      <c r="I1673" s="125"/>
      <c r="Z1673" s="124"/>
      <c r="AA1673" s="74"/>
      <c r="AB1673" s="240"/>
      <c r="AD1673" s="124"/>
      <c r="AE1673" s="238"/>
      <c r="AF1673" s="239"/>
      <c r="AG1673" s="239"/>
      <c r="AH1673" s="124"/>
      <c r="AI1673" s="74"/>
      <c r="AJ1673" s="240"/>
      <c r="AL1673" s="124"/>
      <c r="AM1673" s="74"/>
      <c r="AP1673" s="125"/>
      <c r="AQ1673" s="241"/>
      <c r="AR1673" s="125"/>
      <c r="AS1673" s="125"/>
      <c r="AT1673" s="238"/>
      <c r="AU1673" s="125"/>
      <c r="AV1673" s="125"/>
      <c r="AW1673" s="125"/>
      <c r="AX1673" s="238"/>
      <c r="AY1673" s="125"/>
      <c r="AZ1673" s="125"/>
      <c r="BA1673" s="125"/>
    </row>
    <row r="1674" spans="2:53" s="123" customFormat="1">
      <c r="B1674" s="125"/>
      <c r="D1674" s="125"/>
      <c r="I1674" s="125"/>
      <c r="Z1674" s="124"/>
      <c r="AA1674" s="74"/>
      <c r="AB1674" s="240"/>
      <c r="AD1674" s="124"/>
      <c r="AE1674" s="238"/>
      <c r="AF1674" s="239"/>
      <c r="AG1674" s="239"/>
      <c r="AH1674" s="124"/>
      <c r="AI1674" s="74"/>
      <c r="AJ1674" s="240"/>
      <c r="AL1674" s="124"/>
      <c r="AM1674" s="74"/>
      <c r="AP1674" s="125"/>
      <c r="AQ1674" s="241"/>
      <c r="AR1674" s="125"/>
      <c r="AS1674" s="125"/>
      <c r="AT1674" s="238"/>
      <c r="AU1674" s="125"/>
      <c r="AV1674" s="125"/>
      <c r="AW1674" s="125"/>
      <c r="AX1674" s="238"/>
      <c r="AY1674" s="125"/>
      <c r="AZ1674" s="125"/>
      <c r="BA1674" s="125"/>
    </row>
    <row r="1675" spans="2:53" s="123" customFormat="1">
      <c r="B1675" s="125"/>
      <c r="D1675" s="125"/>
      <c r="I1675" s="125"/>
      <c r="Z1675" s="124"/>
      <c r="AA1675" s="74"/>
      <c r="AB1675" s="240"/>
      <c r="AD1675" s="124"/>
      <c r="AE1675" s="238"/>
      <c r="AF1675" s="239"/>
      <c r="AG1675" s="239"/>
      <c r="AH1675" s="124"/>
      <c r="AI1675" s="74"/>
      <c r="AJ1675" s="240"/>
      <c r="AL1675" s="124"/>
      <c r="AM1675" s="74"/>
      <c r="AP1675" s="125"/>
      <c r="AQ1675" s="241"/>
      <c r="AR1675" s="125"/>
      <c r="AS1675" s="125"/>
      <c r="AT1675" s="238"/>
      <c r="AU1675" s="125"/>
      <c r="AV1675" s="125"/>
      <c r="AW1675" s="125"/>
      <c r="AX1675" s="238"/>
      <c r="AY1675" s="125"/>
      <c r="AZ1675" s="125"/>
      <c r="BA1675" s="125"/>
    </row>
    <row r="1676" spans="2:53" s="123" customFormat="1">
      <c r="B1676" s="125"/>
      <c r="D1676" s="125"/>
      <c r="I1676" s="125"/>
      <c r="Z1676" s="124"/>
      <c r="AA1676" s="74"/>
      <c r="AB1676" s="240"/>
      <c r="AD1676" s="124"/>
      <c r="AE1676" s="238"/>
      <c r="AF1676" s="239"/>
      <c r="AG1676" s="239"/>
      <c r="AH1676" s="124"/>
      <c r="AI1676" s="74"/>
      <c r="AJ1676" s="240"/>
      <c r="AL1676" s="124"/>
      <c r="AM1676" s="74"/>
      <c r="AP1676" s="125"/>
      <c r="AQ1676" s="241"/>
      <c r="AR1676" s="125"/>
      <c r="AS1676" s="125"/>
      <c r="AT1676" s="238"/>
      <c r="AU1676" s="125"/>
      <c r="AV1676" s="125"/>
      <c r="AW1676" s="125"/>
      <c r="AX1676" s="238"/>
      <c r="AY1676" s="125"/>
      <c r="AZ1676" s="125"/>
      <c r="BA1676" s="125"/>
    </row>
    <row r="1677" spans="2:53" s="123" customFormat="1">
      <c r="B1677" s="125"/>
      <c r="D1677" s="125"/>
      <c r="I1677" s="125"/>
      <c r="Z1677" s="124"/>
      <c r="AA1677" s="74"/>
      <c r="AB1677" s="240"/>
      <c r="AD1677" s="124"/>
      <c r="AE1677" s="238"/>
      <c r="AF1677" s="239"/>
      <c r="AG1677" s="239"/>
      <c r="AH1677" s="124"/>
      <c r="AI1677" s="74"/>
      <c r="AJ1677" s="240"/>
      <c r="AL1677" s="124"/>
      <c r="AM1677" s="74"/>
      <c r="AP1677" s="125"/>
      <c r="AQ1677" s="241"/>
      <c r="AR1677" s="125"/>
      <c r="AS1677" s="125"/>
      <c r="AT1677" s="238"/>
      <c r="AU1677" s="125"/>
      <c r="AV1677" s="125"/>
      <c r="AW1677" s="125"/>
      <c r="AX1677" s="238"/>
      <c r="AY1677" s="125"/>
      <c r="AZ1677" s="125"/>
      <c r="BA1677" s="125"/>
    </row>
    <row r="1678" spans="2:53" s="123" customFormat="1">
      <c r="B1678" s="125"/>
      <c r="D1678" s="125"/>
      <c r="I1678" s="125"/>
      <c r="Z1678" s="124"/>
      <c r="AA1678" s="74"/>
      <c r="AB1678" s="240"/>
      <c r="AD1678" s="124"/>
      <c r="AE1678" s="238"/>
      <c r="AF1678" s="239"/>
      <c r="AG1678" s="239"/>
      <c r="AH1678" s="124"/>
      <c r="AI1678" s="74"/>
      <c r="AJ1678" s="240"/>
      <c r="AL1678" s="124"/>
      <c r="AM1678" s="74"/>
      <c r="AP1678" s="125"/>
      <c r="AQ1678" s="241"/>
      <c r="AR1678" s="125"/>
      <c r="AS1678" s="125"/>
      <c r="AT1678" s="238"/>
      <c r="AU1678" s="125"/>
      <c r="AV1678" s="125"/>
      <c r="AW1678" s="125"/>
      <c r="AX1678" s="238"/>
      <c r="AY1678" s="125"/>
      <c r="AZ1678" s="125"/>
      <c r="BA1678" s="125"/>
    </row>
    <row r="1679" spans="2:53" s="123" customFormat="1">
      <c r="B1679" s="125"/>
      <c r="D1679" s="125"/>
      <c r="I1679" s="125"/>
      <c r="Z1679" s="124"/>
      <c r="AA1679" s="74"/>
      <c r="AB1679" s="240"/>
      <c r="AD1679" s="124"/>
      <c r="AE1679" s="238"/>
      <c r="AF1679" s="239"/>
      <c r="AG1679" s="239"/>
      <c r="AH1679" s="124"/>
      <c r="AI1679" s="74"/>
      <c r="AJ1679" s="240"/>
      <c r="AL1679" s="124"/>
      <c r="AM1679" s="74"/>
      <c r="AP1679" s="125"/>
      <c r="AQ1679" s="241"/>
      <c r="AR1679" s="125"/>
      <c r="AS1679" s="125"/>
      <c r="AT1679" s="238"/>
      <c r="AU1679" s="125"/>
      <c r="AV1679" s="125"/>
      <c r="AW1679" s="125"/>
      <c r="AX1679" s="238"/>
      <c r="AY1679" s="125"/>
      <c r="AZ1679" s="125"/>
      <c r="BA1679" s="125"/>
    </row>
    <row r="1680" spans="2:53" s="123" customFormat="1">
      <c r="B1680" s="125"/>
      <c r="D1680" s="125"/>
      <c r="I1680" s="125"/>
      <c r="Z1680" s="124"/>
      <c r="AA1680" s="74"/>
      <c r="AB1680" s="240"/>
      <c r="AD1680" s="124"/>
      <c r="AE1680" s="238"/>
      <c r="AF1680" s="239"/>
      <c r="AG1680" s="239"/>
      <c r="AH1680" s="124"/>
      <c r="AI1680" s="74"/>
      <c r="AJ1680" s="240"/>
      <c r="AL1680" s="124"/>
      <c r="AM1680" s="74"/>
      <c r="AP1680" s="125"/>
      <c r="AQ1680" s="241"/>
      <c r="AR1680" s="125"/>
      <c r="AS1680" s="125"/>
      <c r="AT1680" s="238"/>
      <c r="AU1680" s="125"/>
      <c r="AV1680" s="125"/>
      <c r="AW1680" s="125"/>
      <c r="AX1680" s="238"/>
      <c r="AY1680" s="125"/>
      <c r="AZ1680" s="125"/>
      <c r="BA1680" s="125"/>
    </row>
    <row r="1681" spans="2:53" s="123" customFormat="1">
      <c r="B1681" s="125"/>
      <c r="D1681" s="125"/>
      <c r="I1681" s="125"/>
      <c r="Z1681" s="124"/>
      <c r="AA1681" s="74"/>
      <c r="AB1681" s="240"/>
      <c r="AD1681" s="124"/>
      <c r="AE1681" s="238"/>
      <c r="AF1681" s="239"/>
      <c r="AG1681" s="239"/>
      <c r="AH1681" s="124"/>
      <c r="AI1681" s="74"/>
      <c r="AJ1681" s="240"/>
      <c r="AL1681" s="124"/>
      <c r="AM1681" s="74"/>
      <c r="AP1681" s="125"/>
      <c r="AQ1681" s="241"/>
      <c r="AR1681" s="125"/>
      <c r="AS1681" s="125"/>
      <c r="AT1681" s="238"/>
      <c r="AU1681" s="125"/>
      <c r="AV1681" s="125"/>
      <c r="AW1681" s="125"/>
      <c r="AX1681" s="238"/>
      <c r="AY1681" s="125"/>
      <c r="AZ1681" s="125"/>
      <c r="BA1681" s="125"/>
    </row>
    <row r="1682" spans="2:53" s="123" customFormat="1">
      <c r="B1682" s="125"/>
      <c r="D1682" s="125"/>
      <c r="I1682" s="125"/>
      <c r="Z1682" s="124"/>
      <c r="AA1682" s="74"/>
      <c r="AB1682" s="240"/>
      <c r="AD1682" s="124"/>
      <c r="AE1682" s="238"/>
      <c r="AF1682" s="239"/>
      <c r="AG1682" s="239"/>
      <c r="AH1682" s="124"/>
      <c r="AI1682" s="74"/>
      <c r="AJ1682" s="240"/>
      <c r="AL1682" s="124"/>
      <c r="AM1682" s="74"/>
      <c r="AP1682" s="125"/>
      <c r="AQ1682" s="241"/>
      <c r="AR1682" s="125"/>
      <c r="AS1682" s="125"/>
      <c r="AT1682" s="238"/>
      <c r="AU1682" s="125"/>
      <c r="AV1682" s="125"/>
      <c r="AW1682" s="125"/>
      <c r="AX1682" s="238"/>
      <c r="AY1682" s="125"/>
      <c r="AZ1682" s="125"/>
      <c r="BA1682" s="125"/>
    </row>
    <row r="1683" spans="2:53" s="123" customFormat="1">
      <c r="B1683" s="125"/>
      <c r="D1683" s="125"/>
      <c r="I1683" s="125"/>
      <c r="Z1683" s="124"/>
      <c r="AA1683" s="74"/>
      <c r="AB1683" s="240"/>
      <c r="AD1683" s="124"/>
      <c r="AE1683" s="238"/>
      <c r="AF1683" s="239"/>
      <c r="AG1683" s="239"/>
      <c r="AH1683" s="124"/>
      <c r="AI1683" s="74"/>
      <c r="AJ1683" s="240"/>
      <c r="AL1683" s="124"/>
      <c r="AM1683" s="74"/>
      <c r="AP1683" s="125"/>
      <c r="AQ1683" s="241"/>
      <c r="AR1683" s="125"/>
      <c r="AS1683" s="125"/>
      <c r="AT1683" s="238"/>
      <c r="AU1683" s="125"/>
      <c r="AV1683" s="125"/>
      <c r="AW1683" s="125"/>
      <c r="AX1683" s="238"/>
      <c r="AY1683" s="125"/>
      <c r="AZ1683" s="125"/>
      <c r="BA1683" s="125"/>
    </row>
    <row r="1684" spans="2:53" s="123" customFormat="1">
      <c r="B1684" s="125"/>
      <c r="D1684" s="125"/>
      <c r="I1684" s="125"/>
      <c r="Z1684" s="124"/>
      <c r="AA1684" s="74"/>
      <c r="AB1684" s="240"/>
      <c r="AD1684" s="124"/>
      <c r="AE1684" s="238"/>
      <c r="AF1684" s="239"/>
      <c r="AG1684" s="239"/>
      <c r="AH1684" s="124"/>
      <c r="AI1684" s="74"/>
      <c r="AJ1684" s="240"/>
      <c r="AL1684" s="124"/>
      <c r="AM1684" s="74"/>
      <c r="AP1684" s="125"/>
      <c r="AQ1684" s="241"/>
      <c r="AR1684" s="125"/>
      <c r="AS1684" s="125"/>
      <c r="AT1684" s="238"/>
      <c r="AU1684" s="125"/>
      <c r="AV1684" s="125"/>
      <c r="AW1684" s="125"/>
      <c r="AX1684" s="238"/>
      <c r="AY1684" s="125"/>
      <c r="AZ1684" s="125"/>
      <c r="BA1684" s="125"/>
    </row>
    <row r="1685" spans="2:53" s="123" customFormat="1">
      <c r="B1685" s="125"/>
      <c r="D1685" s="125"/>
      <c r="I1685" s="125"/>
      <c r="Z1685" s="124"/>
      <c r="AA1685" s="74"/>
      <c r="AB1685" s="240"/>
      <c r="AD1685" s="124"/>
      <c r="AE1685" s="238"/>
      <c r="AF1685" s="239"/>
      <c r="AG1685" s="239"/>
      <c r="AH1685" s="124"/>
      <c r="AI1685" s="74"/>
      <c r="AJ1685" s="240"/>
      <c r="AL1685" s="124"/>
      <c r="AM1685" s="74"/>
      <c r="AP1685" s="125"/>
      <c r="AQ1685" s="241"/>
      <c r="AR1685" s="125"/>
      <c r="AS1685" s="125"/>
      <c r="AT1685" s="238"/>
      <c r="AU1685" s="125"/>
      <c r="AV1685" s="125"/>
      <c r="AW1685" s="125"/>
      <c r="AX1685" s="238"/>
      <c r="AY1685" s="125"/>
      <c r="AZ1685" s="125"/>
      <c r="BA1685" s="125"/>
    </row>
    <row r="1686" spans="2:53" s="123" customFormat="1">
      <c r="B1686" s="125"/>
      <c r="D1686" s="125"/>
      <c r="I1686" s="125"/>
      <c r="Z1686" s="124"/>
      <c r="AA1686" s="74"/>
      <c r="AB1686" s="240"/>
      <c r="AD1686" s="124"/>
      <c r="AE1686" s="238"/>
      <c r="AF1686" s="239"/>
      <c r="AG1686" s="239"/>
      <c r="AH1686" s="124"/>
      <c r="AI1686" s="74"/>
      <c r="AJ1686" s="240"/>
      <c r="AL1686" s="124"/>
      <c r="AM1686" s="74"/>
      <c r="AP1686" s="125"/>
      <c r="AQ1686" s="241"/>
      <c r="AR1686" s="125"/>
      <c r="AS1686" s="125"/>
      <c r="AT1686" s="238"/>
      <c r="AU1686" s="125"/>
      <c r="AV1686" s="125"/>
      <c r="AW1686" s="125"/>
      <c r="AX1686" s="238"/>
      <c r="AY1686" s="125"/>
      <c r="AZ1686" s="125"/>
      <c r="BA1686" s="125"/>
    </row>
    <row r="1687" spans="2:53" s="123" customFormat="1">
      <c r="B1687" s="125"/>
      <c r="D1687" s="125"/>
      <c r="I1687" s="125"/>
      <c r="Z1687" s="124"/>
      <c r="AA1687" s="74"/>
      <c r="AB1687" s="240"/>
      <c r="AD1687" s="124"/>
      <c r="AE1687" s="238"/>
      <c r="AF1687" s="239"/>
      <c r="AG1687" s="239"/>
      <c r="AH1687" s="124"/>
      <c r="AI1687" s="74"/>
      <c r="AJ1687" s="240"/>
      <c r="AL1687" s="124"/>
      <c r="AM1687" s="74"/>
      <c r="AP1687" s="125"/>
      <c r="AQ1687" s="241"/>
      <c r="AR1687" s="125"/>
      <c r="AS1687" s="125"/>
      <c r="AT1687" s="238"/>
      <c r="AU1687" s="125"/>
      <c r="AV1687" s="125"/>
      <c r="AW1687" s="125"/>
      <c r="AX1687" s="238"/>
      <c r="AY1687" s="125"/>
      <c r="AZ1687" s="125"/>
      <c r="BA1687" s="125"/>
    </row>
    <row r="1688" spans="2:53" s="123" customFormat="1">
      <c r="B1688" s="125"/>
      <c r="D1688" s="125"/>
      <c r="I1688" s="125"/>
      <c r="Z1688" s="124"/>
      <c r="AA1688" s="74"/>
      <c r="AB1688" s="240"/>
      <c r="AD1688" s="124"/>
      <c r="AE1688" s="238"/>
      <c r="AF1688" s="239"/>
      <c r="AG1688" s="239"/>
      <c r="AH1688" s="124"/>
      <c r="AI1688" s="74"/>
      <c r="AJ1688" s="240"/>
      <c r="AL1688" s="124"/>
      <c r="AM1688" s="74"/>
      <c r="AP1688" s="125"/>
      <c r="AQ1688" s="241"/>
      <c r="AR1688" s="125"/>
      <c r="AS1688" s="125"/>
      <c r="AT1688" s="238"/>
      <c r="AU1688" s="125"/>
      <c r="AV1688" s="125"/>
      <c r="AW1688" s="125"/>
      <c r="AX1688" s="238"/>
      <c r="AY1688" s="125"/>
      <c r="AZ1688" s="125"/>
      <c r="BA1688" s="125"/>
    </row>
    <row r="1689" spans="2:53" s="123" customFormat="1">
      <c r="B1689" s="125"/>
      <c r="D1689" s="125"/>
      <c r="I1689" s="125"/>
      <c r="Z1689" s="124"/>
      <c r="AA1689" s="74"/>
      <c r="AB1689" s="240"/>
      <c r="AD1689" s="124"/>
      <c r="AE1689" s="238"/>
      <c r="AF1689" s="239"/>
      <c r="AG1689" s="239"/>
      <c r="AH1689" s="124"/>
      <c r="AI1689" s="74"/>
      <c r="AJ1689" s="240"/>
      <c r="AL1689" s="124"/>
      <c r="AM1689" s="74"/>
      <c r="AP1689" s="125"/>
      <c r="AQ1689" s="241"/>
      <c r="AR1689" s="125"/>
      <c r="AS1689" s="125"/>
      <c r="AT1689" s="238"/>
      <c r="AU1689" s="125"/>
      <c r="AV1689" s="125"/>
      <c r="AW1689" s="125"/>
      <c r="AX1689" s="238"/>
      <c r="AY1689" s="125"/>
      <c r="AZ1689" s="125"/>
      <c r="BA1689" s="125"/>
    </row>
    <row r="1690" spans="2:53" s="123" customFormat="1">
      <c r="B1690" s="125"/>
      <c r="D1690" s="125"/>
      <c r="I1690" s="125"/>
      <c r="Z1690" s="124"/>
      <c r="AA1690" s="74"/>
      <c r="AB1690" s="240"/>
      <c r="AD1690" s="124"/>
      <c r="AE1690" s="238"/>
      <c r="AF1690" s="239"/>
      <c r="AG1690" s="239"/>
      <c r="AH1690" s="124"/>
      <c r="AI1690" s="74"/>
      <c r="AJ1690" s="240"/>
      <c r="AL1690" s="124"/>
      <c r="AM1690" s="74"/>
      <c r="AP1690" s="125"/>
      <c r="AQ1690" s="241"/>
      <c r="AR1690" s="125"/>
      <c r="AS1690" s="125"/>
      <c r="AT1690" s="238"/>
      <c r="AU1690" s="125"/>
      <c r="AV1690" s="125"/>
      <c r="AW1690" s="125"/>
      <c r="AX1690" s="238"/>
      <c r="AY1690" s="125"/>
      <c r="AZ1690" s="125"/>
      <c r="BA1690" s="125"/>
    </row>
    <row r="1691" spans="2:53" s="123" customFormat="1">
      <c r="B1691" s="125"/>
      <c r="D1691" s="125"/>
      <c r="I1691" s="125"/>
      <c r="Z1691" s="124"/>
      <c r="AA1691" s="74"/>
      <c r="AB1691" s="240"/>
      <c r="AD1691" s="124"/>
      <c r="AE1691" s="238"/>
      <c r="AF1691" s="239"/>
      <c r="AG1691" s="239"/>
      <c r="AH1691" s="124"/>
      <c r="AI1691" s="74"/>
      <c r="AJ1691" s="240"/>
      <c r="AL1691" s="124"/>
      <c r="AM1691" s="74"/>
      <c r="AP1691" s="125"/>
      <c r="AQ1691" s="241"/>
      <c r="AR1691" s="125"/>
      <c r="AS1691" s="125"/>
      <c r="AT1691" s="238"/>
      <c r="AU1691" s="125"/>
      <c r="AV1691" s="125"/>
      <c r="AW1691" s="125"/>
      <c r="AX1691" s="238"/>
      <c r="AY1691" s="125"/>
      <c r="AZ1691" s="125"/>
      <c r="BA1691" s="125"/>
    </row>
    <row r="1692" spans="2:53" s="123" customFormat="1">
      <c r="B1692" s="125"/>
      <c r="D1692" s="125"/>
      <c r="I1692" s="125"/>
      <c r="Z1692" s="124"/>
      <c r="AA1692" s="74"/>
      <c r="AB1692" s="240"/>
      <c r="AD1692" s="124"/>
      <c r="AE1692" s="238"/>
      <c r="AF1692" s="239"/>
      <c r="AG1692" s="239"/>
      <c r="AH1692" s="124"/>
      <c r="AI1692" s="74"/>
      <c r="AJ1692" s="240"/>
      <c r="AL1692" s="124"/>
      <c r="AM1692" s="74"/>
      <c r="AP1692" s="125"/>
      <c r="AQ1692" s="241"/>
      <c r="AR1692" s="125"/>
      <c r="AS1692" s="125"/>
      <c r="AT1692" s="238"/>
      <c r="AU1692" s="125"/>
      <c r="AV1692" s="125"/>
      <c r="AW1692" s="125"/>
      <c r="AX1692" s="238"/>
      <c r="AY1692" s="125"/>
      <c r="AZ1692" s="125"/>
      <c r="BA1692" s="125"/>
    </row>
    <row r="1693" spans="2:53" s="123" customFormat="1">
      <c r="B1693" s="125"/>
      <c r="D1693" s="125"/>
      <c r="I1693" s="125"/>
      <c r="Z1693" s="124"/>
      <c r="AA1693" s="74"/>
      <c r="AB1693" s="240"/>
      <c r="AD1693" s="124"/>
      <c r="AE1693" s="238"/>
      <c r="AF1693" s="239"/>
      <c r="AG1693" s="239"/>
      <c r="AH1693" s="124"/>
      <c r="AI1693" s="74"/>
      <c r="AJ1693" s="240"/>
      <c r="AL1693" s="124"/>
      <c r="AM1693" s="74"/>
      <c r="AP1693" s="125"/>
      <c r="AQ1693" s="241"/>
      <c r="AR1693" s="125"/>
      <c r="AS1693" s="125"/>
      <c r="AT1693" s="238"/>
      <c r="AU1693" s="125"/>
      <c r="AV1693" s="125"/>
      <c r="AW1693" s="125"/>
      <c r="AX1693" s="238"/>
      <c r="AY1693" s="125"/>
      <c r="AZ1693" s="125"/>
      <c r="BA1693" s="125"/>
    </row>
    <row r="1694" spans="2:53" s="123" customFormat="1">
      <c r="B1694" s="125"/>
      <c r="D1694" s="125"/>
      <c r="I1694" s="125"/>
      <c r="Z1694" s="124"/>
      <c r="AA1694" s="74"/>
      <c r="AB1694" s="240"/>
      <c r="AD1694" s="124"/>
      <c r="AE1694" s="238"/>
      <c r="AF1694" s="239"/>
      <c r="AG1694" s="239"/>
      <c r="AH1694" s="124"/>
      <c r="AI1694" s="74"/>
      <c r="AJ1694" s="240"/>
      <c r="AL1694" s="124"/>
      <c r="AM1694" s="74"/>
      <c r="AP1694" s="125"/>
      <c r="AQ1694" s="241"/>
      <c r="AR1694" s="125"/>
      <c r="AS1694" s="125"/>
      <c r="AT1694" s="238"/>
      <c r="AU1694" s="125"/>
      <c r="AV1694" s="125"/>
      <c r="AW1694" s="125"/>
      <c r="AX1694" s="238"/>
      <c r="AY1694" s="125"/>
      <c r="AZ1694" s="125"/>
      <c r="BA1694" s="125"/>
    </row>
    <row r="1695" spans="2:53" s="123" customFormat="1">
      <c r="B1695" s="125"/>
      <c r="D1695" s="125"/>
      <c r="I1695" s="125"/>
      <c r="Z1695" s="124"/>
      <c r="AA1695" s="74"/>
      <c r="AB1695" s="240"/>
      <c r="AD1695" s="124"/>
      <c r="AE1695" s="238"/>
      <c r="AF1695" s="239"/>
      <c r="AG1695" s="239"/>
      <c r="AH1695" s="124"/>
      <c r="AI1695" s="74"/>
      <c r="AJ1695" s="240"/>
      <c r="AL1695" s="124"/>
      <c r="AM1695" s="74"/>
      <c r="AP1695" s="125"/>
      <c r="AQ1695" s="241"/>
      <c r="AR1695" s="125"/>
      <c r="AS1695" s="125"/>
      <c r="AT1695" s="238"/>
      <c r="AU1695" s="125"/>
      <c r="AV1695" s="125"/>
      <c r="AW1695" s="125"/>
      <c r="AX1695" s="238"/>
      <c r="AY1695" s="125"/>
      <c r="AZ1695" s="125"/>
      <c r="BA1695" s="125"/>
    </row>
    <row r="1696" spans="2:53" s="123" customFormat="1">
      <c r="B1696" s="125"/>
      <c r="D1696" s="125"/>
      <c r="I1696" s="125"/>
      <c r="Z1696" s="124"/>
      <c r="AA1696" s="74"/>
      <c r="AB1696" s="240"/>
      <c r="AD1696" s="124"/>
      <c r="AE1696" s="238"/>
      <c r="AF1696" s="239"/>
      <c r="AG1696" s="239"/>
      <c r="AH1696" s="124"/>
      <c r="AI1696" s="74"/>
      <c r="AJ1696" s="240"/>
      <c r="AL1696" s="124"/>
      <c r="AM1696" s="74"/>
      <c r="AP1696" s="125"/>
      <c r="AQ1696" s="241"/>
      <c r="AR1696" s="125"/>
      <c r="AS1696" s="125"/>
      <c r="AT1696" s="238"/>
      <c r="AU1696" s="125"/>
      <c r="AV1696" s="125"/>
      <c r="AW1696" s="125"/>
      <c r="AX1696" s="238"/>
      <c r="AY1696" s="125"/>
      <c r="AZ1696" s="125"/>
      <c r="BA1696" s="125"/>
    </row>
    <row r="1697" spans="2:53" s="123" customFormat="1">
      <c r="B1697" s="125"/>
      <c r="D1697" s="125"/>
      <c r="I1697" s="125"/>
      <c r="Z1697" s="124"/>
      <c r="AA1697" s="74"/>
      <c r="AB1697" s="240"/>
      <c r="AD1697" s="124"/>
      <c r="AE1697" s="238"/>
      <c r="AF1697" s="239"/>
      <c r="AG1697" s="239"/>
      <c r="AH1697" s="124"/>
      <c r="AI1697" s="74"/>
      <c r="AJ1697" s="240"/>
      <c r="AL1697" s="124"/>
      <c r="AM1697" s="74"/>
      <c r="AP1697" s="125"/>
      <c r="AQ1697" s="241"/>
      <c r="AR1697" s="125"/>
      <c r="AS1697" s="125"/>
      <c r="AT1697" s="238"/>
      <c r="AU1697" s="125"/>
      <c r="AV1697" s="125"/>
      <c r="AW1697" s="125"/>
      <c r="AX1697" s="238"/>
      <c r="AY1697" s="125"/>
      <c r="AZ1697" s="125"/>
      <c r="BA1697" s="125"/>
    </row>
    <row r="1698" spans="2:53" s="123" customFormat="1">
      <c r="B1698" s="125"/>
      <c r="D1698" s="125"/>
      <c r="I1698" s="125"/>
      <c r="Z1698" s="124"/>
      <c r="AA1698" s="74"/>
      <c r="AB1698" s="240"/>
      <c r="AD1698" s="124"/>
      <c r="AE1698" s="238"/>
      <c r="AF1698" s="239"/>
      <c r="AG1698" s="239"/>
      <c r="AH1698" s="124"/>
      <c r="AI1698" s="74"/>
      <c r="AJ1698" s="240"/>
      <c r="AL1698" s="124"/>
      <c r="AM1698" s="74"/>
      <c r="AP1698" s="125"/>
      <c r="AQ1698" s="241"/>
      <c r="AR1698" s="125"/>
      <c r="AS1698" s="125"/>
      <c r="AT1698" s="238"/>
      <c r="AU1698" s="125"/>
      <c r="AV1698" s="125"/>
      <c r="AW1698" s="125"/>
      <c r="AX1698" s="238"/>
      <c r="AY1698" s="125"/>
      <c r="AZ1698" s="125"/>
      <c r="BA1698" s="125"/>
    </row>
    <row r="1699" spans="2:53" s="123" customFormat="1">
      <c r="B1699" s="125"/>
      <c r="D1699" s="125"/>
      <c r="I1699" s="125"/>
      <c r="Z1699" s="124"/>
      <c r="AA1699" s="74"/>
      <c r="AB1699" s="240"/>
      <c r="AD1699" s="124"/>
      <c r="AE1699" s="238"/>
      <c r="AF1699" s="239"/>
      <c r="AG1699" s="239"/>
      <c r="AH1699" s="124"/>
      <c r="AI1699" s="74"/>
      <c r="AJ1699" s="240"/>
      <c r="AL1699" s="124"/>
      <c r="AM1699" s="74"/>
      <c r="AP1699" s="125"/>
      <c r="AQ1699" s="241"/>
      <c r="AR1699" s="125"/>
      <c r="AS1699" s="125"/>
      <c r="AT1699" s="238"/>
      <c r="AU1699" s="125"/>
      <c r="AV1699" s="125"/>
      <c r="AW1699" s="125"/>
      <c r="AX1699" s="238"/>
      <c r="AY1699" s="125"/>
      <c r="AZ1699" s="125"/>
      <c r="BA1699" s="125"/>
    </row>
    <row r="1700" spans="2:53" s="123" customFormat="1">
      <c r="B1700" s="125"/>
      <c r="D1700" s="125"/>
      <c r="I1700" s="125"/>
      <c r="Z1700" s="124"/>
      <c r="AA1700" s="74"/>
      <c r="AB1700" s="240"/>
      <c r="AD1700" s="124"/>
      <c r="AE1700" s="238"/>
      <c r="AF1700" s="239"/>
      <c r="AG1700" s="239"/>
      <c r="AH1700" s="124"/>
      <c r="AI1700" s="74"/>
      <c r="AJ1700" s="240"/>
      <c r="AL1700" s="124"/>
      <c r="AM1700" s="74"/>
      <c r="AP1700" s="125"/>
      <c r="AQ1700" s="241"/>
      <c r="AR1700" s="125"/>
      <c r="AS1700" s="125"/>
      <c r="AT1700" s="238"/>
      <c r="AU1700" s="125"/>
      <c r="AV1700" s="125"/>
      <c r="AW1700" s="125"/>
      <c r="AX1700" s="238"/>
      <c r="AY1700" s="125"/>
      <c r="AZ1700" s="125"/>
      <c r="BA1700" s="125"/>
    </row>
    <row r="1701" spans="2:53" s="123" customFormat="1">
      <c r="B1701" s="125"/>
      <c r="D1701" s="125"/>
      <c r="I1701" s="125"/>
      <c r="Z1701" s="124"/>
      <c r="AA1701" s="74"/>
      <c r="AB1701" s="240"/>
      <c r="AD1701" s="124"/>
      <c r="AE1701" s="238"/>
      <c r="AF1701" s="239"/>
      <c r="AG1701" s="239"/>
      <c r="AH1701" s="124"/>
      <c r="AI1701" s="74"/>
      <c r="AJ1701" s="240"/>
      <c r="AL1701" s="124"/>
      <c r="AM1701" s="74"/>
      <c r="AP1701" s="125"/>
      <c r="AQ1701" s="241"/>
      <c r="AR1701" s="125"/>
      <c r="AS1701" s="125"/>
      <c r="AT1701" s="238"/>
      <c r="AU1701" s="125"/>
      <c r="AV1701" s="125"/>
      <c r="AW1701" s="125"/>
      <c r="AX1701" s="238"/>
      <c r="AY1701" s="125"/>
      <c r="AZ1701" s="125"/>
      <c r="BA1701" s="125"/>
    </row>
    <row r="1702" spans="2:53" s="123" customFormat="1">
      <c r="B1702" s="125"/>
      <c r="D1702" s="125"/>
      <c r="I1702" s="125"/>
      <c r="Z1702" s="124"/>
      <c r="AA1702" s="74"/>
      <c r="AB1702" s="240"/>
      <c r="AD1702" s="124"/>
      <c r="AE1702" s="238"/>
      <c r="AF1702" s="239"/>
      <c r="AG1702" s="239"/>
      <c r="AH1702" s="124"/>
      <c r="AI1702" s="74"/>
      <c r="AJ1702" s="240"/>
      <c r="AL1702" s="124"/>
      <c r="AM1702" s="74"/>
      <c r="AP1702" s="125"/>
      <c r="AQ1702" s="241"/>
      <c r="AR1702" s="125"/>
      <c r="AS1702" s="125"/>
      <c r="AT1702" s="238"/>
      <c r="AU1702" s="125"/>
      <c r="AV1702" s="125"/>
      <c r="AW1702" s="125"/>
      <c r="AX1702" s="238"/>
      <c r="AY1702" s="125"/>
      <c r="AZ1702" s="125"/>
      <c r="BA1702" s="125"/>
    </row>
    <row r="1703" spans="2:53" s="123" customFormat="1">
      <c r="B1703" s="125"/>
      <c r="D1703" s="125"/>
      <c r="I1703" s="125"/>
      <c r="Z1703" s="124"/>
      <c r="AA1703" s="74"/>
      <c r="AB1703" s="240"/>
      <c r="AD1703" s="124"/>
      <c r="AE1703" s="238"/>
      <c r="AF1703" s="239"/>
      <c r="AG1703" s="239"/>
      <c r="AH1703" s="124"/>
      <c r="AI1703" s="74"/>
      <c r="AJ1703" s="240"/>
      <c r="AL1703" s="124"/>
      <c r="AM1703" s="74"/>
      <c r="AP1703" s="125"/>
      <c r="AQ1703" s="241"/>
      <c r="AR1703" s="125"/>
      <c r="AS1703" s="125"/>
      <c r="AT1703" s="238"/>
      <c r="AU1703" s="125"/>
      <c r="AV1703" s="125"/>
      <c r="AW1703" s="125"/>
      <c r="AX1703" s="238"/>
      <c r="AY1703" s="125"/>
      <c r="AZ1703" s="125"/>
      <c r="BA1703" s="125"/>
    </row>
    <row r="1704" spans="2:53" s="123" customFormat="1">
      <c r="B1704" s="125"/>
      <c r="D1704" s="125"/>
      <c r="I1704" s="125"/>
      <c r="Z1704" s="124"/>
      <c r="AA1704" s="74"/>
      <c r="AB1704" s="240"/>
      <c r="AD1704" s="124"/>
      <c r="AE1704" s="238"/>
      <c r="AF1704" s="239"/>
      <c r="AG1704" s="239"/>
      <c r="AH1704" s="124"/>
      <c r="AI1704" s="74"/>
      <c r="AJ1704" s="240"/>
      <c r="AL1704" s="124"/>
      <c r="AM1704" s="74"/>
      <c r="AP1704" s="125"/>
      <c r="AQ1704" s="241"/>
      <c r="AR1704" s="125"/>
      <c r="AS1704" s="125"/>
      <c r="AT1704" s="238"/>
      <c r="AU1704" s="125"/>
      <c r="AV1704" s="125"/>
      <c r="AW1704" s="125"/>
      <c r="AX1704" s="238"/>
      <c r="AY1704" s="125"/>
      <c r="AZ1704" s="125"/>
      <c r="BA1704" s="125"/>
    </row>
    <row r="1705" spans="2:53" s="123" customFormat="1">
      <c r="B1705" s="125"/>
      <c r="D1705" s="125"/>
      <c r="I1705" s="125"/>
      <c r="Z1705" s="124"/>
      <c r="AA1705" s="74"/>
      <c r="AB1705" s="240"/>
      <c r="AD1705" s="124"/>
      <c r="AE1705" s="238"/>
      <c r="AF1705" s="239"/>
      <c r="AG1705" s="239"/>
      <c r="AH1705" s="124"/>
      <c r="AI1705" s="74"/>
      <c r="AJ1705" s="240"/>
      <c r="AL1705" s="124"/>
      <c r="AM1705" s="74"/>
      <c r="AP1705" s="125"/>
      <c r="AQ1705" s="241"/>
      <c r="AR1705" s="125"/>
      <c r="AS1705" s="125"/>
      <c r="AT1705" s="238"/>
      <c r="AU1705" s="125"/>
      <c r="AV1705" s="125"/>
      <c r="AW1705" s="125"/>
      <c r="AX1705" s="238"/>
      <c r="AY1705" s="125"/>
      <c r="AZ1705" s="125"/>
      <c r="BA1705" s="125"/>
    </row>
    <row r="1706" spans="2:53" s="123" customFormat="1">
      <c r="B1706" s="125"/>
      <c r="D1706" s="125"/>
      <c r="I1706" s="125"/>
      <c r="Z1706" s="124"/>
      <c r="AA1706" s="74"/>
      <c r="AB1706" s="240"/>
      <c r="AD1706" s="124"/>
      <c r="AE1706" s="238"/>
      <c r="AF1706" s="239"/>
      <c r="AG1706" s="239"/>
      <c r="AH1706" s="124"/>
      <c r="AI1706" s="74"/>
      <c r="AJ1706" s="240"/>
      <c r="AL1706" s="124"/>
      <c r="AM1706" s="74"/>
      <c r="AP1706" s="125"/>
      <c r="AQ1706" s="241"/>
      <c r="AR1706" s="125"/>
      <c r="AS1706" s="125"/>
      <c r="AT1706" s="238"/>
      <c r="AU1706" s="125"/>
      <c r="AV1706" s="125"/>
      <c r="AW1706" s="125"/>
      <c r="AX1706" s="238"/>
      <c r="AY1706" s="125"/>
      <c r="AZ1706" s="125"/>
      <c r="BA1706" s="125"/>
    </row>
    <row r="1707" spans="2:53" s="123" customFormat="1">
      <c r="B1707" s="125"/>
      <c r="D1707" s="125"/>
      <c r="I1707" s="125"/>
      <c r="Z1707" s="124"/>
      <c r="AA1707" s="74"/>
      <c r="AB1707" s="240"/>
      <c r="AD1707" s="124"/>
      <c r="AE1707" s="238"/>
      <c r="AF1707" s="239"/>
      <c r="AG1707" s="239"/>
      <c r="AH1707" s="124"/>
      <c r="AI1707" s="74"/>
      <c r="AJ1707" s="240"/>
      <c r="AL1707" s="124"/>
      <c r="AM1707" s="74"/>
      <c r="AP1707" s="125"/>
      <c r="AQ1707" s="241"/>
      <c r="AR1707" s="125"/>
      <c r="AS1707" s="125"/>
      <c r="AT1707" s="238"/>
      <c r="AU1707" s="125"/>
      <c r="AV1707" s="125"/>
      <c r="AW1707" s="125"/>
      <c r="AX1707" s="238"/>
      <c r="AY1707" s="125"/>
      <c r="AZ1707" s="125"/>
      <c r="BA1707" s="125"/>
    </row>
    <row r="1708" spans="2:53" s="123" customFormat="1">
      <c r="B1708" s="125"/>
      <c r="D1708" s="125"/>
      <c r="I1708" s="125"/>
      <c r="Z1708" s="124"/>
      <c r="AA1708" s="74"/>
      <c r="AB1708" s="240"/>
      <c r="AD1708" s="124"/>
      <c r="AE1708" s="238"/>
      <c r="AF1708" s="239"/>
      <c r="AG1708" s="239"/>
      <c r="AH1708" s="124"/>
      <c r="AI1708" s="74"/>
      <c r="AJ1708" s="240"/>
      <c r="AL1708" s="124"/>
      <c r="AM1708" s="74"/>
      <c r="AP1708" s="125"/>
      <c r="AQ1708" s="241"/>
      <c r="AR1708" s="125"/>
      <c r="AS1708" s="125"/>
      <c r="AT1708" s="238"/>
      <c r="AU1708" s="125"/>
      <c r="AV1708" s="125"/>
      <c r="AW1708" s="125"/>
      <c r="AX1708" s="238"/>
      <c r="AY1708" s="125"/>
      <c r="AZ1708" s="125"/>
      <c r="BA1708" s="125"/>
    </row>
    <row r="1709" spans="2:53" s="123" customFormat="1">
      <c r="B1709" s="125"/>
      <c r="D1709" s="125"/>
      <c r="I1709" s="125"/>
      <c r="Z1709" s="124"/>
      <c r="AA1709" s="74"/>
      <c r="AB1709" s="240"/>
      <c r="AD1709" s="124"/>
      <c r="AE1709" s="238"/>
      <c r="AF1709" s="239"/>
      <c r="AG1709" s="239"/>
      <c r="AH1709" s="124"/>
      <c r="AI1709" s="74"/>
      <c r="AJ1709" s="240"/>
      <c r="AL1709" s="124"/>
      <c r="AM1709" s="74"/>
      <c r="AP1709" s="125"/>
      <c r="AQ1709" s="241"/>
      <c r="AR1709" s="125"/>
      <c r="AS1709" s="125"/>
      <c r="AT1709" s="238"/>
      <c r="AU1709" s="125"/>
      <c r="AV1709" s="125"/>
      <c r="AW1709" s="125"/>
      <c r="AX1709" s="238"/>
      <c r="AY1709" s="125"/>
      <c r="AZ1709" s="125"/>
      <c r="BA1709" s="125"/>
    </row>
    <row r="1710" spans="2:53" s="123" customFormat="1">
      <c r="B1710" s="125"/>
      <c r="D1710" s="125"/>
      <c r="I1710" s="125"/>
      <c r="Z1710" s="124"/>
      <c r="AA1710" s="74"/>
      <c r="AB1710" s="240"/>
      <c r="AD1710" s="124"/>
      <c r="AE1710" s="238"/>
      <c r="AF1710" s="239"/>
      <c r="AG1710" s="239"/>
      <c r="AH1710" s="124"/>
      <c r="AI1710" s="74"/>
      <c r="AJ1710" s="240"/>
      <c r="AL1710" s="124"/>
      <c r="AM1710" s="74"/>
      <c r="AP1710" s="125"/>
      <c r="AQ1710" s="241"/>
      <c r="AR1710" s="125"/>
      <c r="AS1710" s="125"/>
      <c r="AT1710" s="238"/>
      <c r="AU1710" s="125"/>
      <c r="AV1710" s="125"/>
      <c r="AW1710" s="125"/>
      <c r="AX1710" s="238"/>
      <c r="AY1710" s="125"/>
      <c r="AZ1710" s="125"/>
      <c r="BA1710" s="125"/>
    </row>
    <row r="1711" spans="2:53" s="123" customFormat="1">
      <c r="B1711" s="125"/>
      <c r="D1711" s="125"/>
      <c r="I1711" s="125"/>
      <c r="Z1711" s="124"/>
      <c r="AA1711" s="74"/>
      <c r="AB1711" s="240"/>
      <c r="AD1711" s="124"/>
      <c r="AE1711" s="238"/>
      <c r="AF1711" s="239"/>
      <c r="AG1711" s="239"/>
      <c r="AH1711" s="124"/>
      <c r="AI1711" s="74"/>
      <c r="AJ1711" s="240"/>
      <c r="AL1711" s="124"/>
      <c r="AM1711" s="74"/>
      <c r="AP1711" s="125"/>
      <c r="AQ1711" s="241"/>
      <c r="AR1711" s="125"/>
      <c r="AS1711" s="125"/>
      <c r="AT1711" s="238"/>
      <c r="AU1711" s="125"/>
      <c r="AV1711" s="125"/>
      <c r="AW1711" s="125"/>
      <c r="AX1711" s="238"/>
      <c r="AY1711" s="125"/>
      <c r="AZ1711" s="125"/>
      <c r="BA1711" s="125"/>
    </row>
    <row r="1712" spans="2:53" s="123" customFormat="1">
      <c r="B1712" s="125"/>
      <c r="D1712" s="125"/>
      <c r="I1712" s="125"/>
      <c r="Z1712" s="124"/>
      <c r="AA1712" s="74"/>
      <c r="AB1712" s="240"/>
      <c r="AD1712" s="124"/>
      <c r="AE1712" s="238"/>
      <c r="AF1712" s="239"/>
      <c r="AG1712" s="239"/>
      <c r="AH1712" s="124"/>
      <c r="AI1712" s="74"/>
      <c r="AJ1712" s="240"/>
      <c r="AL1712" s="124"/>
      <c r="AM1712" s="74"/>
      <c r="AP1712" s="125"/>
      <c r="AQ1712" s="241"/>
      <c r="AR1712" s="125"/>
      <c r="AS1712" s="125"/>
      <c r="AT1712" s="238"/>
      <c r="AU1712" s="125"/>
      <c r="AV1712" s="125"/>
      <c r="AW1712" s="125"/>
      <c r="AX1712" s="238"/>
      <c r="AY1712" s="125"/>
      <c r="AZ1712" s="125"/>
      <c r="BA1712" s="125"/>
    </row>
    <row r="1713" spans="2:53" s="123" customFormat="1">
      <c r="B1713" s="125"/>
      <c r="D1713" s="125"/>
      <c r="I1713" s="125"/>
      <c r="Z1713" s="124"/>
      <c r="AA1713" s="74"/>
      <c r="AB1713" s="240"/>
      <c r="AD1713" s="124"/>
      <c r="AE1713" s="238"/>
      <c r="AF1713" s="239"/>
      <c r="AG1713" s="239"/>
      <c r="AH1713" s="124"/>
      <c r="AI1713" s="74"/>
      <c r="AJ1713" s="240"/>
      <c r="AL1713" s="124"/>
      <c r="AM1713" s="74"/>
      <c r="AP1713" s="125"/>
      <c r="AQ1713" s="241"/>
      <c r="AR1713" s="125"/>
      <c r="AS1713" s="125"/>
      <c r="AT1713" s="238"/>
      <c r="AU1713" s="125"/>
      <c r="AV1713" s="125"/>
      <c r="AW1713" s="125"/>
      <c r="AX1713" s="238"/>
      <c r="AY1713" s="125"/>
      <c r="AZ1713" s="125"/>
      <c r="BA1713" s="125"/>
    </row>
    <row r="1714" spans="2:53" s="123" customFormat="1">
      <c r="B1714" s="125"/>
      <c r="D1714" s="125"/>
      <c r="I1714" s="125"/>
      <c r="Z1714" s="124"/>
      <c r="AA1714" s="74"/>
      <c r="AB1714" s="240"/>
      <c r="AD1714" s="124"/>
      <c r="AE1714" s="238"/>
      <c r="AF1714" s="239"/>
      <c r="AG1714" s="239"/>
      <c r="AH1714" s="124"/>
      <c r="AI1714" s="74"/>
      <c r="AJ1714" s="240"/>
      <c r="AL1714" s="124"/>
      <c r="AM1714" s="74"/>
      <c r="AP1714" s="125"/>
      <c r="AQ1714" s="241"/>
      <c r="AR1714" s="125"/>
      <c r="AS1714" s="125"/>
      <c r="AT1714" s="238"/>
      <c r="AU1714" s="125"/>
      <c r="AV1714" s="125"/>
      <c r="AW1714" s="125"/>
      <c r="AX1714" s="238"/>
      <c r="AY1714" s="125"/>
      <c r="AZ1714" s="125"/>
      <c r="BA1714" s="125"/>
    </row>
    <row r="1715" spans="2:53" s="123" customFormat="1">
      <c r="B1715" s="125"/>
      <c r="D1715" s="125"/>
      <c r="I1715" s="125"/>
      <c r="Z1715" s="124"/>
      <c r="AA1715" s="74"/>
      <c r="AB1715" s="240"/>
      <c r="AD1715" s="124"/>
      <c r="AE1715" s="238"/>
      <c r="AF1715" s="239"/>
      <c r="AG1715" s="239"/>
      <c r="AH1715" s="124"/>
      <c r="AI1715" s="74"/>
      <c r="AJ1715" s="240"/>
      <c r="AL1715" s="124"/>
      <c r="AM1715" s="74"/>
      <c r="AP1715" s="125"/>
      <c r="AQ1715" s="241"/>
      <c r="AR1715" s="125"/>
      <c r="AS1715" s="125"/>
      <c r="AT1715" s="238"/>
      <c r="AU1715" s="125"/>
      <c r="AV1715" s="125"/>
      <c r="AW1715" s="125"/>
      <c r="AX1715" s="238"/>
      <c r="AY1715" s="125"/>
      <c r="AZ1715" s="125"/>
      <c r="BA1715" s="125"/>
    </row>
    <row r="1716" spans="2:53" s="123" customFormat="1">
      <c r="B1716" s="125"/>
      <c r="D1716" s="125"/>
      <c r="I1716" s="125"/>
      <c r="Z1716" s="124"/>
      <c r="AA1716" s="74"/>
      <c r="AB1716" s="240"/>
      <c r="AD1716" s="124"/>
      <c r="AE1716" s="238"/>
      <c r="AF1716" s="239"/>
      <c r="AG1716" s="239"/>
      <c r="AH1716" s="124"/>
      <c r="AI1716" s="74"/>
      <c r="AJ1716" s="240"/>
      <c r="AL1716" s="124"/>
      <c r="AM1716" s="74"/>
      <c r="AP1716" s="125"/>
      <c r="AQ1716" s="241"/>
      <c r="AR1716" s="125"/>
      <c r="AS1716" s="125"/>
      <c r="AT1716" s="238"/>
      <c r="AU1716" s="125"/>
      <c r="AV1716" s="125"/>
      <c r="AW1716" s="125"/>
      <c r="AX1716" s="238"/>
      <c r="AY1716" s="125"/>
      <c r="AZ1716" s="125"/>
      <c r="BA1716" s="125"/>
    </row>
    <row r="1717" spans="2:53" s="123" customFormat="1">
      <c r="B1717" s="125"/>
      <c r="D1717" s="125"/>
      <c r="I1717" s="125"/>
      <c r="Z1717" s="124"/>
      <c r="AA1717" s="74"/>
      <c r="AB1717" s="240"/>
      <c r="AD1717" s="124"/>
      <c r="AE1717" s="238"/>
      <c r="AF1717" s="239"/>
      <c r="AG1717" s="239"/>
      <c r="AH1717" s="124"/>
      <c r="AI1717" s="74"/>
      <c r="AJ1717" s="240"/>
      <c r="AL1717" s="124"/>
      <c r="AM1717" s="74"/>
      <c r="AP1717" s="125"/>
      <c r="AQ1717" s="241"/>
      <c r="AR1717" s="125"/>
      <c r="AS1717" s="125"/>
      <c r="AT1717" s="238"/>
      <c r="AU1717" s="125"/>
      <c r="AV1717" s="125"/>
      <c r="AW1717" s="125"/>
      <c r="AX1717" s="238"/>
      <c r="AY1717" s="125"/>
      <c r="AZ1717" s="125"/>
      <c r="BA1717" s="125"/>
    </row>
    <row r="1718" spans="2:53" s="123" customFormat="1">
      <c r="B1718" s="125"/>
      <c r="D1718" s="125"/>
      <c r="I1718" s="125"/>
      <c r="Z1718" s="124"/>
      <c r="AA1718" s="74"/>
      <c r="AB1718" s="240"/>
      <c r="AD1718" s="124"/>
      <c r="AE1718" s="238"/>
      <c r="AF1718" s="239"/>
      <c r="AG1718" s="239"/>
      <c r="AH1718" s="124"/>
      <c r="AI1718" s="74"/>
      <c r="AJ1718" s="240"/>
      <c r="AL1718" s="124"/>
      <c r="AM1718" s="74"/>
      <c r="AP1718" s="125"/>
      <c r="AQ1718" s="241"/>
      <c r="AR1718" s="125"/>
      <c r="AS1718" s="125"/>
      <c r="AT1718" s="238"/>
      <c r="AU1718" s="125"/>
      <c r="AV1718" s="125"/>
      <c r="AW1718" s="125"/>
      <c r="AX1718" s="238"/>
      <c r="AY1718" s="125"/>
      <c r="AZ1718" s="125"/>
      <c r="BA1718" s="125"/>
    </row>
    <row r="1719" spans="2:53" s="123" customFormat="1">
      <c r="B1719" s="125"/>
      <c r="D1719" s="125"/>
      <c r="I1719" s="125"/>
      <c r="Z1719" s="124"/>
      <c r="AA1719" s="74"/>
      <c r="AB1719" s="240"/>
      <c r="AD1719" s="124"/>
      <c r="AE1719" s="238"/>
      <c r="AF1719" s="239"/>
      <c r="AG1719" s="239"/>
      <c r="AH1719" s="124"/>
      <c r="AI1719" s="74"/>
      <c r="AJ1719" s="240"/>
      <c r="AL1719" s="124"/>
      <c r="AM1719" s="74"/>
      <c r="AP1719" s="125"/>
      <c r="AQ1719" s="241"/>
      <c r="AR1719" s="125"/>
      <c r="AS1719" s="125"/>
      <c r="AT1719" s="238"/>
      <c r="AU1719" s="125"/>
      <c r="AV1719" s="125"/>
      <c r="AW1719" s="125"/>
      <c r="AX1719" s="238"/>
      <c r="AY1719" s="125"/>
      <c r="AZ1719" s="125"/>
      <c r="BA1719" s="125"/>
    </row>
    <row r="1720" spans="2:53" s="123" customFormat="1">
      <c r="B1720" s="125"/>
      <c r="D1720" s="125"/>
      <c r="I1720" s="125"/>
      <c r="Z1720" s="124"/>
      <c r="AA1720" s="74"/>
      <c r="AB1720" s="240"/>
      <c r="AD1720" s="124"/>
      <c r="AE1720" s="238"/>
      <c r="AF1720" s="239"/>
      <c r="AG1720" s="239"/>
      <c r="AH1720" s="124"/>
      <c r="AI1720" s="74"/>
      <c r="AJ1720" s="240"/>
      <c r="AL1720" s="124"/>
      <c r="AM1720" s="74"/>
      <c r="AP1720" s="125"/>
      <c r="AQ1720" s="241"/>
      <c r="AR1720" s="125"/>
      <c r="AS1720" s="125"/>
      <c r="AT1720" s="238"/>
      <c r="AU1720" s="125"/>
      <c r="AV1720" s="125"/>
      <c r="AW1720" s="125"/>
      <c r="AX1720" s="238"/>
      <c r="AY1720" s="125"/>
      <c r="AZ1720" s="125"/>
      <c r="BA1720" s="125"/>
    </row>
    <row r="1721" spans="2:53" s="123" customFormat="1">
      <c r="B1721" s="125"/>
      <c r="D1721" s="125"/>
      <c r="I1721" s="125"/>
      <c r="Z1721" s="124"/>
      <c r="AA1721" s="74"/>
      <c r="AB1721" s="240"/>
      <c r="AD1721" s="124"/>
      <c r="AE1721" s="238"/>
      <c r="AF1721" s="239"/>
      <c r="AG1721" s="239"/>
      <c r="AH1721" s="124"/>
      <c r="AI1721" s="74"/>
      <c r="AJ1721" s="240"/>
      <c r="AL1721" s="124"/>
      <c r="AM1721" s="74"/>
      <c r="AP1721" s="125"/>
      <c r="AQ1721" s="241"/>
      <c r="AR1721" s="125"/>
      <c r="AS1721" s="125"/>
      <c r="AT1721" s="238"/>
      <c r="AU1721" s="125"/>
      <c r="AV1721" s="125"/>
      <c r="AW1721" s="125"/>
      <c r="AX1721" s="238"/>
      <c r="AY1721" s="125"/>
      <c r="AZ1721" s="125"/>
      <c r="BA1721" s="125"/>
    </row>
    <row r="1722" spans="2:53" s="123" customFormat="1">
      <c r="B1722" s="125"/>
      <c r="D1722" s="125"/>
      <c r="I1722" s="125"/>
      <c r="Z1722" s="124"/>
      <c r="AA1722" s="74"/>
      <c r="AB1722" s="240"/>
      <c r="AD1722" s="124"/>
      <c r="AE1722" s="238"/>
      <c r="AF1722" s="239"/>
      <c r="AG1722" s="239"/>
      <c r="AH1722" s="124"/>
      <c r="AI1722" s="74"/>
      <c r="AJ1722" s="240"/>
      <c r="AL1722" s="124"/>
      <c r="AM1722" s="74"/>
      <c r="AP1722" s="125"/>
      <c r="AQ1722" s="241"/>
      <c r="AR1722" s="125"/>
      <c r="AS1722" s="125"/>
      <c r="AT1722" s="238"/>
      <c r="AU1722" s="125"/>
      <c r="AV1722" s="125"/>
      <c r="AW1722" s="125"/>
      <c r="AX1722" s="238"/>
      <c r="AY1722" s="125"/>
      <c r="AZ1722" s="125"/>
      <c r="BA1722" s="125"/>
    </row>
    <row r="1723" spans="2:53" s="123" customFormat="1">
      <c r="B1723" s="125"/>
      <c r="D1723" s="125"/>
      <c r="I1723" s="125"/>
      <c r="Z1723" s="124"/>
      <c r="AA1723" s="74"/>
      <c r="AB1723" s="240"/>
      <c r="AD1723" s="124"/>
      <c r="AE1723" s="238"/>
      <c r="AF1723" s="239"/>
      <c r="AG1723" s="239"/>
      <c r="AH1723" s="124"/>
      <c r="AI1723" s="74"/>
      <c r="AJ1723" s="240"/>
      <c r="AL1723" s="124"/>
      <c r="AM1723" s="74"/>
      <c r="AP1723" s="125"/>
      <c r="AQ1723" s="241"/>
      <c r="AR1723" s="125"/>
      <c r="AS1723" s="125"/>
      <c r="AT1723" s="238"/>
      <c r="AU1723" s="125"/>
      <c r="AV1723" s="125"/>
      <c r="AW1723" s="125"/>
      <c r="AX1723" s="238"/>
      <c r="AY1723" s="125"/>
      <c r="AZ1723" s="125"/>
      <c r="BA1723" s="125"/>
    </row>
    <row r="1724" spans="2:53" s="123" customFormat="1">
      <c r="B1724" s="125"/>
      <c r="D1724" s="125"/>
      <c r="I1724" s="125"/>
      <c r="Z1724" s="124"/>
      <c r="AA1724" s="74"/>
      <c r="AB1724" s="240"/>
      <c r="AD1724" s="124"/>
      <c r="AE1724" s="238"/>
      <c r="AF1724" s="239"/>
      <c r="AG1724" s="239"/>
      <c r="AH1724" s="124"/>
      <c r="AI1724" s="74"/>
      <c r="AJ1724" s="240"/>
      <c r="AL1724" s="124"/>
      <c r="AM1724" s="74"/>
      <c r="AP1724" s="125"/>
      <c r="AQ1724" s="241"/>
      <c r="AR1724" s="125"/>
      <c r="AS1724" s="125"/>
      <c r="AT1724" s="238"/>
      <c r="AU1724" s="125"/>
      <c r="AV1724" s="125"/>
      <c r="AW1724" s="125"/>
      <c r="AX1724" s="238"/>
      <c r="AY1724" s="125"/>
      <c r="AZ1724" s="125"/>
      <c r="BA1724" s="125"/>
    </row>
    <row r="1725" spans="2:53" s="123" customFormat="1">
      <c r="B1725" s="125"/>
      <c r="D1725" s="125"/>
      <c r="I1725" s="125"/>
      <c r="Z1725" s="124"/>
      <c r="AA1725" s="74"/>
      <c r="AB1725" s="240"/>
      <c r="AD1725" s="124"/>
      <c r="AE1725" s="238"/>
      <c r="AF1725" s="239"/>
      <c r="AG1725" s="239"/>
      <c r="AH1725" s="124"/>
      <c r="AI1725" s="74"/>
      <c r="AJ1725" s="240"/>
      <c r="AL1725" s="124"/>
      <c r="AM1725" s="74"/>
      <c r="AP1725" s="125"/>
      <c r="AQ1725" s="241"/>
      <c r="AR1725" s="125"/>
      <c r="AS1725" s="125"/>
      <c r="AT1725" s="238"/>
      <c r="AU1725" s="125"/>
      <c r="AV1725" s="125"/>
      <c r="AW1725" s="125"/>
      <c r="AX1725" s="238"/>
      <c r="AY1725" s="125"/>
      <c r="AZ1725" s="125"/>
      <c r="BA1725" s="125"/>
    </row>
    <row r="1726" spans="2:53" s="123" customFormat="1">
      <c r="B1726" s="125"/>
      <c r="D1726" s="125"/>
      <c r="I1726" s="125"/>
      <c r="Z1726" s="124"/>
      <c r="AA1726" s="74"/>
      <c r="AB1726" s="240"/>
      <c r="AD1726" s="124"/>
      <c r="AE1726" s="238"/>
      <c r="AF1726" s="239"/>
      <c r="AG1726" s="239"/>
      <c r="AH1726" s="124"/>
      <c r="AI1726" s="74"/>
      <c r="AJ1726" s="240"/>
      <c r="AL1726" s="124"/>
      <c r="AM1726" s="74"/>
      <c r="AP1726" s="125"/>
      <c r="AQ1726" s="241"/>
      <c r="AR1726" s="125"/>
      <c r="AS1726" s="125"/>
      <c r="AT1726" s="238"/>
      <c r="AU1726" s="125"/>
      <c r="AV1726" s="125"/>
      <c r="AW1726" s="125"/>
      <c r="AX1726" s="238"/>
      <c r="AY1726" s="125"/>
      <c r="AZ1726" s="125"/>
      <c r="BA1726" s="125"/>
    </row>
    <row r="1727" spans="2:53" s="123" customFormat="1">
      <c r="B1727" s="125"/>
      <c r="D1727" s="125"/>
      <c r="I1727" s="125"/>
      <c r="Z1727" s="124"/>
      <c r="AA1727" s="74"/>
      <c r="AB1727" s="240"/>
      <c r="AD1727" s="124"/>
      <c r="AE1727" s="238"/>
      <c r="AF1727" s="239"/>
      <c r="AG1727" s="239"/>
      <c r="AH1727" s="124"/>
      <c r="AI1727" s="74"/>
      <c r="AJ1727" s="240"/>
      <c r="AL1727" s="124"/>
      <c r="AM1727" s="74"/>
      <c r="AP1727" s="125"/>
      <c r="AQ1727" s="241"/>
      <c r="AR1727" s="125"/>
      <c r="AS1727" s="125"/>
      <c r="AT1727" s="238"/>
      <c r="AU1727" s="125"/>
      <c r="AV1727" s="125"/>
      <c r="AW1727" s="125"/>
      <c r="AX1727" s="238"/>
      <c r="AY1727" s="125"/>
      <c r="AZ1727" s="125"/>
      <c r="BA1727" s="125"/>
    </row>
    <row r="1728" spans="2:53" s="123" customFormat="1">
      <c r="B1728" s="125"/>
      <c r="D1728" s="125"/>
      <c r="I1728" s="125"/>
      <c r="Z1728" s="124"/>
      <c r="AA1728" s="74"/>
      <c r="AB1728" s="240"/>
      <c r="AD1728" s="124"/>
      <c r="AE1728" s="238"/>
      <c r="AF1728" s="239"/>
      <c r="AG1728" s="239"/>
      <c r="AH1728" s="124"/>
      <c r="AI1728" s="74"/>
      <c r="AJ1728" s="240"/>
      <c r="AL1728" s="124"/>
      <c r="AM1728" s="74"/>
      <c r="AP1728" s="125"/>
      <c r="AQ1728" s="241"/>
      <c r="AR1728" s="125"/>
      <c r="AS1728" s="125"/>
      <c r="AT1728" s="238"/>
      <c r="AU1728" s="125"/>
      <c r="AV1728" s="125"/>
      <c r="AW1728" s="125"/>
      <c r="AX1728" s="238"/>
      <c r="AY1728" s="125"/>
      <c r="AZ1728" s="125"/>
      <c r="BA1728" s="125"/>
    </row>
    <row r="1729" spans="2:53" s="123" customFormat="1">
      <c r="B1729" s="125"/>
      <c r="D1729" s="125"/>
      <c r="I1729" s="125"/>
      <c r="Z1729" s="124"/>
      <c r="AA1729" s="74"/>
      <c r="AB1729" s="240"/>
      <c r="AD1729" s="124"/>
      <c r="AE1729" s="238"/>
      <c r="AF1729" s="239"/>
      <c r="AG1729" s="239"/>
      <c r="AH1729" s="124"/>
      <c r="AI1729" s="74"/>
      <c r="AJ1729" s="240"/>
      <c r="AL1729" s="124"/>
      <c r="AM1729" s="74"/>
      <c r="AP1729" s="125"/>
      <c r="AQ1729" s="241"/>
      <c r="AR1729" s="125"/>
      <c r="AS1729" s="125"/>
      <c r="AT1729" s="238"/>
      <c r="AU1729" s="125"/>
      <c r="AV1729" s="125"/>
      <c r="AW1729" s="125"/>
      <c r="AX1729" s="238"/>
      <c r="AY1729" s="125"/>
      <c r="AZ1729" s="125"/>
      <c r="BA1729" s="125"/>
    </row>
    <row r="1730" spans="2:53" s="123" customFormat="1">
      <c r="B1730" s="125"/>
      <c r="D1730" s="125"/>
      <c r="I1730" s="125"/>
      <c r="Z1730" s="124"/>
      <c r="AA1730" s="74"/>
      <c r="AB1730" s="240"/>
      <c r="AD1730" s="124"/>
      <c r="AE1730" s="238"/>
      <c r="AF1730" s="239"/>
      <c r="AG1730" s="239"/>
      <c r="AH1730" s="124"/>
      <c r="AI1730" s="74"/>
      <c r="AJ1730" s="240"/>
      <c r="AL1730" s="124"/>
      <c r="AM1730" s="74"/>
      <c r="AP1730" s="125"/>
      <c r="AQ1730" s="241"/>
      <c r="AR1730" s="125"/>
      <c r="AS1730" s="125"/>
      <c r="AT1730" s="238"/>
      <c r="AU1730" s="125"/>
      <c r="AV1730" s="125"/>
      <c r="AW1730" s="125"/>
      <c r="AX1730" s="238"/>
      <c r="AY1730" s="125"/>
      <c r="AZ1730" s="125"/>
      <c r="BA1730" s="125"/>
    </row>
    <row r="1731" spans="2:53" s="123" customFormat="1">
      <c r="B1731" s="125"/>
      <c r="D1731" s="125"/>
      <c r="I1731" s="125"/>
      <c r="Z1731" s="124"/>
      <c r="AA1731" s="74"/>
      <c r="AB1731" s="240"/>
      <c r="AD1731" s="124"/>
      <c r="AE1731" s="238"/>
      <c r="AF1731" s="239"/>
      <c r="AG1731" s="239"/>
      <c r="AH1731" s="124"/>
      <c r="AI1731" s="74"/>
      <c r="AJ1731" s="240"/>
      <c r="AL1731" s="124"/>
      <c r="AM1731" s="74"/>
      <c r="AP1731" s="125"/>
      <c r="AQ1731" s="241"/>
      <c r="AR1731" s="125"/>
      <c r="AS1731" s="125"/>
      <c r="AT1731" s="238"/>
      <c r="AU1731" s="125"/>
      <c r="AV1731" s="125"/>
      <c r="AW1731" s="125"/>
      <c r="AX1731" s="238"/>
      <c r="AY1731" s="125"/>
      <c r="AZ1731" s="125"/>
      <c r="BA1731" s="125"/>
    </row>
    <row r="1732" spans="2:53" s="123" customFormat="1">
      <c r="B1732" s="125"/>
      <c r="D1732" s="125"/>
      <c r="I1732" s="125"/>
      <c r="Z1732" s="124"/>
      <c r="AA1732" s="74"/>
      <c r="AB1732" s="240"/>
      <c r="AD1732" s="124"/>
      <c r="AE1732" s="238"/>
      <c r="AF1732" s="239"/>
      <c r="AG1732" s="239"/>
      <c r="AH1732" s="124"/>
      <c r="AI1732" s="74"/>
      <c r="AJ1732" s="240"/>
      <c r="AL1732" s="124"/>
      <c r="AM1732" s="74"/>
      <c r="AP1732" s="125"/>
      <c r="AQ1732" s="241"/>
      <c r="AR1732" s="125"/>
      <c r="AS1732" s="125"/>
      <c r="AT1732" s="238"/>
      <c r="AU1732" s="125"/>
      <c r="AV1732" s="125"/>
      <c r="AW1732" s="125"/>
      <c r="AX1732" s="238"/>
      <c r="AY1732" s="125"/>
      <c r="AZ1732" s="125"/>
      <c r="BA1732" s="125"/>
    </row>
    <row r="1733" spans="2:53" s="123" customFormat="1">
      <c r="B1733" s="125"/>
      <c r="D1733" s="125"/>
      <c r="I1733" s="125"/>
      <c r="Z1733" s="124"/>
      <c r="AA1733" s="74"/>
      <c r="AB1733" s="240"/>
      <c r="AD1733" s="124"/>
      <c r="AE1733" s="238"/>
      <c r="AF1733" s="239"/>
      <c r="AG1733" s="239"/>
      <c r="AH1733" s="124"/>
      <c r="AI1733" s="74"/>
      <c r="AJ1733" s="240"/>
      <c r="AL1733" s="124"/>
      <c r="AM1733" s="74"/>
      <c r="AP1733" s="125"/>
      <c r="AQ1733" s="241"/>
      <c r="AR1733" s="125"/>
      <c r="AS1733" s="125"/>
      <c r="AT1733" s="238"/>
      <c r="AU1733" s="125"/>
      <c r="AV1733" s="125"/>
      <c r="AW1733" s="125"/>
      <c r="AX1733" s="238"/>
      <c r="AY1733" s="125"/>
      <c r="AZ1733" s="125"/>
      <c r="BA1733" s="125"/>
    </row>
    <row r="1734" spans="2:53" s="123" customFormat="1">
      <c r="B1734" s="125"/>
      <c r="D1734" s="125"/>
      <c r="I1734" s="125"/>
      <c r="Z1734" s="124"/>
      <c r="AA1734" s="74"/>
      <c r="AB1734" s="240"/>
      <c r="AD1734" s="124"/>
      <c r="AE1734" s="238"/>
      <c r="AF1734" s="239"/>
      <c r="AG1734" s="239"/>
      <c r="AH1734" s="124"/>
      <c r="AI1734" s="74"/>
      <c r="AJ1734" s="240"/>
      <c r="AL1734" s="124"/>
      <c r="AM1734" s="74"/>
      <c r="AP1734" s="125"/>
      <c r="AQ1734" s="241"/>
      <c r="AR1734" s="125"/>
      <c r="AS1734" s="125"/>
      <c r="AT1734" s="238"/>
      <c r="AU1734" s="125"/>
      <c r="AV1734" s="125"/>
      <c r="AW1734" s="125"/>
      <c r="AX1734" s="238"/>
      <c r="AY1734" s="125"/>
      <c r="AZ1734" s="125"/>
      <c r="BA1734" s="125"/>
    </row>
    <row r="1735" spans="2:53" s="123" customFormat="1">
      <c r="B1735" s="125"/>
      <c r="D1735" s="125"/>
      <c r="I1735" s="125"/>
      <c r="Z1735" s="124"/>
      <c r="AA1735" s="74"/>
      <c r="AB1735" s="240"/>
      <c r="AD1735" s="124"/>
      <c r="AE1735" s="238"/>
      <c r="AF1735" s="239"/>
      <c r="AG1735" s="239"/>
      <c r="AH1735" s="124"/>
      <c r="AI1735" s="74"/>
      <c r="AJ1735" s="240"/>
      <c r="AL1735" s="124"/>
      <c r="AM1735" s="74"/>
      <c r="AP1735" s="125"/>
      <c r="AQ1735" s="241"/>
      <c r="AR1735" s="125"/>
      <c r="AS1735" s="125"/>
      <c r="AT1735" s="238"/>
      <c r="AU1735" s="125"/>
      <c r="AV1735" s="125"/>
      <c r="AW1735" s="125"/>
      <c r="AX1735" s="238"/>
      <c r="AY1735" s="125"/>
      <c r="AZ1735" s="125"/>
      <c r="BA1735" s="125"/>
    </row>
    <row r="1736" spans="2:53" s="123" customFormat="1">
      <c r="B1736" s="125"/>
      <c r="D1736" s="125"/>
      <c r="I1736" s="125"/>
      <c r="Z1736" s="124"/>
      <c r="AA1736" s="74"/>
      <c r="AB1736" s="240"/>
      <c r="AD1736" s="124"/>
      <c r="AE1736" s="238"/>
      <c r="AF1736" s="239"/>
      <c r="AG1736" s="239"/>
      <c r="AH1736" s="124"/>
      <c r="AI1736" s="74"/>
      <c r="AJ1736" s="240"/>
      <c r="AL1736" s="124"/>
      <c r="AM1736" s="74"/>
      <c r="AP1736" s="125"/>
      <c r="AQ1736" s="241"/>
      <c r="AR1736" s="125"/>
      <c r="AS1736" s="125"/>
      <c r="AT1736" s="238"/>
      <c r="AU1736" s="125"/>
      <c r="AV1736" s="125"/>
      <c r="AW1736" s="125"/>
      <c r="AX1736" s="238"/>
      <c r="AY1736" s="125"/>
      <c r="AZ1736" s="125"/>
      <c r="BA1736" s="125"/>
    </row>
    <row r="1737" spans="2:53" s="123" customFormat="1">
      <c r="B1737" s="125"/>
      <c r="D1737" s="125"/>
      <c r="I1737" s="125"/>
      <c r="Z1737" s="124"/>
      <c r="AA1737" s="74"/>
      <c r="AB1737" s="240"/>
      <c r="AD1737" s="124"/>
      <c r="AE1737" s="238"/>
      <c r="AF1737" s="239"/>
      <c r="AG1737" s="239"/>
      <c r="AH1737" s="124"/>
      <c r="AI1737" s="74"/>
      <c r="AJ1737" s="240"/>
      <c r="AL1737" s="124"/>
      <c r="AM1737" s="74"/>
      <c r="AP1737" s="125"/>
      <c r="AQ1737" s="241"/>
      <c r="AR1737" s="125"/>
      <c r="AS1737" s="125"/>
      <c r="AT1737" s="238"/>
      <c r="AU1737" s="125"/>
      <c r="AV1737" s="125"/>
      <c r="AW1737" s="125"/>
      <c r="AX1737" s="238"/>
      <c r="AY1737" s="125"/>
      <c r="AZ1737" s="125"/>
      <c r="BA1737" s="125"/>
    </row>
    <row r="1738" spans="2:53" s="123" customFormat="1">
      <c r="B1738" s="125"/>
      <c r="D1738" s="125"/>
      <c r="I1738" s="125"/>
      <c r="Z1738" s="124"/>
      <c r="AA1738" s="74"/>
      <c r="AB1738" s="240"/>
      <c r="AD1738" s="124"/>
      <c r="AE1738" s="238"/>
      <c r="AF1738" s="239"/>
      <c r="AG1738" s="239"/>
      <c r="AH1738" s="124"/>
      <c r="AI1738" s="74"/>
      <c r="AJ1738" s="240"/>
      <c r="AL1738" s="124"/>
      <c r="AM1738" s="74"/>
      <c r="AP1738" s="125"/>
      <c r="AQ1738" s="241"/>
      <c r="AR1738" s="125"/>
      <c r="AS1738" s="125"/>
      <c r="AT1738" s="238"/>
      <c r="AU1738" s="125"/>
      <c r="AV1738" s="125"/>
      <c r="AW1738" s="125"/>
      <c r="AX1738" s="238"/>
      <c r="AY1738" s="125"/>
      <c r="AZ1738" s="125"/>
      <c r="BA1738" s="125"/>
    </row>
    <row r="1739" spans="2:53" s="123" customFormat="1">
      <c r="B1739" s="125"/>
      <c r="D1739" s="125"/>
      <c r="I1739" s="125"/>
      <c r="Z1739" s="124"/>
      <c r="AA1739" s="74"/>
      <c r="AB1739" s="240"/>
      <c r="AD1739" s="124"/>
      <c r="AE1739" s="238"/>
      <c r="AF1739" s="239"/>
      <c r="AG1739" s="239"/>
      <c r="AH1739" s="124"/>
      <c r="AI1739" s="74"/>
      <c r="AJ1739" s="240"/>
      <c r="AL1739" s="124"/>
      <c r="AM1739" s="74"/>
      <c r="AP1739" s="125"/>
      <c r="AQ1739" s="241"/>
      <c r="AR1739" s="125"/>
      <c r="AS1739" s="125"/>
      <c r="AT1739" s="238"/>
      <c r="AU1739" s="125"/>
      <c r="AV1739" s="125"/>
      <c r="AW1739" s="125"/>
      <c r="AX1739" s="238"/>
      <c r="AY1739" s="125"/>
      <c r="AZ1739" s="125"/>
      <c r="BA1739" s="125"/>
    </row>
    <row r="1740" spans="2:53" s="123" customFormat="1">
      <c r="B1740" s="125"/>
      <c r="D1740" s="125"/>
      <c r="I1740" s="125"/>
      <c r="Z1740" s="124"/>
      <c r="AA1740" s="74"/>
      <c r="AB1740" s="240"/>
      <c r="AD1740" s="124"/>
      <c r="AE1740" s="238"/>
      <c r="AF1740" s="239"/>
      <c r="AG1740" s="239"/>
      <c r="AH1740" s="124"/>
      <c r="AI1740" s="74"/>
      <c r="AJ1740" s="240"/>
      <c r="AL1740" s="124"/>
      <c r="AM1740" s="74"/>
      <c r="AP1740" s="125"/>
      <c r="AQ1740" s="241"/>
      <c r="AR1740" s="125"/>
      <c r="AS1740" s="125"/>
      <c r="AT1740" s="238"/>
      <c r="AU1740" s="125"/>
      <c r="AV1740" s="125"/>
      <c r="AW1740" s="125"/>
      <c r="AX1740" s="238"/>
      <c r="AY1740" s="125"/>
      <c r="AZ1740" s="125"/>
      <c r="BA1740" s="125"/>
    </row>
    <row r="1741" spans="2:53" s="123" customFormat="1">
      <c r="B1741" s="125"/>
      <c r="D1741" s="125"/>
      <c r="I1741" s="125"/>
      <c r="Z1741" s="124"/>
      <c r="AA1741" s="74"/>
      <c r="AB1741" s="240"/>
      <c r="AD1741" s="124"/>
      <c r="AE1741" s="238"/>
      <c r="AF1741" s="239"/>
      <c r="AG1741" s="239"/>
      <c r="AH1741" s="124"/>
      <c r="AI1741" s="74"/>
      <c r="AJ1741" s="240"/>
      <c r="AL1741" s="124"/>
      <c r="AM1741" s="74"/>
      <c r="AP1741" s="125"/>
      <c r="AQ1741" s="241"/>
      <c r="AR1741" s="125"/>
      <c r="AS1741" s="125"/>
      <c r="AT1741" s="238"/>
      <c r="AU1741" s="125"/>
      <c r="AV1741" s="125"/>
      <c r="AW1741" s="125"/>
      <c r="AX1741" s="238"/>
      <c r="AY1741" s="125"/>
      <c r="AZ1741" s="125"/>
      <c r="BA1741" s="125"/>
    </row>
    <row r="1742" spans="2:53" s="123" customFormat="1">
      <c r="B1742" s="125"/>
      <c r="D1742" s="125"/>
      <c r="I1742" s="125"/>
      <c r="Z1742" s="124"/>
      <c r="AA1742" s="74"/>
      <c r="AB1742" s="240"/>
      <c r="AD1742" s="124"/>
      <c r="AE1742" s="238"/>
      <c r="AF1742" s="239"/>
      <c r="AG1742" s="239"/>
      <c r="AH1742" s="124"/>
      <c r="AI1742" s="74"/>
      <c r="AJ1742" s="240"/>
      <c r="AL1742" s="124"/>
      <c r="AM1742" s="74"/>
      <c r="AP1742" s="125"/>
      <c r="AQ1742" s="241"/>
      <c r="AR1742" s="125"/>
      <c r="AS1742" s="125"/>
      <c r="AT1742" s="238"/>
      <c r="AU1742" s="125"/>
      <c r="AV1742" s="125"/>
      <c r="AW1742" s="125"/>
      <c r="AX1742" s="238"/>
      <c r="AY1742" s="125"/>
      <c r="AZ1742" s="125"/>
      <c r="BA1742" s="125"/>
    </row>
    <row r="1743" spans="2:53" s="123" customFormat="1">
      <c r="B1743" s="125"/>
      <c r="D1743" s="125"/>
      <c r="I1743" s="125"/>
      <c r="Z1743" s="124"/>
      <c r="AA1743" s="74"/>
      <c r="AB1743" s="240"/>
      <c r="AD1743" s="124"/>
      <c r="AE1743" s="238"/>
      <c r="AF1743" s="239"/>
      <c r="AG1743" s="239"/>
      <c r="AH1743" s="124"/>
      <c r="AI1743" s="74"/>
      <c r="AJ1743" s="240"/>
      <c r="AL1743" s="124"/>
      <c r="AM1743" s="74"/>
      <c r="AP1743" s="125"/>
      <c r="AQ1743" s="241"/>
      <c r="AR1743" s="125"/>
      <c r="AS1743" s="125"/>
      <c r="AT1743" s="238"/>
      <c r="AU1743" s="125"/>
      <c r="AV1743" s="125"/>
      <c r="AW1743" s="125"/>
      <c r="AX1743" s="238"/>
      <c r="AY1743" s="125"/>
      <c r="AZ1743" s="125"/>
      <c r="BA1743" s="125"/>
    </row>
    <row r="1744" spans="2:53" s="123" customFormat="1">
      <c r="B1744" s="125"/>
      <c r="D1744" s="125"/>
      <c r="I1744" s="125"/>
      <c r="Z1744" s="124"/>
      <c r="AA1744" s="74"/>
      <c r="AB1744" s="240"/>
      <c r="AD1744" s="124"/>
      <c r="AE1744" s="238"/>
      <c r="AF1744" s="239"/>
      <c r="AG1744" s="239"/>
      <c r="AH1744" s="124"/>
      <c r="AI1744" s="74"/>
      <c r="AJ1744" s="240"/>
      <c r="AL1744" s="124"/>
      <c r="AM1744" s="74"/>
      <c r="AP1744" s="125"/>
      <c r="AQ1744" s="241"/>
      <c r="AR1744" s="125"/>
      <c r="AS1744" s="125"/>
      <c r="AT1744" s="238"/>
      <c r="AU1744" s="125"/>
      <c r="AV1744" s="125"/>
      <c r="AW1744" s="125"/>
      <c r="AX1744" s="238"/>
      <c r="AY1744" s="125"/>
      <c r="AZ1744" s="125"/>
      <c r="BA1744" s="125"/>
    </row>
    <row r="1745" spans="2:53" s="123" customFormat="1">
      <c r="B1745" s="125"/>
      <c r="D1745" s="125"/>
      <c r="I1745" s="125"/>
      <c r="Z1745" s="124"/>
      <c r="AA1745" s="74"/>
      <c r="AB1745" s="240"/>
      <c r="AD1745" s="124"/>
      <c r="AE1745" s="238"/>
      <c r="AF1745" s="239"/>
      <c r="AG1745" s="239"/>
      <c r="AH1745" s="124"/>
      <c r="AI1745" s="74"/>
      <c r="AJ1745" s="240"/>
      <c r="AL1745" s="124"/>
      <c r="AM1745" s="74"/>
      <c r="AP1745" s="125"/>
      <c r="AQ1745" s="241"/>
      <c r="AR1745" s="125"/>
      <c r="AS1745" s="125"/>
      <c r="AT1745" s="238"/>
      <c r="AU1745" s="125"/>
      <c r="AV1745" s="125"/>
      <c r="AW1745" s="125"/>
      <c r="AX1745" s="238"/>
      <c r="AY1745" s="125"/>
      <c r="AZ1745" s="125"/>
      <c r="BA1745" s="125"/>
    </row>
    <row r="1746" spans="2:53" s="123" customFormat="1">
      <c r="B1746" s="125"/>
      <c r="D1746" s="125"/>
      <c r="I1746" s="125"/>
      <c r="Z1746" s="124"/>
      <c r="AA1746" s="74"/>
      <c r="AB1746" s="240"/>
      <c r="AD1746" s="124"/>
      <c r="AE1746" s="238"/>
      <c r="AF1746" s="239"/>
      <c r="AG1746" s="239"/>
      <c r="AH1746" s="124"/>
      <c r="AI1746" s="74"/>
      <c r="AJ1746" s="240"/>
      <c r="AL1746" s="124"/>
      <c r="AM1746" s="74"/>
      <c r="AP1746" s="125"/>
      <c r="AQ1746" s="241"/>
      <c r="AR1746" s="125"/>
      <c r="AS1746" s="125"/>
      <c r="AT1746" s="238"/>
      <c r="AU1746" s="125"/>
      <c r="AV1746" s="125"/>
      <c r="AW1746" s="125"/>
      <c r="AX1746" s="238"/>
      <c r="AY1746" s="125"/>
      <c r="AZ1746" s="125"/>
      <c r="BA1746" s="125"/>
    </row>
    <row r="1747" spans="2:53" s="123" customFormat="1">
      <c r="B1747" s="125"/>
      <c r="D1747" s="125"/>
      <c r="I1747" s="125"/>
      <c r="Z1747" s="124"/>
      <c r="AA1747" s="74"/>
      <c r="AB1747" s="240"/>
      <c r="AD1747" s="124"/>
      <c r="AE1747" s="238"/>
      <c r="AF1747" s="239"/>
      <c r="AG1747" s="239"/>
      <c r="AH1747" s="124"/>
      <c r="AI1747" s="74"/>
      <c r="AJ1747" s="240"/>
      <c r="AL1747" s="124"/>
      <c r="AM1747" s="74"/>
      <c r="AP1747" s="125"/>
      <c r="AQ1747" s="241"/>
      <c r="AR1747" s="125"/>
      <c r="AS1747" s="125"/>
      <c r="AT1747" s="238"/>
      <c r="AU1747" s="125"/>
      <c r="AV1747" s="125"/>
      <c r="AW1747" s="125"/>
      <c r="AX1747" s="238"/>
      <c r="AY1747" s="125"/>
      <c r="AZ1747" s="125"/>
      <c r="BA1747" s="125"/>
    </row>
    <row r="1748" spans="2:53" s="123" customFormat="1">
      <c r="B1748" s="125"/>
      <c r="D1748" s="125"/>
      <c r="I1748" s="125"/>
      <c r="Z1748" s="124"/>
      <c r="AA1748" s="74"/>
      <c r="AB1748" s="240"/>
      <c r="AD1748" s="124"/>
      <c r="AE1748" s="238"/>
      <c r="AF1748" s="239"/>
      <c r="AG1748" s="239"/>
      <c r="AH1748" s="124"/>
      <c r="AI1748" s="74"/>
      <c r="AJ1748" s="240"/>
      <c r="AL1748" s="124"/>
      <c r="AM1748" s="74"/>
      <c r="AP1748" s="125"/>
      <c r="AQ1748" s="241"/>
      <c r="AR1748" s="125"/>
      <c r="AS1748" s="125"/>
      <c r="AT1748" s="238"/>
      <c r="AU1748" s="125"/>
      <c r="AV1748" s="125"/>
      <c r="AW1748" s="125"/>
      <c r="AX1748" s="238"/>
      <c r="AY1748" s="125"/>
      <c r="AZ1748" s="125"/>
      <c r="BA1748" s="125"/>
    </row>
    <row r="1749" spans="2:53" s="123" customFormat="1">
      <c r="B1749" s="125"/>
      <c r="D1749" s="125"/>
      <c r="I1749" s="125"/>
      <c r="Z1749" s="124"/>
      <c r="AA1749" s="74"/>
      <c r="AB1749" s="240"/>
      <c r="AD1749" s="124"/>
      <c r="AE1749" s="238"/>
      <c r="AF1749" s="239"/>
      <c r="AG1749" s="239"/>
      <c r="AH1749" s="124"/>
      <c r="AI1749" s="74"/>
      <c r="AJ1749" s="240"/>
      <c r="AL1749" s="124"/>
      <c r="AM1749" s="74"/>
      <c r="AP1749" s="125"/>
      <c r="AQ1749" s="241"/>
      <c r="AR1749" s="125"/>
      <c r="AS1749" s="125"/>
      <c r="AT1749" s="238"/>
      <c r="AU1749" s="125"/>
      <c r="AV1749" s="125"/>
      <c r="AW1749" s="125"/>
      <c r="AX1749" s="238"/>
      <c r="AY1749" s="125"/>
      <c r="AZ1749" s="125"/>
      <c r="BA1749" s="125"/>
    </row>
    <row r="1750" spans="2:53" s="123" customFormat="1">
      <c r="B1750" s="125"/>
      <c r="D1750" s="125"/>
      <c r="I1750" s="125"/>
      <c r="Z1750" s="124"/>
      <c r="AA1750" s="74"/>
      <c r="AB1750" s="240"/>
      <c r="AD1750" s="124"/>
      <c r="AE1750" s="238"/>
      <c r="AF1750" s="239"/>
      <c r="AG1750" s="239"/>
      <c r="AH1750" s="124"/>
      <c r="AI1750" s="74"/>
      <c r="AJ1750" s="240"/>
      <c r="AL1750" s="124"/>
      <c r="AM1750" s="74"/>
      <c r="AP1750" s="125"/>
      <c r="AQ1750" s="241"/>
      <c r="AR1750" s="125"/>
      <c r="AS1750" s="125"/>
      <c r="AT1750" s="238"/>
      <c r="AU1750" s="125"/>
      <c r="AV1750" s="125"/>
      <c r="AW1750" s="125"/>
      <c r="AX1750" s="238"/>
      <c r="AY1750" s="125"/>
      <c r="AZ1750" s="125"/>
      <c r="BA1750" s="125"/>
    </row>
    <row r="1751" spans="2:53" s="123" customFormat="1">
      <c r="B1751" s="125"/>
      <c r="D1751" s="125"/>
      <c r="I1751" s="125"/>
      <c r="Z1751" s="124"/>
      <c r="AA1751" s="74"/>
      <c r="AB1751" s="240"/>
      <c r="AD1751" s="124"/>
      <c r="AE1751" s="238"/>
      <c r="AF1751" s="239"/>
      <c r="AG1751" s="239"/>
      <c r="AH1751" s="124"/>
      <c r="AI1751" s="74"/>
      <c r="AJ1751" s="240"/>
      <c r="AL1751" s="124"/>
      <c r="AM1751" s="74"/>
      <c r="AP1751" s="125"/>
      <c r="AQ1751" s="241"/>
      <c r="AR1751" s="125"/>
      <c r="AS1751" s="125"/>
      <c r="AT1751" s="238"/>
      <c r="AU1751" s="125"/>
      <c r="AV1751" s="125"/>
      <c r="AW1751" s="125"/>
      <c r="AX1751" s="238"/>
      <c r="AY1751" s="125"/>
      <c r="AZ1751" s="125"/>
      <c r="BA1751" s="125"/>
    </row>
    <row r="1752" spans="2:53" s="123" customFormat="1">
      <c r="B1752" s="125"/>
      <c r="D1752" s="125"/>
      <c r="I1752" s="125"/>
      <c r="Z1752" s="124"/>
      <c r="AA1752" s="74"/>
      <c r="AB1752" s="240"/>
      <c r="AD1752" s="124"/>
      <c r="AE1752" s="238"/>
      <c r="AF1752" s="239"/>
      <c r="AG1752" s="239"/>
      <c r="AH1752" s="124"/>
      <c r="AI1752" s="74"/>
      <c r="AJ1752" s="240"/>
      <c r="AL1752" s="124"/>
      <c r="AM1752" s="74"/>
      <c r="AP1752" s="125"/>
      <c r="AQ1752" s="241"/>
      <c r="AR1752" s="125"/>
      <c r="AS1752" s="125"/>
      <c r="AT1752" s="238"/>
      <c r="AU1752" s="125"/>
      <c r="AV1752" s="125"/>
      <c r="AW1752" s="125"/>
      <c r="AX1752" s="238"/>
      <c r="AY1752" s="125"/>
      <c r="AZ1752" s="125"/>
      <c r="BA1752" s="125"/>
    </row>
    <row r="1753" spans="2:53" s="123" customFormat="1">
      <c r="B1753" s="125"/>
      <c r="D1753" s="125"/>
      <c r="I1753" s="125"/>
      <c r="Z1753" s="124"/>
      <c r="AA1753" s="74"/>
      <c r="AB1753" s="240"/>
      <c r="AD1753" s="124"/>
      <c r="AE1753" s="238"/>
      <c r="AF1753" s="239"/>
      <c r="AG1753" s="239"/>
      <c r="AH1753" s="124"/>
      <c r="AI1753" s="74"/>
      <c r="AJ1753" s="240"/>
      <c r="AL1753" s="124"/>
      <c r="AM1753" s="74"/>
      <c r="AP1753" s="125"/>
      <c r="AQ1753" s="241"/>
      <c r="AR1753" s="125"/>
      <c r="AS1753" s="125"/>
      <c r="AT1753" s="238"/>
      <c r="AU1753" s="125"/>
      <c r="AV1753" s="125"/>
      <c r="AW1753" s="125"/>
      <c r="AX1753" s="238"/>
      <c r="AY1753" s="125"/>
      <c r="AZ1753" s="125"/>
      <c r="BA1753" s="125"/>
    </row>
    <row r="1754" spans="2:53" s="123" customFormat="1">
      <c r="B1754" s="125"/>
      <c r="D1754" s="125"/>
      <c r="I1754" s="125"/>
      <c r="Z1754" s="124"/>
      <c r="AA1754" s="74"/>
      <c r="AB1754" s="240"/>
      <c r="AD1754" s="124"/>
      <c r="AE1754" s="238"/>
      <c r="AF1754" s="239"/>
      <c r="AG1754" s="239"/>
      <c r="AH1754" s="124"/>
      <c r="AI1754" s="74"/>
      <c r="AJ1754" s="240"/>
      <c r="AL1754" s="124"/>
      <c r="AM1754" s="74"/>
      <c r="AP1754" s="125"/>
      <c r="AQ1754" s="241"/>
      <c r="AR1754" s="125"/>
      <c r="AS1754" s="125"/>
      <c r="AT1754" s="238"/>
      <c r="AU1754" s="125"/>
      <c r="AV1754" s="125"/>
      <c r="AW1754" s="125"/>
      <c r="AX1754" s="238"/>
      <c r="AY1754" s="125"/>
      <c r="AZ1754" s="125"/>
      <c r="BA1754" s="125"/>
    </row>
    <row r="1755" spans="2:53" s="123" customFormat="1">
      <c r="B1755" s="125"/>
      <c r="D1755" s="125"/>
      <c r="I1755" s="125"/>
      <c r="Z1755" s="124"/>
      <c r="AA1755" s="74"/>
      <c r="AB1755" s="240"/>
      <c r="AD1755" s="124"/>
      <c r="AE1755" s="238"/>
      <c r="AF1755" s="239"/>
      <c r="AG1755" s="239"/>
      <c r="AH1755" s="124"/>
      <c r="AI1755" s="74"/>
      <c r="AJ1755" s="240"/>
      <c r="AL1755" s="124"/>
      <c r="AM1755" s="74"/>
      <c r="AP1755" s="125"/>
      <c r="AQ1755" s="241"/>
      <c r="AR1755" s="125"/>
      <c r="AS1755" s="125"/>
      <c r="AT1755" s="238"/>
      <c r="AU1755" s="125"/>
      <c r="AV1755" s="125"/>
      <c r="AW1755" s="125"/>
      <c r="AX1755" s="238"/>
      <c r="AY1755" s="125"/>
      <c r="AZ1755" s="125"/>
      <c r="BA1755" s="125"/>
    </row>
    <row r="1756" spans="2:53" s="123" customFormat="1">
      <c r="B1756" s="125"/>
      <c r="D1756" s="125"/>
      <c r="I1756" s="125"/>
      <c r="Z1756" s="124"/>
      <c r="AA1756" s="74"/>
      <c r="AB1756" s="240"/>
      <c r="AD1756" s="124"/>
      <c r="AE1756" s="238"/>
      <c r="AF1756" s="239"/>
      <c r="AG1756" s="239"/>
      <c r="AH1756" s="124"/>
      <c r="AI1756" s="74"/>
      <c r="AJ1756" s="240"/>
      <c r="AL1756" s="124"/>
      <c r="AM1756" s="74"/>
      <c r="AP1756" s="125"/>
      <c r="AQ1756" s="241"/>
      <c r="AR1756" s="125"/>
      <c r="AS1756" s="125"/>
      <c r="AT1756" s="238"/>
      <c r="AU1756" s="125"/>
      <c r="AV1756" s="125"/>
      <c r="AW1756" s="125"/>
      <c r="AX1756" s="238"/>
      <c r="AY1756" s="125"/>
      <c r="AZ1756" s="125"/>
      <c r="BA1756" s="125"/>
    </row>
    <row r="1757" spans="2:53" s="123" customFormat="1">
      <c r="B1757" s="125"/>
      <c r="D1757" s="125"/>
      <c r="I1757" s="125"/>
      <c r="Z1757" s="124"/>
      <c r="AA1757" s="74"/>
      <c r="AB1757" s="240"/>
      <c r="AD1757" s="124"/>
      <c r="AE1757" s="238"/>
      <c r="AF1757" s="239"/>
      <c r="AG1757" s="239"/>
      <c r="AH1757" s="124"/>
      <c r="AI1757" s="74"/>
      <c r="AJ1757" s="240"/>
      <c r="AL1757" s="124"/>
      <c r="AM1757" s="74"/>
      <c r="AP1757" s="125"/>
      <c r="AQ1757" s="241"/>
      <c r="AR1757" s="125"/>
      <c r="AS1757" s="125"/>
      <c r="AT1757" s="238"/>
      <c r="AU1757" s="125"/>
      <c r="AV1757" s="125"/>
      <c r="AW1757" s="125"/>
      <c r="AX1757" s="238"/>
      <c r="AY1757" s="125"/>
      <c r="AZ1757" s="125"/>
      <c r="BA1757" s="125"/>
    </row>
    <row r="1758" spans="2:53" s="123" customFormat="1">
      <c r="B1758" s="125"/>
      <c r="D1758" s="125"/>
      <c r="I1758" s="125"/>
      <c r="Z1758" s="124"/>
      <c r="AA1758" s="74"/>
      <c r="AB1758" s="240"/>
      <c r="AD1758" s="124"/>
      <c r="AE1758" s="238"/>
      <c r="AF1758" s="239"/>
      <c r="AG1758" s="239"/>
      <c r="AH1758" s="124"/>
      <c r="AI1758" s="74"/>
      <c r="AJ1758" s="240"/>
      <c r="AL1758" s="124"/>
      <c r="AM1758" s="74"/>
      <c r="AP1758" s="125"/>
      <c r="AQ1758" s="241"/>
      <c r="AR1758" s="125"/>
      <c r="AS1758" s="125"/>
      <c r="AT1758" s="238"/>
      <c r="AU1758" s="125"/>
      <c r="AV1758" s="125"/>
      <c r="AW1758" s="125"/>
      <c r="AX1758" s="238"/>
      <c r="AY1758" s="125"/>
      <c r="AZ1758" s="125"/>
      <c r="BA1758" s="125"/>
    </row>
    <row r="1759" spans="2:53" s="123" customFormat="1">
      <c r="B1759" s="125"/>
      <c r="D1759" s="125"/>
      <c r="I1759" s="125"/>
      <c r="Z1759" s="124"/>
      <c r="AA1759" s="74"/>
      <c r="AB1759" s="240"/>
      <c r="AD1759" s="124"/>
      <c r="AE1759" s="238"/>
      <c r="AF1759" s="239"/>
      <c r="AG1759" s="239"/>
      <c r="AH1759" s="124"/>
      <c r="AI1759" s="74"/>
      <c r="AJ1759" s="240"/>
      <c r="AL1759" s="124"/>
      <c r="AM1759" s="74"/>
      <c r="AP1759" s="125"/>
      <c r="AQ1759" s="241"/>
      <c r="AR1759" s="125"/>
      <c r="AS1759" s="125"/>
      <c r="AT1759" s="238"/>
      <c r="AU1759" s="125"/>
      <c r="AV1759" s="125"/>
      <c r="AW1759" s="125"/>
      <c r="AX1759" s="238"/>
      <c r="AY1759" s="125"/>
      <c r="AZ1759" s="125"/>
      <c r="BA1759" s="125"/>
    </row>
    <row r="1760" spans="2:53" s="123" customFormat="1">
      <c r="B1760" s="125"/>
      <c r="D1760" s="125"/>
      <c r="I1760" s="125"/>
      <c r="Z1760" s="124"/>
      <c r="AA1760" s="74"/>
      <c r="AB1760" s="240"/>
      <c r="AD1760" s="124"/>
      <c r="AE1760" s="238"/>
      <c r="AF1760" s="239"/>
      <c r="AG1760" s="239"/>
      <c r="AH1760" s="124"/>
      <c r="AI1760" s="74"/>
      <c r="AJ1760" s="240"/>
      <c r="AL1760" s="124"/>
      <c r="AM1760" s="74"/>
      <c r="AP1760" s="125"/>
      <c r="AQ1760" s="241"/>
      <c r="AR1760" s="125"/>
      <c r="AS1760" s="125"/>
      <c r="AT1760" s="238"/>
      <c r="AU1760" s="125"/>
      <c r="AV1760" s="125"/>
      <c r="AW1760" s="125"/>
      <c r="AX1760" s="238"/>
      <c r="AY1760" s="125"/>
      <c r="AZ1760" s="125"/>
      <c r="BA1760" s="125"/>
    </row>
    <row r="1761" spans="2:53" s="123" customFormat="1">
      <c r="B1761" s="125"/>
      <c r="D1761" s="125"/>
      <c r="I1761" s="125"/>
      <c r="Z1761" s="124"/>
      <c r="AA1761" s="74"/>
      <c r="AB1761" s="240"/>
      <c r="AD1761" s="124"/>
      <c r="AE1761" s="238"/>
      <c r="AF1761" s="239"/>
      <c r="AG1761" s="239"/>
      <c r="AH1761" s="124"/>
      <c r="AI1761" s="74"/>
      <c r="AJ1761" s="240"/>
      <c r="AL1761" s="124"/>
      <c r="AM1761" s="74"/>
      <c r="AP1761" s="125"/>
      <c r="AQ1761" s="241"/>
      <c r="AR1761" s="125"/>
      <c r="AS1761" s="125"/>
      <c r="AT1761" s="238"/>
      <c r="AU1761" s="125"/>
      <c r="AV1761" s="125"/>
      <c r="AW1761" s="125"/>
      <c r="AX1761" s="238"/>
      <c r="AY1761" s="125"/>
      <c r="AZ1761" s="125"/>
      <c r="BA1761" s="125"/>
    </row>
    <row r="1762" spans="2:53" s="123" customFormat="1">
      <c r="B1762" s="125"/>
      <c r="D1762" s="125"/>
      <c r="I1762" s="125"/>
      <c r="Z1762" s="124"/>
      <c r="AA1762" s="74"/>
      <c r="AB1762" s="240"/>
      <c r="AD1762" s="124"/>
      <c r="AE1762" s="238"/>
      <c r="AF1762" s="239"/>
      <c r="AG1762" s="239"/>
      <c r="AH1762" s="124"/>
      <c r="AI1762" s="74"/>
      <c r="AJ1762" s="240"/>
      <c r="AL1762" s="124"/>
      <c r="AM1762" s="74"/>
      <c r="AP1762" s="125"/>
      <c r="AQ1762" s="241"/>
      <c r="AR1762" s="125"/>
      <c r="AS1762" s="125"/>
      <c r="AT1762" s="238"/>
      <c r="AU1762" s="125"/>
      <c r="AV1762" s="125"/>
      <c r="AW1762" s="125"/>
      <c r="AX1762" s="238"/>
      <c r="AY1762" s="125"/>
      <c r="AZ1762" s="125"/>
      <c r="BA1762" s="125"/>
    </row>
    <row r="1763" spans="2:53" s="123" customFormat="1">
      <c r="B1763" s="125"/>
      <c r="D1763" s="125"/>
      <c r="I1763" s="125"/>
      <c r="Z1763" s="124"/>
      <c r="AA1763" s="74"/>
      <c r="AB1763" s="240"/>
      <c r="AD1763" s="124"/>
      <c r="AE1763" s="238"/>
      <c r="AF1763" s="239"/>
      <c r="AG1763" s="239"/>
      <c r="AH1763" s="124"/>
      <c r="AI1763" s="74"/>
      <c r="AJ1763" s="240"/>
      <c r="AL1763" s="124"/>
      <c r="AM1763" s="74"/>
      <c r="AP1763" s="125"/>
      <c r="AQ1763" s="241"/>
      <c r="AR1763" s="125"/>
      <c r="AS1763" s="125"/>
      <c r="AT1763" s="238"/>
      <c r="AU1763" s="125"/>
      <c r="AV1763" s="125"/>
      <c r="AW1763" s="125"/>
      <c r="AX1763" s="238"/>
      <c r="AY1763" s="125"/>
      <c r="AZ1763" s="125"/>
      <c r="BA1763" s="125"/>
    </row>
    <row r="1764" spans="2:53" s="123" customFormat="1">
      <c r="B1764" s="125"/>
      <c r="D1764" s="125"/>
      <c r="I1764" s="125"/>
      <c r="Z1764" s="124"/>
      <c r="AA1764" s="74"/>
      <c r="AB1764" s="240"/>
      <c r="AD1764" s="124"/>
      <c r="AE1764" s="238"/>
      <c r="AF1764" s="239"/>
      <c r="AG1764" s="239"/>
      <c r="AH1764" s="124"/>
      <c r="AI1764" s="74"/>
      <c r="AJ1764" s="240"/>
      <c r="AL1764" s="124"/>
      <c r="AM1764" s="74"/>
      <c r="AP1764" s="125"/>
      <c r="AQ1764" s="241"/>
      <c r="AR1764" s="125"/>
      <c r="AS1764" s="125"/>
      <c r="AT1764" s="238"/>
      <c r="AU1764" s="125"/>
      <c r="AV1764" s="125"/>
      <c r="AW1764" s="125"/>
      <c r="AX1764" s="238"/>
      <c r="AY1764" s="125"/>
      <c r="AZ1764" s="125"/>
      <c r="BA1764" s="125"/>
    </row>
    <row r="1765" spans="2:53" s="123" customFormat="1">
      <c r="B1765" s="125"/>
      <c r="D1765" s="125"/>
      <c r="I1765" s="125"/>
      <c r="Z1765" s="124"/>
      <c r="AA1765" s="74"/>
      <c r="AB1765" s="240"/>
      <c r="AD1765" s="124"/>
      <c r="AE1765" s="238"/>
      <c r="AF1765" s="239"/>
      <c r="AG1765" s="239"/>
      <c r="AH1765" s="124"/>
      <c r="AI1765" s="74"/>
      <c r="AJ1765" s="240"/>
      <c r="AL1765" s="124"/>
      <c r="AM1765" s="74"/>
      <c r="AP1765" s="125"/>
      <c r="AQ1765" s="241"/>
      <c r="AR1765" s="125"/>
      <c r="AS1765" s="125"/>
      <c r="AT1765" s="238"/>
      <c r="AU1765" s="125"/>
      <c r="AV1765" s="125"/>
      <c r="AW1765" s="125"/>
      <c r="AX1765" s="238"/>
      <c r="AY1765" s="125"/>
      <c r="AZ1765" s="125"/>
      <c r="BA1765" s="125"/>
    </row>
    <row r="1766" spans="2:53" s="123" customFormat="1">
      <c r="B1766" s="125"/>
      <c r="D1766" s="125"/>
      <c r="I1766" s="125"/>
      <c r="Z1766" s="124"/>
      <c r="AA1766" s="74"/>
      <c r="AB1766" s="240"/>
      <c r="AD1766" s="124"/>
      <c r="AE1766" s="238"/>
      <c r="AF1766" s="239"/>
      <c r="AG1766" s="239"/>
      <c r="AH1766" s="124"/>
      <c r="AI1766" s="74"/>
      <c r="AJ1766" s="240"/>
      <c r="AL1766" s="124"/>
      <c r="AM1766" s="74"/>
      <c r="AP1766" s="125"/>
      <c r="AQ1766" s="241"/>
      <c r="AR1766" s="125"/>
      <c r="AS1766" s="125"/>
      <c r="AT1766" s="238"/>
      <c r="AU1766" s="125"/>
      <c r="AV1766" s="125"/>
      <c r="AW1766" s="125"/>
      <c r="AX1766" s="238"/>
      <c r="AY1766" s="125"/>
      <c r="AZ1766" s="125"/>
      <c r="BA1766" s="125"/>
    </row>
    <row r="1767" spans="2:53" s="123" customFormat="1">
      <c r="B1767" s="125"/>
      <c r="D1767" s="125"/>
      <c r="I1767" s="125"/>
      <c r="Z1767" s="124"/>
      <c r="AA1767" s="74"/>
      <c r="AB1767" s="240"/>
      <c r="AD1767" s="124"/>
      <c r="AE1767" s="238"/>
      <c r="AF1767" s="239"/>
      <c r="AG1767" s="239"/>
      <c r="AH1767" s="124"/>
      <c r="AI1767" s="74"/>
      <c r="AJ1767" s="240"/>
      <c r="AL1767" s="124"/>
      <c r="AM1767" s="74"/>
      <c r="AP1767" s="125"/>
      <c r="AQ1767" s="241"/>
      <c r="AR1767" s="125"/>
      <c r="AS1767" s="125"/>
      <c r="AT1767" s="238"/>
      <c r="AU1767" s="125"/>
      <c r="AV1767" s="125"/>
      <c r="AW1767" s="125"/>
      <c r="AX1767" s="238"/>
      <c r="AY1767" s="125"/>
      <c r="AZ1767" s="125"/>
      <c r="BA1767" s="125"/>
    </row>
    <row r="1768" spans="2:53" s="123" customFormat="1">
      <c r="B1768" s="125"/>
      <c r="D1768" s="125"/>
      <c r="I1768" s="125"/>
      <c r="Z1768" s="124"/>
      <c r="AA1768" s="74"/>
      <c r="AB1768" s="240"/>
      <c r="AD1768" s="124"/>
      <c r="AE1768" s="238"/>
      <c r="AF1768" s="239"/>
      <c r="AG1768" s="239"/>
      <c r="AH1768" s="124"/>
      <c r="AI1768" s="74"/>
      <c r="AJ1768" s="240"/>
      <c r="AL1768" s="124"/>
      <c r="AM1768" s="74"/>
      <c r="AP1768" s="125"/>
      <c r="AQ1768" s="241"/>
      <c r="AR1768" s="125"/>
      <c r="AS1768" s="125"/>
      <c r="AT1768" s="238"/>
      <c r="AU1768" s="125"/>
      <c r="AV1768" s="125"/>
      <c r="AW1768" s="125"/>
      <c r="AX1768" s="238"/>
      <c r="AY1768" s="125"/>
      <c r="AZ1768" s="125"/>
      <c r="BA1768" s="125"/>
    </row>
    <row r="1769" spans="2:53" s="123" customFormat="1">
      <c r="B1769" s="125"/>
      <c r="D1769" s="125"/>
      <c r="I1769" s="125"/>
      <c r="Z1769" s="124"/>
      <c r="AA1769" s="74"/>
      <c r="AB1769" s="240"/>
      <c r="AD1769" s="124"/>
      <c r="AE1769" s="238"/>
      <c r="AF1769" s="239"/>
      <c r="AG1769" s="239"/>
      <c r="AH1769" s="124"/>
      <c r="AI1769" s="74"/>
      <c r="AJ1769" s="240"/>
      <c r="AL1769" s="124"/>
      <c r="AM1769" s="74"/>
      <c r="AP1769" s="125"/>
      <c r="AQ1769" s="241"/>
      <c r="AR1769" s="125"/>
      <c r="AS1769" s="125"/>
      <c r="AT1769" s="238"/>
      <c r="AU1769" s="125"/>
      <c r="AV1769" s="125"/>
      <c r="AW1769" s="125"/>
      <c r="AX1769" s="238"/>
      <c r="AY1769" s="125"/>
      <c r="AZ1769" s="125"/>
      <c r="BA1769" s="125"/>
    </row>
    <row r="1770" spans="2:53" s="123" customFormat="1">
      <c r="B1770" s="125"/>
      <c r="D1770" s="125"/>
      <c r="I1770" s="125"/>
      <c r="Z1770" s="124"/>
      <c r="AA1770" s="74"/>
      <c r="AB1770" s="240"/>
      <c r="AD1770" s="124"/>
      <c r="AE1770" s="238"/>
      <c r="AF1770" s="239"/>
      <c r="AG1770" s="239"/>
      <c r="AH1770" s="124"/>
      <c r="AI1770" s="74"/>
      <c r="AJ1770" s="240"/>
      <c r="AL1770" s="124"/>
      <c r="AM1770" s="74"/>
      <c r="AP1770" s="125"/>
      <c r="AQ1770" s="241"/>
      <c r="AR1770" s="125"/>
      <c r="AS1770" s="125"/>
      <c r="AT1770" s="238"/>
      <c r="AU1770" s="125"/>
      <c r="AV1770" s="125"/>
      <c r="AW1770" s="125"/>
      <c r="AX1770" s="238"/>
      <c r="AY1770" s="125"/>
      <c r="AZ1770" s="125"/>
      <c r="BA1770" s="125"/>
    </row>
    <row r="1771" spans="2:53" s="123" customFormat="1">
      <c r="B1771" s="125"/>
      <c r="D1771" s="125"/>
      <c r="I1771" s="125"/>
      <c r="Z1771" s="124"/>
      <c r="AA1771" s="74"/>
      <c r="AB1771" s="240"/>
      <c r="AD1771" s="124"/>
      <c r="AE1771" s="238"/>
      <c r="AF1771" s="239"/>
      <c r="AG1771" s="239"/>
      <c r="AH1771" s="124"/>
      <c r="AI1771" s="74"/>
      <c r="AJ1771" s="240"/>
      <c r="AL1771" s="124"/>
      <c r="AM1771" s="74"/>
      <c r="AP1771" s="125"/>
      <c r="AQ1771" s="241"/>
      <c r="AR1771" s="125"/>
      <c r="AS1771" s="125"/>
      <c r="AT1771" s="238"/>
      <c r="AU1771" s="125"/>
      <c r="AV1771" s="125"/>
      <c r="AW1771" s="125"/>
      <c r="AX1771" s="238"/>
      <c r="AY1771" s="125"/>
      <c r="AZ1771" s="125"/>
      <c r="BA1771" s="125"/>
    </row>
    <row r="1772" spans="2:53" s="123" customFormat="1">
      <c r="B1772" s="125"/>
      <c r="D1772" s="125"/>
      <c r="I1772" s="125"/>
      <c r="Z1772" s="124"/>
      <c r="AA1772" s="74"/>
      <c r="AB1772" s="240"/>
      <c r="AD1772" s="124"/>
      <c r="AE1772" s="238"/>
      <c r="AF1772" s="239"/>
      <c r="AG1772" s="239"/>
      <c r="AH1772" s="124"/>
      <c r="AI1772" s="74"/>
      <c r="AJ1772" s="240"/>
      <c r="AL1772" s="124"/>
      <c r="AM1772" s="74"/>
      <c r="AP1772" s="125"/>
      <c r="AQ1772" s="241"/>
      <c r="AR1772" s="125"/>
      <c r="AS1772" s="125"/>
      <c r="AT1772" s="238"/>
      <c r="AU1772" s="125"/>
      <c r="AV1772" s="125"/>
      <c r="AW1772" s="125"/>
      <c r="AX1772" s="238"/>
      <c r="AY1772" s="125"/>
      <c r="AZ1772" s="125"/>
      <c r="BA1772" s="125"/>
    </row>
    <row r="1773" spans="2:53" s="123" customFormat="1">
      <c r="B1773" s="125"/>
      <c r="D1773" s="125"/>
      <c r="I1773" s="125"/>
      <c r="Z1773" s="124"/>
      <c r="AA1773" s="74"/>
      <c r="AB1773" s="240"/>
      <c r="AD1773" s="124"/>
      <c r="AE1773" s="238"/>
      <c r="AF1773" s="239"/>
      <c r="AG1773" s="239"/>
      <c r="AH1773" s="124"/>
      <c r="AI1773" s="74"/>
      <c r="AJ1773" s="240"/>
      <c r="AL1773" s="124"/>
      <c r="AM1773" s="74"/>
      <c r="AP1773" s="125"/>
      <c r="AQ1773" s="241"/>
      <c r="AR1773" s="125"/>
      <c r="AS1773" s="125"/>
      <c r="AT1773" s="238"/>
      <c r="AU1773" s="125"/>
      <c r="AV1773" s="125"/>
      <c r="AW1773" s="125"/>
      <c r="AX1773" s="238"/>
      <c r="AY1773" s="125"/>
      <c r="AZ1773" s="125"/>
      <c r="BA1773" s="125"/>
    </row>
    <row r="1774" spans="2:53" s="123" customFormat="1">
      <c r="B1774" s="125"/>
      <c r="D1774" s="125"/>
      <c r="I1774" s="125"/>
      <c r="Z1774" s="124"/>
      <c r="AA1774" s="74"/>
      <c r="AB1774" s="240"/>
      <c r="AD1774" s="124"/>
      <c r="AE1774" s="238"/>
      <c r="AF1774" s="239"/>
      <c r="AG1774" s="239"/>
      <c r="AH1774" s="124"/>
      <c r="AI1774" s="74"/>
      <c r="AJ1774" s="240"/>
      <c r="AL1774" s="124"/>
      <c r="AM1774" s="74"/>
      <c r="AP1774" s="125"/>
      <c r="AQ1774" s="241"/>
      <c r="AR1774" s="125"/>
      <c r="AS1774" s="125"/>
      <c r="AT1774" s="238"/>
      <c r="AU1774" s="125"/>
      <c r="AV1774" s="125"/>
      <c r="AW1774" s="125"/>
      <c r="AX1774" s="238"/>
      <c r="AY1774" s="125"/>
      <c r="AZ1774" s="125"/>
      <c r="BA1774" s="125"/>
    </row>
    <row r="1775" spans="2:53" s="123" customFormat="1">
      <c r="B1775" s="125"/>
      <c r="D1775" s="125"/>
      <c r="I1775" s="125"/>
      <c r="Z1775" s="124"/>
      <c r="AA1775" s="74"/>
      <c r="AB1775" s="240"/>
      <c r="AD1775" s="124"/>
      <c r="AE1775" s="238"/>
      <c r="AF1775" s="239"/>
      <c r="AG1775" s="239"/>
      <c r="AH1775" s="124"/>
      <c r="AI1775" s="74"/>
      <c r="AJ1775" s="240"/>
      <c r="AL1775" s="124"/>
      <c r="AM1775" s="74"/>
      <c r="AP1775" s="125"/>
      <c r="AQ1775" s="241"/>
      <c r="AR1775" s="125"/>
      <c r="AS1775" s="125"/>
      <c r="AT1775" s="238"/>
      <c r="AU1775" s="125"/>
      <c r="AV1775" s="125"/>
      <c r="AW1775" s="125"/>
      <c r="AX1775" s="238"/>
      <c r="AY1775" s="125"/>
      <c r="AZ1775" s="125"/>
      <c r="BA1775" s="125"/>
    </row>
    <row r="1776" spans="2:53" s="123" customFormat="1">
      <c r="B1776" s="125"/>
      <c r="D1776" s="125"/>
      <c r="I1776" s="125"/>
      <c r="Z1776" s="124"/>
      <c r="AA1776" s="74"/>
      <c r="AB1776" s="240"/>
      <c r="AD1776" s="124"/>
      <c r="AE1776" s="238"/>
      <c r="AF1776" s="239"/>
      <c r="AG1776" s="239"/>
      <c r="AH1776" s="124"/>
      <c r="AI1776" s="74"/>
      <c r="AJ1776" s="240"/>
      <c r="AL1776" s="124"/>
      <c r="AM1776" s="74"/>
      <c r="AP1776" s="125"/>
      <c r="AQ1776" s="241"/>
      <c r="AR1776" s="125"/>
      <c r="AS1776" s="125"/>
      <c r="AT1776" s="238"/>
      <c r="AU1776" s="125"/>
      <c r="AV1776" s="125"/>
      <c r="AW1776" s="125"/>
      <c r="AX1776" s="238"/>
      <c r="AY1776" s="125"/>
      <c r="AZ1776" s="125"/>
      <c r="BA1776" s="125"/>
    </row>
    <row r="1777" spans="2:53" s="123" customFormat="1">
      <c r="B1777" s="125"/>
      <c r="D1777" s="125"/>
      <c r="I1777" s="125"/>
      <c r="Z1777" s="124"/>
      <c r="AA1777" s="74"/>
      <c r="AB1777" s="240"/>
      <c r="AD1777" s="124"/>
      <c r="AE1777" s="238"/>
      <c r="AF1777" s="239"/>
      <c r="AG1777" s="239"/>
      <c r="AH1777" s="124"/>
      <c r="AI1777" s="74"/>
      <c r="AJ1777" s="240"/>
      <c r="AL1777" s="124"/>
      <c r="AM1777" s="74"/>
      <c r="AP1777" s="125"/>
      <c r="AQ1777" s="241"/>
      <c r="AR1777" s="125"/>
      <c r="AS1777" s="125"/>
      <c r="AT1777" s="238"/>
      <c r="AU1777" s="125"/>
      <c r="AV1777" s="125"/>
      <c r="AW1777" s="125"/>
      <c r="AX1777" s="238"/>
      <c r="AY1777" s="125"/>
      <c r="AZ1777" s="125"/>
      <c r="BA1777" s="125"/>
    </row>
    <row r="1778" spans="2:53" s="123" customFormat="1">
      <c r="B1778" s="125"/>
      <c r="D1778" s="125"/>
      <c r="I1778" s="125"/>
      <c r="Z1778" s="124"/>
      <c r="AA1778" s="74"/>
      <c r="AB1778" s="240"/>
      <c r="AD1778" s="124"/>
      <c r="AE1778" s="238"/>
      <c r="AF1778" s="239"/>
      <c r="AG1778" s="239"/>
      <c r="AH1778" s="124"/>
      <c r="AI1778" s="74"/>
      <c r="AJ1778" s="240"/>
      <c r="AL1778" s="124"/>
      <c r="AM1778" s="74"/>
      <c r="AP1778" s="125"/>
      <c r="AQ1778" s="241"/>
      <c r="AR1778" s="125"/>
      <c r="AS1778" s="125"/>
      <c r="AT1778" s="238"/>
      <c r="AU1778" s="125"/>
      <c r="AV1778" s="125"/>
      <c r="AW1778" s="125"/>
      <c r="AX1778" s="238"/>
      <c r="AY1778" s="125"/>
      <c r="AZ1778" s="125"/>
      <c r="BA1778" s="125"/>
    </row>
    <row r="1779" spans="2:53" s="123" customFormat="1">
      <c r="B1779" s="125"/>
      <c r="D1779" s="125"/>
      <c r="I1779" s="125"/>
      <c r="Z1779" s="124"/>
      <c r="AA1779" s="74"/>
      <c r="AB1779" s="240"/>
      <c r="AD1779" s="124"/>
      <c r="AE1779" s="238"/>
      <c r="AF1779" s="239"/>
      <c r="AG1779" s="239"/>
      <c r="AH1779" s="124"/>
      <c r="AI1779" s="74"/>
      <c r="AJ1779" s="240"/>
      <c r="AL1779" s="124"/>
      <c r="AM1779" s="74"/>
      <c r="AP1779" s="125"/>
      <c r="AQ1779" s="241"/>
      <c r="AR1779" s="125"/>
      <c r="AS1779" s="125"/>
      <c r="AT1779" s="238"/>
      <c r="AU1779" s="125"/>
      <c r="AV1779" s="125"/>
      <c r="AW1779" s="125"/>
      <c r="AX1779" s="238"/>
      <c r="AY1779" s="125"/>
      <c r="AZ1779" s="125"/>
      <c r="BA1779" s="125"/>
    </row>
    <row r="1780" spans="2:53" s="123" customFormat="1">
      <c r="B1780" s="125"/>
      <c r="D1780" s="125"/>
      <c r="I1780" s="125"/>
      <c r="Z1780" s="124"/>
      <c r="AA1780" s="74"/>
      <c r="AB1780" s="240"/>
      <c r="AD1780" s="124"/>
      <c r="AE1780" s="238"/>
      <c r="AF1780" s="239"/>
      <c r="AG1780" s="239"/>
      <c r="AH1780" s="124"/>
      <c r="AI1780" s="74"/>
      <c r="AJ1780" s="240"/>
      <c r="AL1780" s="124"/>
      <c r="AM1780" s="74"/>
      <c r="AP1780" s="125"/>
      <c r="AQ1780" s="241"/>
      <c r="AR1780" s="125"/>
      <c r="AS1780" s="125"/>
      <c r="AT1780" s="238"/>
      <c r="AU1780" s="125"/>
      <c r="AV1780" s="125"/>
      <c r="AW1780" s="125"/>
      <c r="AX1780" s="238"/>
      <c r="AY1780" s="125"/>
      <c r="AZ1780" s="125"/>
      <c r="BA1780" s="125"/>
    </row>
    <row r="1781" spans="2:53" s="123" customFormat="1">
      <c r="B1781" s="125"/>
      <c r="D1781" s="125"/>
      <c r="I1781" s="125"/>
      <c r="Z1781" s="124"/>
      <c r="AA1781" s="74"/>
      <c r="AB1781" s="240"/>
      <c r="AD1781" s="124"/>
      <c r="AE1781" s="238"/>
      <c r="AF1781" s="239"/>
      <c r="AG1781" s="239"/>
      <c r="AH1781" s="124"/>
      <c r="AI1781" s="74"/>
      <c r="AJ1781" s="240"/>
      <c r="AL1781" s="124"/>
      <c r="AM1781" s="74"/>
      <c r="AP1781" s="125"/>
      <c r="AQ1781" s="241"/>
      <c r="AR1781" s="125"/>
      <c r="AS1781" s="125"/>
      <c r="AT1781" s="238"/>
      <c r="AU1781" s="125"/>
      <c r="AV1781" s="125"/>
      <c r="AW1781" s="125"/>
      <c r="AX1781" s="238"/>
      <c r="AY1781" s="125"/>
      <c r="AZ1781" s="125"/>
      <c r="BA1781" s="125"/>
    </row>
    <row r="1782" spans="2:53" s="123" customFormat="1">
      <c r="B1782" s="125"/>
      <c r="D1782" s="125"/>
      <c r="I1782" s="125"/>
      <c r="Z1782" s="124"/>
      <c r="AA1782" s="74"/>
      <c r="AB1782" s="240"/>
      <c r="AD1782" s="124"/>
      <c r="AE1782" s="238"/>
      <c r="AF1782" s="239"/>
      <c r="AG1782" s="239"/>
      <c r="AH1782" s="124"/>
      <c r="AI1782" s="74"/>
      <c r="AJ1782" s="240"/>
      <c r="AL1782" s="124"/>
      <c r="AM1782" s="74"/>
      <c r="AP1782" s="125"/>
      <c r="AQ1782" s="241"/>
      <c r="AR1782" s="125"/>
      <c r="AS1782" s="125"/>
      <c r="AT1782" s="238"/>
      <c r="AU1782" s="125"/>
      <c r="AV1782" s="125"/>
      <c r="AW1782" s="125"/>
      <c r="AX1782" s="238"/>
      <c r="AY1782" s="125"/>
      <c r="AZ1782" s="125"/>
      <c r="BA1782" s="125"/>
    </row>
    <row r="1783" spans="2:53" s="123" customFormat="1">
      <c r="B1783" s="125"/>
      <c r="D1783" s="125"/>
      <c r="I1783" s="125"/>
      <c r="Z1783" s="124"/>
      <c r="AA1783" s="74"/>
      <c r="AB1783" s="240"/>
      <c r="AD1783" s="124"/>
      <c r="AE1783" s="238"/>
      <c r="AF1783" s="239"/>
      <c r="AG1783" s="239"/>
      <c r="AH1783" s="124"/>
      <c r="AI1783" s="74"/>
      <c r="AJ1783" s="240"/>
      <c r="AL1783" s="124"/>
      <c r="AM1783" s="74"/>
      <c r="AP1783" s="125"/>
      <c r="AQ1783" s="241"/>
      <c r="AR1783" s="125"/>
      <c r="AS1783" s="125"/>
      <c r="AT1783" s="238"/>
      <c r="AU1783" s="125"/>
      <c r="AV1783" s="125"/>
      <c r="AW1783" s="125"/>
      <c r="AX1783" s="238"/>
      <c r="AY1783" s="125"/>
      <c r="AZ1783" s="125"/>
      <c r="BA1783" s="125"/>
    </row>
    <row r="1784" spans="2:53" s="123" customFormat="1">
      <c r="B1784" s="125"/>
      <c r="D1784" s="125"/>
      <c r="I1784" s="125"/>
      <c r="Z1784" s="124"/>
      <c r="AA1784" s="74"/>
      <c r="AB1784" s="240"/>
      <c r="AD1784" s="124"/>
      <c r="AE1784" s="238"/>
      <c r="AF1784" s="239"/>
      <c r="AG1784" s="239"/>
      <c r="AH1784" s="124"/>
      <c r="AI1784" s="74"/>
      <c r="AJ1784" s="240"/>
      <c r="AL1784" s="124"/>
      <c r="AM1784" s="74"/>
      <c r="AP1784" s="125"/>
      <c r="AQ1784" s="241"/>
      <c r="AR1784" s="125"/>
      <c r="AS1784" s="125"/>
      <c r="AT1784" s="238"/>
      <c r="AU1784" s="125"/>
      <c r="AV1784" s="125"/>
      <c r="AW1784" s="125"/>
      <c r="AX1784" s="238"/>
      <c r="AY1784" s="125"/>
      <c r="AZ1784" s="125"/>
      <c r="BA1784" s="125"/>
    </row>
    <row r="1785" spans="2:53" s="123" customFormat="1">
      <c r="B1785" s="125"/>
      <c r="D1785" s="125"/>
      <c r="I1785" s="125"/>
      <c r="Z1785" s="124"/>
      <c r="AA1785" s="74"/>
      <c r="AB1785" s="240"/>
      <c r="AD1785" s="124"/>
      <c r="AE1785" s="238"/>
      <c r="AF1785" s="239"/>
      <c r="AG1785" s="239"/>
      <c r="AH1785" s="124"/>
      <c r="AI1785" s="74"/>
      <c r="AJ1785" s="240"/>
      <c r="AL1785" s="124"/>
      <c r="AM1785" s="74"/>
      <c r="AP1785" s="125"/>
      <c r="AQ1785" s="241"/>
      <c r="AR1785" s="125"/>
      <c r="AS1785" s="125"/>
      <c r="AT1785" s="238"/>
      <c r="AU1785" s="125"/>
      <c r="AV1785" s="125"/>
      <c r="AW1785" s="125"/>
      <c r="AX1785" s="238"/>
      <c r="AY1785" s="125"/>
      <c r="AZ1785" s="125"/>
      <c r="BA1785" s="125"/>
    </row>
    <row r="1786" spans="2:53" s="123" customFormat="1">
      <c r="B1786" s="125"/>
      <c r="D1786" s="125"/>
      <c r="I1786" s="125"/>
      <c r="Z1786" s="124"/>
      <c r="AA1786" s="74"/>
      <c r="AB1786" s="240"/>
      <c r="AD1786" s="124"/>
      <c r="AE1786" s="238"/>
      <c r="AF1786" s="239"/>
      <c r="AG1786" s="239"/>
      <c r="AH1786" s="124"/>
      <c r="AI1786" s="74"/>
      <c r="AJ1786" s="240"/>
      <c r="AL1786" s="124"/>
      <c r="AM1786" s="74"/>
      <c r="AP1786" s="125"/>
      <c r="AQ1786" s="241"/>
      <c r="AR1786" s="125"/>
      <c r="AS1786" s="125"/>
      <c r="AT1786" s="238"/>
      <c r="AU1786" s="125"/>
      <c r="AV1786" s="125"/>
      <c r="AW1786" s="125"/>
      <c r="AX1786" s="238"/>
      <c r="AY1786" s="125"/>
      <c r="AZ1786" s="125"/>
      <c r="BA1786" s="125"/>
    </row>
    <row r="1787" spans="2:53" s="123" customFormat="1">
      <c r="B1787" s="125"/>
      <c r="D1787" s="125"/>
      <c r="I1787" s="125"/>
      <c r="Z1787" s="124"/>
      <c r="AA1787" s="74"/>
      <c r="AB1787" s="240"/>
      <c r="AD1787" s="124"/>
      <c r="AE1787" s="238"/>
      <c r="AF1787" s="239"/>
      <c r="AG1787" s="239"/>
      <c r="AH1787" s="124"/>
      <c r="AI1787" s="74"/>
      <c r="AJ1787" s="240"/>
      <c r="AL1787" s="124"/>
      <c r="AM1787" s="74"/>
      <c r="AP1787" s="125"/>
      <c r="AQ1787" s="241"/>
      <c r="AR1787" s="125"/>
      <c r="AS1787" s="125"/>
      <c r="AT1787" s="238"/>
      <c r="AU1787" s="125"/>
      <c r="AV1787" s="125"/>
      <c r="AW1787" s="125"/>
      <c r="AX1787" s="238"/>
      <c r="AY1787" s="125"/>
      <c r="AZ1787" s="125"/>
      <c r="BA1787" s="125"/>
    </row>
    <row r="1788" spans="2:53" s="123" customFormat="1">
      <c r="B1788" s="125"/>
      <c r="D1788" s="125"/>
      <c r="I1788" s="125"/>
      <c r="Z1788" s="124"/>
      <c r="AA1788" s="74"/>
      <c r="AB1788" s="240"/>
      <c r="AD1788" s="124"/>
      <c r="AE1788" s="238"/>
      <c r="AF1788" s="239"/>
      <c r="AG1788" s="239"/>
      <c r="AH1788" s="124"/>
      <c r="AI1788" s="74"/>
      <c r="AJ1788" s="240"/>
      <c r="AL1788" s="124"/>
      <c r="AM1788" s="74"/>
      <c r="AP1788" s="125"/>
      <c r="AQ1788" s="241"/>
      <c r="AR1788" s="125"/>
      <c r="AS1788" s="125"/>
      <c r="AT1788" s="238"/>
      <c r="AU1788" s="125"/>
      <c r="AV1788" s="125"/>
      <c r="AW1788" s="125"/>
      <c r="AX1788" s="238"/>
      <c r="AY1788" s="125"/>
      <c r="AZ1788" s="125"/>
      <c r="BA1788" s="125"/>
    </row>
    <row r="1789" spans="2:53" s="123" customFormat="1">
      <c r="B1789" s="125"/>
      <c r="D1789" s="125"/>
      <c r="I1789" s="125"/>
      <c r="Z1789" s="124"/>
      <c r="AA1789" s="74"/>
      <c r="AB1789" s="240"/>
      <c r="AD1789" s="124"/>
      <c r="AE1789" s="238"/>
      <c r="AF1789" s="239"/>
      <c r="AG1789" s="239"/>
      <c r="AH1789" s="124"/>
      <c r="AI1789" s="74"/>
      <c r="AJ1789" s="240"/>
      <c r="AL1789" s="124"/>
      <c r="AM1789" s="74"/>
      <c r="AP1789" s="125"/>
      <c r="AQ1789" s="241"/>
      <c r="AR1789" s="125"/>
      <c r="AS1789" s="125"/>
      <c r="AT1789" s="238"/>
      <c r="AU1789" s="125"/>
      <c r="AV1789" s="125"/>
      <c r="AW1789" s="125"/>
      <c r="AX1789" s="238"/>
      <c r="AY1789" s="125"/>
      <c r="AZ1789" s="125"/>
      <c r="BA1789" s="125"/>
    </row>
    <row r="1790" spans="2:53" s="123" customFormat="1">
      <c r="B1790" s="125"/>
      <c r="D1790" s="125"/>
      <c r="I1790" s="125"/>
      <c r="Z1790" s="124"/>
      <c r="AA1790" s="74"/>
      <c r="AB1790" s="240"/>
      <c r="AD1790" s="124"/>
      <c r="AE1790" s="238"/>
      <c r="AF1790" s="239"/>
      <c r="AG1790" s="239"/>
      <c r="AH1790" s="124"/>
      <c r="AI1790" s="74"/>
      <c r="AJ1790" s="240"/>
      <c r="AL1790" s="124"/>
      <c r="AM1790" s="74"/>
      <c r="AP1790" s="125"/>
      <c r="AQ1790" s="241"/>
      <c r="AR1790" s="125"/>
      <c r="AS1790" s="125"/>
      <c r="AT1790" s="238"/>
      <c r="AU1790" s="125"/>
      <c r="AV1790" s="125"/>
      <c r="AW1790" s="125"/>
      <c r="AX1790" s="238"/>
      <c r="AY1790" s="125"/>
      <c r="AZ1790" s="125"/>
      <c r="BA1790" s="125"/>
    </row>
    <row r="1791" spans="2:53" s="123" customFormat="1">
      <c r="B1791" s="125"/>
      <c r="D1791" s="125"/>
      <c r="I1791" s="125"/>
      <c r="Z1791" s="124"/>
      <c r="AA1791" s="74"/>
      <c r="AB1791" s="240"/>
      <c r="AD1791" s="124"/>
      <c r="AE1791" s="238"/>
      <c r="AF1791" s="239"/>
      <c r="AG1791" s="239"/>
      <c r="AH1791" s="124"/>
      <c r="AI1791" s="74"/>
      <c r="AJ1791" s="240"/>
      <c r="AL1791" s="124"/>
      <c r="AM1791" s="74"/>
      <c r="AP1791" s="125"/>
      <c r="AQ1791" s="241"/>
      <c r="AR1791" s="125"/>
      <c r="AS1791" s="125"/>
      <c r="AT1791" s="238"/>
      <c r="AU1791" s="125"/>
      <c r="AV1791" s="125"/>
      <c r="AW1791" s="125"/>
      <c r="AX1791" s="238"/>
      <c r="AY1791" s="125"/>
      <c r="AZ1791" s="125"/>
      <c r="BA1791" s="125"/>
    </row>
    <row r="1792" spans="2:53" s="123" customFormat="1">
      <c r="B1792" s="125"/>
      <c r="D1792" s="125"/>
      <c r="I1792" s="125"/>
      <c r="Z1792" s="124"/>
      <c r="AA1792" s="74"/>
      <c r="AB1792" s="240"/>
      <c r="AD1792" s="124"/>
      <c r="AE1792" s="238"/>
      <c r="AF1792" s="239"/>
      <c r="AG1792" s="239"/>
      <c r="AH1792" s="124"/>
      <c r="AI1792" s="74"/>
      <c r="AJ1792" s="240"/>
      <c r="AL1792" s="124"/>
      <c r="AM1792" s="74"/>
      <c r="AP1792" s="125"/>
      <c r="AQ1792" s="241"/>
      <c r="AR1792" s="125"/>
      <c r="AS1792" s="125"/>
      <c r="AT1792" s="238"/>
      <c r="AU1792" s="125"/>
      <c r="AV1792" s="125"/>
      <c r="AW1792" s="125"/>
      <c r="AX1792" s="238"/>
      <c r="AY1792" s="125"/>
      <c r="AZ1792" s="125"/>
      <c r="BA1792" s="125"/>
    </row>
    <row r="1793" spans="2:53" s="123" customFormat="1">
      <c r="B1793" s="125"/>
      <c r="D1793" s="125"/>
      <c r="I1793" s="125"/>
      <c r="Z1793" s="124"/>
      <c r="AA1793" s="74"/>
      <c r="AB1793" s="240"/>
      <c r="AD1793" s="124"/>
      <c r="AE1793" s="238"/>
      <c r="AF1793" s="239"/>
      <c r="AG1793" s="239"/>
      <c r="AH1793" s="124"/>
      <c r="AI1793" s="74"/>
      <c r="AJ1793" s="240"/>
      <c r="AL1793" s="124"/>
      <c r="AM1793" s="74"/>
      <c r="AP1793" s="125"/>
      <c r="AQ1793" s="241"/>
      <c r="AR1793" s="125"/>
      <c r="AS1793" s="125"/>
      <c r="AT1793" s="238"/>
      <c r="AU1793" s="125"/>
      <c r="AV1793" s="125"/>
      <c r="AW1793" s="125"/>
      <c r="AX1793" s="238"/>
      <c r="AY1793" s="125"/>
      <c r="AZ1793" s="125"/>
      <c r="BA1793" s="125"/>
    </row>
    <row r="1794" spans="2:53" s="123" customFormat="1">
      <c r="B1794" s="125"/>
      <c r="D1794" s="125"/>
      <c r="I1794" s="125"/>
      <c r="Z1794" s="124"/>
      <c r="AA1794" s="74"/>
      <c r="AB1794" s="240"/>
      <c r="AD1794" s="124"/>
      <c r="AE1794" s="238"/>
      <c r="AF1794" s="239"/>
      <c r="AG1794" s="239"/>
      <c r="AH1794" s="124"/>
      <c r="AI1794" s="74"/>
      <c r="AJ1794" s="240"/>
      <c r="AL1794" s="124"/>
      <c r="AM1794" s="74"/>
      <c r="AP1794" s="125"/>
      <c r="AQ1794" s="241"/>
      <c r="AR1794" s="125"/>
      <c r="AS1794" s="125"/>
      <c r="AT1794" s="238"/>
      <c r="AU1794" s="125"/>
      <c r="AV1794" s="125"/>
      <c r="AW1794" s="125"/>
      <c r="AX1794" s="238"/>
      <c r="AY1794" s="125"/>
      <c r="AZ1794" s="125"/>
      <c r="BA1794" s="125"/>
    </row>
    <row r="1795" spans="2:53" s="123" customFormat="1">
      <c r="B1795" s="125"/>
      <c r="D1795" s="125"/>
      <c r="I1795" s="125"/>
      <c r="Z1795" s="124"/>
      <c r="AA1795" s="74"/>
      <c r="AB1795" s="240"/>
      <c r="AD1795" s="124"/>
      <c r="AE1795" s="238"/>
      <c r="AF1795" s="239"/>
      <c r="AG1795" s="239"/>
      <c r="AH1795" s="124"/>
      <c r="AI1795" s="74"/>
      <c r="AJ1795" s="240"/>
      <c r="AL1795" s="124"/>
      <c r="AM1795" s="74"/>
      <c r="AP1795" s="125"/>
      <c r="AQ1795" s="241"/>
      <c r="AR1795" s="125"/>
      <c r="AS1795" s="125"/>
      <c r="AT1795" s="238"/>
      <c r="AU1795" s="125"/>
      <c r="AV1795" s="125"/>
      <c r="AW1795" s="125"/>
      <c r="AX1795" s="238"/>
      <c r="AY1795" s="125"/>
      <c r="AZ1795" s="125"/>
      <c r="BA1795" s="125"/>
    </row>
    <row r="1796" spans="2:53" s="123" customFormat="1">
      <c r="B1796" s="125"/>
      <c r="D1796" s="125"/>
      <c r="I1796" s="125"/>
      <c r="Z1796" s="124"/>
      <c r="AA1796" s="74"/>
      <c r="AB1796" s="240"/>
      <c r="AD1796" s="124"/>
      <c r="AE1796" s="238"/>
      <c r="AF1796" s="239"/>
      <c r="AG1796" s="239"/>
      <c r="AH1796" s="124"/>
      <c r="AI1796" s="74"/>
      <c r="AJ1796" s="240"/>
      <c r="AL1796" s="124"/>
      <c r="AM1796" s="74"/>
      <c r="AP1796" s="125"/>
      <c r="AQ1796" s="241"/>
      <c r="AR1796" s="125"/>
      <c r="AS1796" s="125"/>
      <c r="AT1796" s="238"/>
      <c r="AU1796" s="125"/>
      <c r="AV1796" s="125"/>
      <c r="AW1796" s="125"/>
      <c r="AX1796" s="238"/>
      <c r="AY1796" s="125"/>
      <c r="AZ1796" s="125"/>
      <c r="BA1796" s="125"/>
    </row>
    <row r="1797" spans="2:53" s="123" customFormat="1">
      <c r="B1797" s="125"/>
      <c r="D1797" s="125"/>
      <c r="I1797" s="125"/>
      <c r="Z1797" s="124"/>
      <c r="AA1797" s="74"/>
      <c r="AB1797" s="240"/>
      <c r="AD1797" s="124"/>
      <c r="AE1797" s="238"/>
      <c r="AF1797" s="239"/>
      <c r="AG1797" s="239"/>
      <c r="AH1797" s="124"/>
      <c r="AI1797" s="74"/>
      <c r="AJ1797" s="240"/>
      <c r="AL1797" s="124"/>
      <c r="AM1797" s="74"/>
      <c r="AP1797" s="125"/>
      <c r="AQ1797" s="241"/>
      <c r="AR1797" s="125"/>
      <c r="AS1797" s="125"/>
      <c r="AT1797" s="238"/>
      <c r="AU1797" s="125"/>
      <c r="AV1797" s="125"/>
      <c r="AW1797" s="125"/>
      <c r="AX1797" s="238"/>
      <c r="AY1797" s="125"/>
      <c r="AZ1797" s="125"/>
      <c r="BA1797" s="125"/>
    </row>
    <row r="1798" spans="2:53" s="123" customFormat="1">
      <c r="B1798" s="125"/>
      <c r="D1798" s="125"/>
      <c r="I1798" s="125"/>
      <c r="Z1798" s="124"/>
      <c r="AA1798" s="74"/>
      <c r="AB1798" s="240"/>
      <c r="AD1798" s="124"/>
      <c r="AE1798" s="238"/>
      <c r="AF1798" s="239"/>
      <c r="AG1798" s="239"/>
      <c r="AH1798" s="124"/>
      <c r="AI1798" s="74"/>
      <c r="AJ1798" s="240"/>
      <c r="AL1798" s="124"/>
      <c r="AM1798" s="74"/>
      <c r="AP1798" s="125"/>
      <c r="AQ1798" s="241"/>
      <c r="AR1798" s="125"/>
      <c r="AS1798" s="125"/>
      <c r="AT1798" s="238"/>
      <c r="AU1798" s="125"/>
      <c r="AV1798" s="125"/>
      <c r="AW1798" s="125"/>
      <c r="AX1798" s="238"/>
      <c r="AY1798" s="125"/>
      <c r="AZ1798" s="125"/>
      <c r="BA1798" s="125"/>
    </row>
    <row r="1799" spans="2:53" s="123" customFormat="1">
      <c r="B1799" s="125"/>
      <c r="D1799" s="125"/>
      <c r="I1799" s="125"/>
      <c r="Z1799" s="124"/>
      <c r="AA1799" s="74"/>
      <c r="AB1799" s="240"/>
      <c r="AD1799" s="124"/>
      <c r="AE1799" s="238"/>
      <c r="AF1799" s="239"/>
      <c r="AG1799" s="239"/>
      <c r="AH1799" s="124"/>
      <c r="AI1799" s="74"/>
      <c r="AJ1799" s="240"/>
      <c r="AL1799" s="124"/>
      <c r="AM1799" s="74"/>
      <c r="AP1799" s="125"/>
      <c r="AQ1799" s="241"/>
      <c r="AR1799" s="125"/>
      <c r="AS1799" s="125"/>
      <c r="AT1799" s="238"/>
      <c r="AU1799" s="125"/>
      <c r="AV1799" s="125"/>
      <c r="AW1799" s="125"/>
      <c r="AX1799" s="238"/>
      <c r="AY1799" s="125"/>
      <c r="AZ1799" s="125"/>
      <c r="BA1799" s="125"/>
    </row>
    <row r="1800" spans="2:53" s="123" customFormat="1">
      <c r="B1800" s="125"/>
      <c r="D1800" s="125"/>
      <c r="I1800" s="125"/>
      <c r="Z1800" s="124"/>
      <c r="AA1800" s="74"/>
      <c r="AB1800" s="240"/>
      <c r="AD1800" s="124"/>
      <c r="AE1800" s="238"/>
      <c r="AF1800" s="239"/>
      <c r="AG1800" s="239"/>
      <c r="AH1800" s="124"/>
      <c r="AI1800" s="74"/>
      <c r="AJ1800" s="240"/>
      <c r="AL1800" s="124"/>
      <c r="AM1800" s="74"/>
      <c r="AP1800" s="125"/>
      <c r="AQ1800" s="241"/>
      <c r="AR1800" s="125"/>
      <c r="AS1800" s="125"/>
      <c r="AT1800" s="238"/>
      <c r="AU1800" s="125"/>
      <c r="AV1800" s="125"/>
      <c r="AW1800" s="125"/>
      <c r="AX1800" s="238"/>
      <c r="AY1800" s="125"/>
      <c r="AZ1800" s="125"/>
      <c r="BA1800" s="125"/>
    </row>
    <row r="1801" spans="2:53" s="123" customFormat="1">
      <c r="B1801" s="125"/>
      <c r="D1801" s="125"/>
      <c r="I1801" s="125"/>
      <c r="Z1801" s="124"/>
      <c r="AA1801" s="74"/>
      <c r="AB1801" s="240"/>
      <c r="AD1801" s="124"/>
      <c r="AE1801" s="238"/>
      <c r="AF1801" s="239"/>
      <c r="AG1801" s="239"/>
      <c r="AH1801" s="124"/>
      <c r="AI1801" s="74"/>
      <c r="AJ1801" s="240"/>
      <c r="AL1801" s="124"/>
      <c r="AM1801" s="74"/>
      <c r="AP1801" s="125"/>
      <c r="AQ1801" s="241"/>
      <c r="AR1801" s="125"/>
      <c r="AS1801" s="125"/>
      <c r="AT1801" s="238"/>
      <c r="AU1801" s="125"/>
      <c r="AV1801" s="125"/>
      <c r="AW1801" s="125"/>
      <c r="AX1801" s="238"/>
      <c r="AY1801" s="125"/>
      <c r="AZ1801" s="125"/>
      <c r="BA1801" s="125"/>
    </row>
    <row r="1802" spans="2:53" s="123" customFormat="1">
      <c r="B1802" s="125"/>
      <c r="D1802" s="125"/>
      <c r="I1802" s="125"/>
      <c r="Z1802" s="124"/>
      <c r="AA1802" s="74"/>
      <c r="AB1802" s="240"/>
      <c r="AD1802" s="124"/>
      <c r="AE1802" s="238"/>
      <c r="AF1802" s="239"/>
      <c r="AG1802" s="239"/>
      <c r="AH1802" s="124"/>
      <c r="AI1802" s="74"/>
      <c r="AJ1802" s="240"/>
      <c r="AL1802" s="124"/>
      <c r="AM1802" s="74"/>
      <c r="AP1802" s="125"/>
      <c r="AQ1802" s="241"/>
      <c r="AR1802" s="125"/>
      <c r="AS1802" s="125"/>
      <c r="AT1802" s="238"/>
      <c r="AU1802" s="125"/>
      <c r="AV1802" s="125"/>
      <c r="AW1802" s="125"/>
      <c r="AX1802" s="238"/>
      <c r="AY1802" s="125"/>
      <c r="AZ1802" s="125"/>
      <c r="BA1802" s="125"/>
    </row>
    <row r="1803" spans="2:53" s="123" customFormat="1">
      <c r="B1803" s="125"/>
      <c r="D1803" s="125"/>
      <c r="I1803" s="125"/>
      <c r="Z1803" s="124"/>
      <c r="AA1803" s="74"/>
      <c r="AB1803" s="240"/>
      <c r="AD1803" s="124"/>
      <c r="AE1803" s="238"/>
      <c r="AF1803" s="239"/>
      <c r="AG1803" s="239"/>
      <c r="AH1803" s="124"/>
      <c r="AI1803" s="74"/>
      <c r="AJ1803" s="240"/>
      <c r="AL1803" s="124"/>
      <c r="AM1803" s="74"/>
      <c r="AP1803" s="125"/>
      <c r="AQ1803" s="241"/>
      <c r="AR1803" s="125"/>
      <c r="AS1803" s="125"/>
      <c r="AT1803" s="238"/>
      <c r="AU1803" s="125"/>
      <c r="AV1803" s="125"/>
      <c r="AW1803" s="125"/>
      <c r="AX1803" s="238"/>
      <c r="AY1803" s="125"/>
      <c r="AZ1803" s="125"/>
      <c r="BA1803" s="125"/>
    </row>
    <row r="1804" spans="2:53" s="123" customFormat="1">
      <c r="B1804" s="125"/>
      <c r="D1804" s="125"/>
      <c r="I1804" s="125"/>
      <c r="Z1804" s="124"/>
      <c r="AA1804" s="74"/>
      <c r="AB1804" s="240"/>
      <c r="AD1804" s="124"/>
      <c r="AE1804" s="238"/>
      <c r="AF1804" s="239"/>
      <c r="AG1804" s="239"/>
      <c r="AH1804" s="124"/>
      <c r="AI1804" s="74"/>
      <c r="AJ1804" s="240"/>
      <c r="AL1804" s="124"/>
      <c r="AM1804" s="74"/>
      <c r="AP1804" s="125"/>
      <c r="AQ1804" s="241"/>
      <c r="AR1804" s="125"/>
      <c r="AS1804" s="125"/>
      <c r="AT1804" s="238"/>
      <c r="AU1804" s="125"/>
      <c r="AV1804" s="125"/>
      <c r="AW1804" s="125"/>
      <c r="AX1804" s="238"/>
      <c r="AY1804" s="125"/>
      <c r="AZ1804" s="125"/>
      <c r="BA1804" s="125"/>
    </row>
    <row r="1805" spans="2:53" s="123" customFormat="1">
      <c r="B1805" s="125"/>
      <c r="D1805" s="125"/>
      <c r="I1805" s="125"/>
      <c r="Z1805" s="124"/>
      <c r="AA1805" s="74"/>
      <c r="AB1805" s="240"/>
      <c r="AD1805" s="124"/>
      <c r="AE1805" s="238"/>
      <c r="AF1805" s="239"/>
      <c r="AG1805" s="239"/>
      <c r="AH1805" s="124"/>
      <c r="AI1805" s="74"/>
      <c r="AJ1805" s="240"/>
      <c r="AL1805" s="124"/>
      <c r="AM1805" s="74"/>
      <c r="AP1805" s="125"/>
      <c r="AQ1805" s="241"/>
      <c r="AR1805" s="125"/>
      <c r="AS1805" s="125"/>
      <c r="AT1805" s="238"/>
      <c r="AU1805" s="125"/>
      <c r="AV1805" s="125"/>
      <c r="AW1805" s="125"/>
      <c r="AX1805" s="238"/>
      <c r="AY1805" s="125"/>
      <c r="AZ1805" s="125"/>
      <c r="BA1805" s="125"/>
    </row>
    <row r="1806" spans="2:53" s="123" customFormat="1">
      <c r="B1806" s="125"/>
      <c r="D1806" s="125"/>
      <c r="I1806" s="125"/>
      <c r="Z1806" s="124"/>
      <c r="AA1806" s="74"/>
      <c r="AB1806" s="240"/>
      <c r="AD1806" s="124"/>
      <c r="AE1806" s="238"/>
      <c r="AF1806" s="239"/>
      <c r="AG1806" s="239"/>
      <c r="AH1806" s="124"/>
      <c r="AI1806" s="74"/>
      <c r="AJ1806" s="240"/>
      <c r="AL1806" s="124"/>
      <c r="AM1806" s="74"/>
      <c r="AP1806" s="125"/>
      <c r="AQ1806" s="241"/>
      <c r="AR1806" s="125"/>
      <c r="AS1806" s="125"/>
      <c r="AT1806" s="238"/>
      <c r="AU1806" s="125"/>
      <c r="AV1806" s="125"/>
      <c r="AW1806" s="125"/>
      <c r="AX1806" s="238"/>
      <c r="AY1806" s="125"/>
      <c r="AZ1806" s="125"/>
      <c r="BA1806" s="125"/>
    </row>
    <row r="1807" spans="2:53" s="123" customFormat="1">
      <c r="B1807" s="125"/>
      <c r="D1807" s="125"/>
      <c r="I1807" s="125"/>
      <c r="Z1807" s="124"/>
      <c r="AA1807" s="74"/>
      <c r="AB1807" s="240"/>
      <c r="AD1807" s="124"/>
      <c r="AE1807" s="238"/>
      <c r="AF1807" s="239"/>
      <c r="AG1807" s="239"/>
      <c r="AH1807" s="124"/>
      <c r="AI1807" s="74"/>
      <c r="AJ1807" s="240"/>
      <c r="AL1807" s="124"/>
      <c r="AM1807" s="74"/>
      <c r="AP1807" s="125"/>
      <c r="AQ1807" s="241"/>
      <c r="AR1807" s="125"/>
      <c r="AS1807" s="125"/>
      <c r="AT1807" s="238"/>
      <c r="AU1807" s="125"/>
      <c r="AV1807" s="125"/>
      <c r="AW1807" s="125"/>
      <c r="AX1807" s="238"/>
      <c r="AY1807" s="125"/>
      <c r="AZ1807" s="125"/>
      <c r="BA1807" s="125"/>
    </row>
    <row r="1808" spans="2:53" s="123" customFormat="1">
      <c r="B1808" s="125"/>
      <c r="D1808" s="125"/>
      <c r="I1808" s="125"/>
      <c r="Z1808" s="124"/>
      <c r="AA1808" s="74"/>
      <c r="AB1808" s="240"/>
      <c r="AD1808" s="124"/>
      <c r="AE1808" s="238"/>
      <c r="AF1808" s="239"/>
      <c r="AG1808" s="239"/>
      <c r="AH1808" s="124"/>
      <c r="AI1808" s="74"/>
      <c r="AJ1808" s="240"/>
      <c r="AL1808" s="124"/>
      <c r="AM1808" s="74"/>
      <c r="AP1808" s="125"/>
      <c r="AQ1808" s="241"/>
      <c r="AR1808" s="125"/>
      <c r="AS1808" s="125"/>
      <c r="AT1808" s="238"/>
      <c r="AU1808" s="125"/>
      <c r="AV1808" s="125"/>
      <c r="AW1808" s="125"/>
      <c r="AX1808" s="238"/>
      <c r="AY1808" s="125"/>
      <c r="AZ1808" s="125"/>
      <c r="BA1808" s="125"/>
    </row>
    <row r="1809" spans="2:53" s="123" customFormat="1">
      <c r="B1809" s="125"/>
      <c r="D1809" s="125"/>
      <c r="I1809" s="125"/>
      <c r="Z1809" s="124"/>
      <c r="AA1809" s="74"/>
      <c r="AB1809" s="240"/>
      <c r="AD1809" s="124"/>
      <c r="AE1809" s="238"/>
      <c r="AF1809" s="239"/>
      <c r="AG1809" s="239"/>
      <c r="AH1809" s="124"/>
      <c r="AI1809" s="74"/>
      <c r="AJ1809" s="240"/>
      <c r="AL1809" s="124"/>
      <c r="AM1809" s="74"/>
      <c r="AP1809" s="125"/>
      <c r="AQ1809" s="241"/>
      <c r="AR1809" s="125"/>
      <c r="AS1809" s="125"/>
      <c r="AT1809" s="238"/>
      <c r="AU1809" s="125"/>
      <c r="AV1809" s="125"/>
      <c r="AW1809" s="125"/>
      <c r="AX1809" s="238"/>
      <c r="AY1809" s="125"/>
      <c r="AZ1809" s="125"/>
      <c r="BA1809" s="125"/>
    </row>
    <row r="1810" spans="2:53" s="123" customFormat="1">
      <c r="B1810" s="125"/>
      <c r="D1810" s="125"/>
      <c r="I1810" s="125"/>
      <c r="Z1810" s="124"/>
      <c r="AA1810" s="74"/>
      <c r="AB1810" s="240"/>
      <c r="AD1810" s="124"/>
      <c r="AE1810" s="238"/>
      <c r="AF1810" s="239"/>
      <c r="AG1810" s="239"/>
      <c r="AH1810" s="124"/>
      <c r="AI1810" s="74"/>
      <c r="AJ1810" s="240"/>
      <c r="AL1810" s="124"/>
      <c r="AM1810" s="74"/>
      <c r="AP1810" s="125"/>
      <c r="AQ1810" s="241"/>
      <c r="AR1810" s="125"/>
      <c r="AS1810" s="125"/>
      <c r="AT1810" s="238"/>
      <c r="AU1810" s="125"/>
      <c r="AV1810" s="125"/>
      <c r="AW1810" s="125"/>
      <c r="AX1810" s="238"/>
      <c r="AY1810" s="125"/>
      <c r="AZ1810" s="125"/>
      <c r="BA1810" s="125"/>
    </row>
    <row r="1811" spans="2:53" s="123" customFormat="1">
      <c r="B1811" s="125"/>
      <c r="D1811" s="125"/>
      <c r="I1811" s="125"/>
      <c r="Z1811" s="124"/>
      <c r="AA1811" s="74"/>
      <c r="AB1811" s="240"/>
      <c r="AD1811" s="124"/>
      <c r="AE1811" s="238"/>
      <c r="AF1811" s="239"/>
      <c r="AG1811" s="239"/>
      <c r="AH1811" s="124"/>
      <c r="AI1811" s="74"/>
      <c r="AJ1811" s="240"/>
      <c r="AL1811" s="124"/>
      <c r="AM1811" s="74"/>
      <c r="AP1811" s="125"/>
      <c r="AQ1811" s="241"/>
      <c r="AR1811" s="125"/>
      <c r="AS1811" s="125"/>
      <c r="AT1811" s="238"/>
      <c r="AU1811" s="125"/>
      <c r="AV1811" s="125"/>
      <c r="AW1811" s="125"/>
      <c r="AX1811" s="238"/>
      <c r="AY1811" s="125"/>
      <c r="AZ1811" s="125"/>
      <c r="BA1811" s="125"/>
    </row>
    <row r="1812" spans="2:53" s="123" customFormat="1">
      <c r="B1812" s="125"/>
      <c r="D1812" s="125"/>
      <c r="I1812" s="125"/>
      <c r="Z1812" s="124"/>
      <c r="AA1812" s="74"/>
      <c r="AB1812" s="240"/>
      <c r="AD1812" s="124"/>
      <c r="AE1812" s="238"/>
      <c r="AF1812" s="239"/>
      <c r="AG1812" s="239"/>
      <c r="AH1812" s="124"/>
      <c r="AI1812" s="74"/>
      <c r="AJ1812" s="240"/>
      <c r="AL1812" s="124"/>
      <c r="AM1812" s="74"/>
      <c r="AP1812" s="125"/>
      <c r="AQ1812" s="241"/>
      <c r="AR1812" s="125"/>
      <c r="AS1812" s="125"/>
      <c r="AT1812" s="238"/>
      <c r="AU1812" s="125"/>
      <c r="AV1812" s="125"/>
      <c r="AW1812" s="125"/>
      <c r="AX1812" s="238"/>
      <c r="AY1812" s="125"/>
      <c r="AZ1812" s="125"/>
      <c r="BA1812" s="125"/>
    </row>
    <row r="1813" spans="2:53" s="123" customFormat="1">
      <c r="B1813" s="125"/>
      <c r="D1813" s="125"/>
      <c r="I1813" s="125"/>
      <c r="Z1813" s="124"/>
      <c r="AA1813" s="74"/>
      <c r="AB1813" s="240"/>
      <c r="AD1813" s="124"/>
      <c r="AE1813" s="238"/>
      <c r="AF1813" s="239"/>
      <c r="AG1813" s="239"/>
      <c r="AH1813" s="124"/>
      <c r="AI1813" s="74"/>
      <c r="AJ1813" s="240"/>
      <c r="AL1813" s="124"/>
      <c r="AM1813" s="74"/>
      <c r="AP1813" s="125"/>
      <c r="AQ1813" s="241"/>
      <c r="AR1813" s="125"/>
      <c r="AS1813" s="125"/>
      <c r="AT1813" s="238"/>
      <c r="AU1813" s="125"/>
      <c r="AV1813" s="125"/>
      <c r="AW1813" s="125"/>
      <c r="AX1813" s="238"/>
      <c r="AY1813" s="125"/>
      <c r="AZ1813" s="125"/>
      <c r="BA1813" s="125"/>
    </row>
    <row r="1814" spans="2:53" s="123" customFormat="1">
      <c r="B1814" s="125"/>
      <c r="D1814" s="125"/>
      <c r="I1814" s="125"/>
      <c r="Z1814" s="124"/>
      <c r="AA1814" s="74"/>
      <c r="AB1814" s="240"/>
      <c r="AD1814" s="124"/>
      <c r="AE1814" s="238"/>
      <c r="AF1814" s="239"/>
      <c r="AG1814" s="239"/>
      <c r="AH1814" s="124"/>
      <c r="AI1814" s="74"/>
      <c r="AJ1814" s="240"/>
      <c r="AL1814" s="124"/>
      <c r="AM1814" s="74"/>
      <c r="AP1814" s="125"/>
      <c r="AQ1814" s="241"/>
      <c r="AR1814" s="125"/>
      <c r="AS1814" s="125"/>
      <c r="AT1814" s="238"/>
      <c r="AU1814" s="125"/>
      <c r="AV1814" s="125"/>
      <c r="AW1814" s="125"/>
      <c r="AX1814" s="238"/>
      <c r="AY1814" s="125"/>
      <c r="AZ1814" s="125"/>
      <c r="BA1814" s="125"/>
    </row>
    <row r="1815" spans="2:53" s="123" customFormat="1">
      <c r="B1815" s="125"/>
      <c r="D1815" s="125"/>
      <c r="I1815" s="125"/>
      <c r="Z1815" s="124"/>
      <c r="AA1815" s="74"/>
      <c r="AB1815" s="240"/>
      <c r="AD1815" s="124"/>
      <c r="AE1815" s="238"/>
      <c r="AF1815" s="239"/>
      <c r="AG1815" s="239"/>
      <c r="AH1815" s="124"/>
      <c r="AI1815" s="74"/>
      <c r="AJ1815" s="240"/>
      <c r="AL1815" s="124"/>
      <c r="AM1815" s="74"/>
      <c r="AP1815" s="125"/>
      <c r="AQ1815" s="241"/>
      <c r="AR1815" s="125"/>
      <c r="AS1815" s="125"/>
      <c r="AT1815" s="238"/>
      <c r="AU1815" s="125"/>
      <c r="AV1815" s="125"/>
      <c r="AW1815" s="125"/>
      <c r="AX1815" s="238"/>
      <c r="AY1815" s="125"/>
      <c r="AZ1815" s="125"/>
      <c r="BA1815" s="125"/>
    </row>
    <row r="1816" spans="2:53" s="123" customFormat="1">
      <c r="B1816" s="125"/>
      <c r="D1816" s="125"/>
      <c r="I1816" s="125"/>
      <c r="Z1816" s="124"/>
      <c r="AA1816" s="74"/>
      <c r="AB1816" s="240"/>
      <c r="AD1816" s="124"/>
      <c r="AE1816" s="238"/>
      <c r="AF1816" s="239"/>
      <c r="AG1816" s="239"/>
      <c r="AH1816" s="124"/>
      <c r="AI1816" s="74"/>
      <c r="AJ1816" s="240"/>
      <c r="AL1816" s="124"/>
      <c r="AM1816" s="74"/>
      <c r="AP1816" s="125"/>
      <c r="AQ1816" s="241"/>
      <c r="AR1816" s="125"/>
      <c r="AS1816" s="125"/>
      <c r="AT1816" s="238"/>
      <c r="AU1816" s="125"/>
      <c r="AV1816" s="125"/>
      <c r="AW1816" s="125"/>
      <c r="AX1816" s="238"/>
      <c r="AY1816" s="125"/>
      <c r="AZ1816" s="125"/>
      <c r="BA1816" s="125"/>
    </row>
    <row r="1817" spans="2:53" s="123" customFormat="1">
      <c r="B1817" s="125"/>
      <c r="D1817" s="125"/>
      <c r="I1817" s="125"/>
      <c r="Z1817" s="124"/>
      <c r="AA1817" s="74"/>
      <c r="AB1817" s="240"/>
      <c r="AD1817" s="124"/>
      <c r="AE1817" s="238"/>
      <c r="AF1817" s="239"/>
      <c r="AG1817" s="239"/>
      <c r="AH1817" s="124"/>
      <c r="AI1817" s="74"/>
      <c r="AJ1817" s="240"/>
      <c r="AL1817" s="124"/>
      <c r="AM1817" s="74"/>
      <c r="AP1817" s="125"/>
      <c r="AQ1817" s="241"/>
      <c r="AR1817" s="125"/>
      <c r="AS1817" s="125"/>
      <c r="AT1817" s="238"/>
      <c r="AU1817" s="125"/>
      <c r="AV1817" s="125"/>
      <c r="AW1817" s="125"/>
      <c r="AX1817" s="238"/>
      <c r="AY1817" s="125"/>
      <c r="AZ1817" s="125"/>
      <c r="BA1817" s="125"/>
    </row>
    <row r="1818" spans="2:53" s="123" customFormat="1">
      <c r="B1818" s="125"/>
      <c r="D1818" s="125"/>
      <c r="I1818" s="125"/>
      <c r="Z1818" s="124"/>
      <c r="AA1818" s="74"/>
      <c r="AB1818" s="240"/>
      <c r="AD1818" s="124"/>
      <c r="AE1818" s="238"/>
      <c r="AF1818" s="239"/>
      <c r="AG1818" s="239"/>
      <c r="AH1818" s="124"/>
      <c r="AI1818" s="74"/>
      <c r="AJ1818" s="240"/>
      <c r="AL1818" s="124"/>
      <c r="AM1818" s="74"/>
      <c r="AP1818" s="125"/>
      <c r="AQ1818" s="241"/>
      <c r="AR1818" s="125"/>
      <c r="AS1818" s="125"/>
      <c r="AT1818" s="238"/>
      <c r="AU1818" s="125"/>
      <c r="AV1818" s="125"/>
      <c r="AW1818" s="125"/>
      <c r="AX1818" s="238"/>
      <c r="AY1818" s="125"/>
      <c r="AZ1818" s="125"/>
      <c r="BA1818" s="125"/>
    </row>
    <row r="1819" spans="2:53" s="123" customFormat="1">
      <c r="B1819" s="125"/>
      <c r="D1819" s="125"/>
      <c r="I1819" s="125"/>
      <c r="Z1819" s="124"/>
      <c r="AA1819" s="74"/>
      <c r="AB1819" s="240"/>
      <c r="AD1819" s="124"/>
      <c r="AE1819" s="238"/>
      <c r="AF1819" s="239"/>
      <c r="AG1819" s="239"/>
      <c r="AH1819" s="124"/>
      <c r="AI1819" s="74"/>
      <c r="AJ1819" s="240"/>
      <c r="AL1819" s="124"/>
      <c r="AM1819" s="74"/>
      <c r="AP1819" s="125"/>
      <c r="AQ1819" s="241"/>
      <c r="AR1819" s="125"/>
      <c r="AS1819" s="125"/>
      <c r="AT1819" s="238"/>
      <c r="AU1819" s="125"/>
      <c r="AV1819" s="125"/>
      <c r="AW1819" s="125"/>
      <c r="AX1819" s="238"/>
      <c r="AY1819" s="125"/>
      <c r="AZ1819" s="125"/>
      <c r="BA1819" s="125"/>
    </row>
    <row r="1820" spans="2:53" s="123" customFormat="1">
      <c r="B1820" s="125"/>
      <c r="D1820" s="125"/>
      <c r="I1820" s="125"/>
      <c r="Z1820" s="124"/>
      <c r="AA1820" s="74"/>
      <c r="AB1820" s="240"/>
      <c r="AD1820" s="124"/>
      <c r="AE1820" s="238"/>
      <c r="AF1820" s="239"/>
      <c r="AG1820" s="239"/>
      <c r="AH1820" s="124"/>
      <c r="AI1820" s="74"/>
      <c r="AJ1820" s="240"/>
      <c r="AL1820" s="124"/>
      <c r="AM1820" s="74"/>
      <c r="AP1820" s="125"/>
      <c r="AQ1820" s="241"/>
      <c r="AR1820" s="125"/>
      <c r="AS1820" s="125"/>
      <c r="AT1820" s="238"/>
      <c r="AU1820" s="125"/>
      <c r="AV1820" s="125"/>
      <c r="AW1820" s="125"/>
      <c r="AX1820" s="238"/>
      <c r="AY1820" s="125"/>
      <c r="AZ1820" s="125"/>
      <c r="BA1820" s="125"/>
    </row>
    <row r="1821" spans="2:53" s="123" customFormat="1">
      <c r="B1821" s="125"/>
      <c r="D1821" s="125"/>
      <c r="I1821" s="125"/>
      <c r="Z1821" s="124"/>
      <c r="AA1821" s="74"/>
      <c r="AB1821" s="240"/>
      <c r="AD1821" s="124"/>
      <c r="AE1821" s="238"/>
      <c r="AF1821" s="239"/>
      <c r="AG1821" s="239"/>
      <c r="AH1821" s="124"/>
      <c r="AI1821" s="74"/>
      <c r="AJ1821" s="240"/>
      <c r="AL1821" s="124"/>
      <c r="AM1821" s="74"/>
      <c r="AP1821" s="125"/>
      <c r="AQ1821" s="241"/>
      <c r="AR1821" s="125"/>
      <c r="AS1821" s="125"/>
      <c r="AT1821" s="238"/>
      <c r="AU1821" s="125"/>
      <c r="AV1821" s="125"/>
      <c r="AW1821" s="125"/>
      <c r="AX1821" s="238"/>
      <c r="AY1821" s="125"/>
      <c r="AZ1821" s="125"/>
      <c r="BA1821" s="125"/>
    </row>
    <row r="1822" spans="2:53" s="123" customFormat="1">
      <c r="B1822" s="125"/>
      <c r="D1822" s="125"/>
      <c r="I1822" s="125"/>
      <c r="Z1822" s="124"/>
      <c r="AA1822" s="74"/>
      <c r="AB1822" s="240"/>
      <c r="AD1822" s="124"/>
      <c r="AE1822" s="238"/>
      <c r="AF1822" s="239"/>
      <c r="AG1822" s="239"/>
      <c r="AH1822" s="124"/>
      <c r="AI1822" s="74"/>
      <c r="AJ1822" s="240"/>
      <c r="AL1822" s="124"/>
      <c r="AM1822" s="74"/>
      <c r="AP1822" s="125"/>
      <c r="AQ1822" s="241"/>
      <c r="AR1822" s="125"/>
      <c r="AS1822" s="125"/>
      <c r="AT1822" s="238"/>
      <c r="AU1822" s="125"/>
      <c r="AV1822" s="125"/>
      <c r="AW1822" s="125"/>
      <c r="AX1822" s="238"/>
      <c r="AY1822" s="125"/>
      <c r="AZ1822" s="125"/>
      <c r="BA1822" s="125"/>
    </row>
    <row r="1823" spans="2:53" s="123" customFormat="1">
      <c r="B1823" s="125"/>
      <c r="D1823" s="125"/>
      <c r="I1823" s="125"/>
      <c r="Z1823" s="124"/>
      <c r="AA1823" s="74"/>
      <c r="AB1823" s="240"/>
      <c r="AD1823" s="124"/>
      <c r="AE1823" s="238"/>
      <c r="AF1823" s="239"/>
      <c r="AG1823" s="239"/>
      <c r="AH1823" s="124"/>
      <c r="AI1823" s="74"/>
      <c r="AJ1823" s="240"/>
      <c r="AL1823" s="124"/>
      <c r="AM1823" s="74"/>
      <c r="AP1823" s="125"/>
      <c r="AQ1823" s="241"/>
      <c r="AR1823" s="125"/>
      <c r="AS1823" s="125"/>
      <c r="AT1823" s="238"/>
      <c r="AU1823" s="125"/>
      <c r="AV1823" s="125"/>
      <c r="AW1823" s="125"/>
      <c r="AX1823" s="238"/>
      <c r="AY1823" s="125"/>
      <c r="AZ1823" s="125"/>
      <c r="BA1823" s="125"/>
    </row>
    <row r="1824" spans="2:53" s="123" customFormat="1">
      <c r="B1824" s="125"/>
      <c r="D1824" s="125"/>
      <c r="I1824" s="125"/>
      <c r="Z1824" s="124"/>
      <c r="AA1824" s="74"/>
      <c r="AB1824" s="240"/>
      <c r="AD1824" s="124"/>
      <c r="AE1824" s="238"/>
      <c r="AF1824" s="239"/>
      <c r="AG1824" s="239"/>
      <c r="AH1824" s="124"/>
      <c r="AI1824" s="74"/>
      <c r="AJ1824" s="240"/>
      <c r="AL1824" s="124"/>
      <c r="AM1824" s="74"/>
      <c r="AP1824" s="125"/>
      <c r="AQ1824" s="241"/>
      <c r="AR1824" s="125"/>
      <c r="AS1824" s="125"/>
      <c r="AT1824" s="238"/>
      <c r="AU1824" s="125"/>
      <c r="AV1824" s="125"/>
      <c r="AW1824" s="125"/>
      <c r="AX1824" s="238"/>
      <c r="AY1824" s="125"/>
      <c r="AZ1824" s="125"/>
      <c r="BA1824" s="125"/>
    </row>
    <row r="1825" spans="2:53" s="123" customFormat="1">
      <c r="B1825" s="125"/>
      <c r="D1825" s="125"/>
      <c r="I1825" s="125"/>
      <c r="Z1825" s="124"/>
      <c r="AA1825" s="74"/>
      <c r="AB1825" s="240"/>
      <c r="AD1825" s="124"/>
      <c r="AE1825" s="238"/>
      <c r="AF1825" s="239"/>
      <c r="AG1825" s="239"/>
      <c r="AH1825" s="124"/>
      <c r="AI1825" s="74"/>
      <c r="AJ1825" s="240"/>
      <c r="AL1825" s="124"/>
      <c r="AM1825" s="74"/>
      <c r="AP1825" s="125"/>
      <c r="AQ1825" s="241"/>
      <c r="AR1825" s="125"/>
      <c r="AS1825" s="125"/>
      <c r="AT1825" s="238"/>
      <c r="AU1825" s="125"/>
      <c r="AV1825" s="125"/>
      <c r="AW1825" s="125"/>
      <c r="AX1825" s="238"/>
      <c r="AY1825" s="125"/>
      <c r="AZ1825" s="125"/>
      <c r="BA1825" s="125"/>
    </row>
    <row r="1826" spans="2:53" s="123" customFormat="1">
      <c r="B1826" s="125"/>
      <c r="D1826" s="125"/>
      <c r="I1826" s="125"/>
      <c r="Z1826" s="124"/>
      <c r="AA1826" s="74"/>
      <c r="AB1826" s="240"/>
      <c r="AD1826" s="124"/>
      <c r="AE1826" s="238"/>
      <c r="AF1826" s="239"/>
      <c r="AG1826" s="239"/>
      <c r="AH1826" s="124"/>
      <c r="AI1826" s="74"/>
      <c r="AJ1826" s="240"/>
      <c r="AL1826" s="124"/>
      <c r="AM1826" s="74"/>
      <c r="AP1826" s="125"/>
      <c r="AQ1826" s="241"/>
      <c r="AR1826" s="125"/>
      <c r="AS1826" s="125"/>
      <c r="AT1826" s="238"/>
      <c r="AU1826" s="125"/>
      <c r="AV1826" s="125"/>
      <c r="AW1826" s="125"/>
      <c r="AX1826" s="238"/>
      <c r="AY1826" s="125"/>
      <c r="AZ1826" s="125"/>
      <c r="BA1826" s="125"/>
    </row>
    <row r="1827" spans="2:53" s="123" customFormat="1">
      <c r="B1827" s="125"/>
      <c r="D1827" s="125"/>
      <c r="I1827" s="125"/>
      <c r="Z1827" s="124"/>
      <c r="AA1827" s="74"/>
      <c r="AB1827" s="240"/>
      <c r="AD1827" s="124"/>
      <c r="AE1827" s="238"/>
      <c r="AF1827" s="239"/>
      <c r="AG1827" s="239"/>
      <c r="AH1827" s="124"/>
      <c r="AI1827" s="74"/>
      <c r="AJ1827" s="240"/>
      <c r="AL1827" s="124"/>
      <c r="AM1827" s="74"/>
      <c r="AP1827" s="125"/>
      <c r="AQ1827" s="241"/>
      <c r="AR1827" s="125"/>
      <c r="AS1827" s="125"/>
      <c r="AT1827" s="238"/>
      <c r="AU1827" s="125"/>
      <c r="AV1827" s="125"/>
      <c r="AW1827" s="125"/>
      <c r="AX1827" s="238"/>
      <c r="AY1827" s="125"/>
      <c r="AZ1827" s="125"/>
      <c r="BA1827" s="125"/>
    </row>
    <row r="1828" spans="2:53" s="123" customFormat="1">
      <c r="B1828" s="125"/>
      <c r="D1828" s="125"/>
      <c r="I1828" s="125"/>
      <c r="Z1828" s="124"/>
      <c r="AA1828" s="74"/>
      <c r="AB1828" s="240"/>
      <c r="AD1828" s="124"/>
      <c r="AE1828" s="238"/>
      <c r="AF1828" s="239"/>
      <c r="AG1828" s="239"/>
      <c r="AH1828" s="124"/>
      <c r="AI1828" s="74"/>
      <c r="AJ1828" s="240"/>
      <c r="AL1828" s="124"/>
      <c r="AM1828" s="74"/>
      <c r="AP1828" s="125"/>
      <c r="AQ1828" s="241"/>
      <c r="AR1828" s="125"/>
      <c r="AS1828" s="125"/>
      <c r="AT1828" s="238"/>
      <c r="AU1828" s="125"/>
      <c r="AV1828" s="125"/>
      <c r="AW1828" s="125"/>
      <c r="AX1828" s="238"/>
      <c r="AY1828" s="125"/>
      <c r="AZ1828" s="125"/>
      <c r="BA1828" s="125"/>
    </row>
    <row r="1829" spans="2:53" s="123" customFormat="1">
      <c r="B1829" s="125"/>
      <c r="D1829" s="125"/>
      <c r="I1829" s="125"/>
      <c r="Z1829" s="124"/>
      <c r="AA1829" s="74"/>
      <c r="AB1829" s="240"/>
      <c r="AD1829" s="124"/>
      <c r="AE1829" s="238"/>
      <c r="AF1829" s="239"/>
      <c r="AG1829" s="239"/>
      <c r="AH1829" s="124"/>
      <c r="AI1829" s="74"/>
      <c r="AJ1829" s="240"/>
      <c r="AL1829" s="124"/>
      <c r="AM1829" s="74"/>
      <c r="AP1829" s="125"/>
      <c r="AQ1829" s="241"/>
      <c r="AR1829" s="125"/>
      <c r="AS1829" s="125"/>
      <c r="AT1829" s="238"/>
      <c r="AU1829" s="125"/>
      <c r="AV1829" s="125"/>
      <c r="AW1829" s="125"/>
      <c r="AX1829" s="238"/>
      <c r="AY1829" s="125"/>
      <c r="AZ1829" s="125"/>
      <c r="BA1829" s="125"/>
    </row>
    <row r="1830" spans="2:53" s="123" customFormat="1">
      <c r="B1830" s="125"/>
      <c r="D1830" s="125"/>
      <c r="I1830" s="125"/>
      <c r="Z1830" s="124"/>
      <c r="AA1830" s="74"/>
      <c r="AB1830" s="240"/>
      <c r="AD1830" s="124"/>
      <c r="AE1830" s="238"/>
      <c r="AF1830" s="239"/>
      <c r="AG1830" s="239"/>
      <c r="AH1830" s="124"/>
      <c r="AI1830" s="74"/>
      <c r="AJ1830" s="240"/>
      <c r="AL1830" s="124"/>
      <c r="AM1830" s="74"/>
      <c r="AP1830" s="125"/>
      <c r="AQ1830" s="241"/>
      <c r="AR1830" s="125"/>
      <c r="AS1830" s="125"/>
      <c r="AT1830" s="238"/>
      <c r="AU1830" s="125"/>
      <c r="AV1830" s="125"/>
      <c r="AW1830" s="125"/>
      <c r="AX1830" s="238"/>
      <c r="AY1830" s="125"/>
      <c r="AZ1830" s="125"/>
      <c r="BA1830" s="125"/>
    </row>
    <row r="1831" spans="2:53" s="123" customFormat="1">
      <c r="B1831" s="125"/>
      <c r="D1831" s="125"/>
      <c r="I1831" s="125"/>
      <c r="Z1831" s="124"/>
      <c r="AA1831" s="74"/>
      <c r="AB1831" s="240"/>
      <c r="AD1831" s="124"/>
      <c r="AE1831" s="238"/>
      <c r="AF1831" s="239"/>
      <c r="AG1831" s="239"/>
      <c r="AH1831" s="124"/>
      <c r="AI1831" s="74"/>
      <c r="AJ1831" s="240"/>
      <c r="AL1831" s="124"/>
      <c r="AM1831" s="74"/>
      <c r="AP1831" s="125"/>
      <c r="AQ1831" s="241"/>
      <c r="AR1831" s="125"/>
      <c r="AS1831" s="125"/>
      <c r="AT1831" s="238"/>
      <c r="AU1831" s="125"/>
      <c r="AV1831" s="125"/>
      <c r="AW1831" s="125"/>
      <c r="AX1831" s="238"/>
      <c r="AY1831" s="125"/>
      <c r="AZ1831" s="125"/>
      <c r="BA1831" s="125"/>
    </row>
    <row r="1832" spans="2:53" s="123" customFormat="1">
      <c r="B1832" s="125"/>
      <c r="D1832" s="125"/>
      <c r="I1832" s="125"/>
      <c r="Z1832" s="124"/>
      <c r="AA1832" s="74"/>
      <c r="AB1832" s="240"/>
      <c r="AD1832" s="124"/>
      <c r="AE1832" s="238"/>
      <c r="AF1832" s="239"/>
      <c r="AG1832" s="239"/>
      <c r="AH1832" s="124"/>
      <c r="AI1832" s="74"/>
      <c r="AJ1832" s="240"/>
      <c r="AL1832" s="124"/>
      <c r="AM1832" s="74"/>
      <c r="AP1832" s="125"/>
      <c r="AQ1832" s="241"/>
      <c r="AR1832" s="125"/>
      <c r="AS1832" s="125"/>
      <c r="AT1832" s="238"/>
      <c r="AU1832" s="125"/>
      <c r="AV1832" s="125"/>
      <c r="AW1832" s="125"/>
      <c r="AX1832" s="238"/>
      <c r="AY1832" s="125"/>
      <c r="AZ1832" s="125"/>
      <c r="BA1832" s="125"/>
    </row>
    <row r="1833" spans="2:53" s="123" customFormat="1">
      <c r="B1833" s="125"/>
      <c r="D1833" s="125"/>
      <c r="I1833" s="125"/>
      <c r="Z1833" s="124"/>
      <c r="AA1833" s="74"/>
      <c r="AB1833" s="240"/>
      <c r="AD1833" s="124"/>
      <c r="AE1833" s="238"/>
      <c r="AF1833" s="239"/>
      <c r="AG1833" s="239"/>
      <c r="AH1833" s="124"/>
      <c r="AI1833" s="74"/>
      <c r="AJ1833" s="240"/>
      <c r="AL1833" s="124"/>
      <c r="AM1833" s="74"/>
      <c r="AP1833" s="125"/>
      <c r="AQ1833" s="241"/>
      <c r="AR1833" s="125"/>
      <c r="AS1833" s="125"/>
      <c r="AT1833" s="238"/>
      <c r="AU1833" s="125"/>
      <c r="AV1833" s="125"/>
      <c r="AW1833" s="125"/>
      <c r="AX1833" s="238"/>
      <c r="AY1833" s="125"/>
      <c r="AZ1833" s="125"/>
      <c r="BA1833" s="125"/>
    </row>
    <row r="1834" spans="2:53" s="123" customFormat="1">
      <c r="B1834" s="125"/>
      <c r="D1834" s="125"/>
      <c r="I1834" s="125"/>
      <c r="Z1834" s="124"/>
      <c r="AA1834" s="74"/>
      <c r="AB1834" s="240"/>
      <c r="AD1834" s="124"/>
      <c r="AE1834" s="238"/>
      <c r="AF1834" s="239"/>
      <c r="AG1834" s="239"/>
      <c r="AH1834" s="124"/>
      <c r="AI1834" s="74"/>
      <c r="AJ1834" s="240"/>
      <c r="AL1834" s="124"/>
      <c r="AM1834" s="74"/>
      <c r="AP1834" s="125"/>
      <c r="AQ1834" s="241"/>
      <c r="AR1834" s="125"/>
      <c r="AS1834" s="125"/>
      <c r="AT1834" s="238"/>
      <c r="AU1834" s="125"/>
      <c r="AV1834" s="125"/>
      <c r="AW1834" s="125"/>
      <c r="AX1834" s="238"/>
      <c r="AY1834" s="125"/>
      <c r="AZ1834" s="125"/>
      <c r="BA1834" s="125"/>
    </row>
    <row r="1835" spans="2:53" s="123" customFormat="1">
      <c r="B1835" s="125"/>
      <c r="D1835" s="125"/>
      <c r="I1835" s="125"/>
      <c r="Z1835" s="124"/>
      <c r="AA1835" s="74"/>
      <c r="AB1835" s="240"/>
      <c r="AD1835" s="124"/>
      <c r="AE1835" s="238"/>
      <c r="AF1835" s="239"/>
      <c r="AG1835" s="239"/>
      <c r="AH1835" s="124"/>
      <c r="AI1835" s="74"/>
      <c r="AJ1835" s="240"/>
      <c r="AL1835" s="124"/>
      <c r="AM1835" s="74"/>
      <c r="AP1835" s="125"/>
      <c r="AQ1835" s="241"/>
      <c r="AR1835" s="125"/>
      <c r="AS1835" s="125"/>
      <c r="AT1835" s="238"/>
      <c r="AU1835" s="125"/>
      <c r="AV1835" s="125"/>
      <c r="AW1835" s="125"/>
      <c r="AX1835" s="238"/>
      <c r="AY1835" s="125"/>
      <c r="AZ1835" s="125"/>
      <c r="BA1835" s="125"/>
    </row>
    <row r="1836" spans="2:53" s="123" customFormat="1">
      <c r="B1836" s="125"/>
      <c r="D1836" s="125"/>
      <c r="I1836" s="125"/>
      <c r="Z1836" s="124"/>
      <c r="AA1836" s="74"/>
      <c r="AB1836" s="240"/>
      <c r="AD1836" s="124"/>
      <c r="AE1836" s="238"/>
      <c r="AF1836" s="239"/>
      <c r="AG1836" s="239"/>
      <c r="AH1836" s="124"/>
      <c r="AI1836" s="74"/>
      <c r="AJ1836" s="240"/>
      <c r="AL1836" s="124"/>
      <c r="AM1836" s="74"/>
      <c r="AP1836" s="125"/>
      <c r="AQ1836" s="241"/>
      <c r="AR1836" s="125"/>
      <c r="AS1836" s="125"/>
      <c r="AT1836" s="238"/>
      <c r="AU1836" s="125"/>
      <c r="AV1836" s="125"/>
      <c r="AW1836" s="125"/>
      <c r="AX1836" s="238"/>
      <c r="AY1836" s="125"/>
      <c r="AZ1836" s="125"/>
      <c r="BA1836" s="125"/>
    </row>
    <row r="1837" spans="2:53" s="123" customFormat="1">
      <c r="B1837" s="125"/>
      <c r="D1837" s="125"/>
      <c r="I1837" s="125"/>
      <c r="Z1837" s="124"/>
      <c r="AA1837" s="74"/>
      <c r="AB1837" s="240"/>
      <c r="AD1837" s="124"/>
      <c r="AE1837" s="238"/>
      <c r="AF1837" s="239"/>
      <c r="AG1837" s="239"/>
      <c r="AH1837" s="124"/>
      <c r="AI1837" s="74"/>
      <c r="AJ1837" s="240"/>
      <c r="AL1837" s="124"/>
      <c r="AM1837" s="74"/>
      <c r="AP1837" s="125"/>
      <c r="AQ1837" s="241"/>
      <c r="AR1837" s="125"/>
      <c r="AS1837" s="125"/>
      <c r="AT1837" s="238"/>
      <c r="AU1837" s="125"/>
      <c r="AV1837" s="125"/>
      <c r="AW1837" s="125"/>
      <c r="AX1837" s="238"/>
      <c r="AY1837" s="125"/>
      <c r="AZ1837" s="125"/>
      <c r="BA1837" s="125"/>
    </row>
    <row r="1838" spans="2:53" s="123" customFormat="1">
      <c r="B1838" s="125"/>
      <c r="D1838" s="125"/>
      <c r="I1838" s="125"/>
      <c r="Z1838" s="124"/>
      <c r="AA1838" s="74"/>
      <c r="AB1838" s="240"/>
      <c r="AD1838" s="124"/>
      <c r="AE1838" s="238"/>
      <c r="AF1838" s="239"/>
      <c r="AG1838" s="239"/>
      <c r="AH1838" s="124"/>
      <c r="AI1838" s="74"/>
      <c r="AJ1838" s="240"/>
      <c r="AL1838" s="124"/>
      <c r="AM1838" s="74"/>
      <c r="AP1838" s="125"/>
      <c r="AQ1838" s="241"/>
      <c r="AR1838" s="125"/>
      <c r="AS1838" s="125"/>
      <c r="AT1838" s="238"/>
      <c r="AU1838" s="125"/>
      <c r="AV1838" s="125"/>
      <c r="AW1838" s="125"/>
      <c r="AX1838" s="238"/>
      <c r="AY1838" s="125"/>
      <c r="AZ1838" s="125"/>
      <c r="BA1838" s="125"/>
    </row>
    <row r="1839" spans="2:53" s="123" customFormat="1">
      <c r="B1839" s="125"/>
      <c r="D1839" s="125"/>
      <c r="I1839" s="125"/>
      <c r="Z1839" s="124"/>
      <c r="AA1839" s="74"/>
      <c r="AB1839" s="240"/>
      <c r="AD1839" s="124"/>
      <c r="AE1839" s="238"/>
      <c r="AF1839" s="239"/>
      <c r="AG1839" s="239"/>
      <c r="AH1839" s="124"/>
      <c r="AI1839" s="74"/>
      <c r="AJ1839" s="240"/>
      <c r="AL1839" s="124"/>
      <c r="AM1839" s="74"/>
      <c r="AP1839" s="125"/>
      <c r="AQ1839" s="241"/>
      <c r="AR1839" s="125"/>
      <c r="AS1839" s="125"/>
      <c r="AT1839" s="238"/>
      <c r="AU1839" s="125"/>
      <c r="AV1839" s="125"/>
      <c r="AW1839" s="125"/>
      <c r="AX1839" s="238"/>
      <c r="AY1839" s="125"/>
      <c r="AZ1839" s="125"/>
      <c r="BA1839" s="125"/>
    </row>
    <row r="1840" spans="2:53" s="123" customFormat="1">
      <c r="B1840" s="125"/>
      <c r="D1840" s="125"/>
      <c r="I1840" s="125"/>
      <c r="Z1840" s="124"/>
      <c r="AA1840" s="74"/>
      <c r="AB1840" s="240"/>
      <c r="AD1840" s="124"/>
      <c r="AE1840" s="238"/>
      <c r="AF1840" s="239"/>
      <c r="AG1840" s="239"/>
      <c r="AH1840" s="124"/>
      <c r="AI1840" s="74"/>
      <c r="AJ1840" s="240"/>
      <c r="AL1840" s="124"/>
      <c r="AM1840" s="74"/>
      <c r="AP1840" s="125"/>
      <c r="AQ1840" s="241"/>
      <c r="AR1840" s="125"/>
      <c r="AS1840" s="125"/>
      <c r="AT1840" s="238"/>
      <c r="AU1840" s="125"/>
      <c r="AV1840" s="125"/>
      <c r="AW1840" s="125"/>
      <c r="AX1840" s="238"/>
      <c r="AY1840" s="125"/>
      <c r="AZ1840" s="125"/>
      <c r="BA1840" s="125"/>
    </row>
    <row r="1841" spans="2:53" s="123" customFormat="1">
      <c r="B1841" s="125"/>
      <c r="D1841" s="125"/>
      <c r="I1841" s="125"/>
      <c r="Z1841" s="124"/>
      <c r="AA1841" s="74"/>
      <c r="AB1841" s="240"/>
      <c r="AD1841" s="124"/>
      <c r="AE1841" s="238"/>
      <c r="AF1841" s="239"/>
      <c r="AG1841" s="239"/>
      <c r="AH1841" s="124"/>
      <c r="AI1841" s="74"/>
      <c r="AJ1841" s="240"/>
      <c r="AL1841" s="124"/>
      <c r="AM1841" s="74"/>
      <c r="AP1841" s="125"/>
      <c r="AQ1841" s="241"/>
      <c r="AR1841" s="125"/>
      <c r="AS1841" s="125"/>
      <c r="AT1841" s="238"/>
      <c r="AU1841" s="125"/>
      <c r="AV1841" s="125"/>
      <c r="AW1841" s="125"/>
      <c r="AX1841" s="238"/>
      <c r="AY1841" s="125"/>
      <c r="AZ1841" s="125"/>
      <c r="BA1841" s="125"/>
    </row>
    <row r="1842" spans="2:53" s="123" customFormat="1">
      <c r="B1842" s="125"/>
      <c r="D1842" s="125"/>
      <c r="I1842" s="125"/>
      <c r="Z1842" s="124"/>
      <c r="AA1842" s="74"/>
      <c r="AB1842" s="240"/>
      <c r="AD1842" s="124"/>
      <c r="AE1842" s="238"/>
      <c r="AF1842" s="239"/>
      <c r="AG1842" s="239"/>
      <c r="AH1842" s="124"/>
      <c r="AI1842" s="74"/>
      <c r="AJ1842" s="240"/>
      <c r="AL1842" s="124"/>
      <c r="AM1842" s="74"/>
      <c r="AP1842" s="125"/>
      <c r="AQ1842" s="241"/>
      <c r="AR1842" s="125"/>
      <c r="AS1842" s="125"/>
      <c r="AT1842" s="238"/>
      <c r="AU1842" s="125"/>
      <c r="AV1842" s="125"/>
      <c r="AW1842" s="125"/>
      <c r="AX1842" s="238"/>
      <c r="AY1842" s="125"/>
      <c r="AZ1842" s="125"/>
      <c r="BA1842" s="125"/>
    </row>
    <row r="1843" spans="2:53" s="123" customFormat="1">
      <c r="B1843" s="125"/>
      <c r="D1843" s="125"/>
      <c r="I1843" s="125"/>
      <c r="Z1843" s="124"/>
      <c r="AA1843" s="74"/>
      <c r="AB1843" s="240"/>
      <c r="AD1843" s="124"/>
      <c r="AE1843" s="238"/>
      <c r="AF1843" s="239"/>
      <c r="AG1843" s="239"/>
      <c r="AH1843" s="124"/>
      <c r="AI1843" s="74"/>
      <c r="AJ1843" s="240"/>
      <c r="AL1843" s="124"/>
      <c r="AM1843" s="74"/>
      <c r="AP1843" s="125"/>
      <c r="AQ1843" s="241"/>
      <c r="AR1843" s="125"/>
      <c r="AS1843" s="125"/>
      <c r="AT1843" s="238"/>
      <c r="AU1843" s="125"/>
      <c r="AV1843" s="125"/>
      <c r="AW1843" s="125"/>
      <c r="AX1843" s="238"/>
      <c r="AY1843" s="125"/>
      <c r="AZ1843" s="125"/>
      <c r="BA1843" s="125"/>
    </row>
    <row r="1844" spans="2:53" s="123" customFormat="1">
      <c r="B1844" s="125"/>
      <c r="D1844" s="125"/>
      <c r="I1844" s="125"/>
      <c r="Z1844" s="124"/>
      <c r="AA1844" s="74"/>
      <c r="AB1844" s="240"/>
      <c r="AD1844" s="124"/>
      <c r="AE1844" s="238"/>
      <c r="AF1844" s="239"/>
      <c r="AG1844" s="239"/>
      <c r="AH1844" s="124"/>
      <c r="AI1844" s="74"/>
      <c r="AJ1844" s="240"/>
      <c r="AL1844" s="124"/>
      <c r="AM1844" s="74"/>
      <c r="AP1844" s="125"/>
      <c r="AQ1844" s="241"/>
      <c r="AR1844" s="125"/>
      <c r="AS1844" s="125"/>
      <c r="AT1844" s="238"/>
      <c r="AU1844" s="125"/>
      <c r="AV1844" s="125"/>
      <c r="AW1844" s="125"/>
      <c r="AX1844" s="238"/>
      <c r="AY1844" s="125"/>
      <c r="AZ1844" s="125"/>
      <c r="BA1844" s="125"/>
    </row>
    <row r="1845" spans="2:53" s="123" customFormat="1">
      <c r="B1845" s="125"/>
      <c r="D1845" s="125"/>
      <c r="I1845" s="125"/>
      <c r="Z1845" s="124"/>
      <c r="AA1845" s="74"/>
      <c r="AB1845" s="240"/>
      <c r="AD1845" s="124"/>
      <c r="AE1845" s="238"/>
      <c r="AF1845" s="239"/>
      <c r="AG1845" s="239"/>
      <c r="AH1845" s="124"/>
      <c r="AI1845" s="74"/>
      <c r="AJ1845" s="240"/>
      <c r="AL1845" s="124"/>
      <c r="AM1845" s="74"/>
      <c r="AP1845" s="125"/>
      <c r="AQ1845" s="241"/>
      <c r="AR1845" s="125"/>
      <c r="AS1845" s="125"/>
      <c r="AT1845" s="238"/>
      <c r="AU1845" s="125"/>
      <c r="AV1845" s="125"/>
      <c r="AW1845" s="125"/>
      <c r="AX1845" s="238"/>
      <c r="AY1845" s="125"/>
      <c r="AZ1845" s="125"/>
      <c r="BA1845" s="125"/>
    </row>
    <row r="1846" spans="2:53" s="123" customFormat="1">
      <c r="B1846" s="125"/>
      <c r="D1846" s="125"/>
      <c r="I1846" s="125"/>
      <c r="Z1846" s="124"/>
      <c r="AA1846" s="74"/>
      <c r="AB1846" s="240"/>
      <c r="AD1846" s="124"/>
      <c r="AE1846" s="238"/>
      <c r="AF1846" s="239"/>
      <c r="AG1846" s="239"/>
      <c r="AH1846" s="124"/>
      <c r="AI1846" s="74"/>
      <c r="AJ1846" s="240"/>
      <c r="AL1846" s="124"/>
      <c r="AM1846" s="74"/>
      <c r="AP1846" s="125"/>
      <c r="AQ1846" s="241"/>
      <c r="AR1846" s="125"/>
      <c r="AS1846" s="125"/>
      <c r="AT1846" s="238"/>
      <c r="AU1846" s="125"/>
      <c r="AV1846" s="125"/>
      <c r="AW1846" s="125"/>
      <c r="AX1846" s="238"/>
      <c r="AY1846" s="125"/>
      <c r="AZ1846" s="125"/>
      <c r="BA1846" s="125"/>
    </row>
    <row r="1847" spans="2:53" s="123" customFormat="1">
      <c r="B1847" s="125"/>
      <c r="D1847" s="125"/>
      <c r="I1847" s="125"/>
      <c r="Z1847" s="124"/>
      <c r="AA1847" s="74"/>
      <c r="AB1847" s="240"/>
      <c r="AD1847" s="124"/>
      <c r="AE1847" s="238"/>
      <c r="AF1847" s="239"/>
      <c r="AG1847" s="239"/>
      <c r="AH1847" s="124"/>
      <c r="AI1847" s="74"/>
      <c r="AJ1847" s="240"/>
      <c r="AL1847" s="124"/>
      <c r="AM1847" s="74"/>
      <c r="AP1847" s="125"/>
      <c r="AQ1847" s="241"/>
      <c r="AR1847" s="125"/>
      <c r="AS1847" s="125"/>
      <c r="AT1847" s="238"/>
      <c r="AU1847" s="125"/>
      <c r="AV1847" s="125"/>
      <c r="AW1847" s="125"/>
      <c r="AX1847" s="238"/>
      <c r="AY1847" s="125"/>
      <c r="AZ1847" s="125"/>
      <c r="BA1847" s="125"/>
    </row>
    <row r="1848" spans="2:53" s="123" customFormat="1">
      <c r="B1848" s="125"/>
      <c r="D1848" s="125"/>
      <c r="I1848" s="125"/>
      <c r="Z1848" s="124"/>
      <c r="AA1848" s="74"/>
      <c r="AB1848" s="240"/>
      <c r="AD1848" s="124"/>
      <c r="AE1848" s="238"/>
      <c r="AF1848" s="239"/>
      <c r="AG1848" s="239"/>
      <c r="AH1848" s="124"/>
      <c r="AI1848" s="74"/>
      <c r="AJ1848" s="240"/>
      <c r="AL1848" s="124"/>
      <c r="AM1848" s="74"/>
      <c r="AP1848" s="125"/>
      <c r="AQ1848" s="241"/>
      <c r="AR1848" s="125"/>
      <c r="AS1848" s="125"/>
      <c r="AT1848" s="238"/>
      <c r="AU1848" s="125"/>
      <c r="AV1848" s="125"/>
      <c r="AW1848" s="125"/>
      <c r="AX1848" s="238"/>
      <c r="AY1848" s="125"/>
      <c r="AZ1848" s="125"/>
      <c r="BA1848" s="125"/>
    </row>
    <row r="1849" spans="2:53" s="123" customFormat="1">
      <c r="B1849" s="125"/>
      <c r="D1849" s="125"/>
      <c r="I1849" s="125"/>
      <c r="Z1849" s="124"/>
      <c r="AA1849" s="74"/>
      <c r="AB1849" s="240"/>
      <c r="AD1849" s="124"/>
      <c r="AE1849" s="238"/>
      <c r="AF1849" s="239"/>
      <c r="AG1849" s="239"/>
      <c r="AH1849" s="124"/>
      <c r="AI1849" s="74"/>
      <c r="AJ1849" s="240"/>
      <c r="AL1849" s="124"/>
      <c r="AM1849" s="74"/>
      <c r="AP1849" s="125"/>
      <c r="AQ1849" s="241"/>
      <c r="AR1849" s="125"/>
      <c r="AS1849" s="125"/>
      <c r="AT1849" s="238"/>
      <c r="AU1849" s="125"/>
      <c r="AV1849" s="125"/>
      <c r="AW1849" s="125"/>
      <c r="AX1849" s="238"/>
      <c r="AY1849" s="125"/>
      <c r="AZ1849" s="125"/>
      <c r="BA1849" s="125"/>
    </row>
    <row r="1850" spans="2:53" s="123" customFormat="1">
      <c r="B1850" s="125"/>
      <c r="D1850" s="125"/>
      <c r="I1850" s="125"/>
      <c r="Z1850" s="124"/>
      <c r="AA1850" s="74"/>
      <c r="AB1850" s="240"/>
      <c r="AD1850" s="124"/>
      <c r="AE1850" s="238"/>
      <c r="AF1850" s="239"/>
      <c r="AG1850" s="239"/>
      <c r="AH1850" s="124"/>
      <c r="AI1850" s="74"/>
      <c r="AJ1850" s="240"/>
      <c r="AL1850" s="124"/>
      <c r="AM1850" s="74"/>
      <c r="AP1850" s="125"/>
      <c r="AQ1850" s="241"/>
      <c r="AR1850" s="125"/>
      <c r="AS1850" s="125"/>
      <c r="AT1850" s="238"/>
      <c r="AU1850" s="125"/>
      <c r="AV1850" s="125"/>
      <c r="AW1850" s="125"/>
      <c r="AX1850" s="238"/>
      <c r="AY1850" s="125"/>
      <c r="AZ1850" s="125"/>
      <c r="BA1850" s="125"/>
    </row>
    <row r="1851" spans="2:53" s="123" customFormat="1">
      <c r="B1851" s="125"/>
      <c r="D1851" s="125"/>
      <c r="I1851" s="125"/>
      <c r="Z1851" s="124"/>
      <c r="AA1851" s="74"/>
      <c r="AB1851" s="240"/>
      <c r="AD1851" s="124"/>
      <c r="AE1851" s="238"/>
      <c r="AF1851" s="239"/>
      <c r="AG1851" s="239"/>
      <c r="AH1851" s="124"/>
      <c r="AI1851" s="74"/>
      <c r="AJ1851" s="240"/>
      <c r="AL1851" s="124"/>
      <c r="AM1851" s="74"/>
      <c r="AP1851" s="125"/>
      <c r="AQ1851" s="241"/>
      <c r="AR1851" s="125"/>
      <c r="AS1851" s="125"/>
      <c r="AT1851" s="238"/>
      <c r="AU1851" s="125"/>
      <c r="AV1851" s="125"/>
      <c r="AW1851" s="125"/>
      <c r="AX1851" s="238"/>
      <c r="AY1851" s="125"/>
      <c r="AZ1851" s="125"/>
      <c r="BA1851" s="125"/>
    </row>
    <row r="1852" spans="2:53" s="123" customFormat="1">
      <c r="B1852" s="125"/>
      <c r="D1852" s="125"/>
      <c r="I1852" s="125"/>
      <c r="Z1852" s="124"/>
      <c r="AA1852" s="74"/>
      <c r="AB1852" s="240"/>
      <c r="AD1852" s="124"/>
      <c r="AE1852" s="238"/>
      <c r="AF1852" s="239"/>
      <c r="AG1852" s="239"/>
      <c r="AH1852" s="124"/>
      <c r="AI1852" s="74"/>
      <c r="AJ1852" s="240"/>
      <c r="AL1852" s="124"/>
      <c r="AM1852" s="74"/>
      <c r="AP1852" s="125"/>
      <c r="AQ1852" s="241"/>
      <c r="AR1852" s="125"/>
      <c r="AS1852" s="125"/>
      <c r="AT1852" s="238"/>
      <c r="AU1852" s="125"/>
      <c r="AV1852" s="125"/>
      <c r="AW1852" s="125"/>
      <c r="AX1852" s="238"/>
      <c r="AY1852" s="125"/>
      <c r="AZ1852" s="125"/>
      <c r="BA1852" s="125"/>
    </row>
    <row r="1853" spans="2:53" s="123" customFormat="1">
      <c r="B1853" s="125"/>
      <c r="D1853" s="125"/>
      <c r="I1853" s="125"/>
      <c r="Z1853" s="124"/>
      <c r="AA1853" s="74"/>
      <c r="AB1853" s="240"/>
      <c r="AD1853" s="124"/>
      <c r="AE1853" s="238"/>
      <c r="AF1853" s="239"/>
      <c r="AG1853" s="239"/>
      <c r="AH1853" s="124"/>
      <c r="AI1853" s="74"/>
      <c r="AJ1853" s="240"/>
      <c r="AL1853" s="124"/>
      <c r="AM1853" s="74"/>
      <c r="AP1853" s="125"/>
      <c r="AQ1853" s="241"/>
      <c r="AR1853" s="125"/>
      <c r="AS1853" s="125"/>
      <c r="AT1853" s="238"/>
      <c r="AU1853" s="125"/>
      <c r="AV1853" s="125"/>
      <c r="AW1853" s="125"/>
      <c r="AX1853" s="238"/>
      <c r="AY1853" s="125"/>
      <c r="AZ1853" s="125"/>
      <c r="BA1853" s="125"/>
    </row>
    <row r="1854" spans="2:53" s="123" customFormat="1">
      <c r="B1854" s="125"/>
      <c r="D1854" s="125"/>
      <c r="I1854" s="125"/>
      <c r="Z1854" s="124"/>
      <c r="AA1854" s="74"/>
      <c r="AB1854" s="240"/>
      <c r="AD1854" s="124"/>
      <c r="AE1854" s="238"/>
      <c r="AF1854" s="239"/>
      <c r="AG1854" s="239"/>
      <c r="AH1854" s="124"/>
      <c r="AI1854" s="74"/>
      <c r="AJ1854" s="240"/>
      <c r="AL1854" s="124"/>
      <c r="AM1854" s="74"/>
      <c r="AP1854" s="125"/>
      <c r="AQ1854" s="241"/>
      <c r="AR1854" s="125"/>
      <c r="AS1854" s="125"/>
      <c r="AT1854" s="238"/>
      <c r="AU1854" s="125"/>
      <c r="AV1854" s="125"/>
      <c r="AW1854" s="125"/>
      <c r="AX1854" s="238"/>
      <c r="AY1854" s="125"/>
      <c r="AZ1854" s="125"/>
      <c r="BA1854" s="125"/>
    </row>
    <row r="1855" spans="2:53" s="123" customFormat="1">
      <c r="B1855" s="125"/>
      <c r="D1855" s="125"/>
      <c r="I1855" s="125"/>
      <c r="Z1855" s="124"/>
      <c r="AA1855" s="74"/>
      <c r="AB1855" s="240"/>
      <c r="AD1855" s="124"/>
      <c r="AE1855" s="238"/>
      <c r="AF1855" s="239"/>
      <c r="AG1855" s="239"/>
      <c r="AH1855" s="124"/>
      <c r="AI1855" s="74"/>
      <c r="AJ1855" s="240"/>
      <c r="AL1855" s="124"/>
      <c r="AM1855" s="74"/>
      <c r="AP1855" s="125"/>
      <c r="AQ1855" s="241"/>
      <c r="AR1855" s="125"/>
      <c r="AS1855" s="125"/>
      <c r="AT1855" s="238"/>
      <c r="AU1855" s="125"/>
      <c r="AV1855" s="125"/>
      <c r="AW1855" s="125"/>
      <c r="AX1855" s="238"/>
      <c r="AY1855" s="125"/>
      <c r="AZ1855" s="125"/>
      <c r="BA1855" s="125"/>
    </row>
    <row r="1856" spans="2:53" s="123" customFormat="1">
      <c r="B1856" s="125"/>
      <c r="D1856" s="125"/>
      <c r="I1856" s="125"/>
      <c r="Z1856" s="124"/>
      <c r="AA1856" s="74"/>
      <c r="AB1856" s="240"/>
      <c r="AD1856" s="124"/>
      <c r="AE1856" s="238"/>
      <c r="AF1856" s="239"/>
      <c r="AG1856" s="239"/>
      <c r="AH1856" s="124"/>
      <c r="AI1856" s="74"/>
      <c r="AJ1856" s="240"/>
      <c r="AL1856" s="124"/>
      <c r="AM1856" s="74"/>
      <c r="AP1856" s="125"/>
      <c r="AQ1856" s="241"/>
      <c r="AR1856" s="125"/>
      <c r="AS1856" s="125"/>
      <c r="AT1856" s="238"/>
      <c r="AU1856" s="125"/>
      <c r="AV1856" s="125"/>
      <c r="AW1856" s="125"/>
      <c r="AX1856" s="238"/>
      <c r="AY1856" s="125"/>
      <c r="AZ1856" s="125"/>
      <c r="BA1856" s="125"/>
    </row>
    <row r="1857" spans="2:53" s="123" customFormat="1">
      <c r="B1857" s="125"/>
      <c r="D1857" s="125"/>
      <c r="I1857" s="125"/>
      <c r="Z1857" s="124"/>
      <c r="AA1857" s="74"/>
      <c r="AB1857" s="240"/>
      <c r="AD1857" s="124"/>
      <c r="AE1857" s="238"/>
      <c r="AF1857" s="239"/>
      <c r="AG1857" s="239"/>
      <c r="AH1857" s="124"/>
      <c r="AI1857" s="74"/>
      <c r="AJ1857" s="240"/>
      <c r="AL1857" s="124"/>
      <c r="AM1857" s="74"/>
      <c r="AP1857" s="125"/>
      <c r="AQ1857" s="241"/>
      <c r="AR1857" s="125"/>
      <c r="AS1857" s="125"/>
      <c r="AT1857" s="238"/>
      <c r="AU1857" s="125"/>
      <c r="AV1857" s="125"/>
      <c r="AW1857" s="125"/>
      <c r="AX1857" s="238"/>
      <c r="AY1857" s="125"/>
      <c r="AZ1857" s="125"/>
      <c r="BA1857" s="125"/>
    </row>
    <row r="1858" spans="2:53" s="123" customFormat="1">
      <c r="B1858" s="125"/>
      <c r="D1858" s="125"/>
      <c r="I1858" s="125"/>
      <c r="Z1858" s="124"/>
      <c r="AA1858" s="74"/>
      <c r="AB1858" s="240"/>
      <c r="AD1858" s="124"/>
      <c r="AE1858" s="238"/>
      <c r="AF1858" s="239"/>
      <c r="AG1858" s="239"/>
      <c r="AH1858" s="124"/>
      <c r="AI1858" s="74"/>
      <c r="AJ1858" s="240"/>
      <c r="AL1858" s="124"/>
      <c r="AM1858" s="74"/>
      <c r="AP1858" s="125"/>
      <c r="AQ1858" s="241"/>
      <c r="AR1858" s="125"/>
      <c r="AS1858" s="125"/>
      <c r="AT1858" s="238"/>
      <c r="AU1858" s="125"/>
      <c r="AV1858" s="125"/>
      <c r="AW1858" s="125"/>
      <c r="AX1858" s="238"/>
      <c r="AY1858" s="125"/>
      <c r="AZ1858" s="125"/>
      <c r="BA1858" s="125"/>
    </row>
    <row r="1859" spans="2:53" s="123" customFormat="1">
      <c r="B1859" s="125"/>
      <c r="D1859" s="125"/>
      <c r="I1859" s="125"/>
      <c r="Z1859" s="124"/>
      <c r="AA1859" s="74"/>
      <c r="AB1859" s="240"/>
      <c r="AD1859" s="124"/>
      <c r="AE1859" s="238"/>
      <c r="AF1859" s="239"/>
      <c r="AG1859" s="239"/>
      <c r="AH1859" s="124"/>
      <c r="AI1859" s="74"/>
      <c r="AJ1859" s="240"/>
      <c r="AL1859" s="124"/>
      <c r="AM1859" s="74"/>
      <c r="AP1859" s="125"/>
      <c r="AQ1859" s="241"/>
      <c r="AR1859" s="125"/>
      <c r="AS1859" s="125"/>
      <c r="AT1859" s="238"/>
      <c r="AU1859" s="125"/>
      <c r="AV1859" s="125"/>
      <c r="AW1859" s="125"/>
      <c r="AX1859" s="238"/>
      <c r="AY1859" s="125"/>
      <c r="AZ1859" s="125"/>
      <c r="BA1859" s="125"/>
    </row>
    <row r="1860" spans="2:53" s="123" customFormat="1">
      <c r="B1860" s="125"/>
      <c r="D1860" s="125"/>
      <c r="I1860" s="125"/>
      <c r="Z1860" s="124"/>
      <c r="AA1860" s="74"/>
      <c r="AB1860" s="240"/>
      <c r="AD1860" s="124"/>
      <c r="AE1860" s="238"/>
      <c r="AF1860" s="239"/>
      <c r="AG1860" s="239"/>
      <c r="AH1860" s="124"/>
      <c r="AI1860" s="74"/>
      <c r="AJ1860" s="240"/>
      <c r="AL1860" s="124"/>
      <c r="AM1860" s="74"/>
      <c r="AP1860" s="125"/>
      <c r="AQ1860" s="241"/>
      <c r="AR1860" s="125"/>
      <c r="AS1860" s="125"/>
      <c r="AT1860" s="238"/>
      <c r="AU1860" s="125"/>
      <c r="AV1860" s="125"/>
      <c r="AW1860" s="125"/>
      <c r="AX1860" s="238"/>
      <c r="AY1860" s="125"/>
      <c r="AZ1860" s="125"/>
      <c r="BA1860" s="125"/>
    </row>
    <row r="1861" spans="2:53" s="123" customFormat="1">
      <c r="B1861" s="125"/>
      <c r="D1861" s="125"/>
      <c r="I1861" s="125"/>
      <c r="Z1861" s="124"/>
      <c r="AA1861" s="74"/>
      <c r="AB1861" s="240"/>
      <c r="AD1861" s="124"/>
      <c r="AE1861" s="238"/>
      <c r="AF1861" s="239"/>
      <c r="AG1861" s="239"/>
      <c r="AH1861" s="124"/>
      <c r="AI1861" s="74"/>
      <c r="AJ1861" s="240"/>
      <c r="AL1861" s="124"/>
      <c r="AM1861" s="74"/>
      <c r="AP1861" s="125"/>
      <c r="AQ1861" s="241"/>
      <c r="AR1861" s="125"/>
      <c r="AS1861" s="125"/>
      <c r="AT1861" s="238"/>
      <c r="AU1861" s="125"/>
      <c r="AV1861" s="125"/>
      <c r="AW1861" s="125"/>
      <c r="AX1861" s="238"/>
      <c r="AY1861" s="125"/>
      <c r="AZ1861" s="125"/>
      <c r="BA1861" s="125"/>
    </row>
    <row r="1862" spans="2:53" s="123" customFormat="1">
      <c r="B1862" s="125"/>
      <c r="D1862" s="125"/>
      <c r="I1862" s="125"/>
      <c r="Z1862" s="124"/>
      <c r="AA1862" s="74"/>
      <c r="AB1862" s="240"/>
      <c r="AD1862" s="124"/>
      <c r="AE1862" s="238"/>
      <c r="AF1862" s="239"/>
      <c r="AG1862" s="239"/>
      <c r="AH1862" s="124"/>
      <c r="AI1862" s="74"/>
      <c r="AJ1862" s="240"/>
      <c r="AL1862" s="124"/>
      <c r="AM1862" s="74"/>
      <c r="AP1862" s="125"/>
      <c r="AQ1862" s="241"/>
      <c r="AR1862" s="125"/>
      <c r="AS1862" s="125"/>
      <c r="AT1862" s="238"/>
      <c r="AU1862" s="125"/>
      <c r="AV1862" s="125"/>
      <c r="AW1862" s="125"/>
      <c r="AX1862" s="238"/>
      <c r="AY1862" s="125"/>
      <c r="AZ1862" s="125"/>
      <c r="BA1862" s="125"/>
    </row>
    <row r="1863" spans="2:53" s="123" customFormat="1">
      <c r="B1863" s="125"/>
      <c r="D1863" s="125"/>
      <c r="I1863" s="125"/>
      <c r="Z1863" s="124"/>
      <c r="AA1863" s="74"/>
      <c r="AB1863" s="240"/>
      <c r="AD1863" s="124"/>
      <c r="AE1863" s="238"/>
      <c r="AF1863" s="239"/>
      <c r="AG1863" s="239"/>
      <c r="AH1863" s="124"/>
      <c r="AI1863" s="74"/>
      <c r="AJ1863" s="240"/>
      <c r="AL1863" s="124"/>
      <c r="AM1863" s="74"/>
      <c r="AP1863" s="125"/>
      <c r="AQ1863" s="241"/>
      <c r="AR1863" s="125"/>
      <c r="AS1863" s="125"/>
      <c r="AT1863" s="238"/>
      <c r="AU1863" s="125"/>
      <c r="AV1863" s="125"/>
      <c r="AW1863" s="125"/>
      <c r="AX1863" s="238"/>
      <c r="AY1863" s="125"/>
      <c r="AZ1863" s="125"/>
      <c r="BA1863" s="125"/>
    </row>
    <row r="1864" spans="2:53" s="123" customFormat="1">
      <c r="B1864" s="125"/>
      <c r="D1864" s="125"/>
      <c r="I1864" s="125"/>
      <c r="Z1864" s="124"/>
      <c r="AA1864" s="74"/>
      <c r="AB1864" s="240"/>
      <c r="AD1864" s="124"/>
      <c r="AE1864" s="238"/>
      <c r="AF1864" s="239"/>
      <c r="AG1864" s="239"/>
      <c r="AH1864" s="124"/>
      <c r="AI1864" s="74"/>
      <c r="AJ1864" s="240"/>
      <c r="AL1864" s="124"/>
      <c r="AM1864" s="74"/>
      <c r="AP1864" s="125"/>
      <c r="AQ1864" s="241"/>
      <c r="AR1864" s="125"/>
      <c r="AS1864" s="125"/>
      <c r="AT1864" s="238"/>
      <c r="AU1864" s="125"/>
      <c r="AV1864" s="125"/>
      <c r="AW1864" s="125"/>
      <c r="AX1864" s="238"/>
      <c r="AY1864" s="125"/>
      <c r="AZ1864" s="125"/>
      <c r="BA1864" s="125"/>
    </row>
    <row r="1865" spans="2:53" s="123" customFormat="1">
      <c r="B1865" s="125"/>
      <c r="D1865" s="125"/>
      <c r="I1865" s="125"/>
      <c r="Z1865" s="124"/>
      <c r="AA1865" s="74"/>
      <c r="AB1865" s="240"/>
      <c r="AD1865" s="124"/>
      <c r="AE1865" s="238"/>
      <c r="AF1865" s="239"/>
      <c r="AG1865" s="239"/>
      <c r="AH1865" s="124"/>
      <c r="AI1865" s="74"/>
      <c r="AJ1865" s="240"/>
      <c r="AL1865" s="124"/>
      <c r="AM1865" s="74"/>
      <c r="AP1865" s="125"/>
      <c r="AQ1865" s="241"/>
      <c r="AR1865" s="125"/>
      <c r="AS1865" s="125"/>
      <c r="AT1865" s="238"/>
      <c r="AU1865" s="125"/>
      <c r="AV1865" s="125"/>
      <c r="AW1865" s="125"/>
      <c r="AX1865" s="238"/>
      <c r="AY1865" s="125"/>
      <c r="AZ1865" s="125"/>
      <c r="BA1865" s="125"/>
    </row>
    <row r="1866" spans="2:53" s="123" customFormat="1">
      <c r="B1866" s="125"/>
      <c r="D1866" s="125"/>
      <c r="I1866" s="125"/>
      <c r="Z1866" s="124"/>
      <c r="AA1866" s="74"/>
      <c r="AB1866" s="240"/>
      <c r="AD1866" s="124"/>
      <c r="AE1866" s="238"/>
      <c r="AF1866" s="239"/>
      <c r="AG1866" s="239"/>
      <c r="AH1866" s="124"/>
      <c r="AI1866" s="74"/>
      <c r="AJ1866" s="240"/>
      <c r="AL1866" s="124"/>
      <c r="AM1866" s="74"/>
      <c r="AP1866" s="125"/>
      <c r="AQ1866" s="241"/>
      <c r="AR1866" s="125"/>
      <c r="AS1866" s="125"/>
      <c r="AT1866" s="238"/>
      <c r="AU1866" s="125"/>
      <c r="AV1866" s="125"/>
      <c r="AW1866" s="125"/>
      <c r="AX1866" s="238"/>
      <c r="AY1866" s="125"/>
      <c r="AZ1866" s="125"/>
      <c r="BA1866" s="125"/>
    </row>
    <row r="1867" spans="2:53" s="123" customFormat="1">
      <c r="B1867" s="125"/>
      <c r="D1867" s="125"/>
      <c r="I1867" s="125"/>
      <c r="Z1867" s="124"/>
      <c r="AA1867" s="74"/>
      <c r="AB1867" s="240"/>
      <c r="AD1867" s="124"/>
      <c r="AE1867" s="238"/>
      <c r="AF1867" s="239"/>
      <c r="AG1867" s="239"/>
      <c r="AH1867" s="124"/>
      <c r="AI1867" s="74"/>
      <c r="AJ1867" s="240"/>
      <c r="AL1867" s="124"/>
      <c r="AM1867" s="74"/>
      <c r="AP1867" s="125"/>
      <c r="AQ1867" s="241"/>
      <c r="AR1867" s="125"/>
      <c r="AS1867" s="125"/>
      <c r="AT1867" s="238"/>
      <c r="AU1867" s="125"/>
      <c r="AV1867" s="125"/>
      <c r="AW1867" s="125"/>
      <c r="AX1867" s="238"/>
      <c r="AY1867" s="125"/>
      <c r="AZ1867" s="125"/>
      <c r="BA1867" s="125"/>
    </row>
    <row r="1868" spans="2:53" s="123" customFormat="1">
      <c r="B1868" s="125"/>
      <c r="D1868" s="125"/>
      <c r="I1868" s="125"/>
      <c r="Z1868" s="124"/>
      <c r="AA1868" s="74"/>
      <c r="AB1868" s="240"/>
      <c r="AD1868" s="124"/>
      <c r="AE1868" s="238"/>
      <c r="AF1868" s="239"/>
      <c r="AG1868" s="239"/>
      <c r="AH1868" s="124"/>
      <c r="AI1868" s="74"/>
      <c r="AJ1868" s="240"/>
      <c r="AL1868" s="124"/>
      <c r="AM1868" s="74"/>
      <c r="AP1868" s="125"/>
      <c r="AQ1868" s="241"/>
      <c r="AR1868" s="125"/>
      <c r="AS1868" s="125"/>
      <c r="AT1868" s="238"/>
      <c r="AU1868" s="125"/>
      <c r="AV1868" s="125"/>
      <c r="AW1868" s="125"/>
      <c r="AX1868" s="238"/>
      <c r="AY1868" s="125"/>
      <c r="AZ1868" s="125"/>
      <c r="BA1868" s="125"/>
    </row>
    <row r="1869" spans="2:53" s="123" customFormat="1">
      <c r="B1869" s="125"/>
      <c r="D1869" s="125"/>
      <c r="I1869" s="125"/>
      <c r="Z1869" s="124"/>
      <c r="AA1869" s="74"/>
      <c r="AB1869" s="240"/>
      <c r="AD1869" s="124"/>
      <c r="AE1869" s="238"/>
      <c r="AF1869" s="239"/>
      <c r="AG1869" s="239"/>
      <c r="AH1869" s="124"/>
      <c r="AI1869" s="74"/>
      <c r="AJ1869" s="240"/>
      <c r="AL1869" s="124"/>
      <c r="AM1869" s="74"/>
      <c r="AP1869" s="125"/>
      <c r="AQ1869" s="241"/>
      <c r="AR1869" s="125"/>
      <c r="AS1869" s="125"/>
      <c r="AT1869" s="238"/>
      <c r="AU1869" s="125"/>
      <c r="AV1869" s="125"/>
      <c r="AW1869" s="125"/>
      <c r="AX1869" s="238"/>
      <c r="AY1869" s="125"/>
      <c r="AZ1869" s="125"/>
      <c r="BA1869" s="125"/>
    </row>
    <row r="1870" spans="2:53" s="123" customFormat="1">
      <c r="B1870" s="125"/>
      <c r="D1870" s="125"/>
      <c r="I1870" s="125"/>
      <c r="Z1870" s="124"/>
      <c r="AA1870" s="74"/>
      <c r="AB1870" s="240"/>
      <c r="AD1870" s="124"/>
      <c r="AE1870" s="238"/>
      <c r="AF1870" s="239"/>
      <c r="AG1870" s="239"/>
      <c r="AH1870" s="124"/>
      <c r="AI1870" s="74"/>
      <c r="AJ1870" s="240"/>
      <c r="AL1870" s="124"/>
      <c r="AM1870" s="74"/>
      <c r="AP1870" s="125"/>
      <c r="AQ1870" s="241"/>
      <c r="AR1870" s="125"/>
      <c r="AS1870" s="125"/>
      <c r="AT1870" s="238"/>
      <c r="AU1870" s="125"/>
      <c r="AV1870" s="125"/>
      <c r="AW1870" s="125"/>
      <c r="AX1870" s="238"/>
      <c r="AY1870" s="125"/>
      <c r="AZ1870" s="125"/>
      <c r="BA1870" s="125"/>
    </row>
    <row r="1871" spans="2:53" s="123" customFormat="1">
      <c r="B1871" s="125"/>
      <c r="D1871" s="125"/>
      <c r="I1871" s="125"/>
      <c r="Z1871" s="124"/>
      <c r="AA1871" s="74"/>
      <c r="AB1871" s="240"/>
      <c r="AD1871" s="124"/>
      <c r="AE1871" s="238"/>
      <c r="AF1871" s="239"/>
      <c r="AG1871" s="239"/>
      <c r="AH1871" s="124"/>
      <c r="AI1871" s="74"/>
      <c r="AJ1871" s="240"/>
      <c r="AL1871" s="124"/>
      <c r="AM1871" s="74"/>
      <c r="AP1871" s="125"/>
      <c r="AQ1871" s="241"/>
      <c r="AR1871" s="125"/>
      <c r="AS1871" s="125"/>
      <c r="AT1871" s="238"/>
      <c r="AU1871" s="125"/>
      <c r="AV1871" s="125"/>
      <c r="AW1871" s="125"/>
      <c r="AX1871" s="238"/>
      <c r="AY1871" s="125"/>
      <c r="AZ1871" s="125"/>
      <c r="BA1871" s="125"/>
    </row>
    <row r="1872" spans="2:53" s="123" customFormat="1">
      <c r="B1872" s="125"/>
      <c r="D1872" s="125"/>
      <c r="I1872" s="125"/>
      <c r="Z1872" s="124"/>
      <c r="AA1872" s="74"/>
      <c r="AB1872" s="240"/>
      <c r="AD1872" s="124"/>
      <c r="AE1872" s="238"/>
      <c r="AF1872" s="239"/>
      <c r="AG1872" s="239"/>
      <c r="AH1872" s="124"/>
      <c r="AI1872" s="74"/>
      <c r="AJ1872" s="240"/>
      <c r="AL1872" s="124"/>
      <c r="AM1872" s="74"/>
      <c r="AP1872" s="125"/>
      <c r="AQ1872" s="241"/>
      <c r="AR1872" s="125"/>
      <c r="AS1872" s="125"/>
      <c r="AT1872" s="238"/>
      <c r="AU1872" s="125"/>
      <c r="AV1872" s="125"/>
      <c r="AW1872" s="125"/>
      <c r="AX1872" s="238"/>
      <c r="AY1872" s="125"/>
      <c r="AZ1872" s="125"/>
      <c r="BA1872" s="125"/>
    </row>
    <row r="1873" spans="2:53" s="123" customFormat="1">
      <c r="B1873" s="125"/>
      <c r="D1873" s="125"/>
      <c r="I1873" s="125"/>
      <c r="Z1873" s="124"/>
      <c r="AA1873" s="74"/>
      <c r="AB1873" s="240"/>
      <c r="AD1873" s="124"/>
      <c r="AE1873" s="238"/>
      <c r="AF1873" s="239"/>
      <c r="AG1873" s="239"/>
      <c r="AH1873" s="124"/>
      <c r="AI1873" s="74"/>
      <c r="AJ1873" s="240"/>
      <c r="AL1873" s="124"/>
      <c r="AM1873" s="74"/>
      <c r="AP1873" s="125"/>
      <c r="AQ1873" s="241"/>
      <c r="AR1873" s="125"/>
      <c r="AS1873" s="125"/>
      <c r="AT1873" s="238"/>
      <c r="AU1873" s="125"/>
      <c r="AV1873" s="125"/>
      <c r="AW1873" s="125"/>
      <c r="AX1873" s="238"/>
      <c r="AY1873" s="125"/>
      <c r="AZ1873" s="125"/>
      <c r="BA1873" s="125"/>
    </row>
    <row r="1874" spans="2:53" s="123" customFormat="1">
      <c r="B1874" s="125"/>
      <c r="D1874" s="125"/>
      <c r="I1874" s="125"/>
      <c r="Z1874" s="124"/>
      <c r="AA1874" s="74"/>
      <c r="AB1874" s="240"/>
      <c r="AD1874" s="124"/>
      <c r="AE1874" s="238"/>
      <c r="AF1874" s="239"/>
      <c r="AG1874" s="239"/>
      <c r="AH1874" s="124"/>
      <c r="AI1874" s="74"/>
      <c r="AJ1874" s="240"/>
      <c r="AL1874" s="124"/>
      <c r="AM1874" s="74"/>
      <c r="AP1874" s="125"/>
      <c r="AQ1874" s="241"/>
      <c r="AR1874" s="125"/>
      <c r="AS1874" s="125"/>
      <c r="AT1874" s="238"/>
      <c r="AU1874" s="125"/>
      <c r="AV1874" s="125"/>
      <c r="AW1874" s="125"/>
      <c r="AX1874" s="238"/>
      <c r="AY1874" s="125"/>
      <c r="AZ1874" s="125"/>
      <c r="BA1874" s="125"/>
    </row>
    <row r="1875" spans="2:53" s="123" customFormat="1">
      <c r="B1875" s="125"/>
      <c r="D1875" s="125"/>
      <c r="I1875" s="125"/>
      <c r="Z1875" s="124"/>
      <c r="AA1875" s="74"/>
      <c r="AB1875" s="240"/>
      <c r="AD1875" s="124"/>
      <c r="AE1875" s="238"/>
      <c r="AF1875" s="239"/>
      <c r="AG1875" s="239"/>
      <c r="AH1875" s="124"/>
      <c r="AI1875" s="74"/>
      <c r="AJ1875" s="240"/>
      <c r="AL1875" s="124"/>
      <c r="AM1875" s="74"/>
      <c r="AP1875" s="125"/>
      <c r="AQ1875" s="241"/>
      <c r="AR1875" s="125"/>
      <c r="AS1875" s="125"/>
      <c r="AT1875" s="238"/>
      <c r="AU1875" s="125"/>
      <c r="AV1875" s="125"/>
      <c r="AW1875" s="125"/>
      <c r="AX1875" s="238"/>
      <c r="AY1875" s="125"/>
      <c r="AZ1875" s="125"/>
      <c r="BA1875" s="125"/>
    </row>
    <row r="1876" spans="2:53" s="123" customFormat="1">
      <c r="B1876" s="125"/>
      <c r="D1876" s="125"/>
      <c r="I1876" s="125"/>
      <c r="Z1876" s="124"/>
      <c r="AA1876" s="74"/>
      <c r="AB1876" s="240"/>
      <c r="AD1876" s="124"/>
      <c r="AE1876" s="238"/>
      <c r="AF1876" s="239"/>
      <c r="AG1876" s="239"/>
      <c r="AH1876" s="124"/>
      <c r="AI1876" s="74"/>
      <c r="AJ1876" s="240"/>
      <c r="AL1876" s="124"/>
      <c r="AM1876" s="74"/>
      <c r="AP1876" s="125"/>
      <c r="AQ1876" s="241"/>
      <c r="AR1876" s="125"/>
      <c r="AS1876" s="125"/>
      <c r="AT1876" s="238"/>
      <c r="AU1876" s="125"/>
      <c r="AV1876" s="125"/>
      <c r="AW1876" s="125"/>
      <c r="AX1876" s="238"/>
      <c r="AY1876" s="125"/>
      <c r="AZ1876" s="125"/>
      <c r="BA1876" s="125"/>
    </row>
    <row r="1877" spans="2:53" s="123" customFormat="1">
      <c r="B1877" s="125"/>
      <c r="D1877" s="125"/>
      <c r="I1877" s="125"/>
      <c r="Z1877" s="124"/>
      <c r="AA1877" s="74"/>
      <c r="AB1877" s="240"/>
      <c r="AD1877" s="124"/>
      <c r="AE1877" s="238"/>
      <c r="AF1877" s="239"/>
      <c r="AG1877" s="239"/>
      <c r="AH1877" s="124"/>
      <c r="AI1877" s="74"/>
      <c r="AJ1877" s="240"/>
      <c r="AL1877" s="124"/>
      <c r="AM1877" s="74"/>
      <c r="AP1877" s="125"/>
      <c r="AQ1877" s="241"/>
      <c r="AR1877" s="125"/>
      <c r="AS1877" s="125"/>
      <c r="AT1877" s="238"/>
      <c r="AU1877" s="125"/>
      <c r="AV1877" s="125"/>
      <c r="AW1877" s="125"/>
      <c r="AX1877" s="238"/>
      <c r="AY1877" s="125"/>
      <c r="AZ1877" s="125"/>
      <c r="BA1877" s="125"/>
    </row>
    <row r="1878" spans="2:53" s="123" customFormat="1">
      <c r="B1878" s="125"/>
      <c r="D1878" s="125"/>
      <c r="I1878" s="125"/>
      <c r="Z1878" s="124"/>
      <c r="AA1878" s="74"/>
      <c r="AB1878" s="240"/>
      <c r="AD1878" s="124"/>
      <c r="AE1878" s="238"/>
      <c r="AF1878" s="239"/>
      <c r="AG1878" s="239"/>
      <c r="AH1878" s="124"/>
      <c r="AI1878" s="74"/>
      <c r="AJ1878" s="240"/>
      <c r="AL1878" s="124"/>
      <c r="AM1878" s="74"/>
      <c r="AP1878" s="125"/>
      <c r="AQ1878" s="241"/>
      <c r="AR1878" s="125"/>
      <c r="AS1878" s="125"/>
      <c r="AT1878" s="238"/>
      <c r="AU1878" s="125"/>
      <c r="AV1878" s="125"/>
      <c r="AW1878" s="125"/>
      <c r="AX1878" s="238"/>
      <c r="AY1878" s="125"/>
      <c r="AZ1878" s="125"/>
      <c r="BA1878" s="125"/>
    </row>
    <row r="1879" spans="2:53" s="123" customFormat="1">
      <c r="B1879" s="125"/>
      <c r="D1879" s="125"/>
      <c r="I1879" s="125"/>
      <c r="Z1879" s="124"/>
      <c r="AA1879" s="74"/>
      <c r="AB1879" s="240"/>
      <c r="AD1879" s="124"/>
      <c r="AE1879" s="238"/>
      <c r="AF1879" s="239"/>
      <c r="AG1879" s="239"/>
      <c r="AH1879" s="124"/>
      <c r="AI1879" s="74"/>
      <c r="AJ1879" s="240"/>
      <c r="AL1879" s="124"/>
      <c r="AM1879" s="74"/>
      <c r="AP1879" s="125"/>
      <c r="AQ1879" s="241"/>
      <c r="AR1879" s="125"/>
      <c r="AS1879" s="125"/>
      <c r="AT1879" s="238"/>
      <c r="AU1879" s="125"/>
      <c r="AV1879" s="125"/>
      <c r="AW1879" s="125"/>
      <c r="AX1879" s="238"/>
      <c r="AY1879" s="125"/>
      <c r="AZ1879" s="125"/>
      <c r="BA1879" s="125"/>
    </row>
    <row r="1880" spans="2:53" s="123" customFormat="1">
      <c r="B1880" s="125"/>
      <c r="D1880" s="125"/>
      <c r="I1880" s="125"/>
      <c r="Z1880" s="124"/>
      <c r="AA1880" s="74"/>
      <c r="AB1880" s="240"/>
      <c r="AD1880" s="124"/>
      <c r="AE1880" s="238"/>
      <c r="AF1880" s="239"/>
      <c r="AG1880" s="239"/>
      <c r="AH1880" s="124"/>
      <c r="AI1880" s="74"/>
      <c r="AJ1880" s="240"/>
      <c r="AL1880" s="124"/>
      <c r="AM1880" s="74"/>
      <c r="AP1880" s="125"/>
      <c r="AQ1880" s="241"/>
      <c r="AR1880" s="125"/>
      <c r="AS1880" s="125"/>
      <c r="AT1880" s="238"/>
      <c r="AU1880" s="125"/>
      <c r="AV1880" s="125"/>
      <c r="AW1880" s="125"/>
      <c r="AX1880" s="238"/>
      <c r="AY1880" s="125"/>
      <c r="AZ1880" s="125"/>
      <c r="BA1880" s="125"/>
    </row>
    <row r="1881" spans="2:53" s="123" customFormat="1">
      <c r="B1881" s="125"/>
      <c r="D1881" s="125"/>
      <c r="I1881" s="125"/>
      <c r="Z1881" s="124"/>
      <c r="AA1881" s="74"/>
      <c r="AB1881" s="240"/>
      <c r="AD1881" s="124"/>
      <c r="AE1881" s="238"/>
      <c r="AF1881" s="239"/>
      <c r="AG1881" s="239"/>
      <c r="AH1881" s="124"/>
      <c r="AI1881" s="74"/>
      <c r="AJ1881" s="240"/>
      <c r="AL1881" s="124"/>
      <c r="AM1881" s="74"/>
      <c r="AP1881" s="125"/>
      <c r="AQ1881" s="241"/>
      <c r="AR1881" s="125"/>
      <c r="AS1881" s="125"/>
      <c r="AT1881" s="238"/>
      <c r="AU1881" s="125"/>
      <c r="AV1881" s="125"/>
      <c r="AW1881" s="125"/>
      <c r="AX1881" s="238"/>
      <c r="AY1881" s="125"/>
      <c r="AZ1881" s="125"/>
      <c r="BA1881" s="125"/>
    </row>
    <row r="1882" spans="2:53" s="123" customFormat="1">
      <c r="B1882" s="125"/>
      <c r="D1882" s="125"/>
      <c r="I1882" s="125"/>
      <c r="Z1882" s="124"/>
      <c r="AA1882" s="74"/>
      <c r="AB1882" s="240"/>
      <c r="AD1882" s="124"/>
      <c r="AE1882" s="238"/>
      <c r="AF1882" s="239"/>
      <c r="AG1882" s="239"/>
      <c r="AH1882" s="124"/>
      <c r="AI1882" s="74"/>
      <c r="AJ1882" s="240"/>
      <c r="AL1882" s="124"/>
      <c r="AM1882" s="74"/>
      <c r="AP1882" s="125"/>
      <c r="AQ1882" s="241"/>
      <c r="AR1882" s="125"/>
      <c r="AS1882" s="125"/>
      <c r="AT1882" s="238"/>
      <c r="AU1882" s="125"/>
      <c r="AV1882" s="125"/>
      <c r="AW1882" s="125"/>
      <c r="AX1882" s="238"/>
      <c r="AY1882" s="125"/>
      <c r="AZ1882" s="125"/>
      <c r="BA1882" s="125"/>
    </row>
    <row r="1883" spans="2:53" s="123" customFormat="1">
      <c r="B1883" s="125"/>
      <c r="D1883" s="125"/>
      <c r="I1883" s="125"/>
      <c r="Z1883" s="124"/>
      <c r="AA1883" s="74"/>
      <c r="AB1883" s="240"/>
      <c r="AD1883" s="124"/>
      <c r="AE1883" s="238"/>
      <c r="AF1883" s="239"/>
      <c r="AG1883" s="239"/>
      <c r="AH1883" s="124"/>
      <c r="AI1883" s="74"/>
      <c r="AJ1883" s="240"/>
      <c r="AL1883" s="124"/>
      <c r="AM1883" s="74"/>
      <c r="AP1883" s="125"/>
      <c r="AQ1883" s="241"/>
      <c r="AR1883" s="125"/>
      <c r="AS1883" s="125"/>
      <c r="AT1883" s="238"/>
      <c r="AU1883" s="125"/>
      <c r="AV1883" s="125"/>
      <c r="AW1883" s="125"/>
      <c r="AX1883" s="238"/>
      <c r="AY1883" s="125"/>
      <c r="AZ1883" s="125"/>
      <c r="BA1883" s="125"/>
    </row>
    <row r="1884" spans="2:53" s="123" customFormat="1">
      <c r="B1884" s="125"/>
      <c r="D1884" s="125"/>
      <c r="I1884" s="125"/>
      <c r="Z1884" s="124"/>
      <c r="AA1884" s="74"/>
      <c r="AB1884" s="240"/>
      <c r="AD1884" s="124"/>
      <c r="AE1884" s="238"/>
      <c r="AF1884" s="239"/>
      <c r="AG1884" s="239"/>
      <c r="AH1884" s="124"/>
      <c r="AI1884" s="74"/>
      <c r="AJ1884" s="240"/>
      <c r="AL1884" s="124"/>
      <c r="AM1884" s="74"/>
      <c r="AP1884" s="125"/>
      <c r="AQ1884" s="241"/>
      <c r="AR1884" s="125"/>
      <c r="AS1884" s="125"/>
      <c r="AT1884" s="238"/>
      <c r="AU1884" s="125"/>
      <c r="AV1884" s="125"/>
      <c r="AW1884" s="125"/>
      <c r="AX1884" s="238"/>
      <c r="AY1884" s="125"/>
      <c r="AZ1884" s="125"/>
      <c r="BA1884" s="125"/>
    </row>
    <row r="1885" spans="2:53" s="123" customFormat="1">
      <c r="B1885" s="125"/>
      <c r="D1885" s="125"/>
      <c r="I1885" s="125"/>
      <c r="Z1885" s="124"/>
      <c r="AA1885" s="74"/>
      <c r="AB1885" s="240"/>
      <c r="AD1885" s="124"/>
      <c r="AE1885" s="238"/>
      <c r="AF1885" s="239"/>
      <c r="AG1885" s="239"/>
      <c r="AH1885" s="124"/>
      <c r="AI1885" s="74"/>
      <c r="AJ1885" s="240"/>
      <c r="AL1885" s="124"/>
      <c r="AM1885" s="74"/>
      <c r="AP1885" s="125"/>
      <c r="AQ1885" s="241"/>
      <c r="AR1885" s="125"/>
      <c r="AS1885" s="125"/>
      <c r="AT1885" s="238"/>
      <c r="AU1885" s="125"/>
      <c r="AV1885" s="125"/>
      <c r="AW1885" s="125"/>
      <c r="AX1885" s="238"/>
      <c r="AY1885" s="125"/>
      <c r="AZ1885" s="125"/>
      <c r="BA1885" s="125"/>
    </row>
    <row r="1886" spans="2:53" s="123" customFormat="1">
      <c r="B1886" s="125"/>
      <c r="D1886" s="125"/>
      <c r="I1886" s="125"/>
      <c r="Z1886" s="124"/>
      <c r="AA1886" s="74"/>
      <c r="AB1886" s="240"/>
      <c r="AD1886" s="124"/>
      <c r="AE1886" s="238"/>
      <c r="AF1886" s="239"/>
      <c r="AG1886" s="239"/>
      <c r="AH1886" s="124"/>
      <c r="AI1886" s="74"/>
      <c r="AJ1886" s="240"/>
      <c r="AL1886" s="124"/>
      <c r="AM1886" s="74"/>
      <c r="AP1886" s="125"/>
      <c r="AQ1886" s="241"/>
      <c r="AR1886" s="125"/>
      <c r="AS1886" s="125"/>
      <c r="AT1886" s="238"/>
      <c r="AU1886" s="125"/>
      <c r="AV1886" s="125"/>
      <c r="AW1886" s="125"/>
      <c r="AX1886" s="238"/>
      <c r="AY1886" s="125"/>
      <c r="AZ1886" s="125"/>
      <c r="BA1886" s="125"/>
    </row>
    <row r="1887" spans="2:53" s="123" customFormat="1">
      <c r="B1887" s="125"/>
      <c r="D1887" s="125"/>
      <c r="I1887" s="125"/>
      <c r="Z1887" s="124"/>
      <c r="AA1887" s="74"/>
      <c r="AB1887" s="240"/>
      <c r="AD1887" s="124"/>
      <c r="AE1887" s="238"/>
      <c r="AF1887" s="239"/>
      <c r="AG1887" s="239"/>
      <c r="AH1887" s="124"/>
      <c r="AI1887" s="74"/>
      <c r="AJ1887" s="240"/>
      <c r="AL1887" s="124"/>
      <c r="AM1887" s="74"/>
      <c r="AP1887" s="125"/>
      <c r="AQ1887" s="241"/>
      <c r="AR1887" s="125"/>
      <c r="AS1887" s="125"/>
      <c r="AT1887" s="238"/>
      <c r="AU1887" s="125"/>
      <c r="AV1887" s="125"/>
      <c r="AW1887" s="125"/>
      <c r="AX1887" s="238"/>
      <c r="AY1887" s="125"/>
      <c r="AZ1887" s="125"/>
      <c r="BA1887" s="125"/>
    </row>
    <row r="1888" spans="2:53" s="123" customFormat="1">
      <c r="B1888" s="125"/>
      <c r="D1888" s="125"/>
      <c r="I1888" s="125"/>
      <c r="Z1888" s="124"/>
      <c r="AA1888" s="74"/>
      <c r="AB1888" s="240"/>
      <c r="AD1888" s="124"/>
      <c r="AE1888" s="238"/>
      <c r="AF1888" s="239"/>
      <c r="AG1888" s="239"/>
      <c r="AH1888" s="124"/>
      <c r="AI1888" s="74"/>
      <c r="AJ1888" s="240"/>
      <c r="AL1888" s="124"/>
      <c r="AM1888" s="74"/>
      <c r="AP1888" s="125"/>
      <c r="AQ1888" s="241"/>
      <c r="AR1888" s="125"/>
      <c r="AS1888" s="125"/>
      <c r="AT1888" s="238"/>
      <c r="AU1888" s="125"/>
      <c r="AV1888" s="125"/>
      <c r="AW1888" s="125"/>
      <c r="AX1888" s="238"/>
      <c r="AY1888" s="125"/>
      <c r="AZ1888" s="125"/>
      <c r="BA1888" s="125"/>
    </row>
    <row r="1889" spans="2:53" s="123" customFormat="1">
      <c r="B1889" s="125"/>
      <c r="D1889" s="125"/>
      <c r="I1889" s="125"/>
      <c r="Z1889" s="124"/>
      <c r="AA1889" s="74"/>
      <c r="AB1889" s="240"/>
      <c r="AD1889" s="124"/>
      <c r="AE1889" s="238"/>
      <c r="AF1889" s="239"/>
      <c r="AG1889" s="239"/>
      <c r="AH1889" s="124"/>
      <c r="AI1889" s="74"/>
      <c r="AJ1889" s="240"/>
      <c r="AL1889" s="124"/>
      <c r="AM1889" s="74"/>
      <c r="AP1889" s="125"/>
      <c r="AQ1889" s="241"/>
      <c r="AR1889" s="125"/>
      <c r="AS1889" s="125"/>
      <c r="AT1889" s="238"/>
      <c r="AU1889" s="125"/>
      <c r="AV1889" s="125"/>
      <c r="AW1889" s="125"/>
      <c r="AX1889" s="238"/>
      <c r="AY1889" s="125"/>
      <c r="AZ1889" s="125"/>
      <c r="BA1889" s="125"/>
    </row>
    <row r="1890" spans="2:53" s="123" customFormat="1">
      <c r="B1890" s="125"/>
      <c r="D1890" s="125"/>
      <c r="I1890" s="125"/>
      <c r="Z1890" s="124"/>
      <c r="AA1890" s="74"/>
      <c r="AB1890" s="240"/>
      <c r="AD1890" s="124"/>
      <c r="AE1890" s="238"/>
      <c r="AF1890" s="239"/>
      <c r="AG1890" s="239"/>
      <c r="AH1890" s="124"/>
      <c r="AI1890" s="74"/>
      <c r="AJ1890" s="240"/>
      <c r="AL1890" s="124"/>
      <c r="AM1890" s="74"/>
      <c r="AP1890" s="125"/>
      <c r="AQ1890" s="241"/>
      <c r="AR1890" s="125"/>
      <c r="AS1890" s="125"/>
      <c r="AT1890" s="238"/>
      <c r="AU1890" s="125"/>
      <c r="AV1890" s="125"/>
      <c r="AW1890" s="125"/>
      <c r="AX1890" s="238"/>
      <c r="AY1890" s="125"/>
      <c r="AZ1890" s="125"/>
      <c r="BA1890" s="125"/>
    </row>
    <row r="1891" spans="2:53" s="123" customFormat="1">
      <c r="B1891" s="125"/>
      <c r="D1891" s="125"/>
      <c r="I1891" s="125"/>
      <c r="Z1891" s="124"/>
      <c r="AA1891" s="74"/>
      <c r="AB1891" s="240"/>
      <c r="AD1891" s="124"/>
      <c r="AE1891" s="238"/>
      <c r="AF1891" s="239"/>
      <c r="AG1891" s="239"/>
      <c r="AH1891" s="124"/>
      <c r="AI1891" s="74"/>
      <c r="AJ1891" s="240"/>
      <c r="AL1891" s="124"/>
      <c r="AM1891" s="74"/>
      <c r="AP1891" s="125"/>
      <c r="AQ1891" s="241"/>
      <c r="AR1891" s="125"/>
      <c r="AS1891" s="125"/>
      <c r="AT1891" s="238"/>
      <c r="AU1891" s="125"/>
      <c r="AV1891" s="125"/>
      <c r="AW1891" s="125"/>
      <c r="AX1891" s="238"/>
      <c r="AY1891" s="125"/>
      <c r="AZ1891" s="125"/>
      <c r="BA1891" s="125"/>
    </row>
    <row r="1892" spans="2:53" s="123" customFormat="1">
      <c r="B1892" s="125"/>
      <c r="D1892" s="125"/>
      <c r="I1892" s="125"/>
      <c r="Z1892" s="124"/>
      <c r="AA1892" s="74"/>
      <c r="AB1892" s="240"/>
      <c r="AD1892" s="124"/>
      <c r="AE1892" s="238"/>
      <c r="AF1892" s="239"/>
      <c r="AG1892" s="239"/>
      <c r="AH1892" s="124"/>
      <c r="AI1892" s="74"/>
      <c r="AJ1892" s="240"/>
      <c r="AL1892" s="124"/>
      <c r="AM1892" s="74"/>
      <c r="AP1892" s="125"/>
      <c r="AQ1892" s="241"/>
      <c r="AR1892" s="125"/>
      <c r="AS1892" s="125"/>
      <c r="AT1892" s="238"/>
      <c r="AU1892" s="125"/>
      <c r="AV1892" s="125"/>
      <c r="AW1892" s="125"/>
      <c r="AX1892" s="238"/>
      <c r="AY1892" s="125"/>
      <c r="AZ1892" s="125"/>
      <c r="BA1892" s="125"/>
    </row>
    <row r="1893" spans="2:53" s="123" customFormat="1">
      <c r="B1893" s="125"/>
      <c r="D1893" s="125"/>
      <c r="I1893" s="125"/>
      <c r="Z1893" s="124"/>
      <c r="AA1893" s="74"/>
      <c r="AB1893" s="240"/>
      <c r="AD1893" s="124"/>
      <c r="AE1893" s="238"/>
      <c r="AF1893" s="239"/>
      <c r="AG1893" s="239"/>
      <c r="AH1893" s="124"/>
      <c r="AI1893" s="74"/>
      <c r="AJ1893" s="240"/>
      <c r="AL1893" s="124"/>
      <c r="AM1893" s="74"/>
      <c r="AP1893" s="125"/>
      <c r="AQ1893" s="241"/>
      <c r="AR1893" s="125"/>
      <c r="AS1893" s="125"/>
      <c r="AT1893" s="238"/>
      <c r="AU1893" s="125"/>
      <c r="AV1893" s="125"/>
      <c r="AW1893" s="125"/>
      <c r="AX1893" s="238"/>
      <c r="AY1893" s="125"/>
      <c r="AZ1893" s="125"/>
      <c r="BA1893" s="125"/>
    </row>
    <row r="1894" spans="2:53" s="123" customFormat="1">
      <c r="B1894" s="125"/>
      <c r="D1894" s="125"/>
      <c r="I1894" s="125"/>
      <c r="Z1894" s="124"/>
      <c r="AA1894" s="74"/>
      <c r="AB1894" s="240"/>
      <c r="AD1894" s="124"/>
      <c r="AE1894" s="238"/>
      <c r="AF1894" s="239"/>
      <c r="AG1894" s="239"/>
      <c r="AH1894" s="124"/>
      <c r="AI1894" s="74"/>
      <c r="AJ1894" s="240"/>
      <c r="AL1894" s="124"/>
      <c r="AM1894" s="74"/>
      <c r="AP1894" s="125"/>
      <c r="AQ1894" s="241"/>
      <c r="AR1894" s="125"/>
      <c r="AS1894" s="125"/>
      <c r="AT1894" s="238"/>
      <c r="AU1894" s="125"/>
      <c r="AV1894" s="125"/>
      <c r="AW1894" s="125"/>
      <c r="AX1894" s="238"/>
      <c r="AY1894" s="125"/>
      <c r="AZ1894" s="125"/>
      <c r="BA1894" s="125"/>
    </row>
    <row r="1895" spans="2:53" s="123" customFormat="1">
      <c r="B1895" s="125"/>
      <c r="D1895" s="125"/>
      <c r="I1895" s="125"/>
      <c r="Z1895" s="124"/>
      <c r="AA1895" s="74"/>
      <c r="AB1895" s="240"/>
      <c r="AD1895" s="124"/>
      <c r="AE1895" s="238"/>
      <c r="AF1895" s="239"/>
      <c r="AG1895" s="239"/>
      <c r="AH1895" s="124"/>
      <c r="AI1895" s="74"/>
      <c r="AJ1895" s="240"/>
      <c r="AL1895" s="124"/>
      <c r="AM1895" s="74"/>
      <c r="AP1895" s="125"/>
      <c r="AQ1895" s="241"/>
      <c r="AR1895" s="125"/>
      <c r="AS1895" s="125"/>
      <c r="AT1895" s="238"/>
      <c r="AU1895" s="125"/>
      <c r="AV1895" s="125"/>
      <c r="AW1895" s="125"/>
      <c r="AX1895" s="238"/>
      <c r="AY1895" s="125"/>
      <c r="AZ1895" s="125"/>
      <c r="BA1895" s="125"/>
    </row>
    <row r="1896" spans="2:53" s="123" customFormat="1">
      <c r="B1896" s="125"/>
      <c r="D1896" s="125"/>
      <c r="I1896" s="125"/>
      <c r="Z1896" s="124"/>
      <c r="AA1896" s="74"/>
      <c r="AB1896" s="240"/>
      <c r="AD1896" s="124"/>
      <c r="AE1896" s="238"/>
      <c r="AF1896" s="239"/>
      <c r="AG1896" s="239"/>
      <c r="AH1896" s="124"/>
      <c r="AI1896" s="74"/>
      <c r="AJ1896" s="240"/>
      <c r="AL1896" s="124"/>
      <c r="AM1896" s="74"/>
      <c r="AP1896" s="125"/>
      <c r="AQ1896" s="241"/>
      <c r="AR1896" s="125"/>
      <c r="AS1896" s="125"/>
      <c r="AT1896" s="238"/>
      <c r="AU1896" s="125"/>
      <c r="AV1896" s="125"/>
      <c r="AW1896" s="125"/>
      <c r="AX1896" s="238"/>
      <c r="AY1896" s="125"/>
      <c r="AZ1896" s="125"/>
      <c r="BA1896" s="125"/>
    </row>
    <row r="1897" spans="2:53" s="123" customFormat="1">
      <c r="B1897" s="125"/>
      <c r="D1897" s="125"/>
      <c r="I1897" s="125"/>
      <c r="Z1897" s="124"/>
      <c r="AA1897" s="74"/>
      <c r="AB1897" s="240"/>
      <c r="AD1897" s="124"/>
      <c r="AE1897" s="238"/>
      <c r="AF1897" s="239"/>
      <c r="AG1897" s="239"/>
      <c r="AH1897" s="124"/>
      <c r="AI1897" s="74"/>
      <c r="AJ1897" s="240"/>
      <c r="AL1897" s="124"/>
      <c r="AM1897" s="74"/>
      <c r="AP1897" s="125"/>
      <c r="AQ1897" s="241"/>
      <c r="AR1897" s="125"/>
      <c r="AS1897" s="125"/>
      <c r="AT1897" s="238"/>
      <c r="AU1897" s="125"/>
      <c r="AV1897" s="125"/>
      <c r="AW1897" s="125"/>
      <c r="AX1897" s="238"/>
      <c r="AY1897" s="125"/>
      <c r="AZ1897" s="125"/>
      <c r="BA1897" s="125"/>
    </row>
    <row r="1898" spans="2:53" s="123" customFormat="1">
      <c r="B1898" s="125"/>
      <c r="D1898" s="125"/>
      <c r="I1898" s="125"/>
      <c r="Z1898" s="124"/>
      <c r="AA1898" s="74"/>
      <c r="AB1898" s="240"/>
      <c r="AD1898" s="124"/>
      <c r="AE1898" s="238"/>
      <c r="AF1898" s="239"/>
      <c r="AG1898" s="239"/>
      <c r="AH1898" s="124"/>
      <c r="AI1898" s="74"/>
      <c r="AJ1898" s="240"/>
      <c r="AL1898" s="124"/>
      <c r="AM1898" s="74"/>
      <c r="AP1898" s="125"/>
      <c r="AQ1898" s="241"/>
      <c r="AR1898" s="125"/>
      <c r="AS1898" s="125"/>
      <c r="AT1898" s="238"/>
      <c r="AU1898" s="125"/>
      <c r="AV1898" s="125"/>
      <c r="AW1898" s="125"/>
      <c r="AX1898" s="238"/>
      <c r="AY1898" s="125"/>
      <c r="AZ1898" s="125"/>
      <c r="BA1898" s="125"/>
    </row>
    <row r="1899" spans="2:53" s="123" customFormat="1">
      <c r="B1899" s="125"/>
      <c r="D1899" s="125"/>
      <c r="I1899" s="125"/>
      <c r="Z1899" s="124"/>
      <c r="AA1899" s="74"/>
      <c r="AB1899" s="240"/>
      <c r="AD1899" s="124"/>
      <c r="AE1899" s="238"/>
      <c r="AF1899" s="239"/>
      <c r="AG1899" s="239"/>
      <c r="AH1899" s="124"/>
      <c r="AI1899" s="74"/>
      <c r="AJ1899" s="240"/>
      <c r="AL1899" s="124"/>
      <c r="AM1899" s="74"/>
      <c r="AP1899" s="125"/>
      <c r="AQ1899" s="241"/>
      <c r="AR1899" s="125"/>
      <c r="AS1899" s="125"/>
      <c r="AT1899" s="238"/>
      <c r="AU1899" s="125"/>
      <c r="AV1899" s="125"/>
      <c r="AW1899" s="125"/>
      <c r="AX1899" s="238"/>
      <c r="AY1899" s="125"/>
      <c r="AZ1899" s="125"/>
      <c r="BA1899" s="125"/>
    </row>
    <row r="1900" spans="2:53" s="123" customFormat="1">
      <c r="B1900" s="125"/>
      <c r="D1900" s="125"/>
      <c r="I1900" s="125"/>
      <c r="Z1900" s="124"/>
      <c r="AA1900" s="74"/>
      <c r="AB1900" s="240"/>
      <c r="AD1900" s="124"/>
      <c r="AE1900" s="238"/>
      <c r="AF1900" s="239"/>
      <c r="AG1900" s="239"/>
      <c r="AH1900" s="124"/>
      <c r="AI1900" s="74"/>
      <c r="AJ1900" s="240"/>
      <c r="AL1900" s="124"/>
      <c r="AM1900" s="74"/>
      <c r="AP1900" s="125"/>
      <c r="AQ1900" s="241"/>
      <c r="AR1900" s="125"/>
      <c r="AS1900" s="125"/>
      <c r="AT1900" s="238"/>
      <c r="AU1900" s="125"/>
      <c r="AV1900" s="125"/>
      <c r="AW1900" s="125"/>
      <c r="AX1900" s="238"/>
      <c r="AY1900" s="125"/>
      <c r="AZ1900" s="125"/>
      <c r="BA1900" s="125"/>
    </row>
    <row r="1901" spans="2:53" s="123" customFormat="1">
      <c r="B1901" s="125"/>
      <c r="D1901" s="125"/>
      <c r="I1901" s="125"/>
      <c r="Z1901" s="124"/>
      <c r="AA1901" s="74"/>
      <c r="AB1901" s="240"/>
      <c r="AD1901" s="124"/>
      <c r="AE1901" s="238"/>
      <c r="AF1901" s="239"/>
      <c r="AG1901" s="239"/>
      <c r="AH1901" s="124"/>
      <c r="AI1901" s="74"/>
      <c r="AJ1901" s="240"/>
      <c r="AL1901" s="124"/>
      <c r="AM1901" s="74"/>
      <c r="AP1901" s="125"/>
      <c r="AQ1901" s="241"/>
      <c r="AR1901" s="125"/>
      <c r="AS1901" s="125"/>
      <c r="AT1901" s="238"/>
      <c r="AU1901" s="125"/>
      <c r="AV1901" s="125"/>
      <c r="AW1901" s="125"/>
      <c r="AX1901" s="238"/>
      <c r="AY1901" s="125"/>
      <c r="AZ1901" s="125"/>
      <c r="BA1901" s="125"/>
    </row>
    <row r="1902" spans="2:53" s="123" customFormat="1">
      <c r="B1902" s="125"/>
      <c r="D1902" s="125"/>
      <c r="I1902" s="125"/>
      <c r="Z1902" s="124"/>
      <c r="AA1902" s="74"/>
      <c r="AB1902" s="240"/>
      <c r="AD1902" s="124"/>
      <c r="AE1902" s="238"/>
      <c r="AF1902" s="239"/>
      <c r="AG1902" s="239"/>
      <c r="AH1902" s="124"/>
      <c r="AI1902" s="74"/>
      <c r="AJ1902" s="240"/>
      <c r="AL1902" s="124"/>
      <c r="AM1902" s="74"/>
      <c r="AP1902" s="125"/>
      <c r="AQ1902" s="241"/>
      <c r="AR1902" s="125"/>
      <c r="AS1902" s="125"/>
      <c r="AT1902" s="238"/>
      <c r="AU1902" s="125"/>
      <c r="AV1902" s="125"/>
      <c r="AW1902" s="125"/>
      <c r="AX1902" s="238"/>
      <c r="AY1902" s="125"/>
      <c r="AZ1902" s="125"/>
      <c r="BA1902" s="125"/>
    </row>
    <row r="1903" spans="2:53" s="123" customFormat="1">
      <c r="B1903" s="125"/>
      <c r="D1903" s="125"/>
      <c r="I1903" s="125"/>
      <c r="Z1903" s="124"/>
      <c r="AA1903" s="74"/>
      <c r="AB1903" s="240"/>
      <c r="AD1903" s="124"/>
      <c r="AE1903" s="238"/>
      <c r="AF1903" s="239"/>
      <c r="AG1903" s="239"/>
      <c r="AH1903" s="124"/>
      <c r="AI1903" s="74"/>
      <c r="AJ1903" s="240"/>
      <c r="AL1903" s="124"/>
      <c r="AM1903" s="74"/>
      <c r="AP1903" s="125"/>
      <c r="AQ1903" s="241"/>
      <c r="AR1903" s="125"/>
      <c r="AS1903" s="125"/>
      <c r="AT1903" s="238"/>
      <c r="AU1903" s="125"/>
      <c r="AV1903" s="125"/>
      <c r="AW1903" s="125"/>
      <c r="AX1903" s="238"/>
      <c r="AY1903" s="125"/>
      <c r="AZ1903" s="125"/>
      <c r="BA1903" s="125"/>
    </row>
    <row r="1904" spans="2:53" s="123" customFormat="1">
      <c r="B1904" s="125"/>
      <c r="D1904" s="125"/>
      <c r="I1904" s="125"/>
      <c r="Z1904" s="124"/>
      <c r="AA1904" s="74"/>
      <c r="AB1904" s="240"/>
      <c r="AD1904" s="124"/>
      <c r="AE1904" s="238"/>
      <c r="AF1904" s="239"/>
      <c r="AG1904" s="239"/>
      <c r="AH1904" s="124"/>
      <c r="AI1904" s="74"/>
      <c r="AJ1904" s="240"/>
      <c r="AL1904" s="124"/>
      <c r="AM1904" s="74"/>
      <c r="AP1904" s="125"/>
      <c r="AQ1904" s="241"/>
      <c r="AR1904" s="125"/>
      <c r="AS1904" s="125"/>
      <c r="AT1904" s="238"/>
      <c r="AU1904" s="125"/>
      <c r="AV1904" s="125"/>
      <c r="AW1904" s="125"/>
      <c r="AX1904" s="238"/>
      <c r="AY1904" s="125"/>
      <c r="AZ1904" s="125"/>
      <c r="BA1904" s="125"/>
    </row>
    <row r="1905" spans="2:53" s="123" customFormat="1">
      <c r="B1905" s="125"/>
      <c r="D1905" s="125"/>
      <c r="I1905" s="125"/>
      <c r="Z1905" s="124"/>
      <c r="AA1905" s="74"/>
      <c r="AB1905" s="240"/>
      <c r="AD1905" s="124"/>
      <c r="AE1905" s="238"/>
      <c r="AF1905" s="239"/>
      <c r="AG1905" s="239"/>
      <c r="AH1905" s="124"/>
      <c r="AI1905" s="74"/>
      <c r="AJ1905" s="240"/>
      <c r="AL1905" s="124"/>
      <c r="AM1905" s="74"/>
      <c r="AP1905" s="125"/>
      <c r="AQ1905" s="241"/>
      <c r="AR1905" s="125"/>
      <c r="AS1905" s="125"/>
      <c r="AT1905" s="238"/>
      <c r="AU1905" s="125"/>
      <c r="AV1905" s="125"/>
      <c r="AW1905" s="125"/>
      <c r="AX1905" s="238"/>
      <c r="AY1905" s="125"/>
      <c r="AZ1905" s="125"/>
      <c r="BA1905" s="125"/>
    </row>
    <row r="1906" spans="2:53" s="123" customFormat="1">
      <c r="B1906" s="125"/>
      <c r="D1906" s="125"/>
      <c r="I1906" s="125"/>
      <c r="Z1906" s="124"/>
      <c r="AA1906" s="74"/>
      <c r="AB1906" s="240"/>
      <c r="AD1906" s="124"/>
      <c r="AE1906" s="238"/>
      <c r="AF1906" s="239"/>
      <c r="AG1906" s="239"/>
      <c r="AH1906" s="124"/>
      <c r="AI1906" s="74"/>
      <c r="AJ1906" s="240"/>
      <c r="AL1906" s="124"/>
      <c r="AM1906" s="74"/>
      <c r="AP1906" s="125"/>
      <c r="AQ1906" s="241"/>
      <c r="AR1906" s="125"/>
      <c r="AS1906" s="125"/>
      <c r="AT1906" s="238"/>
      <c r="AU1906" s="125"/>
      <c r="AV1906" s="125"/>
      <c r="AW1906" s="125"/>
      <c r="AX1906" s="238"/>
      <c r="AY1906" s="125"/>
      <c r="AZ1906" s="125"/>
      <c r="BA1906" s="125"/>
    </row>
    <row r="1907" spans="2:53" s="123" customFormat="1">
      <c r="B1907" s="125"/>
      <c r="D1907" s="125"/>
      <c r="I1907" s="125"/>
      <c r="Z1907" s="124"/>
      <c r="AA1907" s="74"/>
      <c r="AB1907" s="240"/>
      <c r="AD1907" s="124"/>
      <c r="AE1907" s="238"/>
      <c r="AF1907" s="239"/>
      <c r="AG1907" s="239"/>
      <c r="AH1907" s="124"/>
      <c r="AI1907" s="74"/>
      <c r="AJ1907" s="240"/>
      <c r="AL1907" s="124"/>
      <c r="AM1907" s="74"/>
      <c r="AP1907" s="125"/>
      <c r="AQ1907" s="241"/>
      <c r="AR1907" s="125"/>
      <c r="AS1907" s="125"/>
      <c r="AT1907" s="238"/>
      <c r="AU1907" s="125"/>
      <c r="AV1907" s="125"/>
      <c r="AW1907" s="125"/>
      <c r="AX1907" s="238"/>
      <c r="AY1907" s="125"/>
      <c r="AZ1907" s="125"/>
      <c r="BA1907" s="125"/>
    </row>
    <row r="1908" spans="2:53" s="123" customFormat="1">
      <c r="B1908" s="125"/>
      <c r="D1908" s="125"/>
      <c r="I1908" s="125"/>
      <c r="Z1908" s="124"/>
      <c r="AA1908" s="74"/>
      <c r="AB1908" s="240"/>
      <c r="AD1908" s="124"/>
      <c r="AE1908" s="238"/>
      <c r="AF1908" s="239"/>
      <c r="AG1908" s="239"/>
      <c r="AH1908" s="124"/>
      <c r="AI1908" s="74"/>
      <c r="AJ1908" s="240"/>
      <c r="AL1908" s="124"/>
      <c r="AM1908" s="74"/>
      <c r="AP1908" s="125"/>
      <c r="AQ1908" s="241"/>
      <c r="AR1908" s="125"/>
      <c r="AS1908" s="125"/>
      <c r="AT1908" s="238"/>
      <c r="AU1908" s="125"/>
      <c r="AV1908" s="125"/>
      <c r="AW1908" s="125"/>
      <c r="AX1908" s="238"/>
      <c r="AY1908" s="125"/>
      <c r="AZ1908" s="125"/>
      <c r="BA1908" s="125"/>
    </row>
    <row r="1909" spans="2:53" s="123" customFormat="1">
      <c r="B1909" s="125"/>
      <c r="D1909" s="125"/>
      <c r="I1909" s="125"/>
      <c r="Z1909" s="124"/>
      <c r="AA1909" s="74"/>
      <c r="AB1909" s="240"/>
      <c r="AD1909" s="124"/>
      <c r="AE1909" s="238"/>
      <c r="AF1909" s="239"/>
      <c r="AG1909" s="239"/>
      <c r="AH1909" s="124"/>
      <c r="AI1909" s="74"/>
      <c r="AJ1909" s="240"/>
      <c r="AL1909" s="124"/>
      <c r="AM1909" s="74"/>
      <c r="AP1909" s="125"/>
      <c r="AQ1909" s="241"/>
      <c r="AR1909" s="125"/>
      <c r="AS1909" s="125"/>
      <c r="AT1909" s="238"/>
      <c r="AU1909" s="125"/>
      <c r="AV1909" s="125"/>
      <c r="AW1909" s="125"/>
      <c r="AX1909" s="238"/>
      <c r="AY1909" s="125"/>
      <c r="AZ1909" s="125"/>
      <c r="BA1909" s="125"/>
    </row>
    <row r="1910" spans="2:53" s="123" customFormat="1">
      <c r="B1910" s="125"/>
      <c r="D1910" s="125"/>
      <c r="I1910" s="125"/>
      <c r="Z1910" s="124"/>
      <c r="AA1910" s="74"/>
      <c r="AB1910" s="240"/>
      <c r="AD1910" s="124"/>
      <c r="AE1910" s="238"/>
      <c r="AF1910" s="239"/>
      <c r="AG1910" s="239"/>
      <c r="AH1910" s="124"/>
      <c r="AI1910" s="74"/>
      <c r="AJ1910" s="240"/>
      <c r="AL1910" s="124"/>
      <c r="AM1910" s="74"/>
      <c r="AP1910" s="125"/>
      <c r="AQ1910" s="241"/>
      <c r="AR1910" s="125"/>
      <c r="AS1910" s="125"/>
      <c r="AT1910" s="238"/>
      <c r="AU1910" s="125"/>
      <c r="AV1910" s="125"/>
      <c r="AW1910" s="125"/>
      <c r="AX1910" s="238"/>
      <c r="AY1910" s="125"/>
      <c r="AZ1910" s="125"/>
      <c r="BA1910" s="125"/>
    </row>
    <row r="1911" spans="2:53" s="123" customFormat="1">
      <c r="B1911" s="125"/>
      <c r="D1911" s="125"/>
      <c r="I1911" s="125"/>
      <c r="Z1911" s="124"/>
      <c r="AA1911" s="74"/>
      <c r="AB1911" s="240"/>
      <c r="AD1911" s="124"/>
      <c r="AE1911" s="238"/>
      <c r="AF1911" s="239"/>
      <c r="AG1911" s="239"/>
      <c r="AH1911" s="124"/>
      <c r="AI1911" s="74"/>
      <c r="AJ1911" s="240"/>
      <c r="AL1911" s="124"/>
      <c r="AM1911" s="74"/>
      <c r="AP1911" s="125"/>
      <c r="AQ1911" s="241"/>
      <c r="AR1911" s="125"/>
      <c r="AS1911" s="125"/>
      <c r="AT1911" s="238"/>
      <c r="AU1911" s="125"/>
      <c r="AV1911" s="125"/>
      <c r="AW1911" s="125"/>
      <c r="AX1911" s="238"/>
      <c r="AY1911" s="125"/>
      <c r="AZ1911" s="125"/>
      <c r="BA1911" s="125"/>
    </row>
    <row r="1912" spans="2:53" s="123" customFormat="1">
      <c r="B1912" s="125"/>
      <c r="D1912" s="125"/>
      <c r="I1912" s="125"/>
      <c r="Z1912" s="124"/>
      <c r="AA1912" s="74"/>
      <c r="AB1912" s="240"/>
      <c r="AD1912" s="124"/>
      <c r="AE1912" s="238"/>
      <c r="AF1912" s="239"/>
      <c r="AG1912" s="239"/>
      <c r="AH1912" s="124"/>
      <c r="AI1912" s="74"/>
      <c r="AJ1912" s="240"/>
      <c r="AL1912" s="124"/>
      <c r="AM1912" s="74"/>
      <c r="AP1912" s="125"/>
      <c r="AQ1912" s="241"/>
      <c r="AR1912" s="125"/>
      <c r="AS1912" s="125"/>
      <c r="AT1912" s="238"/>
      <c r="AU1912" s="125"/>
      <c r="AV1912" s="125"/>
      <c r="AW1912" s="125"/>
      <c r="AX1912" s="238"/>
      <c r="AY1912" s="125"/>
      <c r="AZ1912" s="125"/>
      <c r="BA1912" s="125"/>
    </row>
    <row r="1913" spans="2:53" s="123" customFormat="1">
      <c r="B1913" s="125"/>
      <c r="D1913" s="125"/>
      <c r="I1913" s="125"/>
      <c r="Z1913" s="124"/>
      <c r="AA1913" s="74"/>
      <c r="AB1913" s="240"/>
      <c r="AD1913" s="124"/>
      <c r="AE1913" s="238"/>
      <c r="AF1913" s="239"/>
      <c r="AG1913" s="239"/>
      <c r="AH1913" s="124"/>
      <c r="AI1913" s="74"/>
      <c r="AJ1913" s="240"/>
      <c r="AL1913" s="124"/>
      <c r="AM1913" s="74"/>
      <c r="AP1913" s="125"/>
      <c r="AQ1913" s="241"/>
      <c r="AR1913" s="125"/>
      <c r="AS1913" s="125"/>
      <c r="AT1913" s="238"/>
      <c r="AU1913" s="125"/>
      <c r="AV1913" s="125"/>
      <c r="AW1913" s="125"/>
      <c r="AX1913" s="238"/>
      <c r="AY1913" s="125"/>
      <c r="AZ1913" s="125"/>
      <c r="BA1913" s="125"/>
    </row>
    <row r="1914" spans="2:53" s="123" customFormat="1">
      <c r="B1914" s="125"/>
      <c r="D1914" s="125"/>
      <c r="I1914" s="125"/>
      <c r="Z1914" s="124"/>
      <c r="AA1914" s="74"/>
      <c r="AB1914" s="240"/>
      <c r="AD1914" s="124"/>
      <c r="AE1914" s="238"/>
      <c r="AF1914" s="239"/>
      <c r="AG1914" s="239"/>
      <c r="AH1914" s="124"/>
      <c r="AI1914" s="74"/>
      <c r="AJ1914" s="240"/>
      <c r="AL1914" s="124"/>
      <c r="AM1914" s="74"/>
      <c r="AP1914" s="125"/>
      <c r="AQ1914" s="241"/>
      <c r="AR1914" s="125"/>
      <c r="AS1914" s="125"/>
      <c r="AT1914" s="238"/>
      <c r="AU1914" s="125"/>
      <c r="AV1914" s="125"/>
      <c r="AW1914" s="125"/>
      <c r="AX1914" s="238"/>
      <c r="AY1914" s="125"/>
      <c r="AZ1914" s="125"/>
      <c r="BA1914" s="125"/>
    </row>
    <row r="1915" spans="2:53" s="123" customFormat="1">
      <c r="B1915" s="125"/>
      <c r="D1915" s="125"/>
      <c r="I1915" s="125"/>
      <c r="Z1915" s="124"/>
      <c r="AA1915" s="74"/>
      <c r="AB1915" s="240"/>
      <c r="AD1915" s="124"/>
      <c r="AE1915" s="238"/>
      <c r="AF1915" s="239"/>
      <c r="AG1915" s="239"/>
      <c r="AH1915" s="124"/>
      <c r="AI1915" s="74"/>
      <c r="AJ1915" s="240"/>
      <c r="AL1915" s="124"/>
      <c r="AM1915" s="74"/>
      <c r="AP1915" s="125"/>
      <c r="AQ1915" s="241"/>
      <c r="AR1915" s="125"/>
      <c r="AS1915" s="125"/>
      <c r="AT1915" s="238"/>
      <c r="AU1915" s="125"/>
      <c r="AV1915" s="125"/>
      <c r="AW1915" s="125"/>
      <c r="AX1915" s="238"/>
      <c r="AY1915" s="125"/>
      <c r="AZ1915" s="125"/>
      <c r="BA1915" s="125"/>
    </row>
    <row r="1916" spans="2:53" s="123" customFormat="1">
      <c r="B1916" s="125"/>
      <c r="D1916" s="125"/>
      <c r="I1916" s="125"/>
      <c r="Z1916" s="124"/>
      <c r="AA1916" s="74"/>
      <c r="AB1916" s="240"/>
      <c r="AD1916" s="124"/>
      <c r="AE1916" s="238"/>
      <c r="AF1916" s="239"/>
      <c r="AG1916" s="239"/>
      <c r="AH1916" s="124"/>
      <c r="AI1916" s="74"/>
      <c r="AJ1916" s="240"/>
      <c r="AL1916" s="124"/>
      <c r="AM1916" s="74"/>
      <c r="AP1916" s="125"/>
      <c r="AQ1916" s="241"/>
      <c r="AR1916" s="125"/>
      <c r="AS1916" s="125"/>
      <c r="AT1916" s="238"/>
      <c r="AU1916" s="125"/>
      <c r="AV1916" s="125"/>
      <c r="AW1916" s="125"/>
      <c r="AX1916" s="238"/>
      <c r="AY1916" s="125"/>
      <c r="AZ1916" s="125"/>
      <c r="BA1916" s="125"/>
    </row>
    <row r="1917" spans="2:53" s="123" customFormat="1">
      <c r="B1917" s="125"/>
      <c r="D1917" s="125"/>
      <c r="I1917" s="125"/>
      <c r="Z1917" s="124"/>
      <c r="AA1917" s="74"/>
      <c r="AB1917" s="240"/>
      <c r="AD1917" s="124"/>
      <c r="AE1917" s="238"/>
      <c r="AF1917" s="239"/>
      <c r="AG1917" s="239"/>
      <c r="AH1917" s="124"/>
      <c r="AI1917" s="74"/>
      <c r="AJ1917" s="240"/>
      <c r="AL1917" s="124"/>
      <c r="AM1917" s="74"/>
      <c r="AP1917" s="125"/>
      <c r="AQ1917" s="241"/>
      <c r="AR1917" s="125"/>
      <c r="AS1917" s="125"/>
      <c r="AT1917" s="238"/>
      <c r="AU1917" s="125"/>
      <c r="AV1917" s="125"/>
      <c r="AW1917" s="125"/>
      <c r="AX1917" s="238"/>
      <c r="AY1917" s="125"/>
      <c r="AZ1917" s="125"/>
      <c r="BA1917" s="125"/>
    </row>
    <row r="1918" spans="2:53" s="123" customFormat="1">
      <c r="B1918" s="125"/>
      <c r="D1918" s="125"/>
      <c r="I1918" s="125"/>
      <c r="Z1918" s="124"/>
      <c r="AA1918" s="74"/>
      <c r="AB1918" s="240"/>
      <c r="AD1918" s="124"/>
      <c r="AE1918" s="238"/>
      <c r="AF1918" s="239"/>
      <c r="AG1918" s="239"/>
      <c r="AH1918" s="124"/>
      <c r="AI1918" s="74"/>
      <c r="AJ1918" s="240"/>
      <c r="AL1918" s="124"/>
      <c r="AM1918" s="74"/>
      <c r="AP1918" s="125"/>
      <c r="AQ1918" s="241"/>
      <c r="AR1918" s="125"/>
      <c r="AS1918" s="125"/>
      <c r="AT1918" s="238"/>
      <c r="AU1918" s="125"/>
      <c r="AV1918" s="125"/>
      <c r="AW1918" s="125"/>
      <c r="AX1918" s="238"/>
      <c r="AY1918" s="125"/>
      <c r="AZ1918" s="125"/>
      <c r="BA1918" s="125"/>
    </row>
    <row r="1919" spans="2:53" s="123" customFormat="1">
      <c r="B1919" s="125"/>
      <c r="D1919" s="125"/>
      <c r="I1919" s="125"/>
      <c r="Z1919" s="124"/>
      <c r="AA1919" s="74"/>
      <c r="AB1919" s="240"/>
      <c r="AD1919" s="124"/>
      <c r="AE1919" s="238"/>
      <c r="AF1919" s="239"/>
      <c r="AG1919" s="239"/>
      <c r="AH1919" s="124"/>
      <c r="AI1919" s="74"/>
      <c r="AJ1919" s="240"/>
      <c r="AL1919" s="124"/>
      <c r="AM1919" s="74"/>
      <c r="AP1919" s="125"/>
      <c r="AQ1919" s="241"/>
      <c r="AR1919" s="125"/>
      <c r="AS1919" s="125"/>
      <c r="AT1919" s="238"/>
      <c r="AU1919" s="125"/>
      <c r="AV1919" s="125"/>
      <c r="AW1919" s="125"/>
      <c r="AX1919" s="238"/>
      <c r="AY1919" s="125"/>
      <c r="AZ1919" s="125"/>
      <c r="BA1919" s="125"/>
    </row>
    <row r="1920" spans="2:53" s="123" customFormat="1">
      <c r="B1920" s="125"/>
      <c r="D1920" s="125"/>
      <c r="I1920" s="125"/>
      <c r="Z1920" s="124"/>
      <c r="AA1920" s="74"/>
      <c r="AB1920" s="240"/>
      <c r="AD1920" s="124"/>
      <c r="AE1920" s="238"/>
      <c r="AF1920" s="239"/>
      <c r="AG1920" s="239"/>
      <c r="AH1920" s="124"/>
      <c r="AI1920" s="74"/>
      <c r="AJ1920" s="240"/>
      <c r="AL1920" s="124"/>
      <c r="AM1920" s="74"/>
      <c r="AP1920" s="125"/>
      <c r="AQ1920" s="241"/>
      <c r="AR1920" s="125"/>
      <c r="AS1920" s="125"/>
      <c r="AT1920" s="238"/>
      <c r="AU1920" s="125"/>
      <c r="AV1920" s="125"/>
      <c r="AW1920" s="125"/>
      <c r="AX1920" s="238"/>
      <c r="AY1920" s="125"/>
      <c r="AZ1920" s="125"/>
      <c r="BA1920" s="125"/>
    </row>
    <row r="1921" spans="2:53" s="123" customFormat="1">
      <c r="B1921" s="125"/>
      <c r="D1921" s="125"/>
      <c r="I1921" s="125"/>
      <c r="Z1921" s="124"/>
      <c r="AA1921" s="74"/>
      <c r="AB1921" s="240"/>
      <c r="AD1921" s="124"/>
      <c r="AE1921" s="238"/>
      <c r="AF1921" s="239"/>
      <c r="AG1921" s="239"/>
      <c r="AH1921" s="124"/>
      <c r="AI1921" s="74"/>
      <c r="AJ1921" s="240"/>
      <c r="AL1921" s="124"/>
      <c r="AM1921" s="74"/>
      <c r="AP1921" s="125"/>
      <c r="AQ1921" s="241"/>
      <c r="AR1921" s="125"/>
      <c r="AS1921" s="125"/>
      <c r="AT1921" s="238"/>
      <c r="AU1921" s="125"/>
      <c r="AV1921" s="125"/>
      <c r="AW1921" s="125"/>
      <c r="AX1921" s="238"/>
      <c r="AY1921" s="125"/>
      <c r="AZ1921" s="125"/>
      <c r="BA1921" s="125"/>
    </row>
    <row r="1922" spans="2:53" s="123" customFormat="1">
      <c r="B1922" s="125"/>
      <c r="D1922" s="125"/>
      <c r="I1922" s="125"/>
      <c r="Z1922" s="124"/>
      <c r="AA1922" s="74"/>
      <c r="AB1922" s="240"/>
      <c r="AD1922" s="124"/>
      <c r="AE1922" s="238"/>
      <c r="AF1922" s="239"/>
      <c r="AG1922" s="239"/>
      <c r="AH1922" s="124"/>
      <c r="AI1922" s="74"/>
      <c r="AJ1922" s="240"/>
      <c r="AL1922" s="124"/>
      <c r="AM1922" s="74"/>
      <c r="AP1922" s="125"/>
      <c r="AQ1922" s="241"/>
      <c r="AR1922" s="125"/>
      <c r="AS1922" s="125"/>
      <c r="AT1922" s="238"/>
      <c r="AU1922" s="125"/>
      <c r="AV1922" s="125"/>
      <c r="AW1922" s="125"/>
      <c r="AX1922" s="238"/>
      <c r="AY1922" s="125"/>
      <c r="AZ1922" s="125"/>
      <c r="BA1922" s="125"/>
    </row>
    <row r="1923" spans="2:53" s="123" customFormat="1">
      <c r="B1923" s="125"/>
      <c r="D1923" s="125"/>
      <c r="I1923" s="125"/>
      <c r="Z1923" s="124"/>
      <c r="AA1923" s="74"/>
      <c r="AB1923" s="240"/>
      <c r="AD1923" s="124"/>
      <c r="AE1923" s="238"/>
      <c r="AF1923" s="239"/>
      <c r="AG1923" s="239"/>
      <c r="AH1923" s="124"/>
      <c r="AI1923" s="74"/>
      <c r="AJ1923" s="240"/>
      <c r="AL1923" s="124"/>
      <c r="AM1923" s="74"/>
      <c r="AP1923" s="125"/>
      <c r="AQ1923" s="241"/>
      <c r="AR1923" s="125"/>
      <c r="AS1923" s="125"/>
      <c r="AT1923" s="238"/>
      <c r="AU1923" s="125"/>
      <c r="AV1923" s="125"/>
      <c r="AW1923" s="125"/>
      <c r="AX1923" s="238"/>
      <c r="AY1923" s="125"/>
      <c r="AZ1923" s="125"/>
      <c r="BA1923" s="125"/>
    </row>
    <row r="1924" spans="2:53" s="123" customFormat="1">
      <c r="B1924" s="125"/>
      <c r="D1924" s="125"/>
      <c r="I1924" s="125"/>
      <c r="Z1924" s="124"/>
      <c r="AA1924" s="74"/>
      <c r="AB1924" s="240"/>
      <c r="AD1924" s="124"/>
      <c r="AE1924" s="238"/>
      <c r="AF1924" s="239"/>
      <c r="AG1924" s="239"/>
      <c r="AH1924" s="124"/>
      <c r="AI1924" s="74"/>
      <c r="AJ1924" s="240"/>
      <c r="AL1924" s="124"/>
      <c r="AM1924" s="74"/>
      <c r="AP1924" s="125"/>
      <c r="AQ1924" s="241"/>
      <c r="AR1924" s="125"/>
      <c r="AS1924" s="125"/>
      <c r="AT1924" s="238"/>
      <c r="AU1924" s="125"/>
      <c r="AV1924" s="125"/>
      <c r="AW1924" s="125"/>
      <c r="AX1924" s="238"/>
      <c r="AY1924" s="125"/>
      <c r="AZ1924" s="125"/>
      <c r="BA1924" s="125"/>
    </row>
    <row r="1925" spans="2:53" s="123" customFormat="1">
      <c r="B1925" s="125"/>
      <c r="D1925" s="125"/>
      <c r="I1925" s="125"/>
      <c r="Z1925" s="124"/>
      <c r="AA1925" s="74"/>
      <c r="AB1925" s="240"/>
      <c r="AD1925" s="124"/>
      <c r="AE1925" s="238"/>
      <c r="AF1925" s="239"/>
      <c r="AG1925" s="239"/>
      <c r="AH1925" s="124"/>
      <c r="AI1925" s="74"/>
      <c r="AJ1925" s="240"/>
      <c r="AL1925" s="124"/>
      <c r="AM1925" s="74"/>
      <c r="AP1925" s="125"/>
      <c r="AQ1925" s="241"/>
      <c r="AR1925" s="125"/>
      <c r="AS1925" s="125"/>
      <c r="AT1925" s="238"/>
      <c r="AU1925" s="125"/>
      <c r="AV1925" s="125"/>
      <c r="AW1925" s="125"/>
      <c r="AX1925" s="238"/>
      <c r="AY1925" s="125"/>
      <c r="AZ1925" s="125"/>
      <c r="BA1925" s="125"/>
    </row>
    <row r="1926" spans="2:53" s="123" customFormat="1">
      <c r="B1926" s="125"/>
      <c r="D1926" s="125"/>
      <c r="I1926" s="125"/>
      <c r="Z1926" s="124"/>
      <c r="AA1926" s="74"/>
      <c r="AB1926" s="240"/>
      <c r="AD1926" s="124"/>
      <c r="AE1926" s="238"/>
      <c r="AF1926" s="239"/>
      <c r="AG1926" s="239"/>
      <c r="AH1926" s="124"/>
      <c r="AI1926" s="74"/>
      <c r="AJ1926" s="240"/>
      <c r="AL1926" s="124"/>
      <c r="AM1926" s="74"/>
      <c r="AP1926" s="125"/>
      <c r="AQ1926" s="241"/>
      <c r="AR1926" s="125"/>
      <c r="AS1926" s="125"/>
      <c r="AT1926" s="238"/>
      <c r="AU1926" s="125"/>
      <c r="AV1926" s="125"/>
      <c r="AW1926" s="125"/>
      <c r="AX1926" s="238"/>
      <c r="AY1926" s="125"/>
      <c r="AZ1926" s="125"/>
      <c r="BA1926" s="125"/>
    </row>
    <row r="1927" spans="2:53" s="123" customFormat="1">
      <c r="B1927" s="125"/>
      <c r="D1927" s="125"/>
      <c r="I1927" s="125"/>
      <c r="Z1927" s="124"/>
      <c r="AA1927" s="74"/>
      <c r="AB1927" s="240"/>
      <c r="AD1927" s="124"/>
      <c r="AE1927" s="238"/>
      <c r="AF1927" s="239"/>
      <c r="AG1927" s="239"/>
      <c r="AH1927" s="124"/>
      <c r="AI1927" s="74"/>
      <c r="AJ1927" s="240"/>
      <c r="AL1927" s="124"/>
      <c r="AM1927" s="74"/>
      <c r="AP1927" s="125"/>
      <c r="AQ1927" s="241"/>
      <c r="AR1927" s="125"/>
      <c r="AS1927" s="125"/>
      <c r="AT1927" s="238"/>
      <c r="AU1927" s="125"/>
      <c r="AV1927" s="125"/>
      <c r="AW1927" s="125"/>
      <c r="AX1927" s="238"/>
      <c r="AY1927" s="125"/>
      <c r="AZ1927" s="125"/>
      <c r="BA1927" s="125"/>
    </row>
    <row r="1928" spans="2:53" s="123" customFormat="1">
      <c r="B1928" s="125"/>
      <c r="D1928" s="125"/>
      <c r="I1928" s="125"/>
      <c r="Z1928" s="124"/>
      <c r="AA1928" s="74"/>
      <c r="AB1928" s="240"/>
      <c r="AD1928" s="124"/>
      <c r="AE1928" s="238"/>
      <c r="AF1928" s="239"/>
      <c r="AG1928" s="239"/>
      <c r="AH1928" s="124"/>
      <c r="AI1928" s="74"/>
      <c r="AJ1928" s="240"/>
      <c r="AL1928" s="124"/>
      <c r="AM1928" s="74"/>
      <c r="AP1928" s="125"/>
      <c r="AQ1928" s="241"/>
      <c r="AR1928" s="125"/>
      <c r="AS1928" s="125"/>
      <c r="AT1928" s="238"/>
      <c r="AU1928" s="125"/>
      <c r="AV1928" s="125"/>
      <c r="AW1928" s="125"/>
      <c r="AX1928" s="238"/>
      <c r="AY1928" s="125"/>
      <c r="AZ1928" s="125"/>
      <c r="BA1928" s="125"/>
    </row>
    <row r="1929" spans="2:53" s="123" customFormat="1">
      <c r="B1929" s="125"/>
      <c r="D1929" s="125"/>
      <c r="I1929" s="125"/>
      <c r="Z1929" s="124"/>
      <c r="AA1929" s="74"/>
      <c r="AB1929" s="240"/>
      <c r="AD1929" s="124"/>
      <c r="AE1929" s="238"/>
      <c r="AF1929" s="239"/>
      <c r="AG1929" s="239"/>
      <c r="AH1929" s="124"/>
      <c r="AI1929" s="74"/>
      <c r="AJ1929" s="240"/>
      <c r="AL1929" s="124"/>
      <c r="AM1929" s="74"/>
      <c r="AP1929" s="125"/>
      <c r="AQ1929" s="241"/>
      <c r="AR1929" s="125"/>
      <c r="AS1929" s="125"/>
      <c r="AT1929" s="238"/>
      <c r="AU1929" s="125"/>
      <c r="AV1929" s="125"/>
      <c r="AW1929" s="125"/>
      <c r="AX1929" s="238"/>
      <c r="AY1929" s="125"/>
      <c r="AZ1929" s="125"/>
      <c r="BA1929" s="125"/>
    </row>
    <row r="1930" spans="2:53" s="123" customFormat="1">
      <c r="B1930" s="125"/>
      <c r="D1930" s="125"/>
      <c r="I1930" s="125"/>
      <c r="Z1930" s="124"/>
      <c r="AA1930" s="74"/>
      <c r="AB1930" s="240"/>
      <c r="AD1930" s="124"/>
      <c r="AE1930" s="238"/>
      <c r="AF1930" s="239"/>
      <c r="AG1930" s="239"/>
      <c r="AH1930" s="124"/>
      <c r="AI1930" s="74"/>
      <c r="AJ1930" s="240"/>
      <c r="AL1930" s="124"/>
      <c r="AM1930" s="74"/>
      <c r="AP1930" s="125"/>
      <c r="AQ1930" s="241"/>
      <c r="AR1930" s="125"/>
      <c r="AS1930" s="125"/>
      <c r="AT1930" s="238"/>
      <c r="AU1930" s="125"/>
      <c r="AV1930" s="125"/>
      <c r="AW1930" s="125"/>
      <c r="AX1930" s="238"/>
      <c r="AY1930" s="125"/>
      <c r="AZ1930" s="125"/>
      <c r="BA1930" s="125"/>
    </row>
    <row r="1931" spans="2:53" s="123" customFormat="1">
      <c r="B1931" s="125"/>
      <c r="D1931" s="125"/>
      <c r="I1931" s="125"/>
      <c r="Z1931" s="124"/>
      <c r="AA1931" s="74"/>
      <c r="AB1931" s="240"/>
      <c r="AD1931" s="124"/>
      <c r="AE1931" s="238"/>
      <c r="AF1931" s="239"/>
      <c r="AG1931" s="239"/>
      <c r="AH1931" s="124"/>
      <c r="AI1931" s="74"/>
      <c r="AJ1931" s="240"/>
      <c r="AL1931" s="124"/>
      <c r="AM1931" s="74"/>
      <c r="AP1931" s="125"/>
      <c r="AQ1931" s="241"/>
      <c r="AR1931" s="125"/>
      <c r="AS1931" s="125"/>
      <c r="AT1931" s="238"/>
      <c r="AU1931" s="125"/>
      <c r="AV1931" s="125"/>
      <c r="AW1931" s="125"/>
      <c r="AX1931" s="238"/>
      <c r="AY1931" s="125"/>
      <c r="AZ1931" s="125"/>
      <c r="BA1931" s="125"/>
    </row>
    <row r="1932" spans="2:53" s="123" customFormat="1">
      <c r="B1932" s="125"/>
      <c r="D1932" s="125"/>
      <c r="I1932" s="125"/>
      <c r="Z1932" s="124"/>
      <c r="AA1932" s="74"/>
      <c r="AB1932" s="240"/>
      <c r="AD1932" s="124"/>
      <c r="AE1932" s="238"/>
      <c r="AF1932" s="239"/>
      <c r="AG1932" s="239"/>
      <c r="AH1932" s="124"/>
      <c r="AI1932" s="74"/>
      <c r="AJ1932" s="240"/>
      <c r="AL1932" s="124"/>
      <c r="AM1932" s="74"/>
      <c r="AP1932" s="125"/>
      <c r="AQ1932" s="241"/>
      <c r="AR1932" s="125"/>
      <c r="AS1932" s="125"/>
      <c r="AT1932" s="238"/>
      <c r="AU1932" s="125"/>
      <c r="AV1932" s="125"/>
      <c r="AW1932" s="125"/>
      <c r="AX1932" s="238"/>
      <c r="AY1932" s="125"/>
      <c r="AZ1932" s="125"/>
      <c r="BA1932" s="125"/>
    </row>
    <row r="1933" spans="2:53" s="123" customFormat="1">
      <c r="B1933" s="125"/>
      <c r="D1933" s="125"/>
      <c r="I1933" s="125"/>
      <c r="Z1933" s="124"/>
      <c r="AA1933" s="74"/>
      <c r="AB1933" s="240"/>
      <c r="AD1933" s="124"/>
      <c r="AE1933" s="238"/>
      <c r="AF1933" s="239"/>
      <c r="AG1933" s="239"/>
      <c r="AH1933" s="124"/>
      <c r="AI1933" s="74"/>
      <c r="AJ1933" s="240"/>
      <c r="AL1933" s="124"/>
      <c r="AM1933" s="74"/>
      <c r="AP1933" s="125"/>
      <c r="AQ1933" s="241"/>
      <c r="AR1933" s="125"/>
      <c r="AS1933" s="125"/>
      <c r="AT1933" s="238"/>
      <c r="AU1933" s="125"/>
      <c r="AV1933" s="125"/>
      <c r="AW1933" s="125"/>
      <c r="AX1933" s="238"/>
      <c r="AY1933" s="125"/>
      <c r="AZ1933" s="125"/>
      <c r="BA1933" s="125"/>
    </row>
    <row r="1934" spans="2:53" s="123" customFormat="1">
      <c r="B1934" s="125"/>
      <c r="D1934" s="125"/>
      <c r="I1934" s="125"/>
      <c r="Z1934" s="124"/>
      <c r="AA1934" s="74"/>
      <c r="AB1934" s="240"/>
      <c r="AD1934" s="124"/>
      <c r="AE1934" s="238"/>
      <c r="AF1934" s="239"/>
      <c r="AG1934" s="239"/>
      <c r="AH1934" s="124"/>
      <c r="AI1934" s="74"/>
      <c r="AJ1934" s="240"/>
      <c r="AL1934" s="124"/>
      <c r="AM1934" s="74"/>
      <c r="AP1934" s="125"/>
      <c r="AQ1934" s="241"/>
      <c r="AR1934" s="125"/>
      <c r="AS1934" s="125"/>
      <c r="AT1934" s="238"/>
      <c r="AU1934" s="125"/>
      <c r="AV1934" s="125"/>
      <c r="AW1934" s="125"/>
      <c r="AX1934" s="238"/>
      <c r="AY1934" s="125"/>
      <c r="AZ1934" s="125"/>
      <c r="BA1934" s="125"/>
    </row>
    <row r="1935" spans="2:53" s="123" customFormat="1">
      <c r="B1935" s="125"/>
      <c r="D1935" s="125"/>
      <c r="I1935" s="125"/>
      <c r="Z1935" s="124"/>
      <c r="AA1935" s="74"/>
      <c r="AB1935" s="240"/>
      <c r="AD1935" s="124"/>
      <c r="AE1935" s="238"/>
      <c r="AF1935" s="239"/>
      <c r="AG1935" s="239"/>
      <c r="AH1935" s="124"/>
      <c r="AI1935" s="74"/>
      <c r="AJ1935" s="240"/>
      <c r="AL1935" s="124"/>
      <c r="AM1935" s="74"/>
      <c r="AP1935" s="125"/>
      <c r="AQ1935" s="241"/>
      <c r="AR1935" s="125"/>
      <c r="AS1935" s="125"/>
      <c r="AT1935" s="238"/>
      <c r="AU1935" s="125"/>
      <c r="AV1935" s="125"/>
      <c r="AW1935" s="125"/>
      <c r="AX1935" s="238"/>
      <c r="AY1935" s="125"/>
      <c r="AZ1935" s="125"/>
      <c r="BA1935" s="125"/>
    </row>
    <row r="1936" spans="2:53" s="123" customFormat="1">
      <c r="B1936" s="125"/>
      <c r="D1936" s="125"/>
      <c r="I1936" s="125"/>
      <c r="Z1936" s="124"/>
      <c r="AA1936" s="74"/>
      <c r="AB1936" s="240"/>
      <c r="AD1936" s="124"/>
      <c r="AE1936" s="238"/>
      <c r="AF1936" s="239"/>
      <c r="AG1936" s="239"/>
      <c r="AH1936" s="124"/>
      <c r="AI1936" s="74"/>
      <c r="AJ1936" s="240"/>
      <c r="AL1936" s="124"/>
      <c r="AM1936" s="74"/>
      <c r="AP1936" s="125"/>
      <c r="AQ1936" s="241"/>
      <c r="AR1936" s="125"/>
      <c r="AS1936" s="125"/>
      <c r="AT1936" s="238"/>
      <c r="AU1936" s="125"/>
      <c r="AV1936" s="125"/>
      <c r="AW1936" s="125"/>
      <c r="AX1936" s="238"/>
      <c r="AY1936" s="125"/>
      <c r="AZ1936" s="125"/>
      <c r="BA1936" s="125"/>
    </row>
    <row r="1937" spans="2:53" s="123" customFormat="1">
      <c r="B1937" s="125"/>
      <c r="D1937" s="125"/>
      <c r="I1937" s="125"/>
      <c r="Z1937" s="124"/>
      <c r="AA1937" s="74"/>
      <c r="AB1937" s="240"/>
      <c r="AD1937" s="124"/>
      <c r="AE1937" s="238"/>
      <c r="AF1937" s="239"/>
      <c r="AG1937" s="239"/>
      <c r="AH1937" s="124"/>
      <c r="AI1937" s="74"/>
      <c r="AJ1937" s="240"/>
      <c r="AL1937" s="124"/>
      <c r="AM1937" s="74"/>
      <c r="AP1937" s="125"/>
      <c r="AQ1937" s="241"/>
      <c r="AR1937" s="125"/>
      <c r="AS1937" s="125"/>
      <c r="AT1937" s="238"/>
      <c r="AU1937" s="125"/>
      <c r="AV1937" s="125"/>
      <c r="AW1937" s="125"/>
      <c r="AX1937" s="238"/>
      <c r="AY1937" s="125"/>
      <c r="AZ1937" s="125"/>
      <c r="BA1937" s="125"/>
    </row>
    <row r="1938" spans="2:53" s="123" customFormat="1">
      <c r="B1938" s="125"/>
      <c r="D1938" s="125"/>
      <c r="I1938" s="125"/>
      <c r="Z1938" s="124"/>
      <c r="AA1938" s="74"/>
      <c r="AB1938" s="240"/>
      <c r="AD1938" s="124"/>
      <c r="AE1938" s="238"/>
      <c r="AF1938" s="239"/>
      <c r="AG1938" s="239"/>
      <c r="AH1938" s="124"/>
      <c r="AI1938" s="74"/>
      <c r="AJ1938" s="240"/>
      <c r="AL1938" s="124"/>
      <c r="AM1938" s="74"/>
      <c r="AP1938" s="125"/>
      <c r="AQ1938" s="241"/>
      <c r="AR1938" s="125"/>
      <c r="AS1938" s="125"/>
      <c r="AT1938" s="238"/>
      <c r="AU1938" s="125"/>
      <c r="AV1938" s="125"/>
      <c r="AW1938" s="125"/>
      <c r="AX1938" s="238"/>
      <c r="AY1938" s="125"/>
      <c r="AZ1938" s="125"/>
      <c r="BA1938" s="125"/>
    </row>
    <row r="1939" spans="2:53" s="123" customFormat="1">
      <c r="B1939" s="125"/>
      <c r="D1939" s="125"/>
      <c r="I1939" s="125"/>
      <c r="Z1939" s="124"/>
      <c r="AA1939" s="74"/>
      <c r="AB1939" s="240"/>
      <c r="AD1939" s="124"/>
      <c r="AE1939" s="238"/>
      <c r="AF1939" s="239"/>
      <c r="AG1939" s="239"/>
      <c r="AH1939" s="124"/>
      <c r="AI1939" s="74"/>
      <c r="AJ1939" s="240"/>
      <c r="AL1939" s="124"/>
      <c r="AM1939" s="74"/>
      <c r="AP1939" s="125"/>
      <c r="AQ1939" s="241"/>
      <c r="AR1939" s="125"/>
      <c r="AS1939" s="125"/>
      <c r="AT1939" s="238"/>
      <c r="AU1939" s="125"/>
      <c r="AV1939" s="125"/>
      <c r="AW1939" s="125"/>
      <c r="AX1939" s="238"/>
      <c r="AY1939" s="125"/>
      <c r="AZ1939" s="125"/>
      <c r="BA1939" s="125"/>
    </row>
    <row r="1940" spans="2:53" s="123" customFormat="1">
      <c r="B1940" s="125"/>
      <c r="D1940" s="125"/>
      <c r="I1940" s="125"/>
      <c r="Z1940" s="124"/>
      <c r="AA1940" s="74"/>
      <c r="AB1940" s="240"/>
      <c r="AD1940" s="124"/>
      <c r="AE1940" s="238"/>
      <c r="AF1940" s="239"/>
      <c r="AG1940" s="239"/>
      <c r="AH1940" s="124"/>
      <c r="AI1940" s="74"/>
      <c r="AJ1940" s="240"/>
      <c r="AL1940" s="124"/>
      <c r="AM1940" s="74"/>
      <c r="AP1940" s="125"/>
      <c r="AQ1940" s="241"/>
      <c r="AR1940" s="125"/>
      <c r="AS1940" s="125"/>
      <c r="AT1940" s="238"/>
      <c r="AU1940" s="125"/>
      <c r="AV1940" s="125"/>
      <c r="AW1940" s="125"/>
      <c r="AX1940" s="238"/>
      <c r="AY1940" s="125"/>
      <c r="AZ1940" s="125"/>
      <c r="BA1940" s="125"/>
    </row>
    <row r="1941" spans="2:53" s="123" customFormat="1">
      <c r="B1941" s="125"/>
      <c r="D1941" s="125"/>
      <c r="I1941" s="125"/>
      <c r="Z1941" s="124"/>
      <c r="AA1941" s="74"/>
      <c r="AB1941" s="240"/>
      <c r="AD1941" s="124"/>
      <c r="AE1941" s="238"/>
      <c r="AF1941" s="239"/>
      <c r="AG1941" s="239"/>
      <c r="AH1941" s="124"/>
      <c r="AI1941" s="74"/>
      <c r="AJ1941" s="240"/>
      <c r="AL1941" s="124"/>
      <c r="AM1941" s="74"/>
      <c r="AP1941" s="125"/>
      <c r="AQ1941" s="241"/>
      <c r="AR1941" s="125"/>
      <c r="AS1941" s="125"/>
      <c r="AT1941" s="238"/>
      <c r="AU1941" s="125"/>
      <c r="AV1941" s="125"/>
      <c r="AW1941" s="125"/>
      <c r="AX1941" s="238"/>
      <c r="AY1941" s="125"/>
      <c r="AZ1941" s="125"/>
      <c r="BA1941" s="125"/>
    </row>
    <row r="1942" spans="2:53" s="123" customFormat="1">
      <c r="B1942" s="125"/>
      <c r="D1942" s="125"/>
      <c r="I1942" s="125"/>
      <c r="Z1942" s="124"/>
      <c r="AA1942" s="74"/>
      <c r="AB1942" s="240"/>
      <c r="AD1942" s="124"/>
      <c r="AE1942" s="238"/>
      <c r="AF1942" s="239"/>
      <c r="AG1942" s="239"/>
      <c r="AH1942" s="124"/>
      <c r="AI1942" s="74"/>
      <c r="AJ1942" s="240"/>
      <c r="AL1942" s="124"/>
      <c r="AM1942" s="74"/>
      <c r="AP1942" s="125"/>
      <c r="AQ1942" s="241"/>
      <c r="AR1942" s="125"/>
      <c r="AS1942" s="125"/>
      <c r="AT1942" s="238"/>
      <c r="AU1942" s="125"/>
      <c r="AV1942" s="125"/>
      <c r="AW1942" s="125"/>
      <c r="AX1942" s="238"/>
      <c r="AY1942" s="125"/>
      <c r="AZ1942" s="125"/>
      <c r="BA1942" s="125"/>
    </row>
    <row r="1943" spans="2:53" s="123" customFormat="1">
      <c r="B1943" s="125"/>
      <c r="D1943" s="125"/>
      <c r="I1943" s="125"/>
      <c r="Z1943" s="124"/>
      <c r="AA1943" s="74"/>
      <c r="AB1943" s="240"/>
      <c r="AD1943" s="124"/>
      <c r="AE1943" s="238"/>
      <c r="AF1943" s="239"/>
      <c r="AG1943" s="239"/>
      <c r="AH1943" s="124"/>
      <c r="AI1943" s="74"/>
      <c r="AJ1943" s="240"/>
      <c r="AL1943" s="124"/>
      <c r="AM1943" s="74"/>
      <c r="AP1943" s="125"/>
      <c r="AQ1943" s="241"/>
      <c r="AR1943" s="125"/>
      <c r="AS1943" s="125"/>
      <c r="AT1943" s="238"/>
      <c r="AU1943" s="125"/>
      <c r="AV1943" s="125"/>
      <c r="AW1943" s="125"/>
      <c r="AX1943" s="238"/>
      <c r="AY1943" s="125"/>
      <c r="AZ1943" s="125"/>
      <c r="BA1943" s="125"/>
    </row>
    <row r="1944" spans="2:53" s="123" customFormat="1">
      <c r="B1944" s="125"/>
      <c r="D1944" s="125"/>
      <c r="I1944" s="125"/>
      <c r="Z1944" s="124"/>
      <c r="AA1944" s="74"/>
      <c r="AB1944" s="240"/>
      <c r="AD1944" s="124"/>
      <c r="AE1944" s="238"/>
      <c r="AF1944" s="239"/>
      <c r="AG1944" s="239"/>
      <c r="AH1944" s="124"/>
      <c r="AI1944" s="74"/>
      <c r="AJ1944" s="240"/>
      <c r="AL1944" s="124"/>
      <c r="AM1944" s="74"/>
      <c r="AP1944" s="125"/>
      <c r="AQ1944" s="241"/>
      <c r="AR1944" s="125"/>
      <c r="AS1944" s="125"/>
      <c r="AT1944" s="238"/>
      <c r="AU1944" s="125"/>
      <c r="AV1944" s="125"/>
      <c r="AW1944" s="125"/>
      <c r="AX1944" s="238"/>
      <c r="AY1944" s="125"/>
      <c r="AZ1944" s="125"/>
      <c r="BA1944" s="125"/>
    </row>
    <row r="1945" spans="2:53" s="123" customFormat="1">
      <c r="B1945" s="125"/>
      <c r="D1945" s="125"/>
      <c r="I1945" s="125"/>
      <c r="Z1945" s="124"/>
      <c r="AA1945" s="74"/>
      <c r="AB1945" s="240"/>
      <c r="AD1945" s="124"/>
      <c r="AE1945" s="238"/>
      <c r="AF1945" s="239"/>
      <c r="AG1945" s="239"/>
      <c r="AH1945" s="124"/>
      <c r="AI1945" s="74"/>
      <c r="AJ1945" s="240"/>
      <c r="AL1945" s="124"/>
      <c r="AM1945" s="74"/>
      <c r="AP1945" s="125"/>
      <c r="AQ1945" s="241"/>
      <c r="AR1945" s="125"/>
      <c r="AS1945" s="125"/>
      <c r="AT1945" s="238"/>
      <c r="AU1945" s="125"/>
      <c r="AV1945" s="125"/>
      <c r="AW1945" s="125"/>
      <c r="AX1945" s="238"/>
      <c r="AY1945" s="125"/>
      <c r="AZ1945" s="125"/>
      <c r="BA1945" s="125"/>
    </row>
    <row r="1946" spans="2:53" s="123" customFormat="1">
      <c r="B1946" s="125"/>
      <c r="D1946" s="125"/>
      <c r="I1946" s="125"/>
      <c r="Z1946" s="124"/>
      <c r="AA1946" s="74"/>
      <c r="AB1946" s="240"/>
      <c r="AD1946" s="124"/>
      <c r="AE1946" s="238"/>
      <c r="AF1946" s="239"/>
      <c r="AG1946" s="239"/>
      <c r="AH1946" s="124"/>
      <c r="AI1946" s="74"/>
      <c r="AJ1946" s="240"/>
      <c r="AL1946" s="124"/>
      <c r="AM1946" s="74"/>
      <c r="AP1946" s="125"/>
      <c r="AQ1946" s="241"/>
      <c r="AR1946" s="125"/>
      <c r="AS1946" s="125"/>
      <c r="AT1946" s="238"/>
      <c r="AU1946" s="125"/>
      <c r="AV1946" s="125"/>
      <c r="AW1946" s="125"/>
      <c r="AX1946" s="238"/>
      <c r="AY1946" s="125"/>
      <c r="AZ1946" s="125"/>
      <c r="BA1946" s="125"/>
    </row>
    <row r="1947" spans="2:53" s="123" customFormat="1">
      <c r="B1947" s="125"/>
      <c r="D1947" s="125"/>
      <c r="I1947" s="125"/>
      <c r="Z1947" s="124"/>
      <c r="AA1947" s="74"/>
      <c r="AB1947" s="240"/>
      <c r="AD1947" s="124"/>
      <c r="AE1947" s="238"/>
      <c r="AF1947" s="239"/>
      <c r="AG1947" s="239"/>
      <c r="AH1947" s="124"/>
      <c r="AI1947" s="74"/>
      <c r="AJ1947" s="240"/>
      <c r="AL1947" s="124"/>
      <c r="AM1947" s="74"/>
      <c r="AP1947" s="125"/>
      <c r="AQ1947" s="241"/>
      <c r="AR1947" s="125"/>
      <c r="AS1947" s="125"/>
      <c r="AT1947" s="238"/>
      <c r="AU1947" s="125"/>
      <c r="AV1947" s="125"/>
      <c r="AW1947" s="125"/>
      <c r="AX1947" s="238"/>
      <c r="AY1947" s="125"/>
      <c r="AZ1947" s="125"/>
      <c r="BA1947" s="125"/>
    </row>
    <row r="1948" spans="2:53" s="123" customFormat="1">
      <c r="B1948" s="125"/>
      <c r="D1948" s="125"/>
      <c r="I1948" s="125"/>
      <c r="Z1948" s="124"/>
      <c r="AA1948" s="74"/>
      <c r="AB1948" s="240"/>
      <c r="AD1948" s="124"/>
      <c r="AE1948" s="238"/>
      <c r="AF1948" s="239"/>
      <c r="AG1948" s="239"/>
      <c r="AH1948" s="124"/>
      <c r="AI1948" s="74"/>
      <c r="AJ1948" s="240"/>
      <c r="AL1948" s="124"/>
      <c r="AM1948" s="74"/>
      <c r="AP1948" s="125"/>
      <c r="AQ1948" s="241"/>
      <c r="AR1948" s="125"/>
      <c r="AS1948" s="125"/>
      <c r="AT1948" s="238"/>
      <c r="AU1948" s="125"/>
      <c r="AV1948" s="125"/>
      <c r="AW1948" s="125"/>
      <c r="AX1948" s="238"/>
      <c r="AY1948" s="125"/>
      <c r="AZ1948" s="125"/>
      <c r="BA1948" s="125"/>
    </row>
    <row r="1949" spans="2:53" s="123" customFormat="1">
      <c r="B1949" s="125"/>
      <c r="D1949" s="125"/>
      <c r="I1949" s="125"/>
      <c r="Z1949" s="124"/>
      <c r="AA1949" s="74"/>
      <c r="AB1949" s="240"/>
      <c r="AD1949" s="124"/>
      <c r="AE1949" s="238"/>
      <c r="AF1949" s="239"/>
      <c r="AG1949" s="239"/>
      <c r="AH1949" s="124"/>
      <c r="AI1949" s="74"/>
      <c r="AJ1949" s="240"/>
      <c r="AL1949" s="124"/>
      <c r="AM1949" s="74"/>
      <c r="AP1949" s="125"/>
      <c r="AQ1949" s="241"/>
      <c r="AR1949" s="125"/>
      <c r="AS1949" s="125"/>
      <c r="AT1949" s="238"/>
      <c r="AU1949" s="125"/>
      <c r="AV1949" s="125"/>
      <c r="AW1949" s="125"/>
      <c r="AX1949" s="238"/>
      <c r="AY1949" s="125"/>
      <c r="AZ1949" s="125"/>
      <c r="BA1949" s="125"/>
    </row>
    <row r="1950" spans="2:53" s="123" customFormat="1">
      <c r="B1950" s="125"/>
      <c r="D1950" s="125"/>
      <c r="I1950" s="125"/>
      <c r="Z1950" s="124"/>
      <c r="AA1950" s="74"/>
      <c r="AB1950" s="240"/>
      <c r="AD1950" s="124"/>
      <c r="AE1950" s="238"/>
      <c r="AF1950" s="239"/>
      <c r="AG1950" s="239"/>
      <c r="AH1950" s="124"/>
      <c r="AI1950" s="74"/>
      <c r="AJ1950" s="240"/>
      <c r="AL1950" s="124"/>
      <c r="AM1950" s="74"/>
      <c r="AP1950" s="125"/>
      <c r="AQ1950" s="241"/>
      <c r="AR1950" s="125"/>
      <c r="AS1950" s="125"/>
      <c r="AT1950" s="238"/>
      <c r="AU1950" s="125"/>
      <c r="AV1950" s="125"/>
      <c r="AW1950" s="125"/>
      <c r="AX1950" s="238"/>
      <c r="AY1950" s="125"/>
      <c r="AZ1950" s="125"/>
      <c r="BA1950" s="125"/>
    </row>
    <row r="1951" spans="2:53" s="123" customFormat="1">
      <c r="B1951" s="125"/>
      <c r="D1951" s="125"/>
      <c r="I1951" s="125"/>
      <c r="Z1951" s="124"/>
      <c r="AA1951" s="74"/>
      <c r="AB1951" s="240"/>
      <c r="AD1951" s="124"/>
      <c r="AE1951" s="238"/>
      <c r="AF1951" s="239"/>
      <c r="AG1951" s="239"/>
      <c r="AH1951" s="124"/>
      <c r="AI1951" s="74"/>
      <c r="AJ1951" s="240"/>
      <c r="AL1951" s="124"/>
      <c r="AM1951" s="74"/>
      <c r="AP1951" s="125"/>
      <c r="AQ1951" s="241"/>
      <c r="AR1951" s="125"/>
      <c r="AS1951" s="125"/>
      <c r="AT1951" s="238"/>
      <c r="AU1951" s="125"/>
      <c r="AV1951" s="125"/>
      <c r="AW1951" s="125"/>
      <c r="AX1951" s="238"/>
      <c r="AY1951" s="125"/>
      <c r="AZ1951" s="125"/>
      <c r="BA1951" s="125"/>
    </row>
    <row r="1952" spans="2:53" s="123" customFormat="1">
      <c r="B1952" s="125"/>
      <c r="D1952" s="125"/>
      <c r="I1952" s="125"/>
      <c r="Z1952" s="124"/>
      <c r="AA1952" s="74"/>
      <c r="AB1952" s="240"/>
      <c r="AD1952" s="124"/>
      <c r="AE1952" s="238"/>
      <c r="AF1952" s="239"/>
      <c r="AG1952" s="239"/>
      <c r="AH1952" s="124"/>
      <c r="AI1952" s="74"/>
      <c r="AJ1952" s="240"/>
      <c r="AL1952" s="124"/>
      <c r="AM1952" s="74"/>
      <c r="AP1952" s="125"/>
      <c r="AQ1952" s="241"/>
      <c r="AR1952" s="125"/>
      <c r="AS1952" s="125"/>
      <c r="AT1952" s="238"/>
      <c r="AU1952" s="125"/>
      <c r="AV1952" s="125"/>
      <c r="AW1952" s="125"/>
      <c r="AX1952" s="238"/>
      <c r="AY1952" s="125"/>
      <c r="AZ1952" s="125"/>
      <c r="BA1952" s="125"/>
    </row>
    <row r="1953" spans="2:53" s="123" customFormat="1">
      <c r="B1953" s="125"/>
      <c r="D1953" s="125"/>
      <c r="I1953" s="125"/>
      <c r="Z1953" s="124"/>
      <c r="AA1953" s="74"/>
      <c r="AB1953" s="240"/>
      <c r="AD1953" s="124"/>
      <c r="AE1953" s="238"/>
      <c r="AF1953" s="239"/>
      <c r="AG1953" s="239"/>
      <c r="AH1953" s="124"/>
      <c r="AI1953" s="74"/>
      <c r="AJ1953" s="240"/>
      <c r="AL1953" s="124"/>
      <c r="AM1953" s="74"/>
      <c r="AP1953" s="125"/>
      <c r="AQ1953" s="241"/>
      <c r="AR1953" s="125"/>
      <c r="AS1953" s="125"/>
      <c r="AT1953" s="238"/>
      <c r="AU1953" s="125"/>
      <c r="AV1953" s="125"/>
      <c r="AW1953" s="125"/>
      <c r="AX1953" s="238"/>
      <c r="AY1953" s="125"/>
      <c r="AZ1953" s="125"/>
      <c r="BA1953" s="125"/>
    </row>
    <row r="1954" spans="2:53" s="123" customFormat="1">
      <c r="B1954" s="125"/>
      <c r="D1954" s="125"/>
      <c r="I1954" s="125"/>
      <c r="Z1954" s="124"/>
      <c r="AA1954" s="74"/>
      <c r="AB1954" s="240"/>
      <c r="AD1954" s="124"/>
      <c r="AE1954" s="238"/>
      <c r="AF1954" s="239"/>
      <c r="AG1954" s="239"/>
      <c r="AH1954" s="124"/>
      <c r="AI1954" s="74"/>
      <c r="AJ1954" s="240"/>
      <c r="AL1954" s="124"/>
      <c r="AM1954" s="74"/>
      <c r="AP1954" s="125"/>
      <c r="AQ1954" s="241"/>
      <c r="AR1954" s="125"/>
      <c r="AS1954" s="125"/>
      <c r="AT1954" s="238"/>
      <c r="AU1954" s="125"/>
      <c r="AV1954" s="125"/>
      <c r="AW1954" s="125"/>
      <c r="AX1954" s="238"/>
      <c r="AY1954" s="125"/>
      <c r="AZ1954" s="125"/>
      <c r="BA1954" s="125"/>
    </row>
    <row r="1955" spans="2:53" s="123" customFormat="1">
      <c r="B1955" s="125"/>
      <c r="D1955" s="125"/>
      <c r="I1955" s="125"/>
      <c r="Z1955" s="124"/>
      <c r="AA1955" s="74"/>
      <c r="AB1955" s="240"/>
      <c r="AD1955" s="124"/>
      <c r="AE1955" s="238"/>
      <c r="AF1955" s="239"/>
      <c r="AG1955" s="239"/>
      <c r="AH1955" s="124"/>
      <c r="AI1955" s="74"/>
      <c r="AJ1955" s="240"/>
      <c r="AL1955" s="124"/>
      <c r="AM1955" s="74"/>
      <c r="AP1955" s="125"/>
      <c r="AQ1955" s="241"/>
      <c r="AR1955" s="125"/>
      <c r="AS1955" s="125"/>
      <c r="AT1955" s="238"/>
      <c r="AU1955" s="125"/>
      <c r="AV1955" s="125"/>
      <c r="AW1955" s="125"/>
      <c r="AX1955" s="238"/>
      <c r="AY1955" s="125"/>
      <c r="AZ1955" s="125"/>
      <c r="BA1955" s="125"/>
    </row>
    <row r="1956" spans="2:53" s="123" customFormat="1">
      <c r="B1956" s="125"/>
      <c r="D1956" s="125"/>
      <c r="I1956" s="125"/>
      <c r="Z1956" s="124"/>
      <c r="AA1956" s="74"/>
      <c r="AB1956" s="240"/>
      <c r="AD1956" s="124"/>
      <c r="AE1956" s="238"/>
      <c r="AF1956" s="239"/>
      <c r="AG1956" s="239"/>
      <c r="AH1956" s="124"/>
      <c r="AI1956" s="74"/>
      <c r="AJ1956" s="240"/>
      <c r="AL1956" s="124"/>
      <c r="AM1956" s="74"/>
      <c r="AP1956" s="125"/>
      <c r="AQ1956" s="241"/>
      <c r="AR1956" s="125"/>
      <c r="AS1956" s="125"/>
      <c r="AT1956" s="238"/>
      <c r="AU1956" s="125"/>
      <c r="AV1956" s="125"/>
      <c r="AW1956" s="125"/>
      <c r="AX1956" s="238"/>
      <c r="AY1956" s="125"/>
      <c r="AZ1956" s="125"/>
      <c r="BA1956" s="125"/>
    </row>
    <row r="1957" spans="2:53" s="123" customFormat="1">
      <c r="B1957" s="125"/>
      <c r="D1957" s="125"/>
      <c r="I1957" s="125"/>
      <c r="Z1957" s="124"/>
      <c r="AA1957" s="74"/>
      <c r="AB1957" s="240"/>
      <c r="AD1957" s="124"/>
      <c r="AE1957" s="238"/>
      <c r="AF1957" s="239"/>
      <c r="AG1957" s="239"/>
      <c r="AH1957" s="124"/>
      <c r="AI1957" s="74"/>
      <c r="AJ1957" s="240"/>
      <c r="AL1957" s="124"/>
      <c r="AM1957" s="74"/>
      <c r="AP1957" s="125"/>
      <c r="AQ1957" s="241"/>
      <c r="AR1957" s="125"/>
      <c r="AS1957" s="125"/>
      <c r="AT1957" s="238"/>
      <c r="AU1957" s="125"/>
      <c r="AV1957" s="125"/>
      <c r="AW1957" s="125"/>
      <c r="AX1957" s="238"/>
      <c r="AY1957" s="125"/>
      <c r="AZ1957" s="125"/>
      <c r="BA1957" s="125"/>
    </row>
    <row r="1958" spans="2:53" s="123" customFormat="1">
      <c r="B1958" s="125"/>
      <c r="D1958" s="125"/>
      <c r="I1958" s="125"/>
      <c r="Z1958" s="124"/>
      <c r="AA1958" s="74"/>
      <c r="AB1958" s="240"/>
      <c r="AD1958" s="124"/>
      <c r="AE1958" s="238"/>
      <c r="AF1958" s="239"/>
      <c r="AG1958" s="239"/>
      <c r="AH1958" s="124"/>
      <c r="AI1958" s="74"/>
      <c r="AJ1958" s="240"/>
      <c r="AL1958" s="124"/>
      <c r="AM1958" s="74"/>
      <c r="AP1958" s="125"/>
      <c r="AQ1958" s="241"/>
      <c r="AR1958" s="125"/>
      <c r="AS1958" s="125"/>
      <c r="AT1958" s="238"/>
      <c r="AU1958" s="125"/>
      <c r="AV1958" s="125"/>
      <c r="AW1958" s="125"/>
      <c r="AX1958" s="238"/>
      <c r="AY1958" s="125"/>
      <c r="AZ1958" s="125"/>
      <c r="BA1958" s="125"/>
    </row>
    <row r="1959" spans="2:53" s="123" customFormat="1">
      <c r="B1959" s="125"/>
      <c r="D1959" s="125"/>
      <c r="I1959" s="125"/>
      <c r="Z1959" s="124"/>
      <c r="AA1959" s="74"/>
      <c r="AB1959" s="240"/>
      <c r="AD1959" s="124"/>
      <c r="AE1959" s="238"/>
      <c r="AF1959" s="239"/>
      <c r="AG1959" s="239"/>
      <c r="AH1959" s="124"/>
      <c r="AI1959" s="74"/>
      <c r="AJ1959" s="240"/>
      <c r="AL1959" s="124"/>
      <c r="AM1959" s="74"/>
      <c r="AP1959" s="125"/>
      <c r="AQ1959" s="241"/>
      <c r="AR1959" s="125"/>
      <c r="AS1959" s="125"/>
      <c r="AT1959" s="238"/>
      <c r="AU1959" s="125"/>
      <c r="AV1959" s="125"/>
      <c r="AW1959" s="125"/>
      <c r="AX1959" s="238"/>
      <c r="AY1959" s="125"/>
      <c r="AZ1959" s="125"/>
      <c r="BA1959" s="125"/>
    </row>
    <row r="1960" spans="2:53" s="123" customFormat="1">
      <c r="B1960" s="125"/>
      <c r="D1960" s="125"/>
      <c r="I1960" s="125"/>
      <c r="Z1960" s="124"/>
      <c r="AA1960" s="74"/>
      <c r="AB1960" s="240"/>
      <c r="AD1960" s="124"/>
      <c r="AE1960" s="238"/>
      <c r="AF1960" s="239"/>
      <c r="AG1960" s="239"/>
      <c r="AH1960" s="124"/>
      <c r="AI1960" s="74"/>
      <c r="AJ1960" s="240"/>
      <c r="AL1960" s="124"/>
      <c r="AM1960" s="74"/>
      <c r="AP1960" s="125"/>
      <c r="AQ1960" s="241"/>
      <c r="AR1960" s="125"/>
      <c r="AS1960" s="125"/>
      <c r="AT1960" s="238"/>
      <c r="AU1960" s="125"/>
      <c r="AV1960" s="125"/>
      <c r="AW1960" s="125"/>
      <c r="AX1960" s="238"/>
      <c r="AY1960" s="125"/>
      <c r="AZ1960" s="125"/>
      <c r="BA1960" s="125"/>
    </row>
    <row r="1961" spans="2:53" s="123" customFormat="1">
      <c r="B1961" s="125"/>
      <c r="D1961" s="125"/>
      <c r="I1961" s="125"/>
      <c r="Z1961" s="124"/>
      <c r="AA1961" s="74"/>
      <c r="AB1961" s="240"/>
      <c r="AD1961" s="124"/>
      <c r="AE1961" s="238"/>
      <c r="AF1961" s="239"/>
      <c r="AG1961" s="239"/>
      <c r="AH1961" s="124"/>
      <c r="AI1961" s="74"/>
      <c r="AJ1961" s="240"/>
      <c r="AL1961" s="124"/>
      <c r="AM1961" s="74"/>
      <c r="AP1961" s="125"/>
      <c r="AQ1961" s="241"/>
      <c r="AR1961" s="125"/>
      <c r="AS1961" s="125"/>
      <c r="AT1961" s="238"/>
      <c r="AU1961" s="125"/>
      <c r="AV1961" s="125"/>
      <c r="AW1961" s="125"/>
      <c r="AX1961" s="238"/>
      <c r="AY1961" s="125"/>
      <c r="AZ1961" s="125"/>
      <c r="BA1961" s="125"/>
    </row>
    <row r="1962" spans="2:53" s="123" customFormat="1">
      <c r="B1962" s="125"/>
      <c r="D1962" s="125"/>
      <c r="I1962" s="125"/>
      <c r="Z1962" s="124"/>
      <c r="AA1962" s="74"/>
      <c r="AB1962" s="240"/>
      <c r="AD1962" s="124"/>
      <c r="AE1962" s="238"/>
      <c r="AF1962" s="239"/>
      <c r="AG1962" s="239"/>
      <c r="AH1962" s="124"/>
      <c r="AI1962" s="74"/>
      <c r="AJ1962" s="240"/>
      <c r="AL1962" s="124"/>
      <c r="AM1962" s="74"/>
      <c r="AP1962" s="125"/>
      <c r="AQ1962" s="241"/>
      <c r="AR1962" s="125"/>
      <c r="AS1962" s="125"/>
      <c r="AT1962" s="238"/>
      <c r="AU1962" s="125"/>
      <c r="AV1962" s="125"/>
      <c r="AW1962" s="125"/>
      <c r="AX1962" s="238"/>
      <c r="AY1962" s="125"/>
      <c r="AZ1962" s="125"/>
      <c r="BA1962" s="125"/>
    </row>
    <row r="1963" spans="2:53" s="123" customFormat="1">
      <c r="B1963" s="125"/>
      <c r="D1963" s="125"/>
      <c r="I1963" s="125"/>
      <c r="Z1963" s="124"/>
      <c r="AA1963" s="74"/>
      <c r="AB1963" s="240"/>
      <c r="AD1963" s="124"/>
      <c r="AE1963" s="238"/>
      <c r="AF1963" s="239"/>
      <c r="AG1963" s="239"/>
      <c r="AH1963" s="124"/>
      <c r="AI1963" s="74"/>
      <c r="AJ1963" s="240"/>
      <c r="AL1963" s="124"/>
      <c r="AM1963" s="74"/>
      <c r="AP1963" s="125"/>
      <c r="AQ1963" s="241"/>
      <c r="AR1963" s="125"/>
      <c r="AS1963" s="125"/>
      <c r="AT1963" s="238"/>
      <c r="AU1963" s="125"/>
      <c r="AV1963" s="125"/>
      <c r="AW1963" s="125"/>
      <c r="AX1963" s="238"/>
      <c r="AY1963" s="125"/>
      <c r="AZ1963" s="125"/>
      <c r="BA1963" s="125"/>
    </row>
    <row r="1964" spans="2:53" s="123" customFormat="1">
      <c r="B1964" s="125"/>
      <c r="D1964" s="125"/>
      <c r="I1964" s="125"/>
      <c r="Z1964" s="124"/>
      <c r="AA1964" s="74"/>
      <c r="AB1964" s="240"/>
      <c r="AD1964" s="124"/>
      <c r="AE1964" s="238"/>
      <c r="AF1964" s="239"/>
      <c r="AG1964" s="239"/>
      <c r="AH1964" s="124"/>
      <c r="AI1964" s="74"/>
      <c r="AJ1964" s="240"/>
      <c r="AL1964" s="124"/>
      <c r="AM1964" s="74"/>
      <c r="AP1964" s="125"/>
      <c r="AQ1964" s="241"/>
      <c r="AR1964" s="125"/>
      <c r="AS1964" s="125"/>
      <c r="AT1964" s="238"/>
      <c r="AU1964" s="125"/>
      <c r="AV1964" s="125"/>
      <c r="AW1964" s="125"/>
      <c r="AX1964" s="238"/>
      <c r="AY1964" s="125"/>
      <c r="AZ1964" s="125"/>
      <c r="BA1964" s="125"/>
    </row>
    <row r="1965" spans="2:53" s="123" customFormat="1">
      <c r="B1965" s="125"/>
      <c r="D1965" s="125"/>
      <c r="I1965" s="125"/>
      <c r="Z1965" s="124"/>
      <c r="AA1965" s="74"/>
      <c r="AB1965" s="240"/>
      <c r="AD1965" s="124"/>
      <c r="AE1965" s="238"/>
      <c r="AF1965" s="239"/>
      <c r="AG1965" s="239"/>
      <c r="AH1965" s="124"/>
      <c r="AI1965" s="74"/>
      <c r="AJ1965" s="240"/>
      <c r="AL1965" s="124"/>
      <c r="AM1965" s="74"/>
      <c r="AP1965" s="125"/>
      <c r="AQ1965" s="241"/>
      <c r="AR1965" s="125"/>
      <c r="AS1965" s="125"/>
      <c r="AT1965" s="238"/>
      <c r="AU1965" s="125"/>
      <c r="AV1965" s="125"/>
      <c r="AW1965" s="125"/>
      <c r="AX1965" s="238"/>
      <c r="AY1965" s="125"/>
      <c r="AZ1965" s="125"/>
      <c r="BA1965" s="125"/>
    </row>
    <row r="1966" spans="2:53" s="123" customFormat="1">
      <c r="B1966" s="125"/>
      <c r="D1966" s="125"/>
      <c r="I1966" s="125"/>
      <c r="Z1966" s="124"/>
      <c r="AA1966" s="74"/>
      <c r="AB1966" s="240"/>
      <c r="AD1966" s="124"/>
      <c r="AE1966" s="238"/>
      <c r="AF1966" s="239"/>
      <c r="AG1966" s="239"/>
      <c r="AH1966" s="124"/>
      <c r="AI1966" s="74"/>
      <c r="AJ1966" s="240"/>
      <c r="AL1966" s="124"/>
      <c r="AM1966" s="74"/>
      <c r="AP1966" s="125"/>
      <c r="AQ1966" s="241"/>
      <c r="AR1966" s="125"/>
      <c r="AS1966" s="125"/>
      <c r="AT1966" s="238"/>
      <c r="AU1966" s="125"/>
      <c r="AV1966" s="125"/>
      <c r="AW1966" s="125"/>
      <c r="AX1966" s="238"/>
      <c r="AY1966" s="125"/>
      <c r="AZ1966" s="125"/>
      <c r="BA1966" s="125"/>
    </row>
    <row r="1967" spans="2:53" s="123" customFormat="1">
      <c r="B1967" s="125"/>
      <c r="D1967" s="125"/>
      <c r="I1967" s="125"/>
      <c r="Z1967" s="124"/>
      <c r="AA1967" s="74"/>
      <c r="AB1967" s="240"/>
      <c r="AD1967" s="124"/>
      <c r="AE1967" s="238"/>
      <c r="AF1967" s="239"/>
      <c r="AG1967" s="239"/>
      <c r="AH1967" s="124"/>
      <c r="AI1967" s="74"/>
      <c r="AJ1967" s="240"/>
      <c r="AL1967" s="124"/>
      <c r="AM1967" s="74"/>
      <c r="AP1967" s="125"/>
      <c r="AQ1967" s="241"/>
      <c r="AR1967" s="125"/>
      <c r="AS1967" s="125"/>
      <c r="AT1967" s="238"/>
      <c r="AU1967" s="125"/>
      <c r="AV1967" s="125"/>
      <c r="AW1967" s="125"/>
      <c r="AX1967" s="238"/>
      <c r="AY1967" s="125"/>
      <c r="AZ1967" s="125"/>
      <c r="BA1967" s="125"/>
    </row>
    <row r="1968" spans="2:53" s="123" customFormat="1">
      <c r="B1968" s="125"/>
      <c r="D1968" s="125"/>
      <c r="I1968" s="125"/>
      <c r="Z1968" s="124"/>
      <c r="AA1968" s="74"/>
      <c r="AB1968" s="240"/>
      <c r="AD1968" s="124"/>
      <c r="AE1968" s="238"/>
      <c r="AF1968" s="239"/>
      <c r="AG1968" s="239"/>
      <c r="AH1968" s="124"/>
      <c r="AI1968" s="74"/>
      <c r="AJ1968" s="240"/>
      <c r="AL1968" s="124"/>
      <c r="AM1968" s="74"/>
      <c r="AP1968" s="125"/>
      <c r="AQ1968" s="241"/>
      <c r="AR1968" s="125"/>
      <c r="AS1968" s="125"/>
      <c r="AT1968" s="238"/>
      <c r="AU1968" s="125"/>
      <c r="AV1968" s="125"/>
      <c r="AW1968" s="125"/>
      <c r="AX1968" s="238"/>
      <c r="AY1968" s="125"/>
      <c r="AZ1968" s="125"/>
      <c r="BA1968" s="125"/>
    </row>
    <row r="1969" spans="2:53" s="123" customFormat="1">
      <c r="B1969" s="125"/>
      <c r="D1969" s="125"/>
      <c r="I1969" s="125"/>
      <c r="Z1969" s="124"/>
      <c r="AA1969" s="74"/>
      <c r="AB1969" s="240"/>
      <c r="AD1969" s="124"/>
      <c r="AE1969" s="238"/>
      <c r="AF1969" s="239"/>
      <c r="AG1969" s="239"/>
      <c r="AH1969" s="124"/>
      <c r="AI1969" s="74"/>
      <c r="AJ1969" s="240"/>
      <c r="AL1969" s="124"/>
      <c r="AM1969" s="74"/>
      <c r="AP1969" s="125"/>
      <c r="AQ1969" s="241"/>
      <c r="AR1969" s="125"/>
      <c r="AS1969" s="125"/>
      <c r="AT1969" s="238"/>
      <c r="AU1969" s="125"/>
      <c r="AV1969" s="125"/>
      <c r="AW1969" s="125"/>
      <c r="AX1969" s="238"/>
      <c r="AY1969" s="125"/>
      <c r="AZ1969" s="125"/>
      <c r="BA1969" s="125"/>
    </row>
    <row r="1970" spans="2:53" s="123" customFormat="1">
      <c r="B1970" s="125"/>
      <c r="D1970" s="125"/>
      <c r="I1970" s="125"/>
      <c r="Z1970" s="124"/>
      <c r="AA1970" s="74"/>
      <c r="AB1970" s="240"/>
      <c r="AD1970" s="124"/>
      <c r="AE1970" s="238"/>
      <c r="AF1970" s="239"/>
      <c r="AG1970" s="239"/>
      <c r="AH1970" s="124"/>
      <c r="AI1970" s="74"/>
      <c r="AJ1970" s="240"/>
      <c r="AL1970" s="124"/>
      <c r="AM1970" s="74"/>
      <c r="AP1970" s="125"/>
      <c r="AQ1970" s="241"/>
      <c r="AR1970" s="125"/>
      <c r="AS1970" s="125"/>
      <c r="AT1970" s="238"/>
      <c r="AU1970" s="125"/>
      <c r="AV1970" s="125"/>
      <c r="AW1970" s="125"/>
      <c r="AX1970" s="238"/>
      <c r="AY1970" s="125"/>
      <c r="AZ1970" s="125"/>
      <c r="BA1970" s="125"/>
    </row>
    <row r="1971" spans="2:53" s="123" customFormat="1">
      <c r="B1971" s="125"/>
      <c r="D1971" s="125"/>
      <c r="I1971" s="125"/>
      <c r="Z1971" s="124"/>
      <c r="AA1971" s="74"/>
      <c r="AB1971" s="240"/>
      <c r="AD1971" s="124"/>
      <c r="AE1971" s="238"/>
      <c r="AF1971" s="239"/>
      <c r="AG1971" s="239"/>
      <c r="AH1971" s="124"/>
      <c r="AI1971" s="74"/>
      <c r="AJ1971" s="240"/>
      <c r="AL1971" s="124"/>
      <c r="AM1971" s="74"/>
      <c r="AP1971" s="125"/>
      <c r="AQ1971" s="241"/>
      <c r="AR1971" s="125"/>
      <c r="AS1971" s="125"/>
      <c r="AT1971" s="238"/>
      <c r="AU1971" s="125"/>
      <c r="AV1971" s="125"/>
      <c r="AW1971" s="125"/>
      <c r="AX1971" s="238"/>
      <c r="AY1971" s="125"/>
      <c r="AZ1971" s="125"/>
      <c r="BA1971" s="125"/>
    </row>
    <row r="1972" spans="2:53" s="123" customFormat="1">
      <c r="B1972" s="125"/>
      <c r="D1972" s="125"/>
      <c r="I1972" s="125"/>
      <c r="Z1972" s="124"/>
      <c r="AA1972" s="74"/>
      <c r="AB1972" s="240"/>
      <c r="AD1972" s="124"/>
      <c r="AE1972" s="238"/>
      <c r="AF1972" s="239"/>
      <c r="AG1972" s="239"/>
      <c r="AH1972" s="124"/>
      <c r="AI1972" s="74"/>
      <c r="AJ1972" s="240"/>
      <c r="AL1972" s="124"/>
      <c r="AM1972" s="74"/>
      <c r="AP1972" s="125"/>
      <c r="AQ1972" s="241"/>
      <c r="AR1972" s="125"/>
      <c r="AS1972" s="125"/>
      <c r="AT1972" s="238"/>
      <c r="AU1972" s="125"/>
      <c r="AV1972" s="125"/>
      <c r="AW1972" s="125"/>
      <c r="AX1972" s="238"/>
      <c r="AY1972" s="125"/>
      <c r="AZ1972" s="125"/>
      <c r="BA1972" s="125"/>
    </row>
    <row r="1973" spans="2:53" s="123" customFormat="1">
      <c r="B1973" s="125"/>
      <c r="D1973" s="125"/>
      <c r="I1973" s="125"/>
      <c r="Z1973" s="124"/>
      <c r="AA1973" s="74"/>
      <c r="AB1973" s="240"/>
      <c r="AD1973" s="124"/>
      <c r="AE1973" s="238"/>
      <c r="AF1973" s="239"/>
      <c r="AG1973" s="239"/>
      <c r="AH1973" s="124"/>
      <c r="AI1973" s="74"/>
      <c r="AJ1973" s="240"/>
      <c r="AL1973" s="124"/>
      <c r="AM1973" s="74"/>
      <c r="AP1973" s="125"/>
      <c r="AQ1973" s="241"/>
      <c r="AR1973" s="125"/>
      <c r="AS1973" s="125"/>
      <c r="AT1973" s="238"/>
      <c r="AU1973" s="125"/>
      <c r="AV1973" s="125"/>
      <c r="AW1973" s="125"/>
      <c r="AX1973" s="238"/>
      <c r="AY1973" s="125"/>
      <c r="AZ1973" s="125"/>
      <c r="BA1973" s="125"/>
    </row>
    <row r="1974" spans="2:53" s="123" customFormat="1">
      <c r="B1974" s="125"/>
      <c r="D1974" s="125"/>
      <c r="I1974" s="125"/>
      <c r="Z1974" s="124"/>
      <c r="AA1974" s="74"/>
      <c r="AB1974" s="240"/>
      <c r="AD1974" s="124"/>
      <c r="AE1974" s="238"/>
      <c r="AF1974" s="239"/>
      <c r="AG1974" s="239"/>
      <c r="AH1974" s="124"/>
      <c r="AI1974" s="74"/>
      <c r="AJ1974" s="240"/>
      <c r="AL1974" s="124"/>
      <c r="AM1974" s="74"/>
      <c r="AP1974" s="125"/>
      <c r="AQ1974" s="241"/>
      <c r="AR1974" s="125"/>
      <c r="AS1974" s="125"/>
      <c r="AT1974" s="238"/>
      <c r="AU1974" s="125"/>
      <c r="AV1974" s="125"/>
      <c r="AW1974" s="125"/>
      <c r="AX1974" s="238"/>
      <c r="AY1974" s="125"/>
      <c r="AZ1974" s="125"/>
      <c r="BA1974" s="125"/>
    </row>
    <row r="1975" spans="2:53" s="123" customFormat="1">
      <c r="B1975" s="125"/>
      <c r="D1975" s="125"/>
      <c r="I1975" s="125"/>
      <c r="Z1975" s="124"/>
      <c r="AA1975" s="74"/>
      <c r="AB1975" s="240"/>
      <c r="AD1975" s="124"/>
      <c r="AE1975" s="238"/>
      <c r="AF1975" s="239"/>
      <c r="AG1975" s="239"/>
      <c r="AH1975" s="124"/>
      <c r="AI1975" s="74"/>
      <c r="AJ1975" s="240"/>
      <c r="AL1975" s="124"/>
      <c r="AM1975" s="74"/>
      <c r="AP1975" s="125"/>
      <c r="AQ1975" s="241"/>
      <c r="AR1975" s="125"/>
      <c r="AS1975" s="125"/>
      <c r="AT1975" s="238"/>
      <c r="AU1975" s="125"/>
      <c r="AV1975" s="125"/>
      <c r="AW1975" s="125"/>
      <c r="AX1975" s="238"/>
      <c r="AY1975" s="125"/>
      <c r="AZ1975" s="125"/>
      <c r="BA1975" s="125"/>
    </row>
    <row r="1976" spans="2:53" s="123" customFormat="1">
      <c r="B1976" s="125"/>
      <c r="D1976" s="125"/>
      <c r="I1976" s="125"/>
      <c r="Z1976" s="124"/>
      <c r="AA1976" s="74"/>
      <c r="AB1976" s="240"/>
      <c r="AD1976" s="124"/>
      <c r="AE1976" s="238"/>
      <c r="AF1976" s="239"/>
      <c r="AG1976" s="239"/>
      <c r="AH1976" s="124"/>
      <c r="AI1976" s="74"/>
      <c r="AJ1976" s="240"/>
      <c r="AL1976" s="124"/>
      <c r="AM1976" s="74"/>
      <c r="AP1976" s="125"/>
      <c r="AQ1976" s="241"/>
      <c r="AR1976" s="125"/>
      <c r="AS1976" s="125"/>
      <c r="AT1976" s="238"/>
      <c r="AU1976" s="125"/>
      <c r="AV1976" s="125"/>
      <c r="AW1976" s="125"/>
      <c r="AX1976" s="238"/>
      <c r="AY1976" s="125"/>
      <c r="AZ1976" s="125"/>
      <c r="BA1976" s="125"/>
    </row>
    <row r="1977" spans="2:53" s="123" customFormat="1">
      <c r="B1977" s="125"/>
      <c r="D1977" s="125"/>
      <c r="I1977" s="125"/>
      <c r="Z1977" s="124"/>
      <c r="AA1977" s="74"/>
      <c r="AB1977" s="240"/>
      <c r="AD1977" s="124"/>
      <c r="AE1977" s="238"/>
      <c r="AF1977" s="239"/>
      <c r="AG1977" s="239"/>
      <c r="AH1977" s="124"/>
      <c r="AI1977" s="74"/>
      <c r="AJ1977" s="240"/>
      <c r="AL1977" s="124"/>
      <c r="AM1977" s="74"/>
      <c r="AP1977" s="125"/>
      <c r="AQ1977" s="241"/>
      <c r="AR1977" s="125"/>
      <c r="AS1977" s="125"/>
      <c r="AT1977" s="238"/>
      <c r="AU1977" s="125"/>
      <c r="AV1977" s="125"/>
      <c r="AW1977" s="125"/>
      <c r="AX1977" s="238"/>
      <c r="AY1977" s="125"/>
      <c r="AZ1977" s="125"/>
      <c r="BA1977" s="125"/>
    </row>
    <row r="1978" spans="2:53" s="123" customFormat="1">
      <c r="B1978" s="125"/>
      <c r="D1978" s="125"/>
      <c r="I1978" s="125"/>
      <c r="Z1978" s="124"/>
      <c r="AA1978" s="74"/>
      <c r="AB1978" s="240"/>
      <c r="AD1978" s="124"/>
      <c r="AE1978" s="238"/>
      <c r="AF1978" s="239"/>
      <c r="AG1978" s="239"/>
      <c r="AH1978" s="124"/>
      <c r="AI1978" s="74"/>
      <c r="AJ1978" s="240"/>
      <c r="AL1978" s="124"/>
      <c r="AM1978" s="74"/>
      <c r="AP1978" s="125"/>
      <c r="AQ1978" s="241"/>
      <c r="AR1978" s="125"/>
      <c r="AS1978" s="125"/>
      <c r="AT1978" s="238"/>
      <c r="AU1978" s="125"/>
      <c r="AV1978" s="125"/>
      <c r="AW1978" s="125"/>
      <c r="AX1978" s="238"/>
      <c r="AY1978" s="125"/>
      <c r="AZ1978" s="125"/>
      <c r="BA1978" s="125"/>
    </row>
    <row r="1979" spans="2:53" s="123" customFormat="1">
      <c r="B1979" s="125"/>
      <c r="D1979" s="125"/>
      <c r="I1979" s="125"/>
      <c r="Z1979" s="124"/>
      <c r="AA1979" s="74"/>
      <c r="AB1979" s="240"/>
      <c r="AD1979" s="124"/>
      <c r="AE1979" s="238"/>
      <c r="AF1979" s="239"/>
      <c r="AG1979" s="239"/>
      <c r="AH1979" s="124"/>
      <c r="AI1979" s="74"/>
      <c r="AJ1979" s="240"/>
      <c r="AL1979" s="124"/>
      <c r="AM1979" s="74"/>
      <c r="AP1979" s="125"/>
      <c r="AQ1979" s="241"/>
      <c r="AR1979" s="125"/>
      <c r="AS1979" s="125"/>
      <c r="AT1979" s="238"/>
      <c r="AU1979" s="125"/>
      <c r="AV1979" s="125"/>
      <c r="AW1979" s="125"/>
      <c r="AX1979" s="238"/>
      <c r="AY1979" s="125"/>
      <c r="AZ1979" s="125"/>
      <c r="BA1979" s="125"/>
    </row>
    <row r="1980" spans="2:53" s="123" customFormat="1">
      <c r="B1980" s="125"/>
      <c r="D1980" s="125"/>
      <c r="I1980" s="125"/>
      <c r="Z1980" s="124"/>
      <c r="AA1980" s="74"/>
      <c r="AB1980" s="240"/>
      <c r="AD1980" s="124"/>
      <c r="AE1980" s="238"/>
      <c r="AF1980" s="239"/>
      <c r="AG1980" s="239"/>
      <c r="AH1980" s="124"/>
      <c r="AI1980" s="74"/>
      <c r="AJ1980" s="240"/>
      <c r="AL1980" s="124"/>
      <c r="AM1980" s="74"/>
      <c r="AP1980" s="125"/>
      <c r="AQ1980" s="241"/>
      <c r="AR1980" s="125"/>
      <c r="AS1980" s="125"/>
      <c r="AT1980" s="238"/>
      <c r="AU1980" s="125"/>
      <c r="AV1980" s="125"/>
      <c r="AW1980" s="125"/>
      <c r="AX1980" s="238"/>
      <c r="AY1980" s="125"/>
      <c r="AZ1980" s="125"/>
      <c r="BA1980" s="125"/>
    </row>
    <row r="1981" spans="2:53" s="123" customFormat="1">
      <c r="B1981" s="125"/>
      <c r="D1981" s="125"/>
      <c r="I1981" s="125"/>
      <c r="Z1981" s="124"/>
      <c r="AA1981" s="74"/>
      <c r="AB1981" s="240"/>
      <c r="AD1981" s="124"/>
      <c r="AE1981" s="238"/>
      <c r="AF1981" s="239"/>
      <c r="AG1981" s="239"/>
      <c r="AH1981" s="124"/>
      <c r="AI1981" s="74"/>
      <c r="AJ1981" s="240"/>
      <c r="AL1981" s="124"/>
      <c r="AM1981" s="74"/>
      <c r="AP1981" s="125"/>
      <c r="AQ1981" s="241"/>
      <c r="AR1981" s="125"/>
      <c r="AS1981" s="125"/>
      <c r="AT1981" s="238"/>
      <c r="AU1981" s="125"/>
      <c r="AV1981" s="125"/>
      <c r="AW1981" s="125"/>
      <c r="AX1981" s="238"/>
      <c r="AY1981" s="125"/>
      <c r="AZ1981" s="125"/>
      <c r="BA1981" s="125"/>
    </row>
    <row r="1982" spans="2:53" s="123" customFormat="1">
      <c r="B1982" s="125"/>
      <c r="D1982" s="125"/>
      <c r="I1982" s="125"/>
      <c r="Z1982" s="124"/>
      <c r="AA1982" s="74"/>
      <c r="AB1982" s="240"/>
      <c r="AD1982" s="124"/>
      <c r="AE1982" s="238"/>
      <c r="AF1982" s="239"/>
      <c r="AG1982" s="239"/>
      <c r="AH1982" s="124"/>
      <c r="AI1982" s="74"/>
      <c r="AJ1982" s="240"/>
      <c r="AL1982" s="124"/>
      <c r="AM1982" s="74"/>
      <c r="AP1982" s="125"/>
      <c r="AQ1982" s="241"/>
      <c r="AR1982" s="125"/>
      <c r="AS1982" s="125"/>
      <c r="AT1982" s="238"/>
      <c r="AU1982" s="125"/>
      <c r="AV1982" s="125"/>
      <c r="AW1982" s="125"/>
      <c r="AX1982" s="238"/>
      <c r="AY1982" s="125"/>
      <c r="AZ1982" s="125"/>
      <c r="BA1982" s="125"/>
    </row>
    <row r="1983" spans="2:53" s="123" customFormat="1">
      <c r="B1983" s="125"/>
      <c r="D1983" s="125"/>
      <c r="I1983" s="125"/>
      <c r="Z1983" s="124"/>
      <c r="AA1983" s="74"/>
      <c r="AB1983" s="240"/>
      <c r="AD1983" s="124"/>
      <c r="AE1983" s="238"/>
      <c r="AF1983" s="239"/>
      <c r="AG1983" s="239"/>
      <c r="AH1983" s="124"/>
      <c r="AI1983" s="74"/>
      <c r="AJ1983" s="240"/>
      <c r="AL1983" s="124"/>
      <c r="AM1983" s="74"/>
      <c r="AP1983" s="125"/>
      <c r="AQ1983" s="241"/>
      <c r="AR1983" s="125"/>
      <c r="AS1983" s="125"/>
      <c r="AT1983" s="238"/>
      <c r="AU1983" s="125"/>
      <c r="AV1983" s="125"/>
      <c r="AW1983" s="125"/>
      <c r="AX1983" s="238"/>
      <c r="AY1983" s="125"/>
      <c r="AZ1983" s="125"/>
      <c r="BA1983" s="125"/>
    </row>
    <row r="1984" spans="2:53" s="123" customFormat="1">
      <c r="B1984" s="125"/>
      <c r="D1984" s="125"/>
      <c r="I1984" s="125"/>
      <c r="Z1984" s="124"/>
      <c r="AA1984" s="74"/>
      <c r="AB1984" s="240"/>
      <c r="AD1984" s="124"/>
      <c r="AE1984" s="238"/>
      <c r="AF1984" s="239"/>
      <c r="AG1984" s="239"/>
      <c r="AH1984" s="124"/>
      <c r="AI1984" s="74"/>
      <c r="AJ1984" s="240"/>
      <c r="AL1984" s="124"/>
      <c r="AM1984" s="74"/>
      <c r="AP1984" s="125"/>
      <c r="AQ1984" s="241"/>
      <c r="AR1984" s="125"/>
      <c r="AS1984" s="125"/>
      <c r="AT1984" s="238"/>
      <c r="AU1984" s="125"/>
      <c r="AV1984" s="125"/>
      <c r="AW1984" s="125"/>
      <c r="AX1984" s="238"/>
      <c r="AY1984" s="125"/>
      <c r="AZ1984" s="125"/>
      <c r="BA1984" s="125"/>
    </row>
    <row r="1985" spans="2:53" s="123" customFormat="1">
      <c r="B1985" s="125"/>
      <c r="D1985" s="125"/>
      <c r="I1985" s="125"/>
      <c r="Z1985" s="124"/>
      <c r="AA1985" s="74"/>
      <c r="AB1985" s="240"/>
      <c r="AD1985" s="124"/>
      <c r="AE1985" s="238"/>
      <c r="AF1985" s="239"/>
      <c r="AG1985" s="239"/>
      <c r="AH1985" s="124"/>
      <c r="AI1985" s="74"/>
      <c r="AJ1985" s="240"/>
      <c r="AL1985" s="124"/>
      <c r="AM1985" s="74"/>
      <c r="AP1985" s="125"/>
      <c r="AQ1985" s="241"/>
      <c r="AR1985" s="125"/>
      <c r="AS1985" s="125"/>
      <c r="AT1985" s="238"/>
      <c r="AU1985" s="125"/>
      <c r="AV1985" s="125"/>
      <c r="AW1985" s="125"/>
      <c r="AX1985" s="238"/>
      <c r="AY1985" s="125"/>
      <c r="AZ1985" s="125"/>
      <c r="BA1985" s="125"/>
    </row>
    <row r="1986" spans="2:53" s="123" customFormat="1">
      <c r="B1986" s="125"/>
      <c r="D1986" s="125"/>
      <c r="I1986" s="125"/>
      <c r="Z1986" s="124"/>
      <c r="AA1986" s="74"/>
      <c r="AB1986" s="240"/>
      <c r="AD1986" s="124"/>
      <c r="AE1986" s="238"/>
      <c r="AF1986" s="239"/>
      <c r="AG1986" s="239"/>
      <c r="AH1986" s="124"/>
      <c r="AI1986" s="74"/>
      <c r="AJ1986" s="240"/>
      <c r="AL1986" s="124"/>
      <c r="AM1986" s="74"/>
      <c r="AP1986" s="125"/>
      <c r="AQ1986" s="241"/>
      <c r="AR1986" s="125"/>
      <c r="AS1986" s="125"/>
      <c r="AT1986" s="238"/>
      <c r="AU1986" s="125"/>
      <c r="AV1986" s="125"/>
      <c r="AW1986" s="125"/>
      <c r="AX1986" s="238"/>
      <c r="AY1986" s="125"/>
      <c r="AZ1986" s="125"/>
      <c r="BA1986" s="125"/>
    </row>
    <row r="1987" spans="2:53" s="123" customFormat="1">
      <c r="B1987" s="125"/>
      <c r="D1987" s="125"/>
      <c r="I1987" s="125"/>
      <c r="Z1987" s="124"/>
      <c r="AA1987" s="74"/>
      <c r="AB1987" s="240"/>
      <c r="AD1987" s="124"/>
      <c r="AE1987" s="238"/>
      <c r="AF1987" s="239"/>
      <c r="AG1987" s="239"/>
      <c r="AH1987" s="124"/>
      <c r="AI1987" s="74"/>
      <c r="AJ1987" s="240"/>
      <c r="AL1987" s="124"/>
      <c r="AM1987" s="74"/>
      <c r="AP1987" s="125"/>
      <c r="AQ1987" s="241"/>
      <c r="AR1987" s="125"/>
      <c r="AS1987" s="125"/>
      <c r="AT1987" s="238"/>
      <c r="AU1987" s="125"/>
      <c r="AV1987" s="125"/>
      <c r="AW1987" s="125"/>
      <c r="AX1987" s="238"/>
      <c r="AY1987" s="125"/>
      <c r="AZ1987" s="125"/>
      <c r="BA1987" s="125"/>
    </row>
    <row r="1988" spans="2:53" s="123" customFormat="1">
      <c r="B1988" s="125"/>
      <c r="D1988" s="125"/>
      <c r="I1988" s="125"/>
      <c r="Z1988" s="124"/>
      <c r="AA1988" s="74"/>
      <c r="AB1988" s="240"/>
      <c r="AD1988" s="124"/>
      <c r="AE1988" s="238"/>
      <c r="AF1988" s="239"/>
      <c r="AG1988" s="239"/>
      <c r="AH1988" s="124"/>
      <c r="AI1988" s="74"/>
      <c r="AJ1988" s="240"/>
      <c r="AL1988" s="124"/>
      <c r="AM1988" s="74"/>
      <c r="AP1988" s="125"/>
      <c r="AQ1988" s="241"/>
      <c r="AR1988" s="125"/>
      <c r="AS1988" s="125"/>
      <c r="AT1988" s="238"/>
      <c r="AU1988" s="125"/>
      <c r="AV1988" s="125"/>
      <c r="AW1988" s="125"/>
      <c r="AX1988" s="238"/>
      <c r="AY1988" s="125"/>
      <c r="AZ1988" s="125"/>
      <c r="BA1988" s="125"/>
    </row>
    <row r="1989" spans="2:53" s="123" customFormat="1">
      <c r="B1989" s="125"/>
      <c r="D1989" s="125"/>
      <c r="I1989" s="125"/>
      <c r="Z1989" s="124"/>
      <c r="AA1989" s="74"/>
      <c r="AB1989" s="240"/>
      <c r="AD1989" s="124"/>
      <c r="AE1989" s="238"/>
      <c r="AF1989" s="239"/>
      <c r="AG1989" s="239"/>
      <c r="AH1989" s="124"/>
      <c r="AI1989" s="74"/>
      <c r="AJ1989" s="240"/>
      <c r="AL1989" s="124"/>
      <c r="AM1989" s="74"/>
      <c r="AP1989" s="125"/>
      <c r="AQ1989" s="241"/>
      <c r="AR1989" s="125"/>
      <c r="AS1989" s="125"/>
      <c r="AT1989" s="238"/>
      <c r="AU1989" s="125"/>
      <c r="AV1989" s="125"/>
      <c r="AW1989" s="125"/>
      <c r="AX1989" s="238"/>
      <c r="AY1989" s="125"/>
      <c r="AZ1989" s="125"/>
      <c r="BA1989" s="125"/>
    </row>
    <row r="1990" spans="2:53" s="123" customFormat="1">
      <c r="B1990" s="125"/>
      <c r="D1990" s="125"/>
      <c r="I1990" s="125"/>
      <c r="Z1990" s="124"/>
      <c r="AA1990" s="74"/>
      <c r="AB1990" s="240"/>
      <c r="AD1990" s="124"/>
      <c r="AE1990" s="238"/>
      <c r="AF1990" s="239"/>
      <c r="AG1990" s="239"/>
      <c r="AH1990" s="124"/>
      <c r="AI1990" s="74"/>
      <c r="AJ1990" s="240"/>
      <c r="AL1990" s="124"/>
      <c r="AM1990" s="74"/>
      <c r="AP1990" s="125"/>
      <c r="AQ1990" s="241"/>
      <c r="AR1990" s="125"/>
      <c r="AS1990" s="125"/>
      <c r="AT1990" s="238"/>
      <c r="AU1990" s="125"/>
      <c r="AV1990" s="125"/>
      <c r="AW1990" s="125"/>
      <c r="AX1990" s="238"/>
      <c r="AY1990" s="125"/>
      <c r="AZ1990" s="125"/>
      <c r="BA1990" s="125"/>
    </row>
    <row r="1991" spans="2:53" s="123" customFormat="1">
      <c r="B1991" s="125"/>
      <c r="D1991" s="125"/>
      <c r="I1991" s="125"/>
      <c r="Z1991" s="124"/>
      <c r="AA1991" s="74"/>
      <c r="AB1991" s="240"/>
      <c r="AD1991" s="124"/>
      <c r="AE1991" s="238"/>
      <c r="AF1991" s="239"/>
      <c r="AG1991" s="239"/>
      <c r="AH1991" s="124"/>
      <c r="AI1991" s="74"/>
      <c r="AJ1991" s="240"/>
      <c r="AL1991" s="124"/>
      <c r="AM1991" s="74"/>
      <c r="AP1991" s="125"/>
      <c r="AQ1991" s="241"/>
      <c r="AR1991" s="125"/>
      <c r="AS1991" s="125"/>
      <c r="AT1991" s="238"/>
      <c r="AU1991" s="125"/>
      <c r="AV1991" s="125"/>
      <c r="AW1991" s="125"/>
      <c r="AX1991" s="238"/>
      <c r="AY1991" s="125"/>
      <c r="AZ1991" s="125"/>
      <c r="BA1991" s="125"/>
    </row>
    <row r="1992" spans="2:53" s="123" customFormat="1">
      <c r="B1992" s="125"/>
      <c r="D1992" s="125"/>
      <c r="I1992" s="125"/>
      <c r="Z1992" s="124"/>
      <c r="AA1992" s="74"/>
      <c r="AB1992" s="240"/>
      <c r="AD1992" s="124"/>
      <c r="AE1992" s="238"/>
      <c r="AF1992" s="239"/>
      <c r="AG1992" s="239"/>
      <c r="AH1992" s="124"/>
      <c r="AI1992" s="74"/>
      <c r="AJ1992" s="240"/>
      <c r="AL1992" s="124"/>
      <c r="AM1992" s="74"/>
      <c r="AP1992" s="125"/>
      <c r="AQ1992" s="241"/>
      <c r="AR1992" s="125"/>
      <c r="AS1992" s="125"/>
      <c r="AT1992" s="238"/>
      <c r="AU1992" s="125"/>
      <c r="AV1992" s="125"/>
      <c r="AW1992" s="125"/>
      <c r="AX1992" s="238"/>
      <c r="AY1992" s="125"/>
      <c r="AZ1992" s="125"/>
      <c r="BA1992" s="125"/>
    </row>
    <row r="1993" spans="2:53" s="123" customFormat="1">
      <c r="B1993" s="125"/>
      <c r="D1993" s="125"/>
      <c r="I1993" s="125"/>
      <c r="Z1993" s="124"/>
      <c r="AA1993" s="74"/>
      <c r="AB1993" s="240"/>
      <c r="AD1993" s="124"/>
      <c r="AE1993" s="238"/>
      <c r="AF1993" s="239"/>
      <c r="AG1993" s="239"/>
      <c r="AH1993" s="124"/>
      <c r="AI1993" s="74"/>
      <c r="AJ1993" s="240"/>
      <c r="AL1993" s="124"/>
      <c r="AM1993" s="74"/>
      <c r="AP1993" s="125"/>
      <c r="AQ1993" s="241"/>
      <c r="AR1993" s="125"/>
      <c r="AS1993" s="125"/>
      <c r="AT1993" s="238"/>
      <c r="AU1993" s="125"/>
      <c r="AV1993" s="125"/>
      <c r="AW1993" s="125"/>
      <c r="AX1993" s="238"/>
      <c r="AY1993" s="125"/>
      <c r="AZ1993" s="125"/>
      <c r="BA1993" s="125"/>
    </row>
    <row r="1994" spans="2:53" s="123" customFormat="1">
      <c r="B1994" s="125"/>
      <c r="D1994" s="125"/>
      <c r="I1994" s="125"/>
      <c r="Z1994" s="124"/>
      <c r="AA1994" s="74"/>
      <c r="AB1994" s="240"/>
      <c r="AD1994" s="124"/>
      <c r="AE1994" s="238"/>
      <c r="AF1994" s="239"/>
      <c r="AG1994" s="239"/>
      <c r="AH1994" s="124"/>
      <c r="AI1994" s="74"/>
      <c r="AJ1994" s="240"/>
      <c r="AL1994" s="124"/>
      <c r="AM1994" s="74"/>
      <c r="AP1994" s="125"/>
      <c r="AQ1994" s="241"/>
      <c r="AR1994" s="125"/>
      <c r="AS1994" s="125"/>
      <c r="AT1994" s="238"/>
      <c r="AU1994" s="125"/>
      <c r="AV1994" s="125"/>
      <c r="AW1994" s="125"/>
      <c r="AX1994" s="238"/>
      <c r="AY1994" s="125"/>
      <c r="AZ1994" s="125"/>
      <c r="BA1994" s="125"/>
    </row>
    <row r="1995" spans="2:53" s="123" customFormat="1">
      <c r="B1995" s="125"/>
      <c r="D1995" s="125"/>
      <c r="I1995" s="125"/>
      <c r="Z1995" s="124"/>
      <c r="AA1995" s="74"/>
      <c r="AB1995" s="240"/>
      <c r="AD1995" s="124"/>
      <c r="AE1995" s="238"/>
      <c r="AF1995" s="239"/>
      <c r="AG1995" s="239"/>
      <c r="AH1995" s="124"/>
      <c r="AI1995" s="74"/>
      <c r="AJ1995" s="240"/>
      <c r="AL1995" s="124"/>
      <c r="AM1995" s="74"/>
      <c r="AP1995" s="125"/>
      <c r="AQ1995" s="241"/>
      <c r="AR1995" s="125"/>
      <c r="AS1995" s="125"/>
      <c r="AT1995" s="238"/>
      <c r="AU1995" s="125"/>
      <c r="AV1995" s="125"/>
      <c r="AW1995" s="125"/>
      <c r="AX1995" s="238"/>
      <c r="AY1995" s="125"/>
      <c r="AZ1995" s="125"/>
      <c r="BA1995" s="125"/>
    </row>
    <row r="1996" spans="2:53" s="123" customFormat="1">
      <c r="B1996" s="125"/>
      <c r="D1996" s="125"/>
      <c r="I1996" s="125"/>
      <c r="Z1996" s="124"/>
      <c r="AA1996" s="74"/>
      <c r="AB1996" s="240"/>
      <c r="AD1996" s="124"/>
      <c r="AE1996" s="238"/>
      <c r="AF1996" s="239"/>
      <c r="AG1996" s="239"/>
      <c r="AH1996" s="124"/>
      <c r="AI1996" s="74"/>
      <c r="AJ1996" s="240"/>
      <c r="AL1996" s="124"/>
      <c r="AM1996" s="74"/>
      <c r="AP1996" s="125"/>
      <c r="AQ1996" s="241"/>
      <c r="AR1996" s="125"/>
      <c r="AS1996" s="125"/>
      <c r="AT1996" s="238"/>
      <c r="AU1996" s="125"/>
      <c r="AV1996" s="125"/>
      <c r="AW1996" s="125"/>
      <c r="AX1996" s="238"/>
      <c r="AY1996" s="125"/>
      <c r="AZ1996" s="125"/>
      <c r="BA1996" s="125"/>
    </row>
    <row r="1997" spans="2:53" s="123" customFormat="1">
      <c r="B1997" s="125"/>
      <c r="D1997" s="125"/>
      <c r="I1997" s="125"/>
      <c r="Z1997" s="124"/>
      <c r="AA1997" s="74"/>
      <c r="AB1997" s="240"/>
      <c r="AD1997" s="124"/>
      <c r="AE1997" s="238"/>
      <c r="AF1997" s="239"/>
      <c r="AG1997" s="239"/>
      <c r="AH1997" s="124"/>
      <c r="AI1997" s="74"/>
      <c r="AJ1997" s="240"/>
      <c r="AL1997" s="124"/>
      <c r="AM1997" s="74"/>
      <c r="AP1997" s="125"/>
      <c r="AQ1997" s="241"/>
      <c r="AR1997" s="125"/>
      <c r="AS1997" s="125"/>
      <c r="AT1997" s="238"/>
      <c r="AU1997" s="125"/>
      <c r="AV1997" s="125"/>
      <c r="AW1997" s="125"/>
      <c r="AX1997" s="238"/>
      <c r="AY1997" s="125"/>
      <c r="AZ1997" s="125"/>
      <c r="BA1997" s="125"/>
    </row>
    <row r="1998" spans="2:53" s="123" customFormat="1">
      <c r="B1998" s="125"/>
      <c r="D1998" s="125"/>
      <c r="I1998" s="125"/>
      <c r="Z1998" s="124"/>
      <c r="AA1998" s="74"/>
      <c r="AB1998" s="240"/>
      <c r="AD1998" s="124"/>
      <c r="AE1998" s="238"/>
      <c r="AF1998" s="239"/>
      <c r="AG1998" s="239"/>
      <c r="AH1998" s="124"/>
      <c r="AI1998" s="74"/>
      <c r="AJ1998" s="240"/>
      <c r="AL1998" s="124"/>
      <c r="AM1998" s="74"/>
      <c r="AP1998" s="125"/>
      <c r="AQ1998" s="241"/>
      <c r="AR1998" s="125"/>
      <c r="AS1998" s="125"/>
      <c r="AT1998" s="238"/>
      <c r="AU1998" s="125"/>
      <c r="AV1998" s="125"/>
      <c r="AW1998" s="125"/>
      <c r="AX1998" s="238"/>
      <c r="AY1998" s="125"/>
      <c r="AZ1998" s="125"/>
      <c r="BA1998" s="125"/>
    </row>
    <row r="1999" spans="2:53" s="123" customFormat="1">
      <c r="B1999" s="125"/>
      <c r="D1999" s="125"/>
      <c r="I1999" s="125"/>
      <c r="Z1999" s="124"/>
      <c r="AA1999" s="74"/>
      <c r="AB1999" s="240"/>
      <c r="AD1999" s="124"/>
      <c r="AE1999" s="238"/>
      <c r="AF1999" s="239"/>
      <c r="AG1999" s="239"/>
      <c r="AH1999" s="124"/>
      <c r="AI1999" s="74"/>
      <c r="AJ1999" s="240"/>
      <c r="AL1999" s="124"/>
      <c r="AM1999" s="74"/>
      <c r="AP1999" s="125"/>
      <c r="AQ1999" s="241"/>
      <c r="AR1999" s="125"/>
      <c r="AS1999" s="125"/>
      <c r="AT1999" s="238"/>
      <c r="AU1999" s="125"/>
      <c r="AV1999" s="125"/>
      <c r="AW1999" s="125"/>
      <c r="AX1999" s="238"/>
      <c r="AY1999" s="125"/>
      <c r="AZ1999" s="125"/>
      <c r="BA1999" s="125"/>
    </row>
    <row r="2000" spans="2:53" s="123" customFormat="1">
      <c r="B2000" s="125"/>
      <c r="D2000" s="125"/>
      <c r="I2000" s="125"/>
      <c r="Z2000" s="124"/>
      <c r="AA2000" s="74"/>
      <c r="AB2000" s="240"/>
      <c r="AD2000" s="124"/>
      <c r="AE2000" s="238"/>
      <c r="AF2000" s="239"/>
      <c r="AG2000" s="239"/>
      <c r="AH2000" s="124"/>
      <c r="AI2000" s="74"/>
      <c r="AJ2000" s="240"/>
      <c r="AL2000" s="124"/>
      <c r="AM2000" s="74"/>
      <c r="AP2000" s="125"/>
      <c r="AQ2000" s="241"/>
      <c r="AR2000" s="125"/>
      <c r="AS2000" s="125"/>
      <c r="AT2000" s="238"/>
      <c r="AU2000" s="125"/>
      <c r="AV2000" s="125"/>
      <c r="AW2000" s="125"/>
      <c r="AX2000" s="238"/>
      <c r="AY2000" s="125"/>
      <c r="AZ2000" s="125"/>
      <c r="BA2000" s="125"/>
    </row>
    <row r="2001" spans="2:53" s="123" customFormat="1">
      <c r="B2001" s="125"/>
      <c r="D2001" s="125"/>
      <c r="I2001" s="125"/>
      <c r="Z2001" s="124"/>
      <c r="AA2001" s="74"/>
      <c r="AB2001" s="240"/>
      <c r="AD2001" s="124"/>
      <c r="AE2001" s="238"/>
      <c r="AF2001" s="239"/>
      <c r="AG2001" s="239"/>
      <c r="AH2001" s="124"/>
      <c r="AI2001" s="74"/>
      <c r="AJ2001" s="240"/>
      <c r="AL2001" s="124"/>
      <c r="AM2001" s="74"/>
      <c r="AP2001" s="125"/>
      <c r="AQ2001" s="241"/>
      <c r="AR2001" s="125"/>
      <c r="AS2001" s="125"/>
      <c r="AT2001" s="238"/>
      <c r="AU2001" s="125"/>
      <c r="AV2001" s="125"/>
      <c r="AW2001" s="125"/>
      <c r="AX2001" s="238"/>
      <c r="AY2001" s="125"/>
      <c r="AZ2001" s="125"/>
      <c r="BA2001" s="125"/>
    </row>
    <row r="2002" spans="2:53" s="123" customFormat="1">
      <c r="B2002" s="125"/>
      <c r="D2002" s="125"/>
      <c r="I2002" s="125"/>
      <c r="Z2002" s="124"/>
      <c r="AA2002" s="74"/>
      <c r="AB2002" s="240"/>
      <c r="AD2002" s="124"/>
      <c r="AE2002" s="238"/>
      <c r="AF2002" s="239"/>
      <c r="AG2002" s="239"/>
      <c r="AH2002" s="124"/>
      <c r="AI2002" s="74"/>
      <c r="AJ2002" s="240"/>
      <c r="AL2002" s="124"/>
      <c r="AM2002" s="74"/>
      <c r="AP2002" s="125"/>
      <c r="AQ2002" s="241"/>
      <c r="AR2002" s="125"/>
      <c r="AS2002" s="125"/>
      <c r="AT2002" s="238"/>
      <c r="AU2002" s="125"/>
      <c r="AV2002" s="125"/>
      <c r="AW2002" s="125"/>
      <c r="AX2002" s="238"/>
      <c r="AY2002" s="125"/>
      <c r="AZ2002" s="125"/>
      <c r="BA2002" s="125"/>
    </row>
    <row r="2003" spans="2:53" s="123" customFormat="1">
      <c r="B2003" s="125"/>
      <c r="D2003" s="125"/>
      <c r="I2003" s="125"/>
      <c r="Z2003" s="124"/>
      <c r="AA2003" s="74"/>
      <c r="AB2003" s="240"/>
      <c r="AD2003" s="124"/>
      <c r="AE2003" s="238"/>
      <c r="AF2003" s="239"/>
      <c r="AG2003" s="239"/>
      <c r="AH2003" s="124"/>
      <c r="AI2003" s="74"/>
      <c r="AJ2003" s="240"/>
      <c r="AL2003" s="124"/>
      <c r="AM2003" s="74"/>
      <c r="AP2003" s="125"/>
      <c r="AQ2003" s="241"/>
      <c r="AR2003" s="125"/>
      <c r="AS2003" s="125"/>
      <c r="AT2003" s="238"/>
      <c r="AU2003" s="125"/>
      <c r="AV2003" s="125"/>
      <c r="AW2003" s="125"/>
      <c r="AX2003" s="238"/>
      <c r="AY2003" s="125"/>
      <c r="AZ2003" s="125"/>
      <c r="BA2003" s="125"/>
    </row>
    <row r="2004" spans="2:53" s="123" customFormat="1">
      <c r="B2004" s="125"/>
      <c r="D2004" s="125"/>
      <c r="I2004" s="125"/>
      <c r="Z2004" s="124"/>
      <c r="AA2004" s="74"/>
      <c r="AB2004" s="240"/>
      <c r="AD2004" s="124"/>
      <c r="AE2004" s="238"/>
      <c r="AF2004" s="239"/>
      <c r="AG2004" s="239"/>
      <c r="AH2004" s="124"/>
      <c r="AI2004" s="74"/>
      <c r="AJ2004" s="240"/>
      <c r="AL2004" s="124"/>
      <c r="AM2004" s="74"/>
      <c r="AP2004" s="125"/>
      <c r="AQ2004" s="241"/>
      <c r="AR2004" s="125"/>
      <c r="AS2004" s="125"/>
      <c r="AT2004" s="238"/>
      <c r="AU2004" s="125"/>
      <c r="AV2004" s="125"/>
      <c r="AW2004" s="125"/>
      <c r="AX2004" s="238"/>
      <c r="AY2004" s="125"/>
      <c r="AZ2004" s="125"/>
      <c r="BA2004" s="125"/>
    </row>
    <row r="2005" spans="2:53" s="123" customFormat="1">
      <c r="B2005" s="125"/>
      <c r="D2005" s="125"/>
      <c r="I2005" s="125"/>
      <c r="Z2005" s="124"/>
      <c r="AA2005" s="74"/>
      <c r="AB2005" s="240"/>
      <c r="AD2005" s="124"/>
      <c r="AE2005" s="238"/>
      <c r="AF2005" s="239"/>
      <c r="AG2005" s="239"/>
      <c r="AH2005" s="124"/>
      <c r="AI2005" s="74"/>
      <c r="AJ2005" s="240"/>
      <c r="AL2005" s="124"/>
      <c r="AM2005" s="74"/>
      <c r="AP2005" s="125"/>
      <c r="AQ2005" s="241"/>
      <c r="AR2005" s="125"/>
      <c r="AS2005" s="125"/>
      <c r="AT2005" s="238"/>
      <c r="AU2005" s="125"/>
      <c r="AV2005" s="125"/>
      <c r="AW2005" s="125"/>
      <c r="AX2005" s="238"/>
      <c r="AY2005" s="125"/>
      <c r="AZ2005" s="125"/>
      <c r="BA2005" s="125"/>
    </row>
    <row r="2006" spans="2:53" s="123" customFormat="1">
      <c r="B2006" s="125"/>
      <c r="D2006" s="125"/>
      <c r="I2006" s="125"/>
      <c r="Z2006" s="124"/>
      <c r="AA2006" s="74"/>
      <c r="AB2006" s="240"/>
      <c r="AD2006" s="124"/>
      <c r="AE2006" s="238"/>
      <c r="AF2006" s="239"/>
      <c r="AG2006" s="239"/>
      <c r="AH2006" s="124"/>
      <c r="AI2006" s="74"/>
      <c r="AJ2006" s="240"/>
      <c r="AL2006" s="124"/>
      <c r="AM2006" s="74"/>
      <c r="AP2006" s="125"/>
      <c r="AQ2006" s="241"/>
      <c r="AR2006" s="125"/>
      <c r="AS2006" s="125"/>
      <c r="AT2006" s="238"/>
      <c r="AU2006" s="125"/>
      <c r="AV2006" s="125"/>
      <c r="AW2006" s="125"/>
      <c r="AX2006" s="238"/>
      <c r="AY2006" s="125"/>
      <c r="AZ2006" s="125"/>
      <c r="BA2006" s="125"/>
    </row>
    <row r="2007" spans="2:53" s="123" customFormat="1">
      <c r="B2007" s="125"/>
      <c r="D2007" s="125"/>
      <c r="I2007" s="125"/>
      <c r="Z2007" s="124"/>
      <c r="AA2007" s="74"/>
      <c r="AB2007" s="240"/>
      <c r="AD2007" s="124"/>
      <c r="AE2007" s="238"/>
      <c r="AF2007" s="239"/>
      <c r="AG2007" s="239"/>
      <c r="AH2007" s="124"/>
      <c r="AI2007" s="74"/>
      <c r="AJ2007" s="240"/>
      <c r="AL2007" s="124"/>
      <c r="AM2007" s="74"/>
      <c r="AP2007" s="125"/>
      <c r="AQ2007" s="241"/>
      <c r="AR2007" s="125"/>
      <c r="AS2007" s="125"/>
      <c r="AT2007" s="238"/>
      <c r="AU2007" s="125"/>
      <c r="AV2007" s="125"/>
      <c r="AW2007" s="125"/>
      <c r="AX2007" s="238"/>
      <c r="AY2007" s="125"/>
      <c r="AZ2007" s="125"/>
      <c r="BA2007" s="125"/>
    </row>
    <row r="2008" spans="2:53" s="123" customFormat="1">
      <c r="B2008" s="125"/>
      <c r="D2008" s="125"/>
      <c r="I2008" s="125"/>
      <c r="Z2008" s="124"/>
      <c r="AA2008" s="74"/>
      <c r="AB2008" s="240"/>
      <c r="AD2008" s="124"/>
      <c r="AE2008" s="238"/>
      <c r="AF2008" s="239"/>
      <c r="AG2008" s="239"/>
      <c r="AH2008" s="124"/>
      <c r="AI2008" s="74"/>
      <c r="AJ2008" s="240"/>
      <c r="AL2008" s="124"/>
      <c r="AM2008" s="74"/>
      <c r="AP2008" s="125"/>
      <c r="AQ2008" s="241"/>
      <c r="AR2008" s="125"/>
      <c r="AS2008" s="125"/>
      <c r="AT2008" s="238"/>
      <c r="AU2008" s="125"/>
      <c r="AV2008" s="125"/>
      <c r="AW2008" s="125"/>
      <c r="AX2008" s="238"/>
      <c r="AY2008" s="125"/>
      <c r="AZ2008" s="125"/>
      <c r="BA2008" s="125"/>
    </row>
    <row r="2009" spans="2:53" s="123" customFormat="1">
      <c r="B2009" s="125"/>
      <c r="D2009" s="125"/>
      <c r="I2009" s="125"/>
      <c r="Z2009" s="124"/>
      <c r="AA2009" s="74"/>
      <c r="AB2009" s="240"/>
      <c r="AD2009" s="124"/>
      <c r="AE2009" s="238"/>
      <c r="AF2009" s="239"/>
      <c r="AG2009" s="239"/>
      <c r="AH2009" s="124"/>
      <c r="AI2009" s="74"/>
      <c r="AJ2009" s="240"/>
      <c r="AL2009" s="124"/>
      <c r="AM2009" s="74"/>
      <c r="AP2009" s="125"/>
      <c r="AQ2009" s="241"/>
      <c r="AR2009" s="125"/>
      <c r="AS2009" s="125"/>
      <c r="AT2009" s="238"/>
      <c r="AU2009" s="125"/>
      <c r="AV2009" s="125"/>
      <c r="AW2009" s="125"/>
      <c r="AX2009" s="238"/>
      <c r="AY2009" s="125"/>
      <c r="AZ2009" s="125"/>
      <c r="BA2009" s="125"/>
    </row>
    <row r="2010" spans="2:53" s="123" customFormat="1">
      <c r="B2010" s="125"/>
      <c r="D2010" s="125"/>
      <c r="I2010" s="125"/>
      <c r="Z2010" s="124"/>
      <c r="AA2010" s="74"/>
      <c r="AB2010" s="240"/>
      <c r="AD2010" s="124"/>
      <c r="AE2010" s="238"/>
      <c r="AF2010" s="239"/>
      <c r="AG2010" s="239"/>
      <c r="AH2010" s="124"/>
      <c r="AI2010" s="74"/>
      <c r="AJ2010" s="240"/>
      <c r="AL2010" s="124"/>
      <c r="AM2010" s="74"/>
      <c r="AP2010" s="125"/>
      <c r="AQ2010" s="241"/>
      <c r="AR2010" s="125"/>
      <c r="AS2010" s="125"/>
      <c r="AT2010" s="238"/>
      <c r="AU2010" s="125"/>
      <c r="AV2010" s="125"/>
      <c r="AW2010" s="125"/>
      <c r="AX2010" s="238"/>
      <c r="AY2010" s="125"/>
      <c r="AZ2010" s="125"/>
      <c r="BA2010" s="125"/>
    </row>
    <row r="2011" spans="2:53" s="123" customFormat="1">
      <c r="B2011" s="125"/>
      <c r="D2011" s="125"/>
      <c r="I2011" s="125"/>
      <c r="Z2011" s="124"/>
      <c r="AA2011" s="74"/>
      <c r="AB2011" s="240"/>
      <c r="AD2011" s="124"/>
      <c r="AE2011" s="238"/>
      <c r="AF2011" s="239"/>
      <c r="AG2011" s="239"/>
      <c r="AH2011" s="124"/>
      <c r="AI2011" s="74"/>
      <c r="AJ2011" s="240"/>
      <c r="AL2011" s="124"/>
      <c r="AM2011" s="74"/>
      <c r="AP2011" s="125"/>
      <c r="AQ2011" s="241"/>
      <c r="AR2011" s="125"/>
      <c r="AS2011" s="125"/>
      <c r="AT2011" s="238"/>
      <c r="AU2011" s="125"/>
      <c r="AV2011" s="125"/>
      <c r="AW2011" s="125"/>
      <c r="AX2011" s="238"/>
      <c r="AY2011" s="125"/>
      <c r="AZ2011" s="125"/>
      <c r="BA2011" s="125"/>
    </row>
    <row r="2012" spans="2:53" s="123" customFormat="1">
      <c r="B2012" s="125"/>
      <c r="D2012" s="125"/>
      <c r="I2012" s="125"/>
      <c r="Z2012" s="124"/>
      <c r="AA2012" s="74"/>
      <c r="AB2012" s="240"/>
      <c r="AD2012" s="124"/>
      <c r="AE2012" s="238"/>
      <c r="AF2012" s="239"/>
      <c r="AG2012" s="239"/>
      <c r="AH2012" s="124"/>
      <c r="AI2012" s="74"/>
      <c r="AJ2012" s="240"/>
      <c r="AL2012" s="124"/>
      <c r="AM2012" s="74"/>
      <c r="AP2012" s="125"/>
      <c r="AQ2012" s="241"/>
      <c r="AR2012" s="125"/>
      <c r="AS2012" s="125"/>
      <c r="AT2012" s="238"/>
      <c r="AU2012" s="125"/>
      <c r="AV2012" s="125"/>
      <c r="AW2012" s="125"/>
      <c r="AX2012" s="238"/>
      <c r="AY2012" s="125"/>
      <c r="AZ2012" s="125"/>
      <c r="BA2012" s="125"/>
    </row>
    <row r="2013" spans="2:53" s="123" customFormat="1">
      <c r="B2013" s="125"/>
      <c r="D2013" s="125"/>
      <c r="I2013" s="125"/>
      <c r="Z2013" s="124"/>
      <c r="AA2013" s="74"/>
      <c r="AB2013" s="240"/>
      <c r="AD2013" s="124"/>
      <c r="AE2013" s="238"/>
      <c r="AF2013" s="239"/>
      <c r="AG2013" s="239"/>
      <c r="AH2013" s="124"/>
      <c r="AI2013" s="74"/>
      <c r="AJ2013" s="240"/>
      <c r="AL2013" s="124"/>
      <c r="AM2013" s="74"/>
      <c r="AP2013" s="125"/>
      <c r="AQ2013" s="241"/>
      <c r="AR2013" s="125"/>
      <c r="AS2013" s="125"/>
      <c r="AT2013" s="238"/>
      <c r="AU2013" s="125"/>
      <c r="AV2013" s="125"/>
      <c r="AW2013" s="125"/>
      <c r="AX2013" s="238"/>
      <c r="AY2013" s="125"/>
      <c r="AZ2013" s="125"/>
      <c r="BA2013" s="125"/>
    </row>
    <row r="2014" spans="2:53" s="123" customFormat="1">
      <c r="B2014" s="125"/>
      <c r="D2014" s="125"/>
      <c r="I2014" s="125"/>
      <c r="Z2014" s="124"/>
      <c r="AA2014" s="74"/>
      <c r="AB2014" s="240"/>
      <c r="AD2014" s="124"/>
      <c r="AE2014" s="238"/>
      <c r="AF2014" s="239"/>
      <c r="AG2014" s="239"/>
      <c r="AH2014" s="124"/>
      <c r="AI2014" s="74"/>
      <c r="AJ2014" s="240"/>
      <c r="AL2014" s="124"/>
      <c r="AM2014" s="74"/>
      <c r="AP2014" s="125"/>
      <c r="AQ2014" s="241"/>
      <c r="AR2014" s="125"/>
      <c r="AS2014" s="125"/>
      <c r="AT2014" s="238"/>
      <c r="AU2014" s="125"/>
      <c r="AV2014" s="125"/>
      <c r="AW2014" s="125"/>
      <c r="AX2014" s="238"/>
      <c r="AY2014" s="125"/>
      <c r="AZ2014" s="125"/>
      <c r="BA2014" s="125"/>
    </row>
    <row r="2015" spans="2:53" s="123" customFormat="1">
      <c r="B2015" s="125"/>
      <c r="D2015" s="125"/>
      <c r="I2015" s="125"/>
      <c r="Z2015" s="124"/>
      <c r="AA2015" s="74"/>
      <c r="AB2015" s="240"/>
      <c r="AD2015" s="124"/>
      <c r="AE2015" s="238"/>
      <c r="AF2015" s="239"/>
      <c r="AG2015" s="239"/>
      <c r="AH2015" s="124"/>
      <c r="AI2015" s="74"/>
      <c r="AJ2015" s="240"/>
      <c r="AL2015" s="124"/>
      <c r="AM2015" s="74"/>
      <c r="AP2015" s="125"/>
      <c r="AQ2015" s="241"/>
      <c r="AR2015" s="125"/>
      <c r="AS2015" s="125"/>
      <c r="AT2015" s="238"/>
      <c r="AU2015" s="125"/>
      <c r="AV2015" s="125"/>
      <c r="AW2015" s="125"/>
      <c r="AX2015" s="238"/>
      <c r="AY2015" s="125"/>
      <c r="AZ2015" s="125"/>
      <c r="BA2015" s="125"/>
    </row>
    <row r="2016" spans="2:53" s="123" customFormat="1">
      <c r="B2016" s="125"/>
      <c r="D2016" s="125"/>
      <c r="I2016" s="125"/>
      <c r="Z2016" s="124"/>
      <c r="AA2016" s="74"/>
      <c r="AB2016" s="240"/>
      <c r="AD2016" s="124"/>
      <c r="AE2016" s="238"/>
      <c r="AF2016" s="239"/>
      <c r="AG2016" s="239"/>
      <c r="AH2016" s="124"/>
      <c r="AI2016" s="74"/>
      <c r="AJ2016" s="240"/>
      <c r="AL2016" s="124"/>
      <c r="AM2016" s="74"/>
      <c r="AP2016" s="125"/>
      <c r="AQ2016" s="241"/>
      <c r="AR2016" s="125"/>
      <c r="AS2016" s="125"/>
      <c r="AT2016" s="238"/>
      <c r="AU2016" s="125"/>
      <c r="AV2016" s="125"/>
      <c r="AW2016" s="125"/>
      <c r="AX2016" s="238"/>
      <c r="AY2016" s="125"/>
      <c r="AZ2016" s="125"/>
      <c r="BA2016" s="125"/>
    </row>
    <row r="2017" spans="2:53" s="123" customFormat="1">
      <c r="B2017" s="125"/>
      <c r="D2017" s="125"/>
      <c r="I2017" s="125"/>
      <c r="Z2017" s="124"/>
      <c r="AA2017" s="74"/>
      <c r="AB2017" s="240"/>
      <c r="AD2017" s="124"/>
      <c r="AE2017" s="238"/>
      <c r="AF2017" s="239"/>
      <c r="AG2017" s="239"/>
      <c r="AH2017" s="124"/>
      <c r="AI2017" s="74"/>
      <c r="AJ2017" s="240"/>
      <c r="AL2017" s="124"/>
      <c r="AM2017" s="74"/>
      <c r="AP2017" s="125"/>
      <c r="AQ2017" s="241"/>
      <c r="AR2017" s="125"/>
      <c r="AS2017" s="125"/>
      <c r="AT2017" s="238"/>
      <c r="AU2017" s="125"/>
      <c r="AV2017" s="125"/>
      <c r="AW2017" s="125"/>
      <c r="AX2017" s="238"/>
      <c r="AY2017" s="125"/>
      <c r="AZ2017" s="125"/>
      <c r="BA2017" s="125"/>
    </row>
    <row r="2018" spans="2:53" s="123" customFormat="1">
      <c r="B2018" s="125"/>
      <c r="D2018" s="125"/>
      <c r="I2018" s="125"/>
      <c r="Z2018" s="124"/>
      <c r="AA2018" s="74"/>
      <c r="AB2018" s="240"/>
      <c r="AD2018" s="124"/>
      <c r="AE2018" s="238"/>
      <c r="AF2018" s="239"/>
      <c r="AG2018" s="239"/>
      <c r="AH2018" s="124"/>
      <c r="AI2018" s="74"/>
      <c r="AJ2018" s="240"/>
      <c r="AL2018" s="124"/>
      <c r="AM2018" s="74"/>
      <c r="AP2018" s="125"/>
      <c r="AQ2018" s="241"/>
      <c r="AR2018" s="125"/>
      <c r="AS2018" s="125"/>
      <c r="AT2018" s="238"/>
      <c r="AU2018" s="125"/>
      <c r="AV2018" s="125"/>
      <c r="AW2018" s="125"/>
      <c r="AX2018" s="238"/>
      <c r="AY2018" s="125"/>
      <c r="AZ2018" s="125"/>
      <c r="BA2018" s="125"/>
    </row>
    <row r="2019" spans="2:53" s="123" customFormat="1">
      <c r="B2019" s="125"/>
      <c r="D2019" s="125"/>
      <c r="I2019" s="125"/>
      <c r="Z2019" s="124"/>
      <c r="AA2019" s="74"/>
      <c r="AB2019" s="240"/>
      <c r="AD2019" s="124"/>
      <c r="AE2019" s="238"/>
      <c r="AF2019" s="239"/>
      <c r="AG2019" s="239"/>
      <c r="AH2019" s="124"/>
      <c r="AI2019" s="74"/>
      <c r="AJ2019" s="240"/>
      <c r="AL2019" s="124"/>
      <c r="AM2019" s="74"/>
      <c r="AP2019" s="125"/>
      <c r="AQ2019" s="241"/>
      <c r="AR2019" s="125"/>
      <c r="AS2019" s="125"/>
      <c r="AT2019" s="238"/>
      <c r="AU2019" s="125"/>
      <c r="AV2019" s="125"/>
      <c r="AW2019" s="125"/>
      <c r="AX2019" s="238"/>
      <c r="AY2019" s="125"/>
      <c r="AZ2019" s="125"/>
      <c r="BA2019" s="125"/>
    </row>
    <row r="2020" spans="2:53" s="123" customFormat="1">
      <c r="B2020" s="125"/>
      <c r="D2020" s="125"/>
      <c r="I2020" s="125"/>
      <c r="Z2020" s="124"/>
      <c r="AA2020" s="74"/>
      <c r="AB2020" s="240"/>
      <c r="AD2020" s="124"/>
      <c r="AE2020" s="238"/>
      <c r="AF2020" s="239"/>
      <c r="AG2020" s="239"/>
      <c r="AH2020" s="124"/>
      <c r="AI2020" s="74"/>
      <c r="AJ2020" s="240"/>
      <c r="AL2020" s="124"/>
      <c r="AM2020" s="74"/>
      <c r="AP2020" s="125"/>
      <c r="AQ2020" s="241"/>
      <c r="AR2020" s="125"/>
      <c r="AS2020" s="125"/>
      <c r="AT2020" s="238"/>
      <c r="AU2020" s="125"/>
      <c r="AV2020" s="125"/>
      <c r="AW2020" s="125"/>
      <c r="AX2020" s="238"/>
      <c r="AY2020" s="125"/>
      <c r="AZ2020" s="125"/>
      <c r="BA2020" s="125"/>
    </row>
    <row r="2021" spans="2:53" s="123" customFormat="1">
      <c r="B2021" s="125"/>
      <c r="D2021" s="125"/>
      <c r="I2021" s="125"/>
      <c r="Z2021" s="124"/>
      <c r="AA2021" s="74"/>
      <c r="AB2021" s="240"/>
      <c r="AD2021" s="124"/>
      <c r="AE2021" s="238"/>
      <c r="AF2021" s="239"/>
      <c r="AG2021" s="239"/>
      <c r="AH2021" s="124"/>
      <c r="AI2021" s="74"/>
      <c r="AJ2021" s="240"/>
      <c r="AL2021" s="124"/>
      <c r="AM2021" s="74"/>
      <c r="AP2021" s="125"/>
      <c r="AQ2021" s="241"/>
      <c r="AR2021" s="125"/>
      <c r="AS2021" s="125"/>
      <c r="AT2021" s="238"/>
      <c r="AU2021" s="125"/>
      <c r="AV2021" s="125"/>
      <c r="AW2021" s="125"/>
      <c r="AX2021" s="238"/>
      <c r="AY2021" s="125"/>
      <c r="AZ2021" s="125"/>
      <c r="BA2021" s="125"/>
    </row>
    <row r="2022" spans="2:53" s="123" customFormat="1">
      <c r="B2022" s="125"/>
      <c r="D2022" s="125"/>
      <c r="I2022" s="125"/>
      <c r="Z2022" s="124"/>
      <c r="AA2022" s="74"/>
      <c r="AB2022" s="240"/>
      <c r="AD2022" s="124"/>
      <c r="AE2022" s="238"/>
      <c r="AF2022" s="239"/>
      <c r="AG2022" s="239"/>
      <c r="AH2022" s="124"/>
      <c r="AI2022" s="74"/>
      <c r="AJ2022" s="240"/>
      <c r="AL2022" s="124"/>
      <c r="AM2022" s="74"/>
      <c r="AP2022" s="125"/>
      <c r="AQ2022" s="241"/>
      <c r="AR2022" s="125"/>
      <c r="AS2022" s="125"/>
      <c r="AT2022" s="238"/>
      <c r="AU2022" s="125"/>
      <c r="AV2022" s="125"/>
      <c r="AW2022" s="125"/>
      <c r="AX2022" s="238"/>
      <c r="AY2022" s="125"/>
      <c r="AZ2022" s="125"/>
      <c r="BA2022" s="125"/>
    </row>
    <row r="2023" spans="2:53" s="123" customFormat="1">
      <c r="B2023" s="125"/>
      <c r="D2023" s="125"/>
      <c r="I2023" s="125"/>
      <c r="Z2023" s="124"/>
      <c r="AA2023" s="74"/>
      <c r="AB2023" s="240"/>
      <c r="AD2023" s="124"/>
      <c r="AE2023" s="238"/>
      <c r="AF2023" s="239"/>
      <c r="AG2023" s="239"/>
      <c r="AH2023" s="124"/>
      <c r="AI2023" s="74"/>
      <c r="AJ2023" s="240"/>
      <c r="AL2023" s="124"/>
      <c r="AM2023" s="74"/>
      <c r="AP2023" s="125"/>
      <c r="AQ2023" s="241"/>
      <c r="AR2023" s="125"/>
      <c r="AS2023" s="125"/>
      <c r="AT2023" s="238"/>
      <c r="AU2023" s="125"/>
      <c r="AV2023" s="125"/>
      <c r="AW2023" s="125"/>
      <c r="AX2023" s="238"/>
      <c r="AY2023" s="125"/>
      <c r="AZ2023" s="125"/>
      <c r="BA2023" s="125"/>
    </row>
    <row r="2024" spans="2:53" s="123" customFormat="1">
      <c r="B2024" s="125"/>
      <c r="D2024" s="125"/>
      <c r="I2024" s="125"/>
      <c r="Z2024" s="124"/>
      <c r="AA2024" s="74"/>
      <c r="AB2024" s="240"/>
      <c r="AD2024" s="124"/>
      <c r="AE2024" s="238"/>
      <c r="AF2024" s="239"/>
      <c r="AG2024" s="239"/>
      <c r="AH2024" s="124"/>
      <c r="AI2024" s="74"/>
      <c r="AJ2024" s="240"/>
      <c r="AL2024" s="124"/>
      <c r="AM2024" s="74"/>
      <c r="AP2024" s="125"/>
      <c r="AQ2024" s="241"/>
      <c r="AR2024" s="125"/>
      <c r="AS2024" s="125"/>
      <c r="AT2024" s="238"/>
      <c r="AU2024" s="125"/>
      <c r="AV2024" s="125"/>
      <c r="AW2024" s="125"/>
      <c r="AX2024" s="238"/>
      <c r="AY2024" s="125"/>
      <c r="AZ2024" s="125"/>
      <c r="BA2024" s="125"/>
    </row>
    <row r="2025" spans="2:53" s="123" customFormat="1">
      <c r="B2025" s="125"/>
      <c r="D2025" s="125"/>
      <c r="I2025" s="125"/>
      <c r="Z2025" s="124"/>
      <c r="AA2025" s="74"/>
      <c r="AB2025" s="240"/>
      <c r="AD2025" s="124"/>
      <c r="AE2025" s="238"/>
      <c r="AF2025" s="239"/>
      <c r="AG2025" s="239"/>
      <c r="AH2025" s="124"/>
      <c r="AI2025" s="74"/>
      <c r="AJ2025" s="240"/>
      <c r="AL2025" s="124"/>
      <c r="AM2025" s="74"/>
      <c r="AP2025" s="125"/>
      <c r="AQ2025" s="241"/>
      <c r="AR2025" s="125"/>
      <c r="AS2025" s="125"/>
      <c r="AT2025" s="238"/>
      <c r="AU2025" s="125"/>
      <c r="AV2025" s="125"/>
      <c r="AW2025" s="125"/>
      <c r="AX2025" s="238"/>
      <c r="AY2025" s="125"/>
      <c r="AZ2025" s="125"/>
      <c r="BA2025" s="125"/>
    </row>
    <row r="2026" spans="2:53" s="123" customFormat="1">
      <c r="B2026" s="125"/>
      <c r="D2026" s="125"/>
      <c r="I2026" s="125"/>
      <c r="Z2026" s="124"/>
      <c r="AA2026" s="74"/>
      <c r="AB2026" s="240"/>
      <c r="AD2026" s="124"/>
      <c r="AE2026" s="238"/>
      <c r="AF2026" s="239"/>
      <c r="AG2026" s="239"/>
      <c r="AH2026" s="124"/>
      <c r="AI2026" s="74"/>
      <c r="AJ2026" s="240"/>
      <c r="AL2026" s="124"/>
      <c r="AM2026" s="74"/>
      <c r="AP2026" s="125"/>
      <c r="AQ2026" s="241"/>
      <c r="AR2026" s="125"/>
      <c r="AS2026" s="125"/>
      <c r="AT2026" s="238"/>
      <c r="AU2026" s="125"/>
      <c r="AV2026" s="125"/>
      <c r="AW2026" s="125"/>
      <c r="AX2026" s="238"/>
      <c r="AY2026" s="125"/>
      <c r="AZ2026" s="125"/>
      <c r="BA2026" s="125"/>
    </row>
    <row r="2027" spans="2:53" s="123" customFormat="1">
      <c r="B2027" s="125"/>
      <c r="D2027" s="125"/>
      <c r="I2027" s="125"/>
      <c r="Z2027" s="124"/>
      <c r="AA2027" s="74"/>
      <c r="AB2027" s="240"/>
      <c r="AD2027" s="124"/>
      <c r="AE2027" s="238"/>
      <c r="AF2027" s="239"/>
      <c r="AG2027" s="239"/>
      <c r="AH2027" s="124"/>
      <c r="AI2027" s="74"/>
      <c r="AJ2027" s="240"/>
      <c r="AL2027" s="124"/>
      <c r="AM2027" s="74"/>
      <c r="AP2027" s="125"/>
      <c r="AQ2027" s="241"/>
      <c r="AR2027" s="125"/>
      <c r="AS2027" s="125"/>
      <c r="AT2027" s="238"/>
      <c r="AU2027" s="125"/>
      <c r="AV2027" s="125"/>
      <c r="AW2027" s="125"/>
      <c r="AX2027" s="238"/>
      <c r="AY2027" s="125"/>
      <c r="AZ2027" s="125"/>
      <c r="BA2027" s="125"/>
    </row>
    <row r="2028" spans="2:53" s="123" customFormat="1">
      <c r="B2028" s="125"/>
      <c r="D2028" s="125"/>
      <c r="I2028" s="125"/>
      <c r="Z2028" s="124"/>
      <c r="AA2028" s="74"/>
      <c r="AB2028" s="240"/>
      <c r="AD2028" s="124"/>
      <c r="AE2028" s="238"/>
      <c r="AF2028" s="239"/>
      <c r="AG2028" s="239"/>
      <c r="AH2028" s="124"/>
      <c r="AI2028" s="74"/>
      <c r="AJ2028" s="240"/>
      <c r="AL2028" s="124"/>
      <c r="AM2028" s="74"/>
      <c r="AP2028" s="125"/>
      <c r="AQ2028" s="241"/>
      <c r="AR2028" s="125"/>
      <c r="AS2028" s="125"/>
      <c r="AT2028" s="238"/>
      <c r="AU2028" s="125"/>
      <c r="AV2028" s="125"/>
      <c r="AW2028" s="125"/>
      <c r="AX2028" s="238"/>
      <c r="AY2028" s="125"/>
      <c r="AZ2028" s="125"/>
      <c r="BA2028" s="125"/>
    </row>
    <row r="2029" spans="2:53" s="123" customFormat="1">
      <c r="B2029" s="125"/>
      <c r="D2029" s="125"/>
      <c r="I2029" s="125"/>
      <c r="Z2029" s="124"/>
      <c r="AA2029" s="74"/>
      <c r="AB2029" s="240"/>
      <c r="AD2029" s="124"/>
      <c r="AE2029" s="238"/>
      <c r="AF2029" s="239"/>
      <c r="AG2029" s="239"/>
      <c r="AH2029" s="124"/>
      <c r="AI2029" s="74"/>
      <c r="AJ2029" s="240"/>
      <c r="AL2029" s="124"/>
      <c r="AM2029" s="74"/>
      <c r="AP2029" s="125"/>
      <c r="AQ2029" s="241"/>
      <c r="AR2029" s="125"/>
      <c r="AS2029" s="125"/>
      <c r="AT2029" s="238"/>
      <c r="AU2029" s="125"/>
      <c r="AV2029" s="125"/>
      <c r="AW2029" s="125"/>
      <c r="AX2029" s="238"/>
      <c r="AY2029" s="125"/>
      <c r="AZ2029" s="125"/>
      <c r="BA2029" s="125"/>
    </row>
    <row r="2030" spans="2:53" s="123" customFormat="1">
      <c r="B2030" s="125"/>
      <c r="D2030" s="125"/>
      <c r="I2030" s="125"/>
      <c r="Z2030" s="124"/>
      <c r="AA2030" s="74"/>
      <c r="AB2030" s="240"/>
      <c r="AD2030" s="124"/>
      <c r="AE2030" s="238"/>
      <c r="AF2030" s="239"/>
      <c r="AG2030" s="239"/>
      <c r="AH2030" s="124"/>
      <c r="AI2030" s="74"/>
      <c r="AJ2030" s="240"/>
      <c r="AL2030" s="124"/>
      <c r="AM2030" s="74"/>
      <c r="AP2030" s="125"/>
      <c r="AQ2030" s="241"/>
      <c r="AR2030" s="125"/>
      <c r="AS2030" s="125"/>
      <c r="AT2030" s="238"/>
      <c r="AU2030" s="125"/>
      <c r="AV2030" s="125"/>
      <c r="AW2030" s="125"/>
      <c r="AX2030" s="238"/>
      <c r="AY2030" s="125"/>
      <c r="AZ2030" s="125"/>
      <c r="BA2030" s="125"/>
    </row>
    <row r="2031" spans="2:53" s="123" customFormat="1">
      <c r="B2031" s="125"/>
      <c r="D2031" s="125"/>
      <c r="I2031" s="125"/>
      <c r="Z2031" s="124"/>
      <c r="AA2031" s="74"/>
      <c r="AB2031" s="240"/>
      <c r="AD2031" s="124"/>
      <c r="AE2031" s="238"/>
      <c r="AF2031" s="239"/>
      <c r="AG2031" s="239"/>
      <c r="AH2031" s="124"/>
      <c r="AI2031" s="74"/>
      <c r="AJ2031" s="240"/>
      <c r="AL2031" s="124"/>
      <c r="AM2031" s="74"/>
      <c r="AP2031" s="125"/>
      <c r="AQ2031" s="241"/>
      <c r="AR2031" s="125"/>
      <c r="AS2031" s="125"/>
      <c r="AT2031" s="238"/>
      <c r="AU2031" s="125"/>
      <c r="AV2031" s="125"/>
      <c r="AW2031" s="125"/>
      <c r="AX2031" s="238"/>
      <c r="AY2031" s="125"/>
      <c r="AZ2031" s="125"/>
      <c r="BA2031" s="125"/>
    </row>
    <row r="2032" spans="2:53" s="123" customFormat="1">
      <c r="B2032" s="125"/>
      <c r="D2032" s="125"/>
      <c r="I2032" s="125"/>
      <c r="Z2032" s="124"/>
      <c r="AA2032" s="74"/>
      <c r="AB2032" s="240"/>
      <c r="AD2032" s="124"/>
      <c r="AE2032" s="238"/>
      <c r="AF2032" s="239"/>
      <c r="AG2032" s="239"/>
      <c r="AH2032" s="124"/>
      <c r="AI2032" s="74"/>
      <c r="AJ2032" s="240"/>
      <c r="AL2032" s="124"/>
      <c r="AM2032" s="74"/>
      <c r="AP2032" s="125"/>
      <c r="AQ2032" s="241"/>
      <c r="AR2032" s="125"/>
      <c r="AS2032" s="125"/>
      <c r="AT2032" s="238"/>
      <c r="AU2032" s="125"/>
      <c r="AV2032" s="125"/>
      <c r="AW2032" s="125"/>
      <c r="AX2032" s="238"/>
      <c r="AY2032" s="125"/>
      <c r="AZ2032" s="125"/>
      <c r="BA2032" s="125"/>
    </row>
    <row r="2033" spans="2:53" s="123" customFormat="1">
      <c r="B2033" s="125"/>
      <c r="D2033" s="125"/>
      <c r="I2033" s="125"/>
      <c r="Z2033" s="124"/>
      <c r="AA2033" s="74"/>
      <c r="AB2033" s="240"/>
      <c r="AD2033" s="124"/>
      <c r="AE2033" s="238"/>
      <c r="AF2033" s="239"/>
      <c r="AG2033" s="239"/>
      <c r="AH2033" s="124"/>
      <c r="AI2033" s="74"/>
      <c r="AJ2033" s="240"/>
      <c r="AL2033" s="124"/>
      <c r="AM2033" s="74"/>
      <c r="AP2033" s="125"/>
      <c r="AQ2033" s="241"/>
      <c r="AR2033" s="125"/>
      <c r="AS2033" s="125"/>
      <c r="AT2033" s="238"/>
      <c r="AU2033" s="125"/>
      <c r="AV2033" s="125"/>
      <c r="AW2033" s="125"/>
      <c r="AX2033" s="238"/>
      <c r="AY2033" s="125"/>
      <c r="AZ2033" s="125"/>
      <c r="BA2033" s="125"/>
    </row>
    <row r="2034" spans="2:53" s="123" customFormat="1">
      <c r="B2034" s="125"/>
      <c r="D2034" s="125"/>
      <c r="I2034" s="125"/>
      <c r="Z2034" s="124"/>
      <c r="AA2034" s="74"/>
      <c r="AB2034" s="240"/>
      <c r="AD2034" s="124"/>
      <c r="AE2034" s="238"/>
      <c r="AF2034" s="239"/>
      <c r="AG2034" s="239"/>
      <c r="AH2034" s="124"/>
      <c r="AI2034" s="74"/>
      <c r="AJ2034" s="240"/>
      <c r="AL2034" s="124"/>
      <c r="AM2034" s="74"/>
      <c r="AP2034" s="125"/>
      <c r="AQ2034" s="241"/>
      <c r="AR2034" s="125"/>
      <c r="AS2034" s="125"/>
      <c r="AT2034" s="238"/>
      <c r="AU2034" s="125"/>
      <c r="AV2034" s="125"/>
      <c r="AW2034" s="125"/>
      <c r="AX2034" s="238"/>
      <c r="AY2034" s="125"/>
      <c r="AZ2034" s="125"/>
      <c r="BA2034" s="125"/>
    </row>
    <row r="2035" spans="2:53" s="123" customFormat="1">
      <c r="B2035" s="125"/>
      <c r="D2035" s="125"/>
      <c r="I2035" s="125"/>
      <c r="Z2035" s="124"/>
      <c r="AA2035" s="74"/>
      <c r="AB2035" s="240"/>
      <c r="AD2035" s="124"/>
      <c r="AE2035" s="238"/>
      <c r="AF2035" s="239"/>
      <c r="AG2035" s="239"/>
      <c r="AH2035" s="124"/>
      <c r="AI2035" s="74"/>
      <c r="AJ2035" s="240"/>
      <c r="AL2035" s="124"/>
      <c r="AM2035" s="74"/>
      <c r="AP2035" s="125"/>
      <c r="AQ2035" s="241"/>
      <c r="AR2035" s="125"/>
      <c r="AS2035" s="125"/>
      <c r="AT2035" s="238"/>
      <c r="AU2035" s="125"/>
      <c r="AV2035" s="125"/>
      <c r="AW2035" s="125"/>
      <c r="AX2035" s="238"/>
      <c r="AY2035" s="125"/>
      <c r="AZ2035" s="125"/>
      <c r="BA2035" s="125"/>
    </row>
    <row r="2036" spans="2:53" s="123" customFormat="1">
      <c r="B2036" s="125"/>
      <c r="D2036" s="125"/>
      <c r="I2036" s="125"/>
      <c r="Z2036" s="124"/>
      <c r="AA2036" s="74"/>
      <c r="AB2036" s="240"/>
      <c r="AD2036" s="124"/>
      <c r="AE2036" s="238"/>
      <c r="AF2036" s="239"/>
      <c r="AG2036" s="239"/>
      <c r="AH2036" s="124"/>
      <c r="AI2036" s="74"/>
      <c r="AJ2036" s="240"/>
      <c r="AL2036" s="124"/>
      <c r="AM2036" s="74"/>
      <c r="AP2036" s="125"/>
      <c r="AQ2036" s="241"/>
      <c r="AR2036" s="125"/>
      <c r="AS2036" s="125"/>
      <c r="AT2036" s="238"/>
      <c r="AU2036" s="125"/>
      <c r="AV2036" s="125"/>
      <c r="AW2036" s="125"/>
      <c r="AX2036" s="238"/>
      <c r="AY2036" s="125"/>
      <c r="AZ2036" s="125"/>
      <c r="BA2036" s="125"/>
    </row>
    <row r="2037" spans="2:53" s="123" customFormat="1">
      <c r="B2037" s="125"/>
      <c r="D2037" s="125"/>
      <c r="I2037" s="125"/>
      <c r="Z2037" s="124"/>
      <c r="AA2037" s="74"/>
      <c r="AB2037" s="240"/>
      <c r="AD2037" s="124"/>
      <c r="AE2037" s="238"/>
      <c r="AF2037" s="239"/>
      <c r="AG2037" s="239"/>
      <c r="AH2037" s="124"/>
      <c r="AI2037" s="74"/>
      <c r="AJ2037" s="240"/>
      <c r="AL2037" s="124"/>
      <c r="AM2037" s="74"/>
      <c r="AP2037" s="125"/>
      <c r="AQ2037" s="241"/>
      <c r="AR2037" s="125"/>
      <c r="AS2037" s="125"/>
      <c r="AT2037" s="238"/>
      <c r="AU2037" s="125"/>
      <c r="AV2037" s="125"/>
      <c r="AW2037" s="125"/>
      <c r="AX2037" s="238"/>
      <c r="AY2037" s="125"/>
      <c r="AZ2037" s="125"/>
      <c r="BA2037" s="125"/>
    </row>
    <row r="2038" spans="2:53" s="123" customFormat="1">
      <c r="B2038" s="125"/>
      <c r="D2038" s="125"/>
      <c r="I2038" s="125"/>
      <c r="Z2038" s="124"/>
      <c r="AA2038" s="74"/>
      <c r="AB2038" s="240"/>
      <c r="AD2038" s="124"/>
      <c r="AE2038" s="238"/>
      <c r="AF2038" s="239"/>
      <c r="AG2038" s="239"/>
      <c r="AH2038" s="124"/>
      <c r="AI2038" s="74"/>
      <c r="AJ2038" s="240"/>
      <c r="AL2038" s="124"/>
      <c r="AM2038" s="74"/>
      <c r="AP2038" s="125"/>
      <c r="AQ2038" s="241"/>
      <c r="AR2038" s="125"/>
      <c r="AS2038" s="125"/>
      <c r="AT2038" s="238"/>
      <c r="AU2038" s="125"/>
      <c r="AV2038" s="125"/>
      <c r="AW2038" s="125"/>
      <c r="AX2038" s="238"/>
      <c r="AY2038" s="125"/>
      <c r="AZ2038" s="125"/>
      <c r="BA2038" s="125"/>
    </row>
    <row r="2039" spans="2:53" s="123" customFormat="1">
      <c r="B2039" s="125"/>
      <c r="D2039" s="125"/>
      <c r="I2039" s="125"/>
      <c r="Z2039" s="124"/>
      <c r="AA2039" s="74"/>
      <c r="AB2039" s="240"/>
      <c r="AD2039" s="124"/>
      <c r="AE2039" s="238"/>
      <c r="AF2039" s="239"/>
      <c r="AG2039" s="239"/>
      <c r="AH2039" s="124"/>
      <c r="AI2039" s="74"/>
      <c r="AJ2039" s="240"/>
      <c r="AL2039" s="124"/>
      <c r="AM2039" s="74"/>
      <c r="AP2039" s="125"/>
      <c r="AQ2039" s="241"/>
      <c r="AR2039" s="125"/>
      <c r="AS2039" s="125"/>
      <c r="AT2039" s="238"/>
      <c r="AU2039" s="125"/>
      <c r="AV2039" s="125"/>
      <c r="AW2039" s="125"/>
      <c r="AX2039" s="238"/>
      <c r="AY2039" s="125"/>
      <c r="AZ2039" s="125"/>
      <c r="BA2039" s="125"/>
    </row>
    <row r="2040" spans="2:53" s="123" customFormat="1">
      <c r="B2040" s="125"/>
      <c r="D2040" s="125"/>
      <c r="I2040" s="125"/>
      <c r="Z2040" s="124"/>
      <c r="AA2040" s="74"/>
      <c r="AB2040" s="240"/>
      <c r="AD2040" s="124"/>
      <c r="AE2040" s="238"/>
      <c r="AF2040" s="239"/>
      <c r="AG2040" s="239"/>
      <c r="AH2040" s="124"/>
      <c r="AI2040" s="74"/>
      <c r="AJ2040" s="240"/>
      <c r="AL2040" s="124"/>
      <c r="AM2040" s="74"/>
      <c r="AP2040" s="125"/>
      <c r="AQ2040" s="241"/>
      <c r="AR2040" s="125"/>
      <c r="AS2040" s="125"/>
      <c r="AT2040" s="238"/>
      <c r="AU2040" s="125"/>
      <c r="AV2040" s="125"/>
      <c r="AW2040" s="125"/>
      <c r="AX2040" s="238"/>
      <c r="AY2040" s="125"/>
      <c r="AZ2040" s="125"/>
      <c r="BA2040" s="125"/>
    </row>
    <row r="2041" spans="2:53" s="123" customFormat="1">
      <c r="B2041" s="125"/>
      <c r="D2041" s="125"/>
      <c r="I2041" s="125"/>
      <c r="Z2041" s="124"/>
      <c r="AA2041" s="74"/>
      <c r="AB2041" s="240"/>
      <c r="AD2041" s="124"/>
      <c r="AE2041" s="238"/>
      <c r="AF2041" s="239"/>
      <c r="AG2041" s="239"/>
      <c r="AH2041" s="124"/>
      <c r="AI2041" s="74"/>
      <c r="AJ2041" s="240"/>
      <c r="AL2041" s="124"/>
      <c r="AM2041" s="74"/>
      <c r="AP2041" s="125"/>
      <c r="AQ2041" s="241"/>
      <c r="AR2041" s="125"/>
      <c r="AS2041" s="125"/>
      <c r="AT2041" s="238"/>
      <c r="AU2041" s="125"/>
      <c r="AV2041" s="125"/>
      <c r="AW2041" s="125"/>
      <c r="AX2041" s="238"/>
      <c r="AY2041" s="125"/>
      <c r="AZ2041" s="125"/>
      <c r="BA2041" s="125"/>
    </row>
    <row r="2042" spans="2:53" s="123" customFormat="1">
      <c r="B2042" s="125"/>
      <c r="D2042" s="125"/>
      <c r="I2042" s="125"/>
      <c r="Z2042" s="124"/>
      <c r="AA2042" s="74"/>
      <c r="AB2042" s="240"/>
      <c r="AD2042" s="124"/>
      <c r="AE2042" s="238"/>
      <c r="AF2042" s="239"/>
      <c r="AG2042" s="239"/>
      <c r="AH2042" s="124"/>
      <c r="AI2042" s="74"/>
      <c r="AJ2042" s="240"/>
      <c r="AL2042" s="124"/>
      <c r="AM2042" s="74"/>
      <c r="AP2042" s="125"/>
      <c r="AQ2042" s="241"/>
      <c r="AR2042" s="125"/>
      <c r="AS2042" s="125"/>
      <c r="AT2042" s="238"/>
      <c r="AU2042" s="125"/>
      <c r="AV2042" s="125"/>
      <c r="AW2042" s="125"/>
      <c r="AX2042" s="238"/>
      <c r="AY2042" s="125"/>
      <c r="AZ2042" s="125"/>
      <c r="BA2042" s="125"/>
    </row>
    <row r="2043" spans="2:53" s="123" customFormat="1">
      <c r="B2043" s="125"/>
      <c r="D2043" s="125"/>
      <c r="I2043" s="125"/>
      <c r="Z2043" s="124"/>
      <c r="AA2043" s="74"/>
      <c r="AB2043" s="240"/>
      <c r="AD2043" s="124"/>
      <c r="AE2043" s="238"/>
      <c r="AF2043" s="239"/>
      <c r="AG2043" s="239"/>
      <c r="AH2043" s="124"/>
      <c r="AI2043" s="74"/>
      <c r="AJ2043" s="240"/>
      <c r="AL2043" s="124"/>
      <c r="AM2043" s="74"/>
      <c r="AP2043" s="125"/>
      <c r="AQ2043" s="241"/>
      <c r="AR2043" s="125"/>
      <c r="AS2043" s="125"/>
      <c r="AT2043" s="238"/>
      <c r="AU2043" s="125"/>
      <c r="AV2043" s="125"/>
      <c r="AW2043" s="125"/>
      <c r="AX2043" s="238"/>
      <c r="AY2043" s="125"/>
      <c r="AZ2043" s="125"/>
      <c r="BA2043" s="125"/>
    </row>
    <row r="2044" spans="2:53" s="123" customFormat="1">
      <c r="B2044" s="125"/>
      <c r="D2044" s="125"/>
      <c r="I2044" s="125"/>
      <c r="Z2044" s="124"/>
      <c r="AA2044" s="74"/>
      <c r="AB2044" s="240"/>
      <c r="AD2044" s="124"/>
      <c r="AE2044" s="238"/>
      <c r="AF2044" s="239"/>
      <c r="AG2044" s="239"/>
      <c r="AH2044" s="124"/>
      <c r="AI2044" s="74"/>
      <c r="AJ2044" s="240"/>
      <c r="AL2044" s="124"/>
      <c r="AM2044" s="74"/>
      <c r="AP2044" s="125"/>
      <c r="AQ2044" s="241"/>
      <c r="AR2044" s="125"/>
      <c r="AS2044" s="125"/>
      <c r="AT2044" s="238"/>
      <c r="AU2044" s="125"/>
      <c r="AV2044" s="125"/>
      <c r="AW2044" s="125"/>
      <c r="AX2044" s="238"/>
      <c r="AY2044" s="125"/>
      <c r="AZ2044" s="125"/>
      <c r="BA2044" s="125"/>
    </row>
    <row r="2045" spans="2:53" s="123" customFormat="1">
      <c r="B2045" s="125"/>
      <c r="D2045" s="125"/>
      <c r="I2045" s="125"/>
      <c r="Z2045" s="124"/>
      <c r="AA2045" s="74"/>
      <c r="AB2045" s="240"/>
      <c r="AD2045" s="124"/>
      <c r="AE2045" s="238"/>
      <c r="AF2045" s="239"/>
      <c r="AG2045" s="239"/>
      <c r="AH2045" s="124"/>
      <c r="AI2045" s="74"/>
      <c r="AJ2045" s="240"/>
      <c r="AL2045" s="124"/>
      <c r="AM2045" s="74"/>
      <c r="AP2045" s="125"/>
      <c r="AQ2045" s="241"/>
      <c r="AR2045" s="125"/>
      <c r="AS2045" s="125"/>
      <c r="AT2045" s="238"/>
      <c r="AU2045" s="125"/>
      <c r="AV2045" s="125"/>
      <c r="AW2045" s="125"/>
      <c r="AX2045" s="238"/>
      <c r="AY2045" s="125"/>
      <c r="AZ2045" s="125"/>
      <c r="BA2045" s="125"/>
    </row>
    <row r="2046" spans="2:53" s="123" customFormat="1">
      <c r="B2046" s="125"/>
      <c r="D2046" s="125"/>
      <c r="I2046" s="125"/>
      <c r="Z2046" s="124"/>
      <c r="AA2046" s="74"/>
      <c r="AB2046" s="240"/>
      <c r="AD2046" s="124"/>
      <c r="AE2046" s="238"/>
      <c r="AF2046" s="239"/>
      <c r="AG2046" s="239"/>
      <c r="AH2046" s="124"/>
      <c r="AI2046" s="74"/>
      <c r="AJ2046" s="240"/>
      <c r="AL2046" s="124"/>
      <c r="AM2046" s="74"/>
      <c r="AP2046" s="125"/>
      <c r="AQ2046" s="241"/>
      <c r="AR2046" s="125"/>
      <c r="AS2046" s="125"/>
      <c r="AT2046" s="238"/>
      <c r="AU2046" s="125"/>
      <c r="AV2046" s="125"/>
      <c r="AW2046" s="125"/>
      <c r="AX2046" s="238"/>
      <c r="AY2046" s="125"/>
      <c r="AZ2046" s="125"/>
      <c r="BA2046" s="125"/>
    </row>
    <row r="2047" spans="2:53" s="123" customFormat="1">
      <c r="B2047" s="125"/>
      <c r="D2047" s="125"/>
      <c r="I2047" s="125"/>
      <c r="Z2047" s="124"/>
      <c r="AA2047" s="74"/>
      <c r="AB2047" s="240"/>
      <c r="AD2047" s="124"/>
      <c r="AE2047" s="238"/>
      <c r="AF2047" s="239"/>
      <c r="AG2047" s="239"/>
      <c r="AH2047" s="124"/>
      <c r="AI2047" s="74"/>
      <c r="AJ2047" s="240"/>
      <c r="AL2047" s="124"/>
      <c r="AM2047" s="74"/>
      <c r="AP2047" s="125"/>
      <c r="AQ2047" s="241"/>
      <c r="AR2047" s="125"/>
      <c r="AS2047" s="125"/>
      <c r="AT2047" s="238"/>
      <c r="AU2047" s="125"/>
      <c r="AV2047" s="125"/>
      <c r="AW2047" s="125"/>
      <c r="AX2047" s="238"/>
      <c r="AY2047" s="125"/>
      <c r="AZ2047" s="125"/>
      <c r="BA2047" s="125"/>
    </row>
    <row r="2048" spans="2:53" s="123" customFormat="1">
      <c r="B2048" s="125"/>
      <c r="D2048" s="125"/>
      <c r="I2048" s="125"/>
      <c r="Z2048" s="124"/>
      <c r="AA2048" s="74"/>
      <c r="AB2048" s="240"/>
      <c r="AD2048" s="124"/>
      <c r="AE2048" s="238"/>
      <c r="AF2048" s="239"/>
      <c r="AG2048" s="239"/>
      <c r="AH2048" s="124"/>
      <c r="AI2048" s="74"/>
      <c r="AJ2048" s="240"/>
      <c r="AL2048" s="124"/>
      <c r="AM2048" s="74"/>
      <c r="AP2048" s="125"/>
      <c r="AQ2048" s="241"/>
      <c r="AR2048" s="125"/>
      <c r="AS2048" s="125"/>
      <c r="AT2048" s="238"/>
      <c r="AU2048" s="125"/>
      <c r="AV2048" s="125"/>
      <c r="AW2048" s="125"/>
      <c r="AX2048" s="238"/>
      <c r="AY2048" s="125"/>
      <c r="AZ2048" s="125"/>
      <c r="BA2048" s="125"/>
    </row>
    <row r="2049" spans="2:53" s="123" customFormat="1">
      <c r="B2049" s="125"/>
      <c r="D2049" s="125"/>
      <c r="I2049" s="125"/>
      <c r="Z2049" s="124"/>
      <c r="AA2049" s="74"/>
      <c r="AB2049" s="240"/>
      <c r="AD2049" s="124"/>
      <c r="AE2049" s="238"/>
      <c r="AF2049" s="239"/>
      <c r="AG2049" s="239"/>
      <c r="AH2049" s="124"/>
      <c r="AI2049" s="74"/>
      <c r="AJ2049" s="240"/>
      <c r="AL2049" s="124"/>
      <c r="AM2049" s="74"/>
      <c r="AP2049" s="125"/>
      <c r="AQ2049" s="241"/>
      <c r="AR2049" s="125"/>
      <c r="AS2049" s="125"/>
      <c r="AT2049" s="238"/>
      <c r="AU2049" s="125"/>
      <c r="AV2049" s="125"/>
      <c r="AW2049" s="125"/>
      <c r="AX2049" s="238"/>
      <c r="AY2049" s="125"/>
      <c r="AZ2049" s="125"/>
      <c r="BA2049" s="125"/>
    </row>
    <row r="2050" spans="2:53" s="123" customFormat="1">
      <c r="B2050" s="125"/>
      <c r="D2050" s="125"/>
      <c r="I2050" s="125"/>
      <c r="Z2050" s="124"/>
      <c r="AA2050" s="74"/>
      <c r="AB2050" s="240"/>
      <c r="AD2050" s="124"/>
      <c r="AE2050" s="238"/>
      <c r="AF2050" s="239"/>
      <c r="AG2050" s="239"/>
      <c r="AH2050" s="124"/>
      <c r="AI2050" s="74"/>
      <c r="AJ2050" s="240"/>
      <c r="AL2050" s="124"/>
      <c r="AM2050" s="74"/>
      <c r="AP2050" s="125"/>
      <c r="AQ2050" s="241"/>
      <c r="AR2050" s="125"/>
      <c r="AS2050" s="125"/>
      <c r="AT2050" s="238"/>
      <c r="AU2050" s="125"/>
      <c r="AV2050" s="125"/>
      <c r="AW2050" s="125"/>
      <c r="AX2050" s="238"/>
      <c r="AY2050" s="125"/>
      <c r="AZ2050" s="125"/>
      <c r="BA2050" s="125"/>
    </row>
    <row r="2051" spans="2:53" s="123" customFormat="1">
      <c r="B2051" s="125"/>
      <c r="D2051" s="125"/>
      <c r="I2051" s="125"/>
      <c r="Z2051" s="124"/>
      <c r="AA2051" s="74"/>
      <c r="AB2051" s="240"/>
      <c r="AD2051" s="124"/>
      <c r="AE2051" s="238"/>
      <c r="AF2051" s="239"/>
      <c r="AG2051" s="239"/>
      <c r="AH2051" s="124"/>
      <c r="AI2051" s="74"/>
      <c r="AJ2051" s="240"/>
      <c r="AL2051" s="124"/>
      <c r="AM2051" s="74"/>
      <c r="AP2051" s="125"/>
      <c r="AQ2051" s="241"/>
      <c r="AR2051" s="125"/>
      <c r="AS2051" s="125"/>
      <c r="AT2051" s="238"/>
      <c r="AU2051" s="125"/>
      <c r="AV2051" s="125"/>
      <c r="AW2051" s="125"/>
      <c r="AX2051" s="238"/>
      <c r="AY2051" s="125"/>
      <c r="AZ2051" s="125"/>
      <c r="BA2051" s="125"/>
    </row>
    <row r="2052" spans="2:53" s="123" customFormat="1">
      <c r="B2052" s="125"/>
      <c r="D2052" s="125"/>
      <c r="I2052" s="125"/>
      <c r="Z2052" s="124"/>
      <c r="AA2052" s="74"/>
      <c r="AB2052" s="240"/>
      <c r="AD2052" s="124"/>
      <c r="AE2052" s="238"/>
      <c r="AF2052" s="239"/>
      <c r="AG2052" s="239"/>
      <c r="AH2052" s="124"/>
      <c r="AI2052" s="74"/>
      <c r="AJ2052" s="240"/>
      <c r="AL2052" s="124"/>
      <c r="AM2052" s="74"/>
      <c r="AP2052" s="125"/>
      <c r="AQ2052" s="241"/>
      <c r="AR2052" s="125"/>
      <c r="AS2052" s="125"/>
      <c r="AT2052" s="238"/>
      <c r="AU2052" s="125"/>
      <c r="AV2052" s="125"/>
      <c r="AW2052" s="125"/>
      <c r="AX2052" s="238"/>
      <c r="AY2052" s="125"/>
      <c r="AZ2052" s="125"/>
      <c r="BA2052" s="125"/>
    </row>
    <row r="2053" spans="2:53" s="123" customFormat="1">
      <c r="B2053" s="125"/>
      <c r="D2053" s="125"/>
      <c r="I2053" s="125"/>
      <c r="Z2053" s="124"/>
      <c r="AA2053" s="74"/>
      <c r="AB2053" s="240"/>
      <c r="AD2053" s="124"/>
      <c r="AE2053" s="238"/>
      <c r="AF2053" s="239"/>
      <c r="AG2053" s="239"/>
      <c r="AH2053" s="124"/>
      <c r="AI2053" s="74"/>
      <c r="AJ2053" s="240"/>
      <c r="AL2053" s="124"/>
      <c r="AM2053" s="74"/>
      <c r="AP2053" s="125"/>
      <c r="AQ2053" s="241"/>
      <c r="AR2053" s="125"/>
      <c r="AS2053" s="125"/>
      <c r="AT2053" s="238"/>
      <c r="AU2053" s="125"/>
      <c r="AV2053" s="125"/>
      <c r="AW2053" s="125"/>
      <c r="AX2053" s="238"/>
      <c r="AY2053" s="125"/>
      <c r="AZ2053" s="125"/>
      <c r="BA2053" s="125"/>
    </row>
    <row r="2054" spans="2:53" s="123" customFormat="1">
      <c r="B2054" s="125"/>
      <c r="D2054" s="125"/>
      <c r="I2054" s="125"/>
      <c r="Z2054" s="124"/>
      <c r="AA2054" s="74"/>
      <c r="AB2054" s="240"/>
      <c r="AD2054" s="124"/>
      <c r="AE2054" s="238"/>
      <c r="AF2054" s="239"/>
      <c r="AG2054" s="239"/>
      <c r="AH2054" s="124"/>
      <c r="AI2054" s="74"/>
      <c r="AJ2054" s="240"/>
      <c r="AL2054" s="124"/>
      <c r="AM2054" s="74"/>
      <c r="AP2054" s="125"/>
      <c r="AQ2054" s="241"/>
      <c r="AR2054" s="125"/>
      <c r="AS2054" s="125"/>
      <c r="AT2054" s="238"/>
      <c r="AU2054" s="125"/>
      <c r="AV2054" s="125"/>
      <c r="AW2054" s="125"/>
      <c r="AX2054" s="238"/>
      <c r="AY2054" s="125"/>
      <c r="AZ2054" s="125"/>
      <c r="BA2054" s="125"/>
    </row>
    <row r="2055" spans="2:53" s="123" customFormat="1">
      <c r="B2055" s="125"/>
      <c r="D2055" s="125"/>
      <c r="I2055" s="125"/>
      <c r="Z2055" s="124"/>
      <c r="AA2055" s="74"/>
      <c r="AB2055" s="240"/>
      <c r="AD2055" s="124"/>
      <c r="AE2055" s="238"/>
      <c r="AF2055" s="239"/>
      <c r="AG2055" s="239"/>
      <c r="AH2055" s="124"/>
      <c r="AI2055" s="74"/>
      <c r="AJ2055" s="240"/>
      <c r="AL2055" s="124"/>
      <c r="AM2055" s="74"/>
      <c r="AP2055" s="125"/>
      <c r="AQ2055" s="241"/>
      <c r="AR2055" s="125"/>
      <c r="AS2055" s="125"/>
      <c r="AT2055" s="238"/>
      <c r="AU2055" s="125"/>
      <c r="AV2055" s="125"/>
      <c r="AW2055" s="125"/>
      <c r="AX2055" s="238"/>
      <c r="AY2055" s="125"/>
      <c r="AZ2055" s="125"/>
      <c r="BA2055" s="125"/>
    </row>
    <row r="2056" spans="2:53" s="123" customFormat="1">
      <c r="B2056" s="125"/>
      <c r="D2056" s="125"/>
      <c r="I2056" s="125"/>
      <c r="Z2056" s="124"/>
      <c r="AA2056" s="74"/>
      <c r="AB2056" s="240"/>
      <c r="AD2056" s="124"/>
      <c r="AE2056" s="238"/>
      <c r="AF2056" s="239"/>
      <c r="AG2056" s="239"/>
      <c r="AH2056" s="124"/>
      <c r="AI2056" s="74"/>
      <c r="AJ2056" s="240"/>
      <c r="AL2056" s="124"/>
      <c r="AM2056" s="74"/>
      <c r="AP2056" s="125"/>
      <c r="AQ2056" s="241"/>
      <c r="AR2056" s="125"/>
      <c r="AS2056" s="125"/>
      <c r="AT2056" s="238"/>
      <c r="AU2056" s="125"/>
      <c r="AV2056" s="125"/>
      <c r="AW2056" s="125"/>
      <c r="AX2056" s="238"/>
      <c r="AY2056" s="125"/>
      <c r="AZ2056" s="125"/>
      <c r="BA2056" s="125"/>
    </row>
    <row r="2057" spans="2:53" s="123" customFormat="1">
      <c r="B2057" s="125"/>
      <c r="D2057" s="125"/>
      <c r="I2057" s="125"/>
      <c r="Z2057" s="124"/>
      <c r="AA2057" s="74"/>
      <c r="AB2057" s="240"/>
      <c r="AD2057" s="124"/>
      <c r="AE2057" s="238"/>
      <c r="AF2057" s="239"/>
      <c r="AG2057" s="239"/>
      <c r="AH2057" s="124"/>
      <c r="AI2057" s="74"/>
      <c r="AJ2057" s="240"/>
      <c r="AL2057" s="124"/>
      <c r="AM2057" s="74"/>
      <c r="AP2057" s="125"/>
      <c r="AQ2057" s="241"/>
      <c r="AR2057" s="125"/>
      <c r="AS2057" s="125"/>
      <c r="AT2057" s="238"/>
      <c r="AU2057" s="125"/>
      <c r="AV2057" s="125"/>
      <c r="AW2057" s="125"/>
      <c r="AX2057" s="238"/>
      <c r="AY2057" s="125"/>
      <c r="AZ2057" s="125"/>
      <c r="BA2057" s="125"/>
    </row>
    <row r="2058" spans="2:53" s="123" customFormat="1">
      <c r="B2058" s="125"/>
      <c r="D2058" s="125"/>
      <c r="I2058" s="125"/>
      <c r="Z2058" s="124"/>
      <c r="AA2058" s="74"/>
      <c r="AB2058" s="240"/>
      <c r="AD2058" s="124"/>
      <c r="AE2058" s="238"/>
      <c r="AF2058" s="239"/>
      <c r="AG2058" s="239"/>
      <c r="AH2058" s="124"/>
      <c r="AI2058" s="74"/>
      <c r="AJ2058" s="240"/>
      <c r="AL2058" s="124"/>
      <c r="AM2058" s="74"/>
      <c r="AP2058" s="125"/>
      <c r="AQ2058" s="241"/>
      <c r="AR2058" s="125"/>
      <c r="AS2058" s="125"/>
      <c r="AT2058" s="238"/>
      <c r="AU2058" s="125"/>
      <c r="AV2058" s="125"/>
      <c r="AW2058" s="125"/>
      <c r="AX2058" s="238"/>
      <c r="AY2058" s="125"/>
      <c r="AZ2058" s="125"/>
      <c r="BA2058" s="125"/>
    </row>
    <row r="2059" spans="2:53" s="123" customFormat="1">
      <c r="B2059" s="125"/>
      <c r="D2059" s="125"/>
      <c r="I2059" s="125"/>
      <c r="Z2059" s="124"/>
      <c r="AA2059" s="74"/>
      <c r="AB2059" s="240"/>
      <c r="AD2059" s="124"/>
      <c r="AE2059" s="238"/>
      <c r="AF2059" s="239"/>
      <c r="AG2059" s="239"/>
      <c r="AH2059" s="124"/>
      <c r="AI2059" s="74"/>
      <c r="AJ2059" s="240"/>
      <c r="AL2059" s="124"/>
      <c r="AM2059" s="74"/>
      <c r="AP2059" s="125"/>
      <c r="AQ2059" s="241"/>
      <c r="AR2059" s="125"/>
      <c r="AS2059" s="125"/>
      <c r="AT2059" s="238"/>
      <c r="AU2059" s="125"/>
      <c r="AV2059" s="125"/>
      <c r="AW2059" s="125"/>
      <c r="AX2059" s="238"/>
      <c r="AY2059" s="125"/>
      <c r="AZ2059" s="125"/>
      <c r="BA2059" s="125"/>
    </row>
    <row r="2060" spans="2:53" s="123" customFormat="1">
      <c r="B2060" s="125"/>
      <c r="D2060" s="125"/>
      <c r="I2060" s="125"/>
      <c r="Z2060" s="124"/>
      <c r="AA2060" s="74"/>
      <c r="AB2060" s="240"/>
      <c r="AD2060" s="124"/>
      <c r="AE2060" s="238"/>
      <c r="AF2060" s="239"/>
      <c r="AG2060" s="239"/>
      <c r="AH2060" s="124"/>
      <c r="AI2060" s="74"/>
      <c r="AJ2060" s="240"/>
      <c r="AL2060" s="124"/>
      <c r="AM2060" s="74"/>
      <c r="AP2060" s="125"/>
      <c r="AQ2060" s="241"/>
      <c r="AR2060" s="125"/>
      <c r="AS2060" s="125"/>
      <c r="AT2060" s="238"/>
      <c r="AU2060" s="125"/>
      <c r="AV2060" s="125"/>
      <c r="AW2060" s="125"/>
      <c r="AX2060" s="238"/>
      <c r="AY2060" s="125"/>
      <c r="AZ2060" s="125"/>
      <c r="BA2060" s="125"/>
    </row>
    <row r="2061" spans="2:53" s="123" customFormat="1">
      <c r="B2061" s="125"/>
      <c r="D2061" s="125"/>
      <c r="I2061" s="125"/>
      <c r="Z2061" s="124"/>
      <c r="AA2061" s="74"/>
      <c r="AB2061" s="240"/>
      <c r="AD2061" s="124"/>
      <c r="AE2061" s="238"/>
      <c r="AF2061" s="239"/>
      <c r="AG2061" s="239"/>
      <c r="AH2061" s="124"/>
      <c r="AI2061" s="74"/>
      <c r="AJ2061" s="240"/>
      <c r="AL2061" s="124"/>
      <c r="AM2061" s="74"/>
      <c r="AP2061" s="125"/>
      <c r="AQ2061" s="241"/>
      <c r="AR2061" s="125"/>
      <c r="AS2061" s="125"/>
      <c r="AT2061" s="238"/>
      <c r="AU2061" s="125"/>
      <c r="AV2061" s="125"/>
      <c r="AW2061" s="125"/>
      <c r="AX2061" s="238"/>
      <c r="AY2061" s="125"/>
      <c r="AZ2061" s="125"/>
      <c r="BA2061" s="125"/>
    </row>
    <row r="2062" spans="2:53" s="123" customFormat="1">
      <c r="B2062" s="125"/>
      <c r="D2062" s="125"/>
      <c r="I2062" s="125"/>
      <c r="Z2062" s="124"/>
      <c r="AA2062" s="74"/>
      <c r="AB2062" s="240"/>
      <c r="AD2062" s="124"/>
      <c r="AE2062" s="238"/>
      <c r="AF2062" s="239"/>
      <c r="AG2062" s="239"/>
      <c r="AH2062" s="124"/>
      <c r="AI2062" s="74"/>
      <c r="AJ2062" s="240"/>
      <c r="AL2062" s="124"/>
      <c r="AM2062" s="74"/>
      <c r="AP2062" s="125"/>
      <c r="AQ2062" s="241"/>
      <c r="AR2062" s="125"/>
      <c r="AS2062" s="125"/>
      <c r="AT2062" s="238"/>
      <c r="AU2062" s="125"/>
      <c r="AV2062" s="125"/>
      <c r="AW2062" s="125"/>
      <c r="AX2062" s="238"/>
      <c r="AY2062" s="125"/>
      <c r="AZ2062" s="125"/>
      <c r="BA2062" s="125"/>
    </row>
    <row r="2063" spans="2:53" s="123" customFormat="1">
      <c r="B2063" s="125"/>
      <c r="D2063" s="125"/>
      <c r="I2063" s="125"/>
      <c r="Z2063" s="124"/>
      <c r="AA2063" s="74"/>
      <c r="AB2063" s="240"/>
      <c r="AD2063" s="124"/>
      <c r="AE2063" s="238"/>
      <c r="AF2063" s="239"/>
      <c r="AG2063" s="239"/>
      <c r="AH2063" s="124"/>
      <c r="AI2063" s="74"/>
      <c r="AJ2063" s="240"/>
      <c r="AL2063" s="124"/>
      <c r="AM2063" s="74"/>
      <c r="AP2063" s="125"/>
      <c r="AQ2063" s="241"/>
      <c r="AR2063" s="125"/>
      <c r="AS2063" s="125"/>
      <c r="AT2063" s="238"/>
      <c r="AU2063" s="125"/>
      <c r="AV2063" s="125"/>
      <c r="AW2063" s="125"/>
      <c r="AX2063" s="238"/>
      <c r="AY2063" s="125"/>
      <c r="AZ2063" s="125"/>
      <c r="BA2063" s="125"/>
    </row>
    <row r="2064" spans="2:53" s="123" customFormat="1">
      <c r="B2064" s="125"/>
      <c r="D2064" s="125"/>
      <c r="I2064" s="125"/>
      <c r="Z2064" s="124"/>
      <c r="AA2064" s="74"/>
      <c r="AB2064" s="240"/>
      <c r="AD2064" s="124"/>
      <c r="AE2064" s="238"/>
      <c r="AF2064" s="239"/>
      <c r="AG2064" s="239"/>
      <c r="AH2064" s="124"/>
      <c r="AI2064" s="74"/>
      <c r="AJ2064" s="240"/>
      <c r="AL2064" s="124"/>
      <c r="AM2064" s="74"/>
      <c r="AP2064" s="125"/>
      <c r="AQ2064" s="241"/>
      <c r="AR2064" s="125"/>
      <c r="AS2064" s="125"/>
      <c r="AT2064" s="238"/>
      <c r="AU2064" s="125"/>
      <c r="AV2064" s="125"/>
      <c r="AW2064" s="125"/>
      <c r="AX2064" s="238"/>
      <c r="AY2064" s="125"/>
      <c r="AZ2064" s="125"/>
      <c r="BA2064" s="125"/>
    </row>
    <row r="2065" spans="2:53" s="123" customFormat="1">
      <c r="B2065" s="125"/>
      <c r="D2065" s="125"/>
      <c r="I2065" s="125"/>
      <c r="Z2065" s="124"/>
      <c r="AA2065" s="74"/>
      <c r="AB2065" s="240"/>
      <c r="AD2065" s="124"/>
      <c r="AE2065" s="238"/>
      <c r="AF2065" s="239"/>
      <c r="AG2065" s="239"/>
      <c r="AH2065" s="124"/>
      <c r="AI2065" s="74"/>
      <c r="AJ2065" s="240"/>
      <c r="AL2065" s="124"/>
      <c r="AM2065" s="74"/>
      <c r="AP2065" s="125"/>
      <c r="AQ2065" s="241"/>
      <c r="AR2065" s="125"/>
      <c r="AS2065" s="125"/>
      <c r="AT2065" s="238"/>
      <c r="AU2065" s="125"/>
      <c r="AV2065" s="125"/>
      <c r="AW2065" s="125"/>
      <c r="AX2065" s="238"/>
      <c r="AY2065" s="125"/>
      <c r="AZ2065" s="125"/>
      <c r="BA2065" s="125"/>
    </row>
    <row r="2066" spans="2:53" s="123" customFormat="1">
      <c r="B2066" s="125"/>
      <c r="D2066" s="125"/>
      <c r="I2066" s="125"/>
      <c r="Z2066" s="124"/>
      <c r="AA2066" s="74"/>
      <c r="AB2066" s="240"/>
      <c r="AD2066" s="124"/>
      <c r="AE2066" s="238"/>
      <c r="AF2066" s="239"/>
      <c r="AG2066" s="239"/>
      <c r="AH2066" s="124"/>
      <c r="AI2066" s="74"/>
      <c r="AJ2066" s="240"/>
      <c r="AL2066" s="124"/>
      <c r="AM2066" s="74"/>
      <c r="AP2066" s="125"/>
      <c r="AQ2066" s="241"/>
      <c r="AR2066" s="125"/>
      <c r="AS2066" s="125"/>
      <c r="AT2066" s="238"/>
      <c r="AU2066" s="125"/>
      <c r="AV2066" s="125"/>
      <c r="AW2066" s="125"/>
      <c r="AX2066" s="238"/>
      <c r="AY2066" s="125"/>
      <c r="AZ2066" s="125"/>
      <c r="BA2066" s="125"/>
    </row>
    <row r="2067" spans="2:53" s="123" customFormat="1">
      <c r="B2067" s="125"/>
      <c r="D2067" s="125"/>
      <c r="I2067" s="125"/>
      <c r="Z2067" s="124"/>
      <c r="AA2067" s="74"/>
      <c r="AB2067" s="240"/>
      <c r="AD2067" s="124"/>
      <c r="AE2067" s="238"/>
      <c r="AF2067" s="239"/>
      <c r="AG2067" s="239"/>
      <c r="AH2067" s="124"/>
      <c r="AI2067" s="74"/>
      <c r="AJ2067" s="240"/>
      <c r="AL2067" s="124"/>
      <c r="AM2067" s="74"/>
      <c r="AP2067" s="125"/>
      <c r="AQ2067" s="241"/>
      <c r="AR2067" s="125"/>
      <c r="AS2067" s="125"/>
      <c r="AT2067" s="238"/>
      <c r="AU2067" s="125"/>
      <c r="AV2067" s="125"/>
      <c r="AW2067" s="125"/>
      <c r="AX2067" s="238"/>
      <c r="AY2067" s="125"/>
      <c r="AZ2067" s="125"/>
      <c r="BA2067" s="125"/>
    </row>
    <row r="2068" spans="2:53" s="123" customFormat="1">
      <c r="B2068" s="125"/>
      <c r="D2068" s="125"/>
      <c r="I2068" s="125"/>
      <c r="Z2068" s="124"/>
      <c r="AA2068" s="74"/>
      <c r="AB2068" s="240"/>
      <c r="AD2068" s="124"/>
      <c r="AE2068" s="238"/>
      <c r="AF2068" s="239"/>
      <c r="AG2068" s="239"/>
      <c r="AH2068" s="124"/>
      <c r="AI2068" s="74"/>
      <c r="AJ2068" s="240"/>
      <c r="AL2068" s="124"/>
      <c r="AM2068" s="74"/>
      <c r="AP2068" s="125"/>
      <c r="AQ2068" s="241"/>
      <c r="AR2068" s="125"/>
      <c r="AS2068" s="125"/>
      <c r="AT2068" s="238"/>
      <c r="AU2068" s="125"/>
      <c r="AV2068" s="125"/>
      <c r="AW2068" s="125"/>
      <c r="AX2068" s="238"/>
      <c r="AY2068" s="125"/>
      <c r="AZ2068" s="125"/>
      <c r="BA2068" s="125"/>
    </row>
    <row r="2069" spans="2:53" s="123" customFormat="1">
      <c r="B2069" s="125"/>
      <c r="D2069" s="125"/>
      <c r="I2069" s="125"/>
      <c r="Z2069" s="124"/>
      <c r="AA2069" s="74"/>
      <c r="AB2069" s="240"/>
      <c r="AD2069" s="124"/>
      <c r="AE2069" s="238"/>
      <c r="AF2069" s="239"/>
      <c r="AG2069" s="239"/>
      <c r="AH2069" s="124"/>
      <c r="AI2069" s="74"/>
      <c r="AJ2069" s="240"/>
      <c r="AL2069" s="124"/>
      <c r="AM2069" s="74"/>
      <c r="AP2069" s="125"/>
      <c r="AQ2069" s="241"/>
      <c r="AR2069" s="125"/>
      <c r="AS2069" s="125"/>
      <c r="AT2069" s="238"/>
      <c r="AU2069" s="125"/>
      <c r="AV2069" s="125"/>
      <c r="AW2069" s="125"/>
      <c r="AX2069" s="238"/>
      <c r="AY2069" s="125"/>
      <c r="AZ2069" s="125"/>
      <c r="BA2069" s="125"/>
    </row>
    <row r="2070" spans="2:53" s="123" customFormat="1">
      <c r="B2070" s="125"/>
      <c r="D2070" s="125"/>
      <c r="I2070" s="125"/>
      <c r="Z2070" s="124"/>
      <c r="AA2070" s="74"/>
      <c r="AB2070" s="240"/>
      <c r="AD2070" s="124"/>
      <c r="AE2070" s="238"/>
      <c r="AF2070" s="239"/>
      <c r="AG2070" s="239"/>
      <c r="AH2070" s="124"/>
      <c r="AI2070" s="74"/>
      <c r="AJ2070" s="240"/>
      <c r="AL2070" s="124"/>
      <c r="AM2070" s="74"/>
      <c r="AP2070" s="125"/>
      <c r="AQ2070" s="241"/>
      <c r="AR2070" s="125"/>
      <c r="AS2070" s="125"/>
      <c r="AT2070" s="238"/>
      <c r="AU2070" s="125"/>
      <c r="AV2070" s="125"/>
      <c r="AW2070" s="125"/>
      <c r="AX2070" s="238"/>
      <c r="AY2070" s="125"/>
      <c r="AZ2070" s="125"/>
      <c r="BA2070" s="125"/>
    </row>
    <row r="2071" spans="2:53" s="123" customFormat="1">
      <c r="B2071" s="125"/>
      <c r="D2071" s="125"/>
      <c r="I2071" s="125"/>
      <c r="Z2071" s="124"/>
      <c r="AA2071" s="74"/>
      <c r="AB2071" s="240"/>
      <c r="AD2071" s="124"/>
      <c r="AE2071" s="238"/>
      <c r="AF2071" s="239"/>
      <c r="AG2071" s="239"/>
      <c r="AH2071" s="124"/>
      <c r="AI2071" s="74"/>
      <c r="AJ2071" s="240"/>
      <c r="AL2071" s="124"/>
      <c r="AM2071" s="74"/>
      <c r="AP2071" s="125"/>
      <c r="AQ2071" s="241"/>
      <c r="AR2071" s="125"/>
      <c r="AS2071" s="125"/>
      <c r="AT2071" s="238"/>
      <c r="AU2071" s="125"/>
      <c r="AV2071" s="125"/>
      <c r="AW2071" s="125"/>
      <c r="AX2071" s="238"/>
      <c r="AY2071" s="125"/>
      <c r="AZ2071" s="125"/>
      <c r="BA2071" s="125"/>
    </row>
    <row r="2072" spans="2:53" s="123" customFormat="1">
      <c r="B2072" s="125"/>
      <c r="D2072" s="125"/>
      <c r="I2072" s="125"/>
      <c r="Z2072" s="124"/>
      <c r="AA2072" s="74"/>
      <c r="AB2072" s="240"/>
      <c r="AD2072" s="124"/>
      <c r="AE2072" s="238"/>
      <c r="AF2072" s="239"/>
      <c r="AG2072" s="239"/>
      <c r="AH2072" s="124"/>
      <c r="AI2072" s="74"/>
      <c r="AJ2072" s="240"/>
      <c r="AL2072" s="124"/>
      <c r="AM2072" s="74"/>
      <c r="AP2072" s="125"/>
      <c r="AQ2072" s="241"/>
      <c r="AR2072" s="125"/>
      <c r="AS2072" s="125"/>
      <c r="AT2072" s="238"/>
      <c r="AU2072" s="125"/>
      <c r="AV2072" s="125"/>
      <c r="AW2072" s="125"/>
      <c r="AX2072" s="238"/>
      <c r="AY2072" s="125"/>
      <c r="AZ2072" s="125"/>
      <c r="BA2072" s="125"/>
    </row>
    <row r="2073" spans="2:53" s="123" customFormat="1">
      <c r="B2073" s="125"/>
      <c r="D2073" s="125"/>
      <c r="I2073" s="125"/>
      <c r="Z2073" s="124"/>
      <c r="AA2073" s="74"/>
      <c r="AB2073" s="240"/>
      <c r="AD2073" s="124"/>
      <c r="AE2073" s="238"/>
      <c r="AF2073" s="239"/>
      <c r="AG2073" s="239"/>
      <c r="AH2073" s="124"/>
      <c r="AI2073" s="74"/>
      <c r="AJ2073" s="240"/>
      <c r="AL2073" s="124"/>
      <c r="AM2073" s="74"/>
      <c r="AP2073" s="125"/>
      <c r="AQ2073" s="241"/>
      <c r="AR2073" s="125"/>
      <c r="AS2073" s="125"/>
      <c r="AT2073" s="238"/>
      <c r="AU2073" s="125"/>
      <c r="AV2073" s="125"/>
      <c r="AW2073" s="125"/>
      <c r="AX2073" s="238"/>
      <c r="AY2073" s="125"/>
      <c r="AZ2073" s="125"/>
      <c r="BA2073" s="125"/>
    </row>
    <row r="2074" spans="2:53" s="123" customFormat="1">
      <c r="B2074" s="125"/>
      <c r="D2074" s="125"/>
      <c r="I2074" s="125"/>
      <c r="Z2074" s="124"/>
      <c r="AA2074" s="74"/>
      <c r="AB2074" s="240"/>
      <c r="AD2074" s="124"/>
      <c r="AE2074" s="238"/>
      <c r="AF2074" s="239"/>
      <c r="AG2074" s="239"/>
      <c r="AH2074" s="124"/>
      <c r="AI2074" s="74"/>
      <c r="AJ2074" s="240"/>
      <c r="AL2074" s="124"/>
      <c r="AM2074" s="74"/>
      <c r="AP2074" s="125"/>
      <c r="AQ2074" s="241"/>
      <c r="AR2074" s="125"/>
      <c r="AS2074" s="125"/>
      <c r="AT2074" s="238"/>
      <c r="AU2074" s="125"/>
      <c r="AV2074" s="125"/>
      <c r="AW2074" s="125"/>
      <c r="AX2074" s="238"/>
      <c r="AY2074" s="125"/>
      <c r="AZ2074" s="125"/>
      <c r="BA2074" s="125"/>
    </row>
    <row r="2075" spans="2:53" s="123" customFormat="1">
      <c r="B2075" s="125"/>
      <c r="D2075" s="125"/>
      <c r="I2075" s="125"/>
      <c r="Z2075" s="124"/>
      <c r="AA2075" s="74"/>
      <c r="AB2075" s="240"/>
      <c r="AD2075" s="124"/>
      <c r="AE2075" s="238"/>
      <c r="AF2075" s="239"/>
      <c r="AG2075" s="239"/>
      <c r="AH2075" s="124"/>
      <c r="AI2075" s="74"/>
      <c r="AJ2075" s="240"/>
      <c r="AL2075" s="124"/>
      <c r="AM2075" s="74"/>
      <c r="AP2075" s="125"/>
      <c r="AQ2075" s="241"/>
      <c r="AR2075" s="125"/>
      <c r="AS2075" s="125"/>
      <c r="AT2075" s="238"/>
      <c r="AU2075" s="125"/>
      <c r="AV2075" s="125"/>
      <c r="AW2075" s="125"/>
      <c r="AX2075" s="238"/>
      <c r="AY2075" s="125"/>
      <c r="AZ2075" s="125"/>
      <c r="BA2075" s="125"/>
    </row>
    <row r="2076" spans="2:53" s="123" customFormat="1">
      <c r="B2076" s="125"/>
      <c r="D2076" s="125"/>
      <c r="I2076" s="125"/>
      <c r="Z2076" s="124"/>
      <c r="AA2076" s="74"/>
      <c r="AB2076" s="240"/>
      <c r="AD2076" s="124"/>
      <c r="AE2076" s="238"/>
      <c r="AF2076" s="239"/>
      <c r="AG2076" s="239"/>
      <c r="AH2076" s="124"/>
      <c r="AI2076" s="74"/>
      <c r="AJ2076" s="240"/>
      <c r="AL2076" s="124"/>
      <c r="AM2076" s="74"/>
      <c r="AP2076" s="125"/>
      <c r="AQ2076" s="241"/>
      <c r="AR2076" s="125"/>
      <c r="AS2076" s="125"/>
      <c r="AT2076" s="238"/>
      <c r="AU2076" s="125"/>
      <c r="AV2076" s="125"/>
      <c r="AW2076" s="125"/>
      <c r="AX2076" s="238"/>
      <c r="AY2076" s="125"/>
      <c r="AZ2076" s="125"/>
      <c r="BA2076" s="125"/>
    </row>
    <row r="2077" spans="2:53" s="123" customFormat="1">
      <c r="B2077" s="125"/>
      <c r="D2077" s="125"/>
      <c r="I2077" s="125"/>
      <c r="Z2077" s="124"/>
      <c r="AA2077" s="74"/>
      <c r="AB2077" s="240"/>
      <c r="AD2077" s="124"/>
      <c r="AE2077" s="238"/>
      <c r="AF2077" s="239"/>
      <c r="AG2077" s="239"/>
      <c r="AH2077" s="124"/>
      <c r="AI2077" s="74"/>
      <c r="AJ2077" s="240"/>
      <c r="AL2077" s="124"/>
      <c r="AM2077" s="74"/>
      <c r="AP2077" s="125"/>
      <c r="AQ2077" s="241"/>
      <c r="AR2077" s="125"/>
      <c r="AS2077" s="125"/>
      <c r="AT2077" s="238"/>
      <c r="AU2077" s="125"/>
      <c r="AV2077" s="125"/>
      <c r="AW2077" s="125"/>
      <c r="AX2077" s="238"/>
      <c r="AY2077" s="125"/>
      <c r="AZ2077" s="125"/>
      <c r="BA2077" s="125"/>
    </row>
    <row r="2078" spans="2:53" s="123" customFormat="1">
      <c r="B2078" s="125"/>
      <c r="D2078" s="125"/>
      <c r="I2078" s="125"/>
      <c r="Z2078" s="124"/>
      <c r="AA2078" s="74"/>
      <c r="AB2078" s="240"/>
      <c r="AD2078" s="124"/>
      <c r="AE2078" s="238"/>
      <c r="AF2078" s="239"/>
      <c r="AG2078" s="239"/>
      <c r="AH2078" s="124"/>
      <c r="AI2078" s="74"/>
      <c r="AJ2078" s="240"/>
      <c r="AL2078" s="124"/>
      <c r="AM2078" s="74"/>
      <c r="AP2078" s="125"/>
      <c r="AQ2078" s="241"/>
      <c r="AR2078" s="125"/>
      <c r="AS2078" s="125"/>
      <c r="AT2078" s="238"/>
      <c r="AU2078" s="125"/>
      <c r="AV2078" s="125"/>
      <c r="AW2078" s="125"/>
      <c r="AX2078" s="238"/>
      <c r="AY2078" s="125"/>
      <c r="AZ2078" s="125"/>
      <c r="BA2078" s="125"/>
    </row>
    <row r="2079" spans="2:53" s="123" customFormat="1">
      <c r="B2079" s="125"/>
      <c r="D2079" s="125"/>
      <c r="I2079" s="125"/>
      <c r="Z2079" s="124"/>
      <c r="AA2079" s="74"/>
      <c r="AB2079" s="240"/>
      <c r="AD2079" s="124"/>
      <c r="AE2079" s="238"/>
      <c r="AF2079" s="239"/>
      <c r="AG2079" s="239"/>
      <c r="AH2079" s="124"/>
      <c r="AI2079" s="74"/>
      <c r="AJ2079" s="240"/>
      <c r="AL2079" s="124"/>
      <c r="AM2079" s="74"/>
      <c r="AP2079" s="125"/>
      <c r="AQ2079" s="241"/>
      <c r="AR2079" s="125"/>
      <c r="AS2079" s="125"/>
      <c r="AT2079" s="238"/>
      <c r="AU2079" s="125"/>
      <c r="AV2079" s="125"/>
      <c r="AW2079" s="125"/>
      <c r="AX2079" s="238"/>
      <c r="AY2079" s="125"/>
      <c r="AZ2079" s="125"/>
      <c r="BA2079" s="125"/>
    </row>
    <row r="2080" spans="2:53" s="123" customFormat="1">
      <c r="B2080" s="125"/>
      <c r="D2080" s="125"/>
      <c r="I2080" s="125"/>
      <c r="Z2080" s="124"/>
      <c r="AA2080" s="74"/>
      <c r="AB2080" s="240"/>
      <c r="AD2080" s="124"/>
      <c r="AE2080" s="238"/>
      <c r="AF2080" s="239"/>
      <c r="AG2080" s="239"/>
      <c r="AH2080" s="124"/>
      <c r="AI2080" s="74"/>
      <c r="AJ2080" s="240"/>
      <c r="AL2080" s="124"/>
      <c r="AM2080" s="74"/>
      <c r="AP2080" s="125"/>
      <c r="AQ2080" s="241"/>
      <c r="AR2080" s="125"/>
      <c r="AS2080" s="125"/>
      <c r="AT2080" s="238"/>
      <c r="AU2080" s="125"/>
      <c r="AV2080" s="125"/>
      <c r="AW2080" s="125"/>
      <c r="AX2080" s="238"/>
      <c r="AY2080" s="125"/>
      <c r="AZ2080" s="125"/>
      <c r="BA2080" s="125"/>
    </row>
    <row r="2081" spans="2:53" s="123" customFormat="1">
      <c r="B2081" s="125"/>
      <c r="D2081" s="125"/>
      <c r="I2081" s="125"/>
      <c r="Z2081" s="124"/>
      <c r="AA2081" s="74"/>
      <c r="AB2081" s="240"/>
      <c r="AD2081" s="124"/>
      <c r="AE2081" s="238"/>
      <c r="AF2081" s="239"/>
      <c r="AG2081" s="239"/>
      <c r="AH2081" s="124"/>
      <c r="AI2081" s="74"/>
      <c r="AJ2081" s="240"/>
      <c r="AL2081" s="124"/>
      <c r="AM2081" s="74"/>
      <c r="AP2081" s="125"/>
      <c r="AQ2081" s="241"/>
      <c r="AR2081" s="125"/>
      <c r="AS2081" s="125"/>
      <c r="AT2081" s="238"/>
      <c r="AU2081" s="125"/>
      <c r="AV2081" s="125"/>
      <c r="AW2081" s="125"/>
      <c r="AX2081" s="238"/>
      <c r="AY2081" s="125"/>
      <c r="AZ2081" s="125"/>
      <c r="BA2081" s="125"/>
    </row>
    <row r="2082" spans="2:53" s="123" customFormat="1">
      <c r="B2082" s="125"/>
      <c r="D2082" s="125"/>
      <c r="I2082" s="125"/>
      <c r="Z2082" s="124"/>
      <c r="AA2082" s="74"/>
      <c r="AB2082" s="240"/>
      <c r="AD2082" s="124"/>
      <c r="AE2082" s="238"/>
      <c r="AF2082" s="239"/>
      <c r="AG2082" s="239"/>
      <c r="AH2082" s="124"/>
      <c r="AI2082" s="74"/>
      <c r="AJ2082" s="240"/>
      <c r="AL2082" s="124"/>
      <c r="AM2082" s="74"/>
      <c r="AP2082" s="125"/>
      <c r="AQ2082" s="241"/>
      <c r="AR2082" s="125"/>
      <c r="AS2082" s="125"/>
      <c r="AT2082" s="238"/>
      <c r="AU2082" s="125"/>
      <c r="AV2082" s="125"/>
      <c r="AW2082" s="125"/>
      <c r="AX2082" s="238"/>
      <c r="AY2082" s="125"/>
      <c r="AZ2082" s="125"/>
      <c r="BA2082" s="125"/>
    </row>
    <row r="2083" spans="2:53" s="123" customFormat="1">
      <c r="B2083" s="125"/>
      <c r="D2083" s="125"/>
      <c r="I2083" s="125"/>
      <c r="Z2083" s="124"/>
      <c r="AA2083" s="74"/>
      <c r="AB2083" s="240"/>
      <c r="AD2083" s="124"/>
      <c r="AE2083" s="238"/>
      <c r="AF2083" s="239"/>
      <c r="AG2083" s="239"/>
      <c r="AH2083" s="124"/>
      <c r="AI2083" s="74"/>
      <c r="AJ2083" s="240"/>
      <c r="AL2083" s="124"/>
      <c r="AM2083" s="74"/>
      <c r="AP2083" s="125"/>
      <c r="AQ2083" s="241"/>
      <c r="AR2083" s="125"/>
      <c r="AS2083" s="125"/>
      <c r="AT2083" s="238"/>
      <c r="AU2083" s="125"/>
      <c r="AV2083" s="125"/>
      <c r="AW2083" s="125"/>
      <c r="AX2083" s="238"/>
      <c r="AY2083" s="125"/>
      <c r="AZ2083" s="125"/>
      <c r="BA2083" s="125"/>
    </row>
    <row r="2084" spans="2:53" s="123" customFormat="1">
      <c r="B2084" s="125"/>
      <c r="D2084" s="125"/>
      <c r="I2084" s="125"/>
      <c r="Z2084" s="124"/>
      <c r="AA2084" s="74"/>
      <c r="AB2084" s="240"/>
      <c r="AD2084" s="124"/>
      <c r="AE2084" s="238"/>
      <c r="AF2084" s="239"/>
      <c r="AG2084" s="239"/>
      <c r="AH2084" s="124"/>
      <c r="AI2084" s="74"/>
      <c r="AJ2084" s="240"/>
      <c r="AL2084" s="124"/>
      <c r="AM2084" s="74"/>
      <c r="AP2084" s="125"/>
      <c r="AQ2084" s="241"/>
      <c r="AR2084" s="125"/>
      <c r="AS2084" s="125"/>
      <c r="AT2084" s="238"/>
      <c r="AU2084" s="125"/>
      <c r="AV2084" s="125"/>
      <c r="AW2084" s="125"/>
      <c r="AX2084" s="238"/>
      <c r="AY2084" s="125"/>
      <c r="AZ2084" s="125"/>
      <c r="BA2084" s="125"/>
    </row>
    <row r="2085" spans="2:53" s="123" customFormat="1">
      <c r="B2085" s="125"/>
      <c r="D2085" s="125"/>
      <c r="I2085" s="125"/>
      <c r="Z2085" s="124"/>
      <c r="AA2085" s="74"/>
      <c r="AB2085" s="240"/>
      <c r="AD2085" s="124"/>
      <c r="AE2085" s="238"/>
      <c r="AF2085" s="239"/>
      <c r="AG2085" s="239"/>
      <c r="AH2085" s="124"/>
      <c r="AI2085" s="74"/>
      <c r="AJ2085" s="240"/>
      <c r="AL2085" s="124"/>
      <c r="AM2085" s="74"/>
      <c r="AP2085" s="125"/>
      <c r="AQ2085" s="241"/>
      <c r="AR2085" s="125"/>
      <c r="AS2085" s="125"/>
      <c r="AT2085" s="238"/>
      <c r="AU2085" s="125"/>
      <c r="AV2085" s="125"/>
      <c r="AW2085" s="125"/>
      <c r="AX2085" s="238"/>
      <c r="AY2085" s="125"/>
      <c r="AZ2085" s="125"/>
      <c r="BA2085" s="125"/>
    </row>
    <row r="2086" spans="2:53" s="123" customFormat="1">
      <c r="B2086" s="125"/>
      <c r="D2086" s="125"/>
      <c r="I2086" s="125"/>
      <c r="Z2086" s="124"/>
      <c r="AA2086" s="74"/>
      <c r="AB2086" s="240"/>
      <c r="AD2086" s="124"/>
      <c r="AE2086" s="238"/>
      <c r="AF2086" s="239"/>
      <c r="AG2086" s="239"/>
      <c r="AH2086" s="124"/>
      <c r="AI2086" s="74"/>
      <c r="AJ2086" s="240"/>
      <c r="AL2086" s="124"/>
      <c r="AM2086" s="74"/>
      <c r="AP2086" s="125"/>
      <c r="AQ2086" s="241"/>
      <c r="AR2086" s="125"/>
      <c r="AS2086" s="125"/>
      <c r="AT2086" s="238"/>
      <c r="AU2086" s="125"/>
      <c r="AV2086" s="125"/>
      <c r="AW2086" s="125"/>
      <c r="AX2086" s="238"/>
      <c r="AY2086" s="125"/>
      <c r="AZ2086" s="125"/>
      <c r="BA2086" s="125"/>
    </row>
    <row r="2087" spans="2:53" s="123" customFormat="1">
      <c r="B2087" s="125"/>
      <c r="D2087" s="125"/>
      <c r="I2087" s="125"/>
      <c r="Z2087" s="124"/>
      <c r="AA2087" s="74"/>
      <c r="AB2087" s="240"/>
      <c r="AD2087" s="124"/>
      <c r="AE2087" s="238"/>
      <c r="AF2087" s="239"/>
      <c r="AG2087" s="239"/>
      <c r="AH2087" s="124"/>
      <c r="AI2087" s="74"/>
      <c r="AJ2087" s="240"/>
      <c r="AL2087" s="124"/>
      <c r="AM2087" s="74"/>
      <c r="AP2087" s="125"/>
      <c r="AQ2087" s="241"/>
      <c r="AR2087" s="125"/>
      <c r="AS2087" s="125"/>
      <c r="AT2087" s="238"/>
      <c r="AU2087" s="125"/>
      <c r="AV2087" s="125"/>
      <c r="AW2087" s="125"/>
      <c r="AX2087" s="238"/>
      <c r="AY2087" s="125"/>
      <c r="AZ2087" s="125"/>
      <c r="BA2087" s="125"/>
    </row>
    <row r="2088" spans="2:53" s="123" customFormat="1">
      <c r="B2088" s="125"/>
      <c r="D2088" s="125"/>
      <c r="I2088" s="125"/>
      <c r="Z2088" s="124"/>
      <c r="AA2088" s="74"/>
      <c r="AB2088" s="240"/>
      <c r="AD2088" s="124"/>
      <c r="AE2088" s="238"/>
      <c r="AF2088" s="239"/>
      <c r="AG2088" s="239"/>
      <c r="AH2088" s="124"/>
      <c r="AI2088" s="74"/>
      <c r="AJ2088" s="240"/>
      <c r="AL2088" s="124"/>
      <c r="AM2088" s="74"/>
      <c r="AP2088" s="125"/>
      <c r="AQ2088" s="241"/>
      <c r="AR2088" s="125"/>
      <c r="AS2088" s="125"/>
      <c r="AT2088" s="238"/>
      <c r="AU2088" s="125"/>
      <c r="AV2088" s="125"/>
      <c r="AW2088" s="125"/>
      <c r="AX2088" s="238"/>
      <c r="AY2088" s="125"/>
      <c r="AZ2088" s="125"/>
      <c r="BA2088" s="125"/>
    </row>
    <row r="2089" spans="2:53" s="123" customFormat="1">
      <c r="B2089" s="125"/>
      <c r="D2089" s="125"/>
      <c r="I2089" s="125"/>
      <c r="Z2089" s="124"/>
      <c r="AA2089" s="74"/>
      <c r="AB2089" s="240"/>
      <c r="AD2089" s="124"/>
      <c r="AE2089" s="238"/>
      <c r="AF2089" s="239"/>
      <c r="AG2089" s="239"/>
      <c r="AH2089" s="124"/>
      <c r="AI2089" s="74"/>
      <c r="AJ2089" s="240"/>
      <c r="AL2089" s="124"/>
      <c r="AM2089" s="74"/>
      <c r="AP2089" s="125"/>
      <c r="AQ2089" s="241"/>
      <c r="AR2089" s="125"/>
      <c r="AS2089" s="125"/>
      <c r="AT2089" s="238"/>
      <c r="AU2089" s="125"/>
      <c r="AV2089" s="125"/>
      <c r="AW2089" s="125"/>
      <c r="AX2089" s="238"/>
      <c r="AY2089" s="125"/>
      <c r="AZ2089" s="125"/>
      <c r="BA2089" s="125"/>
    </row>
    <row r="2090" spans="2:53" s="123" customFormat="1">
      <c r="B2090" s="125"/>
      <c r="D2090" s="125"/>
      <c r="I2090" s="125"/>
      <c r="Z2090" s="124"/>
      <c r="AA2090" s="74"/>
      <c r="AB2090" s="240"/>
      <c r="AD2090" s="124"/>
      <c r="AE2090" s="238"/>
      <c r="AF2090" s="239"/>
      <c r="AG2090" s="239"/>
      <c r="AH2090" s="124"/>
      <c r="AI2090" s="74"/>
      <c r="AJ2090" s="240"/>
      <c r="AL2090" s="124"/>
      <c r="AM2090" s="74"/>
      <c r="AP2090" s="125"/>
      <c r="AQ2090" s="241"/>
      <c r="AR2090" s="125"/>
      <c r="AS2090" s="125"/>
      <c r="AT2090" s="238"/>
      <c r="AU2090" s="125"/>
      <c r="AV2090" s="125"/>
      <c r="AW2090" s="125"/>
      <c r="AX2090" s="238"/>
      <c r="AY2090" s="125"/>
      <c r="AZ2090" s="125"/>
      <c r="BA2090" s="125"/>
    </row>
    <row r="2091" spans="2:53" s="123" customFormat="1">
      <c r="B2091" s="125"/>
      <c r="D2091" s="125"/>
      <c r="I2091" s="125"/>
      <c r="Z2091" s="124"/>
      <c r="AA2091" s="74"/>
      <c r="AB2091" s="240"/>
      <c r="AD2091" s="124"/>
      <c r="AE2091" s="238"/>
      <c r="AF2091" s="239"/>
      <c r="AG2091" s="239"/>
      <c r="AH2091" s="124"/>
      <c r="AI2091" s="74"/>
      <c r="AJ2091" s="240"/>
      <c r="AL2091" s="124"/>
      <c r="AM2091" s="74"/>
      <c r="AP2091" s="125"/>
      <c r="AQ2091" s="241"/>
      <c r="AR2091" s="125"/>
      <c r="AS2091" s="125"/>
      <c r="AT2091" s="238"/>
      <c r="AU2091" s="125"/>
      <c r="AV2091" s="125"/>
      <c r="AW2091" s="125"/>
      <c r="AX2091" s="238"/>
      <c r="AY2091" s="125"/>
      <c r="AZ2091" s="125"/>
      <c r="BA2091" s="125"/>
    </row>
    <row r="2092" spans="2:53" s="123" customFormat="1">
      <c r="B2092" s="125"/>
      <c r="D2092" s="125"/>
      <c r="I2092" s="125"/>
      <c r="Z2092" s="124"/>
      <c r="AA2092" s="74"/>
      <c r="AB2092" s="240"/>
      <c r="AD2092" s="124"/>
      <c r="AE2092" s="238"/>
      <c r="AF2092" s="239"/>
      <c r="AG2092" s="239"/>
      <c r="AH2092" s="124"/>
      <c r="AI2092" s="74"/>
      <c r="AJ2092" s="240"/>
      <c r="AL2092" s="124"/>
      <c r="AM2092" s="74"/>
      <c r="AP2092" s="125"/>
      <c r="AQ2092" s="241"/>
      <c r="AR2092" s="125"/>
      <c r="AS2092" s="125"/>
      <c r="AT2092" s="238"/>
      <c r="AU2092" s="125"/>
      <c r="AV2092" s="125"/>
      <c r="AW2092" s="125"/>
      <c r="AX2092" s="238"/>
      <c r="AY2092" s="125"/>
      <c r="AZ2092" s="125"/>
      <c r="BA2092" s="125"/>
    </row>
    <row r="2093" spans="2:53" s="123" customFormat="1">
      <c r="B2093" s="125"/>
      <c r="D2093" s="125"/>
      <c r="I2093" s="125"/>
      <c r="Z2093" s="124"/>
      <c r="AA2093" s="74"/>
      <c r="AB2093" s="240"/>
      <c r="AD2093" s="124"/>
      <c r="AE2093" s="238"/>
      <c r="AF2093" s="239"/>
      <c r="AG2093" s="239"/>
      <c r="AH2093" s="124"/>
      <c r="AI2093" s="74"/>
      <c r="AJ2093" s="240"/>
      <c r="AL2093" s="124"/>
      <c r="AM2093" s="74"/>
      <c r="AP2093" s="125"/>
      <c r="AQ2093" s="241"/>
      <c r="AR2093" s="125"/>
      <c r="AS2093" s="125"/>
      <c r="AT2093" s="238"/>
      <c r="AU2093" s="125"/>
      <c r="AV2093" s="125"/>
      <c r="AW2093" s="125"/>
      <c r="AX2093" s="238"/>
      <c r="AY2093" s="125"/>
      <c r="AZ2093" s="125"/>
      <c r="BA2093" s="125"/>
    </row>
    <row r="2094" spans="2:53" s="123" customFormat="1">
      <c r="B2094" s="125"/>
      <c r="D2094" s="125"/>
      <c r="I2094" s="125"/>
      <c r="Z2094" s="124"/>
      <c r="AA2094" s="74"/>
      <c r="AB2094" s="240"/>
      <c r="AD2094" s="124"/>
      <c r="AE2094" s="238"/>
      <c r="AF2094" s="239"/>
      <c r="AG2094" s="239"/>
      <c r="AH2094" s="124"/>
      <c r="AI2094" s="74"/>
      <c r="AJ2094" s="240"/>
      <c r="AL2094" s="124"/>
      <c r="AM2094" s="74"/>
      <c r="AP2094" s="125"/>
      <c r="AQ2094" s="241"/>
      <c r="AR2094" s="125"/>
      <c r="AS2094" s="125"/>
      <c r="AT2094" s="238"/>
      <c r="AU2094" s="125"/>
      <c r="AV2094" s="125"/>
      <c r="AW2094" s="125"/>
      <c r="AX2094" s="238"/>
      <c r="AY2094" s="125"/>
      <c r="AZ2094" s="125"/>
      <c r="BA2094" s="125"/>
    </row>
    <row r="2095" spans="2:53" s="123" customFormat="1">
      <c r="B2095" s="125"/>
      <c r="D2095" s="125"/>
      <c r="I2095" s="125"/>
      <c r="Z2095" s="124"/>
      <c r="AA2095" s="74"/>
      <c r="AB2095" s="240"/>
      <c r="AD2095" s="124"/>
      <c r="AE2095" s="238"/>
      <c r="AF2095" s="239"/>
      <c r="AG2095" s="239"/>
      <c r="AH2095" s="124"/>
      <c r="AI2095" s="74"/>
      <c r="AJ2095" s="240"/>
      <c r="AL2095" s="124"/>
      <c r="AM2095" s="74"/>
      <c r="AP2095" s="125"/>
      <c r="AQ2095" s="241"/>
      <c r="AR2095" s="125"/>
      <c r="AS2095" s="125"/>
      <c r="AT2095" s="238"/>
      <c r="AU2095" s="125"/>
      <c r="AV2095" s="125"/>
      <c r="AW2095" s="125"/>
      <c r="AX2095" s="238"/>
      <c r="AY2095" s="125"/>
      <c r="AZ2095" s="125"/>
      <c r="BA2095" s="125"/>
    </row>
    <row r="2096" spans="2:53" s="123" customFormat="1">
      <c r="B2096" s="125"/>
      <c r="D2096" s="125"/>
      <c r="I2096" s="125"/>
      <c r="Z2096" s="124"/>
      <c r="AA2096" s="74"/>
      <c r="AB2096" s="240"/>
      <c r="AD2096" s="124"/>
      <c r="AE2096" s="238"/>
      <c r="AF2096" s="239"/>
      <c r="AG2096" s="239"/>
      <c r="AH2096" s="124"/>
      <c r="AI2096" s="74"/>
      <c r="AJ2096" s="240"/>
      <c r="AL2096" s="124"/>
      <c r="AM2096" s="74"/>
      <c r="AP2096" s="125"/>
      <c r="AQ2096" s="241"/>
      <c r="AR2096" s="125"/>
      <c r="AS2096" s="125"/>
      <c r="AT2096" s="238"/>
      <c r="AU2096" s="125"/>
      <c r="AV2096" s="125"/>
      <c r="AW2096" s="125"/>
      <c r="AX2096" s="238"/>
      <c r="AY2096" s="125"/>
      <c r="AZ2096" s="125"/>
      <c r="BA2096" s="125"/>
    </row>
    <row r="2097" spans="2:53" s="123" customFormat="1">
      <c r="B2097" s="125"/>
      <c r="D2097" s="125"/>
      <c r="I2097" s="125"/>
      <c r="Z2097" s="124"/>
      <c r="AA2097" s="74"/>
      <c r="AB2097" s="240"/>
      <c r="AD2097" s="124"/>
      <c r="AE2097" s="238"/>
      <c r="AF2097" s="239"/>
      <c r="AG2097" s="239"/>
      <c r="AH2097" s="124"/>
      <c r="AI2097" s="74"/>
      <c r="AJ2097" s="240"/>
      <c r="AL2097" s="124"/>
      <c r="AM2097" s="74"/>
      <c r="AP2097" s="125"/>
      <c r="AQ2097" s="241"/>
      <c r="AR2097" s="125"/>
      <c r="AS2097" s="125"/>
      <c r="AT2097" s="238"/>
      <c r="AU2097" s="125"/>
      <c r="AV2097" s="125"/>
      <c r="AW2097" s="125"/>
      <c r="AX2097" s="238"/>
      <c r="AY2097" s="125"/>
      <c r="AZ2097" s="125"/>
      <c r="BA2097" s="125"/>
    </row>
    <row r="2098" spans="2:53" s="123" customFormat="1">
      <c r="B2098" s="125"/>
      <c r="D2098" s="125"/>
      <c r="I2098" s="125"/>
      <c r="Z2098" s="124"/>
      <c r="AA2098" s="74"/>
      <c r="AB2098" s="240"/>
      <c r="AD2098" s="124"/>
      <c r="AE2098" s="238"/>
      <c r="AF2098" s="239"/>
      <c r="AG2098" s="239"/>
      <c r="AH2098" s="124"/>
      <c r="AI2098" s="74"/>
      <c r="AJ2098" s="240"/>
      <c r="AL2098" s="124"/>
      <c r="AM2098" s="74"/>
      <c r="AP2098" s="125"/>
      <c r="AQ2098" s="241"/>
      <c r="AR2098" s="125"/>
      <c r="AS2098" s="125"/>
      <c r="AT2098" s="238"/>
      <c r="AU2098" s="125"/>
      <c r="AV2098" s="125"/>
      <c r="AW2098" s="125"/>
      <c r="AX2098" s="238"/>
      <c r="AY2098" s="125"/>
      <c r="AZ2098" s="125"/>
      <c r="BA2098" s="125"/>
    </row>
    <row r="2099" spans="2:53" s="123" customFormat="1">
      <c r="B2099" s="125"/>
      <c r="D2099" s="125"/>
      <c r="I2099" s="125"/>
      <c r="Z2099" s="124"/>
      <c r="AA2099" s="74"/>
      <c r="AB2099" s="240"/>
      <c r="AD2099" s="124"/>
      <c r="AE2099" s="238"/>
      <c r="AF2099" s="239"/>
      <c r="AG2099" s="239"/>
      <c r="AH2099" s="124"/>
      <c r="AI2099" s="74"/>
      <c r="AJ2099" s="240"/>
      <c r="AL2099" s="124"/>
      <c r="AM2099" s="74"/>
      <c r="AP2099" s="125"/>
      <c r="AQ2099" s="241"/>
      <c r="AR2099" s="125"/>
      <c r="AS2099" s="125"/>
      <c r="AT2099" s="238"/>
      <c r="AU2099" s="125"/>
      <c r="AV2099" s="125"/>
      <c r="AW2099" s="125"/>
      <c r="AX2099" s="238"/>
      <c r="AY2099" s="125"/>
      <c r="AZ2099" s="125"/>
      <c r="BA2099" s="125"/>
    </row>
    <row r="2100" spans="2:53" s="123" customFormat="1">
      <c r="B2100" s="125"/>
      <c r="D2100" s="125"/>
      <c r="I2100" s="125"/>
      <c r="Z2100" s="124"/>
      <c r="AA2100" s="74"/>
      <c r="AB2100" s="240"/>
      <c r="AD2100" s="124"/>
      <c r="AE2100" s="238"/>
      <c r="AF2100" s="239"/>
      <c r="AG2100" s="239"/>
      <c r="AH2100" s="124"/>
      <c r="AI2100" s="74"/>
      <c r="AJ2100" s="240"/>
      <c r="AL2100" s="124"/>
      <c r="AM2100" s="74"/>
      <c r="AP2100" s="125"/>
      <c r="AQ2100" s="241"/>
      <c r="AR2100" s="125"/>
      <c r="AS2100" s="125"/>
      <c r="AT2100" s="238"/>
      <c r="AU2100" s="125"/>
      <c r="AV2100" s="125"/>
      <c r="AW2100" s="125"/>
      <c r="AX2100" s="238"/>
      <c r="AY2100" s="125"/>
      <c r="AZ2100" s="125"/>
      <c r="BA2100" s="125"/>
    </row>
    <row r="2101" spans="2:53" s="123" customFormat="1">
      <c r="B2101" s="125"/>
      <c r="D2101" s="125"/>
      <c r="I2101" s="125"/>
      <c r="Z2101" s="124"/>
      <c r="AA2101" s="74"/>
      <c r="AB2101" s="240"/>
      <c r="AD2101" s="124"/>
      <c r="AE2101" s="238"/>
      <c r="AF2101" s="239"/>
      <c r="AG2101" s="239"/>
      <c r="AH2101" s="124"/>
      <c r="AI2101" s="74"/>
      <c r="AJ2101" s="240"/>
      <c r="AL2101" s="124"/>
      <c r="AM2101" s="74"/>
      <c r="AP2101" s="125"/>
      <c r="AQ2101" s="241"/>
      <c r="AR2101" s="125"/>
      <c r="AS2101" s="125"/>
      <c r="AT2101" s="238"/>
      <c r="AU2101" s="125"/>
      <c r="AV2101" s="125"/>
      <c r="AW2101" s="125"/>
      <c r="AX2101" s="238"/>
      <c r="AY2101" s="125"/>
      <c r="AZ2101" s="125"/>
      <c r="BA2101" s="125"/>
    </row>
    <row r="2102" spans="2:53" s="123" customFormat="1">
      <c r="B2102" s="125"/>
      <c r="D2102" s="125"/>
      <c r="I2102" s="125"/>
      <c r="Z2102" s="124"/>
      <c r="AA2102" s="74"/>
      <c r="AB2102" s="240"/>
      <c r="AD2102" s="124"/>
      <c r="AE2102" s="238"/>
      <c r="AF2102" s="239"/>
      <c r="AG2102" s="239"/>
      <c r="AH2102" s="124"/>
      <c r="AI2102" s="74"/>
      <c r="AJ2102" s="240"/>
      <c r="AL2102" s="124"/>
      <c r="AM2102" s="74"/>
      <c r="AP2102" s="125"/>
      <c r="AQ2102" s="241"/>
      <c r="AR2102" s="125"/>
      <c r="AS2102" s="125"/>
      <c r="AT2102" s="238"/>
      <c r="AU2102" s="125"/>
      <c r="AV2102" s="125"/>
      <c r="AW2102" s="125"/>
      <c r="AX2102" s="238"/>
      <c r="AY2102" s="125"/>
      <c r="AZ2102" s="125"/>
      <c r="BA2102" s="125"/>
    </row>
    <row r="2103" spans="2:53" s="123" customFormat="1">
      <c r="B2103" s="125"/>
      <c r="D2103" s="125"/>
      <c r="I2103" s="125"/>
      <c r="Z2103" s="124"/>
      <c r="AA2103" s="74"/>
      <c r="AB2103" s="240"/>
      <c r="AD2103" s="124"/>
      <c r="AE2103" s="238"/>
      <c r="AF2103" s="239"/>
      <c r="AG2103" s="239"/>
      <c r="AH2103" s="124"/>
      <c r="AI2103" s="74"/>
      <c r="AJ2103" s="240"/>
      <c r="AL2103" s="124"/>
      <c r="AM2103" s="74"/>
      <c r="AP2103" s="125"/>
      <c r="AQ2103" s="241"/>
      <c r="AR2103" s="125"/>
      <c r="AS2103" s="125"/>
      <c r="AT2103" s="238"/>
      <c r="AU2103" s="125"/>
      <c r="AV2103" s="125"/>
      <c r="AW2103" s="125"/>
      <c r="AX2103" s="238"/>
      <c r="AY2103" s="125"/>
      <c r="AZ2103" s="125"/>
      <c r="BA2103" s="125"/>
    </row>
    <row r="2104" spans="2:53" s="123" customFormat="1">
      <c r="B2104" s="125"/>
      <c r="D2104" s="125"/>
      <c r="I2104" s="125"/>
      <c r="Z2104" s="124"/>
      <c r="AA2104" s="74"/>
      <c r="AB2104" s="240"/>
      <c r="AD2104" s="124"/>
      <c r="AE2104" s="238"/>
      <c r="AF2104" s="239"/>
      <c r="AG2104" s="239"/>
      <c r="AH2104" s="124"/>
      <c r="AI2104" s="74"/>
      <c r="AJ2104" s="240"/>
      <c r="AL2104" s="124"/>
      <c r="AM2104" s="74"/>
      <c r="AP2104" s="125"/>
      <c r="AQ2104" s="241"/>
      <c r="AR2104" s="125"/>
      <c r="AS2104" s="125"/>
      <c r="AT2104" s="238"/>
      <c r="AU2104" s="125"/>
      <c r="AV2104" s="125"/>
      <c r="AW2104" s="125"/>
      <c r="AX2104" s="238"/>
      <c r="AY2104" s="125"/>
      <c r="AZ2104" s="125"/>
      <c r="BA2104" s="125"/>
    </row>
    <row r="2105" spans="2:53" s="123" customFormat="1">
      <c r="B2105" s="125"/>
      <c r="D2105" s="125"/>
      <c r="I2105" s="125"/>
      <c r="Z2105" s="124"/>
      <c r="AA2105" s="74"/>
      <c r="AB2105" s="240"/>
      <c r="AD2105" s="124"/>
      <c r="AE2105" s="238"/>
      <c r="AF2105" s="239"/>
      <c r="AG2105" s="239"/>
      <c r="AH2105" s="124"/>
      <c r="AI2105" s="74"/>
      <c r="AJ2105" s="240"/>
      <c r="AL2105" s="124"/>
      <c r="AM2105" s="74"/>
      <c r="AP2105" s="125"/>
      <c r="AQ2105" s="241"/>
      <c r="AR2105" s="125"/>
      <c r="AS2105" s="125"/>
      <c r="AT2105" s="238"/>
      <c r="AU2105" s="125"/>
      <c r="AV2105" s="125"/>
      <c r="AW2105" s="125"/>
      <c r="AX2105" s="238"/>
      <c r="AY2105" s="125"/>
      <c r="AZ2105" s="125"/>
      <c r="BA2105" s="125"/>
    </row>
    <row r="2106" spans="2:53" s="123" customFormat="1">
      <c r="B2106" s="125"/>
      <c r="D2106" s="125"/>
      <c r="I2106" s="125"/>
      <c r="Z2106" s="124"/>
      <c r="AA2106" s="74"/>
      <c r="AB2106" s="240"/>
      <c r="AD2106" s="124"/>
      <c r="AE2106" s="238"/>
      <c r="AF2106" s="239"/>
      <c r="AG2106" s="239"/>
      <c r="AH2106" s="124"/>
      <c r="AI2106" s="74"/>
      <c r="AJ2106" s="240"/>
      <c r="AL2106" s="124"/>
      <c r="AM2106" s="74"/>
      <c r="AP2106" s="125"/>
      <c r="AQ2106" s="241"/>
      <c r="AR2106" s="125"/>
      <c r="AS2106" s="125"/>
      <c r="AT2106" s="238"/>
      <c r="AU2106" s="125"/>
      <c r="AV2106" s="125"/>
      <c r="AW2106" s="125"/>
      <c r="AX2106" s="238"/>
      <c r="AY2106" s="125"/>
      <c r="AZ2106" s="125"/>
      <c r="BA2106" s="125"/>
    </row>
    <row r="2107" spans="2:53" s="123" customFormat="1">
      <c r="B2107" s="125"/>
      <c r="D2107" s="125"/>
      <c r="I2107" s="125"/>
      <c r="Z2107" s="124"/>
      <c r="AA2107" s="74"/>
      <c r="AB2107" s="240"/>
      <c r="AD2107" s="124"/>
      <c r="AE2107" s="238"/>
      <c r="AF2107" s="239"/>
      <c r="AG2107" s="239"/>
      <c r="AH2107" s="124"/>
      <c r="AI2107" s="74"/>
      <c r="AJ2107" s="240"/>
      <c r="AL2107" s="124"/>
      <c r="AM2107" s="74"/>
      <c r="AP2107" s="125"/>
      <c r="AQ2107" s="241"/>
      <c r="AR2107" s="125"/>
      <c r="AS2107" s="125"/>
      <c r="AT2107" s="238"/>
      <c r="AU2107" s="125"/>
      <c r="AV2107" s="125"/>
      <c r="AW2107" s="125"/>
      <c r="AX2107" s="238"/>
      <c r="AY2107" s="125"/>
      <c r="AZ2107" s="125"/>
      <c r="BA2107" s="125"/>
    </row>
    <row r="2108" spans="2:53" s="123" customFormat="1">
      <c r="B2108" s="125"/>
      <c r="D2108" s="125"/>
      <c r="I2108" s="125"/>
      <c r="Z2108" s="124"/>
      <c r="AA2108" s="74"/>
      <c r="AB2108" s="240"/>
      <c r="AD2108" s="124"/>
      <c r="AE2108" s="238"/>
      <c r="AF2108" s="239"/>
      <c r="AG2108" s="239"/>
      <c r="AH2108" s="124"/>
      <c r="AI2108" s="74"/>
      <c r="AJ2108" s="240"/>
      <c r="AL2108" s="124"/>
      <c r="AM2108" s="74"/>
      <c r="AP2108" s="125"/>
      <c r="AQ2108" s="241"/>
      <c r="AR2108" s="125"/>
      <c r="AS2108" s="125"/>
      <c r="AT2108" s="238"/>
      <c r="AU2108" s="125"/>
      <c r="AV2108" s="125"/>
      <c r="AW2108" s="125"/>
      <c r="AX2108" s="238"/>
      <c r="AY2108" s="125"/>
      <c r="AZ2108" s="125"/>
      <c r="BA2108" s="125"/>
    </row>
    <row r="2109" spans="2:53" s="123" customFormat="1">
      <c r="B2109" s="125"/>
      <c r="D2109" s="125"/>
      <c r="I2109" s="125"/>
      <c r="Z2109" s="124"/>
      <c r="AA2109" s="74"/>
      <c r="AB2109" s="240"/>
      <c r="AD2109" s="124"/>
      <c r="AE2109" s="238"/>
      <c r="AF2109" s="239"/>
      <c r="AG2109" s="239"/>
      <c r="AH2109" s="124"/>
      <c r="AI2109" s="74"/>
      <c r="AJ2109" s="240"/>
      <c r="AL2109" s="124"/>
      <c r="AM2109" s="74"/>
      <c r="AP2109" s="125"/>
      <c r="AQ2109" s="241"/>
      <c r="AR2109" s="125"/>
      <c r="AS2109" s="125"/>
      <c r="AT2109" s="238"/>
      <c r="AU2109" s="125"/>
      <c r="AV2109" s="125"/>
      <c r="AW2109" s="125"/>
      <c r="AX2109" s="238"/>
      <c r="AY2109" s="125"/>
      <c r="AZ2109" s="125"/>
      <c r="BA2109" s="125"/>
    </row>
    <row r="2110" spans="2:53" s="123" customFormat="1">
      <c r="B2110" s="125"/>
      <c r="D2110" s="125"/>
      <c r="I2110" s="125"/>
      <c r="Z2110" s="124"/>
      <c r="AA2110" s="74"/>
      <c r="AB2110" s="240"/>
      <c r="AD2110" s="124"/>
      <c r="AE2110" s="238"/>
      <c r="AF2110" s="239"/>
      <c r="AG2110" s="239"/>
      <c r="AH2110" s="124"/>
      <c r="AI2110" s="74"/>
      <c r="AJ2110" s="240"/>
      <c r="AL2110" s="124"/>
      <c r="AM2110" s="74"/>
      <c r="AP2110" s="125"/>
      <c r="AQ2110" s="241"/>
      <c r="AR2110" s="125"/>
      <c r="AS2110" s="125"/>
      <c r="AT2110" s="238"/>
      <c r="AU2110" s="125"/>
      <c r="AV2110" s="125"/>
      <c r="AW2110" s="125"/>
      <c r="AX2110" s="238"/>
      <c r="AY2110" s="125"/>
      <c r="AZ2110" s="125"/>
      <c r="BA2110" s="125"/>
    </row>
    <row r="2111" spans="2:53" s="123" customFormat="1">
      <c r="B2111" s="125"/>
      <c r="D2111" s="125"/>
      <c r="I2111" s="125"/>
      <c r="Z2111" s="124"/>
      <c r="AA2111" s="74"/>
      <c r="AB2111" s="240"/>
      <c r="AD2111" s="124"/>
      <c r="AE2111" s="238"/>
      <c r="AF2111" s="239"/>
      <c r="AG2111" s="239"/>
      <c r="AH2111" s="124"/>
      <c r="AI2111" s="74"/>
      <c r="AJ2111" s="240"/>
      <c r="AL2111" s="124"/>
      <c r="AM2111" s="74"/>
      <c r="AP2111" s="125"/>
      <c r="AQ2111" s="241"/>
      <c r="AR2111" s="125"/>
      <c r="AS2111" s="125"/>
      <c r="AT2111" s="238"/>
      <c r="AU2111" s="125"/>
      <c r="AV2111" s="125"/>
      <c r="AW2111" s="125"/>
      <c r="AX2111" s="238"/>
      <c r="AY2111" s="125"/>
      <c r="AZ2111" s="125"/>
      <c r="BA2111" s="125"/>
    </row>
    <row r="2112" spans="2:53" s="123" customFormat="1">
      <c r="B2112" s="125"/>
      <c r="D2112" s="125"/>
      <c r="I2112" s="125"/>
      <c r="Z2112" s="124"/>
      <c r="AA2112" s="74"/>
      <c r="AB2112" s="240"/>
      <c r="AD2112" s="124"/>
      <c r="AE2112" s="238"/>
      <c r="AF2112" s="239"/>
      <c r="AG2112" s="239"/>
      <c r="AH2112" s="124"/>
      <c r="AI2112" s="74"/>
      <c r="AJ2112" s="240"/>
      <c r="AL2112" s="124"/>
      <c r="AM2112" s="74"/>
      <c r="AP2112" s="125"/>
      <c r="AQ2112" s="241"/>
      <c r="AR2112" s="125"/>
      <c r="AS2112" s="125"/>
      <c r="AT2112" s="238"/>
      <c r="AU2112" s="125"/>
      <c r="AV2112" s="125"/>
      <c r="AW2112" s="125"/>
      <c r="AX2112" s="238"/>
      <c r="AY2112" s="125"/>
      <c r="AZ2112" s="125"/>
      <c r="BA2112" s="125"/>
    </row>
    <row r="2113" spans="2:53" s="123" customFormat="1">
      <c r="B2113" s="125"/>
      <c r="D2113" s="125"/>
      <c r="I2113" s="125"/>
      <c r="Z2113" s="124"/>
      <c r="AA2113" s="74"/>
      <c r="AB2113" s="240"/>
      <c r="AD2113" s="124"/>
      <c r="AE2113" s="238"/>
      <c r="AF2113" s="239"/>
      <c r="AG2113" s="239"/>
      <c r="AH2113" s="124"/>
      <c r="AI2113" s="74"/>
      <c r="AJ2113" s="240"/>
      <c r="AL2113" s="124"/>
      <c r="AM2113" s="74"/>
      <c r="AP2113" s="125"/>
      <c r="AQ2113" s="241"/>
      <c r="AR2113" s="125"/>
      <c r="AS2113" s="125"/>
      <c r="AT2113" s="238"/>
      <c r="AU2113" s="125"/>
      <c r="AV2113" s="125"/>
      <c r="AW2113" s="125"/>
      <c r="AX2113" s="238"/>
      <c r="AY2113" s="125"/>
      <c r="AZ2113" s="125"/>
      <c r="BA2113" s="125"/>
    </row>
    <row r="2114" spans="2:53" s="123" customFormat="1">
      <c r="B2114" s="125"/>
      <c r="D2114" s="125"/>
      <c r="I2114" s="125"/>
      <c r="Z2114" s="124"/>
      <c r="AA2114" s="74"/>
      <c r="AB2114" s="240"/>
      <c r="AD2114" s="124"/>
      <c r="AE2114" s="238"/>
      <c r="AF2114" s="239"/>
      <c r="AG2114" s="239"/>
      <c r="AH2114" s="124"/>
      <c r="AI2114" s="74"/>
      <c r="AJ2114" s="240"/>
      <c r="AL2114" s="124"/>
      <c r="AM2114" s="74"/>
      <c r="AP2114" s="125"/>
      <c r="AQ2114" s="241"/>
      <c r="AR2114" s="125"/>
      <c r="AS2114" s="125"/>
      <c r="AT2114" s="238"/>
      <c r="AU2114" s="125"/>
      <c r="AV2114" s="125"/>
      <c r="AW2114" s="125"/>
      <c r="AX2114" s="238"/>
      <c r="AY2114" s="125"/>
      <c r="AZ2114" s="125"/>
      <c r="BA2114" s="125"/>
    </row>
    <row r="2115" spans="2:53" s="123" customFormat="1">
      <c r="B2115" s="125"/>
      <c r="D2115" s="125"/>
      <c r="I2115" s="125"/>
      <c r="Z2115" s="124"/>
      <c r="AA2115" s="74"/>
      <c r="AB2115" s="240"/>
      <c r="AD2115" s="124"/>
      <c r="AE2115" s="238"/>
      <c r="AF2115" s="239"/>
      <c r="AG2115" s="239"/>
      <c r="AH2115" s="124"/>
      <c r="AI2115" s="74"/>
      <c r="AJ2115" s="240"/>
      <c r="AL2115" s="124"/>
      <c r="AM2115" s="74"/>
      <c r="AP2115" s="125"/>
      <c r="AQ2115" s="241"/>
      <c r="AR2115" s="125"/>
      <c r="AS2115" s="125"/>
      <c r="AT2115" s="238"/>
      <c r="AU2115" s="125"/>
      <c r="AV2115" s="125"/>
      <c r="AW2115" s="125"/>
      <c r="AX2115" s="238"/>
      <c r="AY2115" s="125"/>
      <c r="AZ2115" s="125"/>
      <c r="BA2115" s="125"/>
    </row>
    <row r="2116" spans="2:53" s="123" customFormat="1">
      <c r="B2116" s="125"/>
      <c r="D2116" s="125"/>
      <c r="I2116" s="125"/>
      <c r="Z2116" s="124"/>
      <c r="AA2116" s="74"/>
      <c r="AB2116" s="240"/>
      <c r="AD2116" s="124"/>
      <c r="AE2116" s="238"/>
      <c r="AF2116" s="239"/>
      <c r="AG2116" s="239"/>
      <c r="AH2116" s="124"/>
      <c r="AI2116" s="74"/>
      <c r="AJ2116" s="240"/>
      <c r="AL2116" s="124"/>
      <c r="AM2116" s="74"/>
      <c r="AP2116" s="125"/>
      <c r="AQ2116" s="241"/>
      <c r="AR2116" s="125"/>
      <c r="AS2116" s="125"/>
      <c r="AT2116" s="238"/>
      <c r="AU2116" s="125"/>
      <c r="AV2116" s="125"/>
      <c r="AW2116" s="125"/>
      <c r="AX2116" s="238"/>
      <c r="AY2116" s="125"/>
      <c r="AZ2116" s="125"/>
      <c r="BA2116" s="125"/>
    </row>
    <row r="2117" spans="2:53" s="123" customFormat="1">
      <c r="B2117" s="125"/>
      <c r="D2117" s="125"/>
      <c r="I2117" s="125"/>
      <c r="Z2117" s="124"/>
      <c r="AA2117" s="74"/>
      <c r="AB2117" s="240"/>
      <c r="AD2117" s="124"/>
      <c r="AE2117" s="238"/>
      <c r="AF2117" s="239"/>
      <c r="AG2117" s="239"/>
      <c r="AH2117" s="124"/>
      <c r="AI2117" s="74"/>
      <c r="AJ2117" s="240"/>
      <c r="AL2117" s="124"/>
      <c r="AM2117" s="74"/>
      <c r="AP2117" s="125"/>
      <c r="AQ2117" s="241"/>
      <c r="AR2117" s="125"/>
      <c r="AS2117" s="125"/>
      <c r="AT2117" s="238"/>
      <c r="AU2117" s="125"/>
      <c r="AV2117" s="125"/>
      <c r="AW2117" s="125"/>
      <c r="AX2117" s="238"/>
      <c r="AY2117" s="125"/>
      <c r="AZ2117" s="125"/>
      <c r="BA2117" s="125"/>
    </row>
    <row r="2118" spans="2:53" s="123" customFormat="1">
      <c r="B2118" s="125"/>
      <c r="D2118" s="125"/>
      <c r="I2118" s="125"/>
      <c r="Z2118" s="124"/>
      <c r="AA2118" s="74"/>
      <c r="AB2118" s="240"/>
      <c r="AD2118" s="124"/>
      <c r="AE2118" s="238"/>
      <c r="AF2118" s="239"/>
      <c r="AG2118" s="239"/>
      <c r="AH2118" s="124"/>
      <c r="AI2118" s="74"/>
      <c r="AJ2118" s="240"/>
      <c r="AL2118" s="124"/>
      <c r="AM2118" s="74"/>
      <c r="AP2118" s="125"/>
      <c r="AQ2118" s="241"/>
      <c r="AR2118" s="125"/>
      <c r="AS2118" s="125"/>
      <c r="AT2118" s="238"/>
      <c r="AU2118" s="125"/>
      <c r="AV2118" s="125"/>
      <c r="AW2118" s="125"/>
      <c r="AX2118" s="238"/>
      <c r="AY2118" s="125"/>
      <c r="AZ2118" s="125"/>
      <c r="BA2118" s="125"/>
    </row>
    <row r="2119" spans="2:53" s="123" customFormat="1">
      <c r="B2119" s="125"/>
      <c r="D2119" s="125"/>
      <c r="I2119" s="125"/>
      <c r="Z2119" s="124"/>
      <c r="AA2119" s="74"/>
      <c r="AB2119" s="240"/>
      <c r="AD2119" s="124"/>
      <c r="AE2119" s="238"/>
      <c r="AF2119" s="239"/>
      <c r="AG2119" s="239"/>
      <c r="AH2119" s="124"/>
      <c r="AI2119" s="74"/>
      <c r="AJ2119" s="240"/>
      <c r="AL2119" s="124"/>
      <c r="AM2119" s="74"/>
      <c r="AP2119" s="125"/>
      <c r="AQ2119" s="241"/>
      <c r="AR2119" s="125"/>
      <c r="AS2119" s="125"/>
      <c r="AT2119" s="238"/>
      <c r="AU2119" s="125"/>
      <c r="AV2119" s="125"/>
      <c r="AW2119" s="125"/>
      <c r="AX2119" s="238"/>
      <c r="AY2119" s="125"/>
      <c r="AZ2119" s="125"/>
      <c r="BA2119" s="125"/>
    </row>
    <row r="2120" spans="2:53" s="123" customFormat="1">
      <c r="B2120" s="125"/>
      <c r="D2120" s="125"/>
      <c r="I2120" s="125"/>
      <c r="Z2120" s="124"/>
      <c r="AA2120" s="74"/>
      <c r="AB2120" s="240"/>
      <c r="AD2120" s="124"/>
      <c r="AE2120" s="238"/>
      <c r="AF2120" s="239"/>
      <c r="AG2120" s="239"/>
      <c r="AH2120" s="124"/>
      <c r="AI2120" s="74"/>
      <c r="AJ2120" s="240"/>
      <c r="AL2120" s="124"/>
      <c r="AM2120" s="74"/>
      <c r="AP2120" s="125"/>
      <c r="AQ2120" s="241"/>
      <c r="AR2120" s="125"/>
      <c r="AS2120" s="125"/>
      <c r="AT2120" s="238"/>
      <c r="AU2120" s="125"/>
      <c r="AV2120" s="125"/>
      <c r="AW2120" s="125"/>
      <c r="AX2120" s="238"/>
      <c r="AY2120" s="125"/>
      <c r="AZ2120" s="125"/>
      <c r="BA2120" s="125"/>
    </row>
    <row r="2121" spans="2:53" s="123" customFormat="1">
      <c r="B2121" s="125"/>
      <c r="D2121" s="125"/>
      <c r="I2121" s="125"/>
      <c r="Z2121" s="124"/>
      <c r="AA2121" s="74"/>
      <c r="AB2121" s="240"/>
      <c r="AD2121" s="124"/>
      <c r="AE2121" s="238"/>
      <c r="AF2121" s="239"/>
      <c r="AG2121" s="239"/>
      <c r="AH2121" s="124"/>
      <c r="AI2121" s="74"/>
      <c r="AJ2121" s="240"/>
      <c r="AL2121" s="124"/>
      <c r="AM2121" s="74"/>
      <c r="AP2121" s="125"/>
      <c r="AQ2121" s="241"/>
      <c r="AR2121" s="125"/>
      <c r="AS2121" s="125"/>
      <c r="AT2121" s="238"/>
      <c r="AU2121" s="125"/>
      <c r="AV2121" s="125"/>
      <c r="AW2121" s="125"/>
      <c r="AX2121" s="238"/>
      <c r="AY2121" s="125"/>
      <c r="AZ2121" s="125"/>
      <c r="BA2121" s="125"/>
    </row>
    <row r="2122" spans="2:53" s="123" customFormat="1">
      <c r="B2122" s="125"/>
      <c r="D2122" s="125"/>
      <c r="I2122" s="125"/>
      <c r="Z2122" s="124"/>
      <c r="AA2122" s="74"/>
      <c r="AB2122" s="240"/>
      <c r="AD2122" s="124"/>
      <c r="AE2122" s="238"/>
      <c r="AF2122" s="239"/>
      <c r="AG2122" s="239"/>
      <c r="AH2122" s="124"/>
      <c r="AI2122" s="74"/>
      <c r="AJ2122" s="240"/>
      <c r="AL2122" s="124"/>
      <c r="AM2122" s="74"/>
      <c r="AP2122" s="125"/>
      <c r="AQ2122" s="241"/>
      <c r="AR2122" s="125"/>
      <c r="AS2122" s="125"/>
      <c r="AT2122" s="238"/>
      <c r="AU2122" s="125"/>
      <c r="AV2122" s="125"/>
      <c r="AW2122" s="125"/>
      <c r="AX2122" s="238"/>
      <c r="AY2122" s="125"/>
      <c r="AZ2122" s="125"/>
      <c r="BA2122" s="125"/>
    </row>
    <row r="2123" spans="2:53" s="123" customFormat="1">
      <c r="B2123" s="125"/>
      <c r="D2123" s="125"/>
      <c r="I2123" s="125"/>
      <c r="Z2123" s="124"/>
      <c r="AA2123" s="74"/>
      <c r="AB2123" s="240"/>
      <c r="AD2123" s="124"/>
      <c r="AE2123" s="238"/>
      <c r="AF2123" s="239"/>
      <c r="AG2123" s="239"/>
      <c r="AH2123" s="124"/>
      <c r="AI2123" s="74"/>
      <c r="AJ2123" s="240"/>
      <c r="AL2123" s="124"/>
      <c r="AM2123" s="74"/>
      <c r="AP2123" s="125"/>
      <c r="AQ2123" s="241"/>
      <c r="AR2123" s="125"/>
      <c r="AS2123" s="125"/>
      <c r="AT2123" s="238"/>
      <c r="AU2123" s="125"/>
      <c r="AV2123" s="125"/>
      <c r="AW2123" s="125"/>
      <c r="AX2123" s="238"/>
      <c r="AY2123" s="125"/>
      <c r="AZ2123" s="125"/>
      <c r="BA2123" s="125"/>
    </row>
    <row r="2124" spans="2:53" s="123" customFormat="1">
      <c r="B2124" s="125"/>
      <c r="D2124" s="125"/>
      <c r="I2124" s="125"/>
      <c r="Z2124" s="124"/>
      <c r="AA2124" s="74"/>
      <c r="AB2124" s="240"/>
      <c r="AD2124" s="124"/>
      <c r="AE2124" s="238"/>
      <c r="AF2124" s="239"/>
      <c r="AG2124" s="239"/>
      <c r="AH2124" s="124"/>
      <c r="AI2124" s="74"/>
      <c r="AJ2124" s="240"/>
      <c r="AL2124" s="124"/>
      <c r="AM2124" s="74"/>
      <c r="AP2124" s="125"/>
      <c r="AQ2124" s="241"/>
      <c r="AR2124" s="125"/>
      <c r="AS2124" s="125"/>
      <c r="AT2124" s="238"/>
      <c r="AU2124" s="125"/>
      <c r="AV2124" s="125"/>
      <c r="AW2124" s="125"/>
      <c r="AX2124" s="238"/>
      <c r="AY2124" s="125"/>
      <c r="AZ2124" s="125"/>
      <c r="BA2124" s="125"/>
    </row>
    <row r="2125" spans="2:53" s="123" customFormat="1">
      <c r="B2125" s="125"/>
      <c r="D2125" s="125"/>
      <c r="I2125" s="125"/>
      <c r="Z2125" s="124"/>
      <c r="AA2125" s="74"/>
      <c r="AB2125" s="240"/>
      <c r="AD2125" s="124"/>
      <c r="AE2125" s="238"/>
      <c r="AF2125" s="239"/>
      <c r="AG2125" s="239"/>
      <c r="AH2125" s="124"/>
      <c r="AI2125" s="74"/>
      <c r="AJ2125" s="240"/>
      <c r="AL2125" s="124"/>
      <c r="AM2125" s="74"/>
      <c r="AP2125" s="125"/>
      <c r="AQ2125" s="241"/>
      <c r="AR2125" s="125"/>
      <c r="AS2125" s="125"/>
      <c r="AT2125" s="238"/>
      <c r="AU2125" s="125"/>
      <c r="AV2125" s="125"/>
      <c r="AW2125" s="125"/>
      <c r="AX2125" s="238"/>
      <c r="AY2125" s="125"/>
      <c r="AZ2125" s="125"/>
      <c r="BA2125" s="125"/>
    </row>
    <row r="2126" spans="2:53" s="123" customFormat="1">
      <c r="B2126" s="125"/>
      <c r="D2126" s="125"/>
      <c r="I2126" s="125"/>
      <c r="Z2126" s="124"/>
      <c r="AA2126" s="74"/>
      <c r="AB2126" s="240"/>
      <c r="AD2126" s="124"/>
      <c r="AE2126" s="238"/>
      <c r="AF2126" s="239"/>
      <c r="AG2126" s="239"/>
      <c r="AH2126" s="124"/>
      <c r="AI2126" s="74"/>
      <c r="AJ2126" s="240"/>
      <c r="AL2126" s="124"/>
      <c r="AM2126" s="74"/>
      <c r="AP2126" s="125"/>
      <c r="AQ2126" s="241"/>
      <c r="AR2126" s="125"/>
      <c r="AS2126" s="125"/>
      <c r="AT2126" s="238"/>
      <c r="AU2126" s="125"/>
      <c r="AV2126" s="125"/>
      <c r="AW2126" s="125"/>
      <c r="AX2126" s="238"/>
      <c r="AY2126" s="125"/>
      <c r="AZ2126" s="125"/>
      <c r="BA2126" s="125"/>
    </row>
    <row r="2127" spans="2:53" s="123" customFormat="1">
      <c r="B2127" s="125"/>
      <c r="D2127" s="125"/>
      <c r="I2127" s="125"/>
      <c r="Z2127" s="124"/>
      <c r="AA2127" s="74"/>
      <c r="AB2127" s="240"/>
      <c r="AD2127" s="124"/>
      <c r="AE2127" s="238"/>
      <c r="AF2127" s="239"/>
      <c r="AG2127" s="239"/>
      <c r="AH2127" s="124"/>
      <c r="AI2127" s="74"/>
      <c r="AJ2127" s="240"/>
      <c r="AL2127" s="124"/>
      <c r="AM2127" s="74"/>
      <c r="AP2127" s="125"/>
      <c r="AQ2127" s="241"/>
      <c r="AR2127" s="125"/>
      <c r="AS2127" s="125"/>
      <c r="AT2127" s="238"/>
      <c r="AU2127" s="125"/>
      <c r="AV2127" s="125"/>
      <c r="AW2127" s="125"/>
      <c r="AX2127" s="238"/>
      <c r="AY2127" s="125"/>
      <c r="AZ2127" s="125"/>
      <c r="BA2127" s="125"/>
    </row>
    <row r="2128" spans="2:53" s="123" customFormat="1">
      <c r="B2128" s="125"/>
      <c r="D2128" s="125"/>
      <c r="I2128" s="125"/>
      <c r="Z2128" s="124"/>
      <c r="AA2128" s="74"/>
      <c r="AB2128" s="240"/>
      <c r="AD2128" s="124"/>
      <c r="AE2128" s="238"/>
      <c r="AF2128" s="239"/>
      <c r="AG2128" s="239"/>
      <c r="AH2128" s="124"/>
      <c r="AI2128" s="74"/>
      <c r="AJ2128" s="240"/>
      <c r="AL2128" s="124"/>
      <c r="AM2128" s="74"/>
      <c r="AP2128" s="125"/>
      <c r="AQ2128" s="241"/>
      <c r="AR2128" s="125"/>
      <c r="AS2128" s="125"/>
      <c r="AT2128" s="238"/>
      <c r="AU2128" s="125"/>
      <c r="AV2128" s="125"/>
      <c r="AW2128" s="125"/>
      <c r="AX2128" s="238"/>
      <c r="AY2128" s="125"/>
      <c r="AZ2128" s="125"/>
      <c r="BA2128" s="125"/>
    </row>
    <row r="2129" spans="2:53" s="123" customFormat="1">
      <c r="B2129" s="125"/>
      <c r="D2129" s="125"/>
      <c r="I2129" s="125"/>
      <c r="Z2129" s="124"/>
      <c r="AA2129" s="74"/>
      <c r="AB2129" s="240"/>
      <c r="AD2129" s="124"/>
      <c r="AE2129" s="238"/>
      <c r="AF2129" s="239"/>
      <c r="AG2129" s="239"/>
      <c r="AH2129" s="124"/>
      <c r="AI2129" s="74"/>
      <c r="AJ2129" s="240"/>
      <c r="AL2129" s="124"/>
      <c r="AM2129" s="74"/>
      <c r="AP2129" s="125"/>
      <c r="AQ2129" s="241"/>
      <c r="AR2129" s="125"/>
      <c r="AS2129" s="125"/>
      <c r="AT2129" s="238"/>
      <c r="AU2129" s="125"/>
      <c r="AV2129" s="125"/>
      <c r="AW2129" s="125"/>
      <c r="AX2129" s="238"/>
      <c r="AY2129" s="125"/>
      <c r="AZ2129" s="125"/>
      <c r="BA2129" s="125"/>
    </row>
    <row r="2130" spans="2:53" s="123" customFormat="1">
      <c r="B2130" s="125"/>
      <c r="D2130" s="125"/>
      <c r="I2130" s="125"/>
      <c r="Z2130" s="124"/>
      <c r="AA2130" s="74"/>
      <c r="AB2130" s="240"/>
      <c r="AD2130" s="124"/>
      <c r="AE2130" s="238"/>
      <c r="AF2130" s="239"/>
      <c r="AG2130" s="239"/>
      <c r="AH2130" s="124"/>
      <c r="AI2130" s="74"/>
      <c r="AJ2130" s="240"/>
      <c r="AL2130" s="124"/>
      <c r="AM2130" s="74"/>
      <c r="AP2130" s="125"/>
      <c r="AQ2130" s="241"/>
      <c r="AR2130" s="125"/>
      <c r="AS2130" s="125"/>
      <c r="AT2130" s="238"/>
      <c r="AU2130" s="125"/>
      <c r="AV2130" s="125"/>
      <c r="AW2130" s="125"/>
      <c r="AX2130" s="238"/>
      <c r="AY2130" s="125"/>
      <c r="AZ2130" s="125"/>
      <c r="BA2130" s="125"/>
    </row>
    <row r="2131" spans="2:53" s="123" customFormat="1">
      <c r="B2131" s="125"/>
      <c r="D2131" s="125"/>
      <c r="I2131" s="125"/>
      <c r="Z2131" s="124"/>
      <c r="AA2131" s="74"/>
      <c r="AB2131" s="240"/>
      <c r="AD2131" s="124"/>
      <c r="AE2131" s="238"/>
      <c r="AF2131" s="239"/>
      <c r="AG2131" s="239"/>
      <c r="AH2131" s="124"/>
      <c r="AI2131" s="74"/>
      <c r="AJ2131" s="240"/>
      <c r="AL2131" s="124"/>
      <c r="AM2131" s="74"/>
      <c r="AP2131" s="125"/>
      <c r="AQ2131" s="241"/>
      <c r="AR2131" s="125"/>
      <c r="AS2131" s="125"/>
      <c r="AT2131" s="238"/>
      <c r="AU2131" s="125"/>
      <c r="AV2131" s="125"/>
      <c r="AW2131" s="125"/>
      <c r="AX2131" s="238"/>
      <c r="AY2131" s="125"/>
      <c r="AZ2131" s="125"/>
      <c r="BA2131" s="125"/>
    </row>
    <row r="2132" spans="2:53" s="123" customFormat="1">
      <c r="B2132" s="125"/>
      <c r="D2132" s="125"/>
      <c r="I2132" s="125"/>
      <c r="Z2132" s="124"/>
      <c r="AA2132" s="74"/>
      <c r="AB2132" s="240"/>
      <c r="AD2132" s="124"/>
      <c r="AE2132" s="238"/>
      <c r="AF2132" s="239"/>
      <c r="AG2132" s="239"/>
      <c r="AH2132" s="124"/>
      <c r="AI2132" s="74"/>
      <c r="AJ2132" s="240"/>
      <c r="AL2132" s="124"/>
      <c r="AM2132" s="74"/>
      <c r="AP2132" s="125"/>
      <c r="AQ2132" s="241"/>
      <c r="AR2132" s="125"/>
      <c r="AS2132" s="125"/>
      <c r="AT2132" s="238"/>
      <c r="AU2132" s="125"/>
      <c r="AV2132" s="125"/>
      <c r="AW2132" s="125"/>
      <c r="AX2132" s="238"/>
      <c r="AY2132" s="125"/>
      <c r="AZ2132" s="125"/>
      <c r="BA2132" s="125"/>
    </row>
    <row r="2133" spans="2:53" s="123" customFormat="1">
      <c r="B2133" s="125"/>
      <c r="D2133" s="125"/>
      <c r="I2133" s="125"/>
      <c r="Z2133" s="124"/>
      <c r="AA2133" s="74"/>
      <c r="AB2133" s="240"/>
      <c r="AD2133" s="124"/>
      <c r="AE2133" s="238"/>
      <c r="AF2133" s="239"/>
      <c r="AG2133" s="239"/>
      <c r="AH2133" s="124"/>
      <c r="AI2133" s="74"/>
      <c r="AJ2133" s="240"/>
      <c r="AL2133" s="124"/>
      <c r="AM2133" s="74"/>
      <c r="AP2133" s="125"/>
      <c r="AQ2133" s="241"/>
      <c r="AR2133" s="125"/>
      <c r="AS2133" s="125"/>
      <c r="AT2133" s="238"/>
      <c r="AU2133" s="125"/>
      <c r="AV2133" s="125"/>
      <c r="AW2133" s="125"/>
      <c r="AX2133" s="238"/>
      <c r="AY2133" s="125"/>
      <c r="AZ2133" s="125"/>
      <c r="BA2133" s="125"/>
    </row>
    <row r="2134" spans="2:53" s="123" customFormat="1">
      <c r="B2134" s="125"/>
      <c r="D2134" s="125"/>
      <c r="I2134" s="125"/>
      <c r="Z2134" s="124"/>
      <c r="AA2134" s="74"/>
      <c r="AB2134" s="240"/>
      <c r="AD2134" s="124"/>
      <c r="AE2134" s="238"/>
      <c r="AF2134" s="239"/>
      <c r="AG2134" s="239"/>
      <c r="AH2134" s="124"/>
      <c r="AI2134" s="74"/>
      <c r="AJ2134" s="240"/>
      <c r="AL2134" s="124"/>
      <c r="AM2134" s="74"/>
      <c r="AP2134" s="125"/>
      <c r="AQ2134" s="241"/>
      <c r="AR2134" s="125"/>
      <c r="AS2134" s="125"/>
      <c r="AT2134" s="238"/>
      <c r="AU2134" s="125"/>
      <c r="AV2134" s="125"/>
      <c r="AW2134" s="125"/>
      <c r="AX2134" s="238"/>
      <c r="AY2134" s="125"/>
      <c r="AZ2134" s="125"/>
      <c r="BA2134" s="125"/>
    </row>
    <row r="2135" spans="2:53" s="123" customFormat="1">
      <c r="B2135" s="125"/>
      <c r="D2135" s="125"/>
      <c r="I2135" s="125"/>
      <c r="Z2135" s="124"/>
      <c r="AA2135" s="74"/>
      <c r="AB2135" s="240"/>
      <c r="AD2135" s="124"/>
      <c r="AE2135" s="238"/>
      <c r="AF2135" s="239"/>
      <c r="AG2135" s="239"/>
      <c r="AH2135" s="124"/>
      <c r="AI2135" s="74"/>
      <c r="AJ2135" s="240"/>
      <c r="AL2135" s="124"/>
      <c r="AM2135" s="74"/>
      <c r="AP2135" s="125"/>
      <c r="AQ2135" s="241"/>
      <c r="AR2135" s="125"/>
      <c r="AS2135" s="125"/>
      <c r="AT2135" s="238"/>
      <c r="AU2135" s="125"/>
      <c r="AV2135" s="125"/>
      <c r="AW2135" s="125"/>
      <c r="AX2135" s="238"/>
      <c r="AY2135" s="125"/>
      <c r="AZ2135" s="125"/>
      <c r="BA2135" s="125"/>
    </row>
    <row r="2136" spans="2:53" s="123" customFormat="1">
      <c r="B2136" s="125"/>
      <c r="D2136" s="125"/>
      <c r="I2136" s="125"/>
      <c r="Z2136" s="124"/>
      <c r="AA2136" s="74"/>
      <c r="AB2136" s="240"/>
      <c r="AD2136" s="124"/>
      <c r="AE2136" s="238"/>
      <c r="AF2136" s="239"/>
      <c r="AG2136" s="239"/>
      <c r="AH2136" s="124"/>
      <c r="AI2136" s="74"/>
      <c r="AJ2136" s="240"/>
      <c r="AL2136" s="124"/>
      <c r="AM2136" s="74"/>
      <c r="AP2136" s="125"/>
      <c r="AQ2136" s="241"/>
      <c r="AR2136" s="125"/>
      <c r="AS2136" s="125"/>
      <c r="AT2136" s="238"/>
      <c r="AU2136" s="125"/>
      <c r="AV2136" s="125"/>
      <c r="AW2136" s="125"/>
      <c r="AX2136" s="238"/>
      <c r="AY2136" s="125"/>
      <c r="AZ2136" s="125"/>
      <c r="BA2136" s="125"/>
    </row>
    <row r="2137" spans="2:53" s="123" customFormat="1">
      <c r="B2137" s="125"/>
      <c r="D2137" s="125"/>
      <c r="I2137" s="125"/>
      <c r="Z2137" s="124"/>
      <c r="AA2137" s="74"/>
      <c r="AB2137" s="240"/>
      <c r="AD2137" s="124"/>
      <c r="AE2137" s="238"/>
      <c r="AF2137" s="239"/>
      <c r="AG2137" s="239"/>
      <c r="AH2137" s="124"/>
      <c r="AI2137" s="74"/>
      <c r="AJ2137" s="240"/>
      <c r="AL2137" s="124"/>
      <c r="AM2137" s="74"/>
      <c r="AP2137" s="125"/>
      <c r="AQ2137" s="241"/>
      <c r="AR2137" s="125"/>
      <c r="AS2137" s="125"/>
      <c r="AT2137" s="238"/>
      <c r="AU2137" s="125"/>
      <c r="AV2137" s="125"/>
      <c r="AW2137" s="125"/>
      <c r="AX2137" s="238"/>
      <c r="AY2137" s="125"/>
      <c r="AZ2137" s="125"/>
      <c r="BA2137" s="125"/>
    </row>
    <row r="2138" spans="2:53" s="123" customFormat="1">
      <c r="B2138" s="125"/>
      <c r="D2138" s="125"/>
      <c r="I2138" s="125"/>
      <c r="Z2138" s="124"/>
      <c r="AA2138" s="74"/>
      <c r="AB2138" s="240"/>
      <c r="AD2138" s="124"/>
      <c r="AE2138" s="238"/>
      <c r="AF2138" s="239"/>
      <c r="AG2138" s="239"/>
      <c r="AH2138" s="124"/>
      <c r="AI2138" s="74"/>
      <c r="AJ2138" s="240"/>
      <c r="AL2138" s="124"/>
      <c r="AM2138" s="74"/>
      <c r="AP2138" s="125"/>
      <c r="AQ2138" s="241"/>
      <c r="AR2138" s="125"/>
      <c r="AS2138" s="125"/>
      <c r="AT2138" s="238"/>
      <c r="AU2138" s="125"/>
      <c r="AV2138" s="125"/>
      <c r="AW2138" s="125"/>
      <c r="AX2138" s="238"/>
      <c r="AY2138" s="125"/>
      <c r="AZ2138" s="125"/>
      <c r="BA2138" s="125"/>
    </row>
    <row r="2139" spans="2:53" s="123" customFormat="1">
      <c r="B2139" s="125"/>
      <c r="D2139" s="125"/>
      <c r="I2139" s="125"/>
      <c r="Z2139" s="124"/>
      <c r="AA2139" s="74"/>
      <c r="AB2139" s="240"/>
      <c r="AD2139" s="124"/>
      <c r="AE2139" s="238"/>
      <c r="AF2139" s="239"/>
      <c r="AG2139" s="239"/>
      <c r="AH2139" s="124"/>
      <c r="AI2139" s="74"/>
      <c r="AJ2139" s="240"/>
      <c r="AL2139" s="124"/>
      <c r="AM2139" s="74"/>
      <c r="AP2139" s="125"/>
      <c r="AQ2139" s="241"/>
      <c r="AR2139" s="125"/>
      <c r="AS2139" s="125"/>
      <c r="AT2139" s="238"/>
      <c r="AU2139" s="125"/>
      <c r="AV2139" s="125"/>
      <c r="AW2139" s="125"/>
      <c r="AX2139" s="238"/>
      <c r="AY2139" s="125"/>
      <c r="AZ2139" s="125"/>
      <c r="BA2139" s="125"/>
    </row>
    <row r="2140" spans="2:53" s="123" customFormat="1">
      <c r="B2140" s="125"/>
      <c r="D2140" s="125"/>
      <c r="I2140" s="125"/>
      <c r="Z2140" s="124"/>
      <c r="AA2140" s="74"/>
      <c r="AB2140" s="240"/>
      <c r="AD2140" s="124"/>
      <c r="AE2140" s="238"/>
      <c r="AF2140" s="239"/>
      <c r="AG2140" s="239"/>
      <c r="AH2140" s="124"/>
      <c r="AI2140" s="74"/>
      <c r="AJ2140" s="240"/>
      <c r="AL2140" s="124"/>
      <c r="AM2140" s="74"/>
      <c r="AP2140" s="125"/>
      <c r="AQ2140" s="241"/>
      <c r="AR2140" s="125"/>
      <c r="AS2140" s="125"/>
      <c r="AT2140" s="238"/>
      <c r="AU2140" s="125"/>
      <c r="AV2140" s="125"/>
      <c r="AW2140" s="125"/>
      <c r="AX2140" s="238"/>
      <c r="AY2140" s="125"/>
      <c r="AZ2140" s="125"/>
      <c r="BA2140" s="125"/>
    </row>
    <row r="2141" spans="2:53" s="123" customFormat="1">
      <c r="B2141" s="125"/>
      <c r="D2141" s="125"/>
      <c r="I2141" s="125"/>
      <c r="Z2141" s="124"/>
      <c r="AA2141" s="74"/>
      <c r="AB2141" s="240"/>
      <c r="AD2141" s="124"/>
      <c r="AE2141" s="238"/>
      <c r="AF2141" s="239"/>
      <c r="AG2141" s="239"/>
      <c r="AH2141" s="124"/>
      <c r="AI2141" s="74"/>
      <c r="AJ2141" s="240"/>
      <c r="AL2141" s="124"/>
      <c r="AM2141" s="74"/>
      <c r="AP2141" s="125"/>
      <c r="AQ2141" s="241"/>
      <c r="AR2141" s="125"/>
      <c r="AS2141" s="125"/>
      <c r="AT2141" s="238"/>
      <c r="AU2141" s="125"/>
      <c r="AV2141" s="125"/>
      <c r="AW2141" s="125"/>
      <c r="AX2141" s="238"/>
      <c r="AY2141" s="125"/>
      <c r="AZ2141" s="125"/>
      <c r="BA2141" s="125"/>
    </row>
    <row r="2142" spans="2:53" s="123" customFormat="1">
      <c r="B2142" s="125"/>
      <c r="D2142" s="125"/>
      <c r="I2142" s="125"/>
      <c r="Z2142" s="124"/>
      <c r="AA2142" s="74"/>
      <c r="AB2142" s="240"/>
      <c r="AD2142" s="124"/>
      <c r="AE2142" s="238"/>
      <c r="AF2142" s="239"/>
      <c r="AG2142" s="239"/>
      <c r="AH2142" s="124"/>
      <c r="AI2142" s="74"/>
      <c r="AJ2142" s="240"/>
      <c r="AL2142" s="124"/>
      <c r="AM2142" s="74"/>
      <c r="AP2142" s="125"/>
      <c r="AQ2142" s="241"/>
      <c r="AR2142" s="125"/>
      <c r="AS2142" s="125"/>
      <c r="AT2142" s="238"/>
      <c r="AU2142" s="125"/>
      <c r="AV2142" s="125"/>
      <c r="AW2142" s="125"/>
      <c r="AX2142" s="238"/>
      <c r="AY2142" s="125"/>
      <c r="AZ2142" s="125"/>
      <c r="BA2142" s="125"/>
    </row>
    <row r="2143" spans="2:53" s="123" customFormat="1">
      <c r="B2143" s="125"/>
      <c r="D2143" s="125"/>
      <c r="I2143" s="125"/>
      <c r="Z2143" s="124"/>
      <c r="AA2143" s="74"/>
      <c r="AB2143" s="240"/>
      <c r="AD2143" s="124"/>
      <c r="AE2143" s="238"/>
      <c r="AF2143" s="239"/>
      <c r="AG2143" s="239"/>
      <c r="AH2143" s="124"/>
      <c r="AI2143" s="74"/>
      <c r="AJ2143" s="240"/>
      <c r="AL2143" s="124"/>
      <c r="AM2143" s="74"/>
      <c r="AP2143" s="125"/>
      <c r="AQ2143" s="241"/>
      <c r="AR2143" s="125"/>
      <c r="AS2143" s="125"/>
      <c r="AT2143" s="238"/>
      <c r="AU2143" s="125"/>
      <c r="AV2143" s="125"/>
      <c r="AW2143" s="125"/>
      <c r="AX2143" s="238"/>
      <c r="AY2143" s="125"/>
      <c r="AZ2143" s="125"/>
      <c r="BA2143" s="125"/>
    </row>
    <row r="2144" spans="2:53" s="123" customFormat="1">
      <c r="B2144" s="125"/>
      <c r="D2144" s="125"/>
      <c r="I2144" s="125"/>
      <c r="Z2144" s="124"/>
      <c r="AA2144" s="74"/>
      <c r="AB2144" s="240"/>
      <c r="AD2144" s="124"/>
      <c r="AE2144" s="238"/>
      <c r="AF2144" s="239"/>
      <c r="AG2144" s="239"/>
      <c r="AH2144" s="124"/>
      <c r="AI2144" s="74"/>
      <c r="AJ2144" s="240"/>
      <c r="AL2144" s="124"/>
      <c r="AM2144" s="74"/>
      <c r="AP2144" s="125"/>
      <c r="AQ2144" s="241"/>
      <c r="AR2144" s="125"/>
      <c r="AS2144" s="125"/>
      <c r="AT2144" s="238"/>
      <c r="AU2144" s="125"/>
      <c r="AV2144" s="125"/>
      <c r="AW2144" s="125"/>
      <c r="AX2144" s="238"/>
      <c r="AY2144" s="125"/>
      <c r="AZ2144" s="125"/>
      <c r="BA2144" s="125"/>
    </row>
    <row r="2145" spans="2:53" s="123" customFormat="1">
      <c r="B2145" s="125"/>
      <c r="D2145" s="125"/>
      <c r="I2145" s="125"/>
      <c r="Z2145" s="124"/>
      <c r="AA2145" s="74"/>
      <c r="AB2145" s="240"/>
      <c r="AD2145" s="124"/>
      <c r="AE2145" s="238"/>
      <c r="AF2145" s="239"/>
      <c r="AG2145" s="239"/>
      <c r="AH2145" s="124"/>
      <c r="AI2145" s="74"/>
      <c r="AJ2145" s="240"/>
      <c r="AL2145" s="124"/>
      <c r="AM2145" s="74"/>
      <c r="AP2145" s="125"/>
      <c r="AQ2145" s="241"/>
      <c r="AR2145" s="125"/>
      <c r="AS2145" s="125"/>
      <c r="AT2145" s="238"/>
      <c r="AU2145" s="125"/>
      <c r="AV2145" s="125"/>
      <c r="AW2145" s="125"/>
      <c r="AX2145" s="238"/>
      <c r="AY2145" s="125"/>
      <c r="AZ2145" s="125"/>
      <c r="BA2145" s="125"/>
    </row>
    <row r="2146" spans="2:53" s="123" customFormat="1">
      <c r="B2146" s="125"/>
      <c r="D2146" s="125"/>
      <c r="I2146" s="125"/>
      <c r="Z2146" s="124"/>
      <c r="AA2146" s="74"/>
      <c r="AB2146" s="240"/>
      <c r="AD2146" s="124"/>
      <c r="AE2146" s="238"/>
      <c r="AF2146" s="239"/>
      <c r="AG2146" s="239"/>
      <c r="AH2146" s="124"/>
      <c r="AI2146" s="74"/>
      <c r="AJ2146" s="240"/>
      <c r="AL2146" s="124"/>
      <c r="AM2146" s="74"/>
      <c r="AP2146" s="125"/>
      <c r="AQ2146" s="241"/>
      <c r="AR2146" s="125"/>
      <c r="AS2146" s="125"/>
      <c r="AT2146" s="238"/>
      <c r="AU2146" s="125"/>
      <c r="AV2146" s="125"/>
      <c r="AW2146" s="125"/>
      <c r="AX2146" s="238"/>
      <c r="AY2146" s="125"/>
      <c r="AZ2146" s="125"/>
      <c r="BA2146" s="125"/>
    </row>
    <row r="2147" spans="2:53" s="123" customFormat="1">
      <c r="B2147" s="125"/>
      <c r="D2147" s="125"/>
      <c r="I2147" s="125"/>
      <c r="Z2147" s="124"/>
      <c r="AA2147" s="74"/>
      <c r="AB2147" s="240"/>
      <c r="AD2147" s="124"/>
      <c r="AE2147" s="238"/>
      <c r="AF2147" s="239"/>
      <c r="AG2147" s="239"/>
      <c r="AH2147" s="124"/>
      <c r="AI2147" s="74"/>
      <c r="AJ2147" s="240"/>
      <c r="AL2147" s="124"/>
      <c r="AM2147" s="74"/>
      <c r="AP2147" s="125"/>
      <c r="AQ2147" s="241"/>
      <c r="AR2147" s="125"/>
      <c r="AS2147" s="125"/>
      <c r="AT2147" s="238"/>
      <c r="AU2147" s="125"/>
      <c r="AV2147" s="125"/>
      <c r="AW2147" s="125"/>
      <c r="AX2147" s="238"/>
      <c r="AY2147" s="125"/>
      <c r="AZ2147" s="125"/>
      <c r="BA2147" s="125"/>
    </row>
    <row r="2148" spans="2:53" s="123" customFormat="1">
      <c r="B2148" s="125"/>
      <c r="D2148" s="125"/>
      <c r="I2148" s="125"/>
      <c r="Z2148" s="124"/>
      <c r="AA2148" s="74"/>
      <c r="AB2148" s="240"/>
      <c r="AD2148" s="124"/>
      <c r="AE2148" s="238"/>
      <c r="AF2148" s="239"/>
      <c r="AG2148" s="239"/>
      <c r="AH2148" s="124"/>
      <c r="AI2148" s="74"/>
      <c r="AJ2148" s="240"/>
      <c r="AL2148" s="124"/>
      <c r="AM2148" s="74"/>
      <c r="AP2148" s="125"/>
      <c r="AQ2148" s="241"/>
      <c r="AR2148" s="125"/>
      <c r="AS2148" s="125"/>
      <c r="AT2148" s="238"/>
      <c r="AU2148" s="125"/>
      <c r="AV2148" s="125"/>
      <c r="AW2148" s="125"/>
      <c r="AX2148" s="238"/>
      <c r="AY2148" s="125"/>
      <c r="AZ2148" s="125"/>
      <c r="BA2148" s="125"/>
    </row>
    <row r="2149" spans="2:53" s="123" customFormat="1">
      <c r="B2149" s="125"/>
      <c r="D2149" s="125"/>
      <c r="I2149" s="125"/>
      <c r="Z2149" s="124"/>
      <c r="AA2149" s="74"/>
      <c r="AB2149" s="240"/>
      <c r="AD2149" s="124"/>
      <c r="AE2149" s="238"/>
      <c r="AF2149" s="239"/>
      <c r="AG2149" s="239"/>
      <c r="AH2149" s="124"/>
      <c r="AI2149" s="74"/>
      <c r="AJ2149" s="240"/>
      <c r="AL2149" s="124"/>
      <c r="AM2149" s="74"/>
      <c r="AP2149" s="125"/>
      <c r="AQ2149" s="241"/>
      <c r="AR2149" s="125"/>
      <c r="AS2149" s="125"/>
      <c r="AT2149" s="238"/>
      <c r="AU2149" s="125"/>
      <c r="AV2149" s="125"/>
      <c r="AW2149" s="125"/>
      <c r="AX2149" s="238"/>
      <c r="AY2149" s="125"/>
      <c r="AZ2149" s="125"/>
      <c r="BA2149" s="125"/>
    </row>
    <row r="2150" spans="2:53" s="123" customFormat="1">
      <c r="B2150" s="125"/>
      <c r="D2150" s="125"/>
      <c r="I2150" s="125"/>
      <c r="Z2150" s="124"/>
      <c r="AA2150" s="74"/>
      <c r="AB2150" s="240"/>
      <c r="AD2150" s="124"/>
      <c r="AE2150" s="238"/>
      <c r="AF2150" s="239"/>
      <c r="AG2150" s="239"/>
      <c r="AH2150" s="124"/>
      <c r="AI2150" s="74"/>
      <c r="AJ2150" s="240"/>
      <c r="AL2150" s="124"/>
      <c r="AM2150" s="74"/>
      <c r="AP2150" s="125"/>
      <c r="AQ2150" s="241"/>
      <c r="AR2150" s="125"/>
      <c r="AS2150" s="125"/>
      <c r="AT2150" s="238"/>
      <c r="AU2150" s="125"/>
      <c r="AV2150" s="125"/>
      <c r="AW2150" s="125"/>
      <c r="AX2150" s="238"/>
      <c r="AY2150" s="125"/>
      <c r="AZ2150" s="125"/>
      <c r="BA2150" s="125"/>
    </row>
    <row r="2151" spans="2:53" s="123" customFormat="1">
      <c r="B2151" s="125"/>
      <c r="D2151" s="125"/>
      <c r="I2151" s="125"/>
      <c r="Z2151" s="124"/>
      <c r="AA2151" s="74"/>
      <c r="AB2151" s="240"/>
      <c r="AD2151" s="124"/>
      <c r="AE2151" s="238"/>
      <c r="AF2151" s="239"/>
      <c r="AG2151" s="239"/>
      <c r="AH2151" s="124"/>
      <c r="AI2151" s="74"/>
      <c r="AJ2151" s="240"/>
      <c r="AL2151" s="124"/>
      <c r="AM2151" s="74"/>
      <c r="AP2151" s="125"/>
      <c r="AQ2151" s="241"/>
      <c r="AR2151" s="125"/>
      <c r="AS2151" s="125"/>
      <c r="AT2151" s="238"/>
      <c r="AU2151" s="125"/>
      <c r="AV2151" s="125"/>
      <c r="AW2151" s="125"/>
      <c r="AX2151" s="238"/>
      <c r="AY2151" s="125"/>
      <c r="AZ2151" s="125"/>
      <c r="BA2151" s="125"/>
    </row>
    <row r="2152" spans="2:53" s="123" customFormat="1">
      <c r="B2152" s="125"/>
      <c r="D2152" s="125"/>
      <c r="I2152" s="125"/>
      <c r="Z2152" s="124"/>
      <c r="AA2152" s="74"/>
      <c r="AB2152" s="240"/>
      <c r="AD2152" s="124"/>
      <c r="AE2152" s="238"/>
      <c r="AF2152" s="239"/>
      <c r="AG2152" s="239"/>
      <c r="AH2152" s="124"/>
      <c r="AI2152" s="74"/>
      <c r="AJ2152" s="240"/>
      <c r="AL2152" s="124"/>
      <c r="AM2152" s="74"/>
      <c r="AP2152" s="125"/>
      <c r="AQ2152" s="241"/>
      <c r="AR2152" s="125"/>
      <c r="AS2152" s="125"/>
      <c r="AT2152" s="238"/>
      <c r="AU2152" s="125"/>
      <c r="AV2152" s="125"/>
      <c r="AW2152" s="125"/>
      <c r="AX2152" s="238"/>
      <c r="AY2152" s="125"/>
      <c r="AZ2152" s="125"/>
      <c r="BA2152" s="125"/>
    </row>
    <row r="2153" spans="2:53" s="123" customFormat="1">
      <c r="B2153" s="125"/>
      <c r="D2153" s="125"/>
      <c r="I2153" s="125"/>
      <c r="Z2153" s="124"/>
      <c r="AA2153" s="74"/>
      <c r="AB2153" s="240"/>
      <c r="AD2153" s="124"/>
      <c r="AE2153" s="238"/>
      <c r="AF2153" s="239"/>
      <c r="AG2153" s="239"/>
      <c r="AH2153" s="124"/>
      <c r="AI2153" s="74"/>
      <c r="AJ2153" s="240"/>
      <c r="AL2153" s="124"/>
      <c r="AM2153" s="74"/>
      <c r="AP2153" s="125"/>
      <c r="AQ2153" s="241"/>
      <c r="AR2153" s="125"/>
      <c r="AS2153" s="125"/>
      <c r="AT2153" s="238"/>
      <c r="AU2153" s="125"/>
      <c r="AV2153" s="125"/>
      <c r="AW2153" s="125"/>
      <c r="AX2153" s="238"/>
      <c r="AY2153" s="125"/>
      <c r="AZ2153" s="125"/>
      <c r="BA2153" s="125"/>
    </row>
    <row r="2154" spans="2:53" s="123" customFormat="1">
      <c r="B2154" s="125"/>
      <c r="D2154" s="125"/>
      <c r="I2154" s="125"/>
      <c r="Z2154" s="124"/>
      <c r="AA2154" s="74"/>
      <c r="AB2154" s="240"/>
      <c r="AD2154" s="124"/>
      <c r="AE2154" s="238"/>
      <c r="AF2154" s="239"/>
      <c r="AG2154" s="239"/>
      <c r="AH2154" s="124"/>
      <c r="AI2154" s="74"/>
      <c r="AJ2154" s="240"/>
      <c r="AL2154" s="124"/>
      <c r="AM2154" s="74"/>
      <c r="AP2154" s="125"/>
      <c r="AQ2154" s="241"/>
      <c r="AR2154" s="125"/>
      <c r="AS2154" s="125"/>
      <c r="AT2154" s="238"/>
      <c r="AU2154" s="125"/>
      <c r="AV2154" s="125"/>
      <c r="AW2154" s="125"/>
      <c r="AX2154" s="238"/>
      <c r="AY2154" s="125"/>
      <c r="AZ2154" s="125"/>
      <c r="BA2154" s="125"/>
    </row>
    <row r="2155" spans="2:53" s="123" customFormat="1">
      <c r="B2155" s="125"/>
      <c r="D2155" s="125"/>
      <c r="I2155" s="125"/>
      <c r="Z2155" s="124"/>
      <c r="AA2155" s="74"/>
      <c r="AB2155" s="240"/>
      <c r="AD2155" s="124"/>
      <c r="AE2155" s="238"/>
      <c r="AF2155" s="239"/>
      <c r="AG2155" s="239"/>
      <c r="AH2155" s="124"/>
      <c r="AI2155" s="74"/>
      <c r="AJ2155" s="240"/>
      <c r="AL2155" s="124"/>
      <c r="AM2155" s="74"/>
      <c r="AP2155" s="125"/>
      <c r="AQ2155" s="241"/>
      <c r="AR2155" s="125"/>
      <c r="AS2155" s="125"/>
      <c r="AT2155" s="238"/>
      <c r="AU2155" s="125"/>
      <c r="AV2155" s="125"/>
      <c r="AW2155" s="125"/>
      <c r="AX2155" s="238"/>
      <c r="AY2155" s="125"/>
      <c r="AZ2155" s="125"/>
      <c r="BA2155" s="125"/>
    </row>
    <row r="2156" spans="2:53" s="123" customFormat="1">
      <c r="B2156" s="125"/>
      <c r="D2156" s="125"/>
      <c r="I2156" s="125"/>
      <c r="Z2156" s="124"/>
      <c r="AA2156" s="74"/>
      <c r="AB2156" s="240"/>
      <c r="AD2156" s="124"/>
      <c r="AE2156" s="238"/>
      <c r="AF2156" s="239"/>
      <c r="AG2156" s="239"/>
      <c r="AH2156" s="124"/>
      <c r="AI2156" s="74"/>
      <c r="AJ2156" s="240"/>
      <c r="AL2156" s="124"/>
      <c r="AM2156" s="74"/>
      <c r="AP2156" s="125"/>
      <c r="AQ2156" s="241"/>
      <c r="AR2156" s="125"/>
      <c r="AS2156" s="125"/>
      <c r="AT2156" s="238"/>
      <c r="AU2156" s="125"/>
      <c r="AV2156" s="125"/>
      <c r="AW2156" s="125"/>
      <c r="AX2156" s="238"/>
      <c r="AY2156" s="125"/>
      <c r="AZ2156" s="125"/>
      <c r="BA2156" s="125"/>
    </row>
    <row r="2157" spans="2:53" s="123" customFormat="1">
      <c r="B2157" s="125"/>
      <c r="D2157" s="125"/>
      <c r="I2157" s="125"/>
      <c r="Z2157" s="124"/>
      <c r="AA2157" s="74"/>
      <c r="AB2157" s="240"/>
      <c r="AD2157" s="124"/>
      <c r="AE2157" s="238"/>
      <c r="AF2157" s="239"/>
      <c r="AG2157" s="239"/>
      <c r="AH2157" s="124"/>
      <c r="AI2157" s="74"/>
      <c r="AJ2157" s="240"/>
      <c r="AL2157" s="124"/>
      <c r="AM2157" s="74"/>
      <c r="AP2157" s="125"/>
      <c r="AQ2157" s="241"/>
      <c r="AR2157" s="125"/>
      <c r="AS2157" s="125"/>
      <c r="AT2157" s="238"/>
      <c r="AU2157" s="125"/>
      <c r="AV2157" s="125"/>
      <c r="AW2157" s="125"/>
      <c r="AX2157" s="238"/>
      <c r="AY2157" s="125"/>
      <c r="AZ2157" s="125"/>
      <c r="BA2157" s="125"/>
    </row>
    <row r="2158" spans="2:53" s="123" customFormat="1">
      <c r="B2158" s="125"/>
      <c r="D2158" s="125"/>
      <c r="I2158" s="125"/>
      <c r="Z2158" s="124"/>
      <c r="AA2158" s="74"/>
      <c r="AB2158" s="240"/>
      <c r="AD2158" s="124"/>
      <c r="AE2158" s="238"/>
      <c r="AF2158" s="239"/>
      <c r="AG2158" s="239"/>
      <c r="AH2158" s="124"/>
      <c r="AI2158" s="74"/>
      <c r="AJ2158" s="240"/>
      <c r="AL2158" s="124"/>
      <c r="AM2158" s="74"/>
      <c r="AP2158" s="125"/>
      <c r="AQ2158" s="241"/>
      <c r="AR2158" s="125"/>
      <c r="AS2158" s="125"/>
      <c r="AT2158" s="238"/>
      <c r="AU2158" s="125"/>
      <c r="AV2158" s="125"/>
      <c r="AW2158" s="125"/>
      <c r="AX2158" s="238"/>
      <c r="AY2158" s="125"/>
      <c r="AZ2158" s="125"/>
      <c r="BA2158" s="125"/>
    </row>
    <row r="2159" spans="2:53" s="123" customFormat="1">
      <c r="B2159" s="125"/>
      <c r="D2159" s="125"/>
      <c r="I2159" s="125"/>
      <c r="Z2159" s="124"/>
      <c r="AA2159" s="74"/>
      <c r="AB2159" s="240"/>
      <c r="AD2159" s="124"/>
      <c r="AE2159" s="238"/>
      <c r="AF2159" s="239"/>
      <c r="AG2159" s="239"/>
      <c r="AH2159" s="124"/>
      <c r="AI2159" s="74"/>
      <c r="AJ2159" s="240"/>
      <c r="AL2159" s="124"/>
      <c r="AM2159" s="74"/>
      <c r="AP2159" s="125"/>
      <c r="AQ2159" s="241"/>
      <c r="AR2159" s="125"/>
      <c r="AS2159" s="125"/>
      <c r="AT2159" s="238"/>
      <c r="AU2159" s="125"/>
      <c r="AV2159" s="125"/>
      <c r="AW2159" s="125"/>
      <c r="AX2159" s="238"/>
      <c r="AY2159" s="125"/>
      <c r="AZ2159" s="125"/>
      <c r="BA2159" s="125"/>
    </row>
    <row r="2160" spans="2:53" s="123" customFormat="1">
      <c r="B2160" s="125"/>
      <c r="D2160" s="125"/>
      <c r="I2160" s="125"/>
      <c r="Z2160" s="124"/>
      <c r="AA2160" s="74"/>
      <c r="AB2160" s="240"/>
      <c r="AD2160" s="124"/>
      <c r="AE2160" s="238"/>
      <c r="AF2160" s="239"/>
      <c r="AG2160" s="239"/>
      <c r="AH2160" s="124"/>
      <c r="AI2160" s="74"/>
      <c r="AJ2160" s="240"/>
      <c r="AL2160" s="124"/>
      <c r="AM2160" s="74"/>
      <c r="AP2160" s="125"/>
      <c r="AQ2160" s="241"/>
      <c r="AR2160" s="125"/>
      <c r="AS2160" s="125"/>
      <c r="AT2160" s="238"/>
      <c r="AU2160" s="125"/>
      <c r="AV2160" s="125"/>
      <c r="AW2160" s="125"/>
      <c r="AX2160" s="238"/>
      <c r="AY2160" s="125"/>
      <c r="AZ2160" s="125"/>
      <c r="BA2160" s="125"/>
    </row>
    <row r="2161" spans="2:53" s="123" customFormat="1">
      <c r="B2161" s="125"/>
      <c r="D2161" s="125"/>
      <c r="I2161" s="125"/>
      <c r="Z2161" s="124"/>
      <c r="AA2161" s="74"/>
      <c r="AB2161" s="240"/>
      <c r="AD2161" s="124"/>
      <c r="AE2161" s="238"/>
      <c r="AF2161" s="239"/>
      <c r="AG2161" s="239"/>
      <c r="AH2161" s="124"/>
      <c r="AI2161" s="74"/>
      <c r="AJ2161" s="240"/>
      <c r="AL2161" s="124"/>
      <c r="AM2161" s="74"/>
      <c r="AP2161" s="125"/>
      <c r="AQ2161" s="241"/>
      <c r="AR2161" s="125"/>
      <c r="AS2161" s="125"/>
      <c r="AT2161" s="238"/>
      <c r="AU2161" s="125"/>
      <c r="AV2161" s="125"/>
      <c r="AW2161" s="125"/>
      <c r="AX2161" s="238"/>
      <c r="AY2161" s="125"/>
      <c r="AZ2161" s="125"/>
      <c r="BA2161" s="125"/>
    </row>
    <row r="2162" spans="2:53" s="123" customFormat="1">
      <c r="B2162" s="125"/>
      <c r="D2162" s="125"/>
      <c r="I2162" s="125"/>
      <c r="Z2162" s="124"/>
      <c r="AA2162" s="74"/>
      <c r="AB2162" s="240"/>
      <c r="AD2162" s="124"/>
      <c r="AE2162" s="238"/>
      <c r="AF2162" s="239"/>
      <c r="AG2162" s="239"/>
      <c r="AH2162" s="124"/>
      <c r="AI2162" s="74"/>
      <c r="AJ2162" s="240"/>
      <c r="AL2162" s="124"/>
      <c r="AM2162" s="74"/>
      <c r="AP2162" s="125"/>
      <c r="AQ2162" s="241"/>
      <c r="AR2162" s="125"/>
      <c r="AS2162" s="125"/>
      <c r="AT2162" s="238"/>
      <c r="AU2162" s="125"/>
      <c r="AV2162" s="125"/>
      <c r="AW2162" s="125"/>
      <c r="AX2162" s="238"/>
      <c r="AY2162" s="125"/>
      <c r="AZ2162" s="125"/>
      <c r="BA2162" s="125"/>
    </row>
    <row r="2163" spans="2:53" s="123" customFormat="1">
      <c r="B2163" s="125"/>
      <c r="D2163" s="125"/>
      <c r="I2163" s="125"/>
      <c r="Z2163" s="124"/>
      <c r="AA2163" s="74"/>
      <c r="AB2163" s="240"/>
      <c r="AD2163" s="124"/>
      <c r="AE2163" s="238"/>
      <c r="AF2163" s="239"/>
      <c r="AG2163" s="239"/>
      <c r="AH2163" s="124"/>
      <c r="AI2163" s="74"/>
      <c r="AJ2163" s="240"/>
      <c r="AL2163" s="124"/>
      <c r="AM2163" s="74"/>
      <c r="AP2163" s="125"/>
      <c r="AQ2163" s="241"/>
      <c r="AR2163" s="125"/>
      <c r="AS2163" s="125"/>
      <c r="AT2163" s="238"/>
      <c r="AU2163" s="125"/>
      <c r="AV2163" s="125"/>
      <c r="AW2163" s="125"/>
      <c r="AX2163" s="238"/>
      <c r="AY2163" s="125"/>
      <c r="AZ2163" s="125"/>
      <c r="BA2163" s="125"/>
    </row>
    <row r="2164" spans="2:53" s="123" customFormat="1">
      <c r="B2164" s="125"/>
      <c r="D2164" s="125"/>
      <c r="I2164" s="125"/>
      <c r="Z2164" s="124"/>
      <c r="AA2164" s="74"/>
      <c r="AB2164" s="240"/>
      <c r="AD2164" s="124"/>
      <c r="AE2164" s="238"/>
      <c r="AF2164" s="239"/>
      <c r="AG2164" s="239"/>
      <c r="AH2164" s="124"/>
      <c r="AI2164" s="74"/>
      <c r="AJ2164" s="240"/>
      <c r="AL2164" s="124"/>
      <c r="AM2164" s="74"/>
      <c r="AP2164" s="125"/>
      <c r="AQ2164" s="241"/>
      <c r="AR2164" s="125"/>
      <c r="AS2164" s="125"/>
      <c r="AT2164" s="238"/>
      <c r="AU2164" s="125"/>
      <c r="AV2164" s="125"/>
      <c r="AW2164" s="125"/>
      <c r="AX2164" s="238"/>
      <c r="AY2164" s="125"/>
      <c r="AZ2164" s="125"/>
      <c r="BA2164" s="125"/>
    </row>
    <row r="2165" spans="2:53" s="123" customFormat="1">
      <c r="B2165" s="125"/>
      <c r="D2165" s="125"/>
      <c r="I2165" s="125"/>
      <c r="Z2165" s="124"/>
      <c r="AA2165" s="74"/>
      <c r="AB2165" s="240"/>
      <c r="AD2165" s="124"/>
      <c r="AE2165" s="238"/>
      <c r="AF2165" s="239"/>
      <c r="AG2165" s="239"/>
      <c r="AH2165" s="124"/>
      <c r="AI2165" s="74"/>
      <c r="AJ2165" s="240"/>
      <c r="AL2165" s="124"/>
      <c r="AM2165" s="74"/>
      <c r="AP2165" s="125"/>
      <c r="AQ2165" s="241"/>
      <c r="AR2165" s="125"/>
      <c r="AS2165" s="125"/>
      <c r="AT2165" s="238"/>
      <c r="AU2165" s="125"/>
      <c r="AV2165" s="125"/>
      <c r="AW2165" s="125"/>
      <c r="AX2165" s="238"/>
      <c r="AY2165" s="125"/>
      <c r="AZ2165" s="125"/>
      <c r="BA2165" s="125"/>
    </row>
    <row r="2166" spans="2:53" s="123" customFormat="1">
      <c r="B2166" s="125"/>
      <c r="D2166" s="125"/>
      <c r="I2166" s="125"/>
      <c r="Z2166" s="124"/>
      <c r="AA2166" s="74"/>
      <c r="AB2166" s="240"/>
      <c r="AD2166" s="124"/>
      <c r="AE2166" s="238"/>
      <c r="AF2166" s="239"/>
      <c r="AG2166" s="239"/>
      <c r="AH2166" s="124"/>
      <c r="AI2166" s="74"/>
      <c r="AJ2166" s="240"/>
      <c r="AL2166" s="124"/>
      <c r="AM2166" s="74"/>
      <c r="AP2166" s="125"/>
      <c r="AQ2166" s="241"/>
      <c r="AR2166" s="125"/>
      <c r="AS2166" s="125"/>
      <c r="AT2166" s="238"/>
      <c r="AU2166" s="125"/>
      <c r="AV2166" s="125"/>
      <c r="AW2166" s="125"/>
      <c r="AX2166" s="238"/>
      <c r="AY2166" s="125"/>
      <c r="AZ2166" s="125"/>
      <c r="BA2166" s="125"/>
    </row>
    <row r="2167" spans="2:53" s="123" customFormat="1">
      <c r="B2167" s="125"/>
      <c r="D2167" s="125"/>
      <c r="I2167" s="125"/>
      <c r="Z2167" s="124"/>
      <c r="AA2167" s="74"/>
      <c r="AB2167" s="240"/>
      <c r="AD2167" s="124"/>
      <c r="AE2167" s="238"/>
      <c r="AF2167" s="239"/>
      <c r="AG2167" s="239"/>
      <c r="AH2167" s="124"/>
      <c r="AI2167" s="74"/>
      <c r="AJ2167" s="240"/>
      <c r="AL2167" s="124"/>
      <c r="AM2167" s="74"/>
      <c r="AP2167" s="125"/>
      <c r="AQ2167" s="241"/>
      <c r="AR2167" s="125"/>
      <c r="AS2167" s="125"/>
      <c r="AT2167" s="238"/>
      <c r="AU2167" s="125"/>
      <c r="AV2167" s="125"/>
      <c r="AW2167" s="125"/>
      <c r="AX2167" s="238"/>
      <c r="AY2167" s="125"/>
      <c r="AZ2167" s="125"/>
      <c r="BA2167" s="125"/>
    </row>
    <row r="2168" spans="2:53" s="123" customFormat="1">
      <c r="B2168" s="125"/>
      <c r="D2168" s="125"/>
      <c r="I2168" s="125"/>
      <c r="Z2168" s="124"/>
      <c r="AA2168" s="74"/>
      <c r="AB2168" s="240"/>
      <c r="AD2168" s="124"/>
      <c r="AE2168" s="238"/>
      <c r="AF2168" s="239"/>
      <c r="AG2168" s="239"/>
      <c r="AH2168" s="124"/>
      <c r="AI2168" s="74"/>
      <c r="AJ2168" s="240"/>
      <c r="AL2168" s="124"/>
      <c r="AM2168" s="74"/>
      <c r="AP2168" s="125"/>
      <c r="AQ2168" s="241"/>
      <c r="AR2168" s="125"/>
      <c r="AS2168" s="125"/>
      <c r="AT2168" s="238"/>
      <c r="AU2168" s="125"/>
      <c r="AV2168" s="125"/>
      <c r="AW2168" s="125"/>
      <c r="AX2168" s="238"/>
      <c r="AY2168" s="125"/>
      <c r="AZ2168" s="125"/>
      <c r="BA2168" s="125"/>
    </row>
    <row r="2169" spans="2:53" s="123" customFormat="1">
      <c r="B2169" s="125"/>
      <c r="D2169" s="125"/>
      <c r="I2169" s="125"/>
      <c r="Z2169" s="124"/>
      <c r="AA2169" s="74"/>
      <c r="AB2169" s="240"/>
      <c r="AD2169" s="124"/>
      <c r="AE2169" s="238"/>
      <c r="AF2169" s="239"/>
      <c r="AG2169" s="239"/>
      <c r="AH2169" s="124"/>
      <c r="AI2169" s="74"/>
      <c r="AJ2169" s="240"/>
      <c r="AL2169" s="124"/>
      <c r="AM2169" s="74"/>
      <c r="AP2169" s="125"/>
      <c r="AQ2169" s="241"/>
      <c r="AR2169" s="125"/>
      <c r="AS2169" s="125"/>
      <c r="AT2169" s="238"/>
      <c r="AU2169" s="125"/>
      <c r="AV2169" s="125"/>
      <c r="AW2169" s="125"/>
      <c r="AX2169" s="238"/>
      <c r="AY2169" s="125"/>
      <c r="AZ2169" s="125"/>
      <c r="BA2169" s="125"/>
    </row>
    <row r="2170" spans="2:53" s="123" customFormat="1">
      <c r="B2170" s="125"/>
      <c r="D2170" s="125"/>
      <c r="I2170" s="125"/>
      <c r="Z2170" s="124"/>
      <c r="AA2170" s="74"/>
      <c r="AB2170" s="240"/>
      <c r="AD2170" s="124"/>
      <c r="AE2170" s="238"/>
      <c r="AF2170" s="239"/>
      <c r="AG2170" s="239"/>
      <c r="AH2170" s="124"/>
      <c r="AI2170" s="74"/>
      <c r="AJ2170" s="240"/>
      <c r="AL2170" s="124"/>
      <c r="AM2170" s="74"/>
      <c r="AP2170" s="125"/>
      <c r="AQ2170" s="241"/>
      <c r="AR2170" s="125"/>
      <c r="AS2170" s="125"/>
      <c r="AT2170" s="238"/>
      <c r="AU2170" s="125"/>
      <c r="AV2170" s="125"/>
      <c r="AW2170" s="125"/>
      <c r="AX2170" s="238"/>
      <c r="AY2170" s="125"/>
      <c r="AZ2170" s="125"/>
      <c r="BA2170" s="125"/>
    </row>
    <row r="2171" spans="2:53" s="123" customFormat="1">
      <c r="B2171" s="125"/>
      <c r="D2171" s="125"/>
      <c r="I2171" s="125"/>
      <c r="Z2171" s="124"/>
      <c r="AA2171" s="74"/>
      <c r="AB2171" s="240"/>
      <c r="AD2171" s="124"/>
      <c r="AE2171" s="238"/>
      <c r="AF2171" s="239"/>
      <c r="AG2171" s="239"/>
      <c r="AH2171" s="124"/>
      <c r="AI2171" s="74"/>
      <c r="AJ2171" s="240"/>
      <c r="AL2171" s="124"/>
      <c r="AM2171" s="74"/>
      <c r="AP2171" s="125"/>
      <c r="AQ2171" s="241"/>
      <c r="AR2171" s="125"/>
      <c r="AS2171" s="125"/>
      <c r="AT2171" s="238"/>
      <c r="AU2171" s="125"/>
      <c r="AV2171" s="125"/>
      <c r="AW2171" s="125"/>
      <c r="AX2171" s="238"/>
      <c r="AY2171" s="125"/>
      <c r="AZ2171" s="125"/>
      <c r="BA2171" s="125"/>
    </row>
    <row r="2172" spans="2:53" s="123" customFormat="1">
      <c r="B2172" s="125"/>
      <c r="D2172" s="125"/>
      <c r="I2172" s="125"/>
      <c r="Z2172" s="124"/>
      <c r="AA2172" s="74"/>
      <c r="AB2172" s="240"/>
      <c r="AD2172" s="124"/>
      <c r="AE2172" s="238"/>
      <c r="AF2172" s="239"/>
      <c r="AG2172" s="239"/>
      <c r="AH2172" s="124"/>
      <c r="AI2172" s="74"/>
      <c r="AJ2172" s="240"/>
      <c r="AL2172" s="124"/>
      <c r="AM2172" s="74"/>
      <c r="AP2172" s="125"/>
      <c r="AQ2172" s="241"/>
      <c r="AR2172" s="125"/>
      <c r="AS2172" s="125"/>
      <c r="AT2172" s="238"/>
      <c r="AU2172" s="125"/>
      <c r="AV2172" s="125"/>
      <c r="AW2172" s="125"/>
      <c r="AX2172" s="238"/>
      <c r="AY2172" s="125"/>
      <c r="AZ2172" s="125"/>
      <c r="BA2172" s="125"/>
    </row>
    <row r="2173" spans="2:53" s="123" customFormat="1">
      <c r="B2173" s="125"/>
      <c r="D2173" s="125"/>
      <c r="I2173" s="125"/>
      <c r="Z2173" s="124"/>
      <c r="AA2173" s="74"/>
      <c r="AB2173" s="240"/>
      <c r="AD2173" s="124"/>
      <c r="AE2173" s="238"/>
      <c r="AF2173" s="239"/>
      <c r="AG2173" s="239"/>
      <c r="AH2173" s="124"/>
      <c r="AI2173" s="74"/>
      <c r="AJ2173" s="240"/>
      <c r="AL2173" s="124"/>
      <c r="AM2173" s="74"/>
      <c r="AP2173" s="125"/>
      <c r="AQ2173" s="241"/>
      <c r="AR2173" s="125"/>
      <c r="AS2173" s="125"/>
      <c r="AT2173" s="238"/>
      <c r="AU2173" s="125"/>
      <c r="AV2173" s="125"/>
      <c r="AW2173" s="125"/>
      <c r="AX2173" s="238"/>
      <c r="AY2173" s="125"/>
      <c r="AZ2173" s="125"/>
      <c r="BA2173" s="125"/>
    </row>
    <row r="2174" spans="2:53" s="123" customFormat="1">
      <c r="B2174" s="125"/>
      <c r="D2174" s="125"/>
      <c r="I2174" s="125"/>
      <c r="Z2174" s="124"/>
      <c r="AA2174" s="74"/>
      <c r="AB2174" s="240"/>
      <c r="AD2174" s="124"/>
      <c r="AE2174" s="238"/>
      <c r="AF2174" s="239"/>
      <c r="AG2174" s="239"/>
      <c r="AH2174" s="124"/>
      <c r="AI2174" s="74"/>
      <c r="AJ2174" s="240"/>
      <c r="AL2174" s="124"/>
      <c r="AM2174" s="74"/>
      <c r="AP2174" s="125"/>
      <c r="AQ2174" s="241"/>
      <c r="AR2174" s="125"/>
      <c r="AS2174" s="125"/>
      <c r="AT2174" s="238"/>
      <c r="AU2174" s="125"/>
      <c r="AV2174" s="125"/>
      <c r="AW2174" s="125"/>
      <c r="AX2174" s="238"/>
      <c r="AY2174" s="125"/>
      <c r="AZ2174" s="125"/>
      <c r="BA2174" s="125"/>
    </row>
    <row r="2175" spans="2:53" s="123" customFormat="1">
      <c r="B2175" s="125"/>
      <c r="D2175" s="125"/>
      <c r="I2175" s="125"/>
      <c r="Z2175" s="124"/>
      <c r="AA2175" s="74"/>
      <c r="AB2175" s="240"/>
      <c r="AD2175" s="124"/>
      <c r="AE2175" s="238"/>
      <c r="AF2175" s="239"/>
      <c r="AG2175" s="239"/>
      <c r="AH2175" s="124"/>
      <c r="AI2175" s="74"/>
      <c r="AJ2175" s="240"/>
      <c r="AL2175" s="124"/>
      <c r="AM2175" s="74"/>
      <c r="AP2175" s="125"/>
      <c r="AQ2175" s="241"/>
      <c r="AR2175" s="125"/>
      <c r="AS2175" s="125"/>
      <c r="AT2175" s="238"/>
      <c r="AU2175" s="125"/>
      <c r="AV2175" s="125"/>
      <c r="AW2175" s="125"/>
      <c r="AX2175" s="238"/>
      <c r="AY2175" s="125"/>
      <c r="AZ2175" s="125"/>
      <c r="BA2175" s="125"/>
    </row>
    <row r="2176" spans="2:53" s="123" customFormat="1">
      <c r="B2176" s="125"/>
      <c r="D2176" s="125"/>
      <c r="I2176" s="125"/>
      <c r="Z2176" s="124"/>
      <c r="AA2176" s="74"/>
      <c r="AB2176" s="240"/>
      <c r="AD2176" s="124"/>
      <c r="AE2176" s="238"/>
      <c r="AF2176" s="239"/>
      <c r="AG2176" s="239"/>
      <c r="AH2176" s="124"/>
      <c r="AI2176" s="74"/>
      <c r="AJ2176" s="240"/>
      <c r="AL2176" s="124"/>
      <c r="AM2176" s="74"/>
      <c r="AP2176" s="125"/>
      <c r="AQ2176" s="241"/>
      <c r="AR2176" s="125"/>
      <c r="AS2176" s="125"/>
      <c r="AT2176" s="238"/>
      <c r="AU2176" s="125"/>
      <c r="AV2176" s="125"/>
      <c r="AW2176" s="125"/>
      <c r="AX2176" s="238"/>
      <c r="AY2176" s="125"/>
      <c r="AZ2176" s="125"/>
      <c r="BA2176" s="125"/>
    </row>
    <row r="2177" spans="2:53" s="123" customFormat="1">
      <c r="B2177" s="125"/>
      <c r="D2177" s="125"/>
      <c r="I2177" s="125"/>
      <c r="Z2177" s="124"/>
      <c r="AA2177" s="74"/>
      <c r="AB2177" s="240"/>
      <c r="AD2177" s="124"/>
      <c r="AE2177" s="238"/>
      <c r="AF2177" s="239"/>
      <c r="AG2177" s="239"/>
      <c r="AH2177" s="124"/>
      <c r="AI2177" s="74"/>
      <c r="AJ2177" s="240"/>
      <c r="AL2177" s="124"/>
      <c r="AM2177" s="74"/>
      <c r="AP2177" s="125"/>
      <c r="AQ2177" s="241"/>
      <c r="AR2177" s="125"/>
      <c r="AS2177" s="125"/>
      <c r="AT2177" s="238"/>
      <c r="AU2177" s="125"/>
      <c r="AV2177" s="125"/>
      <c r="AW2177" s="125"/>
      <c r="AX2177" s="238"/>
      <c r="AY2177" s="125"/>
      <c r="AZ2177" s="125"/>
      <c r="BA2177" s="125"/>
    </row>
    <row r="2178" spans="2:53" s="123" customFormat="1">
      <c r="B2178" s="125"/>
      <c r="D2178" s="125"/>
      <c r="I2178" s="125"/>
      <c r="Z2178" s="124"/>
      <c r="AA2178" s="74"/>
      <c r="AB2178" s="240"/>
      <c r="AD2178" s="124"/>
      <c r="AE2178" s="238"/>
      <c r="AF2178" s="239"/>
      <c r="AG2178" s="239"/>
      <c r="AH2178" s="124"/>
      <c r="AI2178" s="74"/>
      <c r="AJ2178" s="240"/>
      <c r="AL2178" s="124"/>
      <c r="AM2178" s="74"/>
      <c r="AP2178" s="125"/>
      <c r="AQ2178" s="241"/>
      <c r="AR2178" s="125"/>
      <c r="AS2178" s="125"/>
      <c r="AT2178" s="238"/>
      <c r="AU2178" s="125"/>
      <c r="AV2178" s="125"/>
      <c r="AW2178" s="125"/>
      <c r="AX2178" s="238"/>
      <c r="AY2178" s="125"/>
      <c r="AZ2178" s="125"/>
      <c r="BA2178" s="125"/>
    </row>
    <row r="2179" spans="2:53" s="123" customFormat="1">
      <c r="B2179" s="125"/>
      <c r="D2179" s="125"/>
      <c r="I2179" s="125"/>
      <c r="Z2179" s="124"/>
      <c r="AA2179" s="74"/>
      <c r="AB2179" s="240"/>
      <c r="AD2179" s="124"/>
      <c r="AE2179" s="238"/>
      <c r="AF2179" s="239"/>
      <c r="AG2179" s="239"/>
      <c r="AH2179" s="124"/>
      <c r="AI2179" s="74"/>
      <c r="AJ2179" s="240"/>
      <c r="AL2179" s="124"/>
      <c r="AM2179" s="74"/>
      <c r="AP2179" s="125"/>
      <c r="AQ2179" s="241"/>
      <c r="AR2179" s="125"/>
      <c r="AS2179" s="125"/>
      <c r="AT2179" s="238"/>
      <c r="AU2179" s="125"/>
      <c r="AV2179" s="125"/>
      <c r="AW2179" s="125"/>
      <c r="AX2179" s="238"/>
      <c r="AY2179" s="125"/>
      <c r="AZ2179" s="125"/>
      <c r="BA2179" s="125"/>
    </row>
    <row r="2180" spans="2:53" s="123" customFormat="1">
      <c r="B2180" s="125"/>
      <c r="D2180" s="125"/>
      <c r="I2180" s="125"/>
      <c r="Z2180" s="124"/>
      <c r="AA2180" s="74"/>
      <c r="AB2180" s="240"/>
      <c r="AD2180" s="124"/>
      <c r="AE2180" s="238"/>
      <c r="AF2180" s="239"/>
      <c r="AG2180" s="239"/>
      <c r="AH2180" s="124"/>
      <c r="AI2180" s="74"/>
      <c r="AJ2180" s="240"/>
      <c r="AL2180" s="124"/>
      <c r="AM2180" s="74"/>
      <c r="AP2180" s="125"/>
      <c r="AQ2180" s="241"/>
      <c r="AR2180" s="125"/>
      <c r="AS2180" s="125"/>
      <c r="AT2180" s="238"/>
      <c r="AU2180" s="125"/>
      <c r="AV2180" s="125"/>
      <c r="AW2180" s="125"/>
      <c r="AX2180" s="238"/>
      <c r="AY2180" s="125"/>
      <c r="AZ2180" s="125"/>
      <c r="BA2180" s="125"/>
    </row>
    <row r="2181" spans="2:53" s="123" customFormat="1">
      <c r="B2181" s="125"/>
      <c r="D2181" s="125"/>
      <c r="I2181" s="125"/>
      <c r="Z2181" s="124"/>
      <c r="AA2181" s="74"/>
      <c r="AB2181" s="240"/>
      <c r="AD2181" s="124"/>
      <c r="AE2181" s="238"/>
      <c r="AF2181" s="239"/>
      <c r="AG2181" s="239"/>
      <c r="AH2181" s="124"/>
      <c r="AI2181" s="74"/>
      <c r="AJ2181" s="240"/>
      <c r="AL2181" s="124"/>
      <c r="AM2181" s="74"/>
      <c r="AP2181" s="125"/>
      <c r="AQ2181" s="241"/>
      <c r="AR2181" s="125"/>
      <c r="AS2181" s="125"/>
      <c r="AT2181" s="238"/>
      <c r="AU2181" s="125"/>
      <c r="AV2181" s="125"/>
      <c r="AW2181" s="125"/>
      <c r="AX2181" s="238"/>
      <c r="AY2181" s="125"/>
      <c r="AZ2181" s="125"/>
      <c r="BA2181" s="125"/>
    </row>
    <row r="2182" spans="2:53" s="123" customFormat="1">
      <c r="B2182" s="125"/>
      <c r="D2182" s="125"/>
      <c r="I2182" s="125"/>
      <c r="Z2182" s="124"/>
      <c r="AA2182" s="74"/>
      <c r="AB2182" s="240"/>
      <c r="AD2182" s="124"/>
      <c r="AE2182" s="238"/>
      <c r="AF2182" s="239"/>
      <c r="AG2182" s="239"/>
      <c r="AH2182" s="124"/>
      <c r="AI2182" s="74"/>
      <c r="AJ2182" s="240"/>
      <c r="AL2182" s="124"/>
      <c r="AM2182" s="74"/>
      <c r="AP2182" s="125"/>
      <c r="AQ2182" s="241"/>
      <c r="AR2182" s="125"/>
      <c r="AS2182" s="125"/>
      <c r="AT2182" s="238"/>
      <c r="AU2182" s="125"/>
      <c r="AV2182" s="125"/>
      <c r="AW2182" s="125"/>
      <c r="AX2182" s="238"/>
      <c r="AY2182" s="125"/>
      <c r="AZ2182" s="125"/>
      <c r="BA2182" s="125"/>
    </row>
    <row r="2183" spans="2:53" s="123" customFormat="1">
      <c r="B2183" s="125"/>
      <c r="D2183" s="125"/>
      <c r="I2183" s="125"/>
      <c r="Z2183" s="124"/>
      <c r="AA2183" s="74"/>
      <c r="AB2183" s="240"/>
      <c r="AD2183" s="124"/>
      <c r="AE2183" s="238"/>
      <c r="AF2183" s="239"/>
      <c r="AG2183" s="239"/>
      <c r="AH2183" s="124"/>
      <c r="AI2183" s="74"/>
      <c r="AJ2183" s="240"/>
      <c r="AL2183" s="124"/>
      <c r="AM2183" s="74"/>
      <c r="AP2183" s="125"/>
      <c r="AQ2183" s="241"/>
      <c r="AR2183" s="125"/>
      <c r="AS2183" s="125"/>
      <c r="AT2183" s="238"/>
      <c r="AU2183" s="125"/>
      <c r="AV2183" s="125"/>
      <c r="AW2183" s="125"/>
      <c r="AX2183" s="238"/>
      <c r="AY2183" s="125"/>
      <c r="AZ2183" s="125"/>
      <c r="BA2183" s="125"/>
    </row>
    <row r="2184" spans="2:53" s="123" customFormat="1">
      <c r="B2184" s="125"/>
      <c r="D2184" s="125"/>
      <c r="I2184" s="125"/>
      <c r="Z2184" s="124"/>
      <c r="AA2184" s="74"/>
      <c r="AB2184" s="240"/>
      <c r="AD2184" s="124"/>
      <c r="AE2184" s="238"/>
      <c r="AF2184" s="239"/>
      <c r="AG2184" s="239"/>
      <c r="AH2184" s="124"/>
      <c r="AI2184" s="74"/>
      <c r="AJ2184" s="240"/>
      <c r="AL2184" s="124"/>
      <c r="AM2184" s="74"/>
      <c r="AP2184" s="125"/>
      <c r="AQ2184" s="241"/>
      <c r="AR2184" s="125"/>
      <c r="AS2184" s="125"/>
      <c r="AT2184" s="238"/>
      <c r="AU2184" s="125"/>
      <c r="AV2184" s="125"/>
      <c r="AW2184" s="125"/>
      <c r="AX2184" s="238"/>
      <c r="AY2184" s="125"/>
      <c r="AZ2184" s="125"/>
      <c r="BA2184" s="125"/>
    </row>
    <row r="2185" spans="2:53" s="123" customFormat="1">
      <c r="B2185" s="125"/>
      <c r="D2185" s="125"/>
      <c r="I2185" s="125"/>
      <c r="Z2185" s="124"/>
      <c r="AA2185" s="74"/>
      <c r="AB2185" s="240"/>
      <c r="AD2185" s="124"/>
      <c r="AE2185" s="238"/>
      <c r="AF2185" s="239"/>
      <c r="AG2185" s="239"/>
      <c r="AH2185" s="124"/>
      <c r="AI2185" s="74"/>
      <c r="AJ2185" s="240"/>
      <c r="AL2185" s="124"/>
      <c r="AM2185" s="74"/>
      <c r="AP2185" s="125"/>
      <c r="AQ2185" s="241"/>
      <c r="AR2185" s="125"/>
      <c r="AS2185" s="125"/>
      <c r="AT2185" s="238"/>
      <c r="AU2185" s="125"/>
      <c r="AV2185" s="125"/>
      <c r="AW2185" s="125"/>
      <c r="AX2185" s="238"/>
      <c r="AY2185" s="125"/>
      <c r="AZ2185" s="125"/>
      <c r="BA2185" s="125"/>
    </row>
    <row r="2186" spans="2:53" s="123" customFormat="1">
      <c r="B2186" s="125"/>
      <c r="D2186" s="125"/>
      <c r="I2186" s="125"/>
      <c r="Z2186" s="124"/>
      <c r="AA2186" s="74"/>
      <c r="AB2186" s="240"/>
      <c r="AD2186" s="124"/>
      <c r="AE2186" s="238"/>
      <c r="AF2186" s="239"/>
      <c r="AG2186" s="239"/>
      <c r="AH2186" s="124"/>
      <c r="AI2186" s="74"/>
      <c r="AJ2186" s="240"/>
      <c r="AL2186" s="124"/>
      <c r="AM2186" s="74"/>
      <c r="AP2186" s="125"/>
      <c r="AQ2186" s="241"/>
      <c r="AR2186" s="125"/>
      <c r="AS2186" s="125"/>
      <c r="AT2186" s="238"/>
      <c r="AU2186" s="125"/>
      <c r="AV2186" s="125"/>
      <c r="AW2186" s="125"/>
      <c r="AX2186" s="238"/>
      <c r="AY2186" s="125"/>
      <c r="AZ2186" s="125"/>
      <c r="BA2186" s="125"/>
    </row>
    <row r="2187" spans="2:53" s="123" customFormat="1">
      <c r="B2187" s="125"/>
      <c r="D2187" s="125"/>
      <c r="I2187" s="125"/>
      <c r="Z2187" s="124"/>
      <c r="AA2187" s="74"/>
      <c r="AB2187" s="240"/>
      <c r="AD2187" s="124"/>
      <c r="AE2187" s="238"/>
      <c r="AF2187" s="239"/>
      <c r="AG2187" s="239"/>
      <c r="AH2187" s="124"/>
      <c r="AI2187" s="74"/>
      <c r="AJ2187" s="240"/>
      <c r="AL2187" s="124"/>
      <c r="AM2187" s="74"/>
      <c r="AP2187" s="125"/>
      <c r="AQ2187" s="241"/>
      <c r="AR2187" s="125"/>
      <c r="AS2187" s="125"/>
      <c r="AT2187" s="238"/>
      <c r="AU2187" s="125"/>
      <c r="AV2187" s="125"/>
      <c r="AW2187" s="125"/>
      <c r="AX2187" s="238"/>
      <c r="AY2187" s="125"/>
      <c r="AZ2187" s="125"/>
      <c r="BA2187" s="125"/>
    </row>
    <row r="2188" spans="2:53" s="123" customFormat="1">
      <c r="B2188" s="125"/>
      <c r="D2188" s="125"/>
      <c r="I2188" s="125"/>
      <c r="Z2188" s="124"/>
      <c r="AA2188" s="74"/>
      <c r="AB2188" s="240"/>
      <c r="AD2188" s="124"/>
      <c r="AE2188" s="238"/>
      <c r="AF2188" s="239"/>
      <c r="AG2188" s="239"/>
      <c r="AH2188" s="124"/>
      <c r="AI2188" s="74"/>
      <c r="AJ2188" s="240"/>
      <c r="AL2188" s="124"/>
      <c r="AM2188" s="74"/>
      <c r="AP2188" s="125"/>
      <c r="AQ2188" s="241"/>
      <c r="AR2188" s="125"/>
      <c r="AS2188" s="125"/>
      <c r="AT2188" s="238"/>
      <c r="AU2188" s="125"/>
      <c r="AV2188" s="125"/>
      <c r="AW2188" s="125"/>
      <c r="AX2188" s="238"/>
      <c r="AY2188" s="125"/>
      <c r="AZ2188" s="125"/>
      <c r="BA2188" s="125"/>
    </row>
    <row r="2189" spans="2:53" s="123" customFormat="1">
      <c r="B2189" s="125"/>
      <c r="D2189" s="125"/>
      <c r="I2189" s="125"/>
      <c r="Z2189" s="124"/>
      <c r="AA2189" s="74"/>
      <c r="AB2189" s="240"/>
      <c r="AD2189" s="124"/>
      <c r="AE2189" s="238"/>
      <c r="AF2189" s="239"/>
      <c r="AG2189" s="239"/>
      <c r="AH2189" s="124"/>
      <c r="AI2189" s="74"/>
      <c r="AJ2189" s="240"/>
      <c r="AL2189" s="124"/>
      <c r="AM2189" s="74"/>
      <c r="AP2189" s="125"/>
      <c r="AQ2189" s="241"/>
      <c r="AR2189" s="125"/>
      <c r="AS2189" s="125"/>
      <c r="AT2189" s="238"/>
      <c r="AU2189" s="125"/>
      <c r="AV2189" s="125"/>
      <c r="AW2189" s="125"/>
      <c r="AX2189" s="238"/>
      <c r="AY2189" s="125"/>
      <c r="AZ2189" s="125"/>
      <c r="BA2189" s="125"/>
    </row>
    <row r="2190" spans="2:53" s="123" customFormat="1">
      <c r="B2190" s="125"/>
      <c r="D2190" s="125"/>
      <c r="I2190" s="125"/>
      <c r="Z2190" s="124"/>
      <c r="AA2190" s="74"/>
      <c r="AB2190" s="240"/>
      <c r="AD2190" s="124"/>
      <c r="AE2190" s="238"/>
      <c r="AF2190" s="239"/>
      <c r="AG2190" s="239"/>
      <c r="AH2190" s="124"/>
      <c r="AI2190" s="74"/>
      <c r="AJ2190" s="240"/>
      <c r="AL2190" s="124"/>
      <c r="AM2190" s="74"/>
      <c r="AP2190" s="125"/>
      <c r="AQ2190" s="241"/>
      <c r="AR2190" s="125"/>
      <c r="AS2190" s="125"/>
      <c r="AT2190" s="238"/>
      <c r="AU2190" s="125"/>
      <c r="AV2190" s="125"/>
      <c r="AW2190" s="125"/>
      <c r="AX2190" s="238"/>
      <c r="AY2190" s="125"/>
      <c r="AZ2190" s="125"/>
      <c r="BA2190" s="125"/>
    </row>
    <row r="2191" spans="2:53" s="123" customFormat="1">
      <c r="B2191" s="125"/>
      <c r="D2191" s="125"/>
      <c r="I2191" s="125"/>
      <c r="Z2191" s="124"/>
      <c r="AA2191" s="74"/>
      <c r="AB2191" s="240"/>
      <c r="AD2191" s="124"/>
      <c r="AE2191" s="238"/>
      <c r="AF2191" s="239"/>
      <c r="AG2191" s="239"/>
      <c r="AH2191" s="124"/>
      <c r="AI2191" s="74"/>
      <c r="AJ2191" s="240"/>
      <c r="AL2191" s="124"/>
      <c r="AM2191" s="74"/>
      <c r="AP2191" s="125"/>
      <c r="AQ2191" s="241"/>
      <c r="AR2191" s="125"/>
      <c r="AS2191" s="125"/>
      <c r="AT2191" s="238"/>
      <c r="AU2191" s="125"/>
      <c r="AV2191" s="125"/>
      <c r="AW2191" s="125"/>
      <c r="AX2191" s="238"/>
      <c r="AY2191" s="125"/>
      <c r="AZ2191" s="125"/>
      <c r="BA2191" s="125"/>
    </row>
    <row r="2192" spans="2:53" s="123" customFormat="1">
      <c r="B2192" s="125"/>
      <c r="D2192" s="125"/>
      <c r="I2192" s="125"/>
      <c r="Z2192" s="124"/>
      <c r="AA2192" s="74"/>
      <c r="AB2192" s="240"/>
      <c r="AD2192" s="124"/>
      <c r="AE2192" s="238"/>
      <c r="AF2192" s="239"/>
      <c r="AG2192" s="239"/>
      <c r="AH2192" s="124"/>
      <c r="AI2192" s="74"/>
      <c r="AJ2192" s="240"/>
      <c r="AL2192" s="124"/>
      <c r="AM2192" s="74"/>
      <c r="AP2192" s="125"/>
      <c r="AQ2192" s="241"/>
      <c r="AR2192" s="125"/>
      <c r="AS2192" s="125"/>
      <c r="AT2192" s="238"/>
      <c r="AU2192" s="125"/>
      <c r="AV2192" s="125"/>
      <c r="AW2192" s="125"/>
      <c r="AX2192" s="238"/>
      <c r="AY2192" s="125"/>
      <c r="AZ2192" s="125"/>
      <c r="BA2192" s="125"/>
    </row>
    <row r="2193" spans="2:53" s="123" customFormat="1">
      <c r="B2193" s="125"/>
      <c r="D2193" s="125"/>
      <c r="I2193" s="125"/>
      <c r="Z2193" s="124"/>
      <c r="AA2193" s="74"/>
      <c r="AB2193" s="240"/>
      <c r="AD2193" s="124"/>
      <c r="AE2193" s="238"/>
      <c r="AF2193" s="239"/>
      <c r="AG2193" s="239"/>
      <c r="AH2193" s="124"/>
      <c r="AI2193" s="74"/>
      <c r="AJ2193" s="240"/>
      <c r="AL2193" s="124"/>
      <c r="AM2193" s="74"/>
      <c r="AP2193" s="125"/>
      <c r="AQ2193" s="241"/>
      <c r="AR2193" s="125"/>
      <c r="AS2193" s="125"/>
      <c r="AT2193" s="238"/>
      <c r="AU2193" s="125"/>
      <c r="AV2193" s="125"/>
      <c r="AW2193" s="125"/>
      <c r="AX2193" s="238"/>
      <c r="AY2193" s="125"/>
      <c r="AZ2193" s="125"/>
      <c r="BA2193" s="125"/>
    </row>
    <row r="2194" spans="2:53" s="123" customFormat="1">
      <c r="B2194" s="125"/>
      <c r="D2194" s="125"/>
      <c r="I2194" s="125"/>
      <c r="Z2194" s="124"/>
      <c r="AA2194" s="74"/>
      <c r="AB2194" s="240"/>
      <c r="AD2194" s="124"/>
      <c r="AE2194" s="238"/>
      <c r="AF2194" s="239"/>
      <c r="AG2194" s="239"/>
      <c r="AH2194" s="124"/>
      <c r="AI2194" s="74"/>
      <c r="AJ2194" s="240"/>
      <c r="AL2194" s="124"/>
      <c r="AM2194" s="74"/>
      <c r="AP2194" s="125"/>
      <c r="AQ2194" s="241"/>
      <c r="AR2194" s="125"/>
      <c r="AS2194" s="125"/>
      <c r="AT2194" s="238"/>
      <c r="AU2194" s="125"/>
      <c r="AV2194" s="125"/>
      <c r="AW2194" s="125"/>
      <c r="AX2194" s="238"/>
      <c r="AY2194" s="125"/>
      <c r="AZ2194" s="125"/>
      <c r="BA2194" s="125"/>
    </row>
    <row r="2195" spans="2:53" s="123" customFormat="1">
      <c r="B2195" s="125"/>
      <c r="D2195" s="125"/>
      <c r="I2195" s="125"/>
      <c r="Z2195" s="124"/>
      <c r="AA2195" s="74"/>
      <c r="AB2195" s="240"/>
      <c r="AD2195" s="124"/>
      <c r="AE2195" s="238"/>
      <c r="AF2195" s="239"/>
      <c r="AG2195" s="239"/>
      <c r="AH2195" s="124"/>
      <c r="AI2195" s="74"/>
      <c r="AJ2195" s="240"/>
      <c r="AL2195" s="124"/>
      <c r="AM2195" s="74"/>
      <c r="AP2195" s="125"/>
      <c r="AQ2195" s="241"/>
      <c r="AR2195" s="125"/>
      <c r="AS2195" s="125"/>
      <c r="AT2195" s="238"/>
      <c r="AU2195" s="125"/>
      <c r="AV2195" s="125"/>
      <c r="AW2195" s="125"/>
      <c r="AX2195" s="238"/>
      <c r="AY2195" s="125"/>
      <c r="AZ2195" s="125"/>
      <c r="BA2195" s="125"/>
    </row>
    <row r="2196" spans="2:53" s="123" customFormat="1">
      <c r="B2196" s="125"/>
      <c r="D2196" s="125"/>
      <c r="I2196" s="125"/>
      <c r="Z2196" s="124"/>
      <c r="AA2196" s="74"/>
      <c r="AB2196" s="240"/>
      <c r="AD2196" s="124"/>
      <c r="AE2196" s="238"/>
      <c r="AF2196" s="239"/>
      <c r="AG2196" s="239"/>
      <c r="AH2196" s="124"/>
      <c r="AI2196" s="74"/>
      <c r="AJ2196" s="240"/>
      <c r="AL2196" s="124"/>
      <c r="AM2196" s="74"/>
      <c r="AP2196" s="125"/>
      <c r="AQ2196" s="241"/>
      <c r="AR2196" s="125"/>
      <c r="AS2196" s="125"/>
      <c r="AT2196" s="238"/>
      <c r="AU2196" s="125"/>
      <c r="AV2196" s="125"/>
      <c r="AW2196" s="125"/>
      <c r="AX2196" s="238"/>
      <c r="AY2196" s="125"/>
      <c r="AZ2196" s="125"/>
      <c r="BA2196" s="125"/>
    </row>
    <row r="2197" spans="2:53" s="123" customFormat="1">
      <c r="B2197" s="125"/>
      <c r="D2197" s="125"/>
      <c r="I2197" s="125"/>
      <c r="Z2197" s="124"/>
      <c r="AA2197" s="74"/>
      <c r="AB2197" s="240"/>
      <c r="AD2197" s="124"/>
      <c r="AE2197" s="238"/>
      <c r="AF2197" s="239"/>
      <c r="AG2197" s="239"/>
      <c r="AH2197" s="124"/>
      <c r="AI2197" s="74"/>
      <c r="AJ2197" s="240"/>
      <c r="AL2197" s="124"/>
      <c r="AM2197" s="74"/>
      <c r="AP2197" s="125"/>
      <c r="AQ2197" s="241"/>
      <c r="AR2197" s="125"/>
      <c r="AS2197" s="125"/>
      <c r="AT2197" s="238"/>
      <c r="AU2197" s="125"/>
      <c r="AV2197" s="125"/>
      <c r="AW2197" s="125"/>
      <c r="AX2197" s="238"/>
      <c r="AY2197" s="125"/>
      <c r="AZ2197" s="125"/>
      <c r="BA2197" s="125"/>
    </row>
    <row r="2198" spans="2:53" s="123" customFormat="1">
      <c r="B2198" s="125"/>
      <c r="D2198" s="125"/>
      <c r="I2198" s="125"/>
      <c r="Z2198" s="124"/>
      <c r="AA2198" s="74"/>
      <c r="AB2198" s="240"/>
      <c r="AD2198" s="124"/>
      <c r="AE2198" s="238"/>
      <c r="AF2198" s="239"/>
      <c r="AG2198" s="239"/>
      <c r="AH2198" s="124"/>
      <c r="AI2198" s="74"/>
      <c r="AJ2198" s="240"/>
      <c r="AL2198" s="124"/>
      <c r="AM2198" s="74"/>
      <c r="AP2198" s="125"/>
      <c r="AQ2198" s="241"/>
      <c r="AR2198" s="125"/>
      <c r="AS2198" s="125"/>
      <c r="AT2198" s="238"/>
      <c r="AU2198" s="125"/>
      <c r="AV2198" s="125"/>
      <c r="AW2198" s="125"/>
      <c r="AX2198" s="238"/>
      <c r="AY2198" s="125"/>
      <c r="AZ2198" s="125"/>
      <c r="BA2198" s="125"/>
    </row>
    <row r="2199" spans="2:53" s="123" customFormat="1">
      <c r="B2199" s="125"/>
      <c r="D2199" s="125"/>
      <c r="I2199" s="125"/>
      <c r="Z2199" s="124"/>
      <c r="AA2199" s="74"/>
      <c r="AB2199" s="240"/>
      <c r="AD2199" s="124"/>
      <c r="AE2199" s="238"/>
      <c r="AF2199" s="239"/>
      <c r="AG2199" s="239"/>
      <c r="AH2199" s="124"/>
      <c r="AI2199" s="74"/>
      <c r="AJ2199" s="240"/>
      <c r="AL2199" s="124"/>
      <c r="AM2199" s="74"/>
      <c r="AP2199" s="125"/>
      <c r="AQ2199" s="241"/>
      <c r="AR2199" s="125"/>
      <c r="AS2199" s="125"/>
      <c r="AT2199" s="238"/>
      <c r="AU2199" s="125"/>
      <c r="AV2199" s="125"/>
      <c r="AW2199" s="125"/>
      <c r="AX2199" s="238"/>
      <c r="AY2199" s="125"/>
      <c r="AZ2199" s="125"/>
      <c r="BA2199" s="125"/>
    </row>
    <row r="2200" spans="2:53" s="123" customFormat="1">
      <c r="B2200" s="125"/>
      <c r="D2200" s="125"/>
      <c r="I2200" s="125"/>
      <c r="Z2200" s="124"/>
      <c r="AA2200" s="74"/>
      <c r="AB2200" s="240"/>
      <c r="AD2200" s="124"/>
      <c r="AE2200" s="238"/>
      <c r="AF2200" s="239"/>
      <c r="AG2200" s="239"/>
      <c r="AH2200" s="124"/>
      <c r="AI2200" s="74"/>
      <c r="AJ2200" s="240"/>
      <c r="AL2200" s="124"/>
      <c r="AM2200" s="74"/>
      <c r="AP2200" s="125"/>
      <c r="AQ2200" s="241"/>
      <c r="AR2200" s="125"/>
      <c r="AS2200" s="125"/>
      <c r="AT2200" s="238"/>
      <c r="AU2200" s="125"/>
      <c r="AV2200" s="125"/>
      <c r="AW2200" s="125"/>
      <c r="AX2200" s="238"/>
      <c r="AY2200" s="125"/>
      <c r="AZ2200" s="125"/>
      <c r="BA2200" s="125"/>
    </row>
    <row r="2201" spans="2:53" s="123" customFormat="1">
      <c r="B2201" s="125"/>
      <c r="D2201" s="125"/>
      <c r="I2201" s="125"/>
      <c r="Z2201" s="124"/>
      <c r="AA2201" s="74"/>
      <c r="AB2201" s="240"/>
      <c r="AD2201" s="124"/>
      <c r="AE2201" s="238"/>
      <c r="AF2201" s="239"/>
      <c r="AG2201" s="239"/>
      <c r="AH2201" s="124"/>
      <c r="AI2201" s="74"/>
      <c r="AJ2201" s="240"/>
      <c r="AL2201" s="124"/>
      <c r="AM2201" s="74"/>
      <c r="AP2201" s="125"/>
      <c r="AQ2201" s="241"/>
      <c r="AR2201" s="125"/>
      <c r="AS2201" s="125"/>
      <c r="AT2201" s="238"/>
      <c r="AU2201" s="125"/>
      <c r="AV2201" s="125"/>
      <c r="AW2201" s="125"/>
      <c r="AX2201" s="238"/>
      <c r="AY2201" s="125"/>
      <c r="AZ2201" s="125"/>
      <c r="BA2201" s="125"/>
    </row>
    <row r="2202" spans="2:53" s="123" customFormat="1">
      <c r="B2202" s="125"/>
      <c r="D2202" s="125"/>
      <c r="I2202" s="125"/>
      <c r="Z2202" s="124"/>
      <c r="AA2202" s="74"/>
      <c r="AB2202" s="240"/>
      <c r="AD2202" s="124"/>
      <c r="AE2202" s="238"/>
      <c r="AF2202" s="239"/>
      <c r="AG2202" s="239"/>
      <c r="AH2202" s="124"/>
      <c r="AI2202" s="74"/>
      <c r="AJ2202" s="240"/>
      <c r="AL2202" s="124"/>
      <c r="AM2202" s="74"/>
      <c r="AP2202" s="125"/>
      <c r="AQ2202" s="241"/>
      <c r="AR2202" s="125"/>
      <c r="AS2202" s="125"/>
      <c r="AT2202" s="238"/>
      <c r="AU2202" s="125"/>
      <c r="AV2202" s="125"/>
      <c r="AW2202" s="125"/>
      <c r="AX2202" s="238"/>
      <c r="AY2202" s="125"/>
      <c r="AZ2202" s="125"/>
      <c r="BA2202" s="125"/>
    </row>
    <row r="2203" spans="2:53" s="123" customFormat="1">
      <c r="B2203" s="125"/>
      <c r="D2203" s="125"/>
      <c r="I2203" s="125"/>
      <c r="Z2203" s="124"/>
      <c r="AA2203" s="74"/>
      <c r="AB2203" s="240"/>
      <c r="AD2203" s="124"/>
      <c r="AE2203" s="238"/>
      <c r="AF2203" s="239"/>
      <c r="AG2203" s="239"/>
      <c r="AH2203" s="124"/>
      <c r="AI2203" s="74"/>
      <c r="AJ2203" s="240"/>
      <c r="AL2203" s="124"/>
      <c r="AM2203" s="74"/>
      <c r="AP2203" s="125"/>
      <c r="AQ2203" s="241"/>
      <c r="AR2203" s="125"/>
      <c r="AS2203" s="125"/>
      <c r="AT2203" s="238"/>
      <c r="AU2203" s="125"/>
      <c r="AV2203" s="125"/>
      <c r="AW2203" s="125"/>
      <c r="AX2203" s="238"/>
      <c r="AY2203" s="125"/>
      <c r="AZ2203" s="125"/>
      <c r="BA2203" s="125"/>
    </row>
    <row r="2204" spans="2:53" s="123" customFormat="1">
      <c r="B2204" s="125"/>
      <c r="D2204" s="125"/>
      <c r="I2204" s="125"/>
      <c r="Z2204" s="124"/>
      <c r="AA2204" s="74"/>
      <c r="AB2204" s="240"/>
      <c r="AD2204" s="124"/>
      <c r="AE2204" s="238"/>
      <c r="AF2204" s="239"/>
      <c r="AG2204" s="239"/>
      <c r="AH2204" s="124"/>
      <c r="AI2204" s="74"/>
      <c r="AJ2204" s="240"/>
      <c r="AL2204" s="124"/>
      <c r="AM2204" s="74"/>
      <c r="AP2204" s="125"/>
      <c r="AQ2204" s="241"/>
      <c r="AR2204" s="125"/>
      <c r="AS2204" s="125"/>
      <c r="AT2204" s="238"/>
      <c r="AU2204" s="125"/>
      <c r="AV2204" s="125"/>
      <c r="AW2204" s="125"/>
      <c r="AX2204" s="238"/>
      <c r="AY2204" s="125"/>
      <c r="AZ2204" s="125"/>
      <c r="BA2204" s="125"/>
    </row>
    <row r="2205" spans="2:53" s="123" customFormat="1">
      <c r="B2205" s="125"/>
      <c r="D2205" s="125"/>
      <c r="I2205" s="125"/>
      <c r="Z2205" s="124"/>
      <c r="AA2205" s="74"/>
      <c r="AB2205" s="240"/>
      <c r="AD2205" s="124"/>
      <c r="AE2205" s="238"/>
      <c r="AF2205" s="239"/>
      <c r="AG2205" s="239"/>
      <c r="AH2205" s="124"/>
      <c r="AI2205" s="74"/>
      <c r="AJ2205" s="240"/>
      <c r="AL2205" s="124"/>
      <c r="AM2205" s="74"/>
      <c r="AP2205" s="125"/>
      <c r="AQ2205" s="241"/>
      <c r="AR2205" s="125"/>
      <c r="AS2205" s="125"/>
      <c r="AT2205" s="238"/>
      <c r="AU2205" s="125"/>
      <c r="AV2205" s="125"/>
      <c r="AW2205" s="125"/>
      <c r="AX2205" s="238"/>
      <c r="AY2205" s="125"/>
      <c r="AZ2205" s="125"/>
      <c r="BA2205" s="125"/>
    </row>
    <row r="2206" spans="2:53" s="123" customFormat="1">
      <c r="B2206" s="125"/>
      <c r="D2206" s="125"/>
      <c r="I2206" s="125"/>
      <c r="Z2206" s="124"/>
      <c r="AA2206" s="74"/>
      <c r="AB2206" s="240"/>
      <c r="AD2206" s="124"/>
      <c r="AE2206" s="238"/>
      <c r="AF2206" s="239"/>
      <c r="AG2206" s="239"/>
      <c r="AH2206" s="124"/>
      <c r="AI2206" s="74"/>
      <c r="AJ2206" s="240"/>
      <c r="AL2206" s="124"/>
      <c r="AM2206" s="74"/>
      <c r="AP2206" s="125"/>
      <c r="AQ2206" s="241"/>
      <c r="AR2206" s="125"/>
      <c r="AS2206" s="125"/>
      <c r="AT2206" s="238"/>
      <c r="AU2206" s="125"/>
      <c r="AV2206" s="125"/>
      <c r="AW2206" s="125"/>
      <c r="AX2206" s="238"/>
      <c r="AY2206" s="125"/>
      <c r="AZ2206" s="125"/>
      <c r="BA2206" s="125"/>
    </row>
    <row r="2207" spans="2:53" s="123" customFormat="1">
      <c r="B2207" s="125"/>
      <c r="D2207" s="125"/>
      <c r="I2207" s="125"/>
      <c r="Z2207" s="124"/>
      <c r="AA2207" s="74"/>
      <c r="AB2207" s="240"/>
      <c r="AD2207" s="124"/>
      <c r="AE2207" s="238"/>
      <c r="AF2207" s="239"/>
      <c r="AG2207" s="239"/>
      <c r="AH2207" s="124"/>
      <c r="AI2207" s="74"/>
      <c r="AJ2207" s="240"/>
      <c r="AL2207" s="124"/>
      <c r="AM2207" s="74"/>
      <c r="AP2207" s="125"/>
      <c r="AQ2207" s="241"/>
      <c r="AR2207" s="125"/>
      <c r="AS2207" s="125"/>
      <c r="AT2207" s="238"/>
      <c r="AU2207" s="125"/>
      <c r="AV2207" s="125"/>
      <c r="AW2207" s="125"/>
      <c r="AX2207" s="238"/>
      <c r="AY2207" s="125"/>
      <c r="AZ2207" s="125"/>
      <c r="BA2207" s="125"/>
    </row>
    <row r="2208" spans="2:53" s="123" customFormat="1">
      <c r="B2208" s="125"/>
      <c r="D2208" s="125"/>
      <c r="I2208" s="125"/>
      <c r="Z2208" s="124"/>
      <c r="AA2208" s="74"/>
      <c r="AB2208" s="240"/>
      <c r="AD2208" s="124"/>
      <c r="AE2208" s="238"/>
      <c r="AF2208" s="239"/>
      <c r="AG2208" s="239"/>
      <c r="AH2208" s="124"/>
      <c r="AI2208" s="74"/>
      <c r="AJ2208" s="240"/>
      <c r="AL2208" s="124"/>
      <c r="AM2208" s="74"/>
      <c r="AP2208" s="125"/>
      <c r="AQ2208" s="241"/>
      <c r="AR2208" s="125"/>
      <c r="AS2208" s="125"/>
      <c r="AT2208" s="238"/>
      <c r="AU2208" s="125"/>
      <c r="AV2208" s="125"/>
      <c r="AW2208" s="125"/>
      <c r="AX2208" s="238"/>
      <c r="AY2208" s="125"/>
      <c r="AZ2208" s="125"/>
      <c r="BA2208" s="125"/>
    </row>
    <row r="2209" spans="2:53" s="123" customFormat="1">
      <c r="B2209" s="125"/>
      <c r="D2209" s="125"/>
      <c r="I2209" s="125"/>
      <c r="Z2209" s="124"/>
      <c r="AA2209" s="74"/>
      <c r="AB2209" s="240"/>
      <c r="AD2209" s="124"/>
      <c r="AE2209" s="238"/>
      <c r="AF2209" s="239"/>
      <c r="AG2209" s="239"/>
      <c r="AH2209" s="124"/>
      <c r="AI2209" s="74"/>
      <c r="AJ2209" s="240"/>
      <c r="AL2209" s="124"/>
      <c r="AM2209" s="74"/>
      <c r="AP2209" s="125"/>
      <c r="AQ2209" s="241"/>
      <c r="AR2209" s="125"/>
      <c r="AS2209" s="125"/>
      <c r="AT2209" s="238"/>
      <c r="AU2209" s="125"/>
      <c r="AV2209" s="125"/>
      <c r="AW2209" s="125"/>
      <c r="AX2209" s="238"/>
      <c r="AY2209" s="125"/>
      <c r="AZ2209" s="125"/>
      <c r="BA2209" s="125"/>
    </row>
    <row r="2210" spans="2:53" s="123" customFormat="1">
      <c r="B2210" s="125"/>
      <c r="D2210" s="125"/>
      <c r="I2210" s="125"/>
      <c r="Z2210" s="124"/>
      <c r="AA2210" s="74"/>
      <c r="AB2210" s="240"/>
      <c r="AD2210" s="124"/>
      <c r="AE2210" s="238"/>
      <c r="AF2210" s="239"/>
      <c r="AG2210" s="239"/>
      <c r="AH2210" s="124"/>
      <c r="AI2210" s="74"/>
      <c r="AJ2210" s="240"/>
      <c r="AL2210" s="124"/>
      <c r="AM2210" s="74"/>
      <c r="AP2210" s="125"/>
      <c r="AQ2210" s="241"/>
      <c r="AR2210" s="125"/>
      <c r="AS2210" s="125"/>
      <c r="AT2210" s="238"/>
      <c r="AU2210" s="125"/>
      <c r="AV2210" s="125"/>
      <c r="AW2210" s="125"/>
      <c r="AX2210" s="238"/>
      <c r="AY2210" s="125"/>
      <c r="AZ2210" s="125"/>
      <c r="BA2210" s="125"/>
    </row>
    <row r="2211" spans="2:53" s="123" customFormat="1">
      <c r="B2211" s="125"/>
      <c r="D2211" s="125"/>
      <c r="I2211" s="125"/>
      <c r="Z2211" s="124"/>
      <c r="AA2211" s="74"/>
      <c r="AB2211" s="240"/>
      <c r="AD2211" s="124"/>
      <c r="AE2211" s="238"/>
      <c r="AF2211" s="239"/>
      <c r="AG2211" s="239"/>
      <c r="AH2211" s="124"/>
      <c r="AI2211" s="74"/>
      <c r="AJ2211" s="240"/>
      <c r="AL2211" s="124"/>
      <c r="AM2211" s="74"/>
      <c r="AP2211" s="125"/>
      <c r="AQ2211" s="241"/>
      <c r="AR2211" s="125"/>
      <c r="AS2211" s="125"/>
      <c r="AT2211" s="238"/>
      <c r="AU2211" s="125"/>
      <c r="AV2211" s="125"/>
      <c r="AW2211" s="125"/>
      <c r="AX2211" s="238"/>
      <c r="AY2211" s="125"/>
      <c r="AZ2211" s="125"/>
      <c r="BA2211" s="125"/>
    </row>
    <row r="2212" spans="2:53" s="123" customFormat="1">
      <c r="B2212" s="125"/>
      <c r="D2212" s="125"/>
      <c r="I2212" s="125"/>
      <c r="Z2212" s="124"/>
      <c r="AA2212" s="74"/>
      <c r="AB2212" s="240"/>
      <c r="AD2212" s="124"/>
      <c r="AE2212" s="238"/>
      <c r="AF2212" s="239"/>
      <c r="AG2212" s="239"/>
      <c r="AH2212" s="124"/>
      <c r="AI2212" s="74"/>
      <c r="AJ2212" s="240"/>
      <c r="AL2212" s="124"/>
      <c r="AM2212" s="74"/>
      <c r="AP2212" s="125"/>
      <c r="AQ2212" s="241"/>
      <c r="AR2212" s="125"/>
      <c r="AS2212" s="125"/>
      <c r="AT2212" s="238"/>
      <c r="AU2212" s="125"/>
      <c r="AV2212" s="125"/>
      <c r="AW2212" s="125"/>
      <c r="AX2212" s="238"/>
      <c r="AY2212" s="125"/>
      <c r="AZ2212" s="125"/>
      <c r="BA2212" s="125"/>
    </row>
    <row r="2213" spans="2:53" s="123" customFormat="1">
      <c r="B2213" s="125"/>
      <c r="D2213" s="125"/>
      <c r="I2213" s="125"/>
      <c r="Z2213" s="124"/>
      <c r="AA2213" s="74"/>
      <c r="AB2213" s="240"/>
      <c r="AD2213" s="124"/>
      <c r="AE2213" s="238"/>
      <c r="AF2213" s="239"/>
      <c r="AG2213" s="239"/>
      <c r="AH2213" s="124"/>
      <c r="AI2213" s="74"/>
      <c r="AJ2213" s="240"/>
      <c r="AL2213" s="124"/>
      <c r="AM2213" s="74"/>
      <c r="AP2213" s="125"/>
      <c r="AQ2213" s="241"/>
      <c r="AR2213" s="125"/>
      <c r="AS2213" s="125"/>
      <c r="AT2213" s="238"/>
      <c r="AU2213" s="125"/>
      <c r="AV2213" s="125"/>
      <c r="AW2213" s="125"/>
      <c r="AX2213" s="238"/>
      <c r="AY2213" s="125"/>
      <c r="AZ2213" s="125"/>
      <c r="BA2213" s="125"/>
    </row>
    <row r="2214" spans="2:53" s="123" customFormat="1">
      <c r="B2214" s="125"/>
      <c r="D2214" s="125"/>
      <c r="I2214" s="125"/>
      <c r="Z2214" s="124"/>
      <c r="AA2214" s="74"/>
      <c r="AB2214" s="240"/>
      <c r="AD2214" s="124"/>
      <c r="AE2214" s="238"/>
      <c r="AF2214" s="239"/>
      <c r="AG2214" s="239"/>
      <c r="AH2214" s="124"/>
      <c r="AI2214" s="74"/>
      <c r="AJ2214" s="240"/>
      <c r="AL2214" s="124"/>
      <c r="AM2214" s="74"/>
      <c r="AP2214" s="125"/>
      <c r="AQ2214" s="241"/>
      <c r="AR2214" s="125"/>
      <c r="AS2214" s="125"/>
      <c r="AT2214" s="238"/>
      <c r="AU2214" s="125"/>
      <c r="AV2214" s="125"/>
      <c r="AW2214" s="125"/>
      <c r="AX2214" s="238"/>
      <c r="AY2214" s="125"/>
      <c r="AZ2214" s="125"/>
      <c r="BA2214" s="125"/>
    </row>
    <row r="2215" spans="2:53" s="123" customFormat="1">
      <c r="B2215" s="125"/>
      <c r="D2215" s="125"/>
      <c r="I2215" s="125"/>
      <c r="Z2215" s="124"/>
      <c r="AA2215" s="74"/>
      <c r="AB2215" s="240"/>
      <c r="AD2215" s="124"/>
      <c r="AE2215" s="238"/>
      <c r="AF2215" s="239"/>
      <c r="AG2215" s="239"/>
      <c r="AH2215" s="124"/>
      <c r="AI2215" s="74"/>
      <c r="AJ2215" s="240"/>
      <c r="AL2215" s="124"/>
      <c r="AM2215" s="74"/>
      <c r="AP2215" s="125"/>
      <c r="AQ2215" s="241"/>
      <c r="AR2215" s="125"/>
      <c r="AS2215" s="125"/>
      <c r="AT2215" s="238"/>
      <c r="AU2215" s="125"/>
      <c r="AV2215" s="125"/>
      <c r="AW2215" s="125"/>
      <c r="AX2215" s="238"/>
      <c r="AY2215" s="125"/>
      <c r="AZ2215" s="125"/>
      <c r="BA2215" s="125"/>
    </row>
    <row r="2216" spans="2:53" s="123" customFormat="1">
      <c r="B2216" s="125"/>
      <c r="D2216" s="125"/>
      <c r="I2216" s="125"/>
      <c r="Z2216" s="124"/>
      <c r="AA2216" s="74"/>
      <c r="AB2216" s="240"/>
      <c r="AD2216" s="124"/>
      <c r="AE2216" s="238"/>
      <c r="AF2216" s="239"/>
      <c r="AG2216" s="239"/>
      <c r="AH2216" s="124"/>
      <c r="AI2216" s="74"/>
      <c r="AJ2216" s="240"/>
      <c r="AL2216" s="124"/>
      <c r="AM2216" s="74"/>
      <c r="AP2216" s="125"/>
      <c r="AQ2216" s="241"/>
      <c r="AR2216" s="125"/>
      <c r="AS2216" s="125"/>
      <c r="AT2216" s="238"/>
      <c r="AU2216" s="125"/>
      <c r="AV2216" s="125"/>
      <c r="AW2216" s="125"/>
      <c r="AX2216" s="238"/>
      <c r="AY2216" s="125"/>
      <c r="AZ2216" s="125"/>
      <c r="BA2216" s="125"/>
    </row>
    <row r="2217" spans="2:53" s="123" customFormat="1">
      <c r="B2217" s="125"/>
      <c r="D2217" s="125"/>
      <c r="I2217" s="125"/>
      <c r="Z2217" s="124"/>
      <c r="AA2217" s="74"/>
      <c r="AB2217" s="240"/>
      <c r="AD2217" s="124"/>
      <c r="AE2217" s="238"/>
      <c r="AF2217" s="239"/>
      <c r="AG2217" s="239"/>
      <c r="AH2217" s="124"/>
      <c r="AI2217" s="74"/>
      <c r="AJ2217" s="240"/>
      <c r="AL2217" s="124"/>
      <c r="AM2217" s="74"/>
      <c r="AP2217" s="125"/>
      <c r="AQ2217" s="241"/>
      <c r="AR2217" s="125"/>
      <c r="AS2217" s="125"/>
      <c r="AT2217" s="238"/>
      <c r="AU2217" s="125"/>
      <c r="AV2217" s="125"/>
      <c r="AW2217" s="125"/>
      <c r="AX2217" s="238"/>
      <c r="AY2217" s="125"/>
      <c r="AZ2217" s="125"/>
      <c r="BA2217" s="125"/>
    </row>
    <row r="2218" spans="2:53" s="123" customFormat="1">
      <c r="B2218" s="125"/>
      <c r="D2218" s="125"/>
      <c r="I2218" s="125"/>
      <c r="Z2218" s="124"/>
      <c r="AA2218" s="74"/>
      <c r="AB2218" s="240"/>
      <c r="AD2218" s="124"/>
      <c r="AE2218" s="238"/>
      <c r="AF2218" s="239"/>
      <c r="AG2218" s="239"/>
      <c r="AH2218" s="124"/>
      <c r="AI2218" s="74"/>
      <c r="AJ2218" s="240"/>
      <c r="AL2218" s="124"/>
      <c r="AM2218" s="74"/>
      <c r="AP2218" s="125"/>
      <c r="AQ2218" s="241"/>
      <c r="AR2218" s="125"/>
      <c r="AS2218" s="125"/>
      <c r="AT2218" s="238"/>
      <c r="AU2218" s="125"/>
      <c r="AV2218" s="125"/>
      <c r="AW2218" s="125"/>
      <c r="AX2218" s="238"/>
      <c r="AY2218" s="125"/>
      <c r="AZ2218" s="125"/>
      <c r="BA2218" s="125"/>
    </row>
    <row r="2219" spans="2:53" s="123" customFormat="1">
      <c r="B2219" s="125"/>
      <c r="D2219" s="125"/>
      <c r="I2219" s="125"/>
      <c r="Z2219" s="124"/>
      <c r="AA2219" s="74"/>
      <c r="AB2219" s="240"/>
      <c r="AD2219" s="124"/>
      <c r="AE2219" s="238"/>
      <c r="AF2219" s="239"/>
      <c r="AG2219" s="239"/>
      <c r="AH2219" s="124"/>
      <c r="AI2219" s="74"/>
      <c r="AJ2219" s="240"/>
      <c r="AL2219" s="124"/>
      <c r="AM2219" s="74"/>
      <c r="AP2219" s="125"/>
      <c r="AQ2219" s="241"/>
      <c r="AR2219" s="125"/>
      <c r="AS2219" s="125"/>
      <c r="AT2219" s="238"/>
      <c r="AU2219" s="125"/>
      <c r="AV2219" s="125"/>
      <c r="AW2219" s="125"/>
      <c r="AX2219" s="238"/>
      <c r="AY2219" s="125"/>
      <c r="AZ2219" s="125"/>
      <c r="BA2219" s="125"/>
    </row>
    <row r="2220" spans="2:53" s="123" customFormat="1">
      <c r="B2220" s="125"/>
      <c r="D2220" s="125"/>
      <c r="I2220" s="125"/>
      <c r="Z2220" s="124"/>
      <c r="AA2220" s="74"/>
      <c r="AB2220" s="240"/>
      <c r="AD2220" s="124"/>
      <c r="AE2220" s="238"/>
      <c r="AF2220" s="239"/>
      <c r="AG2220" s="239"/>
      <c r="AH2220" s="124"/>
      <c r="AI2220" s="74"/>
      <c r="AJ2220" s="240"/>
      <c r="AL2220" s="124"/>
      <c r="AM2220" s="74"/>
      <c r="AP2220" s="125"/>
      <c r="AQ2220" s="241"/>
      <c r="AR2220" s="125"/>
      <c r="AS2220" s="125"/>
      <c r="AT2220" s="238"/>
      <c r="AU2220" s="125"/>
      <c r="AV2220" s="125"/>
      <c r="AW2220" s="125"/>
      <c r="AX2220" s="238"/>
      <c r="AY2220" s="125"/>
      <c r="AZ2220" s="125"/>
      <c r="BA2220" s="125"/>
    </row>
    <row r="2221" spans="2:53" s="123" customFormat="1">
      <c r="B2221" s="125"/>
      <c r="D2221" s="125"/>
      <c r="I2221" s="125"/>
      <c r="Z2221" s="124"/>
      <c r="AA2221" s="74"/>
      <c r="AB2221" s="240"/>
      <c r="AD2221" s="124"/>
      <c r="AE2221" s="238"/>
      <c r="AF2221" s="239"/>
      <c r="AG2221" s="239"/>
      <c r="AH2221" s="124"/>
      <c r="AI2221" s="74"/>
      <c r="AJ2221" s="240"/>
      <c r="AL2221" s="124"/>
      <c r="AM2221" s="74"/>
      <c r="AP2221" s="125"/>
      <c r="AQ2221" s="241"/>
      <c r="AR2221" s="125"/>
      <c r="AS2221" s="125"/>
      <c r="AT2221" s="238"/>
      <c r="AU2221" s="125"/>
      <c r="AV2221" s="125"/>
      <c r="AW2221" s="125"/>
      <c r="AX2221" s="238"/>
      <c r="AY2221" s="125"/>
      <c r="AZ2221" s="125"/>
      <c r="BA2221" s="125"/>
    </row>
    <row r="2222" spans="2:53" s="123" customFormat="1">
      <c r="B2222" s="125"/>
      <c r="D2222" s="125"/>
      <c r="I2222" s="125"/>
      <c r="Z2222" s="124"/>
      <c r="AA2222" s="74"/>
      <c r="AB2222" s="240"/>
      <c r="AD2222" s="124"/>
      <c r="AE2222" s="238"/>
      <c r="AF2222" s="239"/>
      <c r="AG2222" s="239"/>
      <c r="AH2222" s="124"/>
      <c r="AI2222" s="74"/>
      <c r="AJ2222" s="240"/>
      <c r="AL2222" s="124"/>
      <c r="AM2222" s="74"/>
      <c r="AP2222" s="125"/>
      <c r="AQ2222" s="241"/>
      <c r="AR2222" s="125"/>
      <c r="AS2222" s="125"/>
      <c r="AT2222" s="238"/>
      <c r="AU2222" s="125"/>
      <c r="AV2222" s="125"/>
      <c r="AW2222" s="125"/>
      <c r="AX2222" s="238"/>
      <c r="AY2222" s="125"/>
      <c r="AZ2222" s="125"/>
      <c r="BA2222" s="125"/>
    </row>
    <row r="2223" spans="2:53" s="123" customFormat="1">
      <c r="B2223" s="125"/>
      <c r="D2223" s="125"/>
      <c r="I2223" s="125"/>
      <c r="Z2223" s="124"/>
      <c r="AA2223" s="74"/>
      <c r="AB2223" s="240"/>
      <c r="AD2223" s="124"/>
      <c r="AE2223" s="238"/>
      <c r="AF2223" s="239"/>
      <c r="AG2223" s="239"/>
      <c r="AH2223" s="124"/>
      <c r="AI2223" s="74"/>
      <c r="AJ2223" s="240"/>
      <c r="AL2223" s="124"/>
      <c r="AM2223" s="74"/>
      <c r="AP2223" s="125"/>
      <c r="AQ2223" s="241"/>
      <c r="AR2223" s="125"/>
      <c r="AS2223" s="125"/>
      <c r="AT2223" s="238"/>
      <c r="AU2223" s="125"/>
      <c r="AV2223" s="125"/>
      <c r="AW2223" s="125"/>
      <c r="AX2223" s="238"/>
      <c r="AY2223" s="125"/>
      <c r="AZ2223" s="125"/>
      <c r="BA2223" s="125"/>
    </row>
    <row r="2224" spans="2:53" s="123" customFormat="1">
      <c r="B2224" s="125"/>
      <c r="D2224" s="125"/>
      <c r="I2224" s="125"/>
      <c r="Z2224" s="124"/>
      <c r="AA2224" s="74"/>
      <c r="AB2224" s="240"/>
      <c r="AD2224" s="124"/>
      <c r="AE2224" s="238"/>
      <c r="AF2224" s="239"/>
      <c r="AG2224" s="239"/>
      <c r="AH2224" s="124"/>
      <c r="AI2224" s="74"/>
      <c r="AJ2224" s="240"/>
      <c r="AL2224" s="124"/>
      <c r="AM2224" s="74"/>
      <c r="AP2224" s="125"/>
      <c r="AQ2224" s="241"/>
      <c r="AR2224" s="125"/>
      <c r="AS2224" s="125"/>
      <c r="AT2224" s="238"/>
      <c r="AU2224" s="125"/>
      <c r="AV2224" s="125"/>
      <c r="AW2224" s="125"/>
      <c r="AX2224" s="238"/>
      <c r="AY2224" s="125"/>
      <c r="AZ2224" s="125"/>
      <c r="BA2224" s="125"/>
    </row>
    <row r="2225" spans="2:53" s="123" customFormat="1">
      <c r="B2225" s="125"/>
      <c r="D2225" s="125"/>
      <c r="I2225" s="125"/>
      <c r="Z2225" s="124"/>
      <c r="AA2225" s="74"/>
      <c r="AB2225" s="240"/>
      <c r="AD2225" s="124"/>
      <c r="AE2225" s="238"/>
      <c r="AF2225" s="239"/>
      <c r="AG2225" s="239"/>
      <c r="AH2225" s="124"/>
      <c r="AI2225" s="74"/>
      <c r="AJ2225" s="240"/>
      <c r="AL2225" s="124"/>
      <c r="AM2225" s="74"/>
      <c r="AP2225" s="125"/>
      <c r="AQ2225" s="241"/>
      <c r="AR2225" s="125"/>
      <c r="AS2225" s="125"/>
      <c r="AT2225" s="238"/>
      <c r="AU2225" s="125"/>
      <c r="AV2225" s="125"/>
      <c r="AW2225" s="125"/>
      <c r="AX2225" s="238"/>
      <c r="AY2225" s="125"/>
      <c r="AZ2225" s="125"/>
      <c r="BA2225" s="125"/>
    </row>
    <row r="2226" spans="2:53" s="123" customFormat="1">
      <c r="B2226" s="125"/>
      <c r="D2226" s="125"/>
      <c r="I2226" s="125"/>
      <c r="Z2226" s="124"/>
      <c r="AA2226" s="74"/>
      <c r="AB2226" s="240"/>
      <c r="AD2226" s="124"/>
      <c r="AE2226" s="238"/>
      <c r="AF2226" s="239"/>
      <c r="AG2226" s="239"/>
      <c r="AH2226" s="124"/>
      <c r="AI2226" s="74"/>
      <c r="AJ2226" s="240"/>
      <c r="AL2226" s="124"/>
      <c r="AM2226" s="74"/>
      <c r="AP2226" s="125"/>
      <c r="AQ2226" s="241"/>
      <c r="AR2226" s="125"/>
      <c r="AS2226" s="125"/>
      <c r="AT2226" s="238"/>
      <c r="AU2226" s="125"/>
      <c r="AV2226" s="125"/>
      <c r="AW2226" s="125"/>
      <c r="AX2226" s="238"/>
      <c r="AY2226" s="125"/>
      <c r="AZ2226" s="125"/>
      <c r="BA2226" s="125"/>
    </row>
    <row r="2227" spans="2:53" s="123" customFormat="1">
      <c r="B2227" s="125"/>
      <c r="D2227" s="125"/>
      <c r="I2227" s="125"/>
      <c r="Z2227" s="124"/>
      <c r="AA2227" s="74"/>
      <c r="AB2227" s="240"/>
      <c r="AD2227" s="124"/>
      <c r="AE2227" s="238"/>
      <c r="AF2227" s="239"/>
      <c r="AG2227" s="239"/>
      <c r="AH2227" s="124"/>
      <c r="AI2227" s="74"/>
      <c r="AJ2227" s="240"/>
      <c r="AL2227" s="124"/>
      <c r="AM2227" s="74"/>
      <c r="AP2227" s="125"/>
      <c r="AQ2227" s="241"/>
      <c r="AR2227" s="125"/>
      <c r="AS2227" s="125"/>
      <c r="AT2227" s="238"/>
      <c r="AU2227" s="125"/>
      <c r="AV2227" s="125"/>
      <c r="AW2227" s="125"/>
      <c r="AX2227" s="238"/>
      <c r="AY2227" s="125"/>
      <c r="AZ2227" s="125"/>
      <c r="BA2227" s="125"/>
    </row>
    <row r="2228" spans="2:53" s="123" customFormat="1">
      <c r="B2228" s="125"/>
      <c r="D2228" s="125"/>
      <c r="I2228" s="125"/>
      <c r="Z2228" s="124"/>
      <c r="AA2228" s="74"/>
      <c r="AB2228" s="240"/>
      <c r="AD2228" s="124"/>
      <c r="AE2228" s="238"/>
      <c r="AF2228" s="239"/>
      <c r="AG2228" s="239"/>
      <c r="AH2228" s="124"/>
      <c r="AI2228" s="74"/>
      <c r="AJ2228" s="240"/>
      <c r="AL2228" s="124"/>
      <c r="AM2228" s="74"/>
      <c r="AP2228" s="125"/>
      <c r="AQ2228" s="241"/>
      <c r="AR2228" s="125"/>
      <c r="AS2228" s="125"/>
      <c r="AT2228" s="238"/>
      <c r="AU2228" s="125"/>
      <c r="AV2228" s="125"/>
      <c r="AW2228" s="125"/>
      <c r="AX2228" s="238"/>
      <c r="AY2228" s="125"/>
      <c r="AZ2228" s="125"/>
      <c r="BA2228" s="125"/>
    </row>
    <row r="2229" spans="2:53" s="123" customFormat="1">
      <c r="B2229" s="125"/>
      <c r="D2229" s="125"/>
      <c r="I2229" s="125"/>
      <c r="Z2229" s="124"/>
      <c r="AA2229" s="74"/>
      <c r="AB2229" s="240"/>
      <c r="AD2229" s="124"/>
      <c r="AE2229" s="238"/>
      <c r="AF2229" s="239"/>
      <c r="AG2229" s="239"/>
      <c r="AH2229" s="124"/>
      <c r="AI2229" s="74"/>
      <c r="AJ2229" s="240"/>
      <c r="AL2229" s="124"/>
      <c r="AM2229" s="74"/>
      <c r="AP2229" s="125"/>
      <c r="AQ2229" s="241"/>
      <c r="AR2229" s="125"/>
      <c r="AS2229" s="125"/>
      <c r="AT2229" s="238"/>
      <c r="AU2229" s="125"/>
      <c r="AV2229" s="125"/>
      <c r="AW2229" s="125"/>
      <c r="AX2229" s="238"/>
      <c r="AY2229" s="125"/>
      <c r="AZ2229" s="125"/>
      <c r="BA2229" s="125"/>
    </row>
    <row r="2230" spans="2:53" s="123" customFormat="1">
      <c r="B2230" s="125"/>
      <c r="D2230" s="125"/>
      <c r="I2230" s="125"/>
      <c r="Z2230" s="124"/>
      <c r="AA2230" s="74"/>
      <c r="AB2230" s="240"/>
      <c r="AD2230" s="124"/>
      <c r="AE2230" s="238"/>
      <c r="AF2230" s="239"/>
      <c r="AG2230" s="239"/>
      <c r="AH2230" s="124"/>
      <c r="AI2230" s="74"/>
      <c r="AJ2230" s="240"/>
      <c r="AL2230" s="124"/>
      <c r="AM2230" s="74"/>
      <c r="AP2230" s="125"/>
      <c r="AQ2230" s="241"/>
      <c r="AR2230" s="125"/>
      <c r="AS2230" s="125"/>
      <c r="AT2230" s="238"/>
      <c r="AU2230" s="125"/>
      <c r="AV2230" s="125"/>
      <c r="AW2230" s="125"/>
      <c r="AX2230" s="238"/>
      <c r="AY2230" s="125"/>
      <c r="AZ2230" s="125"/>
      <c r="BA2230" s="125"/>
    </row>
    <row r="2231" spans="2:53" s="123" customFormat="1">
      <c r="B2231" s="125"/>
      <c r="D2231" s="125"/>
      <c r="I2231" s="125"/>
      <c r="Z2231" s="124"/>
      <c r="AA2231" s="74"/>
      <c r="AB2231" s="240"/>
      <c r="AD2231" s="124"/>
      <c r="AE2231" s="238"/>
      <c r="AF2231" s="239"/>
      <c r="AG2231" s="239"/>
      <c r="AH2231" s="124"/>
      <c r="AI2231" s="74"/>
      <c r="AJ2231" s="240"/>
      <c r="AL2231" s="124"/>
      <c r="AM2231" s="74"/>
      <c r="AP2231" s="125"/>
      <c r="AQ2231" s="241"/>
      <c r="AR2231" s="125"/>
      <c r="AS2231" s="125"/>
      <c r="AT2231" s="238"/>
      <c r="AU2231" s="125"/>
      <c r="AV2231" s="125"/>
      <c r="AW2231" s="125"/>
      <c r="AX2231" s="238"/>
      <c r="AY2231" s="125"/>
      <c r="AZ2231" s="125"/>
      <c r="BA2231" s="125"/>
    </row>
    <row r="2232" spans="2:53" s="123" customFormat="1">
      <c r="B2232" s="125"/>
      <c r="D2232" s="125"/>
      <c r="I2232" s="125"/>
      <c r="Z2232" s="124"/>
      <c r="AA2232" s="74"/>
      <c r="AB2232" s="240"/>
      <c r="AD2232" s="124"/>
      <c r="AE2232" s="238"/>
      <c r="AF2232" s="239"/>
      <c r="AG2232" s="239"/>
      <c r="AH2232" s="124"/>
      <c r="AI2232" s="74"/>
      <c r="AJ2232" s="240"/>
      <c r="AL2232" s="124"/>
      <c r="AM2232" s="74"/>
      <c r="AP2232" s="125"/>
      <c r="AQ2232" s="241"/>
      <c r="AR2232" s="125"/>
      <c r="AS2232" s="125"/>
      <c r="AT2232" s="238"/>
      <c r="AU2232" s="125"/>
      <c r="AV2232" s="125"/>
      <c r="AW2232" s="125"/>
      <c r="AX2232" s="238"/>
      <c r="AY2232" s="125"/>
      <c r="AZ2232" s="125"/>
      <c r="BA2232" s="125"/>
    </row>
    <row r="2233" spans="2:53" s="123" customFormat="1">
      <c r="B2233" s="125"/>
      <c r="D2233" s="125"/>
      <c r="I2233" s="125"/>
      <c r="Z2233" s="124"/>
      <c r="AA2233" s="74"/>
      <c r="AB2233" s="240"/>
      <c r="AD2233" s="124"/>
      <c r="AE2233" s="238"/>
      <c r="AF2233" s="239"/>
      <c r="AG2233" s="239"/>
      <c r="AH2233" s="124"/>
      <c r="AI2233" s="74"/>
      <c r="AJ2233" s="240"/>
      <c r="AL2233" s="124"/>
      <c r="AM2233" s="74"/>
      <c r="AP2233" s="125"/>
      <c r="AQ2233" s="241"/>
      <c r="AR2233" s="125"/>
      <c r="AS2233" s="125"/>
      <c r="AT2233" s="238"/>
      <c r="AU2233" s="125"/>
      <c r="AV2233" s="125"/>
      <c r="AW2233" s="125"/>
      <c r="AX2233" s="238"/>
      <c r="AY2233" s="125"/>
      <c r="AZ2233" s="125"/>
      <c r="BA2233" s="125"/>
    </row>
    <row r="2234" spans="2:53" s="123" customFormat="1">
      <c r="B2234" s="125"/>
      <c r="D2234" s="125"/>
      <c r="I2234" s="125"/>
      <c r="Z2234" s="124"/>
      <c r="AA2234" s="74"/>
      <c r="AB2234" s="240"/>
      <c r="AD2234" s="124"/>
      <c r="AE2234" s="238"/>
      <c r="AF2234" s="239"/>
      <c r="AG2234" s="239"/>
      <c r="AH2234" s="124"/>
      <c r="AI2234" s="74"/>
      <c r="AJ2234" s="240"/>
      <c r="AL2234" s="124"/>
      <c r="AM2234" s="74"/>
      <c r="AP2234" s="125"/>
      <c r="AQ2234" s="241"/>
      <c r="AR2234" s="125"/>
      <c r="AS2234" s="125"/>
      <c r="AT2234" s="238"/>
      <c r="AU2234" s="125"/>
      <c r="AV2234" s="125"/>
      <c r="AW2234" s="125"/>
      <c r="AX2234" s="238"/>
      <c r="AY2234" s="125"/>
      <c r="AZ2234" s="125"/>
      <c r="BA2234" s="125"/>
    </row>
    <row r="2235" spans="2:53" s="123" customFormat="1">
      <c r="B2235" s="125"/>
      <c r="D2235" s="125"/>
      <c r="I2235" s="125"/>
      <c r="Z2235" s="124"/>
      <c r="AA2235" s="74"/>
      <c r="AB2235" s="240"/>
      <c r="AD2235" s="124"/>
      <c r="AE2235" s="238"/>
      <c r="AF2235" s="239"/>
      <c r="AG2235" s="239"/>
      <c r="AH2235" s="124"/>
      <c r="AI2235" s="74"/>
      <c r="AJ2235" s="240"/>
      <c r="AL2235" s="124"/>
      <c r="AM2235" s="74"/>
      <c r="AP2235" s="125"/>
      <c r="AQ2235" s="241"/>
      <c r="AR2235" s="125"/>
      <c r="AS2235" s="125"/>
      <c r="AT2235" s="238"/>
      <c r="AU2235" s="125"/>
      <c r="AV2235" s="125"/>
      <c r="AW2235" s="125"/>
      <c r="AX2235" s="238"/>
      <c r="AY2235" s="125"/>
      <c r="AZ2235" s="125"/>
      <c r="BA2235" s="125"/>
    </row>
    <row r="2236" spans="2:53" s="123" customFormat="1">
      <c r="B2236" s="125"/>
      <c r="D2236" s="125"/>
      <c r="I2236" s="125"/>
      <c r="Z2236" s="124"/>
      <c r="AA2236" s="74"/>
      <c r="AB2236" s="240"/>
      <c r="AD2236" s="124"/>
      <c r="AE2236" s="238"/>
      <c r="AF2236" s="239"/>
      <c r="AG2236" s="239"/>
      <c r="AH2236" s="124"/>
      <c r="AI2236" s="74"/>
      <c r="AJ2236" s="240"/>
      <c r="AL2236" s="124"/>
      <c r="AM2236" s="74"/>
      <c r="AP2236" s="125"/>
      <c r="AQ2236" s="241"/>
      <c r="AR2236" s="125"/>
      <c r="AS2236" s="125"/>
      <c r="AT2236" s="238"/>
      <c r="AU2236" s="125"/>
      <c r="AV2236" s="125"/>
      <c r="AW2236" s="125"/>
      <c r="AX2236" s="238"/>
      <c r="AY2236" s="125"/>
      <c r="AZ2236" s="125"/>
      <c r="BA2236" s="125"/>
    </row>
    <row r="2237" spans="2:53" s="123" customFormat="1">
      <c r="B2237" s="125"/>
      <c r="D2237" s="125"/>
      <c r="I2237" s="125"/>
      <c r="Z2237" s="124"/>
      <c r="AA2237" s="74"/>
      <c r="AB2237" s="240"/>
      <c r="AD2237" s="124"/>
      <c r="AE2237" s="238"/>
      <c r="AF2237" s="239"/>
      <c r="AG2237" s="239"/>
      <c r="AH2237" s="124"/>
      <c r="AI2237" s="74"/>
      <c r="AJ2237" s="240"/>
      <c r="AL2237" s="124"/>
      <c r="AM2237" s="74"/>
      <c r="AP2237" s="125"/>
      <c r="AQ2237" s="241"/>
      <c r="AR2237" s="125"/>
      <c r="AS2237" s="125"/>
      <c r="AT2237" s="238"/>
      <c r="AU2237" s="125"/>
      <c r="AV2237" s="125"/>
      <c r="AW2237" s="125"/>
      <c r="AX2237" s="238"/>
      <c r="AY2237" s="125"/>
      <c r="AZ2237" s="125"/>
      <c r="BA2237" s="125"/>
    </row>
    <row r="2238" spans="2:53" s="123" customFormat="1">
      <c r="B2238" s="125"/>
      <c r="D2238" s="125"/>
      <c r="I2238" s="125"/>
      <c r="Z2238" s="124"/>
      <c r="AA2238" s="74"/>
      <c r="AB2238" s="240"/>
      <c r="AD2238" s="124"/>
      <c r="AE2238" s="238"/>
      <c r="AF2238" s="239"/>
      <c r="AG2238" s="239"/>
      <c r="AH2238" s="124"/>
      <c r="AI2238" s="74"/>
      <c r="AJ2238" s="240"/>
      <c r="AL2238" s="124"/>
      <c r="AM2238" s="74"/>
      <c r="AP2238" s="125"/>
      <c r="AQ2238" s="241"/>
      <c r="AR2238" s="125"/>
      <c r="AS2238" s="125"/>
      <c r="AT2238" s="238"/>
      <c r="AU2238" s="125"/>
      <c r="AV2238" s="125"/>
      <c r="AW2238" s="125"/>
      <c r="AX2238" s="238"/>
      <c r="AY2238" s="125"/>
      <c r="AZ2238" s="125"/>
      <c r="BA2238" s="125"/>
    </row>
    <row r="2239" spans="2:53" s="123" customFormat="1">
      <c r="B2239" s="125"/>
      <c r="D2239" s="125"/>
      <c r="I2239" s="125"/>
      <c r="Z2239" s="124"/>
      <c r="AA2239" s="74"/>
      <c r="AB2239" s="240"/>
      <c r="AD2239" s="124"/>
      <c r="AE2239" s="238"/>
      <c r="AF2239" s="239"/>
      <c r="AG2239" s="239"/>
      <c r="AH2239" s="124"/>
      <c r="AI2239" s="74"/>
      <c r="AJ2239" s="240"/>
      <c r="AL2239" s="124"/>
      <c r="AM2239" s="74"/>
      <c r="AP2239" s="125"/>
      <c r="AQ2239" s="241"/>
      <c r="AR2239" s="125"/>
      <c r="AS2239" s="125"/>
      <c r="AT2239" s="238"/>
      <c r="AU2239" s="125"/>
      <c r="AV2239" s="125"/>
      <c r="AW2239" s="125"/>
      <c r="AX2239" s="238"/>
      <c r="AY2239" s="125"/>
      <c r="AZ2239" s="125"/>
      <c r="BA2239" s="125"/>
    </row>
    <row r="2240" spans="2:53" s="123" customFormat="1">
      <c r="B2240" s="125"/>
      <c r="D2240" s="125"/>
      <c r="I2240" s="125"/>
      <c r="Z2240" s="124"/>
      <c r="AA2240" s="74"/>
      <c r="AB2240" s="240"/>
      <c r="AD2240" s="124"/>
      <c r="AE2240" s="238"/>
      <c r="AF2240" s="239"/>
      <c r="AG2240" s="239"/>
      <c r="AH2240" s="124"/>
      <c r="AI2240" s="74"/>
      <c r="AJ2240" s="240"/>
      <c r="AL2240" s="124"/>
      <c r="AM2240" s="74"/>
      <c r="AP2240" s="125"/>
      <c r="AQ2240" s="241"/>
      <c r="AR2240" s="125"/>
      <c r="AS2240" s="125"/>
      <c r="AT2240" s="238"/>
      <c r="AU2240" s="125"/>
      <c r="AV2240" s="125"/>
      <c r="AW2240" s="125"/>
      <c r="AX2240" s="238"/>
      <c r="AY2240" s="125"/>
      <c r="AZ2240" s="125"/>
      <c r="BA2240" s="125"/>
    </row>
    <row r="2241" spans="2:53" s="123" customFormat="1">
      <c r="B2241" s="125"/>
      <c r="D2241" s="125"/>
      <c r="I2241" s="125"/>
      <c r="Z2241" s="124"/>
      <c r="AA2241" s="74"/>
      <c r="AB2241" s="240"/>
      <c r="AD2241" s="124"/>
      <c r="AE2241" s="238"/>
      <c r="AF2241" s="239"/>
      <c r="AG2241" s="239"/>
      <c r="AH2241" s="124"/>
      <c r="AI2241" s="74"/>
      <c r="AJ2241" s="240"/>
      <c r="AL2241" s="124"/>
      <c r="AM2241" s="74"/>
      <c r="AP2241" s="125"/>
      <c r="AQ2241" s="241"/>
      <c r="AR2241" s="125"/>
      <c r="AS2241" s="125"/>
      <c r="AT2241" s="238"/>
      <c r="AU2241" s="125"/>
      <c r="AV2241" s="125"/>
      <c r="AW2241" s="125"/>
      <c r="AX2241" s="238"/>
      <c r="AY2241" s="125"/>
      <c r="AZ2241" s="125"/>
      <c r="BA2241" s="125"/>
    </row>
    <row r="2242" spans="2:53" s="123" customFormat="1">
      <c r="B2242" s="125"/>
      <c r="D2242" s="125"/>
      <c r="I2242" s="125"/>
      <c r="Z2242" s="124"/>
      <c r="AA2242" s="74"/>
      <c r="AB2242" s="240"/>
      <c r="AD2242" s="124"/>
      <c r="AE2242" s="238"/>
      <c r="AF2242" s="239"/>
      <c r="AG2242" s="239"/>
      <c r="AH2242" s="124"/>
      <c r="AI2242" s="74"/>
      <c r="AJ2242" s="240"/>
      <c r="AL2242" s="124"/>
      <c r="AM2242" s="74"/>
      <c r="AP2242" s="125"/>
      <c r="AQ2242" s="241"/>
      <c r="AR2242" s="125"/>
      <c r="AS2242" s="125"/>
      <c r="AT2242" s="238"/>
      <c r="AU2242" s="125"/>
      <c r="AV2242" s="125"/>
      <c r="AW2242" s="125"/>
      <c r="AX2242" s="238"/>
      <c r="AY2242" s="125"/>
      <c r="AZ2242" s="125"/>
      <c r="BA2242" s="125"/>
    </row>
    <row r="2243" spans="2:53" s="123" customFormat="1">
      <c r="B2243" s="125"/>
      <c r="D2243" s="125"/>
      <c r="I2243" s="125"/>
      <c r="Z2243" s="124"/>
      <c r="AA2243" s="74"/>
      <c r="AB2243" s="240"/>
      <c r="AD2243" s="124"/>
      <c r="AE2243" s="238"/>
      <c r="AF2243" s="239"/>
      <c r="AG2243" s="239"/>
      <c r="AH2243" s="124"/>
      <c r="AI2243" s="74"/>
      <c r="AJ2243" s="240"/>
      <c r="AL2243" s="124"/>
      <c r="AM2243" s="74"/>
      <c r="AP2243" s="125"/>
      <c r="AQ2243" s="241"/>
      <c r="AR2243" s="125"/>
      <c r="AS2243" s="125"/>
      <c r="AT2243" s="238"/>
      <c r="AU2243" s="125"/>
      <c r="AV2243" s="125"/>
      <c r="AW2243" s="125"/>
      <c r="AX2243" s="238"/>
      <c r="AY2243" s="125"/>
      <c r="AZ2243" s="125"/>
      <c r="BA2243" s="125"/>
    </row>
    <row r="2244" spans="2:53" s="123" customFormat="1">
      <c r="B2244" s="125"/>
      <c r="D2244" s="125"/>
      <c r="I2244" s="125"/>
      <c r="Z2244" s="124"/>
      <c r="AA2244" s="74"/>
      <c r="AB2244" s="240"/>
      <c r="AD2244" s="124"/>
      <c r="AE2244" s="238"/>
      <c r="AF2244" s="239"/>
      <c r="AG2244" s="239"/>
      <c r="AH2244" s="124"/>
      <c r="AI2244" s="74"/>
      <c r="AJ2244" s="240"/>
      <c r="AL2244" s="124"/>
      <c r="AM2244" s="74"/>
      <c r="AP2244" s="125"/>
      <c r="AQ2244" s="241"/>
      <c r="AR2244" s="125"/>
      <c r="AS2244" s="125"/>
      <c r="AT2244" s="238"/>
      <c r="AU2244" s="125"/>
      <c r="AV2244" s="125"/>
      <c r="AW2244" s="125"/>
      <c r="AX2244" s="238"/>
      <c r="AY2244" s="125"/>
      <c r="AZ2244" s="125"/>
      <c r="BA2244" s="125"/>
    </row>
    <row r="2245" spans="2:53" s="123" customFormat="1">
      <c r="B2245" s="125"/>
      <c r="D2245" s="125"/>
      <c r="I2245" s="125"/>
      <c r="Z2245" s="124"/>
      <c r="AA2245" s="74"/>
      <c r="AB2245" s="240"/>
      <c r="AD2245" s="124"/>
      <c r="AE2245" s="238"/>
      <c r="AF2245" s="239"/>
      <c r="AG2245" s="239"/>
      <c r="AH2245" s="124"/>
      <c r="AI2245" s="74"/>
      <c r="AJ2245" s="240"/>
      <c r="AL2245" s="124"/>
      <c r="AM2245" s="74"/>
      <c r="AP2245" s="125"/>
      <c r="AQ2245" s="241"/>
      <c r="AR2245" s="125"/>
      <c r="AS2245" s="125"/>
      <c r="AT2245" s="238"/>
      <c r="AU2245" s="125"/>
      <c r="AV2245" s="125"/>
      <c r="AW2245" s="125"/>
      <c r="AX2245" s="238"/>
      <c r="AY2245" s="125"/>
      <c r="AZ2245" s="125"/>
      <c r="BA2245" s="125"/>
    </row>
    <row r="2246" spans="2:53" s="123" customFormat="1">
      <c r="B2246" s="125"/>
      <c r="D2246" s="125"/>
      <c r="I2246" s="125"/>
      <c r="Z2246" s="124"/>
      <c r="AA2246" s="74"/>
      <c r="AB2246" s="240"/>
      <c r="AD2246" s="124"/>
      <c r="AE2246" s="238"/>
      <c r="AF2246" s="239"/>
      <c r="AG2246" s="239"/>
      <c r="AH2246" s="124"/>
      <c r="AI2246" s="74"/>
      <c r="AJ2246" s="240"/>
      <c r="AL2246" s="124"/>
      <c r="AM2246" s="74"/>
      <c r="AP2246" s="125"/>
      <c r="AQ2246" s="241"/>
      <c r="AR2246" s="125"/>
      <c r="AS2246" s="125"/>
      <c r="AT2246" s="238"/>
      <c r="AU2246" s="125"/>
      <c r="AV2246" s="125"/>
      <c r="AW2246" s="125"/>
      <c r="AX2246" s="238"/>
      <c r="AY2246" s="125"/>
      <c r="AZ2246" s="125"/>
      <c r="BA2246" s="125"/>
    </row>
    <row r="2247" spans="2:53" s="123" customFormat="1">
      <c r="B2247" s="125"/>
      <c r="D2247" s="125"/>
      <c r="I2247" s="125"/>
      <c r="Z2247" s="124"/>
      <c r="AA2247" s="74"/>
      <c r="AB2247" s="240"/>
      <c r="AD2247" s="124"/>
      <c r="AE2247" s="238"/>
      <c r="AF2247" s="239"/>
      <c r="AG2247" s="239"/>
      <c r="AH2247" s="124"/>
      <c r="AI2247" s="74"/>
      <c r="AJ2247" s="240"/>
      <c r="AL2247" s="124"/>
      <c r="AM2247" s="74"/>
      <c r="AP2247" s="125"/>
      <c r="AQ2247" s="241"/>
      <c r="AR2247" s="125"/>
      <c r="AS2247" s="125"/>
      <c r="AT2247" s="238"/>
      <c r="AU2247" s="125"/>
      <c r="AV2247" s="125"/>
      <c r="AW2247" s="125"/>
      <c r="AX2247" s="238"/>
      <c r="AY2247" s="125"/>
      <c r="AZ2247" s="125"/>
      <c r="BA2247" s="125"/>
    </row>
    <row r="2248" spans="2:53" s="123" customFormat="1">
      <c r="B2248" s="125"/>
      <c r="D2248" s="125"/>
      <c r="I2248" s="125"/>
      <c r="Z2248" s="124"/>
      <c r="AA2248" s="74"/>
      <c r="AB2248" s="240"/>
      <c r="AD2248" s="124"/>
      <c r="AE2248" s="238"/>
      <c r="AF2248" s="239"/>
      <c r="AG2248" s="239"/>
      <c r="AH2248" s="124"/>
      <c r="AI2248" s="74"/>
      <c r="AJ2248" s="240"/>
      <c r="AL2248" s="124"/>
      <c r="AM2248" s="74"/>
      <c r="AP2248" s="125"/>
      <c r="AQ2248" s="241"/>
      <c r="AR2248" s="125"/>
      <c r="AS2248" s="125"/>
      <c r="AT2248" s="238"/>
      <c r="AU2248" s="125"/>
      <c r="AV2248" s="125"/>
      <c r="AW2248" s="125"/>
      <c r="AX2248" s="238"/>
      <c r="AY2248" s="125"/>
      <c r="AZ2248" s="125"/>
      <c r="BA2248" s="125"/>
    </row>
    <row r="2249" spans="2:53" s="123" customFormat="1">
      <c r="B2249" s="125"/>
      <c r="D2249" s="125"/>
      <c r="I2249" s="125"/>
      <c r="Z2249" s="124"/>
      <c r="AA2249" s="74"/>
      <c r="AB2249" s="240"/>
      <c r="AD2249" s="124"/>
      <c r="AE2249" s="238"/>
      <c r="AF2249" s="239"/>
      <c r="AG2249" s="239"/>
      <c r="AH2249" s="124"/>
      <c r="AI2249" s="74"/>
      <c r="AJ2249" s="240"/>
      <c r="AL2249" s="124"/>
      <c r="AM2249" s="74"/>
      <c r="AP2249" s="125"/>
      <c r="AQ2249" s="241"/>
      <c r="AR2249" s="125"/>
      <c r="AS2249" s="125"/>
      <c r="AT2249" s="238"/>
      <c r="AU2249" s="125"/>
      <c r="AV2249" s="125"/>
      <c r="AW2249" s="125"/>
      <c r="AX2249" s="238"/>
      <c r="AY2249" s="125"/>
      <c r="AZ2249" s="125"/>
      <c r="BA2249" s="125"/>
    </row>
    <row r="2250" spans="2:53" s="123" customFormat="1">
      <c r="B2250" s="125"/>
      <c r="D2250" s="125"/>
      <c r="I2250" s="125"/>
      <c r="Z2250" s="124"/>
      <c r="AA2250" s="74"/>
      <c r="AB2250" s="240"/>
      <c r="AD2250" s="124"/>
      <c r="AE2250" s="238"/>
      <c r="AF2250" s="239"/>
      <c r="AG2250" s="239"/>
      <c r="AH2250" s="124"/>
      <c r="AI2250" s="74"/>
      <c r="AJ2250" s="240"/>
      <c r="AL2250" s="124"/>
      <c r="AM2250" s="74"/>
      <c r="AP2250" s="125"/>
      <c r="AQ2250" s="241"/>
      <c r="AR2250" s="125"/>
      <c r="AS2250" s="125"/>
      <c r="AT2250" s="238"/>
      <c r="AU2250" s="125"/>
      <c r="AV2250" s="125"/>
      <c r="AW2250" s="125"/>
      <c r="AX2250" s="238"/>
      <c r="AY2250" s="125"/>
      <c r="AZ2250" s="125"/>
      <c r="BA2250" s="125"/>
    </row>
    <row r="2251" spans="2:53" s="123" customFormat="1">
      <c r="B2251" s="125"/>
      <c r="D2251" s="125"/>
      <c r="I2251" s="125"/>
      <c r="Z2251" s="124"/>
      <c r="AA2251" s="74"/>
      <c r="AB2251" s="240"/>
      <c r="AD2251" s="124"/>
      <c r="AE2251" s="238"/>
      <c r="AF2251" s="239"/>
      <c r="AG2251" s="239"/>
      <c r="AH2251" s="124"/>
      <c r="AI2251" s="74"/>
      <c r="AJ2251" s="240"/>
      <c r="AL2251" s="124"/>
      <c r="AM2251" s="74"/>
      <c r="AP2251" s="125"/>
      <c r="AQ2251" s="241"/>
      <c r="AR2251" s="125"/>
      <c r="AS2251" s="125"/>
      <c r="AT2251" s="238"/>
      <c r="AU2251" s="125"/>
      <c r="AV2251" s="125"/>
      <c r="AW2251" s="125"/>
      <c r="AX2251" s="238"/>
      <c r="AY2251" s="125"/>
      <c r="AZ2251" s="125"/>
      <c r="BA2251" s="125"/>
    </row>
    <row r="2252" spans="2:53" s="123" customFormat="1">
      <c r="B2252" s="125"/>
      <c r="D2252" s="125"/>
      <c r="I2252" s="125"/>
      <c r="Z2252" s="124"/>
      <c r="AA2252" s="74"/>
      <c r="AB2252" s="240"/>
      <c r="AD2252" s="124"/>
      <c r="AE2252" s="238"/>
      <c r="AF2252" s="239"/>
      <c r="AG2252" s="239"/>
      <c r="AH2252" s="124"/>
      <c r="AI2252" s="74"/>
      <c r="AJ2252" s="240"/>
      <c r="AL2252" s="124"/>
      <c r="AM2252" s="74"/>
      <c r="AP2252" s="125"/>
      <c r="AQ2252" s="241"/>
      <c r="AR2252" s="125"/>
      <c r="AS2252" s="125"/>
      <c r="AT2252" s="238"/>
      <c r="AU2252" s="125"/>
      <c r="AV2252" s="125"/>
      <c r="AW2252" s="125"/>
      <c r="AX2252" s="238"/>
      <c r="AY2252" s="125"/>
      <c r="AZ2252" s="125"/>
      <c r="BA2252" s="125"/>
    </row>
    <row r="2253" spans="2:53" s="123" customFormat="1">
      <c r="B2253" s="125"/>
      <c r="D2253" s="125"/>
      <c r="I2253" s="125"/>
      <c r="Z2253" s="124"/>
      <c r="AA2253" s="74"/>
      <c r="AB2253" s="240"/>
      <c r="AD2253" s="124"/>
      <c r="AE2253" s="238"/>
      <c r="AF2253" s="239"/>
      <c r="AG2253" s="239"/>
      <c r="AH2253" s="124"/>
      <c r="AI2253" s="74"/>
      <c r="AJ2253" s="240"/>
      <c r="AL2253" s="124"/>
      <c r="AM2253" s="74"/>
      <c r="AP2253" s="125"/>
      <c r="AQ2253" s="241"/>
      <c r="AR2253" s="125"/>
      <c r="AS2253" s="125"/>
      <c r="AT2253" s="238"/>
      <c r="AU2253" s="125"/>
      <c r="AV2253" s="125"/>
      <c r="AW2253" s="125"/>
      <c r="AX2253" s="238"/>
      <c r="AY2253" s="125"/>
      <c r="AZ2253" s="125"/>
      <c r="BA2253" s="125"/>
    </row>
    <row r="2254" spans="2:53" s="123" customFormat="1">
      <c r="B2254" s="125"/>
      <c r="D2254" s="125"/>
      <c r="I2254" s="125"/>
      <c r="Z2254" s="124"/>
      <c r="AA2254" s="74"/>
      <c r="AB2254" s="240"/>
      <c r="AD2254" s="124"/>
      <c r="AE2254" s="238"/>
      <c r="AF2254" s="239"/>
      <c r="AG2254" s="239"/>
      <c r="AH2254" s="124"/>
      <c r="AI2254" s="74"/>
      <c r="AJ2254" s="240"/>
      <c r="AL2254" s="124"/>
      <c r="AM2254" s="74"/>
      <c r="AP2254" s="125"/>
      <c r="AQ2254" s="241"/>
      <c r="AR2254" s="125"/>
      <c r="AS2254" s="125"/>
      <c r="AT2254" s="238"/>
      <c r="AU2254" s="125"/>
      <c r="AV2254" s="125"/>
      <c r="AW2254" s="125"/>
      <c r="AX2254" s="238"/>
      <c r="AY2254" s="125"/>
      <c r="AZ2254" s="125"/>
      <c r="BA2254" s="125"/>
    </row>
    <row r="2255" spans="2:53" s="123" customFormat="1">
      <c r="B2255" s="125"/>
      <c r="D2255" s="125"/>
      <c r="I2255" s="125"/>
      <c r="Z2255" s="124"/>
      <c r="AA2255" s="74"/>
      <c r="AB2255" s="240"/>
      <c r="AD2255" s="124"/>
      <c r="AE2255" s="238"/>
      <c r="AF2255" s="239"/>
      <c r="AG2255" s="239"/>
      <c r="AH2255" s="124"/>
      <c r="AI2255" s="74"/>
      <c r="AJ2255" s="240"/>
      <c r="AL2255" s="124"/>
      <c r="AM2255" s="74"/>
      <c r="AP2255" s="125"/>
      <c r="AQ2255" s="241"/>
      <c r="AR2255" s="125"/>
      <c r="AS2255" s="125"/>
      <c r="AT2255" s="238"/>
      <c r="AU2255" s="125"/>
      <c r="AV2255" s="125"/>
      <c r="AW2255" s="125"/>
      <c r="AX2255" s="238"/>
      <c r="AY2255" s="125"/>
      <c r="AZ2255" s="125"/>
      <c r="BA2255" s="125"/>
    </row>
    <row r="2256" spans="2:53" s="123" customFormat="1">
      <c r="B2256" s="125"/>
      <c r="D2256" s="125"/>
      <c r="I2256" s="125"/>
      <c r="Z2256" s="124"/>
      <c r="AA2256" s="74"/>
      <c r="AB2256" s="240"/>
      <c r="AD2256" s="124"/>
      <c r="AE2256" s="238"/>
      <c r="AF2256" s="239"/>
      <c r="AG2256" s="239"/>
      <c r="AH2256" s="124"/>
      <c r="AI2256" s="74"/>
      <c r="AJ2256" s="240"/>
      <c r="AL2256" s="124"/>
      <c r="AM2256" s="74"/>
      <c r="AP2256" s="125"/>
      <c r="AQ2256" s="241"/>
      <c r="AR2256" s="125"/>
      <c r="AS2256" s="125"/>
      <c r="AT2256" s="238"/>
      <c r="AU2256" s="125"/>
      <c r="AV2256" s="125"/>
      <c r="AW2256" s="125"/>
      <c r="AX2256" s="238"/>
      <c r="AY2256" s="125"/>
      <c r="AZ2256" s="125"/>
      <c r="BA2256" s="125"/>
    </row>
    <row r="2257" spans="2:53" s="123" customFormat="1">
      <c r="B2257" s="125"/>
      <c r="D2257" s="125"/>
      <c r="I2257" s="125"/>
      <c r="Z2257" s="124"/>
      <c r="AA2257" s="74"/>
      <c r="AB2257" s="240"/>
      <c r="AD2257" s="124"/>
      <c r="AE2257" s="238"/>
      <c r="AF2257" s="239"/>
      <c r="AG2257" s="239"/>
      <c r="AH2257" s="124"/>
      <c r="AI2257" s="74"/>
      <c r="AJ2257" s="240"/>
      <c r="AL2257" s="124"/>
      <c r="AM2257" s="74"/>
      <c r="AP2257" s="125"/>
      <c r="AQ2257" s="241"/>
      <c r="AR2257" s="125"/>
      <c r="AS2257" s="125"/>
      <c r="AT2257" s="238"/>
      <c r="AU2257" s="125"/>
      <c r="AV2257" s="125"/>
      <c r="AW2257" s="125"/>
      <c r="AX2257" s="238"/>
      <c r="AY2257" s="125"/>
      <c r="AZ2257" s="125"/>
      <c r="BA2257" s="125"/>
    </row>
    <row r="2258" spans="2:53" s="123" customFormat="1">
      <c r="B2258" s="125"/>
      <c r="D2258" s="125"/>
      <c r="I2258" s="125"/>
      <c r="Z2258" s="124"/>
      <c r="AA2258" s="74"/>
      <c r="AB2258" s="240"/>
      <c r="AD2258" s="124"/>
      <c r="AE2258" s="238"/>
      <c r="AF2258" s="239"/>
      <c r="AG2258" s="239"/>
      <c r="AH2258" s="124"/>
      <c r="AI2258" s="74"/>
      <c r="AJ2258" s="240"/>
      <c r="AL2258" s="124"/>
      <c r="AM2258" s="74"/>
      <c r="AP2258" s="125"/>
      <c r="AQ2258" s="241"/>
      <c r="AR2258" s="125"/>
      <c r="AS2258" s="125"/>
      <c r="AT2258" s="238"/>
      <c r="AU2258" s="125"/>
      <c r="AV2258" s="125"/>
      <c r="AW2258" s="125"/>
      <c r="AX2258" s="238"/>
      <c r="AY2258" s="125"/>
      <c r="AZ2258" s="125"/>
      <c r="BA2258" s="125"/>
    </row>
    <row r="2259" spans="2:53" s="123" customFormat="1">
      <c r="B2259" s="125"/>
      <c r="D2259" s="125"/>
      <c r="I2259" s="125"/>
      <c r="Z2259" s="124"/>
      <c r="AA2259" s="74"/>
      <c r="AB2259" s="240"/>
      <c r="AD2259" s="124"/>
      <c r="AE2259" s="238"/>
      <c r="AF2259" s="239"/>
      <c r="AG2259" s="239"/>
      <c r="AH2259" s="124"/>
      <c r="AI2259" s="74"/>
      <c r="AJ2259" s="240"/>
      <c r="AL2259" s="124"/>
      <c r="AM2259" s="74"/>
      <c r="AP2259" s="125"/>
      <c r="AQ2259" s="241"/>
      <c r="AR2259" s="125"/>
      <c r="AS2259" s="125"/>
      <c r="AT2259" s="238"/>
      <c r="AU2259" s="125"/>
      <c r="AV2259" s="125"/>
      <c r="AW2259" s="125"/>
      <c r="AX2259" s="238"/>
      <c r="AY2259" s="125"/>
      <c r="AZ2259" s="125"/>
      <c r="BA2259" s="125"/>
    </row>
    <row r="2260" spans="2:53" s="123" customFormat="1">
      <c r="B2260" s="125"/>
      <c r="D2260" s="125"/>
      <c r="I2260" s="125"/>
      <c r="Z2260" s="124"/>
      <c r="AA2260" s="74"/>
      <c r="AB2260" s="240"/>
      <c r="AD2260" s="124"/>
      <c r="AE2260" s="238"/>
      <c r="AF2260" s="239"/>
      <c r="AG2260" s="239"/>
      <c r="AH2260" s="124"/>
      <c r="AI2260" s="74"/>
      <c r="AJ2260" s="240"/>
      <c r="AL2260" s="124"/>
      <c r="AM2260" s="74"/>
      <c r="AP2260" s="125"/>
      <c r="AQ2260" s="241"/>
      <c r="AR2260" s="125"/>
      <c r="AS2260" s="125"/>
      <c r="AT2260" s="238"/>
      <c r="AU2260" s="125"/>
      <c r="AV2260" s="125"/>
      <c r="AW2260" s="125"/>
      <c r="AX2260" s="238"/>
      <c r="AY2260" s="125"/>
      <c r="AZ2260" s="125"/>
      <c r="BA2260" s="125"/>
    </row>
    <row r="2261" spans="2:53" s="123" customFormat="1">
      <c r="B2261" s="125"/>
      <c r="D2261" s="125"/>
      <c r="I2261" s="125"/>
      <c r="Z2261" s="124"/>
      <c r="AA2261" s="74"/>
      <c r="AB2261" s="240"/>
      <c r="AD2261" s="124"/>
      <c r="AE2261" s="238"/>
      <c r="AF2261" s="239"/>
      <c r="AG2261" s="239"/>
      <c r="AH2261" s="124"/>
      <c r="AI2261" s="74"/>
      <c r="AJ2261" s="240"/>
      <c r="AL2261" s="124"/>
      <c r="AM2261" s="74"/>
      <c r="AP2261" s="125"/>
      <c r="AQ2261" s="241"/>
      <c r="AR2261" s="125"/>
      <c r="AS2261" s="125"/>
      <c r="AT2261" s="238"/>
      <c r="AU2261" s="125"/>
      <c r="AV2261" s="125"/>
      <c r="AW2261" s="125"/>
      <c r="AX2261" s="238"/>
      <c r="AY2261" s="125"/>
      <c r="AZ2261" s="125"/>
      <c r="BA2261" s="125"/>
    </row>
    <row r="2262" spans="2:53" s="123" customFormat="1">
      <c r="B2262" s="125"/>
      <c r="D2262" s="125"/>
      <c r="I2262" s="125"/>
      <c r="Z2262" s="124"/>
      <c r="AA2262" s="74"/>
      <c r="AB2262" s="240"/>
      <c r="AD2262" s="124"/>
      <c r="AE2262" s="238"/>
      <c r="AF2262" s="239"/>
      <c r="AG2262" s="239"/>
      <c r="AH2262" s="124"/>
      <c r="AI2262" s="74"/>
      <c r="AJ2262" s="240"/>
      <c r="AL2262" s="124"/>
      <c r="AM2262" s="74"/>
      <c r="AP2262" s="125"/>
      <c r="AQ2262" s="241"/>
      <c r="AR2262" s="125"/>
      <c r="AS2262" s="125"/>
      <c r="AT2262" s="238"/>
      <c r="AU2262" s="125"/>
      <c r="AV2262" s="125"/>
      <c r="AW2262" s="125"/>
      <c r="AX2262" s="238"/>
      <c r="AY2262" s="125"/>
      <c r="AZ2262" s="125"/>
      <c r="BA2262" s="125"/>
    </row>
    <row r="2263" spans="2:53" s="123" customFormat="1">
      <c r="B2263" s="125"/>
      <c r="D2263" s="125"/>
      <c r="I2263" s="125"/>
      <c r="Z2263" s="124"/>
      <c r="AA2263" s="74"/>
      <c r="AB2263" s="240"/>
      <c r="AD2263" s="124"/>
      <c r="AE2263" s="238"/>
      <c r="AF2263" s="239"/>
      <c r="AG2263" s="239"/>
      <c r="AH2263" s="124"/>
      <c r="AI2263" s="74"/>
      <c r="AJ2263" s="240"/>
      <c r="AL2263" s="124"/>
      <c r="AM2263" s="74"/>
      <c r="AP2263" s="125"/>
      <c r="AQ2263" s="241"/>
      <c r="AR2263" s="125"/>
      <c r="AS2263" s="125"/>
      <c r="AT2263" s="238"/>
      <c r="AU2263" s="125"/>
      <c r="AV2263" s="125"/>
      <c r="AW2263" s="125"/>
      <c r="AX2263" s="238"/>
      <c r="AY2263" s="125"/>
      <c r="AZ2263" s="125"/>
      <c r="BA2263" s="125"/>
    </row>
    <row r="2264" spans="2:53" s="123" customFormat="1">
      <c r="B2264" s="125"/>
      <c r="D2264" s="125"/>
      <c r="I2264" s="125"/>
      <c r="Z2264" s="124"/>
      <c r="AA2264" s="74"/>
      <c r="AB2264" s="240"/>
      <c r="AD2264" s="124"/>
      <c r="AE2264" s="238"/>
      <c r="AF2264" s="239"/>
      <c r="AG2264" s="239"/>
      <c r="AH2264" s="124"/>
      <c r="AI2264" s="74"/>
      <c r="AJ2264" s="240"/>
      <c r="AL2264" s="124"/>
      <c r="AM2264" s="74"/>
      <c r="AP2264" s="125"/>
      <c r="AQ2264" s="241"/>
      <c r="AR2264" s="125"/>
      <c r="AS2264" s="125"/>
      <c r="AT2264" s="238"/>
      <c r="AU2264" s="125"/>
      <c r="AV2264" s="125"/>
      <c r="AW2264" s="125"/>
      <c r="AX2264" s="238"/>
      <c r="AY2264" s="125"/>
      <c r="AZ2264" s="125"/>
      <c r="BA2264" s="125"/>
    </row>
    <row r="2265" spans="2:53" s="123" customFormat="1">
      <c r="B2265" s="125"/>
      <c r="D2265" s="125"/>
      <c r="I2265" s="125"/>
      <c r="Z2265" s="124"/>
      <c r="AA2265" s="74"/>
      <c r="AB2265" s="240"/>
      <c r="AD2265" s="124"/>
      <c r="AE2265" s="238"/>
      <c r="AF2265" s="239"/>
      <c r="AG2265" s="239"/>
      <c r="AH2265" s="124"/>
      <c r="AI2265" s="74"/>
      <c r="AJ2265" s="240"/>
      <c r="AL2265" s="124"/>
      <c r="AM2265" s="74"/>
      <c r="AP2265" s="125"/>
      <c r="AQ2265" s="241"/>
      <c r="AR2265" s="125"/>
      <c r="AS2265" s="125"/>
      <c r="AT2265" s="238"/>
      <c r="AU2265" s="125"/>
      <c r="AV2265" s="125"/>
      <c r="AW2265" s="125"/>
      <c r="AX2265" s="238"/>
      <c r="AY2265" s="125"/>
      <c r="AZ2265" s="125"/>
      <c r="BA2265" s="125"/>
    </row>
    <row r="2266" spans="2:53" s="123" customFormat="1">
      <c r="B2266" s="125"/>
      <c r="D2266" s="125"/>
      <c r="I2266" s="125"/>
      <c r="Z2266" s="124"/>
      <c r="AA2266" s="74"/>
      <c r="AB2266" s="240"/>
      <c r="AD2266" s="124"/>
      <c r="AE2266" s="238"/>
      <c r="AF2266" s="239"/>
      <c r="AG2266" s="239"/>
      <c r="AH2266" s="124"/>
      <c r="AI2266" s="74"/>
      <c r="AJ2266" s="240"/>
      <c r="AL2266" s="124"/>
      <c r="AM2266" s="74"/>
      <c r="AP2266" s="125"/>
      <c r="AQ2266" s="241"/>
      <c r="AR2266" s="125"/>
      <c r="AS2266" s="125"/>
      <c r="AT2266" s="238"/>
      <c r="AU2266" s="125"/>
      <c r="AV2266" s="125"/>
      <c r="AW2266" s="125"/>
      <c r="AX2266" s="238"/>
      <c r="AY2266" s="125"/>
      <c r="AZ2266" s="125"/>
      <c r="BA2266" s="125"/>
    </row>
    <row r="2267" spans="2:53" s="123" customFormat="1">
      <c r="B2267" s="125"/>
      <c r="D2267" s="125"/>
      <c r="I2267" s="125"/>
      <c r="Z2267" s="124"/>
      <c r="AA2267" s="74"/>
      <c r="AB2267" s="240"/>
      <c r="AD2267" s="124"/>
      <c r="AE2267" s="238"/>
      <c r="AF2267" s="239"/>
      <c r="AG2267" s="239"/>
      <c r="AH2267" s="124"/>
      <c r="AI2267" s="74"/>
      <c r="AJ2267" s="240"/>
      <c r="AL2267" s="124"/>
      <c r="AM2267" s="74"/>
      <c r="AP2267" s="125"/>
      <c r="AQ2267" s="241"/>
      <c r="AR2267" s="125"/>
      <c r="AS2267" s="125"/>
      <c r="AT2267" s="238"/>
      <c r="AU2267" s="125"/>
      <c r="AV2267" s="125"/>
      <c r="AW2267" s="125"/>
      <c r="AX2267" s="238"/>
      <c r="AY2267" s="125"/>
      <c r="AZ2267" s="125"/>
      <c r="BA2267" s="125"/>
    </row>
    <row r="2268" spans="2:53" s="123" customFormat="1">
      <c r="B2268" s="125"/>
      <c r="D2268" s="125"/>
      <c r="I2268" s="125"/>
      <c r="Z2268" s="124"/>
      <c r="AA2268" s="74"/>
      <c r="AB2268" s="240"/>
      <c r="AD2268" s="124"/>
      <c r="AE2268" s="238"/>
      <c r="AF2268" s="239"/>
      <c r="AG2268" s="239"/>
      <c r="AH2268" s="124"/>
      <c r="AI2268" s="74"/>
      <c r="AJ2268" s="240"/>
      <c r="AL2268" s="124"/>
      <c r="AM2268" s="74"/>
      <c r="AP2268" s="125"/>
      <c r="AQ2268" s="241"/>
      <c r="AR2268" s="125"/>
      <c r="AS2268" s="125"/>
      <c r="AT2268" s="238"/>
      <c r="AU2268" s="125"/>
      <c r="AV2268" s="125"/>
      <c r="AW2268" s="125"/>
      <c r="AX2268" s="238"/>
      <c r="AY2268" s="125"/>
      <c r="AZ2268" s="125"/>
      <c r="BA2268" s="125"/>
    </row>
    <row r="2269" spans="2:53" s="123" customFormat="1">
      <c r="B2269" s="125"/>
      <c r="D2269" s="125"/>
      <c r="I2269" s="125"/>
      <c r="Z2269" s="124"/>
      <c r="AA2269" s="74"/>
      <c r="AB2269" s="240"/>
      <c r="AD2269" s="124"/>
      <c r="AE2269" s="238"/>
      <c r="AF2269" s="239"/>
      <c r="AG2269" s="239"/>
      <c r="AH2269" s="124"/>
      <c r="AI2269" s="74"/>
      <c r="AJ2269" s="240"/>
      <c r="AL2269" s="124"/>
      <c r="AM2269" s="74"/>
      <c r="AP2269" s="125"/>
      <c r="AQ2269" s="241"/>
      <c r="AR2269" s="125"/>
      <c r="AS2269" s="125"/>
      <c r="AT2269" s="238"/>
      <c r="AU2269" s="125"/>
      <c r="AV2269" s="125"/>
      <c r="AW2269" s="125"/>
      <c r="AX2269" s="238"/>
      <c r="AY2269" s="125"/>
      <c r="AZ2269" s="125"/>
      <c r="BA2269" s="125"/>
    </row>
    <row r="2270" spans="2:53" s="123" customFormat="1">
      <c r="B2270" s="125"/>
      <c r="D2270" s="125"/>
      <c r="I2270" s="125"/>
      <c r="Z2270" s="124"/>
      <c r="AA2270" s="74"/>
      <c r="AB2270" s="240"/>
      <c r="AD2270" s="124"/>
      <c r="AE2270" s="238"/>
      <c r="AF2270" s="239"/>
      <c r="AG2270" s="239"/>
      <c r="AH2270" s="124"/>
      <c r="AI2270" s="74"/>
      <c r="AJ2270" s="240"/>
      <c r="AL2270" s="124"/>
      <c r="AM2270" s="74"/>
      <c r="AP2270" s="125"/>
      <c r="AQ2270" s="241"/>
      <c r="AR2270" s="125"/>
      <c r="AS2270" s="125"/>
      <c r="AT2270" s="238"/>
      <c r="AU2270" s="125"/>
      <c r="AV2270" s="125"/>
      <c r="AW2270" s="125"/>
      <c r="AX2270" s="238"/>
      <c r="AY2270" s="125"/>
      <c r="AZ2270" s="125"/>
      <c r="BA2270" s="125"/>
    </row>
    <row r="2271" spans="2:53" s="123" customFormat="1">
      <c r="B2271" s="125"/>
      <c r="D2271" s="125"/>
      <c r="I2271" s="125"/>
      <c r="Z2271" s="124"/>
      <c r="AA2271" s="74"/>
      <c r="AB2271" s="240"/>
      <c r="AD2271" s="124"/>
      <c r="AE2271" s="238"/>
      <c r="AF2271" s="239"/>
      <c r="AG2271" s="239"/>
      <c r="AH2271" s="124"/>
      <c r="AI2271" s="74"/>
      <c r="AJ2271" s="240"/>
      <c r="AL2271" s="124"/>
      <c r="AM2271" s="74"/>
      <c r="AP2271" s="125"/>
      <c r="AQ2271" s="241"/>
      <c r="AR2271" s="125"/>
      <c r="AS2271" s="125"/>
      <c r="AT2271" s="238"/>
      <c r="AU2271" s="125"/>
      <c r="AV2271" s="125"/>
      <c r="AW2271" s="125"/>
      <c r="AX2271" s="238"/>
      <c r="AY2271" s="125"/>
      <c r="AZ2271" s="125"/>
      <c r="BA2271" s="125"/>
    </row>
    <row r="2272" spans="2:53" s="123" customFormat="1">
      <c r="B2272" s="125"/>
      <c r="D2272" s="125"/>
      <c r="I2272" s="125"/>
      <c r="Z2272" s="124"/>
      <c r="AA2272" s="74"/>
      <c r="AB2272" s="240"/>
      <c r="AD2272" s="124"/>
      <c r="AE2272" s="238"/>
      <c r="AF2272" s="239"/>
      <c r="AG2272" s="239"/>
      <c r="AH2272" s="124"/>
      <c r="AI2272" s="74"/>
      <c r="AJ2272" s="240"/>
      <c r="AL2272" s="124"/>
      <c r="AM2272" s="74"/>
      <c r="AP2272" s="125"/>
      <c r="AQ2272" s="241"/>
      <c r="AR2272" s="125"/>
      <c r="AS2272" s="125"/>
      <c r="AT2272" s="238"/>
      <c r="AU2272" s="125"/>
      <c r="AV2272" s="125"/>
      <c r="AW2272" s="125"/>
      <c r="AX2272" s="238"/>
      <c r="AY2272" s="125"/>
      <c r="AZ2272" s="125"/>
      <c r="BA2272" s="125"/>
    </row>
    <row r="2273" spans="2:53" s="123" customFormat="1">
      <c r="B2273" s="125"/>
      <c r="D2273" s="125"/>
      <c r="I2273" s="125"/>
      <c r="Z2273" s="124"/>
      <c r="AA2273" s="74"/>
      <c r="AB2273" s="240"/>
      <c r="AD2273" s="124"/>
      <c r="AE2273" s="238"/>
      <c r="AF2273" s="239"/>
      <c r="AG2273" s="239"/>
      <c r="AH2273" s="124"/>
      <c r="AI2273" s="74"/>
      <c r="AJ2273" s="240"/>
      <c r="AL2273" s="124"/>
      <c r="AM2273" s="74"/>
      <c r="AP2273" s="125"/>
      <c r="AQ2273" s="241"/>
      <c r="AR2273" s="125"/>
      <c r="AS2273" s="125"/>
      <c r="AT2273" s="238"/>
      <c r="AU2273" s="125"/>
      <c r="AV2273" s="125"/>
      <c r="AW2273" s="125"/>
      <c r="AX2273" s="238"/>
      <c r="AY2273" s="125"/>
      <c r="AZ2273" s="125"/>
      <c r="BA2273" s="125"/>
    </row>
    <row r="2274" spans="2:53" s="123" customFormat="1">
      <c r="B2274" s="125"/>
      <c r="D2274" s="125"/>
      <c r="I2274" s="125"/>
      <c r="Z2274" s="124"/>
      <c r="AA2274" s="74"/>
      <c r="AB2274" s="240"/>
      <c r="AD2274" s="124"/>
      <c r="AE2274" s="238"/>
      <c r="AF2274" s="239"/>
      <c r="AG2274" s="239"/>
      <c r="AH2274" s="124"/>
      <c r="AI2274" s="74"/>
      <c r="AJ2274" s="240"/>
      <c r="AL2274" s="124"/>
      <c r="AM2274" s="74"/>
      <c r="AP2274" s="125"/>
      <c r="AQ2274" s="241"/>
      <c r="AR2274" s="125"/>
      <c r="AS2274" s="125"/>
      <c r="AT2274" s="238"/>
      <c r="AU2274" s="125"/>
      <c r="AV2274" s="125"/>
      <c r="AW2274" s="125"/>
      <c r="AX2274" s="238"/>
      <c r="AY2274" s="125"/>
      <c r="AZ2274" s="125"/>
      <c r="BA2274" s="125"/>
    </row>
    <row r="2275" spans="2:53" s="123" customFormat="1">
      <c r="B2275" s="125"/>
      <c r="D2275" s="125"/>
      <c r="I2275" s="125"/>
      <c r="Z2275" s="124"/>
      <c r="AA2275" s="74"/>
      <c r="AB2275" s="240"/>
      <c r="AD2275" s="124"/>
      <c r="AE2275" s="238"/>
      <c r="AF2275" s="239"/>
      <c r="AG2275" s="239"/>
      <c r="AH2275" s="124"/>
      <c r="AI2275" s="74"/>
      <c r="AJ2275" s="240"/>
      <c r="AL2275" s="124"/>
      <c r="AM2275" s="74"/>
      <c r="AP2275" s="125"/>
      <c r="AQ2275" s="241"/>
      <c r="AR2275" s="125"/>
      <c r="AS2275" s="125"/>
      <c r="AT2275" s="238"/>
      <c r="AU2275" s="125"/>
      <c r="AV2275" s="125"/>
      <c r="AW2275" s="125"/>
      <c r="AX2275" s="238"/>
      <c r="AY2275" s="125"/>
      <c r="AZ2275" s="125"/>
      <c r="BA2275" s="125"/>
    </row>
    <row r="2276" spans="2:53" s="123" customFormat="1">
      <c r="B2276" s="125"/>
      <c r="D2276" s="125"/>
      <c r="I2276" s="125"/>
      <c r="Z2276" s="124"/>
      <c r="AA2276" s="74"/>
      <c r="AB2276" s="240"/>
      <c r="AD2276" s="124"/>
      <c r="AE2276" s="238"/>
      <c r="AF2276" s="239"/>
      <c r="AG2276" s="239"/>
      <c r="AH2276" s="124"/>
      <c r="AI2276" s="74"/>
      <c r="AJ2276" s="240"/>
      <c r="AL2276" s="124"/>
      <c r="AM2276" s="74"/>
      <c r="AP2276" s="125"/>
      <c r="AQ2276" s="241"/>
      <c r="AR2276" s="125"/>
      <c r="AS2276" s="125"/>
      <c r="AT2276" s="238"/>
      <c r="AU2276" s="125"/>
      <c r="AV2276" s="125"/>
      <c r="AW2276" s="125"/>
      <c r="AX2276" s="238"/>
      <c r="AY2276" s="125"/>
      <c r="AZ2276" s="125"/>
      <c r="BA2276" s="125"/>
    </row>
    <row r="2277" spans="2:53" s="123" customFormat="1">
      <c r="B2277" s="125"/>
      <c r="D2277" s="125"/>
      <c r="I2277" s="125"/>
      <c r="Z2277" s="124"/>
      <c r="AA2277" s="74"/>
      <c r="AB2277" s="240"/>
      <c r="AD2277" s="124"/>
      <c r="AE2277" s="238"/>
      <c r="AF2277" s="239"/>
      <c r="AG2277" s="239"/>
      <c r="AH2277" s="124"/>
      <c r="AI2277" s="74"/>
      <c r="AJ2277" s="240"/>
      <c r="AL2277" s="124"/>
      <c r="AM2277" s="74"/>
      <c r="AP2277" s="125"/>
      <c r="AQ2277" s="241"/>
      <c r="AR2277" s="125"/>
      <c r="AS2277" s="125"/>
      <c r="AT2277" s="238"/>
      <c r="AU2277" s="125"/>
      <c r="AV2277" s="125"/>
      <c r="AW2277" s="125"/>
      <c r="AX2277" s="238"/>
      <c r="AY2277" s="125"/>
      <c r="AZ2277" s="125"/>
      <c r="BA2277" s="125"/>
    </row>
    <row r="2278" spans="2:53" s="123" customFormat="1">
      <c r="B2278" s="125"/>
      <c r="D2278" s="125"/>
      <c r="I2278" s="125"/>
      <c r="Z2278" s="124"/>
      <c r="AA2278" s="74"/>
      <c r="AB2278" s="240"/>
      <c r="AD2278" s="124"/>
      <c r="AE2278" s="238"/>
      <c r="AF2278" s="239"/>
      <c r="AG2278" s="239"/>
      <c r="AH2278" s="124"/>
      <c r="AI2278" s="74"/>
      <c r="AJ2278" s="240"/>
      <c r="AL2278" s="124"/>
      <c r="AM2278" s="74"/>
      <c r="AP2278" s="125"/>
      <c r="AQ2278" s="241"/>
      <c r="AR2278" s="125"/>
      <c r="AS2278" s="125"/>
      <c r="AT2278" s="238"/>
      <c r="AU2278" s="125"/>
      <c r="AV2278" s="125"/>
      <c r="AW2278" s="125"/>
      <c r="AX2278" s="238"/>
      <c r="AY2278" s="125"/>
      <c r="AZ2278" s="125"/>
      <c r="BA2278" s="125"/>
    </row>
    <row r="2279" spans="2:53" s="123" customFormat="1">
      <c r="B2279" s="125"/>
      <c r="D2279" s="125"/>
      <c r="I2279" s="125"/>
      <c r="Z2279" s="124"/>
      <c r="AA2279" s="74"/>
      <c r="AB2279" s="240"/>
      <c r="AD2279" s="124"/>
      <c r="AE2279" s="238"/>
      <c r="AF2279" s="239"/>
      <c r="AG2279" s="239"/>
      <c r="AH2279" s="124"/>
      <c r="AI2279" s="74"/>
      <c r="AJ2279" s="240"/>
      <c r="AL2279" s="124"/>
      <c r="AM2279" s="74"/>
      <c r="AP2279" s="125"/>
      <c r="AQ2279" s="241"/>
      <c r="AR2279" s="125"/>
      <c r="AS2279" s="125"/>
      <c r="AT2279" s="238"/>
      <c r="AU2279" s="125"/>
      <c r="AV2279" s="125"/>
      <c r="AW2279" s="125"/>
      <c r="AX2279" s="238"/>
      <c r="AY2279" s="125"/>
      <c r="AZ2279" s="125"/>
      <c r="BA2279" s="125"/>
    </row>
    <row r="2280" spans="2:53" s="123" customFormat="1">
      <c r="B2280" s="125"/>
      <c r="D2280" s="125"/>
      <c r="I2280" s="125"/>
      <c r="Z2280" s="124"/>
      <c r="AA2280" s="74"/>
      <c r="AB2280" s="240"/>
      <c r="AD2280" s="124"/>
      <c r="AE2280" s="238"/>
      <c r="AF2280" s="239"/>
      <c r="AG2280" s="239"/>
      <c r="AH2280" s="124"/>
      <c r="AI2280" s="74"/>
      <c r="AJ2280" s="240"/>
      <c r="AL2280" s="124"/>
      <c r="AM2280" s="74"/>
      <c r="AP2280" s="125"/>
      <c r="AQ2280" s="241"/>
      <c r="AR2280" s="125"/>
      <c r="AS2280" s="125"/>
      <c r="AT2280" s="238"/>
      <c r="AU2280" s="125"/>
      <c r="AV2280" s="125"/>
      <c r="AW2280" s="125"/>
      <c r="AX2280" s="238"/>
      <c r="AY2280" s="125"/>
      <c r="AZ2280" s="125"/>
      <c r="BA2280" s="125"/>
    </row>
    <row r="2281" spans="2:53" s="123" customFormat="1">
      <c r="B2281" s="125"/>
      <c r="D2281" s="125"/>
      <c r="I2281" s="125"/>
      <c r="Z2281" s="124"/>
      <c r="AA2281" s="74"/>
      <c r="AB2281" s="240"/>
      <c r="AD2281" s="124"/>
      <c r="AE2281" s="238"/>
      <c r="AF2281" s="239"/>
      <c r="AG2281" s="239"/>
      <c r="AH2281" s="124"/>
      <c r="AI2281" s="74"/>
      <c r="AJ2281" s="240"/>
      <c r="AL2281" s="124"/>
      <c r="AM2281" s="74"/>
      <c r="AP2281" s="125"/>
      <c r="AQ2281" s="241"/>
      <c r="AR2281" s="125"/>
      <c r="AS2281" s="125"/>
      <c r="AT2281" s="238"/>
      <c r="AU2281" s="125"/>
      <c r="AV2281" s="125"/>
      <c r="AW2281" s="125"/>
      <c r="AX2281" s="238"/>
      <c r="AY2281" s="125"/>
      <c r="AZ2281" s="125"/>
      <c r="BA2281" s="125"/>
    </row>
    <row r="2282" spans="2:53" s="123" customFormat="1">
      <c r="B2282" s="125"/>
      <c r="D2282" s="125"/>
      <c r="I2282" s="125"/>
      <c r="Z2282" s="124"/>
      <c r="AA2282" s="74"/>
      <c r="AB2282" s="240"/>
      <c r="AD2282" s="124"/>
      <c r="AE2282" s="238"/>
      <c r="AF2282" s="239"/>
      <c r="AG2282" s="239"/>
      <c r="AH2282" s="124"/>
      <c r="AI2282" s="74"/>
      <c r="AJ2282" s="240"/>
      <c r="AL2282" s="124"/>
      <c r="AM2282" s="74"/>
      <c r="AP2282" s="125"/>
      <c r="AQ2282" s="241"/>
      <c r="AR2282" s="125"/>
      <c r="AS2282" s="125"/>
      <c r="AT2282" s="238"/>
      <c r="AU2282" s="125"/>
      <c r="AV2282" s="125"/>
      <c r="AW2282" s="125"/>
      <c r="AX2282" s="238"/>
      <c r="AY2282" s="125"/>
      <c r="AZ2282" s="125"/>
      <c r="BA2282" s="125"/>
    </row>
    <row r="2283" spans="2:53" s="123" customFormat="1">
      <c r="B2283" s="125"/>
      <c r="D2283" s="125"/>
      <c r="I2283" s="125"/>
      <c r="Z2283" s="124"/>
      <c r="AA2283" s="74"/>
      <c r="AB2283" s="240"/>
      <c r="AD2283" s="124"/>
      <c r="AE2283" s="238"/>
      <c r="AF2283" s="239"/>
      <c r="AG2283" s="239"/>
      <c r="AH2283" s="124"/>
      <c r="AI2283" s="74"/>
      <c r="AJ2283" s="240"/>
      <c r="AL2283" s="124"/>
      <c r="AM2283" s="74"/>
      <c r="AP2283" s="125"/>
      <c r="AQ2283" s="241"/>
      <c r="AR2283" s="125"/>
      <c r="AS2283" s="125"/>
      <c r="AT2283" s="238"/>
      <c r="AU2283" s="125"/>
      <c r="AV2283" s="125"/>
      <c r="AW2283" s="125"/>
      <c r="AX2283" s="238"/>
      <c r="AY2283" s="125"/>
      <c r="AZ2283" s="125"/>
      <c r="BA2283" s="125"/>
    </row>
    <row r="2284" spans="2:53" s="123" customFormat="1">
      <c r="B2284" s="125"/>
      <c r="D2284" s="125"/>
      <c r="I2284" s="125"/>
      <c r="Z2284" s="124"/>
      <c r="AA2284" s="74"/>
      <c r="AB2284" s="240"/>
      <c r="AD2284" s="124"/>
      <c r="AE2284" s="238"/>
      <c r="AF2284" s="239"/>
      <c r="AG2284" s="239"/>
      <c r="AH2284" s="124"/>
      <c r="AI2284" s="74"/>
      <c r="AJ2284" s="240"/>
      <c r="AL2284" s="124"/>
      <c r="AM2284" s="74"/>
      <c r="AP2284" s="125"/>
      <c r="AQ2284" s="241"/>
      <c r="AR2284" s="125"/>
      <c r="AS2284" s="125"/>
      <c r="AT2284" s="238"/>
      <c r="AU2284" s="125"/>
      <c r="AV2284" s="125"/>
      <c r="AW2284" s="125"/>
      <c r="AX2284" s="238"/>
      <c r="AY2284" s="125"/>
      <c r="AZ2284" s="125"/>
      <c r="BA2284" s="125"/>
    </row>
    <row r="2285" spans="2:53" s="123" customFormat="1">
      <c r="B2285" s="125"/>
      <c r="D2285" s="125"/>
      <c r="I2285" s="125"/>
      <c r="Z2285" s="124"/>
      <c r="AA2285" s="74"/>
      <c r="AB2285" s="240"/>
      <c r="AD2285" s="124"/>
      <c r="AE2285" s="238"/>
      <c r="AF2285" s="239"/>
      <c r="AG2285" s="239"/>
      <c r="AH2285" s="124"/>
      <c r="AI2285" s="74"/>
      <c r="AJ2285" s="240"/>
      <c r="AL2285" s="124"/>
      <c r="AM2285" s="74"/>
      <c r="AP2285" s="125"/>
      <c r="AQ2285" s="241"/>
      <c r="AR2285" s="125"/>
      <c r="AS2285" s="125"/>
      <c r="AT2285" s="238"/>
      <c r="AU2285" s="125"/>
      <c r="AV2285" s="125"/>
      <c r="AW2285" s="125"/>
      <c r="AX2285" s="238"/>
      <c r="AY2285" s="125"/>
      <c r="AZ2285" s="125"/>
      <c r="BA2285" s="125"/>
    </row>
    <row r="2286" spans="2:53" s="123" customFormat="1">
      <c r="B2286" s="125"/>
      <c r="D2286" s="125"/>
      <c r="I2286" s="125"/>
      <c r="Z2286" s="124"/>
      <c r="AA2286" s="74"/>
      <c r="AB2286" s="240"/>
      <c r="AD2286" s="124"/>
      <c r="AE2286" s="238"/>
      <c r="AF2286" s="239"/>
      <c r="AG2286" s="239"/>
      <c r="AH2286" s="124"/>
      <c r="AI2286" s="74"/>
      <c r="AJ2286" s="240"/>
      <c r="AL2286" s="124"/>
      <c r="AM2286" s="74"/>
      <c r="AP2286" s="125"/>
      <c r="AQ2286" s="241"/>
      <c r="AR2286" s="125"/>
      <c r="AS2286" s="125"/>
      <c r="AT2286" s="238"/>
      <c r="AU2286" s="125"/>
      <c r="AV2286" s="125"/>
      <c r="AW2286" s="125"/>
      <c r="AX2286" s="238"/>
      <c r="AY2286" s="125"/>
      <c r="AZ2286" s="125"/>
      <c r="BA2286" s="125"/>
    </row>
    <row r="2287" spans="2:53" s="123" customFormat="1">
      <c r="B2287" s="125"/>
      <c r="D2287" s="125"/>
      <c r="I2287" s="125"/>
      <c r="Z2287" s="124"/>
      <c r="AA2287" s="74"/>
      <c r="AB2287" s="240"/>
      <c r="AD2287" s="124"/>
      <c r="AE2287" s="238"/>
      <c r="AF2287" s="239"/>
      <c r="AG2287" s="239"/>
      <c r="AH2287" s="124"/>
      <c r="AI2287" s="74"/>
      <c r="AJ2287" s="240"/>
      <c r="AL2287" s="124"/>
      <c r="AM2287" s="74"/>
      <c r="AP2287" s="125"/>
      <c r="AQ2287" s="241"/>
      <c r="AR2287" s="125"/>
      <c r="AS2287" s="125"/>
      <c r="AT2287" s="238"/>
      <c r="AU2287" s="125"/>
      <c r="AV2287" s="125"/>
      <c r="AW2287" s="125"/>
      <c r="AX2287" s="238"/>
      <c r="AY2287" s="125"/>
      <c r="AZ2287" s="125"/>
      <c r="BA2287" s="125"/>
    </row>
    <row r="2288" spans="2:53" s="123" customFormat="1">
      <c r="B2288" s="125"/>
      <c r="D2288" s="125"/>
      <c r="I2288" s="125"/>
      <c r="Z2288" s="124"/>
      <c r="AA2288" s="74"/>
      <c r="AB2288" s="240"/>
      <c r="AD2288" s="124"/>
      <c r="AE2288" s="238"/>
      <c r="AF2288" s="239"/>
      <c r="AG2288" s="239"/>
      <c r="AH2288" s="124"/>
      <c r="AI2288" s="74"/>
      <c r="AJ2288" s="240"/>
      <c r="AL2288" s="124"/>
      <c r="AM2288" s="74"/>
      <c r="AP2288" s="125"/>
      <c r="AQ2288" s="241"/>
      <c r="AR2288" s="125"/>
      <c r="AS2288" s="125"/>
      <c r="AT2288" s="238"/>
      <c r="AU2288" s="125"/>
      <c r="AV2288" s="125"/>
      <c r="AW2288" s="125"/>
      <c r="AX2288" s="238"/>
      <c r="AY2288" s="125"/>
      <c r="AZ2288" s="125"/>
      <c r="BA2288" s="125"/>
    </row>
    <row r="2289" spans="2:53" s="123" customFormat="1">
      <c r="B2289" s="125"/>
      <c r="D2289" s="125"/>
      <c r="I2289" s="125"/>
      <c r="Z2289" s="124"/>
      <c r="AA2289" s="74"/>
      <c r="AB2289" s="240"/>
      <c r="AD2289" s="124"/>
      <c r="AE2289" s="238"/>
      <c r="AF2289" s="239"/>
      <c r="AG2289" s="239"/>
      <c r="AH2289" s="124"/>
      <c r="AI2289" s="74"/>
      <c r="AJ2289" s="240"/>
      <c r="AL2289" s="124"/>
      <c r="AM2289" s="74"/>
      <c r="AP2289" s="125"/>
      <c r="AQ2289" s="241"/>
      <c r="AR2289" s="125"/>
      <c r="AS2289" s="125"/>
      <c r="AT2289" s="238"/>
      <c r="AU2289" s="125"/>
      <c r="AV2289" s="125"/>
      <c r="AW2289" s="125"/>
      <c r="AX2289" s="238"/>
      <c r="AY2289" s="125"/>
      <c r="AZ2289" s="125"/>
      <c r="BA2289" s="125"/>
    </row>
    <row r="2290" spans="2:53" s="123" customFormat="1">
      <c r="B2290" s="125"/>
      <c r="D2290" s="125"/>
      <c r="I2290" s="125"/>
      <c r="Z2290" s="124"/>
      <c r="AA2290" s="74"/>
      <c r="AB2290" s="240"/>
      <c r="AD2290" s="124"/>
      <c r="AE2290" s="238"/>
      <c r="AF2290" s="239"/>
      <c r="AG2290" s="239"/>
      <c r="AH2290" s="124"/>
      <c r="AI2290" s="74"/>
      <c r="AJ2290" s="240"/>
      <c r="AL2290" s="124"/>
      <c r="AM2290" s="74"/>
      <c r="AP2290" s="125"/>
      <c r="AQ2290" s="241"/>
      <c r="AR2290" s="125"/>
      <c r="AS2290" s="125"/>
      <c r="AT2290" s="238"/>
      <c r="AU2290" s="125"/>
      <c r="AV2290" s="125"/>
      <c r="AW2290" s="125"/>
      <c r="AX2290" s="238"/>
      <c r="AY2290" s="125"/>
      <c r="AZ2290" s="125"/>
      <c r="BA2290" s="125"/>
    </row>
    <row r="2291" spans="2:53" s="123" customFormat="1">
      <c r="B2291" s="125"/>
      <c r="D2291" s="125"/>
      <c r="I2291" s="125"/>
      <c r="Z2291" s="124"/>
      <c r="AA2291" s="74"/>
      <c r="AB2291" s="240"/>
      <c r="AD2291" s="124"/>
      <c r="AE2291" s="238"/>
      <c r="AF2291" s="239"/>
      <c r="AG2291" s="239"/>
      <c r="AH2291" s="124"/>
      <c r="AI2291" s="74"/>
      <c r="AJ2291" s="240"/>
      <c r="AL2291" s="124"/>
      <c r="AM2291" s="74"/>
      <c r="AP2291" s="125"/>
      <c r="AQ2291" s="241"/>
      <c r="AR2291" s="125"/>
      <c r="AS2291" s="125"/>
      <c r="AT2291" s="238"/>
      <c r="AU2291" s="125"/>
      <c r="AV2291" s="125"/>
      <c r="AW2291" s="125"/>
      <c r="AX2291" s="238"/>
      <c r="AY2291" s="125"/>
      <c r="AZ2291" s="125"/>
      <c r="BA2291" s="125"/>
    </row>
    <row r="2292" spans="2:53" s="123" customFormat="1">
      <c r="B2292" s="125"/>
      <c r="D2292" s="125"/>
      <c r="I2292" s="125"/>
      <c r="Z2292" s="124"/>
      <c r="AA2292" s="74"/>
      <c r="AB2292" s="240"/>
      <c r="AD2292" s="124"/>
      <c r="AE2292" s="238"/>
      <c r="AF2292" s="239"/>
      <c r="AG2292" s="239"/>
      <c r="AH2292" s="124"/>
      <c r="AI2292" s="74"/>
      <c r="AJ2292" s="240"/>
      <c r="AL2292" s="124"/>
      <c r="AM2292" s="74"/>
      <c r="AP2292" s="125"/>
      <c r="AQ2292" s="241"/>
      <c r="AR2292" s="125"/>
      <c r="AS2292" s="125"/>
      <c r="AT2292" s="238"/>
      <c r="AU2292" s="125"/>
      <c r="AV2292" s="125"/>
      <c r="AW2292" s="125"/>
      <c r="AX2292" s="238"/>
      <c r="AY2292" s="125"/>
      <c r="AZ2292" s="125"/>
      <c r="BA2292" s="125"/>
    </row>
    <row r="2293" spans="2:53" s="123" customFormat="1">
      <c r="B2293" s="125"/>
      <c r="D2293" s="125"/>
      <c r="I2293" s="125"/>
      <c r="Z2293" s="124"/>
      <c r="AA2293" s="74"/>
      <c r="AB2293" s="240"/>
      <c r="AD2293" s="124"/>
      <c r="AE2293" s="238"/>
      <c r="AF2293" s="239"/>
      <c r="AG2293" s="239"/>
      <c r="AH2293" s="124"/>
      <c r="AI2293" s="74"/>
      <c r="AJ2293" s="240"/>
      <c r="AL2293" s="124"/>
      <c r="AM2293" s="74"/>
      <c r="AP2293" s="125"/>
      <c r="AQ2293" s="241"/>
      <c r="AR2293" s="125"/>
      <c r="AS2293" s="125"/>
      <c r="AT2293" s="238"/>
      <c r="AU2293" s="125"/>
      <c r="AV2293" s="125"/>
      <c r="AW2293" s="125"/>
      <c r="AX2293" s="238"/>
      <c r="AY2293" s="125"/>
      <c r="AZ2293" s="125"/>
      <c r="BA2293" s="125"/>
    </row>
    <row r="2294" spans="2:53" s="123" customFormat="1">
      <c r="B2294" s="125"/>
      <c r="D2294" s="125"/>
      <c r="I2294" s="125"/>
      <c r="Z2294" s="124"/>
      <c r="AA2294" s="74"/>
      <c r="AB2294" s="240"/>
      <c r="AD2294" s="124"/>
      <c r="AE2294" s="238"/>
      <c r="AF2294" s="239"/>
      <c r="AG2294" s="239"/>
      <c r="AH2294" s="124"/>
      <c r="AI2294" s="74"/>
      <c r="AJ2294" s="240"/>
      <c r="AL2294" s="124"/>
      <c r="AM2294" s="74"/>
      <c r="AP2294" s="125"/>
      <c r="AQ2294" s="241"/>
      <c r="AR2294" s="125"/>
      <c r="AS2294" s="125"/>
      <c r="AT2294" s="238"/>
      <c r="AU2294" s="125"/>
      <c r="AV2294" s="125"/>
      <c r="AW2294" s="125"/>
      <c r="AX2294" s="238"/>
      <c r="AY2294" s="125"/>
      <c r="AZ2294" s="125"/>
      <c r="BA2294" s="125"/>
    </row>
    <row r="2295" spans="2:53" s="123" customFormat="1">
      <c r="B2295" s="125"/>
      <c r="D2295" s="125"/>
      <c r="I2295" s="125"/>
      <c r="Z2295" s="124"/>
      <c r="AA2295" s="74"/>
      <c r="AB2295" s="240"/>
      <c r="AD2295" s="124"/>
      <c r="AE2295" s="238"/>
      <c r="AF2295" s="239"/>
      <c r="AG2295" s="239"/>
      <c r="AH2295" s="124"/>
      <c r="AI2295" s="74"/>
      <c r="AJ2295" s="240"/>
      <c r="AL2295" s="124"/>
      <c r="AM2295" s="74"/>
      <c r="AP2295" s="125"/>
      <c r="AQ2295" s="241"/>
      <c r="AR2295" s="125"/>
      <c r="AS2295" s="125"/>
      <c r="AT2295" s="238"/>
      <c r="AU2295" s="125"/>
      <c r="AV2295" s="125"/>
      <c r="AW2295" s="125"/>
      <c r="AX2295" s="238"/>
      <c r="AY2295" s="125"/>
      <c r="AZ2295" s="125"/>
      <c r="BA2295" s="125"/>
    </row>
    <row r="2296" spans="2:53" s="123" customFormat="1">
      <c r="B2296" s="125"/>
      <c r="D2296" s="125"/>
      <c r="I2296" s="125"/>
      <c r="Z2296" s="124"/>
      <c r="AA2296" s="74"/>
      <c r="AB2296" s="240"/>
      <c r="AD2296" s="124"/>
      <c r="AE2296" s="238"/>
      <c r="AF2296" s="239"/>
      <c r="AG2296" s="239"/>
      <c r="AH2296" s="124"/>
      <c r="AI2296" s="74"/>
      <c r="AJ2296" s="240"/>
      <c r="AL2296" s="124"/>
      <c r="AM2296" s="74"/>
      <c r="AP2296" s="125"/>
      <c r="AQ2296" s="241"/>
      <c r="AR2296" s="125"/>
      <c r="AS2296" s="125"/>
      <c r="AT2296" s="238"/>
      <c r="AU2296" s="125"/>
      <c r="AV2296" s="125"/>
      <c r="AW2296" s="125"/>
      <c r="AX2296" s="238"/>
      <c r="AY2296" s="125"/>
      <c r="AZ2296" s="125"/>
      <c r="BA2296" s="125"/>
    </row>
    <row r="2297" spans="2:53" s="123" customFormat="1">
      <c r="B2297" s="125"/>
      <c r="D2297" s="125"/>
      <c r="I2297" s="125"/>
      <c r="Z2297" s="124"/>
      <c r="AA2297" s="74"/>
      <c r="AB2297" s="240"/>
      <c r="AD2297" s="124"/>
      <c r="AE2297" s="238"/>
      <c r="AF2297" s="239"/>
      <c r="AG2297" s="239"/>
      <c r="AH2297" s="124"/>
      <c r="AI2297" s="74"/>
      <c r="AJ2297" s="240"/>
      <c r="AL2297" s="124"/>
      <c r="AM2297" s="74"/>
      <c r="AP2297" s="125"/>
      <c r="AQ2297" s="241"/>
      <c r="AR2297" s="125"/>
      <c r="AS2297" s="125"/>
      <c r="AT2297" s="238"/>
      <c r="AU2297" s="125"/>
      <c r="AV2297" s="125"/>
      <c r="AW2297" s="125"/>
      <c r="AX2297" s="238"/>
      <c r="AY2297" s="125"/>
      <c r="AZ2297" s="125"/>
      <c r="BA2297" s="125"/>
    </row>
    <row r="2298" spans="2:53" s="123" customFormat="1">
      <c r="B2298" s="125"/>
      <c r="D2298" s="125"/>
      <c r="I2298" s="125"/>
      <c r="Z2298" s="124"/>
      <c r="AA2298" s="74"/>
      <c r="AB2298" s="240"/>
      <c r="AD2298" s="124"/>
      <c r="AE2298" s="238"/>
      <c r="AF2298" s="239"/>
      <c r="AG2298" s="239"/>
      <c r="AH2298" s="124"/>
      <c r="AI2298" s="74"/>
      <c r="AJ2298" s="240"/>
      <c r="AL2298" s="124"/>
      <c r="AM2298" s="74"/>
      <c r="AP2298" s="125"/>
      <c r="AQ2298" s="241"/>
      <c r="AR2298" s="125"/>
      <c r="AS2298" s="125"/>
      <c r="AT2298" s="238"/>
      <c r="AU2298" s="125"/>
      <c r="AV2298" s="125"/>
      <c r="AW2298" s="125"/>
      <c r="AX2298" s="238"/>
      <c r="AY2298" s="125"/>
      <c r="AZ2298" s="125"/>
      <c r="BA2298" s="125"/>
    </row>
    <row r="2299" spans="2:53" s="123" customFormat="1">
      <c r="B2299" s="125"/>
      <c r="D2299" s="125"/>
      <c r="I2299" s="125"/>
      <c r="Z2299" s="124"/>
      <c r="AA2299" s="74"/>
      <c r="AB2299" s="240"/>
      <c r="AD2299" s="124"/>
      <c r="AE2299" s="238"/>
      <c r="AF2299" s="239"/>
      <c r="AG2299" s="239"/>
      <c r="AH2299" s="124"/>
      <c r="AI2299" s="74"/>
      <c r="AJ2299" s="240"/>
      <c r="AL2299" s="124"/>
      <c r="AM2299" s="74"/>
      <c r="AP2299" s="125"/>
      <c r="AQ2299" s="241"/>
      <c r="AR2299" s="125"/>
      <c r="AS2299" s="125"/>
      <c r="AT2299" s="238"/>
      <c r="AU2299" s="125"/>
      <c r="AV2299" s="125"/>
      <c r="AW2299" s="125"/>
      <c r="AX2299" s="238"/>
      <c r="AY2299" s="125"/>
      <c r="AZ2299" s="125"/>
      <c r="BA2299" s="125"/>
    </row>
    <row r="2300" spans="2:53" s="123" customFormat="1">
      <c r="B2300" s="125"/>
      <c r="D2300" s="125"/>
      <c r="I2300" s="125"/>
      <c r="Z2300" s="124"/>
      <c r="AA2300" s="74"/>
      <c r="AB2300" s="240"/>
      <c r="AD2300" s="124"/>
      <c r="AE2300" s="238"/>
      <c r="AF2300" s="239"/>
      <c r="AG2300" s="239"/>
      <c r="AH2300" s="124"/>
      <c r="AI2300" s="74"/>
      <c r="AJ2300" s="240"/>
      <c r="AL2300" s="124"/>
      <c r="AM2300" s="74"/>
      <c r="AP2300" s="125"/>
      <c r="AQ2300" s="241"/>
      <c r="AR2300" s="125"/>
      <c r="AS2300" s="125"/>
      <c r="AT2300" s="238"/>
      <c r="AU2300" s="125"/>
      <c r="AV2300" s="125"/>
      <c r="AW2300" s="125"/>
      <c r="AX2300" s="238"/>
      <c r="AY2300" s="125"/>
      <c r="AZ2300" s="125"/>
      <c r="BA2300" s="125"/>
    </row>
    <row r="2301" spans="2:53" s="123" customFormat="1">
      <c r="B2301" s="125"/>
      <c r="D2301" s="125"/>
      <c r="I2301" s="125"/>
      <c r="Z2301" s="124"/>
      <c r="AA2301" s="74"/>
      <c r="AB2301" s="240"/>
      <c r="AD2301" s="124"/>
      <c r="AE2301" s="238"/>
      <c r="AF2301" s="239"/>
      <c r="AG2301" s="239"/>
      <c r="AH2301" s="124"/>
      <c r="AI2301" s="74"/>
      <c r="AJ2301" s="240"/>
      <c r="AL2301" s="124"/>
      <c r="AM2301" s="74"/>
      <c r="AP2301" s="125"/>
      <c r="AQ2301" s="241"/>
      <c r="AR2301" s="125"/>
      <c r="AS2301" s="125"/>
      <c r="AT2301" s="238"/>
      <c r="AU2301" s="125"/>
      <c r="AV2301" s="125"/>
      <c r="AW2301" s="125"/>
      <c r="AX2301" s="238"/>
      <c r="AY2301" s="125"/>
      <c r="AZ2301" s="125"/>
      <c r="BA2301" s="125"/>
    </row>
    <row r="2302" spans="2:53" s="123" customFormat="1">
      <c r="B2302" s="125"/>
      <c r="D2302" s="125"/>
      <c r="I2302" s="125"/>
      <c r="Z2302" s="124"/>
      <c r="AA2302" s="74"/>
      <c r="AB2302" s="240"/>
      <c r="AD2302" s="124"/>
      <c r="AE2302" s="238"/>
      <c r="AF2302" s="239"/>
      <c r="AG2302" s="239"/>
      <c r="AH2302" s="124"/>
      <c r="AI2302" s="74"/>
      <c r="AJ2302" s="240"/>
      <c r="AL2302" s="124"/>
      <c r="AM2302" s="74"/>
      <c r="AP2302" s="125"/>
      <c r="AQ2302" s="241"/>
      <c r="AR2302" s="125"/>
      <c r="AS2302" s="125"/>
      <c r="AT2302" s="238"/>
      <c r="AU2302" s="125"/>
      <c r="AV2302" s="125"/>
      <c r="AW2302" s="125"/>
      <c r="AX2302" s="238"/>
      <c r="AY2302" s="125"/>
      <c r="AZ2302" s="125"/>
      <c r="BA2302" s="125"/>
    </row>
    <row r="2303" spans="2:53" s="123" customFormat="1">
      <c r="B2303" s="125"/>
      <c r="D2303" s="125"/>
      <c r="I2303" s="125"/>
      <c r="Z2303" s="124"/>
      <c r="AA2303" s="74"/>
      <c r="AB2303" s="240"/>
      <c r="AD2303" s="124"/>
      <c r="AE2303" s="238"/>
      <c r="AF2303" s="239"/>
      <c r="AG2303" s="239"/>
      <c r="AH2303" s="124"/>
      <c r="AI2303" s="74"/>
      <c r="AJ2303" s="240"/>
      <c r="AL2303" s="124"/>
      <c r="AM2303" s="74"/>
      <c r="AP2303" s="125"/>
      <c r="AQ2303" s="241"/>
      <c r="AR2303" s="125"/>
      <c r="AS2303" s="125"/>
      <c r="AT2303" s="238"/>
      <c r="AU2303" s="125"/>
      <c r="AV2303" s="125"/>
      <c r="AW2303" s="125"/>
      <c r="AX2303" s="238"/>
      <c r="AY2303" s="125"/>
      <c r="AZ2303" s="125"/>
      <c r="BA2303" s="125"/>
    </row>
    <row r="2304" spans="2:53" s="123" customFormat="1">
      <c r="B2304" s="125"/>
      <c r="D2304" s="125"/>
      <c r="I2304" s="125"/>
      <c r="Z2304" s="124"/>
      <c r="AA2304" s="74"/>
      <c r="AB2304" s="240"/>
      <c r="AD2304" s="124"/>
      <c r="AE2304" s="238"/>
      <c r="AF2304" s="239"/>
      <c r="AG2304" s="239"/>
      <c r="AH2304" s="124"/>
      <c r="AI2304" s="74"/>
      <c r="AJ2304" s="240"/>
      <c r="AL2304" s="124"/>
      <c r="AM2304" s="74"/>
      <c r="AP2304" s="125"/>
      <c r="AQ2304" s="241"/>
      <c r="AR2304" s="125"/>
      <c r="AS2304" s="125"/>
      <c r="AT2304" s="238"/>
      <c r="AU2304" s="125"/>
      <c r="AV2304" s="125"/>
      <c r="AW2304" s="125"/>
      <c r="AX2304" s="238"/>
      <c r="AY2304" s="125"/>
      <c r="AZ2304" s="125"/>
      <c r="BA2304" s="125"/>
    </row>
    <row r="2305" spans="2:53" s="123" customFormat="1">
      <c r="B2305" s="125"/>
      <c r="D2305" s="125"/>
      <c r="I2305" s="125"/>
      <c r="Z2305" s="124"/>
      <c r="AA2305" s="74"/>
      <c r="AB2305" s="240"/>
      <c r="AD2305" s="124"/>
      <c r="AE2305" s="238"/>
      <c r="AF2305" s="239"/>
      <c r="AG2305" s="239"/>
      <c r="AH2305" s="124"/>
      <c r="AI2305" s="74"/>
      <c r="AJ2305" s="240"/>
      <c r="AL2305" s="124"/>
      <c r="AM2305" s="74"/>
      <c r="AP2305" s="125"/>
      <c r="AQ2305" s="241"/>
      <c r="AR2305" s="125"/>
      <c r="AS2305" s="125"/>
      <c r="AT2305" s="238"/>
      <c r="AU2305" s="125"/>
      <c r="AV2305" s="125"/>
      <c r="AW2305" s="125"/>
      <c r="AX2305" s="238"/>
      <c r="AY2305" s="125"/>
      <c r="AZ2305" s="125"/>
      <c r="BA2305" s="125"/>
    </row>
    <row r="2306" spans="2:53" s="123" customFormat="1">
      <c r="B2306" s="125"/>
      <c r="D2306" s="125"/>
      <c r="I2306" s="125"/>
      <c r="Z2306" s="124"/>
      <c r="AA2306" s="74"/>
      <c r="AB2306" s="240"/>
      <c r="AD2306" s="124"/>
      <c r="AE2306" s="238"/>
      <c r="AF2306" s="239"/>
      <c r="AG2306" s="239"/>
      <c r="AH2306" s="124"/>
      <c r="AI2306" s="74"/>
      <c r="AJ2306" s="240"/>
      <c r="AL2306" s="124"/>
      <c r="AM2306" s="74"/>
      <c r="AP2306" s="125"/>
      <c r="AQ2306" s="241"/>
      <c r="AR2306" s="125"/>
      <c r="AS2306" s="125"/>
      <c r="AT2306" s="238"/>
      <c r="AU2306" s="125"/>
      <c r="AV2306" s="125"/>
      <c r="AW2306" s="125"/>
      <c r="AX2306" s="238"/>
      <c r="AY2306" s="125"/>
      <c r="AZ2306" s="125"/>
      <c r="BA2306" s="125"/>
    </row>
    <row r="2307" spans="2:53" s="123" customFormat="1">
      <c r="B2307" s="125"/>
      <c r="D2307" s="125"/>
      <c r="I2307" s="125"/>
      <c r="Z2307" s="124"/>
      <c r="AA2307" s="74"/>
      <c r="AB2307" s="240"/>
      <c r="AD2307" s="124"/>
      <c r="AE2307" s="238"/>
      <c r="AF2307" s="239"/>
      <c r="AG2307" s="239"/>
      <c r="AH2307" s="124"/>
      <c r="AI2307" s="74"/>
      <c r="AJ2307" s="240"/>
      <c r="AL2307" s="124"/>
      <c r="AM2307" s="74"/>
      <c r="AP2307" s="125"/>
      <c r="AQ2307" s="241"/>
      <c r="AR2307" s="125"/>
      <c r="AS2307" s="125"/>
      <c r="AT2307" s="238"/>
      <c r="AU2307" s="125"/>
      <c r="AV2307" s="125"/>
      <c r="AW2307" s="125"/>
      <c r="AX2307" s="238"/>
      <c r="AY2307" s="125"/>
      <c r="AZ2307" s="125"/>
      <c r="BA2307" s="125"/>
    </row>
    <row r="2308" spans="2:53" s="123" customFormat="1">
      <c r="B2308" s="125"/>
      <c r="D2308" s="125"/>
      <c r="I2308" s="125"/>
      <c r="Z2308" s="124"/>
      <c r="AA2308" s="74"/>
      <c r="AB2308" s="240"/>
      <c r="AD2308" s="124"/>
      <c r="AE2308" s="238"/>
      <c r="AF2308" s="239"/>
      <c r="AG2308" s="239"/>
      <c r="AH2308" s="124"/>
      <c r="AI2308" s="74"/>
      <c r="AJ2308" s="240"/>
      <c r="AL2308" s="124"/>
      <c r="AM2308" s="74"/>
      <c r="AP2308" s="125"/>
      <c r="AQ2308" s="241"/>
      <c r="AR2308" s="125"/>
      <c r="AS2308" s="125"/>
      <c r="AT2308" s="238"/>
      <c r="AU2308" s="125"/>
      <c r="AV2308" s="125"/>
      <c r="AW2308" s="125"/>
      <c r="AX2308" s="238"/>
      <c r="AY2308" s="125"/>
      <c r="AZ2308" s="125"/>
      <c r="BA2308" s="125"/>
    </row>
    <row r="2309" spans="2:53" s="123" customFormat="1">
      <c r="B2309" s="125"/>
      <c r="D2309" s="125"/>
      <c r="I2309" s="125"/>
      <c r="Z2309" s="124"/>
      <c r="AA2309" s="74"/>
      <c r="AB2309" s="240"/>
      <c r="AD2309" s="124"/>
      <c r="AE2309" s="238"/>
      <c r="AF2309" s="239"/>
      <c r="AG2309" s="239"/>
      <c r="AH2309" s="124"/>
      <c r="AI2309" s="74"/>
      <c r="AJ2309" s="240"/>
      <c r="AL2309" s="124"/>
      <c r="AM2309" s="74"/>
      <c r="AP2309" s="125"/>
      <c r="AQ2309" s="241"/>
      <c r="AR2309" s="125"/>
      <c r="AS2309" s="125"/>
      <c r="AT2309" s="238"/>
      <c r="AU2309" s="125"/>
      <c r="AV2309" s="125"/>
      <c r="AW2309" s="125"/>
      <c r="AX2309" s="238"/>
      <c r="AY2309" s="125"/>
      <c r="AZ2309" s="125"/>
      <c r="BA2309" s="125"/>
    </row>
    <row r="2310" spans="2:53" s="123" customFormat="1">
      <c r="B2310" s="125"/>
      <c r="D2310" s="125"/>
      <c r="I2310" s="125"/>
      <c r="Z2310" s="124"/>
      <c r="AA2310" s="74"/>
      <c r="AB2310" s="240"/>
      <c r="AD2310" s="124"/>
      <c r="AE2310" s="238"/>
      <c r="AF2310" s="239"/>
      <c r="AG2310" s="239"/>
      <c r="AH2310" s="124"/>
      <c r="AI2310" s="74"/>
      <c r="AJ2310" s="240"/>
      <c r="AL2310" s="124"/>
      <c r="AM2310" s="74"/>
      <c r="AP2310" s="125"/>
      <c r="AQ2310" s="241"/>
      <c r="AR2310" s="125"/>
      <c r="AS2310" s="125"/>
      <c r="AT2310" s="238"/>
      <c r="AU2310" s="125"/>
      <c r="AV2310" s="125"/>
      <c r="AW2310" s="125"/>
      <c r="AX2310" s="238"/>
      <c r="AY2310" s="125"/>
      <c r="AZ2310" s="125"/>
      <c r="BA2310" s="125"/>
    </row>
    <row r="2311" spans="2:53" s="123" customFormat="1">
      <c r="B2311" s="125"/>
      <c r="D2311" s="125"/>
      <c r="I2311" s="125"/>
      <c r="Z2311" s="124"/>
      <c r="AA2311" s="74"/>
      <c r="AB2311" s="240"/>
      <c r="AD2311" s="124"/>
      <c r="AE2311" s="238"/>
      <c r="AF2311" s="239"/>
      <c r="AG2311" s="239"/>
      <c r="AH2311" s="124"/>
      <c r="AI2311" s="74"/>
      <c r="AJ2311" s="240"/>
      <c r="AL2311" s="124"/>
      <c r="AM2311" s="74"/>
      <c r="AP2311" s="125"/>
      <c r="AQ2311" s="241"/>
      <c r="AR2311" s="125"/>
      <c r="AS2311" s="125"/>
      <c r="AT2311" s="238"/>
      <c r="AU2311" s="125"/>
      <c r="AV2311" s="125"/>
      <c r="AW2311" s="125"/>
      <c r="AX2311" s="238"/>
      <c r="AY2311" s="125"/>
      <c r="AZ2311" s="125"/>
      <c r="BA2311" s="125"/>
    </row>
    <row r="2312" spans="2:53" s="123" customFormat="1">
      <c r="B2312" s="125"/>
      <c r="D2312" s="125"/>
      <c r="I2312" s="125"/>
      <c r="Z2312" s="124"/>
      <c r="AA2312" s="74"/>
      <c r="AB2312" s="240"/>
      <c r="AD2312" s="124"/>
      <c r="AE2312" s="238"/>
      <c r="AF2312" s="239"/>
      <c r="AG2312" s="239"/>
      <c r="AH2312" s="124"/>
      <c r="AI2312" s="74"/>
      <c r="AJ2312" s="240"/>
      <c r="AL2312" s="124"/>
      <c r="AM2312" s="74"/>
      <c r="AP2312" s="125"/>
      <c r="AQ2312" s="241"/>
      <c r="AR2312" s="125"/>
      <c r="AS2312" s="125"/>
      <c r="AT2312" s="238"/>
      <c r="AU2312" s="125"/>
      <c r="AV2312" s="125"/>
      <c r="AW2312" s="125"/>
      <c r="AX2312" s="238"/>
      <c r="AY2312" s="125"/>
      <c r="AZ2312" s="125"/>
      <c r="BA2312" s="125"/>
    </row>
    <row r="2313" spans="2:53" s="123" customFormat="1">
      <c r="B2313" s="125"/>
      <c r="D2313" s="125"/>
      <c r="I2313" s="125"/>
      <c r="Z2313" s="124"/>
      <c r="AA2313" s="74"/>
      <c r="AB2313" s="240"/>
      <c r="AD2313" s="124"/>
      <c r="AE2313" s="238"/>
      <c r="AF2313" s="239"/>
      <c r="AG2313" s="239"/>
      <c r="AH2313" s="124"/>
      <c r="AI2313" s="74"/>
      <c r="AJ2313" s="240"/>
      <c r="AL2313" s="124"/>
      <c r="AM2313" s="74"/>
      <c r="AP2313" s="125"/>
      <c r="AQ2313" s="241"/>
      <c r="AR2313" s="125"/>
      <c r="AS2313" s="125"/>
      <c r="AT2313" s="238"/>
      <c r="AU2313" s="125"/>
      <c r="AV2313" s="125"/>
      <c r="AW2313" s="125"/>
      <c r="AX2313" s="238"/>
      <c r="AY2313" s="125"/>
      <c r="AZ2313" s="125"/>
      <c r="BA2313" s="125"/>
    </row>
    <row r="2314" spans="2:53" s="123" customFormat="1">
      <c r="B2314" s="125"/>
      <c r="D2314" s="125"/>
      <c r="I2314" s="125"/>
      <c r="Z2314" s="124"/>
      <c r="AA2314" s="74"/>
      <c r="AB2314" s="240"/>
      <c r="AD2314" s="124"/>
      <c r="AE2314" s="238"/>
      <c r="AF2314" s="239"/>
      <c r="AG2314" s="239"/>
      <c r="AH2314" s="124"/>
      <c r="AI2314" s="74"/>
      <c r="AJ2314" s="240"/>
      <c r="AL2314" s="124"/>
      <c r="AM2314" s="74"/>
      <c r="AP2314" s="125"/>
      <c r="AQ2314" s="241"/>
      <c r="AR2314" s="125"/>
      <c r="AS2314" s="125"/>
      <c r="AT2314" s="238"/>
      <c r="AU2314" s="125"/>
      <c r="AV2314" s="125"/>
      <c r="AW2314" s="125"/>
      <c r="AX2314" s="238"/>
      <c r="AY2314" s="125"/>
      <c r="AZ2314" s="125"/>
      <c r="BA2314" s="125"/>
    </row>
    <row r="2315" spans="2:53" s="123" customFormat="1">
      <c r="B2315" s="125"/>
      <c r="D2315" s="125"/>
      <c r="I2315" s="125"/>
      <c r="Z2315" s="124"/>
      <c r="AA2315" s="74"/>
      <c r="AB2315" s="240"/>
      <c r="AD2315" s="124"/>
      <c r="AE2315" s="238"/>
      <c r="AF2315" s="239"/>
      <c r="AG2315" s="239"/>
      <c r="AH2315" s="124"/>
      <c r="AI2315" s="74"/>
      <c r="AJ2315" s="240"/>
      <c r="AL2315" s="124"/>
      <c r="AM2315" s="74"/>
      <c r="AP2315" s="125"/>
      <c r="AQ2315" s="241"/>
      <c r="AR2315" s="125"/>
      <c r="AS2315" s="125"/>
      <c r="AT2315" s="238"/>
      <c r="AU2315" s="125"/>
      <c r="AV2315" s="125"/>
      <c r="AW2315" s="125"/>
      <c r="AX2315" s="238"/>
      <c r="AY2315" s="125"/>
      <c r="AZ2315" s="125"/>
      <c r="BA2315" s="125"/>
    </row>
    <row r="2316" spans="2:53" s="123" customFormat="1">
      <c r="B2316" s="125"/>
      <c r="D2316" s="125"/>
      <c r="I2316" s="125"/>
      <c r="Z2316" s="124"/>
      <c r="AA2316" s="74"/>
      <c r="AB2316" s="240"/>
      <c r="AD2316" s="124"/>
      <c r="AE2316" s="238"/>
      <c r="AF2316" s="239"/>
      <c r="AG2316" s="239"/>
      <c r="AH2316" s="124"/>
      <c r="AI2316" s="74"/>
      <c r="AJ2316" s="240"/>
      <c r="AL2316" s="124"/>
      <c r="AM2316" s="74"/>
      <c r="AP2316" s="125"/>
      <c r="AQ2316" s="241"/>
      <c r="AR2316" s="125"/>
      <c r="AS2316" s="125"/>
      <c r="AT2316" s="238"/>
      <c r="AU2316" s="125"/>
      <c r="AV2316" s="125"/>
      <c r="AW2316" s="125"/>
      <c r="AX2316" s="238"/>
      <c r="AY2316" s="125"/>
      <c r="AZ2316" s="125"/>
      <c r="BA2316" s="125"/>
    </row>
    <row r="2317" spans="2:53" s="123" customFormat="1">
      <c r="B2317" s="125"/>
      <c r="D2317" s="125"/>
      <c r="I2317" s="125"/>
      <c r="Z2317" s="124"/>
      <c r="AA2317" s="74"/>
      <c r="AB2317" s="240"/>
      <c r="AD2317" s="124"/>
      <c r="AE2317" s="238"/>
      <c r="AF2317" s="239"/>
      <c r="AG2317" s="239"/>
      <c r="AH2317" s="124"/>
      <c r="AI2317" s="74"/>
      <c r="AJ2317" s="240"/>
      <c r="AL2317" s="124"/>
      <c r="AM2317" s="74"/>
      <c r="AP2317" s="125"/>
      <c r="AQ2317" s="241"/>
      <c r="AR2317" s="125"/>
      <c r="AS2317" s="125"/>
      <c r="AT2317" s="238"/>
      <c r="AU2317" s="125"/>
      <c r="AV2317" s="125"/>
      <c r="AW2317" s="125"/>
      <c r="AX2317" s="238"/>
      <c r="AY2317" s="125"/>
      <c r="AZ2317" s="125"/>
      <c r="BA2317" s="125"/>
    </row>
    <row r="2318" spans="2:53" s="123" customFormat="1">
      <c r="B2318" s="125"/>
      <c r="D2318" s="125"/>
      <c r="I2318" s="125"/>
      <c r="Z2318" s="124"/>
      <c r="AA2318" s="74"/>
      <c r="AB2318" s="240"/>
      <c r="AD2318" s="124"/>
      <c r="AE2318" s="238"/>
      <c r="AF2318" s="239"/>
      <c r="AG2318" s="239"/>
      <c r="AH2318" s="124"/>
      <c r="AI2318" s="74"/>
      <c r="AJ2318" s="240"/>
      <c r="AL2318" s="124"/>
      <c r="AM2318" s="74"/>
      <c r="AP2318" s="125"/>
      <c r="AQ2318" s="241"/>
      <c r="AR2318" s="125"/>
      <c r="AS2318" s="125"/>
      <c r="AT2318" s="238"/>
      <c r="AU2318" s="125"/>
      <c r="AV2318" s="125"/>
      <c r="AW2318" s="125"/>
      <c r="AX2318" s="238"/>
      <c r="AY2318" s="125"/>
      <c r="AZ2318" s="125"/>
      <c r="BA2318" s="125"/>
    </row>
    <row r="2319" spans="2:53" s="123" customFormat="1">
      <c r="B2319" s="125"/>
      <c r="D2319" s="125"/>
      <c r="I2319" s="125"/>
      <c r="Z2319" s="124"/>
      <c r="AA2319" s="74"/>
      <c r="AB2319" s="240"/>
      <c r="AD2319" s="124"/>
      <c r="AE2319" s="238"/>
      <c r="AF2319" s="239"/>
      <c r="AG2319" s="239"/>
      <c r="AH2319" s="124"/>
      <c r="AI2319" s="74"/>
      <c r="AJ2319" s="240"/>
      <c r="AL2319" s="124"/>
      <c r="AM2319" s="74"/>
      <c r="AP2319" s="125"/>
      <c r="AQ2319" s="241"/>
      <c r="AR2319" s="125"/>
      <c r="AS2319" s="125"/>
      <c r="AT2319" s="238"/>
      <c r="AU2319" s="125"/>
      <c r="AV2319" s="125"/>
      <c r="AW2319" s="125"/>
      <c r="AX2319" s="238"/>
      <c r="AY2319" s="125"/>
      <c r="AZ2319" s="125"/>
      <c r="BA2319" s="125"/>
    </row>
    <row r="2320" spans="2:53" s="123" customFormat="1">
      <c r="B2320" s="125"/>
      <c r="D2320" s="125"/>
      <c r="I2320" s="125"/>
      <c r="Z2320" s="124"/>
      <c r="AA2320" s="74"/>
      <c r="AB2320" s="240"/>
      <c r="AD2320" s="124"/>
      <c r="AE2320" s="238"/>
      <c r="AF2320" s="239"/>
      <c r="AG2320" s="239"/>
      <c r="AH2320" s="124"/>
      <c r="AI2320" s="74"/>
      <c r="AJ2320" s="240"/>
      <c r="AL2320" s="124"/>
      <c r="AM2320" s="74"/>
      <c r="AP2320" s="125"/>
      <c r="AQ2320" s="241"/>
      <c r="AR2320" s="125"/>
      <c r="AS2320" s="125"/>
      <c r="AT2320" s="238"/>
      <c r="AU2320" s="125"/>
      <c r="AV2320" s="125"/>
      <c r="AW2320" s="125"/>
      <c r="AX2320" s="238"/>
      <c r="AY2320" s="125"/>
      <c r="AZ2320" s="125"/>
      <c r="BA2320" s="125"/>
    </row>
    <row r="2321" spans="2:53" s="123" customFormat="1">
      <c r="B2321" s="125"/>
      <c r="D2321" s="125"/>
      <c r="I2321" s="125"/>
      <c r="Z2321" s="124"/>
      <c r="AA2321" s="74"/>
      <c r="AB2321" s="240"/>
      <c r="AD2321" s="124"/>
      <c r="AE2321" s="238"/>
      <c r="AF2321" s="239"/>
      <c r="AG2321" s="239"/>
      <c r="AH2321" s="124"/>
      <c r="AI2321" s="74"/>
      <c r="AJ2321" s="240"/>
      <c r="AL2321" s="124"/>
      <c r="AM2321" s="74"/>
      <c r="AP2321" s="125"/>
      <c r="AQ2321" s="241"/>
      <c r="AR2321" s="125"/>
      <c r="AS2321" s="125"/>
      <c r="AT2321" s="238"/>
      <c r="AU2321" s="125"/>
      <c r="AV2321" s="125"/>
      <c r="AW2321" s="125"/>
      <c r="AX2321" s="238"/>
      <c r="AY2321" s="125"/>
      <c r="AZ2321" s="125"/>
      <c r="BA2321" s="125"/>
    </row>
    <row r="2322" spans="2:53" s="123" customFormat="1">
      <c r="B2322" s="125"/>
      <c r="D2322" s="125"/>
      <c r="I2322" s="125"/>
      <c r="Z2322" s="124"/>
      <c r="AA2322" s="74"/>
      <c r="AB2322" s="240"/>
      <c r="AD2322" s="124"/>
      <c r="AE2322" s="238"/>
      <c r="AF2322" s="239"/>
      <c r="AG2322" s="239"/>
      <c r="AH2322" s="124"/>
      <c r="AI2322" s="74"/>
      <c r="AJ2322" s="240"/>
      <c r="AL2322" s="124"/>
      <c r="AM2322" s="74"/>
      <c r="AP2322" s="125"/>
      <c r="AQ2322" s="241"/>
      <c r="AR2322" s="125"/>
      <c r="AS2322" s="125"/>
      <c r="AT2322" s="238"/>
      <c r="AU2322" s="125"/>
      <c r="AV2322" s="125"/>
      <c r="AW2322" s="125"/>
      <c r="AX2322" s="238"/>
      <c r="AY2322" s="125"/>
      <c r="AZ2322" s="125"/>
      <c r="BA2322" s="125"/>
    </row>
    <row r="2323" spans="2:53" s="123" customFormat="1">
      <c r="B2323" s="125"/>
      <c r="D2323" s="125"/>
      <c r="I2323" s="125"/>
      <c r="Z2323" s="124"/>
      <c r="AA2323" s="74"/>
      <c r="AB2323" s="240"/>
      <c r="AD2323" s="124"/>
      <c r="AE2323" s="238"/>
      <c r="AF2323" s="239"/>
      <c r="AG2323" s="239"/>
      <c r="AH2323" s="124"/>
      <c r="AI2323" s="74"/>
      <c r="AJ2323" s="240"/>
      <c r="AL2323" s="124"/>
      <c r="AM2323" s="74"/>
      <c r="AP2323" s="125"/>
      <c r="AQ2323" s="241"/>
      <c r="AR2323" s="125"/>
      <c r="AS2323" s="125"/>
      <c r="AT2323" s="238"/>
      <c r="AU2323" s="125"/>
      <c r="AV2323" s="125"/>
      <c r="AW2323" s="125"/>
      <c r="AX2323" s="238"/>
      <c r="AY2323" s="125"/>
      <c r="AZ2323" s="125"/>
      <c r="BA2323" s="125"/>
    </row>
    <row r="2324" spans="2:53" s="123" customFormat="1">
      <c r="B2324" s="125"/>
      <c r="D2324" s="125"/>
      <c r="I2324" s="125"/>
      <c r="Z2324" s="124"/>
      <c r="AA2324" s="74"/>
      <c r="AB2324" s="240"/>
      <c r="AD2324" s="124"/>
      <c r="AE2324" s="238"/>
      <c r="AF2324" s="239"/>
      <c r="AG2324" s="239"/>
      <c r="AH2324" s="124"/>
      <c r="AI2324" s="74"/>
      <c r="AJ2324" s="240"/>
      <c r="AL2324" s="124"/>
      <c r="AM2324" s="74"/>
      <c r="AP2324" s="125"/>
      <c r="AQ2324" s="241"/>
      <c r="AR2324" s="125"/>
      <c r="AS2324" s="125"/>
      <c r="AT2324" s="238"/>
      <c r="AU2324" s="125"/>
      <c r="AV2324" s="125"/>
      <c r="AW2324" s="125"/>
      <c r="AX2324" s="238"/>
      <c r="AY2324" s="125"/>
      <c r="AZ2324" s="125"/>
      <c r="BA2324" s="125"/>
    </row>
    <row r="2325" spans="2:53" s="123" customFormat="1">
      <c r="B2325" s="125"/>
      <c r="D2325" s="125"/>
      <c r="I2325" s="125"/>
      <c r="Z2325" s="124"/>
      <c r="AA2325" s="74"/>
      <c r="AB2325" s="240"/>
      <c r="AD2325" s="124"/>
      <c r="AE2325" s="238"/>
      <c r="AF2325" s="239"/>
      <c r="AG2325" s="239"/>
      <c r="AH2325" s="124"/>
      <c r="AI2325" s="74"/>
      <c r="AJ2325" s="240"/>
      <c r="AL2325" s="124"/>
      <c r="AM2325" s="74"/>
      <c r="AP2325" s="125"/>
      <c r="AQ2325" s="241"/>
      <c r="AR2325" s="125"/>
      <c r="AS2325" s="125"/>
      <c r="AT2325" s="238"/>
      <c r="AU2325" s="125"/>
      <c r="AV2325" s="125"/>
      <c r="AW2325" s="125"/>
      <c r="AX2325" s="238"/>
      <c r="AY2325" s="125"/>
      <c r="AZ2325" s="125"/>
      <c r="BA2325" s="125"/>
    </row>
    <row r="2326" spans="2:53" s="123" customFormat="1">
      <c r="B2326" s="125"/>
      <c r="D2326" s="125"/>
      <c r="I2326" s="125"/>
      <c r="Z2326" s="124"/>
      <c r="AA2326" s="74"/>
      <c r="AB2326" s="240"/>
      <c r="AD2326" s="124"/>
      <c r="AE2326" s="238"/>
      <c r="AF2326" s="239"/>
      <c r="AG2326" s="239"/>
      <c r="AH2326" s="124"/>
      <c r="AI2326" s="74"/>
      <c r="AJ2326" s="240"/>
      <c r="AL2326" s="124"/>
      <c r="AM2326" s="74"/>
      <c r="AP2326" s="125"/>
      <c r="AQ2326" s="241"/>
      <c r="AR2326" s="125"/>
      <c r="AS2326" s="125"/>
      <c r="AT2326" s="238"/>
      <c r="AU2326" s="125"/>
      <c r="AV2326" s="125"/>
      <c r="AW2326" s="125"/>
      <c r="AX2326" s="238"/>
      <c r="AY2326" s="125"/>
      <c r="AZ2326" s="125"/>
      <c r="BA2326" s="125"/>
    </row>
    <row r="2327" spans="2:53" s="123" customFormat="1">
      <c r="B2327" s="125"/>
      <c r="D2327" s="125"/>
      <c r="I2327" s="125"/>
      <c r="Z2327" s="124"/>
      <c r="AA2327" s="74"/>
      <c r="AB2327" s="240"/>
      <c r="AD2327" s="124"/>
      <c r="AE2327" s="238"/>
      <c r="AF2327" s="239"/>
      <c r="AG2327" s="239"/>
      <c r="AH2327" s="124"/>
      <c r="AI2327" s="74"/>
      <c r="AJ2327" s="240"/>
      <c r="AL2327" s="124"/>
      <c r="AM2327" s="74"/>
      <c r="AP2327" s="125"/>
      <c r="AQ2327" s="241"/>
      <c r="AR2327" s="125"/>
      <c r="AS2327" s="125"/>
      <c r="AT2327" s="238"/>
      <c r="AU2327" s="125"/>
      <c r="AV2327" s="125"/>
      <c r="AW2327" s="125"/>
      <c r="AX2327" s="238"/>
      <c r="AY2327" s="125"/>
      <c r="AZ2327" s="125"/>
      <c r="BA2327" s="125"/>
    </row>
    <row r="2328" spans="2:53" s="123" customFormat="1">
      <c r="B2328" s="125"/>
      <c r="D2328" s="125"/>
      <c r="I2328" s="125"/>
      <c r="Z2328" s="124"/>
      <c r="AA2328" s="74"/>
      <c r="AB2328" s="240"/>
      <c r="AD2328" s="124"/>
      <c r="AE2328" s="238"/>
      <c r="AF2328" s="239"/>
      <c r="AG2328" s="239"/>
      <c r="AH2328" s="124"/>
      <c r="AI2328" s="74"/>
      <c r="AJ2328" s="240"/>
      <c r="AL2328" s="124"/>
      <c r="AM2328" s="74"/>
      <c r="AP2328" s="125"/>
      <c r="AQ2328" s="241"/>
      <c r="AR2328" s="125"/>
      <c r="AS2328" s="125"/>
      <c r="AT2328" s="238"/>
      <c r="AU2328" s="125"/>
      <c r="AV2328" s="125"/>
      <c r="AW2328" s="125"/>
      <c r="AX2328" s="238"/>
      <c r="AY2328" s="125"/>
      <c r="AZ2328" s="125"/>
      <c r="BA2328" s="125"/>
    </row>
    <row r="2329" spans="2:53" s="123" customFormat="1">
      <c r="B2329" s="125"/>
      <c r="D2329" s="125"/>
      <c r="I2329" s="125"/>
      <c r="Z2329" s="124"/>
      <c r="AA2329" s="74"/>
      <c r="AB2329" s="240"/>
      <c r="AD2329" s="124"/>
      <c r="AE2329" s="238"/>
      <c r="AF2329" s="239"/>
      <c r="AG2329" s="239"/>
      <c r="AH2329" s="124"/>
      <c r="AI2329" s="74"/>
      <c r="AJ2329" s="240"/>
      <c r="AL2329" s="124"/>
      <c r="AM2329" s="74"/>
      <c r="AP2329" s="125"/>
      <c r="AQ2329" s="241"/>
      <c r="AR2329" s="125"/>
      <c r="AS2329" s="125"/>
      <c r="AT2329" s="238"/>
      <c r="AU2329" s="125"/>
      <c r="AV2329" s="125"/>
      <c r="AW2329" s="125"/>
      <c r="AX2329" s="238"/>
      <c r="AY2329" s="125"/>
      <c r="AZ2329" s="125"/>
      <c r="BA2329" s="125"/>
    </row>
    <row r="2330" spans="2:53" s="123" customFormat="1">
      <c r="B2330" s="125"/>
      <c r="D2330" s="125"/>
      <c r="I2330" s="125"/>
      <c r="Z2330" s="124"/>
      <c r="AA2330" s="74"/>
      <c r="AB2330" s="240"/>
      <c r="AD2330" s="124"/>
      <c r="AE2330" s="238"/>
      <c r="AF2330" s="239"/>
      <c r="AG2330" s="239"/>
      <c r="AH2330" s="124"/>
      <c r="AI2330" s="74"/>
      <c r="AJ2330" s="240"/>
      <c r="AL2330" s="124"/>
      <c r="AM2330" s="74"/>
      <c r="AP2330" s="125"/>
      <c r="AQ2330" s="241"/>
      <c r="AR2330" s="125"/>
      <c r="AS2330" s="125"/>
      <c r="AT2330" s="238"/>
      <c r="AU2330" s="125"/>
      <c r="AV2330" s="125"/>
      <c r="AW2330" s="125"/>
      <c r="AX2330" s="238"/>
      <c r="AY2330" s="125"/>
      <c r="AZ2330" s="125"/>
      <c r="BA2330" s="125"/>
    </row>
    <row r="2331" spans="2:53" s="123" customFormat="1">
      <c r="B2331" s="125"/>
      <c r="D2331" s="125"/>
      <c r="I2331" s="125"/>
      <c r="Z2331" s="124"/>
      <c r="AA2331" s="74"/>
      <c r="AB2331" s="240"/>
      <c r="AD2331" s="124"/>
      <c r="AE2331" s="238"/>
      <c r="AF2331" s="239"/>
      <c r="AG2331" s="239"/>
      <c r="AH2331" s="124"/>
      <c r="AI2331" s="74"/>
      <c r="AJ2331" s="240"/>
      <c r="AL2331" s="124"/>
      <c r="AM2331" s="74"/>
      <c r="AP2331" s="125"/>
      <c r="AQ2331" s="241"/>
      <c r="AR2331" s="125"/>
      <c r="AS2331" s="125"/>
      <c r="AT2331" s="238"/>
      <c r="AU2331" s="125"/>
      <c r="AV2331" s="125"/>
      <c r="AW2331" s="125"/>
      <c r="AX2331" s="238"/>
      <c r="AY2331" s="125"/>
      <c r="AZ2331" s="125"/>
      <c r="BA2331" s="125"/>
    </row>
    <row r="2332" spans="2:53" s="123" customFormat="1">
      <c r="B2332" s="125"/>
      <c r="D2332" s="125"/>
      <c r="I2332" s="125"/>
      <c r="Z2332" s="124"/>
      <c r="AA2332" s="74"/>
      <c r="AB2332" s="240"/>
      <c r="AD2332" s="124"/>
      <c r="AE2332" s="238"/>
      <c r="AF2332" s="239"/>
      <c r="AG2332" s="239"/>
      <c r="AH2332" s="124"/>
      <c r="AI2332" s="74"/>
      <c r="AJ2332" s="240"/>
      <c r="AL2332" s="124"/>
      <c r="AM2332" s="74"/>
      <c r="AP2332" s="125"/>
      <c r="AQ2332" s="241"/>
      <c r="AR2332" s="125"/>
      <c r="AS2332" s="125"/>
      <c r="AT2332" s="238"/>
      <c r="AU2332" s="125"/>
      <c r="AV2332" s="125"/>
      <c r="AW2332" s="125"/>
      <c r="AX2332" s="238"/>
      <c r="AY2332" s="125"/>
      <c r="AZ2332" s="125"/>
      <c r="BA2332" s="125"/>
    </row>
    <row r="2333" spans="2:53" s="123" customFormat="1">
      <c r="B2333" s="125"/>
      <c r="D2333" s="125"/>
      <c r="I2333" s="125"/>
      <c r="Z2333" s="124"/>
      <c r="AA2333" s="74"/>
      <c r="AB2333" s="240"/>
      <c r="AD2333" s="124"/>
      <c r="AE2333" s="238"/>
      <c r="AF2333" s="239"/>
      <c r="AG2333" s="239"/>
      <c r="AH2333" s="124"/>
      <c r="AI2333" s="74"/>
      <c r="AJ2333" s="240"/>
      <c r="AL2333" s="124"/>
      <c r="AM2333" s="74"/>
      <c r="AP2333" s="125"/>
      <c r="AQ2333" s="241"/>
      <c r="AR2333" s="125"/>
      <c r="AS2333" s="125"/>
      <c r="AT2333" s="238"/>
      <c r="AU2333" s="125"/>
      <c r="AV2333" s="125"/>
      <c r="AW2333" s="125"/>
      <c r="AX2333" s="238"/>
      <c r="AY2333" s="125"/>
      <c r="AZ2333" s="125"/>
      <c r="BA2333" s="125"/>
    </row>
    <row r="2334" spans="2:53" s="123" customFormat="1">
      <c r="B2334" s="125"/>
      <c r="D2334" s="125"/>
      <c r="I2334" s="125"/>
      <c r="Z2334" s="124"/>
      <c r="AA2334" s="74"/>
      <c r="AB2334" s="240"/>
      <c r="AD2334" s="124"/>
      <c r="AE2334" s="238"/>
      <c r="AF2334" s="239"/>
      <c r="AG2334" s="239"/>
      <c r="AH2334" s="124"/>
      <c r="AI2334" s="74"/>
      <c r="AJ2334" s="240"/>
      <c r="AL2334" s="124"/>
      <c r="AM2334" s="74"/>
      <c r="AP2334" s="125"/>
      <c r="AQ2334" s="241"/>
      <c r="AR2334" s="125"/>
      <c r="AS2334" s="125"/>
      <c r="AT2334" s="238"/>
      <c r="AU2334" s="125"/>
      <c r="AV2334" s="125"/>
      <c r="AW2334" s="125"/>
      <c r="AX2334" s="238"/>
      <c r="AY2334" s="125"/>
      <c r="AZ2334" s="125"/>
      <c r="BA2334" s="125"/>
    </row>
    <row r="2335" spans="2:53" s="123" customFormat="1">
      <c r="B2335" s="125"/>
      <c r="D2335" s="125"/>
      <c r="I2335" s="125"/>
      <c r="Z2335" s="124"/>
      <c r="AA2335" s="74"/>
      <c r="AB2335" s="240"/>
      <c r="AD2335" s="124"/>
      <c r="AE2335" s="238"/>
      <c r="AF2335" s="239"/>
      <c r="AG2335" s="239"/>
      <c r="AH2335" s="124"/>
      <c r="AI2335" s="74"/>
      <c r="AJ2335" s="240"/>
      <c r="AL2335" s="124"/>
      <c r="AM2335" s="74"/>
      <c r="AP2335" s="125"/>
      <c r="AQ2335" s="241"/>
      <c r="AR2335" s="125"/>
      <c r="AS2335" s="125"/>
      <c r="AT2335" s="238"/>
      <c r="AU2335" s="125"/>
      <c r="AV2335" s="125"/>
      <c r="AW2335" s="125"/>
      <c r="AX2335" s="238"/>
      <c r="AY2335" s="125"/>
      <c r="AZ2335" s="125"/>
      <c r="BA2335" s="125"/>
    </row>
    <row r="2336" spans="2:53" s="123" customFormat="1">
      <c r="B2336" s="125"/>
      <c r="D2336" s="125"/>
      <c r="I2336" s="125"/>
      <c r="Z2336" s="124"/>
      <c r="AA2336" s="74"/>
      <c r="AB2336" s="240"/>
      <c r="AD2336" s="124"/>
      <c r="AE2336" s="238"/>
      <c r="AF2336" s="239"/>
      <c r="AG2336" s="239"/>
      <c r="AH2336" s="124"/>
      <c r="AI2336" s="74"/>
      <c r="AJ2336" s="240"/>
      <c r="AL2336" s="124"/>
      <c r="AM2336" s="74"/>
      <c r="AP2336" s="125"/>
      <c r="AQ2336" s="241"/>
      <c r="AR2336" s="125"/>
      <c r="AS2336" s="125"/>
      <c r="AT2336" s="238"/>
      <c r="AU2336" s="125"/>
      <c r="AV2336" s="125"/>
      <c r="AW2336" s="125"/>
      <c r="AX2336" s="238"/>
      <c r="AY2336" s="125"/>
      <c r="AZ2336" s="125"/>
      <c r="BA2336" s="125"/>
    </row>
    <row r="2337" spans="2:53" s="123" customFormat="1">
      <c r="B2337" s="125"/>
      <c r="D2337" s="125"/>
      <c r="I2337" s="125"/>
      <c r="Z2337" s="124"/>
      <c r="AA2337" s="74"/>
      <c r="AB2337" s="240"/>
      <c r="AD2337" s="124"/>
      <c r="AE2337" s="238"/>
      <c r="AF2337" s="239"/>
      <c r="AG2337" s="239"/>
      <c r="AH2337" s="124"/>
      <c r="AI2337" s="74"/>
      <c r="AJ2337" s="240"/>
      <c r="AL2337" s="124"/>
      <c r="AM2337" s="74"/>
      <c r="AP2337" s="125"/>
      <c r="AQ2337" s="241"/>
      <c r="AR2337" s="125"/>
      <c r="AS2337" s="125"/>
      <c r="AT2337" s="238"/>
      <c r="AU2337" s="125"/>
      <c r="AV2337" s="125"/>
      <c r="AW2337" s="125"/>
      <c r="AX2337" s="238"/>
      <c r="AY2337" s="125"/>
      <c r="AZ2337" s="125"/>
      <c r="BA2337" s="125"/>
    </row>
    <row r="2338" spans="2:53" s="123" customFormat="1">
      <c r="B2338" s="125"/>
      <c r="D2338" s="125"/>
      <c r="I2338" s="125"/>
      <c r="Z2338" s="124"/>
      <c r="AA2338" s="74"/>
      <c r="AB2338" s="240"/>
      <c r="AD2338" s="124"/>
      <c r="AE2338" s="238"/>
      <c r="AF2338" s="239"/>
      <c r="AG2338" s="239"/>
      <c r="AH2338" s="124"/>
      <c r="AI2338" s="74"/>
      <c r="AJ2338" s="240"/>
      <c r="AL2338" s="124"/>
      <c r="AM2338" s="74"/>
      <c r="AP2338" s="125"/>
      <c r="AQ2338" s="241"/>
      <c r="AR2338" s="125"/>
      <c r="AS2338" s="125"/>
      <c r="AT2338" s="238"/>
      <c r="AU2338" s="125"/>
      <c r="AV2338" s="125"/>
      <c r="AW2338" s="125"/>
      <c r="AX2338" s="238"/>
      <c r="AY2338" s="125"/>
      <c r="AZ2338" s="125"/>
      <c r="BA2338" s="125"/>
    </row>
    <row r="2339" spans="2:53" s="123" customFormat="1">
      <c r="B2339" s="125"/>
      <c r="D2339" s="125"/>
      <c r="I2339" s="125"/>
      <c r="Z2339" s="124"/>
      <c r="AA2339" s="74"/>
      <c r="AB2339" s="240"/>
      <c r="AD2339" s="124"/>
      <c r="AE2339" s="238"/>
      <c r="AF2339" s="239"/>
      <c r="AG2339" s="239"/>
      <c r="AH2339" s="124"/>
      <c r="AI2339" s="74"/>
      <c r="AJ2339" s="240"/>
      <c r="AL2339" s="124"/>
      <c r="AM2339" s="74"/>
      <c r="AP2339" s="125"/>
      <c r="AQ2339" s="241"/>
      <c r="AR2339" s="125"/>
      <c r="AS2339" s="125"/>
      <c r="AT2339" s="238"/>
      <c r="AU2339" s="125"/>
      <c r="AV2339" s="125"/>
      <c r="AW2339" s="125"/>
      <c r="AX2339" s="238"/>
      <c r="AY2339" s="125"/>
      <c r="AZ2339" s="125"/>
      <c r="BA2339" s="125"/>
    </row>
    <row r="2340" spans="2:53" s="123" customFormat="1">
      <c r="B2340" s="125"/>
      <c r="D2340" s="125"/>
      <c r="I2340" s="125"/>
      <c r="Z2340" s="124"/>
      <c r="AA2340" s="74"/>
      <c r="AB2340" s="240"/>
      <c r="AD2340" s="124"/>
      <c r="AE2340" s="238"/>
      <c r="AF2340" s="239"/>
      <c r="AG2340" s="239"/>
      <c r="AH2340" s="124"/>
      <c r="AI2340" s="74"/>
      <c r="AJ2340" s="240"/>
      <c r="AL2340" s="124"/>
      <c r="AM2340" s="74"/>
      <c r="AP2340" s="125"/>
      <c r="AQ2340" s="241"/>
      <c r="AR2340" s="125"/>
      <c r="AS2340" s="125"/>
      <c r="AT2340" s="238"/>
      <c r="AU2340" s="125"/>
      <c r="AV2340" s="125"/>
      <c r="AW2340" s="125"/>
      <c r="AX2340" s="238"/>
      <c r="AY2340" s="125"/>
      <c r="AZ2340" s="125"/>
      <c r="BA2340" s="125"/>
    </row>
    <row r="2341" spans="2:53" s="123" customFormat="1">
      <c r="B2341" s="125"/>
      <c r="D2341" s="125"/>
      <c r="I2341" s="125"/>
      <c r="Z2341" s="124"/>
      <c r="AA2341" s="74"/>
      <c r="AB2341" s="240"/>
      <c r="AD2341" s="124"/>
      <c r="AE2341" s="238"/>
      <c r="AF2341" s="239"/>
      <c r="AG2341" s="239"/>
      <c r="AH2341" s="124"/>
      <c r="AI2341" s="74"/>
      <c r="AJ2341" s="240"/>
      <c r="AL2341" s="124"/>
      <c r="AM2341" s="74"/>
      <c r="AP2341" s="125"/>
      <c r="AQ2341" s="241"/>
      <c r="AR2341" s="125"/>
      <c r="AS2341" s="125"/>
      <c r="AT2341" s="238"/>
      <c r="AU2341" s="125"/>
      <c r="AV2341" s="125"/>
      <c r="AW2341" s="125"/>
      <c r="AX2341" s="238"/>
      <c r="AY2341" s="125"/>
      <c r="AZ2341" s="125"/>
      <c r="BA2341" s="125"/>
    </row>
    <row r="2342" spans="2:53" s="123" customFormat="1">
      <c r="B2342" s="125"/>
      <c r="D2342" s="125"/>
      <c r="I2342" s="125"/>
      <c r="Z2342" s="124"/>
      <c r="AA2342" s="74"/>
      <c r="AB2342" s="240"/>
      <c r="AD2342" s="124"/>
      <c r="AE2342" s="238"/>
      <c r="AF2342" s="239"/>
      <c r="AG2342" s="239"/>
      <c r="AH2342" s="124"/>
      <c r="AI2342" s="74"/>
      <c r="AJ2342" s="240"/>
      <c r="AL2342" s="124"/>
      <c r="AM2342" s="74"/>
      <c r="AP2342" s="125"/>
      <c r="AQ2342" s="241"/>
      <c r="AR2342" s="125"/>
      <c r="AS2342" s="125"/>
      <c r="AT2342" s="238"/>
      <c r="AU2342" s="125"/>
      <c r="AV2342" s="125"/>
      <c r="AW2342" s="125"/>
      <c r="AX2342" s="238"/>
      <c r="AY2342" s="125"/>
      <c r="AZ2342" s="125"/>
      <c r="BA2342" s="125"/>
    </row>
    <row r="2343" spans="2:53" s="123" customFormat="1">
      <c r="B2343" s="125"/>
      <c r="D2343" s="125"/>
      <c r="I2343" s="125"/>
      <c r="Z2343" s="124"/>
      <c r="AA2343" s="74"/>
      <c r="AB2343" s="240"/>
      <c r="AD2343" s="124"/>
      <c r="AE2343" s="238"/>
      <c r="AF2343" s="239"/>
      <c r="AG2343" s="239"/>
      <c r="AH2343" s="124"/>
      <c r="AI2343" s="74"/>
      <c r="AJ2343" s="240"/>
      <c r="AL2343" s="124"/>
      <c r="AM2343" s="74"/>
      <c r="AP2343" s="125"/>
      <c r="AQ2343" s="241"/>
      <c r="AR2343" s="125"/>
      <c r="AS2343" s="125"/>
      <c r="AT2343" s="238"/>
      <c r="AU2343" s="125"/>
      <c r="AV2343" s="125"/>
      <c r="AW2343" s="125"/>
      <c r="AX2343" s="238"/>
      <c r="AY2343" s="125"/>
      <c r="AZ2343" s="125"/>
      <c r="BA2343" s="125"/>
    </row>
    <row r="2344" spans="2:53" s="123" customFormat="1">
      <c r="B2344" s="125"/>
      <c r="D2344" s="125"/>
      <c r="I2344" s="125"/>
      <c r="Z2344" s="124"/>
      <c r="AA2344" s="74"/>
      <c r="AB2344" s="240"/>
      <c r="AD2344" s="124"/>
      <c r="AE2344" s="238"/>
      <c r="AF2344" s="239"/>
      <c r="AG2344" s="239"/>
      <c r="AH2344" s="124"/>
      <c r="AI2344" s="74"/>
      <c r="AJ2344" s="240"/>
      <c r="AL2344" s="124"/>
      <c r="AM2344" s="74"/>
      <c r="AP2344" s="125"/>
      <c r="AQ2344" s="241"/>
      <c r="AR2344" s="125"/>
      <c r="AS2344" s="125"/>
      <c r="AT2344" s="238"/>
      <c r="AU2344" s="125"/>
      <c r="AV2344" s="125"/>
      <c r="AW2344" s="125"/>
      <c r="AX2344" s="238"/>
      <c r="AY2344" s="125"/>
      <c r="AZ2344" s="125"/>
      <c r="BA2344" s="125"/>
    </row>
    <row r="2345" spans="2:53" s="123" customFormat="1">
      <c r="B2345" s="125"/>
      <c r="D2345" s="125"/>
      <c r="I2345" s="125"/>
      <c r="Z2345" s="124"/>
      <c r="AA2345" s="74"/>
      <c r="AB2345" s="240"/>
      <c r="AD2345" s="124"/>
      <c r="AE2345" s="238"/>
      <c r="AF2345" s="239"/>
      <c r="AG2345" s="239"/>
      <c r="AH2345" s="124"/>
      <c r="AI2345" s="74"/>
      <c r="AJ2345" s="240"/>
      <c r="AL2345" s="124"/>
      <c r="AM2345" s="74"/>
      <c r="AP2345" s="125"/>
      <c r="AQ2345" s="241"/>
      <c r="AR2345" s="125"/>
      <c r="AS2345" s="125"/>
      <c r="AT2345" s="238"/>
      <c r="AU2345" s="125"/>
      <c r="AV2345" s="125"/>
      <c r="AW2345" s="125"/>
      <c r="AX2345" s="238"/>
      <c r="AY2345" s="125"/>
      <c r="AZ2345" s="125"/>
      <c r="BA2345" s="125"/>
    </row>
    <row r="2346" spans="2:53" s="123" customFormat="1">
      <c r="B2346" s="125"/>
      <c r="D2346" s="125"/>
      <c r="I2346" s="125"/>
      <c r="Z2346" s="124"/>
      <c r="AA2346" s="74"/>
      <c r="AB2346" s="240"/>
      <c r="AD2346" s="124"/>
      <c r="AE2346" s="238"/>
      <c r="AF2346" s="239"/>
      <c r="AG2346" s="239"/>
      <c r="AH2346" s="124"/>
      <c r="AI2346" s="74"/>
      <c r="AJ2346" s="240"/>
      <c r="AL2346" s="124"/>
      <c r="AM2346" s="74"/>
      <c r="AP2346" s="125"/>
      <c r="AQ2346" s="241"/>
      <c r="AR2346" s="125"/>
      <c r="AS2346" s="125"/>
      <c r="AT2346" s="238"/>
      <c r="AU2346" s="125"/>
      <c r="AV2346" s="125"/>
      <c r="AW2346" s="125"/>
      <c r="AX2346" s="238"/>
      <c r="AY2346" s="125"/>
      <c r="AZ2346" s="125"/>
      <c r="BA2346" s="125"/>
    </row>
    <row r="2347" spans="2:53" s="123" customFormat="1">
      <c r="B2347" s="125"/>
      <c r="D2347" s="125"/>
      <c r="I2347" s="125"/>
      <c r="Z2347" s="124"/>
      <c r="AA2347" s="74"/>
      <c r="AB2347" s="240"/>
      <c r="AD2347" s="124"/>
      <c r="AE2347" s="238"/>
      <c r="AF2347" s="239"/>
      <c r="AG2347" s="239"/>
      <c r="AH2347" s="124"/>
      <c r="AI2347" s="74"/>
      <c r="AJ2347" s="240"/>
      <c r="AL2347" s="124"/>
      <c r="AM2347" s="74"/>
      <c r="AP2347" s="125"/>
      <c r="AQ2347" s="241"/>
      <c r="AR2347" s="125"/>
      <c r="AS2347" s="125"/>
      <c r="AT2347" s="238"/>
      <c r="AU2347" s="125"/>
      <c r="AV2347" s="125"/>
      <c r="AW2347" s="125"/>
      <c r="AX2347" s="238"/>
      <c r="AY2347" s="125"/>
      <c r="AZ2347" s="125"/>
      <c r="BA2347" s="125"/>
    </row>
    <row r="2348" spans="2:53" s="123" customFormat="1">
      <c r="B2348" s="125"/>
      <c r="D2348" s="125"/>
      <c r="I2348" s="125"/>
      <c r="Z2348" s="124"/>
      <c r="AA2348" s="74"/>
      <c r="AB2348" s="240"/>
      <c r="AD2348" s="124"/>
      <c r="AE2348" s="238"/>
      <c r="AF2348" s="239"/>
      <c r="AG2348" s="239"/>
      <c r="AH2348" s="124"/>
      <c r="AI2348" s="74"/>
      <c r="AJ2348" s="240"/>
      <c r="AL2348" s="124"/>
      <c r="AM2348" s="74"/>
      <c r="AP2348" s="125"/>
      <c r="AQ2348" s="241"/>
      <c r="AR2348" s="125"/>
      <c r="AS2348" s="125"/>
      <c r="AT2348" s="238"/>
      <c r="AU2348" s="125"/>
      <c r="AV2348" s="125"/>
      <c r="AW2348" s="125"/>
      <c r="AX2348" s="238"/>
      <c r="AY2348" s="125"/>
      <c r="AZ2348" s="125"/>
      <c r="BA2348" s="125"/>
    </row>
    <row r="2349" spans="2:53" s="123" customFormat="1">
      <c r="B2349" s="125"/>
      <c r="D2349" s="125"/>
      <c r="I2349" s="125"/>
      <c r="Z2349" s="124"/>
      <c r="AA2349" s="74"/>
      <c r="AB2349" s="240"/>
      <c r="AD2349" s="124"/>
      <c r="AE2349" s="238"/>
      <c r="AF2349" s="239"/>
      <c r="AG2349" s="239"/>
      <c r="AH2349" s="124"/>
      <c r="AI2349" s="74"/>
      <c r="AJ2349" s="240"/>
      <c r="AL2349" s="124"/>
      <c r="AM2349" s="74"/>
      <c r="AP2349" s="125"/>
      <c r="AQ2349" s="241"/>
      <c r="AR2349" s="125"/>
      <c r="AS2349" s="125"/>
      <c r="AT2349" s="238"/>
      <c r="AU2349" s="125"/>
      <c r="AV2349" s="125"/>
      <c r="AW2349" s="125"/>
      <c r="AX2349" s="238"/>
      <c r="AY2349" s="125"/>
      <c r="AZ2349" s="125"/>
      <c r="BA2349" s="125"/>
    </row>
    <row r="2350" spans="2:53" s="123" customFormat="1">
      <c r="B2350" s="125"/>
      <c r="D2350" s="125"/>
      <c r="I2350" s="125"/>
      <c r="Z2350" s="124"/>
      <c r="AA2350" s="74"/>
      <c r="AB2350" s="240"/>
      <c r="AD2350" s="124"/>
      <c r="AE2350" s="238"/>
      <c r="AF2350" s="239"/>
      <c r="AG2350" s="239"/>
      <c r="AH2350" s="124"/>
      <c r="AI2350" s="74"/>
      <c r="AJ2350" s="240"/>
      <c r="AL2350" s="124"/>
      <c r="AM2350" s="74"/>
      <c r="AP2350" s="125"/>
      <c r="AQ2350" s="241"/>
      <c r="AR2350" s="125"/>
      <c r="AS2350" s="125"/>
      <c r="AT2350" s="238"/>
      <c r="AU2350" s="125"/>
      <c r="AV2350" s="125"/>
      <c r="AW2350" s="125"/>
      <c r="AX2350" s="238"/>
      <c r="AY2350" s="125"/>
      <c r="AZ2350" s="125"/>
      <c r="BA2350" s="125"/>
    </row>
    <row r="2351" spans="2:53" s="123" customFormat="1">
      <c r="B2351" s="125"/>
      <c r="D2351" s="125"/>
      <c r="I2351" s="125"/>
      <c r="Z2351" s="124"/>
      <c r="AA2351" s="74"/>
      <c r="AB2351" s="240"/>
      <c r="AD2351" s="124"/>
      <c r="AE2351" s="238"/>
      <c r="AF2351" s="239"/>
      <c r="AG2351" s="239"/>
      <c r="AH2351" s="124"/>
      <c r="AI2351" s="74"/>
      <c r="AJ2351" s="240"/>
      <c r="AL2351" s="124"/>
      <c r="AM2351" s="74"/>
      <c r="AP2351" s="125"/>
      <c r="AQ2351" s="241"/>
      <c r="AR2351" s="125"/>
      <c r="AS2351" s="125"/>
      <c r="AT2351" s="238"/>
      <c r="AU2351" s="125"/>
      <c r="AV2351" s="125"/>
      <c r="AW2351" s="125"/>
      <c r="AX2351" s="238"/>
      <c r="AY2351" s="125"/>
      <c r="AZ2351" s="125"/>
      <c r="BA2351" s="125"/>
    </row>
    <row r="2352" spans="2:53" s="123" customFormat="1">
      <c r="B2352" s="125"/>
      <c r="D2352" s="125"/>
      <c r="I2352" s="125"/>
      <c r="Z2352" s="124"/>
      <c r="AA2352" s="74"/>
      <c r="AB2352" s="240"/>
      <c r="AD2352" s="124"/>
      <c r="AE2352" s="238"/>
      <c r="AF2352" s="239"/>
      <c r="AG2352" s="239"/>
      <c r="AH2352" s="124"/>
      <c r="AI2352" s="74"/>
      <c r="AJ2352" s="240"/>
      <c r="AL2352" s="124"/>
      <c r="AM2352" s="74"/>
      <c r="AP2352" s="125"/>
      <c r="AQ2352" s="241"/>
      <c r="AR2352" s="125"/>
      <c r="AS2352" s="125"/>
      <c r="AT2352" s="238"/>
      <c r="AU2352" s="125"/>
      <c r="AV2352" s="125"/>
      <c r="AW2352" s="125"/>
      <c r="AX2352" s="238"/>
      <c r="AY2352" s="125"/>
      <c r="AZ2352" s="125"/>
      <c r="BA2352" s="125"/>
    </row>
    <row r="2353" spans="2:53" s="123" customFormat="1">
      <c r="B2353" s="125"/>
      <c r="D2353" s="125"/>
      <c r="I2353" s="125"/>
      <c r="Z2353" s="124"/>
      <c r="AA2353" s="74"/>
      <c r="AB2353" s="240"/>
      <c r="AD2353" s="124"/>
      <c r="AE2353" s="238"/>
      <c r="AF2353" s="239"/>
      <c r="AG2353" s="239"/>
      <c r="AH2353" s="124"/>
      <c r="AI2353" s="74"/>
      <c r="AJ2353" s="240"/>
      <c r="AL2353" s="124"/>
      <c r="AM2353" s="74"/>
      <c r="AP2353" s="125"/>
      <c r="AQ2353" s="241"/>
      <c r="AR2353" s="125"/>
      <c r="AS2353" s="125"/>
      <c r="AT2353" s="238"/>
      <c r="AU2353" s="125"/>
      <c r="AV2353" s="125"/>
      <c r="AW2353" s="125"/>
      <c r="AX2353" s="238"/>
      <c r="AY2353" s="125"/>
      <c r="AZ2353" s="125"/>
      <c r="BA2353" s="125"/>
    </row>
    <row r="2354" spans="2:53" s="123" customFormat="1">
      <c r="B2354" s="125"/>
      <c r="D2354" s="125"/>
      <c r="I2354" s="125"/>
      <c r="Z2354" s="124"/>
      <c r="AA2354" s="74"/>
      <c r="AB2354" s="240"/>
      <c r="AD2354" s="124"/>
      <c r="AE2354" s="238"/>
      <c r="AF2354" s="239"/>
      <c r="AG2354" s="239"/>
      <c r="AH2354" s="124"/>
      <c r="AI2354" s="74"/>
      <c r="AJ2354" s="240"/>
      <c r="AL2354" s="124"/>
      <c r="AM2354" s="74"/>
      <c r="AP2354" s="125"/>
      <c r="AQ2354" s="241"/>
      <c r="AR2354" s="125"/>
      <c r="AS2354" s="125"/>
      <c r="AT2354" s="238"/>
      <c r="AU2354" s="125"/>
      <c r="AV2354" s="125"/>
      <c r="AW2354" s="125"/>
      <c r="AX2354" s="238"/>
      <c r="AY2354" s="125"/>
      <c r="AZ2354" s="125"/>
      <c r="BA2354" s="125"/>
    </row>
    <row r="2355" spans="2:53" s="123" customFormat="1">
      <c r="B2355" s="125"/>
      <c r="D2355" s="125"/>
      <c r="I2355" s="125"/>
      <c r="Z2355" s="124"/>
      <c r="AA2355" s="74"/>
      <c r="AB2355" s="240"/>
      <c r="AD2355" s="124"/>
      <c r="AE2355" s="238"/>
      <c r="AF2355" s="239"/>
      <c r="AG2355" s="239"/>
      <c r="AH2355" s="124"/>
      <c r="AI2355" s="74"/>
      <c r="AJ2355" s="240"/>
      <c r="AL2355" s="124"/>
      <c r="AM2355" s="74"/>
      <c r="AP2355" s="125"/>
      <c r="AQ2355" s="241"/>
      <c r="AR2355" s="125"/>
      <c r="AS2355" s="125"/>
      <c r="AT2355" s="238"/>
      <c r="AU2355" s="125"/>
      <c r="AV2355" s="125"/>
      <c r="AW2355" s="125"/>
      <c r="AX2355" s="238"/>
      <c r="AY2355" s="125"/>
      <c r="AZ2355" s="125"/>
      <c r="BA2355" s="125"/>
    </row>
    <row r="2356" spans="2:53" s="123" customFormat="1">
      <c r="B2356" s="125"/>
      <c r="D2356" s="125"/>
      <c r="I2356" s="125"/>
      <c r="Z2356" s="124"/>
      <c r="AA2356" s="74"/>
      <c r="AB2356" s="240"/>
      <c r="AD2356" s="124"/>
      <c r="AE2356" s="238"/>
      <c r="AF2356" s="239"/>
      <c r="AG2356" s="239"/>
      <c r="AH2356" s="124"/>
      <c r="AI2356" s="74"/>
      <c r="AJ2356" s="240"/>
      <c r="AL2356" s="124"/>
      <c r="AM2356" s="74"/>
      <c r="AP2356" s="125"/>
      <c r="AQ2356" s="241"/>
      <c r="AR2356" s="125"/>
      <c r="AS2356" s="125"/>
      <c r="AT2356" s="238"/>
      <c r="AU2356" s="125"/>
      <c r="AV2356" s="125"/>
      <c r="AW2356" s="125"/>
      <c r="AX2356" s="238"/>
      <c r="AY2356" s="125"/>
      <c r="AZ2356" s="125"/>
      <c r="BA2356" s="125"/>
    </row>
    <row r="2357" spans="2:53" s="123" customFormat="1">
      <c r="B2357" s="125"/>
      <c r="D2357" s="125"/>
      <c r="I2357" s="125"/>
      <c r="Z2357" s="124"/>
      <c r="AA2357" s="74"/>
      <c r="AB2357" s="240"/>
      <c r="AD2357" s="124"/>
      <c r="AE2357" s="238"/>
      <c r="AF2357" s="239"/>
      <c r="AG2357" s="239"/>
      <c r="AH2357" s="124"/>
      <c r="AI2357" s="74"/>
      <c r="AJ2357" s="240"/>
      <c r="AL2357" s="124"/>
      <c r="AM2357" s="74"/>
      <c r="AP2357" s="125"/>
      <c r="AQ2357" s="241"/>
      <c r="AR2357" s="125"/>
      <c r="AS2357" s="125"/>
      <c r="AT2357" s="238"/>
      <c r="AU2357" s="125"/>
      <c r="AV2357" s="125"/>
      <c r="AW2357" s="125"/>
      <c r="AX2357" s="238"/>
      <c r="AY2357" s="125"/>
      <c r="AZ2357" s="125"/>
      <c r="BA2357" s="125"/>
    </row>
    <row r="2358" spans="2:53" s="123" customFormat="1">
      <c r="B2358" s="125"/>
      <c r="D2358" s="125"/>
      <c r="I2358" s="125"/>
      <c r="Z2358" s="124"/>
      <c r="AA2358" s="74"/>
      <c r="AB2358" s="240"/>
      <c r="AD2358" s="124"/>
      <c r="AE2358" s="238"/>
      <c r="AF2358" s="239"/>
      <c r="AG2358" s="239"/>
      <c r="AH2358" s="124"/>
      <c r="AI2358" s="74"/>
      <c r="AJ2358" s="240"/>
      <c r="AL2358" s="124"/>
      <c r="AM2358" s="74"/>
      <c r="AP2358" s="125"/>
      <c r="AQ2358" s="241"/>
      <c r="AR2358" s="125"/>
      <c r="AS2358" s="125"/>
      <c r="AT2358" s="238"/>
      <c r="AU2358" s="125"/>
      <c r="AV2358" s="125"/>
      <c r="AW2358" s="125"/>
      <c r="AX2358" s="238"/>
      <c r="AY2358" s="125"/>
      <c r="AZ2358" s="125"/>
      <c r="BA2358" s="125"/>
    </row>
    <row r="2359" spans="2:53" s="123" customFormat="1">
      <c r="B2359" s="125"/>
      <c r="D2359" s="125"/>
      <c r="I2359" s="125"/>
      <c r="Z2359" s="124"/>
      <c r="AA2359" s="74"/>
      <c r="AB2359" s="240"/>
      <c r="AD2359" s="124"/>
      <c r="AE2359" s="238"/>
      <c r="AF2359" s="239"/>
      <c r="AG2359" s="239"/>
      <c r="AH2359" s="124"/>
      <c r="AI2359" s="74"/>
      <c r="AJ2359" s="240"/>
      <c r="AL2359" s="124"/>
      <c r="AM2359" s="74"/>
      <c r="AP2359" s="125"/>
      <c r="AQ2359" s="241"/>
      <c r="AR2359" s="125"/>
      <c r="AS2359" s="125"/>
      <c r="AT2359" s="238"/>
      <c r="AU2359" s="125"/>
      <c r="AV2359" s="125"/>
      <c r="AW2359" s="125"/>
      <c r="AX2359" s="238"/>
      <c r="AY2359" s="125"/>
      <c r="AZ2359" s="125"/>
      <c r="BA2359" s="125"/>
    </row>
    <row r="2360" spans="2:53" s="123" customFormat="1">
      <c r="B2360" s="125"/>
      <c r="D2360" s="125"/>
      <c r="I2360" s="125"/>
      <c r="Z2360" s="124"/>
      <c r="AA2360" s="74"/>
      <c r="AB2360" s="240"/>
      <c r="AD2360" s="124"/>
      <c r="AE2360" s="238"/>
      <c r="AF2360" s="239"/>
      <c r="AG2360" s="239"/>
      <c r="AH2360" s="124"/>
      <c r="AI2360" s="74"/>
      <c r="AJ2360" s="240"/>
      <c r="AL2360" s="124"/>
      <c r="AM2360" s="74"/>
      <c r="AP2360" s="125"/>
      <c r="AQ2360" s="241"/>
      <c r="AR2360" s="125"/>
      <c r="AS2360" s="125"/>
      <c r="AT2360" s="238"/>
      <c r="AU2360" s="125"/>
      <c r="AV2360" s="125"/>
      <c r="AW2360" s="125"/>
      <c r="AX2360" s="238"/>
      <c r="AY2360" s="125"/>
      <c r="AZ2360" s="125"/>
      <c r="BA2360" s="125"/>
    </row>
    <row r="2361" spans="2:53" s="123" customFormat="1">
      <c r="B2361" s="125"/>
      <c r="D2361" s="125"/>
      <c r="I2361" s="125"/>
      <c r="Z2361" s="124"/>
      <c r="AA2361" s="74"/>
      <c r="AB2361" s="240"/>
      <c r="AD2361" s="124"/>
      <c r="AE2361" s="238"/>
      <c r="AF2361" s="239"/>
      <c r="AG2361" s="239"/>
      <c r="AH2361" s="124"/>
      <c r="AI2361" s="74"/>
      <c r="AJ2361" s="240"/>
      <c r="AL2361" s="124"/>
      <c r="AM2361" s="74"/>
      <c r="AP2361" s="125"/>
      <c r="AQ2361" s="241"/>
      <c r="AR2361" s="125"/>
      <c r="AS2361" s="125"/>
      <c r="AT2361" s="238"/>
      <c r="AU2361" s="125"/>
      <c r="AV2361" s="125"/>
      <c r="AW2361" s="125"/>
      <c r="AX2361" s="238"/>
      <c r="AY2361" s="125"/>
      <c r="AZ2361" s="125"/>
      <c r="BA2361" s="125"/>
    </row>
    <row r="2362" spans="2:53" s="123" customFormat="1">
      <c r="B2362" s="125"/>
      <c r="D2362" s="125"/>
      <c r="I2362" s="125"/>
      <c r="Z2362" s="124"/>
      <c r="AA2362" s="74"/>
      <c r="AB2362" s="240"/>
      <c r="AD2362" s="124"/>
      <c r="AE2362" s="238"/>
      <c r="AF2362" s="239"/>
      <c r="AG2362" s="239"/>
      <c r="AH2362" s="124"/>
      <c r="AI2362" s="74"/>
      <c r="AJ2362" s="240"/>
      <c r="AL2362" s="124"/>
      <c r="AM2362" s="74"/>
      <c r="AP2362" s="125"/>
      <c r="AQ2362" s="241"/>
      <c r="AR2362" s="125"/>
      <c r="AS2362" s="125"/>
      <c r="AT2362" s="238"/>
      <c r="AU2362" s="125"/>
      <c r="AV2362" s="125"/>
      <c r="AW2362" s="125"/>
      <c r="AX2362" s="238"/>
      <c r="AY2362" s="125"/>
      <c r="AZ2362" s="125"/>
      <c r="BA2362" s="125"/>
    </row>
    <row r="2363" spans="2:53" s="123" customFormat="1">
      <c r="B2363" s="125"/>
      <c r="D2363" s="125"/>
      <c r="I2363" s="125"/>
      <c r="Z2363" s="124"/>
      <c r="AA2363" s="74"/>
      <c r="AB2363" s="240"/>
      <c r="AD2363" s="124"/>
      <c r="AE2363" s="238"/>
      <c r="AF2363" s="239"/>
      <c r="AG2363" s="239"/>
      <c r="AH2363" s="124"/>
      <c r="AI2363" s="74"/>
      <c r="AJ2363" s="240"/>
      <c r="AL2363" s="124"/>
      <c r="AM2363" s="74"/>
      <c r="AP2363" s="125"/>
      <c r="AQ2363" s="241"/>
      <c r="AR2363" s="125"/>
      <c r="AS2363" s="125"/>
      <c r="AT2363" s="238"/>
      <c r="AU2363" s="125"/>
      <c r="AV2363" s="125"/>
      <c r="AW2363" s="125"/>
      <c r="AX2363" s="238"/>
      <c r="AY2363" s="125"/>
      <c r="AZ2363" s="125"/>
      <c r="BA2363" s="125"/>
    </row>
    <row r="2364" spans="2:53" s="123" customFormat="1">
      <c r="B2364" s="125"/>
      <c r="D2364" s="125"/>
      <c r="I2364" s="125"/>
      <c r="Z2364" s="124"/>
      <c r="AA2364" s="74"/>
      <c r="AB2364" s="240"/>
      <c r="AD2364" s="124"/>
      <c r="AE2364" s="238"/>
      <c r="AF2364" s="239"/>
      <c r="AG2364" s="239"/>
      <c r="AH2364" s="124"/>
      <c r="AI2364" s="74"/>
      <c r="AJ2364" s="240"/>
      <c r="AL2364" s="124"/>
      <c r="AM2364" s="74"/>
      <c r="AP2364" s="125"/>
      <c r="AQ2364" s="241"/>
      <c r="AR2364" s="125"/>
      <c r="AS2364" s="125"/>
      <c r="AT2364" s="238"/>
      <c r="AU2364" s="125"/>
      <c r="AV2364" s="125"/>
      <c r="AW2364" s="125"/>
      <c r="AX2364" s="238"/>
      <c r="AY2364" s="125"/>
      <c r="AZ2364" s="125"/>
      <c r="BA2364" s="125"/>
    </row>
    <row r="2365" spans="2:53" s="123" customFormat="1">
      <c r="B2365" s="125"/>
      <c r="D2365" s="125"/>
      <c r="I2365" s="125"/>
      <c r="Z2365" s="124"/>
      <c r="AA2365" s="74"/>
      <c r="AB2365" s="240"/>
      <c r="AD2365" s="124"/>
      <c r="AE2365" s="238"/>
      <c r="AF2365" s="239"/>
      <c r="AG2365" s="239"/>
      <c r="AH2365" s="124"/>
      <c r="AI2365" s="74"/>
      <c r="AJ2365" s="240"/>
      <c r="AL2365" s="124"/>
      <c r="AM2365" s="74"/>
      <c r="AP2365" s="125"/>
      <c r="AQ2365" s="241"/>
      <c r="AR2365" s="125"/>
      <c r="AS2365" s="125"/>
      <c r="AT2365" s="238"/>
      <c r="AU2365" s="125"/>
      <c r="AV2365" s="125"/>
      <c r="AW2365" s="125"/>
      <c r="AX2365" s="238"/>
      <c r="AY2365" s="125"/>
      <c r="AZ2365" s="125"/>
      <c r="BA2365" s="125"/>
    </row>
    <row r="2366" spans="2:53" s="123" customFormat="1">
      <c r="B2366" s="125"/>
      <c r="D2366" s="125"/>
      <c r="I2366" s="125"/>
      <c r="Z2366" s="124"/>
      <c r="AA2366" s="74"/>
      <c r="AB2366" s="240"/>
      <c r="AD2366" s="124"/>
      <c r="AE2366" s="238"/>
      <c r="AF2366" s="239"/>
      <c r="AG2366" s="239"/>
      <c r="AH2366" s="124"/>
      <c r="AI2366" s="74"/>
      <c r="AJ2366" s="240"/>
      <c r="AL2366" s="124"/>
      <c r="AM2366" s="74"/>
      <c r="AP2366" s="125"/>
      <c r="AQ2366" s="241"/>
      <c r="AR2366" s="125"/>
      <c r="AS2366" s="125"/>
      <c r="AT2366" s="238"/>
      <c r="AU2366" s="125"/>
      <c r="AV2366" s="125"/>
      <c r="AW2366" s="125"/>
      <c r="AX2366" s="238"/>
      <c r="AY2366" s="125"/>
      <c r="AZ2366" s="125"/>
      <c r="BA2366" s="125"/>
    </row>
    <row r="2367" spans="2:53" s="123" customFormat="1">
      <c r="B2367" s="125"/>
      <c r="D2367" s="125"/>
      <c r="I2367" s="125"/>
      <c r="Z2367" s="124"/>
      <c r="AA2367" s="74"/>
      <c r="AB2367" s="240"/>
      <c r="AD2367" s="124"/>
      <c r="AE2367" s="238"/>
      <c r="AF2367" s="239"/>
      <c r="AG2367" s="239"/>
      <c r="AH2367" s="124"/>
      <c r="AI2367" s="74"/>
      <c r="AJ2367" s="240"/>
      <c r="AL2367" s="124"/>
      <c r="AM2367" s="74"/>
      <c r="AP2367" s="125"/>
      <c r="AQ2367" s="241"/>
      <c r="AR2367" s="125"/>
      <c r="AS2367" s="125"/>
      <c r="AT2367" s="238"/>
      <c r="AU2367" s="125"/>
      <c r="AV2367" s="125"/>
      <c r="AW2367" s="125"/>
      <c r="AX2367" s="238"/>
      <c r="AY2367" s="125"/>
      <c r="AZ2367" s="125"/>
      <c r="BA2367" s="125"/>
    </row>
    <row r="2368" spans="2:53" s="123" customFormat="1">
      <c r="B2368" s="125"/>
      <c r="D2368" s="125"/>
      <c r="I2368" s="125"/>
      <c r="Z2368" s="124"/>
      <c r="AA2368" s="74"/>
      <c r="AB2368" s="240"/>
      <c r="AD2368" s="124"/>
      <c r="AE2368" s="238"/>
      <c r="AF2368" s="239"/>
      <c r="AG2368" s="239"/>
      <c r="AH2368" s="124"/>
      <c r="AI2368" s="74"/>
      <c r="AJ2368" s="240"/>
      <c r="AL2368" s="124"/>
      <c r="AM2368" s="74"/>
      <c r="AP2368" s="125"/>
      <c r="AQ2368" s="241"/>
      <c r="AR2368" s="125"/>
      <c r="AS2368" s="125"/>
      <c r="AT2368" s="238"/>
      <c r="AU2368" s="125"/>
      <c r="AV2368" s="125"/>
      <c r="AW2368" s="125"/>
      <c r="AX2368" s="238"/>
      <c r="AY2368" s="125"/>
      <c r="AZ2368" s="125"/>
      <c r="BA2368" s="125"/>
    </row>
    <row r="2369" spans="2:53" s="123" customFormat="1">
      <c r="B2369" s="125"/>
      <c r="D2369" s="125"/>
      <c r="I2369" s="125"/>
      <c r="Z2369" s="124"/>
      <c r="AA2369" s="74"/>
      <c r="AB2369" s="240"/>
      <c r="AD2369" s="124"/>
      <c r="AE2369" s="238"/>
      <c r="AF2369" s="239"/>
      <c r="AG2369" s="239"/>
      <c r="AH2369" s="124"/>
      <c r="AI2369" s="74"/>
      <c r="AJ2369" s="240"/>
      <c r="AL2369" s="124"/>
      <c r="AM2369" s="74"/>
      <c r="AP2369" s="125"/>
      <c r="AQ2369" s="241"/>
      <c r="AR2369" s="125"/>
      <c r="AS2369" s="125"/>
      <c r="AT2369" s="238"/>
      <c r="AU2369" s="125"/>
      <c r="AV2369" s="125"/>
      <c r="AW2369" s="125"/>
      <c r="AX2369" s="238"/>
      <c r="AY2369" s="125"/>
      <c r="AZ2369" s="125"/>
      <c r="BA2369" s="125"/>
    </row>
    <row r="2370" spans="2:53" s="123" customFormat="1">
      <c r="B2370" s="125"/>
      <c r="D2370" s="125"/>
      <c r="I2370" s="125"/>
      <c r="Z2370" s="124"/>
      <c r="AA2370" s="74"/>
      <c r="AB2370" s="240"/>
      <c r="AD2370" s="124"/>
      <c r="AE2370" s="238"/>
      <c r="AF2370" s="239"/>
      <c r="AG2370" s="239"/>
      <c r="AH2370" s="124"/>
      <c r="AI2370" s="74"/>
      <c r="AJ2370" s="240"/>
      <c r="AL2370" s="124"/>
      <c r="AM2370" s="74"/>
      <c r="AP2370" s="125"/>
      <c r="AQ2370" s="241"/>
      <c r="AR2370" s="125"/>
      <c r="AS2370" s="125"/>
      <c r="AT2370" s="238"/>
      <c r="AU2370" s="125"/>
      <c r="AV2370" s="125"/>
      <c r="AW2370" s="125"/>
      <c r="AX2370" s="238"/>
      <c r="AY2370" s="125"/>
      <c r="AZ2370" s="125"/>
      <c r="BA2370" s="125"/>
    </row>
    <row r="2371" spans="2:53" s="123" customFormat="1">
      <c r="B2371" s="125"/>
      <c r="D2371" s="125"/>
      <c r="I2371" s="125"/>
      <c r="Z2371" s="124"/>
      <c r="AA2371" s="74"/>
      <c r="AB2371" s="240"/>
      <c r="AD2371" s="124"/>
      <c r="AE2371" s="238"/>
      <c r="AF2371" s="239"/>
      <c r="AG2371" s="239"/>
      <c r="AH2371" s="124"/>
      <c r="AI2371" s="74"/>
      <c r="AJ2371" s="240"/>
      <c r="AL2371" s="124"/>
      <c r="AM2371" s="74"/>
      <c r="AP2371" s="125"/>
      <c r="AQ2371" s="241"/>
      <c r="AR2371" s="125"/>
      <c r="AS2371" s="125"/>
      <c r="AT2371" s="238"/>
      <c r="AU2371" s="125"/>
      <c r="AV2371" s="125"/>
      <c r="AW2371" s="125"/>
      <c r="AX2371" s="238"/>
      <c r="AY2371" s="125"/>
      <c r="AZ2371" s="125"/>
      <c r="BA2371" s="125"/>
    </row>
    <row r="2372" spans="2:53" s="123" customFormat="1">
      <c r="B2372" s="125"/>
      <c r="D2372" s="125"/>
      <c r="I2372" s="125"/>
      <c r="Z2372" s="124"/>
      <c r="AA2372" s="74"/>
      <c r="AB2372" s="240"/>
      <c r="AD2372" s="124"/>
      <c r="AE2372" s="238"/>
      <c r="AF2372" s="239"/>
      <c r="AG2372" s="239"/>
      <c r="AH2372" s="124"/>
      <c r="AI2372" s="74"/>
      <c r="AJ2372" s="240"/>
      <c r="AL2372" s="124"/>
      <c r="AM2372" s="74"/>
      <c r="AP2372" s="125"/>
      <c r="AQ2372" s="241"/>
      <c r="AR2372" s="125"/>
      <c r="AS2372" s="125"/>
      <c r="AT2372" s="238"/>
      <c r="AU2372" s="125"/>
      <c r="AV2372" s="125"/>
      <c r="AW2372" s="125"/>
      <c r="AX2372" s="238"/>
      <c r="AY2372" s="125"/>
      <c r="AZ2372" s="125"/>
      <c r="BA2372" s="125"/>
    </row>
    <row r="2373" spans="2:53" s="123" customFormat="1">
      <c r="B2373" s="125"/>
      <c r="D2373" s="125"/>
      <c r="I2373" s="125"/>
      <c r="Z2373" s="124"/>
      <c r="AA2373" s="74"/>
      <c r="AB2373" s="240"/>
      <c r="AD2373" s="124"/>
      <c r="AE2373" s="238"/>
      <c r="AF2373" s="239"/>
      <c r="AG2373" s="239"/>
      <c r="AH2373" s="124"/>
      <c r="AI2373" s="74"/>
      <c r="AJ2373" s="240"/>
      <c r="AL2373" s="124"/>
      <c r="AM2373" s="74"/>
      <c r="AP2373" s="125"/>
      <c r="AQ2373" s="241"/>
      <c r="AR2373" s="125"/>
      <c r="AS2373" s="125"/>
      <c r="AT2373" s="238"/>
      <c r="AU2373" s="125"/>
      <c r="AV2373" s="125"/>
      <c r="AW2373" s="125"/>
      <c r="AX2373" s="238"/>
      <c r="AY2373" s="125"/>
      <c r="AZ2373" s="125"/>
      <c r="BA2373" s="125"/>
    </row>
    <row r="2374" spans="2:53" s="123" customFormat="1">
      <c r="B2374" s="125"/>
      <c r="D2374" s="125"/>
      <c r="I2374" s="125"/>
      <c r="Z2374" s="124"/>
      <c r="AA2374" s="74"/>
      <c r="AB2374" s="240"/>
      <c r="AD2374" s="124"/>
      <c r="AE2374" s="238"/>
      <c r="AF2374" s="239"/>
      <c r="AG2374" s="239"/>
      <c r="AH2374" s="124"/>
      <c r="AI2374" s="74"/>
      <c r="AJ2374" s="240"/>
      <c r="AL2374" s="124"/>
      <c r="AM2374" s="74"/>
      <c r="AP2374" s="125"/>
      <c r="AQ2374" s="241"/>
      <c r="AR2374" s="125"/>
      <c r="AS2374" s="125"/>
      <c r="AT2374" s="238"/>
      <c r="AU2374" s="125"/>
      <c r="AV2374" s="125"/>
      <c r="AW2374" s="125"/>
      <c r="AX2374" s="238"/>
      <c r="AY2374" s="125"/>
      <c r="AZ2374" s="125"/>
      <c r="BA2374" s="125"/>
    </row>
    <row r="2375" spans="2:53" s="123" customFormat="1">
      <c r="B2375" s="125"/>
      <c r="D2375" s="125"/>
      <c r="I2375" s="125"/>
      <c r="Z2375" s="124"/>
      <c r="AA2375" s="74"/>
      <c r="AB2375" s="240"/>
      <c r="AD2375" s="124"/>
      <c r="AE2375" s="238"/>
      <c r="AF2375" s="239"/>
      <c r="AG2375" s="239"/>
      <c r="AH2375" s="124"/>
      <c r="AI2375" s="74"/>
      <c r="AJ2375" s="240"/>
      <c r="AL2375" s="124"/>
      <c r="AM2375" s="74"/>
      <c r="AP2375" s="125"/>
      <c r="AQ2375" s="241"/>
      <c r="AR2375" s="125"/>
      <c r="AS2375" s="125"/>
      <c r="AT2375" s="238"/>
      <c r="AU2375" s="125"/>
      <c r="AV2375" s="125"/>
      <c r="AW2375" s="125"/>
      <c r="AX2375" s="238"/>
      <c r="AY2375" s="125"/>
      <c r="AZ2375" s="125"/>
      <c r="BA2375" s="125"/>
    </row>
    <row r="2376" spans="2:53" s="123" customFormat="1">
      <c r="B2376" s="125"/>
      <c r="D2376" s="125"/>
      <c r="I2376" s="125"/>
      <c r="Z2376" s="124"/>
      <c r="AA2376" s="74"/>
      <c r="AB2376" s="240"/>
      <c r="AD2376" s="124"/>
      <c r="AE2376" s="238"/>
      <c r="AF2376" s="239"/>
      <c r="AG2376" s="239"/>
      <c r="AH2376" s="124"/>
      <c r="AI2376" s="74"/>
      <c r="AJ2376" s="240"/>
      <c r="AL2376" s="124"/>
      <c r="AM2376" s="74"/>
      <c r="AP2376" s="125"/>
      <c r="AQ2376" s="241"/>
      <c r="AR2376" s="125"/>
      <c r="AS2376" s="125"/>
      <c r="AT2376" s="238"/>
      <c r="AU2376" s="125"/>
      <c r="AV2376" s="125"/>
      <c r="AW2376" s="125"/>
      <c r="AX2376" s="238"/>
      <c r="AY2376" s="125"/>
      <c r="AZ2376" s="125"/>
      <c r="BA2376" s="125"/>
    </row>
    <row r="2377" spans="2:53" s="123" customFormat="1">
      <c r="B2377" s="125"/>
      <c r="D2377" s="125"/>
      <c r="I2377" s="125"/>
      <c r="Z2377" s="124"/>
      <c r="AA2377" s="74"/>
      <c r="AB2377" s="240"/>
      <c r="AD2377" s="124"/>
      <c r="AE2377" s="238"/>
      <c r="AF2377" s="239"/>
      <c r="AG2377" s="239"/>
      <c r="AH2377" s="124"/>
      <c r="AI2377" s="74"/>
      <c r="AJ2377" s="240"/>
      <c r="AL2377" s="124"/>
      <c r="AM2377" s="74"/>
      <c r="AP2377" s="125"/>
      <c r="AQ2377" s="241"/>
      <c r="AR2377" s="125"/>
      <c r="AS2377" s="125"/>
      <c r="AT2377" s="238"/>
      <c r="AU2377" s="125"/>
      <c r="AV2377" s="125"/>
      <c r="AW2377" s="125"/>
      <c r="AX2377" s="238"/>
      <c r="AY2377" s="125"/>
      <c r="AZ2377" s="125"/>
      <c r="BA2377" s="125"/>
    </row>
    <row r="2378" spans="2:53" s="123" customFormat="1">
      <c r="B2378" s="125"/>
      <c r="D2378" s="125"/>
      <c r="I2378" s="125"/>
      <c r="Z2378" s="124"/>
      <c r="AA2378" s="74"/>
      <c r="AB2378" s="240"/>
      <c r="AD2378" s="124"/>
      <c r="AE2378" s="238"/>
      <c r="AF2378" s="239"/>
      <c r="AG2378" s="239"/>
      <c r="AH2378" s="124"/>
      <c r="AI2378" s="74"/>
      <c r="AJ2378" s="240"/>
      <c r="AL2378" s="124"/>
      <c r="AM2378" s="74"/>
      <c r="AP2378" s="125"/>
      <c r="AQ2378" s="241"/>
      <c r="AR2378" s="125"/>
      <c r="AS2378" s="125"/>
      <c r="AT2378" s="238"/>
      <c r="AU2378" s="125"/>
      <c r="AV2378" s="125"/>
      <c r="AW2378" s="125"/>
      <c r="AX2378" s="238"/>
      <c r="AY2378" s="125"/>
      <c r="AZ2378" s="125"/>
      <c r="BA2378" s="125"/>
    </row>
    <row r="2379" spans="2:53" s="123" customFormat="1">
      <c r="B2379" s="125"/>
      <c r="D2379" s="125"/>
      <c r="I2379" s="125"/>
      <c r="Z2379" s="124"/>
      <c r="AA2379" s="74"/>
      <c r="AB2379" s="240"/>
      <c r="AD2379" s="124"/>
      <c r="AE2379" s="238"/>
      <c r="AF2379" s="239"/>
      <c r="AG2379" s="239"/>
      <c r="AH2379" s="124"/>
      <c r="AI2379" s="74"/>
      <c r="AJ2379" s="240"/>
      <c r="AL2379" s="124"/>
      <c r="AM2379" s="74"/>
      <c r="AP2379" s="125"/>
      <c r="AQ2379" s="241"/>
      <c r="AR2379" s="125"/>
      <c r="AS2379" s="125"/>
      <c r="AT2379" s="238"/>
      <c r="AU2379" s="125"/>
      <c r="AV2379" s="125"/>
      <c r="AW2379" s="125"/>
      <c r="AX2379" s="238"/>
      <c r="AY2379" s="125"/>
      <c r="AZ2379" s="125"/>
      <c r="BA2379" s="125"/>
    </row>
    <row r="2380" spans="2:53" s="123" customFormat="1">
      <c r="B2380" s="125"/>
      <c r="D2380" s="125"/>
      <c r="I2380" s="125"/>
      <c r="Z2380" s="124"/>
      <c r="AA2380" s="74"/>
      <c r="AB2380" s="240"/>
      <c r="AD2380" s="124"/>
      <c r="AE2380" s="238"/>
      <c r="AF2380" s="239"/>
      <c r="AG2380" s="239"/>
      <c r="AH2380" s="124"/>
      <c r="AI2380" s="74"/>
      <c r="AJ2380" s="240"/>
      <c r="AL2380" s="124"/>
      <c r="AM2380" s="74"/>
      <c r="AP2380" s="125"/>
      <c r="AQ2380" s="241"/>
      <c r="AR2380" s="125"/>
      <c r="AS2380" s="125"/>
      <c r="AT2380" s="238"/>
      <c r="AU2380" s="125"/>
      <c r="AV2380" s="125"/>
      <c r="AW2380" s="125"/>
      <c r="AX2380" s="238"/>
      <c r="AY2380" s="125"/>
      <c r="AZ2380" s="125"/>
      <c r="BA2380" s="125"/>
    </row>
    <row r="2381" spans="2:53" s="123" customFormat="1">
      <c r="B2381" s="125"/>
      <c r="D2381" s="125"/>
      <c r="I2381" s="125"/>
      <c r="Z2381" s="124"/>
      <c r="AA2381" s="74"/>
      <c r="AB2381" s="240"/>
      <c r="AD2381" s="124"/>
      <c r="AE2381" s="238"/>
      <c r="AF2381" s="239"/>
      <c r="AG2381" s="239"/>
      <c r="AH2381" s="124"/>
      <c r="AI2381" s="74"/>
      <c r="AJ2381" s="240"/>
      <c r="AL2381" s="124"/>
      <c r="AM2381" s="74"/>
      <c r="AP2381" s="125"/>
      <c r="AQ2381" s="241"/>
      <c r="AR2381" s="125"/>
      <c r="AS2381" s="125"/>
      <c r="AT2381" s="238"/>
      <c r="AU2381" s="125"/>
      <c r="AV2381" s="125"/>
      <c r="AW2381" s="125"/>
      <c r="AX2381" s="238"/>
      <c r="AY2381" s="125"/>
      <c r="AZ2381" s="125"/>
      <c r="BA2381" s="125"/>
    </row>
    <row r="2382" spans="2:53" s="123" customFormat="1">
      <c r="B2382" s="125"/>
      <c r="D2382" s="125"/>
      <c r="I2382" s="125"/>
      <c r="Z2382" s="124"/>
      <c r="AA2382" s="74"/>
      <c r="AB2382" s="240"/>
      <c r="AD2382" s="124"/>
      <c r="AE2382" s="238"/>
      <c r="AF2382" s="239"/>
      <c r="AG2382" s="239"/>
      <c r="AH2382" s="124"/>
      <c r="AI2382" s="74"/>
      <c r="AJ2382" s="240"/>
      <c r="AL2382" s="124"/>
      <c r="AM2382" s="74"/>
      <c r="AP2382" s="125"/>
      <c r="AQ2382" s="241"/>
      <c r="AR2382" s="125"/>
      <c r="AS2382" s="125"/>
      <c r="AT2382" s="238"/>
      <c r="AU2382" s="125"/>
      <c r="AV2382" s="125"/>
      <c r="AW2382" s="125"/>
      <c r="AX2382" s="238"/>
      <c r="AY2382" s="125"/>
      <c r="AZ2382" s="125"/>
      <c r="BA2382" s="125"/>
    </row>
    <row r="2383" spans="2:53" s="123" customFormat="1">
      <c r="B2383" s="125"/>
      <c r="D2383" s="125"/>
      <c r="I2383" s="125"/>
      <c r="Z2383" s="124"/>
      <c r="AA2383" s="74"/>
      <c r="AB2383" s="240"/>
      <c r="AD2383" s="124"/>
      <c r="AE2383" s="238"/>
      <c r="AF2383" s="239"/>
      <c r="AG2383" s="239"/>
      <c r="AH2383" s="124"/>
      <c r="AI2383" s="74"/>
      <c r="AJ2383" s="240"/>
      <c r="AL2383" s="124"/>
      <c r="AM2383" s="74"/>
      <c r="AP2383" s="125"/>
      <c r="AQ2383" s="241"/>
      <c r="AR2383" s="125"/>
      <c r="AS2383" s="125"/>
      <c r="AT2383" s="238"/>
      <c r="AU2383" s="125"/>
      <c r="AV2383" s="125"/>
      <c r="AW2383" s="125"/>
      <c r="AX2383" s="238"/>
      <c r="AY2383" s="125"/>
      <c r="AZ2383" s="125"/>
      <c r="BA2383" s="125"/>
    </row>
    <row r="2384" spans="2:53" s="123" customFormat="1">
      <c r="B2384" s="125"/>
      <c r="D2384" s="125"/>
      <c r="I2384" s="125"/>
      <c r="Z2384" s="124"/>
      <c r="AA2384" s="74"/>
      <c r="AB2384" s="240"/>
      <c r="AD2384" s="124"/>
      <c r="AE2384" s="238"/>
      <c r="AF2384" s="239"/>
      <c r="AG2384" s="239"/>
      <c r="AH2384" s="124"/>
      <c r="AI2384" s="74"/>
      <c r="AJ2384" s="240"/>
      <c r="AL2384" s="124"/>
      <c r="AM2384" s="74"/>
      <c r="AP2384" s="125"/>
      <c r="AQ2384" s="241"/>
      <c r="AR2384" s="125"/>
      <c r="AS2384" s="125"/>
      <c r="AT2384" s="238"/>
      <c r="AU2384" s="125"/>
      <c r="AV2384" s="125"/>
      <c r="AW2384" s="125"/>
      <c r="AX2384" s="238"/>
      <c r="AY2384" s="125"/>
      <c r="AZ2384" s="125"/>
      <c r="BA2384" s="125"/>
    </row>
    <row r="2385" spans="2:53" s="123" customFormat="1">
      <c r="B2385" s="125"/>
      <c r="D2385" s="125"/>
      <c r="I2385" s="125"/>
      <c r="Z2385" s="124"/>
      <c r="AA2385" s="74"/>
      <c r="AB2385" s="240"/>
      <c r="AD2385" s="124"/>
      <c r="AE2385" s="238"/>
      <c r="AF2385" s="239"/>
      <c r="AG2385" s="239"/>
      <c r="AH2385" s="124"/>
      <c r="AI2385" s="74"/>
      <c r="AJ2385" s="240"/>
      <c r="AL2385" s="124"/>
      <c r="AM2385" s="74"/>
      <c r="AP2385" s="125"/>
      <c r="AQ2385" s="241"/>
      <c r="AR2385" s="125"/>
      <c r="AS2385" s="125"/>
      <c r="AT2385" s="238"/>
      <c r="AU2385" s="125"/>
      <c r="AV2385" s="125"/>
      <c r="AW2385" s="125"/>
      <c r="AX2385" s="238"/>
      <c r="AY2385" s="125"/>
      <c r="AZ2385" s="125"/>
      <c r="BA2385" s="125"/>
    </row>
    <row r="2386" spans="2:53" s="123" customFormat="1">
      <c r="B2386" s="125"/>
      <c r="D2386" s="125"/>
      <c r="I2386" s="125"/>
      <c r="Z2386" s="124"/>
      <c r="AA2386" s="74"/>
      <c r="AB2386" s="240"/>
      <c r="AD2386" s="124"/>
      <c r="AE2386" s="238"/>
      <c r="AF2386" s="239"/>
      <c r="AG2386" s="239"/>
      <c r="AH2386" s="124"/>
      <c r="AI2386" s="74"/>
      <c r="AJ2386" s="240"/>
      <c r="AL2386" s="124"/>
      <c r="AM2386" s="74"/>
      <c r="AP2386" s="125"/>
      <c r="AQ2386" s="241"/>
      <c r="AR2386" s="125"/>
      <c r="AS2386" s="125"/>
      <c r="AT2386" s="238"/>
      <c r="AU2386" s="125"/>
      <c r="AV2386" s="125"/>
      <c r="AW2386" s="125"/>
      <c r="AX2386" s="238"/>
      <c r="AY2386" s="125"/>
      <c r="AZ2386" s="125"/>
      <c r="BA2386" s="125"/>
    </row>
    <row r="2387" spans="2:53" s="123" customFormat="1">
      <c r="B2387" s="125"/>
      <c r="D2387" s="125"/>
      <c r="I2387" s="125"/>
      <c r="Z2387" s="124"/>
      <c r="AA2387" s="74"/>
      <c r="AB2387" s="240"/>
      <c r="AD2387" s="124"/>
      <c r="AE2387" s="238"/>
      <c r="AF2387" s="239"/>
      <c r="AG2387" s="239"/>
      <c r="AH2387" s="124"/>
      <c r="AI2387" s="74"/>
      <c r="AJ2387" s="240"/>
      <c r="AL2387" s="124"/>
      <c r="AM2387" s="74"/>
      <c r="AP2387" s="125"/>
      <c r="AQ2387" s="241"/>
      <c r="AR2387" s="125"/>
      <c r="AS2387" s="125"/>
      <c r="AT2387" s="238"/>
      <c r="AU2387" s="125"/>
      <c r="AV2387" s="125"/>
      <c r="AW2387" s="125"/>
      <c r="AX2387" s="238"/>
      <c r="AY2387" s="125"/>
      <c r="AZ2387" s="125"/>
      <c r="BA2387" s="125"/>
    </row>
    <row r="2388" spans="2:53" s="123" customFormat="1">
      <c r="B2388" s="125"/>
      <c r="D2388" s="125"/>
      <c r="I2388" s="125"/>
      <c r="Z2388" s="124"/>
      <c r="AA2388" s="74"/>
      <c r="AB2388" s="240"/>
      <c r="AD2388" s="124"/>
      <c r="AE2388" s="238"/>
      <c r="AF2388" s="239"/>
      <c r="AG2388" s="239"/>
      <c r="AH2388" s="124"/>
      <c r="AI2388" s="74"/>
      <c r="AJ2388" s="240"/>
      <c r="AL2388" s="124"/>
      <c r="AM2388" s="74"/>
      <c r="AP2388" s="125"/>
      <c r="AQ2388" s="241"/>
      <c r="AR2388" s="125"/>
      <c r="AS2388" s="125"/>
      <c r="AT2388" s="238"/>
      <c r="AU2388" s="125"/>
      <c r="AV2388" s="125"/>
      <c r="AW2388" s="125"/>
      <c r="AX2388" s="238"/>
      <c r="AY2388" s="125"/>
      <c r="AZ2388" s="125"/>
      <c r="BA2388" s="125"/>
    </row>
    <row r="2389" spans="2:53" s="123" customFormat="1">
      <c r="B2389" s="125"/>
      <c r="D2389" s="125"/>
      <c r="I2389" s="125"/>
      <c r="Z2389" s="124"/>
      <c r="AA2389" s="74"/>
      <c r="AB2389" s="240"/>
      <c r="AD2389" s="124"/>
      <c r="AE2389" s="238"/>
      <c r="AF2389" s="239"/>
      <c r="AG2389" s="239"/>
      <c r="AH2389" s="124"/>
      <c r="AI2389" s="74"/>
      <c r="AJ2389" s="240"/>
      <c r="AL2389" s="124"/>
      <c r="AM2389" s="74"/>
      <c r="AP2389" s="125"/>
      <c r="AQ2389" s="241"/>
      <c r="AR2389" s="125"/>
      <c r="AS2389" s="125"/>
      <c r="AT2389" s="238"/>
      <c r="AU2389" s="125"/>
      <c r="AV2389" s="125"/>
      <c r="AW2389" s="125"/>
      <c r="AX2389" s="238"/>
      <c r="AY2389" s="125"/>
      <c r="AZ2389" s="125"/>
      <c r="BA2389" s="125"/>
    </row>
    <row r="2390" spans="2:53" s="123" customFormat="1">
      <c r="B2390" s="125"/>
      <c r="D2390" s="125"/>
      <c r="I2390" s="125"/>
      <c r="Z2390" s="124"/>
      <c r="AA2390" s="74"/>
      <c r="AB2390" s="240"/>
      <c r="AD2390" s="124"/>
      <c r="AE2390" s="238"/>
      <c r="AF2390" s="239"/>
      <c r="AG2390" s="239"/>
      <c r="AH2390" s="124"/>
      <c r="AI2390" s="74"/>
      <c r="AJ2390" s="240"/>
      <c r="AL2390" s="124"/>
      <c r="AM2390" s="74"/>
      <c r="AP2390" s="125"/>
      <c r="AQ2390" s="241"/>
      <c r="AR2390" s="125"/>
      <c r="AS2390" s="125"/>
      <c r="AT2390" s="238"/>
      <c r="AU2390" s="125"/>
      <c r="AV2390" s="125"/>
      <c r="AW2390" s="125"/>
      <c r="AX2390" s="238"/>
      <c r="AY2390" s="125"/>
      <c r="AZ2390" s="125"/>
      <c r="BA2390" s="125"/>
    </row>
    <row r="2391" spans="2:53" s="123" customFormat="1">
      <c r="B2391" s="125"/>
      <c r="D2391" s="125"/>
      <c r="I2391" s="125"/>
      <c r="Z2391" s="124"/>
      <c r="AA2391" s="74"/>
      <c r="AB2391" s="240"/>
      <c r="AD2391" s="124"/>
      <c r="AE2391" s="238"/>
      <c r="AF2391" s="239"/>
      <c r="AG2391" s="239"/>
      <c r="AH2391" s="124"/>
      <c r="AI2391" s="74"/>
      <c r="AJ2391" s="240"/>
      <c r="AL2391" s="124"/>
      <c r="AM2391" s="74"/>
      <c r="AP2391" s="125"/>
      <c r="AQ2391" s="241"/>
      <c r="AR2391" s="125"/>
      <c r="AS2391" s="125"/>
      <c r="AT2391" s="238"/>
      <c r="AU2391" s="125"/>
      <c r="AV2391" s="125"/>
      <c r="AW2391" s="125"/>
      <c r="AX2391" s="238"/>
      <c r="AY2391" s="125"/>
      <c r="AZ2391" s="125"/>
      <c r="BA2391" s="125"/>
    </row>
    <row r="2392" spans="2:53" s="123" customFormat="1">
      <c r="B2392" s="125"/>
      <c r="D2392" s="125"/>
      <c r="I2392" s="125"/>
      <c r="Z2392" s="124"/>
      <c r="AA2392" s="74"/>
      <c r="AB2392" s="240"/>
      <c r="AD2392" s="124"/>
      <c r="AE2392" s="238"/>
      <c r="AF2392" s="239"/>
      <c r="AG2392" s="239"/>
      <c r="AH2392" s="124"/>
      <c r="AI2392" s="74"/>
      <c r="AJ2392" s="240"/>
      <c r="AL2392" s="124"/>
      <c r="AM2392" s="74"/>
      <c r="AP2392" s="125"/>
      <c r="AQ2392" s="241"/>
      <c r="AR2392" s="125"/>
      <c r="AS2392" s="125"/>
      <c r="AT2392" s="238"/>
      <c r="AU2392" s="125"/>
      <c r="AV2392" s="125"/>
      <c r="AW2392" s="125"/>
      <c r="AX2392" s="238"/>
      <c r="AY2392" s="125"/>
      <c r="AZ2392" s="125"/>
      <c r="BA2392" s="125"/>
    </row>
    <row r="2393" spans="2:53" s="123" customFormat="1">
      <c r="B2393" s="125"/>
      <c r="D2393" s="125"/>
      <c r="I2393" s="125"/>
      <c r="Z2393" s="124"/>
      <c r="AA2393" s="74"/>
      <c r="AB2393" s="240"/>
      <c r="AD2393" s="124"/>
      <c r="AE2393" s="238"/>
      <c r="AF2393" s="239"/>
      <c r="AG2393" s="239"/>
      <c r="AH2393" s="124"/>
      <c r="AI2393" s="74"/>
      <c r="AJ2393" s="240"/>
      <c r="AL2393" s="124"/>
      <c r="AM2393" s="74"/>
      <c r="AP2393" s="125"/>
      <c r="AQ2393" s="241"/>
      <c r="AR2393" s="125"/>
      <c r="AS2393" s="125"/>
      <c r="AT2393" s="238"/>
      <c r="AU2393" s="125"/>
      <c r="AV2393" s="125"/>
      <c r="AW2393" s="125"/>
      <c r="AX2393" s="238"/>
      <c r="AY2393" s="125"/>
      <c r="AZ2393" s="125"/>
      <c r="BA2393" s="125"/>
    </row>
    <row r="2394" spans="2:53" s="123" customFormat="1">
      <c r="B2394" s="125"/>
      <c r="D2394" s="125"/>
      <c r="I2394" s="125"/>
      <c r="Z2394" s="124"/>
      <c r="AA2394" s="74"/>
      <c r="AB2394" s="240"/>
      <c r="AD2394" s="124"/>
      <c r="AE2394" s="238"/>
      <c r="AF2394" s="239"/>
      <c r="AG2394" s="239"/>
      <c r="AH2394" s="124"/>
      <c r="AI2394" s="74"/>
      <c r="AJ2394" s="240"/>
      <c r="AL2394" s="124"/>
      <c r="AM2394" s="74"/>
      <c r="AP2394" s="125"/>
      <c r="AQ2394" s="241"/>
      <c r="AR2394" s="125"/>
      <c r="AS2394" s="125"/>
      <c r="AT2394" s="238"/>
      <c r="AU2394" s="125"/>
      <c r="AV2394" s="125"/>
      <c r="AW2394" s="125"/>
      <c r="AX2394" s="238"/>
      <c r="AY2394" s="125"/>
      <c r="AZ2394" s="125"/>
      <c r="BA2394" s="125"/>
    </row>
    <row r="2395" spans="2:53" s="123" customFormat="1">
      <c r="B2395" s="125"/>
      <c r="D2395" s="125"/>
      <c r="I2395" s="125"/>
      <c r="Z2395" s="124"/>
      <c r="AA2395" s="74"/>
      <c r="AB2395" s="240"/>
      <c r="AD2395" s="124"/>
      <c r="AE2395" s="238"/>
      <c r="AF2395" s="239"/>
      <c r="AG2395" s="239"/>
      <c r="AH2395" s="124"/>
      <c r="AI2395" s="74"/>
      <c r="AJ2395" s="240"/>
      <c r="AL2395" s="124"/>
      <c r="AM2395" s="74"/>
      <c r="AP2395" s="125"/>
      <c r="AQ2395" s="241"/>
      <c r="AR2395" s="125"/>
      <c r="AS2395" s="125"/>
      <c r="AT2395" s="238"/>
      <c r="AU2395" s="125"/>
      <c r="AV2395" s="125"/>
      <c r="AW2395" s="125"/>
      <c r="AX2395" s="238"/>
      <c r="AY2395" s="125"/>
      <c r="AZ2395" s="125"/>
      <c r="BA2395" s="125"/>
    </row>
    <row r="2396" spans="2:53" s="123" customFormat="1">
      <c r="B2396" s="125"/>
      <c r="D2396" s="125"/>
      <c r="I2396" s="125"/>
      <c r="Z2396" s="124"/>
      <c r="AA2396" s="74"/>
      <c r="AB2396" s="240"/>
      <c r="AD2396" s="124"/>
      <c r="AE2396" s="238"/>
      <c r="AF2396" s="239"/>
      <c r="AG2396" s="239"/>
      <c r="AH2396" s="124"/>
      <c r="AI2396" s="74"/>
      <c r="AJ2396" s="240"/>
      <c r="AL2396" s="124"/>
      <c r="AM2396" s="74"/>
      <c r="AP2396" s="125"/>
      <c r="AQ2396" s="241"/>
      <c r="AR2396" s="125"/>
      <c r="AS2396" s="125"/>
      <c r="AT2396" s="238"/>
      <c r="AU2396" s="125"/>
      <c r="AV2396" s="125"/>
      <c r="AW2396" s="125"/>
      <c r="AX2396" s="238"/>
      <c r="AY2396" s="125"/>
      <c r="AZ2396" s="125"/>
      <c r="BA2396" s="125"/>
    </row>
    <row r="2397" spans="2:53" s="123" customFormat="1">
      <c r="B2397" s="125"/>
      <c r="D2397" s="125"/>
      <c r="I2397" s="125"/>
      <c r="Z2397" s="124"/>
      <c r="AA2397" s="74"/>
      <c r="AB2397" s="240"/>
      <c r="AD2397" s="124"/>
      <c r="AE2397" s="238"/>
      <c r="AF2397" s="239"/>
      <c r="AG2397" s="239"/>
      <c r="AH2397" s="124"/>
      <c r="AI2397" s="74"/>
      <c r="AJ2397" s="240"/>
      <c r="AL2397" s="124"/>
      <c r="AM2397" s="74"/>
      <c r="AP2397" s="125"/>
      <c r="AQ2397" s="241"/>
      <c r="AR2397" s="125"/>
      <c r="AS2397" s="125"/>
      <c r="AT2397" s="238"/>
      <c r="AU2397" s="125"/>
      <c r="AV2397" s="125"/>
      <c r="AW2397" s="125"/>
      <c r="AX2397" s="238"/>
      <c r="AY2397" s="125"/>
      <c r="AZ2397" s="125"/>
      <c r="BA2397" s="125"/>
    </row>
    <row r="2398" spans="2:53" s="123" customFormat="1">
      <c r="B2398" s="125"/>
      <c r="D2398" s="125"/>
      <c r="I2398" s="125"/>
      <c r="Z2398" s="124"/>
      <c r="AA2398" s="74"/>
      <c r="AB2398" s="240"/>
      <c r="AD2398" s="124"/>
      <c r="AE2398" s="238"/>
      <c r="AF2398" s="239"/>
      <c r="AG2398" s="239"/>
      <c r="AH2398" s="124"/>
      <c r="AI2398" s="74"/>
      <c r="AJ2398" s="240"/>
      <c r="AL2398" s="124"/>
      <c r="AM2398" s="74"/>
      <c r="AP2398" s="125"/>
      <c r="AQ2398" s="241"/>
      <c r="AR2398" s="125"/>
      <c r="AS2398" s="125"/>
      <c r="AT2398" s="238"/>
      <c r="AU2398" s="125"/>
      <c r="AV2398" s="125"/>
      <c r="AW2398" s="125"/>
      <c r="AX2398" s="238"/>
      <c r="AY2398" s="125"/>
      <c r="AZ2398" s="125"/>
      <c r="BA2398" s="125"/>
    </row>
    <row r="2399" spans="2:53" s="123" customFormat="1">
      <c r="B2399" s="125"/>
      <c r="D2399" s="125"/>
      <c r="I2399" s="125"/>
      <c r="Z2399" s="124"/>
      <c r="AA2399" s="74"/>
      <c r="AB2399" s="240"/>
      <c r="AD2399" s="124"/>
      <c r="AE2399" s="238"/>
      <c r="AF2399" s="239"/>
      <c r="AG2399" s="239"/>
      <c r="AH2399" s="124"/>
      <c r="AI2399" s="74"/>
      <c r="AJ2399" s="240"/>
      <c r="AL2399" s="124"/>
      <c r="AM2399" s="74"/>
      <c r="AP2399" s="125"/>
      <c r="AQ2399" s="241"/>
      <c r="AR2399" s="125"/>
      <c r="AS2399" s="125"/>
      <c r="AT2399" s="238"/>
      <c r="AU2399" s="125"/>
      <c r="AV2399" s="125"/>
      <c r="AW2399" s="125"/>
      <c r="AX2399" s="238"/>
      <c r="AY2399" s="125"/>
      <c r="AZ2399" s="125"/>
      <c r="BA2399" s="125"/>
    </row>
    <row r="2400" spans="2:53" s="123" customFormat="1">
      <c r="B2400" s="125"/>
      <c r="D2400" s="125"/>
      <c r="I2400" s="125"/>
      <c r="Z2400" s="124"/>
      <c r="AA2400" s="74"/>
      <c r="AB2400" s="240"/>
      <c r="AD2400" s="124"/>
      <c r="AE2400" s="238"/>
      <c r="AF2400" s="239"/>
      <c r="AG2400" s="239"/>
      <c r="AH2400" s="124"/>
      <c r="AI2400" s="74"/>
      <c r="AJ2400" s="240"/>
      <c r="AL2400" s="124"/>
      <c r="AM2400" s="74"/>
      <c r="AP2400" s="125"/>
      <c r="AQ2400" s="241"/>
      <c r="AR2400" s="125"/>
      <c r="AS2400" s="125"/>
      <c r="AT2400" s="238"/>
      <c r="AU2400" s="125"/>
      <c r="AV2400" s="125"/>
      <c r="AW2400" s="125"/>
      <c r="AX2400" s="238"/>
      <c r="AY2400" s="125"/>
      <c r="AZ2400" s="125"/>
      <c r="BA2400" s="125"/>
    </row>
    <row r="2401" spans="2:53" s="123" customFormat="1">
      <c r="B2401" s="125"/>
      <c r="D2401" s="125"/>
      <c r="I2401" s="125"/>
      <c r="Z2401" s="124"/>
      <c r="AA2401" s="74"/>
      <c r="AB2401" s="240"/>
      <c r="AD2401" s="124"/>
      <c r="AE2401" s="238"/>
      <c r="AF2401" s="239"/>
      <c r="AG2401" s="239"/>
      <c r="AH2401" s="124"/>
      <c r="AI2401" s="74"/>
      <c r="AJ2401" s="240"/>
      <c r="AL2401" s="124"/>
      <c r="AM2401" s="74"/>
      <c r="AP2401" s="125"/>
      <c r="AQ2401" s="241"/>
      <c r="AR2401" s="125"/>
      <c r="AS2401" s="125"/>
      <c r="AT2401" s="238"/>
      <c r="AU2401" s="125"/>
      <c r="AV2401" s="125"/>
      <c r="AW2401" s="125"/>
      <c r="AX2401" s="238"/>
      <c r="AY2401" s="125"/>
      <c r="AZ2401" s="125"/>
      <c r="BA2401" s="125"/>
    </row>
    <row r="2402" spans="2:53" s="123" customFormat="1">
      <c r="B2402" s="125"/>
      <c r="D2402" s="125"/>
      <c r="I2402" s="125"/>
      <c r="Z2402" s="124"/>
      <c r="AA2402" s="74"/>
      <c r="AB2402" s="240"/>
      <c r="AD2402" s="124"/>
      <c r="AE2402" s="238"/>
      <c r="AF2402" s="239"/>
      <c r="AG2402" s="239"/>
      <c r="AH2402" s="124"/>
      <c r="AI2402" s="74"/>
      <c r="AJ2402" s="240"/>
      <c r="AL2402" s="124"/>
      <c r="AM2402" s="74"/>
      <c r="AP2402" s="125"/>
      <c r="AQ2402" s="241"/>
      <c r="AR2402" s="125"/>
      <c r="AS2402" s="125"/>
      <c r="AT2402" s="238"/>
      <c r="AU2402" s="125"/>
      <c r="AV2402" s="125"/>
      <c r="AW2402" s="125"/>
      <c r="AX2402" s="238"/>
      <c r="AY2402" s="125"/>
      <c r="AZ2402" s="125"/>
      <c r="BA2402" s="125"/>
    </row>
    <row r="2403" spans="2:53" s="123" customFormat="1">
      <c r="B2403" s="125"/>
      <c r="D2403" s="125"/>
      <c r="I2403" s="125"/>
      <c r="Z2403" s="124"/>
      <c r="AA2403" s="74"/>
      <c r="AB2403" s="240"/>
      <c r="AD2403" s="124"/>
      <c r="AE2403" s="238"/>
      <c r="AF2403" s="239"/>
      <c r="AG2403" s="239"/>
      <c r="AH2403" s="124"/>
      <c r="AI2403" s="74"/>
      <c r="AJ2403" s="240"/>
      <c r="AL2403" s="124"/>
      <c r="AM2403" s="74"/>
      <c r="AP2403" s="125"/>
      <c r="AQ2403" s="241"/>
      <c r="AR2403" s="125"/>
      <c r="AS2403" s="125"/>
      <c r="AT2403" s="238"/>
      <c r="AU2403" s="125"/>
      <c r="AV2403" s="125"/>
      <c r="AW2403" s="125"/>
      <c r="AX2403" s="238"/>
      <c r="AY2403" s="125"/>
      <c r="AZ2403" s="125"/>
      <c r="BA2403" s="125"/>
    </row>
    <row r="2404" spans="2:53" s="123" customFormat="1">
      <c r="B2404" s="125"/>
      <c r="D2404" s="125"/>
      <c r="I2404" s="125"/>
      <c r="Z2404" s="124"/>
      <c r="AA2404" s="74"/>
      <c r="AB2404" s="240"/>
      <c r="AD2404" s="124"/>
      <c r="AE2404" s="238"/>
      <c r="AF2404" s="239"/>
      <c r="AG2404" s="239"/>
      <c r="AH2404" s="124"/>
      <c r="AI2404" s="74"/>
      <c r="AJ2404" s="240"/>
      <c r="AL2404" s="124"/>
      <c r="AM2404" s="74"/>
      <c r="AP2404" s="125"/>
      <c r="AQ2404" s="241"/>
      <c r="AR2404" s="125"/>
      <c r="AS2404" s="125"/>
      <c r="AT2404" s="238"/>
      <c r="AU2404" s="125"/>
      <c r="AV2404" s="125"/>
      <c r="AW2404" s="125"/>
      <c r="AX2404" s="238"/>
      <c r="AY2404" s="125"/>
      <c r="AZ2404" s="125"/>
      <c r="BA2404" s="125"/>
    </row>
    <row r="2405" spans="2:53" s="123" customFormat="1">
      <c r="B2405" s="125"/>
      <c r="D2405" s="125"/>
      <c r="I2405" s="125"/>
      <c r="Z2405" s="124"/>
      <c r="AA2405" s="74"/>
      <c r="AB2405" s="240"/>
      <c r="AD2405" s="124"/>
      <c r="AE2405" s="238"/>
      <c r="AF2405" s="239"/>
      <c r="AG2405" s="239"/>
      <c r="AH2405" s="124"/>
      <c r="AI2405" s="74"/>
      <c r="AJ2405" s="240"/>
      <c r="AL2405" s="124"/>
      <c r="AM2405" s="74"/>
      <c r="AP2405" s="125"/>
      <c r="AQ2405" s="241"/>
      <c r="AR2405" s="125"/>
      <c r="AS2405" s="125"/>
      <c r="AT2405" s="238"/>
      <c r="AU2405" s="125"/>
      <c r="AV2405" s="125"/>
      <c r="AW2405" s="125"/>
      <c r="AX2405" s="238"/>
      <c r="AY2405" s="125"/>
      <c r="AZ2405" s="125"/>
      <c r="BA2405" s="125"/>
    </row>
    <row r="2406" spans="2:53" s="123" customFormat="1">
      <c r="B2406" s="125"/>
      <c r="D2406" s="125"/>
      <c r="I2406" s="125"/>
      <c r="Z2406" s="124"/>
      <c r="AA2406" s="74"/>
      <c r="AB2406" s="240"/>
      <c r="AD2406" s="124"/>
      <c r="AE2406" s="238"/>
      <c r="AF2406" s="239"/>
      <c r="AG2406" s="239"/>
      <c r="AH2406" s="124"/>
      <c r="AI2406" s="74"/>
      <c r="AJ2406" s="240"/>
      <c r="AL2406" s="124"/>
      <c r="AM2406" s="74"/>
      <c r="AP2406" s="125"/>
      <c r="AQ2406" s="241"/>
      <c r="AR2406" s="125"/>
      <c r="AS2406" s="125"/>
      <c r="AT2406" s="238"/>
      <c r="AU2406" s="125"/>
      <c r="AV2406" s="125"/>
      <c r="AW2406" s="125"/>
      <c r="AX2406" s="238"/>
      <c r="AY2406" s="125"/>
      <c r="AZ2406" s="125"/>
      <c r="BA2406" s="125"/>
    </row>
    <row r="2407" spans="2:53" s="123" customFormat="1">
      <c r="B2407" s="125"/>
      <c r="D2407" s="125"/>
      <c r="I2407" s="125"/>
      <c r="Z2407" s="124"/>
      <c r="AA2407" s="74"/>
      <c r="AB2407" s="240"/>
      <c r="AD2407" s="124"/>
      <c r="AE2407" s="238"/>
      <c r="AF2407" s="239"/>
      <c r="AG2407" s="239"/>
      <c r="AH2407" s="124"/>
      <c r="AI2407" s="74"/>
      <c r="AJ2407" s="240"/>
      <c r="AL2407" s="124"/>
      <c r="AM2407" s="74"/>
      <c r="AP2407" s="125"/>
      <c r="AQ2407" s="241"/>
      <c r="AR2407" s="125"/>
      <c r="AS2407" s="125"/>
      <c r="AT2407" s="238"/>
      <c r="AU2407" s="125"/>
      <c r="AV2407" s="125"/>
      <c r="AW2407" s="125"/>
      <c r="AX2407" s="238"/>
      <c r="AY2407" s="125"/>
      <c r="AZ2407" s="125"/>
      <c r="BA2407" s="125"/>
    </row>
    <row r="2408" spans="2:53" s="123" customFormat="1">
      <c r="B2408" s="125"/>
      <c r="D2408" s="125"/>
      <c r="I2408" s="125"/>
      <c r="Z2408" s="124"/>
      <c r="AA2408" s="74"/>
      <c r="AB2408" s="240"/>
      <c r="AD2408" s="124"/>
      <c r="AE2408" s="238"/>
      <c r="AF2408" s="239"/>
      <c r="AG2408" s="239"/>
      <c r="AH2408" s="124"/>
      <c r="AI2408" s="74"/>
      <c r="AJ2408" s="240"/>
      <c r="AL2408" s="124"/>
      <c r="AM2408" s="74"/>
      <c r="AP2408" s="125"/>
      <c r="AQ2408" s="241"/>
      <c r="AR2408" s="125"/>
      <c r="AS2408" s="125"/>
      <c r="AT2408" s="238"/>
      <c r="AU2408" s="125"/>
      <c r="AV2408" s="125"/>
      <c r="AW2408" s="125"/>
      <c r="AX2408" s="238"/>
      <c r="AY2408" s="125"/>
      <c r="AZ2408" s="125"/>
      <c r="BA2408" s="125"/>
    </row>
    <row r="2409" spans="2:53" s="123" customFormat="1">
      <c r="B2409" s="125"/>
      <c r="D2409" s="125"/>
      <c r="I2409" s="125"/>
      <c r="Z2409" s="124"/>
      <c r="AA2409" s="74"/>
      <c r="AB2409" s="240"/>
      <c r="AD2409" s="124"/>
      <c r="AE2409" s="238"/>
      <c r="AF2409" s="239"/>
      <c r="AG2409" s="239"/>
      <c r="AH2409" s="124"/>
      <c r="AI2409" s="74"/>
      <c r="AJ2409" s="240"/>
      <c r="AL2409" s="124"/>
      <c r="AM2409" s="74"/>
      <c r="AP2409" s="125"/>
      <c r="AQ2409" s="241"/>
      <c r="AR2409" s="125"/>
      <c r="AS2409" s="125"/>
      <c r="AT2409" s="238"/>
      <c r="AU2409" s="125"/>
      <c r="AV2409" s="125"/>
      <c r="AW2409" s="125"/>
      <c r="AX2409" s="238"/>
      <c r="AY2409" s="125"/>
      <c r="AZ2409" s="125"/>
      <c r="BA2409" s="125"/>
    </row>
    <row r="2410" spans="2:53" s="123" customFormat="1">
      <c r="B2410" s="125"/>
      <c r="D2410" s="125"/>
      <c r="I2410" s="125"/>
      <c r="Z2410" s="124"/>
      <c r="AA2410" s="74"/>
      <c r="AB2410" s="240"/>
      <c r="AD2410" s="124"/>
      <c r="AE2410" s="238"/>
      <c r="AF2410" s="239"/>
      <c r="AG2410" s="239"/>
      <c r="AH2410" s="124"/>
      <c r="AI2410" s="74"/>
      <c r="AJ2410" s="240"/>
      <c r="AL2410" s="124"/>
      <c r="AM2410" s="74"/>
      <c r="AP2410" s="125"/>
      <c r="AQ2410" s="241"/>
      <c r="AR2410" s="125"/>
      <c r="AS2410" s="125"/>
      <c r="AT2410" s="238"/>
      <c r="AU2410" s="125"/>
      <c r="AV2410" s="125"/>
      <c r="AW2410" s="125"/>
      <c r="AX2410" s="238"/>
      <c r="AY2410" s="125"/>
      <c r="AZ2410" s="125"/>
      <c r="BA2410" s="125"/>
    </row>
    <row r="2411" spans="2:53" s="123" customFormat="1">
      <c r="B2411" s="125"/>
      <c r="D2411" s="125"/>
      <c r="I2411" s="125"/>
      <c r="Z2411" s="124"/>
      <c r="AA2411" s="74"/>
      <c r="AB2411" s="240"/>
      <c r="AD2411" s="124"/>
      <c r="AE2411" s="238"/>
      <c r="AF2411" s="239"/>
      <c r="AG2411" s="239"/>
      <c r="AH2411" s="124"/>
      <c r="AI2411" s="74"/>
      <c r="AJ2411" s="240"/>
      <c r="AL2411" s="124"/>
      <c r="AM2411" s="74"/>
      <c r="AP2411" s="125"/>
      <c r="AQ2411" s="241"/>
      <c r="AR2411" s="125"/>
      <c r="AS2411" s="125"/>
      <c r="AT2411" s="238"/>
      <c r="AU2411" s="125"/>
      <c r="AV2411" s="125"/>
      <c r="AW2411" s="125"/>
      <c r="AX2411" s="238"/>
      <c r="AY2411" s="125"/>
      <c r="AZ2411" s="125"/>
      <c r="BA2411" s="125"/>
    </row>
    <row r="2412" spans="2:53" s="123" customFormat="1">
      <c r="B2412" s="125"/>
      <c r="D2412" s="125"/>
      <c r="I2412" s="125"/>
      <c r="Z2412" s="124"/>
      <c r="AA2412" s="74"/>
      <c r="AB2412" s="240"/>
      <c r="AD2412" s="124"/>
      <c r="AE2412" s="238"/>
      <c r="AF2412" s="239"/>
      <c r="AG2412" s="239"/>
      <c r="AH2412" s="124"/>
      <c r="AI2412" s="74"/>
      <c r="AJ2412" s="240"/>
      <c r="AL2412" s="124"/>
      <c r="AM2412" s="74"/>
      <c r="AP2412" s="125"/>
      <c r="AQ2412" s="241"/>
      <c r="AR2412" s="125"/>
      <c r="AS2412" s="125"/>
      <c r="AT2412" s="238"/>
      <c r="AU2412" s="125"/>
      <c r="AV2412" s="125"/>
      <c r="AW2412" s="125"/>
      <c r="AX2412" s="238"/>
      <c r="AY2412" s="125"/>
      <c r="AZ2412" s="125"/>
      <c r="BA2412" s="125"/>
    </row>
    <row r="2413" spans="2:53" s="123" customFormat="1">
      <c r="B2413" s="125"/>
      <c r="D2413" s="125"/>
      <c r="I2413" s="125"/>
      <c r="Z2413" s="124"/>
      <c r="AA2413" s="74"/>
      <c r="AB2413" s="240"/>
      <c r="AD2413" s="124"/>
      <c r="AE2413" s="238"/>
      <c r="AF2413" s="239"/>
      <c r="AG2413" s="239"/>
      <c r="AH2413" s="124"/>
      <c r="AI2413" s="74"/>
      <c r="AJ2413" s="240"/>
      <c r="AL2413" s="124"/>
      <c r="AM2413" s="74"/>
      <c r="AP2413" s="125"/>
      <c r="AQ2413" s="241"/>
      <c r="AR2413" s="125"/>
      <c r="AS2413" s="125"/>
      <c r="AT2413" s="238"/>
      <c r="AU2413" s="125"/>
      <c r="AV2413" s="125"/>
      <c r="AW2413" s="125"/>
      <c r="AX2413" s="238"/>
      <c r="AY2413" s="125"/>
      <c r="AZ2413" s="125"/>
      <c r="BA2413" s="125"/>
    </row>
    <row r="2414" spans="2:53" s="123" customFormat="1">
      <c r="B2414" s="125"/>
      <c r="D2414" s="125"/>
      <c r="I2414" s="125"/>
      <c r="Z2414" s="124"/>
      <c r="AA2414" s="74"/>
      <c r="AB2414" s="240"/>
      <c r="AD2414" s="124"/>
      <c r="AE2414" s="238"/>
      <c r="AF2414" s="239"/>
      <c r="AG2414" s="239"/>
      <c r="AH2414" s="124"/>
      <c r="AI2414" s="74"/>
      <c r="AJ2414" s="240"/>
      <c r="AL2414" s="124"/>
      <c r="AM2414" s="74"/>
      <c r="AP2414" s="125"/>
      <c r="AQ2414" s="241"/>
      <c r="AR2414" s="125"/>
      <c r="AS2414" s="125"/>
      <c r="AT2414" s="238"/>
      <c r="AU2414" s="125"/>
      <c r="AV2414" s="125"/>
      <c r="AW2414" s="125"/>
      <c r="AX2414" s="238"/>
      <c r="AY2414" s="125"/>
      <c r="AZ2414" s="125"/>
      <c r="BA2414" s="125"/>
    </row>
    <row r="2415" spans="2:53" s="123" customFormat="1">
      <c r="B2415" s="125"/>
      <c r="D2415" s="125"/>
      <c r="I2415" s="125"/>
      <c r="Z2415" s="124"/>
      <c r="AA2415" s="74"/>
      <c r="AB2415" s="240"/>
      <c r="AD2415" s="124"/>
      <c r="AE2415" s="238"/>
      <c r="AF2415" s="239"/>
      <c r="AG2415" s="239"/>
      <c r="AH2415" s="124"/>
      <c r="AI2415" s="74"/>
      <c r="AJ2415" s="240"/>
      <c r="AL2415" s="124"/>
      <c r="AM2415" s="74"/>
      <c r="AP2415" s="125"/>
      <c r="AQ2415" s="241"/>
      <c r="AR2415" s="125"/>
      <c r="AS2415" s="125"/>
      <c r="AT2415" s="238"/>
      <c r="AU2415" s="125"/>
      <c r="AV2415" s="125"/>
      <c r="AW2415" s="125"/>
      <c r="AX2415" s="238"/>
      <c r="AY2415" s="125"/>
      <c r="AZ2415" s="125"/>
      <c r="BA2415" s="125"/>
    </row>
    <row r="2416" spans="2:53" s="123" customFormat="1">
      <c r="B2416" s="125"/>
      <c r="D2416" s="125"/>
      <c r="I2416" s="125"/>
      <c r="Z2416" s="124"/>
      <c r="AA2416" s="74"/>
      <c r="AB2416" s="240"/>
      <c r="AD2416" s="124"/>
      <c r="AE2416" s="238"/>
      <c r="AF2416" s="239"/>
      <c r="AG2416" s="239"/>
      <c r="AH2416" s="124"/>
      <c r="AI2416" s="74"/>
      <c r="AJ2416" s="240"/>
      <c r="AL2416" s="124"/>
      <c r="AM2416" s="74"/>
      <c r="AP2416" s="125"/>
      <c r="AQ2416" s="241"/>
      <c r="AR2416" s="125"/>
      <c r="AS2416" s="125"/>
      <c r="AT2416" s="238"/>
      <c r="AU2416" s="125"/>
      <c r="AV2416" s="125"/>
      <c r="AW2416" s="125"/>
      <c r="AX2416" s="238"/>
      <c r="AY2416" s="125"/>
      <c r="AZ2416" s="125"/>
      <c r="BA2416" s="125"/>
    </row>
    <row r="2417" spans="2:53" s="123" customFormat="1">
      <c r="B2417" s="125"/>
      <c r="D2417" s="125"/>
      <c r="I2417" s="125"/>
      <c r="Z2417" s="124"/>
      <c r="AA2417" s="74"/>
      <c r="AB2417" s="240"/>
      <c r="AD2417" s="124"/>
      <c r="AE2417" s="238"/>
      <c r="AF2417" s="239"/>
      <c r="AG2417" s="239"/>
      <c r="AH2417" s="124"/>
      <c r="AI2417" s="74"/>
      <c r="AJ2417" s="240"/>
      <c r="AL2417" s="124"/>
      <c r="AM2417" s="74"/>
      <c r="AP2417" s="125"/>
      <c r="AQ2417" s="241"/>
      <c r="AR2417" s="125"/>
      <c r="AS2417" s="125"/>
      <c r="AT2417" s="238"/>
      <c r="AU2417" s="125"/>
      <c r="AV2417" s="125"/>
      <c r="AW2417" s="125"/>
      <c r="AX2417" s="238"/>
      <c r="AY2417" s="125"/>
      <c r="AZ2417" s="125"/>
      <c r="BA2417" s="125"/>
    </row>
    <row r="2418" spans="2:53" s="123" customFormat="1">
      <c r="B2418" s="125"/>
      <c r="D2418" s="125"/>
      <c r="I2418" s="125"/>
      <c r="Z2418" s="124"/>
      <c r="AA2418" s="74"/>
      <c r="AB2418" s="240"/>
      <c r="AD2418" s="124"/>
      <c r="AE2418" s="238"/>
      <c r="AF2418" s="239"/>
      <c r="AG2418" s="239"/>
      <c r="AH2418" s="124"/>
      <c r="AI2418" s="74"/>
      <c r="AJ2418" s="240"/>
      <c r="AL2418" s="124"/>
      <c r="AM2418" s="74"/>
      <c r="AP2418" s="125"/>
      <c r="AQ2418" s="241"/>
      <c r="AR2418" s="125"/>
      <c r="AS2418" s="125"/>
      <c r="AT2418" s="238"/>
      <c r="AU2418" s="125"/>
      <c r="AV2418" s="125"/>
      <c r="AW2418" s="125"/>
      <c r="AX2418" s="238"/>
      <c r="AY2418" s="125"/>
      <c r="AZ2418" s="125"/>
      <c r="BA2418" s="125"/>
    </row>
    <row r="2419" spans="2:53" s="123" customFormat="1">
      <c r="B2419" s="125"/>
      <c r="D2419" s="125"/>
      <c r="I2419" s="125"/>
      <c r="Z2419" s="124"/>
      <c r="AA2419" s="74"/>
      <c r="AB2419" s="240"/>
      <c r="AD2419" s="124"/>
      <c r="AE2419" s="238"/>
      <c r="AF2419" s="239"/>
      <c r="AG2419" s="239"/>
      <c r="AH2419" s="124"/>
      <c r="AI2419" s="74"/>
      <c r="AJ2419" s="240"/>
      <c r="AL2419" s="124"/>
      <c r="AM2419" s="74"/>
      <c r="AP2419" s="125"/>
      <c r="AQ2419" s="241"/>
      <c r="AR2419" s="125"/>
      <c r="AS2419" s="125"/>
      <c r="AT2419" s="238"/>
      <c r="AU2419" s="125"/>
      <c r="AV2419" s="125"/>
      <c r="AW2419" s="125"/>
      <c r="AX2419" s="238"/>
      <c r="AY2419" s="125"/>
      <c r="AZ2419" s="125"/>
      <c r="BA2419" s="125"/>
    </row>
    <row r="2420" spans="2:53" s="123" customFormat="1">
      <c r="B2420" s="125"/>
      <c r="D2420" s="125"/>
      <c r="I2420" s="125"/>
      <c r="Z2420" s="124"/>
      <c r="AA2420" s="74"/>
      <c r="AB2420" s="240"/>
      <c r="AD2420" s="124"/>
      <c r="AE2420" s="238"/>
      <c r="AF2420" s="239"/>
      <c r="AG2420" s="239"/>
      <c r="AH2420" s="124"/>
      <c r="AI2420" s="74"/>
      <c r="AJ2420" s="240"/>
      <c r="AL2420" s="124"/>
      <c r="AM2420" s="74"/>
      <c r="AP2420" s="125"/>
      <c r="AQ2420" s="241"/>
      <c r="AR2420" s="125"/>
      <c r="AS2420" s="125"/>
      <c r="AT2420" s="238"/>
      <c r="AU2420" s="125"/>
      <c r="AV2420" s="125"/>
      <c r="AW2420" s="125"/>
      <c r="AX2420" s="238"/>
      <c r="AY2420" s="125"/>
      <c r="AZ2420" s="125"/>
      <c r="BA2420" s="125"/>
    </row>
    <row r="2421" spans="2:53" s="123" customFormat="1">
      <c r="B2421" s="125"/>
      <c r="D2421" s="125"/>
      <c r="I2421" s="125"/>
      <c r="Z2421" s="124"/>
      <c r="AA2421" s="74"/>
      <c r="AB2421" s="240"/>
      <c r="AD2421" s="124"/>
      <c r="AE2421" s="238"/>
      <c r="AF2421" s="239"/>
      <c r="AG2421" s="239"/>
      <c r="AH2421" s="124"/>
      <c r="AI2421" s="74"/>
      <c r="AJ2421" s="240"/>
      <c r="AL2421" s="124"/>
      <c r="AM2421" s="74"/>
      <c r="AP2421" s="125"/>
      <c r="AQ2421" s="241"/>
      <c r="AR2421" s="125"/>
      <c r="AS2421" s="125"/>
      <c r="AT2421" s="238"/>
      <c r="AU2421" s="125"/>
      <c r="AV2421" s="125"/>
      <c r="AW2421" s="125"/>
      <c r="AX2421" s="238"/>
      <c r="AY2421" s="125"/>
      <c r="AZ2421" s="125"/>
      <c r="BA2421" s="125"/>
    </row>
    <row r="2422" spans="2:53" s="123" customFormat="1">
      <c r="B2422" s="125"/>
      <c r="D2422" s="125"/>
      <c r="I2422" s="125"/>
      <c r="Z2422" s="124"/>
      <c r="AA2422" s="74"/>
      <c r="AB2422" s="240"/>
      <c r="AD2422" s="124"/>
      <c r="AE2422" s="238"/>
      <c r="AF2422" s="239"/>
      <c r="AG2422" s="239"/>
      <c r="AH2422" s="124"/>
      <c r="AI2422" s="74"/>
      <c r="AJ2422" s="240"/>
      <c r="AL2422" s="124"/>
      <c r="AM2422" s="74"/>
      <c r="AP2422" s="125"/>
      <c r="AQ2422" s="241"/>
      <c r="AR2422" s="125"/>
      <c r="AS2422" s="125"/>
      <c r="AT2422" s="238"/>
      <c r="AU2422" s="125"/>
      <c r="AV2422" s="125"/>
      <c r="AW2422" s="125"/>
      <c r="AX2422" s="238"/>
      <c r="AY2422" s="125"/>
      <c r="AZ2422" s="125"/>
      <c r="BA2422" s="125"/>
    </row>
    <row r="2423" spans="2:53" s="123" customFormat="1">
      <c r="B2423" s="125"/>
      <c r="D2423" s="125"/>
      <c r="I2423" s="125"/>
      <c r="Z2423" s="124"/>
      <c r="AA2423" s="74"/>
      <c r="AB2423" s="240"/>
      <c r="AD2423" s="124"/>
      <c r="AE2423" s="238"/>
      <c r="AF2423" s="239"/>
      <c r="AG2423" s="239"/>
      <c r="AH2423" s="124"/>
      <c r="AI2423" s="74"/>
      <c r="AJ2423" s="240"/>
      <c r="AL2423" s="124"/>
      <c r="AM2423" s="74"/>
      <c r="AP2423" s="125"/>
      <c r="AQ2423" s="241"/>
      <c r="AR2423" s="125"/>
      <c r="AS2423" s="125"/>
      <c r="AT2423" s="238"/>
      <c r="AU2423" s="125"/>
      <c r="AV2423" s="125"/>
      <c r="AW2423" s="125"/>
      <c r="AX2423" s="238"/>
      <c r="AY2423" s="125"/>
      <c r="AZ2423" s="125"/>
      <c r="BA2423" s="125"/>
    </row>
    <row r="2424" spans="2:53" s="123" customFormat="1">
      <c r="B2424" s="125"/>
      <c r="D2424" s="125"/>
      <c r="I2424" s="125"/>
      <c r="Z2424" s="124"/>
      <c r="AA2424" s="74"/>
      <c r="AB2424" s="240"/>
      <c r="AD2424" s="124"/>
      <c r="AE2424" s="238"/>
      <c r="AF2424" s="239"/>
      <c r="AG2424" s="239"/>
      <c r="AH2424" s="124"/>
      <c r="AI2424" s="74"/>
      <c r="AJ2424" s="240"/>
      <c r="AL2424" s="124"/>
      <c r="AM2424" s="74"/>
      <c r="AP2424" s="125"/>
      <c r="AQ2424" s="241"/>
      <c r="AR2424" s="125"/>
      <c r="AS2424" s="125"/>
      <c r="AT2424" s="238"/>
      <c r="AU2424" s="125"/>
      <c r="AV2424" s="125"/>
      <c r="AW2424" s="125"/>
      <c r="AX2424" s="238"/>
      <c r="AY2424" s="125"/>
      <c r="AZ2424" s="125"/>
      <c r="BA2424" s="125"/>
    </row>
    <row r="2425" spans="2:53" s="123" customFormat="1">
      <c r="B2425" s="125"/>
      <c r="D2425" s="125"/>
      <c r="I2425" s="125"/>
      <c r="Z2425" s="124"/>
      <c r="AA2425" s="74"/>
      <c r="AB2425" s="240"/>
      <c r="AD2425" s="124"/>
      <c r="AE2425" s="238"/>
      <c r="AF2425" s="239"/>
      <c r="AG2425" s="239"/>
      <c r="AH2425" s="124"/>
      <c r="AI2425" s="74"/>
      <c r="AJ2425" s="240"/>
      <c r="AL2425" s="124"/>
      <c r="AM2425" s="74"/>
      <c r="AP2425" s="125"/>
      <c r="AQ2425" s="241"/>
      <c r="AR2425" s="125"/>
      <c r="AS2425" s="125"/>
      <c r="AT2425" s="238"/>
      <c r="AU2425" s="125"/>
      <c r="AV2425" s="125"/>
      <c r="AW2425" s="125"/>
      <c r="AX2425" s="238"/>
      <c r="AY2425" s="125"/>
      <c r="AZ2425" s="125"/>
      <c r="BA2425" s="125"/>
    </row>
    <row r="2426" spans="2:53" s="123" customFormat="1">
      <c r="B2426" s="125"/>
      <c r="D2426" s="125"/>
      <c r="I2426" s="125"/>
      <c r="Z2426" s="124"/>
      <c r="AA2426" s="74"/>
      <c r="AB2426" s="240"/>
      <c r="AD2426" s="124"/>
      <c r="AE2426" s="238"/>
      <c r="AF2426" s="239"/>
      <c r="AG2426" s="239"/>
      <c r="AH2426" s="124"/>
      <c r="AI2426" s="74"/>
      <c r="AJ2426" s="240"/>
      <c r="AL2426" s="124"/>
      <c r="AM2426" s="74"/>
      <c r="AP2426" s="125"/>
      <c r="AQ2426" s="241"/>
      <c r="AR2426" s="125"/>
      <c r="AS2426" s="125"/>
      <c r="AT2426" s="238"/>
      <c r="AU2426" s="125"/>
      <c r="AV2426" s="125"/>
      <c r="AW2426" s="125"/>
      <c r="AX2426" s="238"/>
      <c r="AY2426" s="125"/>
      <c r="AZ2426" s="125"/>
      <c r="BA2426" s="125"/>
    </row>
    <row r="2427" spans="2:53" s="123" customFormat="1">
      <c r="B2427" s="125"/>
      <c r="D2427" s="125"/>
      <c r="I2427" s="125"/>
      <c r="Z2427" s="124"/>
      <c r="AA2427" s="74"/>
      <c r="AB2427" s="240"/>
      <c r="AD2427" s="124"/>
      <c r="AE2427" s="238"/>
      <c r="AF2427" s="239"/>
      <c r="AG2427" s="239"/>
      <c r="AH2427" s="124"/>
      <c r="AI2427" s="74"/>
      <c r="AJ2427" s="240"/>
      <c r="AL2427" s="124"/>
      <c r="AM2427" s="74"/>
      <c r="AP2427" s="125"/>
      <c r="AQ2427" s="241"/>
      <c r="AR2427" s="125"/>
      <c r="AS2427" s="125"/>
      <c r="AT2427" s="238"/>
      <c r="AU2427" s="125"/>
      <c r="AV2427" s="125"/>
      <c r="AW2427" s="125"/>
      <c r="AX2427" s="238"/>
      <c r="AY2427" s="125"/>
      <c r="AZ2427" s="125"/>
      <c r="BA2427" s="125"/>
    </row>
    <row r="2428" spans="2:53" s="123" customFormat="1">
      <c r="B2428" s="125"/>
      <c r="D2428" s="125"/>
      <c r="I2428" s="125"/>
      <c r="Z2428" s="124"/>
      <c r="AA2428" s="74"/>
      <c r="AB2428" s="240"/>
      <c r="AD2428" s="124"/>
      <c r="AE2428" s="238"/>
      <c r="AF2428" s="239"/>
      <c r="AG2428" s="239"/>
      <c r="AH2428" s="124"/>
      <c r="AI2428" s="74"/>
      <c r="AJ2428" s="240"/>
      <c r="AL2428" s="124"/>
      <c r="AM2428" s="74"/>
      <c r="AP2428" s="125"/>
      <c r="AQ2428" s="241"/>
      <c r="AR2428" s="125"/>
      <c r="AS2428" s="125"/>
      <c r="AT2428" s="238"/>
      <c r="AU2428" s="125"/>
      <c r="AV2428" s="125"/>
      <c r="AW2428" s="125"/>
      <c r="AX2428" s="238"/>
      <c r="AY2428" s="125"/>
      <c r="AZ2428" s="125"/>
      <c r="BA2428" s="125"/>
    </row>
    <row r="2429" spans="2:53" s="123" customFormat="1">
      <c r="B2429" s="125"/>
      <c r="D2429" s="125"/>
      <c r="I2429" s="125"/>
      <c r="Z2429" s="124"/>
      <c r="AA2429" s="74"/>
      <c r="AB2429" s="240"/>
      <c r="AD2429" s="124"/>
      <c r="AE2429" s="238"/>
      <c r="AF2429" s="239"/>
      <c r="AG2429" s="239"/>
      <c r="AH2429" s="124"/>
      <c r="AI2429" s="74"/>
      <c r="AJ2429" s="240"/>
      <c r="AL2429" s="124"/>
      <c r="AM2429" s="74"/>
      <c r="AP2429" s="125"/>
      <c r="AQ2429" s="241"/>
      <c r="AR2429" s="125"/>
      <c r="AS2429" s="125"/>
      <c r="AT2429" s="238"/>
      <c r="AU2429" s="125"/>
      <c r="AV2429" s="125"/>
      <c r="AW2429" s="125"/>
      <c r="AX2429" s="238"/>
      <c r="AY2429" s="125"/>
      <c r="AZ2429" s="125"/>
      <c r="BA2429" s="125"/>
    </row>
    <row r="2430" spans="2:53" s="123" customFormat="1">
      <c r="B2430" s="125"/>
      <c r="D2430" s="125"/>
      <c r="I2430" s="125"/>
      <c r="Z2430" s="124"/>
      <c r="AA2430" s="74"/>
      <c r="AB2430" s="240"/>
      <c r="AD2430" s="124"/>
      <c r="AE2430" s="238"/>
      <c r="AF2430" s="239"/>
      <c r="AG2430" s="239"/>
      <c r="AH2430" s="124"/>
      <c r="AI2430" s="74"/>
      <c r="AJ2430" s="240"/>
      <c r="AL2430" s="124"/>
      <c r="AM2430" s="74"/>
      <c r="AP2430" s="125"/>
      <c r="AQ2430" s="241"/>
      <c r="AR2430" s="125"/>
      <c r="AS2430" s="125"/>
      <c r="AT2430" s="238"/>
      <c r="AU2430" s="125"/>
      <c r="AV2430" s="125"/>
      <c r="AW2430" s="125"/>
      <c r="AX2430" s="238"/>
      <c r="AY2430" s="125"/>
      <c r="AZ2430" s="125"/>
      <c r="BA2430" s="125"/>
    </row>
    <row r="2431" spans="2:53" s="123" customFormat="1">
      <c r="B2431" s="125"/>
      <c r="D2431" s="125"/>
      <c r="I2431" s="125"/>
      <c r="Z2431" s="124"/>
      <c r="AA2431" s="74"/>
      <c r="AB2431" s="240"/>
      <c r="AD2431" s="124"/>
      <c r="AE2431" s="238"/>
      <c r="AF2431" s="239"/>
      <c r="AG2431" s="239"/>
      <c r="AH2431" s="124"/>
      <c r="AI2431" s="74"/>
      <c r="AJ2431" s="240"/>
      <c r="AL2431" s="124"/>
      <c r="AM2431" s="74"/>
      <c r="AP2431" s="125"/>
      <c r="AQ2431" s="241"/>
      <c r="AR2431" s="125"/>
      <c r="AS2431" s="125"/>
      <c r="AT2431" s="238"/>
      <c r="AU2431" s="125"/>
      <c r="AV2431" s="125"/>
      <c r="AW2431" s="125"/>
      <c r="AX2431" s="238"/>
      <c r="AY2431" s="125"/>
      <c r="AZ2431" s="125"/>
      <c r="BA2431" s="125"/>
    </row>
    <row r="2432" spans="2:53" s="123" customFormat="1">
      <c r="B2432" s="125"/>
      <c r="D2432" s="125"/>
      <c r="I2432" s="125"/>
      <c r="Z2432" s="124"/>
      <c r="AA2432" s="74"/>
      <c r="AB2432" s="240"/>
      <c r="AD2432" s="124"/>
      <c r="AE2432" s="238"/>
      <c r="AF2432" s="239"/>
      <c r="AG2432" s="239"/>
      <c r="AH2432" s="124"/>
      <c r="AI2432" s="74"/>
      <c r="AJ2432" s="240"/>
      <c r="AL2432" s="124"/>
      <c r="AM2432" s="74"/>
      <c r="AP2432" s="125"/>
      <c r="AQ2432" s="241"/>
      <c r="AR2432" s="125"/>
      <c r="AS2432" s="125"/>
      <c r="AT2432" s="238"/>
      <c r="AU2432" s="125"/>
      <c r="AV2432" s="125"/>
      <c r="AW2432" s="125"/>
      <c r="AX2432" s="238"/>
      <c r="AY2432" s="125"/>
      <c r="AZ2432" s="125"/>
      <c r="BA2432" s="125"/>
    </row>
    <row r="2433" spans="2:53" s="123" customFormat="1">
      <c r="B2433" s="125"/>
      <c r="D2433" s="125"/>
      <c r="I2433" s="125"/>
      <c r="Z2433" s="124"/>
      <c r="AA2433" s="74"/>
      <c r="AB2433" s="240"/>
      <c r="AD2433" s="124"/>
      <c r="AE2433" s="238"/>
      <c r="AF2433" s="239"/>
      <c r="AG2433" s="239"/>
      <c r="AH2433" s="124"/>
      <c r="AI2433" s="74"/>
      <c r="AJ2433" s="240"/>
      <c r="AL2433" s="124"/>
      <c r="AM2433" s="74"/>
      <c r="AP2433" s="125"/>
      <c r="AQ2433" s="241"/>
      <c r="AR2433" s="125"/>
      <c r="AS2433" s="125"/>
      <c r="AT2433" s="238"/>
      <c r="AU2433" s="125"/>
      <c r="AV2433" s="125"/>
      <c r="AW2433" s="125"/>
      <c r="AX2433" s="238"/>
      <c r="AY2433" s="125"/>
      <c r="AZ2433" s="125"/>
      <c r="BA2433" s="125"/>
    </row>
    <row r="2434" spans="2:53" s="123" customFormat="1">
      <c r="B2434" s="125"/>
      <c r="D2434" s="125"/>
      <c r="I2434" s="125"/>
      <c r="Z2434" s="124"/>
      <c r="AA2434" s="74"/>
      <c r="AB2434" s="240"/>
      <c r="AD2434" s="124"/>
      <c r="AE2434" s="238"/>
      <c r="AF2434" s="239"/>
      <c r="AG2434" s="239"/>
      <c r="AH2434" s="124"/>
      <c r="AI2434" s="74"/>
      <c r="AJ2434" s="240"/>
      <c r="AL2434" s="124"/>
      <c r="AM2434" s="74"/>
      <c r="AP2434" s="125"/>
      <c r="AQ2434" s="241"/>
      <c r="AR2434" s="125"/>
      <c r="AS2434" s="125"/>
      <c r="AT2434" s="238"/>
      <c r="AU2434" s="125"/>
      <c r="AV2434" s="125"/>
      <c r="AW2434" s="125"/>
      <c r="AX2434" s="238"/>
      <c r="AY2434" s="125"/>
      <c r="AZ2434" s="125"/>
      <c r="BA2434" s="125"/>
    </row>
    <row r="2435" spans="2:53" s="123" customFormat="1">
      <c r="B2435" s="125"/>
      <c r="D2435" s="125"/>
      <c r="I2435" s="125"/>
      <c r="Z2435" s="124"/>
      <c r="AA2435" s="74"/>
      <c r="AB2435" s="240"/>
      <c r="AD2435" s="124"/>
      <c r="AE2435" s="238"/>
      <c r="AF2435" s="239"/>
      <c r="AG2435" s="239"/>
      <c r="AH2435" s="124"/>
      <c r="AI2435" s="74"/>
      <c r="AJ2435" s="240"/>
      <c r="AL2435" s="124"/>
      <c r="AM2435" s="74"/>
      <c r="AP2435" s="125"/>
      <c r="AQ2435" s="241"/>
      <c r="AR2435" s="125"/>
      <c r="AS2435" s="125"/>
      <c r="AT2435" s="238"/>
      <c r="AU2435" s="125"/>
      <c r="AV2435" s="125"/>
      <c r="AW2435" s="125"/>
      <c r="AX2435" s="238"/>
      <c r="AY2435" s="125"/>
      <c r="AZ2435" s="125"/>
      <c r="BA2435" s="125"/>
    </row>
    <row r="2436" spans="2:53" s="123" customFormat="1">
      <c r="B2436" s="125"/>
      <c r="D2436" s="125"/>
      <c r="I2436" s="125"/>
      <c r="Z2436" s="124"/>
      <c r="AA2436" s="74"/>
      <c r="AB2436" s="240"/>
      <c r="AD2436" s="124"/>
      <c r="AE2436" s="238"/>
      <c r="AF2436" s="239"/>
      <c r="AG2436" s="239"/>
      <c r="AH2436" s="124"/>
      <c r="AI2436" s="74"/>
      <c r="AJ2436" s="240"/>
      <c r="AL2436" s="124"/>
      <c r="AM2436" s="74"/>
      <c r="AP2436" s="125"/>
      <c r="AQ2436" s="241"/>
      <c r="AR2436" s="125"/>
      <c r="AS2436" s="125"/>
      <c r="AT2436" s="238"/>
      <c r="AU2436" s="125"/>
      <c r="AV2436" s="125"/>
      <c r="AW2436" s="125"/>
      <c r="AX2436" s="238"/>
      <c r="AY2436" s="125"/>
      <c r="AZ2436" s="125"/>
      <c r="BA2436" s="125"/>
    </row>
    <row r="2437" spans="2:53" s="123" customFormat="1">
      <c r="B2437" s="125"/>
      <c r="D2437" s="125"/>
      <c r="I2437" s="125"/>
      <c r="Z2437" s="124"/>
      <c r="AA2437" s="74"/>
      <c r="AB2437" s="240"/>
      <c r="AD2437" s="124"/>
      <c r="AE2437" s="238"/>
      <c r="AF2437" s="239"/>
      <c r="AG2437" s="239"/>
      <c r="AH2437" s="124"/>
      <c r="AI2437" s="74"/>
      <c r="AJ2437" s="240"/>
      <c r="AL2437" s="124"/>
      <c r="AM2437" s="74"/>
      <c r="AP2437" s="125"/>
      <c r="AQ2437" s="241"/>
      <c r="AR2437" s="125"/>
      <c r="AS2437" s="125"/>
      <c r="AT2437" s="238"/>
      <c r="AU2437" s="125"/>
      <c r="AV2437" s="125"/>
      <c r="AW2437" s="125"/>
      <c r="AX2437" s="238"/>
      <c r="AY2437" s="125"/>
      <c r="AZ2437" s="125"/>
      <c r="BA2437" s="125"/>
    </row>
    <row r="2438" spans="2:53" s="123" customFormat="1">
      <c r="B2438" s="125"/>
      <c r="D2438" s="125"/>
      <c r="I2438" s="125"/>
      <c r="Z2438" s="124"/>
      <c r="AA2438" s="74"/>
      <c r="AB2438" s="240"/>
      <c r="AD2438" s="124"/>
      <c r="AE2438" s="238"/>
      <c r="AF2438" s="239"/>
      <c r="AG2438" s="239"/>
      <c r="AH2438" s="124"/>
      <c r="AI2438" s="74"/>
      <c r="AJ2438" s="240"/>
      <c r="AL2438" s="124"/>
      <c r="AM2438" s="74"/>
      <c r="AP2438" s="125"/>
      <c r="AQ2438" s="241"/>
      <c r="AR2438" s="125"/>
      <c r="AS2438" s="125"/>
      <c r="AT2438" s="238"/>
      <c r="AU2438" s="125"/>
      <c r="AV2438" s="125"/>
      <c r="AW2438" s="125"/>
      <c r="AX2438" s="238"/>
      <c r="AY2438" s="125"/>
      <c r="AZ2438" s="125"/>
      <c r="BA2438" s="125"/>
    </row>
    <row r="2439" spans="2:53" s="123" customFormat="1">
      <c r="B2439" s="125"/>
      <c r="D2439" s="125"/>
      <c r="I2439" s="125"/>
      <c r="Z2439" s="124"/>
      <c r="AA2439" s="74"/>
      <c r="AB2439" s="240"/>
      <c r="AD2439" s="124"/>
      <c r="AE2439" s="238"/>
      <c r="AF2439" s="239"/>
      <c r="AG2439" s="239"/>
      <c r="AH2439" s="124"/>
      <c r="AI2439" s="74"/>
      <c r="AJ2439" s="240"/>
      <c r="AL2439" s="124"/>
      <c r="AM2439" s="74"/>
      <c r="AP2439" s="125"/>
      <c r="AQ2439" s="241"/>
      <c r="AR2439" s="125"/>
      <c r="AS2439" s="125"/>
      <c r="AT2439" s="238"/>
      <c r="AU2439" s="125"/>
      <c r="AV2439" s="125"/>
      <c r="AW2439" s="125"/>
      <c r="AX2439" s="238"/>
      <c r="AY2439" s="125"/>
      <c r="AZ2439" s="125"/>
      <c r="BA2439" s="125"/>
    </row>
    <row r="2440" spans="2:53" s="123" customFormat="1">
      <c r="B2440" s="125"/>
      <c r="D2440" s="125"/>
      <c r="I2440" s="125"/>
      <c r="Z2440" s="124"/>
      <c r="AA2440" s="74"/>
      <c r="AB2440" s="240"/>
      <c r="AD2440" s="124"/>
      <c r="AE2440" s="238"/>
      <c r="AF2440" s="239"/>
      <c r="AG2440" s="239"/>
      <c r="AH2440" s="124"/>
      <c r="AI2440" s="74"/>
      <c r="AJ2440" s="240"/>
      <c r="AL2440" s="124"/>
      <c r="AM2440" s="74"/>
      <c r="AP2440" s="125"/>
      <c r="AQ2440" s="241"/>
      <c r="AR2440" s="125"/>
      <c r="AS2440" s="125"/>
      <c r="AT2440" s="238"/>
      <c r="AU2440" s="125"/>
      <c r="AV2440" s="125"/>
      <c r="AW2440" s="125"/>
      <c r="AX2440" s="238"/>
      <c r="AY2440" s="125"/>
      <c r="AZ2440" s="125"/>
      <c r="BA2440" s="125"/>
    </row>
    <row r="2441" spans="2:53" s="123" customFormat="1">
      <c r="B2441" s="125"/>
      <c r="D2441" s="125"/>
      <c r="I2441" s="125"/>
      <c r="Z2441" s="124"/>
      <c r="AA2441" s="74"/>
      <c r="AB2441" s="240"/>
      <c r="AD2441" s="124"/>
      <c r="AE2441" s="238"/>
      <c r="AF2441" s="239"/>
      <c r="AG2441" s="239"/>
      <c r="AH2441" s="124"/>
      <c r="AI2441" s="74"/>
      <c r="AJ2441" s="240"/>
      <c r="AL2441" s="124"/>
      <c r="AM2441" s="74"/>
      <c r="AP2441" s="125"/>
      <c r="AQ2441" s="241"/>
      <c r="AR2441" s="125"/>
      <c r="AS2441" s="125"/>
      <c r="AT2441" s="238"/>
      <c r="AU2441" s="125"/>
      <c r="AV2441" s="125"/>
      <c r="AW2441" s="125"/>
      <c r="AX2441" s="238"/>
      <c r="AY2441" s="125"/>
      <c r="AZ2441" s="125"/>
      <c r="BA2441" s="125"/>
    </row>
    <row r="2442" spans="2:53" s="123" customFormat="1">
      <c r="B2442" s="125"/>
      <c r="D2442" s="125"/>
      <c r="I2442" s="125"/>
      <c r="Z2442" s="124"/>
      <c r="AA2442" s="74"/>
      <c r="AB2442" s="240"/>
      <c r="AD2442" s="124"/>
      <c r="AE2442" s="238"/>
      <c r="AF2442" s="239"/>
      <c r="AG2442" s="239"/>
      <c r="AH2442" s="124"/>
      <c r="AI2442" s="74"/>
      <c r="AJ2442" s="240"/>
      <c r="AL2442" s="124"/>
      <c r="AM2442" s="74"/>
      <c r="AP2442" s="125"/>
      <c r="AQ2442" s="241"/>
      <c r="AR2442" s="125"/>
      <c r="AS2442" s="125"/>
      <c r="AT2442" s="238"/>
      <c r="AU2442" s="125"/>
      <c r="AV2442" s="125"/>
      <c r="AW2442" s="125"/>
      <c r="AX2442" s="238"/>
      <c r="AY2442" s="125"/>
      <c r="AZ2442" s="125"/>
      <c r="BA2442" s="125"/>
    </row>
    <row r="2443" spans="2:53" s="123" customFormat="1">
      <c r="B2443" s="125"/>
      <c r="D2443" s="125"/>
      <c r="I2443" s="125"/>
      <c r="Z2443" s="124"/>
      <c r="AA2443" s="74"/>
      <c r="AB2443" s="240"/>
      <c r="AD2443" s="124"/>
      <c r="AE2443" s="238"/>
      <c r="AF2443" s="239"/>
      <c r="AG2443" s="239"/>
      <c r="AH2443" s="124"/>
      <c r="AI2443" s="74"/>
      <c r="AJ2443" s="240"/>
      <c r="AL2443" s="124"/>
      <c r="AM2443" s="74"/>
      <c r="AP2443" s="125"/>
      <c r="AQ2443" s="241"/>
      <c r="AR2443" s="125"/>
      <c r="AS2443" s="125"/>
      <c r="AT2443" s="238"/>
      <c r="AU2443" s="125"/>
      <c r="AV2443" s="125"/>
      <c r="AW2443" s="125"/>
      <c r="AX2443" s="238"/>
      <c r="AY2443" s="125"/>
      <c r="AZ2443" s="125"/>
      <c r="BA2443" s="125"/>
    </row>
    <row r="2444" spans="2:53" s="123" customFormat="1">
      <c r="B2444" s="125"/>
      <c r="D2444" s="125"/>
      <c r="I2444" s="125"/>
      <c r="Z2444" s="124"/>
      <c r="AA2444" s="74"/>
      <c r="AB2444" s="240"/>
      <c r="AD2444" s="124"/>
      <c r="AE2444" s="238"/>
      <c r="AF2444" s="239"/>
      <c r="AG2444" s="239"/>
      <c r="AH2444" s="124"/>
      <c r="AI2444" s="74"/>
      <c r="AJ2444" s="240"/>
      <c r="AL2444" s="124"/>
      <c r="AM2444" s="74"/>
      <c r="AP2444" s="125"/>
      <c r="AQ2444" s="241"/>
      <c r="AR2444" s="125"/>
      <c r="AS2444" s="125"/>
      <c r="AT2444" s="238"/>
      <c r="AU2444" s="125"/>
      <c r="AV2444" s="125"/>
      <c r="AW2444" s="125"/>
      <c r="AX2444" s="238"/>
      <c r="AY2444" s="125"/>
      <c r="AZ2444" s="125"/>
      <c r="BA2444" s="125"/>
    </row>
    <row r="2445" spans="2:53" s="123" customFormat="1">
      <c r="B2445" s="125"/>
      <c r="D2445" s="125"/>
      <c r="I2445" s="125"/>
      <c r="Z2445" s="124"/>
      <c r="AA2445" s="74"/>
      <c r="AB2445" s="240"/>
      <c r="AD2445" s="124"/>
      <c r="AE2445" s="238"/>
      <c r="AF2445" s="239"/>
      <c r="AG2445" s="239"/>
      <c r="AH2445" s="124"/>
      <c r="AI2445" s="74"/>
      <c r="AJ2445" s="240"/>
      <c r="AL2445" s="124"/>
      <c r="AM2445" s="74"/>
      <c r="AP2445" s="125"/>
      <c r="AQ2445" s="241"/>
      <c r="AR2445" s="125"/>
      <c r="AS2445" s="125"/>
      <c r="AT2445" s="238"/>
      <c r="AU2445" s="125"/>
      <c r="AV2445" s="125"/>
      <c r="AW2445" s="125"/>
      <c r="AX2445" s="238"/>
      <c r="AY2445" s="125"/>
      <c r="AZ2445" s="125"/>
      <c r="BA2445" s="125"/>
    </row>
    <row r="2446" spans="2:53" s="123" customFormat="1">
      <c r="B2446" s="125"/>
      <c r="D2446" s="125"/>
      <c r="I2446" s="125"/>
      <c r="Z2446" s="124"/>
      <c r="AA2446" s="74"/>
      <c r="AB2446" s="240"/>
      <c r="AD2446" s="124"/>
      <c r="AE2446" s="238"/>
      <c r="AF2446" s="239"/>
      <c r="AG2446" s="239"/>
      <c r="AH2446" s="124"/>
      <c r="AI2446" s="74"/>
      <c r="AJ2446" s="240"/>
      <c r="AL2446" s="124"/>
      <c r="AM2446" s="74"/>
      <c r="AP2446" s="125"/>
      <c r="AQ2446" s="241"/>
      <c r="AR2446" s="125"/>
      <c r="AS2446" s="125"/>
      <c r="AT2446" s="238"/>
      <c r="AU2446" s="125"/>
      <c r="AV2446" s="125"/>
      <c r="AW2446" s="125"/>
      <c r="AX2446" s="238"/>
      <c r="AY2446" s="125"/>
      <c r="AZ2446" s="125"/>
      <c r="BA2446" s="125"/>
    </row>
    <row r="2447" spans="2:53" s="123" customFormat="1">
      <c r="B2447" s="125"/>
      <c r="D2447" s="125"/>
      <c r="I2447" s="125"/>
      <c r="Z2447" s="124"/>
      <c r="AA2447" s="74"/>
      <c r="AB2447" s="240"/>
      <c r="AD2447" s="124"/>
      <c r="AE2447" s="238"/>
      <c r="AF2447" s="239"/>
      <c r="AG2447" s="239"/>
      <c r="AH2447" s="124"/>
      <c r="AI2447" s="74"/>
      <c r="AJ2447" s="240"/>
      <c r="AL2447" s="124"/>
      <c r="AM2447" s="74"/>
      <c r="AP2447" s="125"/>
      <c r="AQ2447" s="241"/>
      <c r="AR2447" s="125"/>
      <c r="AS2447" s="125"/>
      <c r="AT2447" s="238"/>
      <c r="AU2447" s="125"/>
      <c r="AV2447" s="125"/>
      <c r="AW2447" s="125"/>
      <c r="AX2447" s="238"/>
      <c r="AY2447" s="125"/>
      <c r="AZ2447" s="125"/>
      <c r="BA2447" s="125"/>
    </row>
    <row r="2448" spans="2:53" s="123" customFormat="1">
      <c r="B2448" s="125"/>
      <c r="D2448" s="125"/>
      <c r="I2448" s="125"/>
      <c r="Z2448" s="124"/>
      <c r="AA2448" s="74"/>
      <c r="AB2448" s="240"/>
      <c r="AD2448" s="124"/>
      <c r="AE2448" s="238"/>
      <c r="AF2448" s="239"/>
      <c r="AG2448" s="239"/>
      <c r="AH2448" s="124"/>
      <c r="AI2448" s="74"/>
      <c r="AJ2448" s="240"/>
      <c r="AL2448" s="124"/>
      <c r="AM2448" s="74"/>
      <c r="AP2448" s="125"/>
      <c r="AQ2448" s="241"/>
      <c r="AR2448" s="125"/>
      <c r="AS2448" s="125"/>
      <c r="AT2448" s="238"/>
      <c r="AU2448" s="125"/>
      <c r="AV2448" s="125"/>
      <c r="AW2448" s="125"/>
      <c r="AX2448" s="238"/>
      <c r="AY2448" s="125"/>
      <c r="AZ2448" s="125"/>
      <c r="BA2448" s="125"/>
    </row>
    <row r="2449" spans="2:53" s="123" customFormat="1">
      <c r="B2449" s="125"/>
      <c r="D2449" s="125"/>
      <c r="I2449" s="125"/>
      <c r="Z2449" s="124"/>
      <c r="AA2449" s="74"/>
      <c r="AB2449" s="240"/>
      <c r="AD2449" s="124"/>
      <c r="AE2449" s="238"/>
      <c r="AF2449" s="239"/>
      <c r="AG2449" s="239"/>
      <c r="AH2449" s="124"/>
      <c r="AI2449" s="74"/>
      <c r="AJ2449" s="240"/>
      <c r="AL2449" s="124"/>
      <c r="AM2449" s="74"/>
      <c r="AP2449" s="125"/>
      <c r="AQ2449" s="241"/>
      <c r="AR2449" s="125"/>
      <c r="AS2449" s="125"/>
      <c r="AT2449" s="238"/>
      <c r="AU2449" s="125"/>
      <c r="AV2449" s="125"/>
      <c r="AW2449" s="125"/>
      <c r="AX2449" s="238"/>
      <c r="AY2449" s="125"/>
      <c r="AZ2449" s="125"/>
      <c r="BA2449" s="125"/>
    </row>
    <row r="2450" spans="2:53" s="123" customFormat="1">
      <c r="B2450" s="125"/>
      <c r="D2450" s="125"/>
      <c r="I2450" s="125"/>
      <c r="Z2450" s="124"/>
      <c r="AA2450" s="74"/>
      <c r="AB2450" s="240"/>
      <c r="AD2450" s="124"/>
      <c r="AE2450" s="238"/>
      <c r="AF2450" s="239"/>
      <c r="AG2450" s="239"/>
      <c r="AH2450" s="124"/>
      <c r="AI2450" s="74"/>
      <c r="AJ2450" s="240"/>
      <c r="AL2450" s="124"/>
      <c r="AM2450" s="74"/>
      <c r="AP2450" s="125"/>
      <c r="AQ2450" s="241"/>
      <c r="AR2450" s="125"/>
      <c r="AS2450" s="125"/>
      <c r="AT2450" s="238"/>
      <c r="AU2450" s="125"/>
      <c r="AV2450" s="125"/>
      <c r="AW2450" s="125"/>
      <c r="AX2450" s="238"/>
      <c r="AY2450" s="125"/>
      <c r="AZ2450" s="125"/>
      <c r="BA2450" s="125"/>
    </row>
    <row r="2451" spans="2:53" s="123" customFormat="1">
      <c r="B2451" s="125"/>
      <c r="D2451" s="125"/>
      <c r="I2451" s="125"/>
      <c r="Z2451" s="124"/>
      <c r="AA2451" s="74"/>
      <c r="AB2451" s="240"/>
      <c r="AD2451" s="124"/>
      <c r="AE2451" s="238"/>
      <c r="AF2451" s="239"/>
      <c r="AG2451" s="239"/>
      <c r="AH2451" s="124"/>
      <c r="AI2451" s="74"/>
      <c r="AJ2451" s="240"/>
      <c r="AL2451" s="124"/>
      <c r="AM2451" s="74"/>
      <c r="AP2451" s="125"/>
      <c r="AQ2451" s="241"/>
      <c r="AR2451" s="125"/>
      <c r="AS2451" s="125"/>
      <c r="AT2451" s="238"/>
      <c r="AU2451" s="125"/>
      <c r="AV2451" s="125"/>
      <c r="AW2451" s="125"/>
      <c r="AX2451" s="238"/>
      <c r="AY2451" s="125"/>
      <c r="AZ2451" s="125"/>
      <c r="BA2451" s="125"/>
    </row>
    <row r="2452" spans="2:53" s="123" customFormat="1">
      <c r="B2452" s="125"/>
      <c r="D2452" s="125"/>
      <c r="I2452" s="125"/>
      <c r="Z2452" s="124"/>
      <c r="AA2452" s="74"/>
      <c r="AB2452" s="240"/>
      <c r="AD2452" s="124"/>
      <c r="AE2452" s="238"/>
      <c r="AF2452" s="239"/>
      <c r="AG2452" s="239"/>
      <c r="AH2452" s="124"/>
      <c r="AI2452" s="74"/>
      <c r="AJ2452" s="240"/>
      <c r="AL2452" s="124"/>
      <c r="AM2452" s="74"/>
      <c r="AP2452" s="125"/>
      <c r="AQ2452" s="241"/>
      <c r="AR2452" s="125"/>
      <c r="AS2452" s="125"/>
      <c r="AT2452" s="238"/>
      <c r="AU2452" s="125"/>
      <c r="AV2452" s="125"/>
      <c r="AW2452" s="125"/>
      <c r="AX2452" s="238"/>
      <c r="AY2452" s="125"/>
      <c r="AZ2452" s="125"/>
      <c r="BA2452" s="125"/>
    </row>
    <row r="2453" spans="2:53" s="123" customFormat="1">
      <c r="B2453" s="125"/>
      <c r="D2453" s="125"/>
      <c r="I2453" s="125"/>
      <c r="Z2453" s="124"/>
      <c r="AA2453" s="74"/>
      <c r="AB2453" s="240"/>
      <c r="AD2453" s="124"/>
      <c r="AE2453" s="238"/>
      <c r="AF2453" s="239"/>
      <c r="AG2453" s="239"/>
      <c r="AH2453" s="124"/>
      <c r="AI2453" s="74"/>
      <c r="AJ2453" s="240"/>
      <c r="AL2453" s="124"/>
      <c r="AM2453" s="74"/>
      <c r="AP2453" s="125"/>
      <c r="AQ2453" s="241"/>
      <c r="AR2453" s="125"/>
      <c r="AS2453" s="125"/>
      <c r="AT2453" s="238"/>
      <c r="AU2453" s="125"/>
      <c r="AV2453" s="125"/>
      <c r="AW2453" s="125"/>
      <c r="AX2453" s="238"/>
      <c r="AY2453" s="125"/>
      <c r="AZ2453" s="125"/>
      <c r="BA2453" s="125"/>
    </row>
    <row r="2454" spans="2:53" s="123" customFormat="1">
      <c r="B2454" s="125"/>
      <c r="D2454" s="125"/>
      <c r="I2454" s="125"/>
      <c r="Z2454" s="124"/>
      <c r="AA2454" s="74"/>
      <c r="AB2454" s="240"/>
      <c r="AD2454" s="124"/>
      <c r="AE2454" s="238"/>
      <c r="AF2454" s="239"/>
      <c r="AG2454" s="239"/>
      <c r="AH2454" s="124"/>
      <c r="AI2454" s="74"/>
      <c r="AJ2454" s="240"/>
      <c r="AL2454" s="124"/>
      <c r="AM2454" s="74"/>
      <c r="AP2454" s="125"/>
      <c r="AQ2454" s="241"/>
      <c r="AR2454" s="125"/>
      <c r="AS2454" s="125"/>
      <c r="AT2454" s="238"/>
      <c r="AU2454" s="125"/>
      <c r="AV2454" s="125"/>
      <c r="AW2454" s="125"/>
      <c r="AX2454" s="238"/>
      <c r="AY2454" s="125"/>
      <c r="AZ2454" s="125"/>
      <c r="BA2454" s="125"/>
    </row>
    <row r="2455" spans="2:53" s="123" customFormat="1">
      <c r="B2455" s="125"/>
      <c r="D2455" s="125"/>
      <c r="I2455" s="125"/>
      <c r="Z2455" s="124"/>
      <c r="AA2455" s="74"/>
      <c r="AB2455" s="240"/>
      <c r="AD2455" s="124"/>
      <c r="AE2455" s="238"/>
      <c r="AF2455" s="239"/>
      <c r="AG2455" s="239"/>
      <c r="AH2455" s="124"/>
      <c r="AI2455" s="74"/>
      <c r="AJ2455" s="240"/>
      <c r="AL2455" s="124"/>
      <c r="AM2455" s="74"/>
      <c r="AP2455" s="125"/>
      <c r="AQ2455" s="241"/>
      <c r="AR2455" s="125"/>
      <c r="AS2455" s="125"/>
      <c r="AT2455" s="238"/>
      <c r="AU2455" s="125"/>
      <c r="AV2455" s="125"/>
      <c r="AW2455" s="125"/>
      <c r="AX2455" s="238"/>
      <c r="AY2455" s="125"/>
      <c r="AZ2455" s="125"/>
      <c r="BA2455" s="125"/>
    </row>
    <row r="2456" spans="2:53" s="123" customFormat="1">
      <c r="B2456" s="125"/>
      <c r="D2456" s="125"/>
      <c r="I2456" s="125"/>
      <c r="Z2456" s="124"/>
      <c r="AA2456" s="74"/>
      <c r="AB2456" s="240"/>
      <c r="AD2456" s="124"/>
      <c r="AE2456" s="238"/>
      <c r="AF2456" s="239"/>
      <c r="AG2456" s="239"/>
      <c r="AH2456" s="124"/>
      <c r="AI2456" s="74"/>
      <c r="AJ2456" s="240"/>
      <c r="AL2456" s="124"/>
      <c r="AM2456" s="74"/>
      <c r="AP2456" s="125"/>
      <c r="AQ2456" s="241"/>
      <c r="AR2456" s="125"/>
      <c r="AS2456" s="125"/>
      <c r="AT2456" s="238"/>
      <c r="AU2456" s="125"/>
      <c r="AV2456" s="125"/>
      <c r="AW2456" s="125"/>
      <c r="AX2456" s="238"/>
      <c r="AY2456" s="125"/>
      <c r="AZ2456" s="125"/>
      <c r="BA2456" s="125"/>
    </row>
    <row r="2457" spans="2:53" s="123" customFormat="1">
      <c r="B2457" s="125"/>
      <c r="D2457" s="125"/>
      <c r="I2457" s="125"/>
      <c r="Z2457" s="124"/>
      <c r="AA2457" s="74"/>
      <c r="AB2457" s="240"/>
      <c r="AD2457" s="124"/>
      <c r="AE2457" s="238"/>
      <c r="AF2457" s="239"/>
      <c r="AG2457" s="239"/>
      <c r="AH2457" s="124"/>
      <c r="AI2457" s="74"/>
      <c r="AJ2457" s="240"/>
      <c r="AL2457" s="124"/>
      <c r="AM2457" s="74"/>
      <c r="AP2457" s="125"/>
      <c r="AQ2457" s="241"/>
      <c r="AR2457" s="125"/>
      <c r="AS2457" s="125"/>
      <c r="AT2457" s="238"/>
      <c r="AU2457" s="125"/>
      <c r="AV2457" s="125"/>
      <c r="AW2457" s="125"/>
      <c r="AX2457" s="238"/>
      <c r="AY2457" s="125"/>
      <c r="AZ2457" s="125"/>
      <c r="BA2457" s="125"/>
    </row>
    <row r="2458" spans="2:53" s="123" customFormat="1">
      <c r="B2458" s="125"/>
      <c r="D2458" s="125"/>
      <c r="I2458" s="125"/>
      <c r="Z2458" s="124"/>
      <c r="AA2458" s="74"/>
      <c r="AB2458" s="240"/>
      <c r="AD2458" s="124"/>
      <c r="AE2458" s="238"/>
      <c r="AF2458" s="239"/>
      <c r="AG2458" s="239"/>
      <c r="AH2458" s="124"/>
      <c r="AI2458" s="74"/>
      <c r="AJ2458" s="240"/>
      <c r="AL2458" s="124"/>
      <c r="AM2458" s="74"/>
      <c r="AP2458" s="125"/>
      <c r="AQ2458" s="241"/>
      <c r="AR2458" s="125"/>
      <c r="AS2458" s="125"/>
      <c r="AT2458" s="238"/>
      <c r="AU2458" s="125"/>
      <c r="AV2458" s="125"/>
      <c r="AW2458" s="125"/>
      <c r="AX2458" s="238"/>
      <c r="AY2458" s="125"/>
      <c r="AZ2458" s="125"/>
      <c r="BA2458" s="125"/>
    </row>
    <row r="2459" spans="2:53" s="123" customFormat="1">
      <c r="B2459" s="125"/>
      <c r="D2459" s="125"/>
      <c r="I2459" s="125"/>
      <c r="Z2459" s="124"/>
      <c r="AA2459" s="74"/>
      <c r="AB2459" s="240"/>
      <c r="AD2459" s="124"/>
      <c r="AE2459" s="238"/>
      <c r="AF2459" s="239"/>
      <c r="AG2459" s="239"/>
      <c r="AH2459" s="124"/>
      <c r="AI2459" s="74"/>
      <c r="AJ2459" s="240"/>
      <c r="AL2459" s="124"/>
      <c r="AM2459" s="74"/>
      <c r="AP2459" s="125"/>
      <c r="AQ2459" s="241"/>
      <c r="AR2459" s="125"/>
      <c r="AS2459" s="125"/>
      <c r="AT2459" s="238"/>
      <c r="AU2459" s="125"/>
      <c r="AV2459" s="125"/>
      <c r="AW2459" s="125"/>
      <c r="AX2459" s="238"/>
      <c r="AY2459" s="125"/>
      <c r="AZ2459" s="125"/>
      <c r="BA2459" s="125"/>
    </row>
    <row r="2460" spans="2:53" s="123" customFormat="1">
      <c r="B2460" s="125"/>
      <c r="D2460" s="125"/>
      <c r="I2460" s="125"/>
      <c r="Z2460" s="124"/>
      <c r="AA2460" s="74"/>
      <c r="AB2460" s="240"/>
      <c r="AD2460" s="124"/>
      <c r="AE2460" s="238"/>
      <c r="AF2460" s="239"/>
      <c r="AG2460" s="239"/>
      <c r="AH2460" s="124"/>
      <c r="AI2460" s="74"/>
      <c r="AJ2460" s="240"/>
      <c r="AL2460" s="124"/>
      <c r="AM2460" s="74"/>
      <c r="AP2460" s="125"/>
      <c r="AQ2460" s="241"/>
      <c r="AR2460" s="125"/>
      <c r="AS2460" s="125"/>
      <c r="AT2460" s="238"/>
      <c r="AU2460" s="125"/>
      <c r="AV2460" s="125"/>
      <c r="AW2460" s="125"/>
      <c r="AX2460" s="238"/>
      <c r="AY2460" s="125"/>
      <c r="AZ2460" s="125"/>
      <c r="BA2460" s="125"/>
    </row>
    <row r="2461" spans="2:53" s="123" customFormat="1">
      <c r="B2461" s="125"/>
      <c r="D2461" s="125"/>
      <c r="I2461" s="125"/>
      <c r="Z2461" s="124"/>
      <c r="AA2461" s="74"/>
      <c r="AB2461" s="240"/>
      <c r="AD2461" s="124"/>
      <c r="AE2461" s="238"/>
      <c r="AF2461" s="239"/>
      <c r="AG2461" s="239"/>
      <c r="AH2461" s="124"/>
      <c r="AI2461" s="74"/>
      <c r="AJ2461" s="240"/>
      <c r="AL2461" s="124"/>
      <c r="AM2461" s="74"/>
      <c r="AP2461" s="125"/>
      <c r="AQ2461" s="241"/>
      <c r="AR2461" s="125"/>
      <c r="AS2461" s="125"/>
      <c r="AT2461" s="238"/>
      <c r="AU2461" s="125"/>
      <c r="AV2461" s="125"/>
      <c r="AW2461" s="125"/>
      <c r="AX2461" s="238"/>
      <c r="AY2461" s="125"/>
      <c r="AZ2461" s="125"/>
      <c r="BA2461" s="125"/>
    </row>
    <row r="2462" spans="2:53" s="123" customFormat="1">
      <c r="B2462" s="125"/>
      <c r="D2462" s="125"/>
      <c r="I2462" s="125"/>
      <c r="Z2462" s="124"/>
      <c r="AA2462" s="74"/>
      <c r="AB2462" s="240"/>
      <c r="AD2462" s="124"/>
      <c r="AE2462" s="238"/>
      <c r="AF2462" s="239"/>
      <c r="AG2462" s="239"/>
      <c r="AH2462" s="124"/>
      <c r="AI2462" s="74"/>
      <c r="AJ2462" s="240"/>
      <c r="AL2462" s="124"/>
      <c r="AM2462" s="74"/>
      <c r="AP2462" s="125"/>
      <c r="AQ2462" s="241"/>
      <c r="AR2462" s="125"/>
      <c r="AS2462" s="125"/>
      <c r="AT2462" s="238"/>
      <c r="AU2462" s="125"/>
      <c r="AV2462" s="125"/>
      <c r="AW2462" s="125"/>
      <c r="AX2462" s="238"/>
      <c r="AY2462" s="125"/>
      <c r="AZ2462" s="125"/>
      <c r="BA2462" s="125"/>
    </row>
    <row r="2463" spans="2:53" s="123" customFormat="1">
      <c r="B2463" s="125"/>
      <c r="D2463" s="125"/>
      <c r="I2463" s="125"/>
      <c r="Z2463" s="124"/>
      <c r="AA2463" s="74"/>
      <c r="AB2463" s="240"/>
      <c r="AD2463" s="124"/>
      <c r="AE2463" s="238"/>
      <c r="AF2463" s="239"/>
      <c r="AG2463" s="239"/>
      <c r="AH2463" s="124"/>
      <c r="AI2463" s="74"/>
      <c r="AJ2463" s="240"/>
      <c r="AL2463" s="124"/>
      <c r="AM2463" s="74"/>
      <c r="AP2463" s="125"/>
      <c r="AQ2463" s="241"/>
      <c r="AR2463" s="125"/>
      <c r="AS2463" s="125"/>
      <c r="AT2463" s="238"/>
      <c r="AU2463" s="125"/>
      <c r="AV2463" s="125"/>
      <c r="AW2463" s="125"/>
      <c r="AX2463" s="238"/>
      <c r="AY2463" s="125"/>
      <c r="AZ2463" s="125"/>
      <c r="BA2463" s="125"/>
    </row>
    <row r="2464" spans="2:53" s="123" customFormat="1">
      <c r="B2464" s="125"/>
      <c r="D2464" s="125"/>
      <c r="I2464" s="125"/>
      <c r="Z2464" s="124"/>
      <c r="AA2464" s="74"/>
      <c r="AB2464" s="240"/>
      <c r="AD2464" s="124"/>
      <c r="AE2464" s="238"/>
      <c r="AF2464" s="239"/>
      <c r="AG2464" s="239"/>
      <c r="AH2464" s="124"/>
      <c r="AI2464" s="74"/>
      <c r="AJ2464" s="240"/>
      <c r="AL2464" s="124"/>
      <c r="AM2464" s="74"/>
      <c r="AP2464" s="125"/>
      <c r="AQ2464" s="241"/>
      <c r="AR2464" s="125"/>
      <c r="AS2464" s="125"/>
      <c r="AT2464" s="238"/>
      <c r="AU2464" s="125"/>
      <c r="AV2464" s="125"/>
      <c r="AW2464" s="125"/>
      <c r="AX2464" s="238"/>
      <c r="AY2464" s="125"/>
      <c r="AZ2464" s="125"/>
      <c r="BA2464" s="125"/>
    </row>
    <row r="2465" spans="2:53" s="123" customFormat="1">
      <c r="B2465" s="125"/>
      <c r="D2465" s="125"/>
      <c r="I2465" s="125"/>
      <c r="Z2465" s="124"/>
      <c r="AA2465" s="74"/>
      <c r="AB2465" s="240"/>
      <c r="AD2465" s="124"/>
      <c r="AE2465" s="238"/>
      <c r="AF2465" s="239"/>
      <c r="AG2465" s="239"/>
      <c r="AH2465" s="124"/>
      <c r="AI2465" s="74"/>
      <c r="AJ2465" s="240"/>
      <c r="AL2465" s="124"/>
      <c r="AM2465" s="74"/>
      <c r="AP2465" s="125"/>
      <c r="AQ2465" s="241"/>
      <c r="AR2465" s="125"/>
      <c r="AS2465" s="125"/>
      <c r="AT2465" s="238"/>
      <c r="AU2465" s="125"/>
      <c r="AV2465" s="125"/>
      <c r="AW2465" s="125"/>
      <c r="AX2465" s="238"/>
      <c r="AY2465" s="125"/>
      <c r="AZ2465" s="125"/>
      <c r="BA2465" s="125"/>
    </row>
    <row r="2466" spans="2:53" s="123" customFormat="1">
      <c r="B2466" s="125"/>
      <c r="D2466" s="125"/>
      <c r="I2466" s="125"/>
      <c r="Z2466" s="124"/>
      <c r="AA2466" s="74"/>
      <c r="AB2466" s="240"/>
      <c r="AD2466" s="124"/>
      <c r="AE2466" s="238"/>
      <c r="AF2466" s="239"/>
      <c r="AG2466" s="239"/>
      <c r="AH2466" s="124"/>
      <c r="AI2466" s="74"/>
      <c r="AJ2466" s="240"/>
      <c r="AL2466" s="124"/>
      <c r="AM2466" s="74"/>
      <c r="AP2466" s="125"/>
      <c r="AQ2466" s="241"/>
      <c r="AR2466" s="125"/>
      <c r="AS2466" s="125"/>
      <c r="AT2466" s="238"/>
      <c r="AU2466" s="125"/>
      <c r="AV2466" s="125"/>
      <c r="AW2466" s="125"/>
      <c r="AX2466" s="238"/>
      <c r="AY2466" s="125"/>
      <c r="AZ2466" s="125"/>
      <c r="BA2466" s="125"/>
    </row>
    <row r="2467" spans="2:53" s="123" customFormat="1">
      <c r="B2467" s="125"/>
      <c r="D2467" s="125"/>
      <c r="I2467" s="125"/>
      <c r="Z2467" s="124"/>
      <c r="AA2467" s="74"/>
      <c r="AB2467" s="240"/>
      <c r="AD2467" s="124"/>
      <c r="AE2467" s="238"/>
      <c r="AF2467" s="239"/>
      <c r="AG2467" s="239"/>
      <c r="AH2467" s="124"/>
      <c r="AI2467" s="74"/>
      <c r="AJ2467" s="240"/>
      <c r="AL2467" s="124"/>
      <c r="AM2467" s="74"/>
      <c r="AP2467" s="125"/>
      <c r="AQ2467" s="241"/>
      <c r="AR2467" s="125"/>
      <c r="AS2467" s="125"/>
      <c r="AT2467" s="238"/>
      <c r="AU2467" s="125"/>
      <c r="AV2467" s="125"/>
      <c r="AW2467" s="125"/>
      <c r="AX2467" s="238"/>
      <c r="AY2467" s="125"/>
      <c r="AZ2467" s="125"/>
      <c r="BA2467" s="125"/>
    </row>
    <row r="2468" spans="2:53" s="123" customFormat="1">
      <c r="B2468" s="125"/>
      <c r="D2468" s="125"/>
      <c r="I2468" s="125"/>
      <c r="Z2468" s="124"/>
      <c r="AA2468" s="74"/>
      <c r="AB2468" s="240"/>
      <c r="AD2468" s="124"/>
      <c r="AE2468" s="238"/>
      <c r="AF2468" s="239"/>
      <c r="AG2468" s="239"/>
      <c r="AH2468" s="124"/>
      <c r="AI2468" s="74"/>
      <c r="AJ2468" s="240"/>
      <c r="AL2468" s="124"/>
      <c r="AM2468" s="74"/>
      <c r="AP2468" s="125"/>
      <c r="AQ2468" s="241"/>
      <c r="AR2468" s="125"/>
      <c r="AS2468" s="125"/>
      <c r="AT2468" s="238"/>
      <c r="AU2468" s="125"/>
      <c r="AV2468" s="125"/>
      <c r="AW2468" s="125"/>
      <c r="AX2468" s="238"/>
      <c r="AY2468" s="125"/>
      <c r="AZ2468" s="125"/>
      <c r="BA2468" s="125"/>
    </row>
    <row r="2469" spans="2:53" s="123" customFormat="1">
      <c r="B2469" s="125"/>
      <c r="D2469" s="125"/>
      <c r="I2469" s="125"/>
      <c r="Z2469" s="124"/>
      <c r="AA2469" s="74"/>
      <c r="AB2469" s="240"/>
      <c r="AD2469" s="124"/>
      <c r="AE2469" s="238"/>
      <c r="AF2469" s="239"/>
      <c r="AG2469" s="239"/>
      <c r="AH2469" s="124"/>
      <c r="AI2469" s="74"/>
      <c r="AJ2469" s="240"/>
      <c r="AL2469" s="124"/>
      <c r="AM2469" s="74"/>
      <c r="AP2469" s="125"/>
      <c r="AQ2469" s="241"/>
      <c r="AR2469" s="125"/>
      <c r="AS2469" s="125"/>
      <c r="AT2469" s="238"/>
      <c r="AU2469" s="125"/>
      <c r="AV2469" s="125"/>
      <c r="AW2469" s="125"/>
      <c r="AX2469" s="238"/>
      <c r="AY2469" s="125"/>
      <c r="AZ2469" s="125"/>
      <c r="BA2469" s="125"/>
    </row>
    <row r="2470" spans="2:53" s="123" customFormat="1">
      <c r="B2470" s="125"/>
      <c r="D2470" s="125"/>
      <c r="I2470" s="125"/>
      <c r="Z2470" s="124"/>
      <c r="AA2470" s="74"/>
      <c r="AB2470" s="240"/>
      <c r="AD2470" s="124"/>
      <c r="AE2470" s="238"/>
      <c r="AF2470" s="239"/>
      <c r="AG2470" s="239"/>
      <c r="AH2470" s="124"/>
      <c r="AI2470" s="74"/>
      <c r="AJ2470" s="240"/>
      <c r="AL2470" s="124"/>
      <c r="AM2470" s="74"/>
      <c r="AP2470" s="125"/>
      <c r="AQ2470" s="241"/>
      <c r="AR2470" s="125"/>
      <c r="AS2470" s="125"/>
      <c r="AT2470" s="238"/>
      <c r="AU2470" s="125"/>
      <c r="AV2470" s="125"/>
      <c r="AW2470" s="125"/>
      <c r="AX2470" s="238"/>
      <c r="AY2470" s="125"/>
      <c r="AZ2470" s="125"/>
      <c r="BA2470" s="125"/>
    </row>
    <row r="2471" spans="2:53" s="123" customFormat="1">
      <c r="B2471" s="125"/>
      <c r="D2471" s="125"/>
      <c r="I2471" s="125"/>
      <c r="Z2471" s="124"/>
      <c r="AA2471" s="74"/>
      <c r="AB2471" s="240"/>
      <c r="AD2471" s="124"/>
      <c r="AE2471" s="238"/>
      <c r="AF2471" s="239"/>
      <c r="AG2471" s="239"/>
      <c r="AH2471" s="124"/>
      <c r="AI2471" s="74"/>
      <c r="AJ2471" s="240"/>
      <c r="AL2471" s="124"/>
      <c r="AM2471" s="74"/>
      <c r="AP2471" s="125"/>
      <c r="AQ2471" s="241"/>
      <c r="AR2471" s="125"/>
      <c r="AS2471" s="125"/>
      <c r="AT2471" s="238"/>
      <c r="AU2471" s="125"/>
      <c r="AV2471" s="125"/>
      <c r="AW2471" s="125"/>
      <c r="AX2471" s="238"/>
      <c r="AY2471" s="125"/>
      <c r="AZ2471" s="125"/>
      <c r="BA2471" s="125"/>
    </row>
    <row r="2472" spans="2:53" s="123" customFormat="1">
      <c r="B2472" s="125"/>
      <c r="D2472" s="125"/>
      <c r="I2472" s="125"/>
      <c r="Z2472" s="124"/>
      <c r="AA2472" s="74"/>
      <c r="AB2472" s="240"/>
      <c r="AD2472" s="124"/>
      <c r="AE2472" s="238"/>
      <c r="AF2472" s="239"/>
      <c r="AG2472" s="239"/>
      <c r="AH2472" s="124"/>
      <c r="AI2472" s="74"/>
      <c r="AJ2472" s="240"/>
      <c r="AL2472" s="124"/>
      <c r="AM2472" s="74"/>
      <c r="AP2472" s="125"/>
      <c r="AQ2472" s="241"/>
      <c r="AR2472" s="125"/>
      <c r="AS2472" s="125"/>
      <c r="AT2472" s="238"/>
      <c r="AU2472" s="125"/>
      <c r="AV2472" s="125"/>
      <c r="AW2472" s="125"/>
      <c r="AX2472" s="238"/>
      <c r="AY2472" s="125"/>
      <c r="AZ2472" s="125"/>
      <c r="BA2472" s="125"/>
    </row>
    <row r="2473" spans="2:53" s="123" customFormat="1">
      <c r="B2473" s="125"/>
      <c r="D2473" s="125"/>
      <c r="I2473" s="125"/>
      <c r="Z2473" s="124"/>
      <c r="AA2473" s="74"/>
      <c r="AB2473" s="240"/>
      <c r="AD2473" s="124"/>
      <c r="AE2473" s="238"/>
      <c r="AF2473" s="239"/>
      <c r="AG2473" s="239"/>
      <c r="AH2473" s="124"/>
      <c r="AI2473" s="74"/>
      <c r="AJ2473" s="240"/>
      <c r="AL2473" s="124"/>
      <c r="AM2473" s="74"/>
      <c r="AP2473" s="125"/>
      <c r="AQ2473" s="241"/>
      <c r="AR2473" s="125"/>
      <c r="AS2473" s="125"/>
      <c r="AT2473" s="238"/>
      <c r="AU2473" s="125"/>
      <c r="AV2473" s="125"/>
      <c r="AW2473" s="125"/>
      <c r="AX2473" s="238"/>
      <c r="AY2473" s="125"/>
      <c r="AZ2473" s="125"/>
      <c r="BA2473" s="125"/>
    </row>
    <row r="2474" spans="2:53" s="123" customFormat="1">
      <c r="B2474" s="125"/>
      <c r="D2474" s="125"/>
      <c r="I2474" s="125"/>
      <c r="Z2474" s="124"/>
      <c r="AA2474" s="74"/>
      <c r="AB2474" s="240"/>
      <c r="AD2474" s="124"/>
      <c r="AE2474" s="238"/>
      <c r="AF2474" s="239"/>
      <c r="AG2474" s="239"/>
      <c r="AH2474" s="124"/>
      <c r="AI2474" s="74"/>
      <c r="AJ2474" s="240"/>
      <c r="AL2474" s="124"/>
      <c r="AM2474" s="74"/>
      <c r="AP2474" s="125"/>
      <c r="AQ2474" s="241"/>
      <c r="AR2474" s="125"/>
      <c r="AS2474" s="125"/>
      <c r="AT2474" s="238"/>
      <c r="AU2474" s="125"/>
      <c r="AV2474" s="125"/>
      <c r="AW2474" s="125"/>
      <c r="AX2474" s="238"/>
      <c r="AY2474" s="125"/>
      <c r="AZ2474" s="125"/>
      <c r="BA2474" s="125"/>
    </row>
    <row r="2475" spans="2:53" s="123" customFormat="1">
      <c r="B2475" s="125"/>
      <c r="D2475" s="125"/>
      <c r="I2475" s="125"/>
      <c r="Z2475" s="124"/>
      <c r="AA2475" s="74"/>
      <c r="AB2475" s="240"/>
      <c r="AD2475" s="124"/>
      <c r="AE2475" s="238"/>
      <c r="AF2475" s="239"/>
      <c r="AG2475" s="239"/>
      <c r="AH2475" s="124"/>
      <c r="AI2475" s="74"/>
      <c r="AJ2475" s="240"/>
      <c r="AL2475" s="124"/>
      <c r="AM2475" s="74"/>
      <c r="AP2475" s="125"/>
      <c r="AQ2475" s="241"/>
      <c r="AR2475" s="125"/>
      <c r="AS2475" s="125"/>
      <c r="AT2475" s="238"/>
      <c r="AU2475" s="125"/>
      <c r="AV2475" s="125"/>
      <c r="AW2475" s="125"/>
      <c r="AX2475" s="238"/>
      <c r="AY2475" s="125"/>
      <c r="AZ2475" s="125"/>
      <c r="BA2475" s="125"/>
    </row>
    <row r="2476" spans="2:53" s="123" customFormat="1">
      <c r="B2476" s="125"/>
      <c r="D2476" s="125"/>
      <c r="I2476" s="125"/>
      <c r="Z2476" s="124"/>
      <c r="AA2476" s="74"/>
      <c r="AB2476" s="240"/>
      <c r="AD2476" s="124"/>
      <c r="AE2476" s="238"/>
      <c r="AF2476" s="239"/>
      <c r="AG2476" s="239"/>
      <c r="AH2476" s="124"/>
      <c r="AI2476" s="74"/>
      <c r="AJ2476" s="240"/>
      <c r="AL2476" s="124"/>
      <c r="AM2476" s="74"/>
      <c r="AP2476" s="125"/>
      <c r="AQ2476" s="241"/>
      <c r="AR2476" s="125"/>
      <c r="AS2476" s="125"/>
      <c r="AT2476" s="238"/>
      <c r="AU2476" s="125"/>
      <c r="AV2476" s="125"/>
      <c r="AW2476" s="125"/>
      <c r="AX2476" s="238"/>
      <c r="AY2476" s="125"/>
      <c r="AZ2476" s="125"/>
      <c r="BA2476" s="125"/>
    </row>
    <row r="2477" spans="2:53" s="123" customFormat="1">
      <c r="B2477" s="125"/>
      <c r="D2477" s="125"/>
      <c r="I2477" s="125"/>
      <c r="Z2477" s="124"/>
      <c r="AA2477" s="74"/>
      <c r="AB2477" s="240"/>
      <c r="AD2477" s="124"/>
      <c r="AE2477" s="238"/>
      <c r="AF2477" s="239"/>
      <c r="AG2477" s="239"/>
      <c r="AH2477" s="124"/>
      <c r="AI2477" s="74"/>
      <c r="AJ2477" s="240"/>
      <c r="AL2477" s="124"/>
      <c r="AM2477" s="74"/>
      <c r="AP2477" s="125"/>
      <c r="AQ2477" s="241"/>
      <c r="AR2477" s="125"/>
      <c r="AS2477" s="125"/>
      <c r="AT2477" s="238"/>
      <c r="AU2477" s="125"/>
      <c r="AV2477" s="125"/>
      <c r="AW2477" s="125"/>
      <c r="AX2477" s="238"/>
      <c r="AY2477" s="125"/>
      <c r="AZ2477" s="125"/>
      <c r="BA2477" s="125"/>
    </row>
    <row r="2478" spans="2:53" s="123" customFormat="1">
      <c r="B2478" s="125"/>
      <c r="D2478" s="125"/>
      <c r="I2478" s="125"/>
      <c r="Z2478" s="124"/>
      <c r="AA2478" s="74"/>
      <c r="AB2478" s="240"/>
      <c r="AD2478" s="124"/>
      <c r="AE2478" s="238"/>
      <c r="AF2478" s="239"/>
      <c r="AG2478" s="239"/>
      <c r="AH2478" s="124"/>
      <c r="AI2478" s="74"/>
      <c r="AJ2478" s="240"/>
      <c r="AL2478" s="124"/>
      <c r="AM2478" s="74"/>
      <c r="AP2478" s="125"/>
      <c r="AQ2478" s="241"/>
      <c r="AR2478" s="125"/>
      <c r="AS2478" s="125"/>
      <c r="AT2478" s="238"/>
      <c r="AU2478" s="125"/>
      <c r="AV2478" s="125"/>
      <c r="AW2478" s="125"/>
      <c r="AX2478" s="238"/>
      <c r="AY2478" s="125"/>
      <c r="AZ2478" s="125"/>
      <c r="BA2478" s="125"/>
    </row>
    <row r="2479" spans="2:53" s="123" customFormat="1">
      <c r="B2479" s="125"/>
      <c r="D2479" s="125"/>
      <c r="I2479" s="125"/>
      <c r="Z2479" s="124"/>
      <c r="AA2479" s="74"/>
      <c r="AB2479" s="240"/>
      <c r="AD2479" s="124"/>
      <c r="AE2479" s="238"/>
      <c r="AF2479" s="239"/>
      <c r="AG2479" s="239"/>
      <c r="AH2479" s="124"/>
      <c r="AI2479" s="74"/>
      <c r="AJ2479" s="240"/>
      <c r="AL2479" s="124"/>
      <c r="AM2479" s="74"/>
      <c r="AP2479" s="125"/>
      <c r="AQ2479" s="241"/>
      <c r="AR2479" s="125"/>
      <c r="AS2479" s="125"/>
      <c r="AT2479" s="238"/>
      <c r="AU2479" s="125"/>
      <c r="AV2479" s="125"/>
      <c r="AW2479" s="125"/>
      <c r="AX2479" s="238"/>
      <c r="AY2479" s="125"/>
      <c r="AZ2479" s="125"/>
      <c r="BA2479" s="125"/>
    </row>
    <row r="2480" spans="2:53" s="123" customFormat="1">
      <c r="B2480" s="125"/>
      <c r="D2480" s="125"/>
      <c r="I2480" s="125"/>
      <c r="Z2480" s="124"/>
      <c r="AA2480" s="74"/>
      <c r="AB2480" s="240"/>
      <c r="AD2480" s="124"/>
      <c r="AE2480" s="238"/>
      <c r="AF2480" s="239"/>
      <c r="AG2480" s="239"/>
      <c r="AH2480" s="124"/>
      <c r="AI2480" s="74"/>
      <c r="AJ2480" s="240"/>
      <c r="AL2480" s="124"/>
      <c r="AM2480" s="74"/>
      <c r="AP2480" s="125"/>
      <c r="AQ2480" s="241"/>
      <c r="AR2480" s="125"/>
      <c r="AS2480" s="125"/>
      <c r="AT2480" s="238"/>
      <c r="AU2480" s="125"/>
      <c r="AV2480" s="125"/>
      <c r="AW2480" s="125"/>
      <c r="AX2480" s="238"/>
      <c r="AY2480" s="125"/>
      <c r="AZ2480" s="125"/>
      <c r="BA2480" s="125"/>
    </row>
    <row r="2481" spans="2:53" s="123" customFormat="1">
      <c r="B2481" s="125"/>
      <c r="D2481" s="125"/>
      <c r="I2481" s="125"/>
      <c r="Z2481" s="124"/>
      <c r="AA2481" s="74"/>
      <c r="AB2481" s="240"/>
      <c r="AD2481" s="124"/>
      <c r="AE2481" s="238"/>
      <c r="AF2481" s="239"/>
      <c r="AG2481" s="239"/>
      <c r="AH2481" s="124"/>
      <c r="AI2481" s="74"/>
      <c r="AJ2481" s="240"/>
      <c r="AL2481" s="124"/>
      <c r="AM2481" s="74"/>
      <c r="AP2481" s="125"/>
      <c r="AQ2481" s="241"/>
      <c r="AR2481" s="125"/>
      <c r="AS2481" s="125"/>
      <c r="AT2481" s="238"/>
      <c r="AU2481" s="125"/>
      <c r="AV2481" s="125"/>
      <c r="AW2481" s="125"/>
      <c r="AX2481" s="238"/>
      <c r="AY2481" s="125"/>
      <c r="AZ2481" s="125"/>
      <c r="BA2481" s="125"/>
    </row>
    <row r="2482" spans="2:53" s="123" customFormat="1">
      <c r="B2482" s="125"/>
      <c r="D2482" s="125"/>
      <c r="I2482" s="125"/>
      <c r="Z2482" s="124"/>
      <c r="AA2482" s="74"/>
      <c r="AB2482" s="240"/>
      <c r="AD2482" s="124"/>
      <c r="AE2482" s="238"/>
      <c r="AF2482" s="239"/>
      <c r="AG2482" s="239"/>
      <c r="AH2482" s="124"/>
      <c r="AI2482" s="74"/>
      <c r="AJ2482" s="240"/>
      <c r="AL2482" s="124"/>
      <c r="AM2482" s="74"/>
      <c r="AP2482" s="125"/>
      <c r="AQ2482" s="241"/>
      <c r="AR2482" s="125"/>
      <c r="AS2482" s="125"/>
      <c r="AT2482" s="238"/>
      <c r="AU2482" s="125"/>
      <c r="AV2482" s="125"/>
      <c r="AW2482" s="125"/>
      <c r="AX2482" s="238"/>
      <c r="AY2482" s="125"/>
      <c r="AZ2482" s="125"/>
      <c r="BA2482" s="125"/>
    </row>
    <row r="2483" spans="2:53" s="123" customFormat="1">
      <c r="B2483" s="125"/>
      <c r="D2483" s="125"/>
      <c r="I2483" s="125"/>
      <c r="Z2483" s="124"/>
      <c r="AA2483" s="74"/>
      <c r="AB2483" s="240"/>
      <c r="AD2483" s="124"/>
      <c r="AE2483" s="238"/>
      <c r="AF2483" s="239"/>
      <c r="AG2483" s="239"/>
      <c r="AH2483" s="124"/>
      <c r="AI2483" s="74"/>
      <c r="AJ2483" s="240"/>
      <c r="AL2483" s="124"/>
      <c r="AM2483" s="74"/>
      <c r="AP2483" s="125"/>
      <c r="AQ2483" s="241"/>
      <c r="AR2483" s="125"/>
      <c r="AS2483" s="125"/>
      <c r="AT2483" s="238"/>
      <c r="AU2483" s="125"/>
      <c r="AV2483" s="125"/>
      <c r="AW2483" s="125"/>
      <c r="AX2483" s="238"/>
      <c r="AY2483" s="125"/>
      <c r="AZ2483" s="125"/>
      <c r="BA2483" s="125"/>
    </row>
    <row r="2484" spans="2:53" s="123" customFormat="1">
      <c r="B2484" s="125"/>
      <c r="D2484" s="125"/>
      <c r="I2484" s="125"/>
      <c r="Z2484" s="124"/>
      <c r="AA2484" s="74"/>
      <c r="AB2484" s="240"/>
      <c r="AD2484" s="124"/>
      <c r="AE2484" s="238"/>
      <c r="AF2484" s="239"/>
      <c r="AG2484" s="239"/>
      <c r="AH2484" s="124"/>
      <c r="AI2484" s="74"/>
      <c r="AJ2484" s="240"/>
      <c r="AL2484" s="124"/>
      <c r="AM2484" s="74"/>
      <c r="AP2484" s="125"/>
      <c r="AQ2484" s="241"/>
      <c r="AR2484" s="125"/>
      <c r="AS2484" s="125"/>
      <c r="AT2484" s="238"/>
      <c r="AU2484" s="125"/>
      <c r="AV2484" s="125"/>
      <c r="AW2484" s="125"/>
      <c r="AX2484" s="238"/>
      <c r="AY2484" s="125"/>
      <c r="AZ2484" s="125"/>
      <c r="BA2484" s="125"/>
    </row>
    <row r="2485" spans="2:53" s="123" customFormat="1">
      <c r="B2485" s="125"/>
      <c r="D2485" s="125"/>
      <c r="I2485" s="125"/>
      <c r="Z2485" s="124"/>
      <c r="AA2485" s="74"/>
      <c r="AB2485" s="240"/>
      <c r="AD2485" s="124"/>
      <c r="AE2485" s="238"/>
      <c r="AF2485" s="239"/>
      <c r="AG2485" s="239"/>
      <c r="AH2485" s="124"/>
      <c r="AI2485" s="74"/>
      <c r="AJ2485" s="240"/>
      <c r="AL2485" s="124"/>
      <c r="AM2485" s="74"/>
      <c r="AP2485" s="125"/>
      <c r="AQ2485" s="241"/>
      <c r="AR2485" s="125"/>
      <c r="AS2485" s="125"/>
      <c r="AT2485" s="238"/>
      <c r="AU2485" s="125"/>
      <c r="AV2485" s="125"/>
      <c r="AW2485" s="125"/>
      <c r="AX2485" s="238"/>
      <c r="AY2485" s="125"/>
      <c r="AZ2485" s="125"/>
      <c r="BA2485" s="125"/>
    </row>
    <row r="2486" spans="2:53" s="123" customFormat="1">
      <c r="B2486" s="125"/>
      <c r="D2486" s="125"/>
      <c r="I2486" s="125"/>
      <c r="Z2486" s="124"/>
      <c r="AA2486" s="74"/>
      <c r="AB2486" s="240"/>
      <c r="AD2486" s="124"/>
      <c r="AE2486" s="238"/>
      <c r="AF2486" s="239"/>
      <c r="AG2486" s="239"/>
      <c r="AH2486" s="124"/>
      <c r="AI2486" s="74"/>
      <c r="AJ2486" s="240"/>
      <c r="AL2486" s="124"/>
      <c r="AM2486" s="74"/>
      <c r="AP2486" s="125"/>
      <c r="AQ2486" s="241"/>
      <c r="AR2486" s="125"/>
      <c r="AS2486" s="125"/>
      <c r="AT2486" s="238"/>
      <c r="AU2486" s="125"/>
      <c r="AV2486" s="125"/>
      <c r="AW2486" s="125"/>
      <c r="AX2486" s="238"/>
      <c r="AY2486" s="125"/>
      <c r="AZ2486" s="125"/>
      <c r="BA2486" s="125"/>
    </row>
    <row r="2487" spans="2:53" s="123" customFormat="1">
      <c r="B2487" s="125"/>
      <c r="D2487" s="125"/>
      <c r="I2487" s="125"/>
      <c r="Z2487" s="124"/>
      <c r="AA2487" s="74"/>
      <c r="AB2487" s="240"/>
      <c r="AD2487" s="124"/>
      <c r="AE2487" s="238"/>
      <c r="AF2487" s="239"/>
      <c r="AG2487" s="239"/>
      <c r="AH2487" s="124"/>
      <c r="AI2487" s="74"/>
      <c r="AJ2487" s="240"/>
      <c r="AL2487" s="124"/>
      <c r="AM2487" s="74"/>
      <c r="AP2487" s="125"/>
      <c r="AQ2487" s="241"/>
      <c r="AR2487" s="125"/>
      <c r="AS2487" s="125"/>
      <c r="AT2487" s="238"/>
      <c r="AU2487" s="125"/>
      <c r="AV2487" s="125"/>
      <c r="AW2487" s="125"/>
      <c r="AX2487" s="238"/>
      <c r="AY2487" s="125"/>
      <c r="AZ2487" s="125"/>
      <c r="BA2487" s="125"/>
    </row>
    <row r="2488" spans="2:53" s="123" customFormat="1">
      <c r="B2488" s="125"/>
      <c r="D2488" s="125"/>
      <c r="I2488" s="125"/>
      <c r="Z2488" s="124"/>
      <c r="AA2488" s="74"/>
      <c r="AB2488" s="240"/>
      <c r="AD2488" s="124"/>
      <c r="AE2488" s="238"/>
      <c r="AF2488" s="239"/>
      <c r="AG2488" s="239"/>
      <c r="AH2488" s="124"/>
      <c r="AI2488" s="74"/>
      <c r="AJ2488" s="240"/>
      <c r="AL2488" s="124"/>
      <c r="AM2488" s="74"/>
      <c r="AP2488" s="125"/>
      <c r="AQ2488" s="241"/>
      <c r="AR2488" s="125"/>
      <c r="AS2488" s="125"/>
      <c r="AT2488" s="238"/>
      <c r="AU2488" s="125"/>
      <c r="AV2488" s="125"/>
      <c r="AW2488" s="125"/>
      <c r="AX2488" s="238"/>
      <c r="AY2488" s="125"/>
      <c r="AZ2488" s="125"/>
      <c r="BA2488" s="125"/>
    </row>
    <row r="2489" spans="2:53" s="123" customFormat="1">
      <c r="B2489" s="125"/>
      <c r="D2489" s="125"/>
      <c r="I2489" s="125"/>
      <c r="Z2489" s="124"/>
      <c r="AA2489" s="74"/>
      <c r="AB2489" s="240"/>
      <c r="AD2489" s="124"/>
      <c r="AE2489" s="238"/>
      <c r="AF2489" s="239"/>
      <c r="AG2489" s="239"/>
      <c r="AH2489" s="124"/>
      <c r="AI2489" s="74"/>
      <c r="AJ2489" s="240"/>
      <c r="AL2489" s="124"/>
      <c r="AM2489" s="74"/>
      <c r="AP2489" s="125"/>
      <c r="AQ2489" s="241"/>
      <c r="AR2489" s="125"/>
      <c r="AS2489" s="125"/>
      <c r="AT2489" s="238"/>
      <c r="AU2489" s="125"/>
      <c r="AV2489" s="125"/>
      <c r="AW2489" s="125"/>
      <c r="AX2489" s="238"/>
      <c r="AY2489" s="125"/>
      <c r="AZ2489" s="125"/>
      <c r="BA2489" s="125"/>
    </row>
    <row r="2490" spans="2:53" s="123" customFormat="1">
      <c r="B2490" s="125"/>
      <c r="D2490" s="125"/>
      <c r="I2490" s="125"/>
      <c r="Z2490" s="124"/>
      <c r="AA2490" s="74"/>
      <c r="AB2490" s="240"/>
      <c r="AD2490" s="124"/>
      <c r="AE2490" s="238"/>
      <c r="AF2490" s="239"/>
      <c r="AG2490" s="239"/>
      <c r="AH2490" s="124"/>
      <c r="AI2490" s="74"/>
      <c r="AJ2490" s="240"/>
      <c r="AL2490" s="124"/>
      <c r="AM2490" s="74"/>
      <c r="AP2490" s="125"/>
      <c r="AQ2490" s="241"/>
      <c r="AR2490" s="125"/>
      <c r="AS2490" s="125"/>
      <c r="AT2490" s="238"/>
      <c r="AU2490" s="125"/>
      <c r="AV2490" s="125"/>
      <c r="AW2490" s="125"/>
      <c r="AX2490" s="238"/>
      <c r="AY2490" s="125"/>
      <c r="AZ2490" s="125"/>
      <c r="BA2490" s="125"/>
    </row>
    <row r="2491" spans="2:53" s="123" customFormat="1">
      <c r="B2491" s="125"/>
      <c r="D2491" s="125"/>
      <c r="I2491" s="125"/>
      <c r="Z2491" s="124"/>
      <c r="AA2491" s="74"/>
      <c r="AB2491" s="240"/>
      <c r="AD2491" s="124"/>
      <c r="AE2491" s="238"/>
      <c r="AF2491" s="239"/>
      <c r="AG2491" s="239"/>
      <c r="AH2491" s="124"/>
      <c r="AI2491" s="74"/>
      <c r="AJ2491" s="240"/>
      <c r="AL2491" s="124"/>
      <c r="AM2491" s="74"/>
      <c r="AP2491" s="125"/>
      <c r="AQ2491" s="241"/>
      <c r="AR2491" s="125"/>
      <c r="AS2491" s="125"/>
      <c r="AT2491" s="238"/>
      <c r="AU2491" s="125"/>
      <c r="AV2491" s="125"/>
      <c r="AW2491" s="125"/>
      <c r="AX2491" s="238"/>
      <c r="AY2491" s="125"/>
      <c r="AZ2491" s="125"/>
      <c r="BA2491" s="125"/>
    </row>
    <row r="2492" spans="2:53" s="123" customFormat="1">
      <c r="B2492" s="125"/>
      <c r="D2492" s="125"/>
      <c r="I2492" s="125"/>
      <c r="Z2492" s="124"/>
      <c r="AA2492" s="74"/>
      <c r="AB2492" s="240"/>
      <c r="AD2492" s="124"/>
      <c r="AE2492" s="238"/>
      <c r="AF2492" s="239"/>
      <c r="AG2492" s="239"/>
      <c r="AH2492" s="124"/>
      <c r="AI2492" s="74"/>
      <c r="AJ2492" s="240"/>
      <c r="AL2492" s="124"/>
      <c r="AM2492" s="74"/>
      <c r="AP2492" s="125"/>
      <c r="AQ2492" s="241"/>
      <c r="AR2492" s="125"/>
      <c r="AS2492" s="125"/>
      <c r="AT2492" s="238"/>
      <c r="AU2492" s="125"/>
      <c r="AV2492" s="125"/>
      <c r="AW2492" s="125"/>
      <c r="AX2492" s="238"/>
      <c r="AY2492" s="125"/>
      <c r="AZ2492" s="125"/>
      <c r="BA2492" s="125"/>
    </row>
    <row r="2493" spans="2:53" s="123" customFormat="1">
      <c r="B2493" s="125"/>
      <c r="D2493" s="125"/>
      <c r="I2493" s="125"/>
      <c r="Z2493" s="124"/>
      <c r="AA2493" s="74"/>
      <c r="AB2493" s="240"/>
      <c r="AD2493" s="124"/>
      <c r="AE2493" s="238"/>
      <c r="AF2493" s="239"/>
      <c r="AG2493" s="239"/>
      <c r="AH2493" s="124"/>
      <c r="AI2493" s="74"/>
      <c r="AJ2493" s="240"/>
      <c r="AL2493" s="124"/>
      <c r="AM2493" s="74"/>
      <c r="AP2493" s="125"/>
      <c r="AQ2493" s="241"/>
      <c r="AR2493" s="125"/>
      <c r="AS2493" s="125"/>
      <c r="AT2493" s="238"/>
      <c r="AU2493" s="125"/>
      <c r="AV2493" s="125"/>
      <c r="AW2493" s="125"/>
      <c r="AX2493" s="238"/>
      <c r="AY2493" s="125"/>
      <c r="AZ2493" s="125"/>
      <c r="BA2493" s="125"/>
    </row>
    <row r="2494" spans="2:53" s="123" customFormat="1">
      <c r="B2494" s="125"/>
      <c r="D2494" s="125"/>
      <c r="I2494" s="125"/>
      <c r="Z2494" s="124"/>
      <c r="AA2494" s="74"/>
      <c r="AB2494" s="240"/>
      <c r="AD2494" s="124"/>
      <c r="AE2494" s="238"/>
      <c r="AF2494" s="239"/>
      <c r="AG2494" s="239"/>
      <c r="AH2494" s="124"/>
      <c r="AI2494" s="74"/>
      <c r="AJ2494" s="240"/>
      <c r="AL2494" s="124"/>
      <c r="AM2494" s="74"/>
      <c r="AP2494" s="125"/>
      <c r="AQ2494" s="241"/>
      <c r="AR2494" s="125"/>
      <c r="AS2494" s="125"/>
      <c r="AT2494" s="238"/>
      <c r="AU2494" s="125"/>
      <c r="AV2494" s="125"/>
      <c r="AW2494" s="125"/>
      <c r="AX2494" s="238"/>
      <c r="AY2494" s="125"/>
      <c r="AZ2494" s="125"/>
      <c r="BA2494" s="125"/>
    </row>
    <row r="2495" spans="2:53" s="123" customFormat="1">
      <c r="B2495" s="125"/>
      <c r="D2495" s="125"/>
      <c r="I2495" s="125"/>
      <c r="Z2495" s="124"/>
      <c r="AA2495" s="74"/>
      <c r="AB2495" s="240"/>
      <c r="AD2495" s="124"/>
      <c r="AE2495" s="238"/>
      <c r="AF2495" s="239"/>
      <c r="AG2495" s="239"/>
      <c r="AH2495" s="124"/>
      <c r="AI2495" s="74"/>
      <c r="AJ2495" s="240"/>
      <c r="AL2495" s="124"/>
      <c r="AM2495" s="74"/>
      <c r="AP2495" s="125"/>
      <c r="AQ2495" s="241"/>
      <c r="AR2495" s="125"/>
      <c r="AS2495" s="125"/>
      <c r="AT2495" s="238"/>
      <c r="AU2495" s="125"/>
      <c r="AV2495" s="125"/>
      <c r="AW2495" s="125"/>
      <c r="AX2495" s="238"/>
      <c r="AY2495" s="125"/>
      <c r="AZ2495" s="125"/>
      <c r="BA2495" s="125"/>
    </row>
    <row r="2496" spans="2:53" s="123" customFormat="1">
      <c r="B2496" s="125"/>
      <c r="D2496" s="125"/>
      <c r="I2496" s="125"/>
      <c r="Z2496" s="124"/>
      <c r="AA2496" s="74"/>
      <c r="AB2496" s="240"/>
      <c r="AD2496" s="124"/>
      <c r="AE2496" s="238"/>
      <c r="AF2496" s="239"/>
      <c r="AG2496" s="239"/>
      <c r="AH2496" s="124"/>
      <c r="AI2496" s="74"/>
      <c r="AJ2496" s="240"/>
      <c r="AL2496" s="124"/>
      <c r="AM2496" s="74"/>
      <c r="AP2496" s="125"/>
      <c r="AQ2496" s="241"/>
      <c r="AR2496" s="125"/>
      <c r="AS2496" s="125"/>
      <c r="AT2496" s="238"/>
      <c r="AU2496" s="125"/>
      <c r="AV2496" s="125"/>
      <c r="AW2496" s="125"/>
      <c r="AX2496" s="238"/>
      <c r="AY2496" s="125"/>
      <c r="AZ2496" s="125"/>
      <c r="BA2496" s="125"/>
    </row>
    <row r="2497" spans="2:53" s="123" customFormat="1">
      <c r="B2497" s="125"/>
      <c r="D2497" s="125"/>
      <c r="I2497" s="125"/>
      <c r="Z2497" s="124"/>
      <c r="AA2497" s="74"/>
      <c r="AB2497" s="240"/>
      <c r="AD2497" s="124"/>
      <c r="AE2497" s="238"/>
      <c r="AF2497" s="239"/>
      <c r="AG2497" s="239"/>
      <c r="AH2497" s="124"/>
      <c r="AI2497" s="74"/>
      <c r="AJ2497" s="240"/>
      <c r="AL2497" s="124"/>
      <c r="AM2497" s="74"/>
      <c r="AP2497" s="125"/>
      <c r="AQ2497" s="241"/>
      <c r="AR2497" s="125"/>
      <c r="AS2497" s="125"/>
      <c r="AT2497" s="238"/>
      <c r="AU2497" s="125"/>
      <c r="AV2497" s="125"/>
      <c r="AW2497" s="125"/>
      <c r="AX2497" s="238"/>
      <c r="AY2497" s="125"/>
      <c r="AZ2497" s="125"/>
      <c r="BA2497" s="125"/>
    </row>
    <row r="2498" spans="2:53" s="123" customFormat="1">
      <c r="B2498" s="125"/>
      <c r="D2498" s="125"/>
      <c r="I2498" s="125"/>
      <c r="Z2498" s="124"/>
      <c r="AA2498" s="74"/>
      <c r="AB2498" s="240"/>
      <c r="AD2498" s="124"/>
      <c r="AE2498" s="238"/>
      <c r="AF2498" s="239"/>
      <c r="AG2498" s="239"/>
      <c r="AH2498" s="124"/>
      <c r="AI2498" s="74"/>
      <c r="AJ2498" s="240"/>
      <c r="AL2498" s="124"/>
      <c r="AM2498" s="74"/>
      <c r="AP2498" s="125"/>
      <c r="AQ2498" s="241"/>
      <c r="AR2498" s="125"/>
      <c r="AS2498" s="125"/>
      <c r="AT2498" s="238"/>
      <c r="AU2498" s="125"/>
      <c r="AV2498" s="125"/>
      <c r="AW2498" s="125"/>
      <c r="AX2498" s="238"/>
      <c r="AY2498" s="125"/>
      <c r="AZ2498" s="125"/>
      <c r="BA2498" s="125"/>
    </row>
    <row r="2499" spans="2:53" s="123" customFormat="1">
      <c r="B2499" s="125"/>
      <c r="D2499" s="125"/>
      <c r="I2499" s="125"/>
      <c r="Z2499" s="124"/>
      <c r="AA2499" s="74"/>
      <c r="AB2499" s="240"/>
      <c r="AD2499" s="124"/>
      <c r="AE2499" s="238"/>
      <c r="AF2499" s="239"/>
      <c r="AG2499" s="239"/>
      <c r="AH2499" s="124"/>
      <c r="AI2499" s="74"/>
      <c r="AJ2499" s="240"/>
      <c r="AL2499" s="124"/>
      <c r="AM2499" s="74"/>
      <c r="AP2499" s="125"/>
      <c r="AQ2499" s="241"/>
      <c r="AR2499" s="125"/>
      <c r="AS2499" s="125"/>
      <c r="AT2499" s="238"/>
      <c r="AU2499" s="125"/>
      <c r="AV2499" s="125"/>
      <c r="AW2499" s="125"/>
      <c r="AX2499" s="238"/>
      <c r="AY2499" s="125"/>
      <c r="AZ2499" s="125"/>
      <c r="BA2499" s="125"/>
    </row>
    <row r="2500" spans="2:53" s="123" customFormat="1">
      <c r="B2500" s="125"/>
      <c r="D2500" s="125"/>
      <c r="I2500" s="125"/>
      <c r="Z2500" s="124"/>
      <c r="AA2500" s="74"/>
      <c r="AB2500" s="240"/>
      <c r="AD2500" s="124"/>
      <c r="AE2500" s="238"/>
      <c r="AF2500" s="239"/>
      <c r="AG2500" s="239"/>
      <c r="AH2500" s="124"/>
      <c r="AI2500" s="74"/>
      <c r="AJ2500" s="240"/>
      <c r="AL2500" s="124"/>
      <c r="AM2500" s="74"/>
      <c r="AP2500" s="125"/>
      <c r="AQ2500" s="241"/>
      <c r="AR2500" s="125"/>
      <c r="AS2500" s="125"/>
      <c r="AT2500" s="238"/>
      <c r="AU2500" s="125"/>
      <c r="AV2500" s="125"/>
      <c r="AW2500" s="125"/>
      <c r="AX2500" s="238"/>
      <c r="AY2500" s="125"/>
      <c r="AZ2500" s="125"/>
      <c r="BA2500" s="125"/>
    </row>
    <row r="2501" spans="2:53" s="123" customFormat="1">
      <c r="B2501" s="125"/>
      <c r="D2501" s="125"/>
      <c r="I2501" s="125"/>
      <c r="Z2501" s="124"/>
      <c r="AA2501" s="74"/>
      <c r="AB2501" s="240"/>
      <c r="AD2501" s="124"/>
      <c r="AE2501" s="238"/>
      <c r="AF2501" s="239"/>
      <c r="AG2501" s="239"/>
      <c r="AH2501" s="124"/>
      <c r="AI2501" s="74"/>
      <c r="AJ2501" s="240"/>
      <c r="AL2501" s="124"/>
      <c r="AM2501" s="74"/>
      <c r="AP2501" s="125"/>
      <c r="AQ2501" s="241"/>
      <c r="AR2501" s="125"/>
      <c r="AS2501" s="125"/>
      <c r="AT2501" s="238"/>
      <c r="AU2501" s="125"/>
      <c r="AV2501" s="125"/>
      <c r="AW2501" s="125"/>
      <c r="AX2501" s="238"/>
      <c r="AY2501" s="125"/>
      <c r="AZ2501" s="125"/>
      <c r="BA2501" s="125"/>
    </row>
    <row r="2502" spans="2:53" s="123" customFormat="1">
      <c r="B2502" s="125"/>
      <c r="D2502" s="125"/>
      <c r="I2502" s="125"/>
      <c r="Z2502" s="124"/>
      <c r="AA2502" s="74"/>
      <c r="AB2502" s="240"/>
      <c r="AD2502" s="124"/>
      <c r="AE2502" s="238"/>
      <c r="AF2502" s="239"/>
      <c r="AG2502" s="239"/>
      <c r="AH2502" s="124"/>
      <c r="AI2502" s="74"/>
      <c r="AJ2502" s="240"/>
      <c r="AL2502" s="124"/>
      <c r="AM2502" s="74"/>
      <c r="AP2502" s="125"/>
      <c r="AQ2502" s="241"/>
      <c r="AR2502" s="125"/>
      <c r="AS2502" s="125"/>
      <c r="AT2502" s="238"/>
      <c r="AU2502" s="125"/>
      <c r="AV2502" s="125"/>
      <c r="AW2502" s="125"/>
      <c r="AX2502" s="238"/>
      <c r="AY2502" s="125"/>
      <c r="AZ2502" s="125"/>
      <c r="BA2502" s="125"/>
    </row>
    <row r="2503" spans="2:53" s="123" customFormat="1">
      <c r="B2503" s="125"/>
      <c r="D2503" s="125"/>
      <c r="I2503" s="125"/>
      <c r="Z2503" s="124"/>
      <c r="AA2503" s="74"/>
      <c r="AB2503" s="240"/>
      <c r="AD2503" s="124"/>
      <c r="AE2503" s="238"/>
      <c r="AF2503" s="239"/>
      <c r="AG2503" s="239"/>
      <c r="AH2503" s="124"/>
      <c r="AI2503" s="74"/>
      <c r="AJ2503" s="240"/>
      <c r="AL2503" s="124"/>
      <c r="AM2503" s="74"/>
      <c r="AP2503" s="125"/>
      <c r="AQ2503" s="241"/>
      <c r="AR2503" s="125"/>
      <c r="AS2503" s="125"/>
      <c r="AT2503" s="238"/>
      <c r="AU2503" s="125"/>
      <c r="AV2503" s="125"/>
      <c r="AW2503" s="125"/>
      <c r="AX2503" s="238"/>
      <c r="AY2503" s="125"/>
      <c r="AZ2503" s="125"/>
      <c r="BA2503" s="125"/>
    </row>
    <row r="2504" spans="2:53" s="123" customFormat="1">
      <c r="B2504" s="125"/>
      <c r="D2504" s="125"/>
      <c r="I2504" s="125"/>
      <c r="Z2504" s="124"/>
      <c r="AA2504" s="74"/>
      <c r="AB2504" s="240"/>
      <c r="AD2504" s="124"/>
      <c r="AE2504" s="238"/>
      <c r="AF2504" s="239"/>
      <c r="AG2504" s="239"/>
      <c r="AH2504" s="124"/>
      <c r="AI2504" s="74"/>
      <c r="AJ2504" s="240"/>
      <c r="AL2504" s="124"/>
      <c r="AM2504" s="74"/>
      <c r="AP2504" s="125"/>
      <c r="AQ2504" s="241"/>
      <c r="AR2504" s="125"/>
      <c r="AS2504" s="125"/>
      <c r="AT2504" s="238"/>
      <c r="AU2504" s="125"/>
      <c r="AV2504" s="125"/>
      <c r="AW2504" s="125"/>
      <c r="AX2504" s="238"/>
      <c r="AY2504" s="125"/>
      <c r="AZ2504" s="125"/>
      <c r="BA2504" s="125"/>
    </row>
    <row r="2505" spans="2:53" s="123" customFormat="1">
      <c r="B2505" s="125"/>
      <c r="D2505" s="125"/>
      <c r="I2505" s="125"/>
      <c r="Z2505" s="124"/>
      <c r="AA2505" s="74"/>
      <c r="AB2505" s="240"/>
      <c r="AD2505" s="124"/>
      <c r="AE2505" s="238"/>
      <c r="AF2505" s="239"/>
      <c r="AG2505" s="239"/>
      <c r="AH2505" s="124"/>
      <c r="AI2505" s="74"/>
      <c r="AJ2505" s="240"/>
      <c r="AL2505" s="124"/>
      <c r="AM2505" s="74"/>
      <c r="AP2505" s="125"/>
      <c r="AQ2505" s="241"/>
      <c r="AR2505" s="125"/>
      <c r="AS2505" s="125"/>
      <c r="AT2505" s="238"/>
      <c r="AU2505" s="125"/>
      <c r="AV2505" s="125"/>
      <c r="AW2505" s="125"/>
      <c r="AX2505" s="238"/>
      <c r="AY2505" s="125"/>
      <c r="AZ2505" s="125"/>
      <c r="BA2505" s="125"/>
    </row>
    <row r="2506" spans="2:53" s="123" customFormat="1">
      <c r="B2506" s="125"/>
      <c r="D2506" s="125"/>
      <c r="I2506" s="125"/>
      <c r="Z2506" s="124"/>
      <c r="AA2506" s="74"/>
      <c r="AB2506" s="240"/>
      <c r="AD2506" s="124"/>
      <c r="AE2506" s="238"/>
      <c r="AF2506" s="239"/>
      <c r="AG2506" s="239"/>
      <c r="AH2506" s="124"/>
      <c r="AI2506" s="74"/>
      <c r="AJ2506" s="240"/>
      <c r="AL2506" s="124"/>
      <c r="AM2506" s="74"/>
      <c r="AP2506" s="125"/>
      <c r="AQ2506" s="241"/>
      <c r="AR2506" s="125"/>
      <c r="AS2506" s="125"/>
      <c r="AT2506" s="238"/>
      <c r="AU2506" s="125"/>
      <c r="AV2506" s="125"/>
      <c r="AW2506" s="125"/>
      <c r="AX2506" s="238"/>
      <c r="AY2506" s="125"/>
      <c r="AZ2506" s="125"/>
      <c r="BA2506" s="125"/>
    </row>
    <row r="2507" spans="2:53" s="123" customFormat="1">
      <c r="B2507" s="125"/>
      <c r="D2507" s="125"/>
      <c r="I2507" s="125"/>
      <c r="Z2507" s="124"/>
      <c r="AA2507" s="74"/>
      <c r="AB2507" s="240"/>
      <c r="AD2507" s="124"/>
      <c r="AE2507" s="238"/>
      <c r="AF2507" s="239"/>
      <c r="AG2507" s="239"/>
      <c r="AH2507" s="124"/>
      <c r="AI2507" s="74"/>
      <c r="AJ2507" s="240"/>
      <c r="AL2507" s="124"/>
      <c r="AM2507" s="74"/>
      <c r="AP2507" s="125"/>
      <c r="AQ2507" s="241"/>
      <c r="AR2507" s="125"/>
      <c r="AS2507" s="125"/>
      <c r="AT2507" s="238"/>
      <c r="AU2507" s="125"/>
      <c r="AV2507" s="125"/>
      <c r="AW2507" s="125"/>
      <c r="AX2507" s="238"/>
      <c r="AY2507" s="125"/>
      <c r="AZ2507" s="125"/>
      <c r="BA2507" s="125"/>
    </row>
    <row r="2508" spans="2:53" s="123" customFormat="1">
      <c r="B2508" s="125"/>
      <c r="D2508" s="125"/>
      <c r="I2508" s="125"/>
      <c r="Z2508" s="124"/>
      <c r="AA2508" s="74"/>
      <c r="AB2508" s="240"/>
      <c r="AD2508" s="124"/>
      <c r="AE2508" s="238"/>
      <c r="AF2508" s="239"/>
      <c r="AG2508" s="239"/>
      <c r="AH2508" s="124"/>
      <c r="AI2508" s="74"/>
      <c r="AJ2508" s="240"/>
      <c r="AL2508" s="124"/>
      <c r="AM2508" s="74"/>
      <c r="AP2508" s="125"/>
      <c r="AQ2508" s="241"/>
      <c r="AR2508" s="125"/>
      <c r="AS2508" s="125"/>
      <c r="AT2508" s="238"/>
      <c r="AU2508" s="125"/>
      <c r="AV2508" s="125"/>
      <c r="AW2508" s="125"/>
      <c r="AX2508" s="238"/>
      <c r="AY2508" s="125"/>
      <c r="AZ2508" s="125"/>
      <c r="BA2508" s="125"/>
    </row>
    <row r="2509" spans="2:53" s="123" customFormat="1">
      <c r="B2509" s="125"/>
      <c r="D2509" s="125"/>
      <c r="I2509" s="125"/>
      <c r="Z2509" s="124"/>
      <c r="AA2509" s="74"/>
      <c r="AB2509" s="240"/>
      <c r="AD2509" s="124"/>
      <c r="AE2509" s="238"/>
      <c r="AF2509" s="239"/>
      <c r="AG2509" s="239"/>
      <c r="AH2509" s="124"/>
      <c r="AI2509" s="74"/>
      <c r="AJ2509" s="240"/>
      <c r="AL2509" s="124"/>
      <c r="AM2509" s="74"/>
      <c r="AP2509" s="125"/>
      <c r="AQ2509" s="241"/>
      <c r="AR2509" s="125"/>
      <c r="AS2509" s="125"/>
      <c r="AT2509" s="238"/>
      <c r="AU2509" s="125"/>
      <c r="AV2509" s="125"/>
      <c r="AW2509" s="125"/>
      <c r="AX2509" s="238"/>
      <c r="AY2509" s="125"/>
      <c r="AZ2509" s="125"/>
      <c r="BA2509" s="125"/>
    </row>
    <row r="2510" spans="2:53" s="123" customFormat="1">
      <c r="B2510" s="125"/>
      <c r="D2510" s="125"/>
      <c r="I2510" s="125"/>
      <c r="Z2510" s="124"/>
      <c r="AA2510" s="74"/>
      <c r="AB2510" s="240"/>
      <c r="AD2510" s="124"/>
      <c r="AE2510" s="238"/>
      <c r="AF2510" s="239"/>
      <c r="AG2510" s="239"/>
      <c r="AH2510" s="124"/>
      <c r="AI2510" s="74"/>
      <c r="AJ2510" s="240"/>
      <c r="AL2510" s="124"/>
      <c r="AM2510" s="74"/>
      <c r="AP2510" s="125"/>
      <c r="AQ2510" s="241"/>
      <c r="AR2510" s="125"/>
      <c r="AS2510" s="125"/>
      <c r="AT2510" s="238"/>
      <c r="AU2510" s="125"/>
      <c r="AV2510" s="125"/>
      <c r="AW2510" s="125"/>
      <c r="AX2510" s="238"/>
      <c r="AY2510" s="125"/>
      <c r="AZ2510" s="125"/>
      <c r="BA2510" s="125"/>
    </row>
    <row r="2511" spans="2:53" s="123" customFormat="1">
      <c r="B2511" s="125"/>
      <c r="D2511" s="125"/>
      <c r="I2511" s="125"/>
      <c r="Z2511" s="124"/>
      <c r="AA2511" s="74"/>
      <c r="AB2511" s="240"/>
      <c r="AD2511" s="124"/>
      <c r="AE2511" s="238"/>
      <c r="AF2511" s="239"/>
      <c r="AG2511" s="239"/>
      <c r="AH2511" s="124"/>
      <c r="AI2511" s="74"/>
      <c r="AJ2511" s="240"/>
      <c r="AL2511" s="124"/>
      <c r="AM2511" s="74"/>
      <c r="AP2511" s="125"/>
      <c r="AQ2511" s="241"/>
      <c r="AR2511" s="125"/>
      <c r="AS2511" s="125"/>
      <c r="AT2511" s="238"/>
      <c r="AU2511" s="125"/>
      <c r="AV2511" s="125"/>
      <c r="AW2511" s="125"/>
      <c r="AX2511" s="238"/>
      <c r="AY2511" s="125"/>
      <c r="AZ2511" s="125"/>
      <c r="BA2511" s="125"/>
    </row>
    <row r="2512" spans="2:53" s="123" customFormat="1">
      <c r="B2512" s="125"/>
      <c r="D2512" s="125"/>
      <c r="I2512" s="125"/>
      <c r="Z2512" s="124"/>
      <c r="AA2512" s="74"/>
      <c r="AB2512" s="240"/>
      <c r="AD2512" s="124"/>
      <c r="AE2512" s="238"/>
      <c r="AF2512" s="239"/>
      <c r="AG2512" s="239"/>
      <c r="AH2512" s="124"/>
      <c r="AI2512" s="74"/>
      <c r="AJ2512" s="240"/>
      <c r="AL2512" s="124"/>
      <c r="AM2512" s="74"/>
      <c r="AP2512" s="125"/>
      <c r="AQ2512" s="241"/>
      <c r="AR2512" s="125"/>
      <c r="AS2512" s="125"/>
      <c r="AT2512" s="238"/>
      <c r="AU2512" s="125"/>
      <c r="AV2512" s="125"/>
      <c r="AW2512" s="125"/>
      <c r="AX2512" s="238"/>
      <c r="AY2512" s="125"/>
      <c r="AZ2512" s="125"/>
      <c r="BA2512" s="125"/>
    </row>
    <row r="2513" spans="2:53" s="123" customFormat="1">
      <c r="B2513" s="125"/>
      <c r="D2513" s="125"/>
      <c r="I2513" s="125"/>
      <c r="Z2513" s="124"/>
      <c r="AA2513" s="74"/>
      <c r="AB2513" s="240"/>
      <c r="AD2513" s="124"/>
      <c r="AE2513" s="238"/>
      <c r="AF2513" s="239"/>
      <c r="AG2513" s="239"/>
      <c r="AH2513" s="124"/>
      <c r="AI2513" s="74"/>
      <c r="AJ2513" s="240"/>
      <c r="AL2513" s="124"/>
      <c r="AM2513" s="74"/>
      <c r="AP2513" s="125"/>
      <c r="AQ2513" s="241"/>
      <c r="AR2513" s="125"/>
      <c r="AS2513" s="125"/>
      <c r="AT2513" s="238"/>
      <c r="AU2513" s="125"/>
      <c r="AV2513" s="125"/>
      <c r="AW2513" s="125"/>
      <c r="AX2513" s="238"/>
      <c r="AY2513" s="125"/>
      <c r="AZ2513" s="125"/>
      <c r="BA2513" s="125"/>
    </row>
    <row r="2514" spans="2:53" s="123" customFormat="1">
      <c r="B2514" s="125"/>
      <c r="D2514" s="125"/>
      <c r="I2514" s="125"/>
      <c r="Z2514" s="124"/>
      <c r="AA2514" s="74"/>
      <c r="AB2514" s="240"/>
      <c r="AD2514" s="124"/>
      <c r="AE2514" s="238"/>
      <c r="AF2514" s="239"/>
      <c r="AG2514" s="239"/>
      <c r="AH2514" s="124"/>
      <c r="AI2514" s="74"/>
      <c r="AJ2514" s="240"/>
      <c r="AL2514" s="124"/>
      <c r="AM2514" s="74"/>
      <c r="AP2514" s="125"/>
      <c r="AQ2514" s="241"/>
      <c r="AR2514" s="125"/>
      <c r="AS2514" s="125"/>
      <c r="AT2514" s="238"/>
      <c r="AU2514" s="125"/>
      <c r="AV2514" s="125"/>
      <c r="AW2514" s="125"/>
      <c r="AX2514" s="238"/>
      <c r="AY2514" s="125"/>
      <c r="AZ2514" s="125"/>
      <c r="BA2514" s="125"/>
    </row>
    <row r="2515" spans="2:53" s="123" customFormat="1">
      <c r="B2515" s="125"/>
      <c r="D2515" s="125"/>
      <c r="I2515" s="125"/>
      <c r="Z2515" s="124"/>
      <c r="AA2515" s="74"/>
      <c r="AB2515" s="240"/>
      <c r="AD2515" s="124"/>
      <c r="AE2515" s="238"/>
      <c r="AF2515" s="239"/>
      <c r="AG2515" s="239"/>
      <c r="AH2515" s="124"/>
      <c r="AI2515" s="74"/>
      <c r="AJ2515" s="240"/>
      <c r="AL2515" s="124"/>
      <c r="AM2515" s="74"/>
      <c r="AP2515" s="125"/>
      <c r="AQ2515" s="241"/>
      <c r="AR2515" s="125"/>
      <c r="AS2515" s="125"/>
      <c r="AT2515" s="238"/>
      <c r="AU2515" s="125"/>
      <c r="AV2515" s="125"/>
      <c r="AW2515" s="125"/>
      <c r="AX2515" s="238"/>
      <c r="AY2515" s="125"/>
      <c r="AZ2515" s="125"/>
      <c r="BA2515" s="125"/>
    </row>
    <row r="2516" spans="2:53" s="123" customFormat="1">
      <c r="B2516" s="125"/>
      <c r="D2516" s="125"/>
      <c r="I2516" s="125"/>
      <c r="Z2516" s="124"/>
      <c r="AA2516" s="74"/>
      <c r="AB2516" s="240"/>
      <c r="AD2516" s="124"/>
      <c r="AE2516" s="238"/>
      <c r="AF2516" s="239"/>
      <c r="AG2516" s="239"/>
      <c r="AH2516" s="124"/>
      <c r="AI2516" s="74"/>
      <c r="AJ2516" s="240"/>
      <c r="AL2516" s="124"/>
      <c r="AM2516" s="74"/>
      <c r="AP2516" s="125"/>
      <c r="AQ2516" s="241"/>
      <c r="AR2516" s="125"/>
      <c r="AS2516" s="125"/>
      <c r="AT2516" s="238"/>
      <c r="AU2516" s="125"/>
      <c r="AV2516" s="125"/>
      <c r="AW2516" s="125"/>
      <c r="AX2516" s="238"/>
      <c r="AY2516" s="125"/>
      <c r="AZ2516" s="125"/>
      <c r="BA2516" s="125"/>
    </row>
    <row r="2517" spans="2:53" s="123" customFormat="1">
      <c r="B2517" s="125"/>
      <c r="D2517" s="125"/>
      <c r="I2517" s="125"/>
      <c r="Z2517" s="124"/>
      <c r="AA2517" s="74"/>
      <c r="AB2517" s="240"/>
      <c r="AD2517" s="124"/>
      <c r="AE2517" s="238"/>
      <c r="AF2517" s="239"/>
      <c r="AG2517" s="239"/>
      <c r="AH2517" s="124"/>
      <c r="AI2517" s="74"/>
      <c r="AJ2517" s="240"/>
      <c r="AL2517" s="124"/>
      <c r="AM2517" s="74"/>
      <c r="AP2517" s="125"/>
      <c r="AQ2517" s="241"/>
      <c r="AR2517" s="125"/>
      <c r="AS2517" s="125"/>
      <c r="AT2517" s="238"/>
      <c r="AU2517" s="125"/>
      <c r="AV2517" s="125"/>
      <c r="AW2517" s="125"/>
      <c r="AX2517" s="238"/>
      <c r="AY2517" s="125"/>
      <c r="AZ2517" s="125"/>
      <c r="BA2517" s="125"/>
    </row>
    <row r="2518" spans="2:53" s="123" customFormat="1">
      <c r="B2518" s="125"/>
      <c r="D2518" s="125"/>
      <c r="I2518" s="125"/>
      <c r="Z2518" s="124"/>
      <c r="AA2518" s="74"/>
      <c r="AB2518" s="240"/>
      <c r="AD2518" s="124"/>
      <c r="AE2518" s="238"/>
      <c r="AF2518" s="239"/>
      <c r="AG2518" s="239"/>
      <c r="AH2518" s="124"/>
      <c r="AI2518" s="74"/>
      <c r="AJ2518" s="240"/>
      <c r="AL2518" s="124"/>
      <c r="AM2518" s="74"/>
      <c r="AP2518" s="125"/>
      <c r="AQ2518" s="241"/>
      <c r="AR2518" s="125"/>
      <c r="AS2518" s="125"/>
      <c r="AT2518" s="238"/>
      <c r="AU2518" s="125"/>
      <c r="AV2518" s="125"/>
      <c r="AW2518" s="125"/>
      <c r="AX2518" s="238"/>
      <c r="AY2518" s="125"/>
      <c r="AZ2518" s="125"/>
      <c r="BA2518" s="125"/>
    </row>
    <row r="2519" spans="2:53" s="123" customFormat="1">
      <c r="B2519" s="125"/>
      <c r="D2519" s="125"/>
      <c r="I2519" s="125"/>
      <c r="Z2519" s="124"/>
      <c r="AA2519" s="74"/>
      <c r="AB2519" s="240"/>
      <c r="AD2519" s="124"/>
      <c r="AE2519" s="238"/>
      <c r="AF2519" s="239"/>
      <c r="AG2519" s="239"/>
      <c r="AH2519" s="124"/>
      <c r="AI2519" s="74"/>
      <c r="AJ2519" s="240"/>
      <c r="AL2519" s="124"/>
      <c r="AM2519" s="74"/>
      <c r="AP2519" s="125"/>
      <c r="AQ2519" s="241"/>
      <c r="AR2519" s="125"/>
      <c r="AS2519" s="125"/>
      <c r="AT2519" s="238"/>
      <c r="AU2519" s="125"/>
      <c r="AV2519" s="125"/>
      <c r="AW2519" s="125"/>
      <c r="AX2519" s="238"/>
      <c r="AY2519" s="125"/>
      <c r="AZ2519" s="125"/>
      <c r="BA2519" s="125"/>
    </row>
    <row r="2520" spans="2:53" s="123" customFormat="1">
      <c r="B2520" s="125"/>
      <c r="D2520" s="125"/>
      <c r="I2520" s="125"/>
      <c r="Z2520" s="124"/>
      <c r="AA2520" s="74"/>
      <c r="AB2520" s="240"/>
      <c r="AD2520" s="124"/>
      <c r="AE2520" s="238"/>
      <c r="AF2520" s="239"/>
      <c r="AG2520" s="239"/>
      <c r="AH2520" s="124"/>
      <c r="AI2520" s="74"/>
      <c r="AJ2520" s="240"/>
      <c r="AL2520" s="124"/>
      <c r="AM2520" s="74"/>
      <c r="AP2520" s="125"/>
      <c r="AQ2520" s="241"/>
      <c r="AR2520" s="125"/>
      <c r="AS2520" s="125"/>
      <c r="AT2520" s="238"/>
      <c r="AU2520" s="125"/>
      <c r="AV2520" s="125"/>
      <c r="AW2520" s="125"/>
      <c r="AX2520" s="238"/>
      <c r="AY2520" s="125"/>
      <c r="AZ2520" s="125"/>
      <c r="BA2520" s="125"/>
    </row>
    <row r="2521" spans="2:53" s="123" customFormat="1">
      <c r="B2521" s="125"/>
      <c r="D2521" s="125"/>
      <c r="I2521" s="125"/>
      <c r="Z2521" s="124"/>
      <c r="AA2521" s="74"/>
      <c r="AB2521" s="240"/>
      <c r="AD2521" s="124"/>
      <c r="AE2521" s="238"/>
      <c r="AF2521" s="239"/>
      <c r="AG2521" s="239"/>
      <c r="AH2521" s="124"/>
      <c r="AI2521" s="74"/>
      <c r="AJ2521" s="240"/>
      <c r="AL2521" s="124"/>
      <c r="AM2521" s="74"/>
      <c r="AP2521" s="125"/>
      <c r="AQ2521" s="241"/>
      <c r="AR2521" s="125"/>
      <c r="AS2521" s="125"/>
      <c r="AT2521" s="238"/>
      <c r="AU2521" s="125"/>
      <c r="AV2521" s="125"/>
      <c r="AW2521" s="125"/>
      <c r="AX2521" s="238"/>
      <c r="AY2521" s="125"/>
      <c r="AZ2521" s="125"/>
      <c r="BA2521" s="125"/>
    </row>
    <row r="2522" spans="2:53" s="123" customFormat="1">
      <c r="B2522" s="125"/>
      <c r="D2522" s="125"/>
      <c r="I2522" s="125"/>
      <c r="Z2522" s="124"/>
      <c r="AA2522" s="74"/>
      <c r="AB2522" s="240"/>
      <c r="AD2522" s="124"/>
      <c r="AE2522" s="238"/>
      <c r="AF2522" s="239"/>
      <c r="AG2522" s="239"/>
      <c r="AH2522" s="124"/>
      <c r="AI2522" s="74"/>
      <c r="AJ2522" s="240"/>
      <c r="AL2522" s="124"/>
      <c r="AM2522" s="74"/>
      <c r="AP2522" s="125"/>
      <c r="AQ2522" s="241"/>
      <c r="AR2522" s="125"/>
      <c r="AS2522" s="125"/>
      <c r="AT2522" s="238"/>
      <c r="AU2522" s="125"/>
      <c r="AV2522" s="125"/>
      <c r="AW2522" s="125"/>
      <c r="AX2522" s="238"/>
      <c r="AY2522" s="125"/>
      <c r="AZ2522" s="125"/>
      <c r="BA2522" s="125"/>
    </row>
    <row r="2523" spans="2:53" s="123" customFormat="1">
      <c r="B2523" s="125"/>
      <c r="D2523" s="125"/>
      <c r="I2523" s="125"/>
      <c r="Z2523" s="124"/>
      <c r="AA2523" s="74"/>
      <c r="AB2523" s="240"/>
      <c r="AD2523" s="124"/>
      <c r="AE2523" s="238"/>
      <c r="AF2523" s="239"/>
      <c r="AG2523" s="239"/>
      <c r="AH2523" s="124"/>
      <c r="AI2523" s="74"/>
      <c r="AJ2523" s="240"/>
      <c r="AL2523" s="124"/>
      <c r="AM2523" s="74"/>
      <c r="AP2523" s="125"/>
      <c r="AQ2523" s="241"/>
      <c r="AR2523" s="125"/>
      <c r="AS2523" s="125"/>
      <c r="AT2523" s="238"/>
      <c r="AU2523" s="125"/>
      <c r="AV2523" s="125"/>
      <c r="AW2523" s="125"/>
      <c r="AX2523" s="238"/>
      <c r="AY2523" s="125"/>
      <c r="AZ2523" s="125"/>
      <c r="BA2523" s="125"/>
    </row>
    <row r="2524" spans="2:53" s="123" customFormat="1">
      <c r="B2524" s="125"/>
      <c r="D2524" s="125"/>
      <c r="I2524" s="125"/>
      <c r="Z2524" s="124"/>
      <c r="AA2524" s="74"/>
      <c r="AB2524" s="240"/>
      <c r="AD2524" s="124"/>
      <c r="AE2524" s="238"/>
      <c r="AF2524" s="239"/>
      <c r="AG2524" s="239"/>
      <c r="AH2524" s="124"/>
      <c r="AI2524" s="74"/>
      <c r="AJ2524" s="240"/>
      <c r="AL2524" s="124"/>
      <c r="AM2524" s="74"/>
      <c r="AP2524" s="125"/>
      <c r="AQ2524" s="241"/>
      <c r="AR2524" s="125"/>
      <c r="AS2524" s="125"/>
      <c r="AT2524" s="238"/>
      <c r="AU2524" s="125"/>
      <c r="AV2524" s="125"/>
      <c r="AW2524" s="125"/>
      <c r="AX2524" s="238"/>
      <c r="AY2524" s="125"/>
      <c r="AZ2524" s="125"/>
      <c r="BA2524" s="125"/>
    </row>
    <row r="2525" spans="2:53" s="123" customFormat="1">
      <c r="B2525" s="125"/>
      <c r="D2525" s="125"/>
      <c r="I2525" s="125"/>
      <c r="Z2525" s="124"/>
      <c r="AA2525" s="74"/>
      <c r="AB2525" s="240"/>
      <c r="AD2525" s="124"/>
      <c r="AE2525" s="238"/>
      <c r="AF2525" s="239"/>
      <c r="AG2525" s="239"/>
      <c r="AH2525" s="124"/>
      <c r="AI2525" s="74"/>
      <c r="AJ2525" s="240"/>
      <c r="AL2525" s="124"/>
      <c r="AM2525" s="74"/>
      <c r="AP2525" s="125"/>
      <c r="AQ2525" s="241"/>
      <c r="AR2525" s="125"/>
      <c r="AS2525" s="125"/>
      <c r="AT2525" s="238"/>
      <c r="AU2525" s="125"/>
      <c r="AV2525" s="125"/>
      <c r="AW2525" s="125"/>
      <c r="AX2525" s="238"/>
      <c r="AY2525" s="125"/>
      <c r="AZ2525" s="125"/>
      <c r="BA2525" s="125"/>
    </row>
    <row r="2526" spans="2:53" s="123" customFormat="1">
      <c r="B2526" s="125"/>
      <c r="D2526" s="125"/>
      <c r="I2526" s="125"/>
      <c r="Z2526" s="124"/>
      <c r="AA2526" s="74"/>
      <c r="AB2526" s="240"/>
      <c r="AD2526" s="124"/>
      <c r="AE2526" s="238"/>
      <c r="AF2526" s="239"/>
      <c r="AG2526" s="239"/>
      <c r="AH2526" s="124"/>
      <c r="AI2526" s="74"/>
      <c r="AJ2526" s="240"/>
      <c r="AL2526" s="124"/>
      <c r="AM2526" s="74"/>
      <c r="AP2526" s="125"/>
      <c r="AQ2526" s="241"/>
      <c r="AR2526" s="125"/>
      <c r="AS2526" s="125"/>
      <c r="AT2526" s="238"/>
      <c r="AU2526" s="125"/>
      <c r="AV2526" s="125"/>
      <c r="AW2526" s="125"/>
      <c r="AX2526" s="238"/>
      <c r="AY2526" s="125"/>
      <c r="AZ2526" s="125"/>
      <c r="BA2526" s="125"/>
    </row>
    <row r="2527" spans="2:53" s="123" customFormat="1">
      <c r="B2527" s="125"/>
      <c r="D2527" s="125"/>
      <c r="I2527" s="125"/>
      <c r="Z2527" s="124"/>
      <c r="AA2527" s="74"/>
      <c r="AB2527" s="240"/>
      <c r="AD2527" s="124"/>
      <c r="AE2527" s="238"/>
      <c r="AF2527" s="239"/>
      <c r="AG2527" s="239"/>
      <c r="AH2527" s="124"/>
      <c r="AI2527" s="74"/>
      <c r="AJ2527" s="240"/>
      <c r="AL2527" s="124"/>
      <c r="AM2527" s="74"/>
      <c r="AP2527" s="125"/>
      <c r="AQ2527" s="241"/>
      <c r="AR2527" s="125"/>
      <c r="AS2527" s="125"/>
      <c r="AT2527" s="238"/>
      <c r="AU2527" s="125"/>
      <c r="AV2527" s="125"/>
      <c r="AW2527" s="125"/>
      <c r="AX2527" s="238"/>
      <c r="AY2527" s="125"/>
      <c r="AZ2527" s="125"/>
      <c r="BA2527" s="125"/>
    </row>
    <row r="2528" spans="2:53" s="123" customFormat="1">
      <c r="B2528" s="125"/>
      <c r="D2528" s="125"/>
      <c r="I2528" s="125"/>
      <c r="Z2528" s="124"/>
      <c r="AA2528" s="74"/>
      <c r="AB2528" s="240"/>
      <c r="AD2528" s="124"/>
      <c r="AE2528" s="238"/>
      <c r="AF2528" s="239"/>
      <c r="AG2528" s="239"/>
      <c r="AH2528" s="124"/>
      <c r="AI2528" s="74"/>
      <c r="AJ2528" s="240"/>
      <c r="AL2528" s="124"/>
      <c r="AM2528" s="74"/>
      <c r="AP2528" s="125"/>
      <c r="AQ2528" s="241"/>
      <c r="AR2528" s="125"/>
      <c r="AS2528" s="125"/>
      <c r="AT2528" s="238"/>
      <c r="AU2528" s="125"/>
      <c r="AV2528" s="125"/>
      <c r="AW2528" s="125"/>
      <c r="AX2528" s="238"/>
      <c r="AY2528" s="125"/>
      <c r="AZ2528" s="125"/>
      <c r="BA2528" s="125"/>
    </row>
    <row r="2529" spans="2:53" s="123" customFormat="1">
      <c r="B2529" s="125"/>
      <c r="D2529" s="125"/>
      <c r="I2529" s="125"/>
      <c r="Z2529" s="124"/>
      <c r="AA2529" s="74"/>
      <c r="AB2529" s="240"/>
      <c r="AD2529" s="124"/>
      <c r="AE2529" s="238"/>
      <c r="AF2529" s="239"/>
      <c r="AG2529" s="239"/>
      <c r="AH2529" s="124"/>
      <c r="AI2529" s="74"/>
      <c r="AJ2529" s="240"/>
      <c r="AL2529" s="124"/>
      <c r="AM2529" s="74"/>
      <c r="AP2529" s="125"/>
      <c r="AQ2529" s="241"/>
      <c r="AR2529" s="125"/>
      <c r="AS2529" s="125"/>
      <c r="AT2529" s="238"/>
      <c r="AU2529" s="125"/>
      <c r="AV2529" s="125"/>
      <c r="AW2529" s="125"/>
      <c r="AX2529" s="238"/>
      <c r="AY2529" s="125"/>
      <c r="AZ2529" s="125"/>
      <c r="BA2529" s="125"/>
    </row>
    <row r="2530" spans="2:53" s="123" customFormat="1">
      <c r="B2530" s="125"/>
      <c r="D2530" s="125"/>
      <c r="I2530" s="125"/>
      <c r="Z2530" s="124"/>
      <c r="AA2530" s="74"/>
      <c r="AB2530" s="240"/>
      <c r="AD2530" s="124"/>
      <c r="AE2530" s="238"/>
      <c r="AF2530" s="239"/>
      <c r="AG2530" s="239"/>
      <c r="AH2530" s="124"/>
      <c r="AI2530" s="74"/>
      <c r="AJ2530" s="240"/>
      <c r="AL2530" s="124"/>
      <c r="AM2530" s="74"/>
      <c r="AP2530" s="125"/>
      <c r="AQ2530" s="241"/>
      <c r="AR2530" s="125"/>
      <c r="AS2530" s="125"/>
      <c r="AT2530" s="238"/>
      <c r="AU2530" s="125"/>
      <c r="AV2530" s="125"/>
      <c r="AW2530" s="125"/>
      <c r="AX2530" s="238"/>
      <c r="AY2530" s="125"/>
      <c r="AZ2530" s="125"/>
      <c r="BA2530" s="125"/>
    </row>
    <row r="2531" spans="2:53" s="123" customFormat="1">
      <c r="B2531" s="125"/>
      <c r="D2531" s="125"/>
      <c r="I2531" s="125"/>
      <c r="Z2531" s="124"/>
      <c r="AA2531" s="74"/>
      <c r="AB2531" s="240"/>
      <c r="AD2531" s="124"/>
      <c r="AE2531" s="238"/>
      <c r="AF2531" s="239"/>
      <c r="AG2531" s="239"/>
      <c r="AH2531" s="124"/>
      <c r="AI2531" s="74"/>
      <c r="AJ2531" s="240"/>
      <c r="AL2531" s="124"/>
      <c r="AM2531" s="74"/>
      <c r="AP2531" s="125"/>
      <c r="AQ2531" s="241"/>
      <c r="AR2531" s="125"/>
      <c r="AS2531" s="125"/>
      <c r="AT2531" s="238"/>
      <c r="AU2531" s="125"/>
      <c r="AV2531" s="125"/>
      <c r="AW2531" s="125"/>
      <c r="AX2531" s="238"/>
      <c r="AY2531" s="125"/>
      <c r="AZ2531" s="125"/>
      <c r="BA2531" s="125"/>
    </row>
    <row r="2532" spans="2:53" s="123" customFormat="1">
      <c r="B2532" s="125"/>
      <c r="D2532" s="125"/>
      <c r="I2532" s="125"/>
      <c r="Z2532" s="124"/>
      <c r="AA2532" s="74"/>
      <c r="AB2532" s="240"/>
      <c r="AD2532" s="124"/>
      <c r="AE2532" s="238"/>
      <c r="AF2532" s="239"/>
      <c r="AG2532" s="239"/>
      <c r="AH2532" s="124"/>
      <c r="AI2532" s="74"/>
      <c r="AJ2532" s="240"/>
      <c r="AL2532" s="124"/>
      <c r="AM2532" s="74"/>
      <c r="AP2532" s="125"/>
      <c r="AQ2532" s="241"/>
      <c r="AR2532" s="125"/>
      <c r="AS2532" s="125"/>
      <c r="AT2532" s="238"/>
      <c r="AU2532" s="125"/>
      <c r="AV2532" s="125"/>
      <c r="AW2532" s="125"/>
      <c r="AX2532" s="238"/>
      <c r="AY2532" s="125"/>
      <c r="AZ2532" s="125"/>
      <c r="BA2532" s="125"/>
    </row>
    <row r="2533" spans="2:53" s="123" customFormat="1">
      <c r="B2533" s="125"/>
      <c r="D2533" s="125"/>
      <c r="I2533" s="125"/>
      <c r="Z2533" s="124"/>
      <c r="AA2533" s="74"/>
      <c r="AB2533" s="240"/>
      <c r="AD2533" s="124"/>
      <c r="AE2533" s="238"/>
      <c r="AF2533" s="239"/>
      <c r="AG2533" s="239"/>
      <c r="AH2533" s="124"/>
      <c r="AI2533" s="74"/>
      <c r="AJ2533" s="240"/>
      <c r="AL2533" s="124"/>
      <c r="AM2533" s="74"/>
      <c r="AP2533" s="125"/>
      <c r="AQ2533" s="241"/>
      <c r="AR2533" s="125"/>
      <c r="AS2533" s="125"/>
      <c r="AT2533" s="238"/>
      <c r="AU2533" s="125"/>
      <c r="AV2533" s="125"/>
      <c r="AW2533" s="125"/>
      <c r="AX2533" s="238"/>
      <c r="AY2533" s="125"/>
      <c r="AZ2533" s="125"/>
      <c r="BA2533" s="125"/>
    </row>
    <row r="2534" spans="2:53" s="123" customFormat="1">
      <c r="B2534" s="125"/>
      <c r="D2534" s="125"/>
      <c r="I2534" s="125"/>
      <c r="Z2534" s="124"/>
      <c r="AA2534" s="74"/>
      <c r="AB2534" s="240"/>
      <c r="AD2534" s="124"/>
      <c r="AE2534" s="238"/>
      <c r="AF2534" s="239"/>
      <c r="AG2534" s="239"/>
      <c r="AH2534" s="124"/>
      <c r="AI2534" s="74"/>
      <c r="AJ2534" s="240"/>
      <c r="AL2534" s="124"/>
      <c r="AM2534" s="74"/>
      <c r="AP2534" s="125"/>
      <c r="AQ2534" s="241"/>
      <c r="AR2534" s="125"/>
      <c r="AS2534" s="125"/>
      <c r="AT2534" s="238"/>
      <c r="AU2534" s="125"/>
      <c r="AV2534" s="125"/>
      <c r="AW2534" s="125"/>
      <c r="AX2534" s="238"/>
      <c r="AY2534" s="125"/>
      <c r="AZ2534" s="125"/>
      <c r="BA2534" s="125"/>
    </row>
    <row r="2535" spans="2:53" s="123" customFormat="1">
      <c r="B2535" s="125"/>
      <c r="D2535" s="125"/>
      <c r="I2535" s="125"/>
      <c r="Z2535" s="124"/>
      <c r="AA2535" s="74"/>
      <c r="AB2535" s="240"/>
      <c r="AD2535" s="124"/>
      <c r="AE2535" s="238"/>
      <c r="AF2535" s="239"/>
      <c r="AG2535" s="239"/>
      <c r="AH2535" s="124"/>
      <c r="AI2535" s="74"/>
      <c r="AJ2535" s="240"/>
      <c r="AL2535" s="124"/>
      <c r="AM2535" s="74"/>
      <c r="AP2535" s="125"/>
      <c r="AQ2535" s="241"/>
      <c r="AR2535" s="125"/>
      <c r="AS2535" s="125"/>
      <c r="AT2535" s="238"/>
      <c r="AU2535" s="125"/>
      <c r="AV2535" s="125"/>
      <c r="AW2535" s="125"/>
      <c r="AX2535" s="238"/>
      <c r="AY2535" s="125"/>
      <c r="AZ2535" s="125"/>
      <c r="BA2535" s="125"/>
    </row>
    <row r="2536" spans="2:53" s="123" customFormat="1">
      <c r="B2536" s="125"/>
      <c r="D2536" s="125"/>
      <c r="I2536" s="125"/>
      <c r="Z2536" s="124"/>
      <c r="AA2536" s="74"/>
      <c r="AB2536" s="240"/>
      <c r="AD2536" s="124"/>
      <c r="AE2536" s="238"/>
      <c r="AF2536" s="239"/>
      <c r="AG2536" s="239"/>
      <c r="AH2536" s="124"/>
      <c r="AI2536" s="74"/>
      <c r="AJ2536" s="240"/>
      <c r="AL2536" s="124"/>
      <c r="AM2536" s="74"/>
      <c r="AP2536" s="125"/>
      <c r="AQ2536" s="241"/>
      <c r="AR2536" s="125"/>
      <c r="AS2536" s="125"/>
      <c r="AT2536" s="238"/>
      <c r="AU2536" s="125"/>
      <c r="AV2536" s="125"/>
      <c r="AW2536" s="125"/>
      <c r="AX2536" s="238"/>
      <c r="AY2536" s="125"/>
      <c r="AZ2536" s="125"/>
      <c r="BA2536" s="125"/>
    </row>
    <row r="2537" spans="2:53" s="123" customFormat="1">
      <c r="B2537" s="125"/>
      <c r="D2537" s="125"/>
      <c r="I2537" s="125"/>
      <c r="Z2537" s="124"/>
      <c r="AA2537" s="74"/>
      <c r="AB2537" s="240"/>
      <c r="AD2537" s="124"/>
      <c r="AE2537" s="238"/>
      <c r="AF2537" s="239"/>
      <c r="AG2537" s="239"/>
      <c r="AH2537" s="124"/>
      <c r="AI2537" s="74"/>
      <c r="AJ2537" s="240"/>
      <c r="AL2537" s="124"/>
      <c r="AM2537" s="74"/>
      <c r="AP2537" s="125"/>
      <c r="AQ2537" s="241"/>
      <c r="AR2537" s="125"/>
      <c r="AS2537" s="125"/>
      <c r="AT2537" s="238"/>
      <c r="AU2537" s="125"/>
      <c r="AV2537" s="125"/>
      <c r="AW2537" s="125"/>
      <c r="AX2537" s="238"/>
      <c r="AY2537" s="125"/>
      <c r="AZ2537" s="125"/>
      <c r="BA2537" s="125"/>
    </row>
    <row r="2538" spans="2:53" s="123" customFormat="1">
      <c r="B2538" s="125"/>
      <c r="D2538" s="125"/>
      <c r="I2538" s="125"/>
      <c r="Z2538" s="124"/>
      <c r="AA2538" s="74"/>
      <c r="AB2538" s="240"/>
      <c r="AD2538" s="124"/>
      <c r="AE2538" s="238"/>
      <c r="AF2538" s="239"/>
      <c r="AG2538" s="239"/>
      <c r="AH2538" s="124"/>
      <c r="AI2538" s="74"/>
      <c r="AJ2538" s="240"/>
      <c r="AL2538" s="124"/>
      <c r="AM2538" s="74"/>
      <c r="AP2538" s="125"/>
      <c r="AQ2538" s="241"/>
      <c r="AR2538" s="125"/>
      <c r="AS2538" s="125"/>
      <c r="AT2538" s="238"/>
      <c r="AU2538" s="125"/>
      <c r="AV2538" s="125"/>
      <c r="AW2538" s="125"/>
      <c r="AX2538" s="238"/>
      <c r="AY2538" s="125"/>
      <c r="AZ2538" s="125"/>
      <c r="BA2538" s="125"/>
    </row>
    <row r="2539" spans="2:53" s="123" customFormat="1">
      <c r="B2539" s="125"/>
      <c r="D2539" s="125"/>
      <c r="I2539" s="125"/>
      <c r="Z2539" s="124"/>
      <c r="AA2539" s="74"/>
      <c r="AB2539" s="240"/>
      <c r="AD2539" s="124"/>
      <c r="AE2539" s="238"/>
      <c r="AF2539" s="239"/>
      <c r="AG2539" s="239"/>
      <c r="AH2539" s="124"/>
      <c r="AI2539" s="74"/>
      <c r="AJ2539" s="240"/>
      <c r="AL2539" s="124"/>
      <c r="AM2539" s="74"/>
      <c r="AP2539" s="125"/>
      <c r="AQ2539" s="241"/>
      <c r="AR2539" s="125"/>
      <c r="AS2539" s="125"/>
      <c r="AT2539" s="238"/>
      <c r="AU2539" s="125"/>
      <c r="AV2539" s="125"/>
      <c r="AW2539" s="125"/>
      <c r="AX2539" s="238"/>
      <c r="AY2539" s="125"/>
      <c r="AZ2539" s="125"/>
      <c r="BA2539" s="125"/>
    </row>
    <row r="2540" spans="2:53" s="123" customFormat="1">
      <c r="B2540" s="125"/>
      <c r="D2540" s="125"/>
      <c r="I2540" s="125"/>
      <c r="Z2540" s="124"/>
      <c r="AA2540" s="74"/>
      <c r="AB2540" s="240"/>
      <c r="AD2540" s="124"/>
      <c r="AE2540" s="238"/>
      <c r="AF2540" s="239"/>
      <c r="AG2540" s="239"/>
      <c r="AH2540" s="124"/>
      <c r="AI2540" s="74"/>
      <c r="AJ2540" s="240"/>
      <c r="AL2540" s="124"/>
      <c r="AM2540" s="74"/>
      <c r="AP2540" s="125"/>
      <c r="AQ2540" s="241"/>
      <c r="AR2540" s="125"/>
      <c r="AS2540" s="125"/>
      <c r="AT2540" s="238"/>
      <c r="AU2540" s="125"/>
      <c r="AV2540" s="125"/>
      <c r="AW2540" s="125"/>
      <c r="AX2540" s="238"/>
      <c r="AY2540" s="125"/>
      <c r="AZ2540" s="125"/>
      <c r="BA2540" s="125"/>
    </row>
    <row r="2541" spans="2:53" s="123" customFormat="1">
      <c r="B2541" s="125"/>
      <c r="D2541" s="125"/>
      <c r="I2541" s="125"/>
      <c r="Z2541" s="124"/>
      <c r="AA2541" s="74"/>
      <c r="AB2541" s="240"/>
      <c r="AD2541" s="124"/>
      <c r="AE2541" s="238"/>
      <c r="AF2541" s="239"/>
      <c r="AG2541" s="239"/>
      <c r="AH2541" s="124"/>
      <c r="AI2541" s="74"/>
      <c r="AJ2541" s="240"/>
      <c r="AL2541" s="124"/>
      <c r="AM2541" s="74"/>
      <c r="AP2541" s="125"/>
      <c r="AQ2541" s="241"/>
      <c r="AR2541" s="125"/>
      <c r="AS2541" s="125"/>
      <c r="AT2541" s="238"/>
      <c r="AU2541" s="125"/>
      <c r="AV2541" s="125"/>
      <c r="AW2541" s="125"/>
      <c r="AX2541" s="238"/>
      <c r="AY2541" s="125"/>
      <c r="AZ2541" s="125"/>
      <c r="BA2541" s="125"/>
    </row>
    <row r="2542" spans="2:53" s="123" customFormat="1">
      <c r="B2542" s="125"/>
      <c r="D2542" s="125"/>
      <c r="I2542" s="125"/>
      <c r="Z2542" s="124"/>
      <c r="AA2542" s="74"/>
      <c r="AB2542" s="240"/>
      <c r="AD2542" s="124"/>
      <c r="AE2542" s="238"/>
      <c r="AF2542" s="239"/>
      <c r="AG2542" s="239"/>
      <c r="AH2542" s="124"/>
      <c r="AI2542" s="74"/>
      <c r="AJ2542" s="240"/>
      <c r="AL2542" s="124"/>
      <c r="AM2542" s="74"/>
      <c r="AP2542" s="125"/>
      <c r="AQ2542" s="241"/>
      <c r="AR2542" s="125"/>
      <c r="AS2542" s="125"/>
      <c r="AT2542" s="238"/>
      <c r="AU2542" s="125"/>
      <c r="AV2542" s="125"/>
      <c r="AW2542" s="125"/>
      <c r="AX2542" s="238"/>
      <c r="AY2542" s="125"/>
      <c r="AZ2542" s="125"/>
      <c r="BA2542" s="125"/>
    </row>
    <row r="2543" spans="2:53" s="123" customFormat="1">
      <c r="B2543" s="125"/>
      <c r="D2543" s="125"/>
      <c r="I2543" s="125"/>
      <c r="Z2543" s="124"/>
      <c r="AA2543" s="74"/>
      <c r="AB2543" s="240"/>
      <c r="AD2543" s="124"/>
      <c r="AE2543" s="238"/>
      <c r="AF2543" s="239"/>
      <c r="AG2543" s="239"/>
      <c r="AH2543" s="124"/>
      <c r="AI2543" s="74"/>
      <c r="AJ2543" s="240"/>
      <c r="AL2543" s="124"/>
      <c r="AM2543" s="74"/>
      <c r="AP2543" s="125"/>
      <c r="AQ2543" s="241"/>
      <c r="AR2543" s="125"/>
      <c r="AS2543" s="125"/>
      <c r="AT2543" s="238"/>
      <c r="AU2543" s="125"/>
      <c r="AV2543" s="125"/>
      <c r="AW2543" s="125"/>
      <c r="AX2543" s="238"/>
      <c r="AY2543" s="125"/>
      <c r="AZ2543" s="125"/>
      <c r="BA2543" s="125"/>
    </row>
    <row r="2544" spans="2:53" s="123" customFormat="1">
      <c r="B2544" s="125"/>
      <c r="D2544" s="125"/>
      <c r="I2544" s="125"/>
      <c r="Z2544" s="124"/>
      <c r="AA2544" s="74"/>
      <c r="AB2544" s="240"/>
      <c r="AD2544" s="124"/>
      <c r="AE2544" s="238"/>
      <c r="AF2544" s="239"/>
      <c r="AG2544" s="239"/>
      <c r="AH2544" s="124"/>
      <c r="AI2544" s="74"/>
      <c r="AJ2544" s="240"/>
      <c r="AL2544" s="124"/>
      <c r="AM2544" s="74"/>
      <c r="AP2544" s="125"/>
      <c r="AQ2544" s="241"/>
      <c r="AR2544" s="125"/>
      <c r="AS2544" s="125"/>
      <c r="AT2544" s="238"/>
      <c r="AU2544" s="125"/>
      <c r="AV2544" s="125"/>
      <c r="AW2544" s="125"/>
      <c r="AX2544" s="238"/>
      <c r="AY2544" s="125"/>
      <c r="AZ2544" s="125"/>
      <c r="BA2544" s="125"/>
    </row>
    <row r="2545" spans="2:53" s="123" customFormat="1">
      <c r="B2545" s="125"/>
      <c r="D2545" s="125"/>
      <c r="I2545" s="125"/>
      <c r="Z2545" s="124"/>
      <c r="AA2545" s="74"/>
      <c r="AB2545" s="240"/>
      <c r="AD2545" s="124"/>
      <c r="AE2545" s="238"/>
      <c r="AF2545" s="239"/>
      <c r="AG2545" s="239"/>
      <c r="AH2545" s="124"/>
      <c r="AI2545" s="74"/>
      <c r="AJ2545" s="240"/>
      <c r="AL2545" s="124"/>
      <c r="AM2545" s="74"/>
      <c r="AP2545" s="125"/>
      <c r="AQ2545" s="241"/>
      <c r="AR2545" s="125"/>
      <c r="AS2545" s="125"/>
      <c r="AT2545" s="238"/>
      <c r="AU2545" s="125"/>
      <c r="AV2545" s="125"/>
      <c r="AW2545" s="125"/>
      <c r="AX2545" s="238"/>
      <c r="AY2545" s="125"/>
      <c r="AZ2545" s="125"/>
      <c r="BA2545" s="125"/>
    </row>
    <row r="2546" spans="2:53" s="123" customFormat="1">
      <c r="B2546" s="125"/>
      <c r="D2546" s="125"/>
      <c r="I2546" s="125"/>
      <c r="Z2546" s="124"/>
      <c r="AA2546" s="74"/>
      <c r="AB2546" s="240"/>
      <c r="AD2546" s="124"/>
      <c r="AE2546" s="238"/>
      <c r="AF2546" s="239"/>
      <c r="AG2546" s="239"/>
      <c r="AH2546" s="124"/>
      <c r="AI2546" s="74"/>
      <c r="AJ2546" s="240"/>
      <c r="AL2546" s="124"/>
      <c r="AM2546" s="74"/>
      <c r="AP2546" s="125"/>
      <c r="AQ2546" s="241"/>
      <c r="AR2546" s="125"/>
      <c r="AS2546" s="125"/>
      <c r="AT2546" s="238"/>
      <c r="AU2546" s="125"/>
      <c r="AV2546" s="125"/>
      <c r="AW2546" s="125"/>
      <c r="AX2546" s="238"/>
      <c r="AY2546" s="125"/>
      <c r="AZ2546" s="125"/>
      <c r="BA2546" s="125"/>
    </row>
    <row r="2547" spans="2:53" s="123" customFormat="1">
      <c r="B2547" s="125"/>
      <c r="D2547" s="125"/>
      <c r="I2547" s="125"/>
      <c r="Z2547" s="124"/>
      <c r="AA2547" s="74"/>
      <c r="AB2547" s="240"/>
      <c r="AD2547" s="124"/>
      <c r="AE2547" s="238"/>
      <c r="AF2547" s="239"/>
      <c r="AG2547" s="239"/>
      <c r="AH2547" s="124"/>
      <c r="AI2547" s="74"/>
      <c r="AJ2547" s="240"/>
      <c r="AL2547" s="124"/>
      <c r="AM2547" s="74"/>
      <c r="AP2547" s="125"/>
      <c r="AQ2547" s="241"/>
      <c r="AR2547" s="125"/>
      <c r="AS2547" s="125"/>
      <c r="AT2547" s="238"/>
      <c r="AU2547" s="125"/>
      <c r="AV2547" s="125"/>
      <c r="AW2547" s="125"/>
      <c r="AX2547" s="238"/>
      <c r="AY2547" s="125"/>
      <c r="AZ2547" s="125"/>
      <c r="BA2547" s="125"/>
    </row>
    <row r="2548" spans="2:53" s="123" customFormat="1">
      <c r="B2548" s="125"/>
      <c r="D2548" s="125"/>
      <c r="I2548" s="125"/>
      <c r="Z2548" s="124"/>
      <c r="AA2548" s="74"/>
      <c r="AB2548" s="240"/>
      <c r="AD2548" s="124"/>
      <c r="AE2548" s="238"/>
      <c r="AF2548" s="239"/>
      <c r="AG2548" s="239"/>
      <c r="AH2548" s="124"/>
      <c r="AI2548" s="74"/>
      <c r="AJ2548" s="240"/>
      <c r="AL2548" s="124"/>
      <c r="AM2548" s="74"/>
      <c r="AP2548" s="125"/>
      <c r="AQ2548" s="241"/>
      <c r="AR2548" s="125"/>
      <c r="AS2548" s="125"/>
      <c r="AT2548" s="238"/>
      <c r="AU2548" s="125"/>
      <c r="AV2548" s="125"/>
      <c r="AW2548" s="125"/>
      <c r="AX2548" s="238"/>
      <c r="AY2548" s="125"/>
      <c r="AZ2548" s="125"/>
      <c r="BA2548" s="125"/>
    </row>
    <row r="2549" spans="2:53" s="123" customFormat="1">
      <c r="B2549" s="125"/>
      <c r="D2549" s="125"/>
      <c r="I2549" s="125"/>
      <c r="Z2549" s="124"/>
      <c r="AA2549" s="74"/>
      <c r="AB2549" s="240"/>
      <c r="AD2549" s="124"/>
      <c r="AE2549" s="238"/>
      <c r="AF2549" s="239"/>
      <c r="AG2549" s="239"/>
      <c r="AH2549" s="124"/>
      <c r="AI2549" s="74"/>
      <c r="AJ2549" s="240"/>
      <c r="AL2549" s="124"/>
      <c r="AM2549" s="74"/>
      <c r="AP2549" s="125"/>
      <c r="AQ2549" s="241"/>
      <c r="AR2549" s="125"/>
      <c r="AS2549" s="125"/>
      <c r="AT2549" s="238"/>
      <c r="AU2549" s="125"/>
      <c r="AV2549" s="125"/>
      <c r="AW2549" s="125"/>
      <c r="AX2549" s="238"/>
      <c r="AY2549" s="125"/>
      <c r="AZ2549" s="125"/>
      <c r="BA2549" s="125"/>
    </row>
    <row r="2550" spans="2:53" s="123" customFormat="1">
      <c r="B2550" s="125"/>
      <c r="D2550" s="125"/>
      <c r="I2550" s="125"/>
      <c r="Z2550" s="124"/>
      <c r="AA2550" s="74"/>
      <c r="AB2550" s="240"/>
      <c r="AD2550" s="124"/>
      <c r="AE2550" s="238"/>
      <c r="AF2550" s="239"/>
      <c r="AG2550" s="239"/>
      <c r="AH2550" s="124"/>
      <c r="AI2550" s="74"/>
      <c r="AJ2550" s="240"/>
      <c r="AL2550" s="124"/>
      <c r="AM2550" s="74"/>
      <c r="AP2550" s="125"/>
      <c r="AQ2550" s="241"/>
      <c r="AR2550" s="125"/>
      <c r="AS2550" s="125"/>
      <c r="AT2550" s="238"/>
      <c r="AU2550" s="125"/>
      <c r="AV2550" s="125"/>
      <c r="AW2550" s="125"/>
      <c r="AX2550" s="238"/>
      <c r="AY2550" s="125"/>
      <c r="AZ2550" s="125"/>
      <c r="BA2550" s="125"/>
    </row>
    <row r="2551" spans="2:53" s="123" customFormat="1">
      <c r="B2551" s="125"/>
      <c r="D2551" s="125"/>
      <c r="I2551" s="125"/>
      <c r="Z2551" s="124"/>
      <c r="AA2551" s="74"/>
      <c r="AB2551" s="240"/>
      <c r="AD2551" s="124"/>
      <c r="AE2551" s="238"/>
      <c r="AF2551" s="239"/>
      <c r="AG2551" s="239"/>
      <c r="AH2551" s="124"/>
      <c r="AI2551" s="74"/>
      <c r="AJ2551" s="240"/>
      <c r="AL2551" s="124"/>
      <c r="AM2551" s="74"/>
      <c r="AP2551" s="125"/>
      <c r="AQ2551" s="241"/>
      <c r="AR2551" s="125"/>
      <c r="AS2551" s="125"/>
      <c r="AT2551" s="238"/>
      <c r="AU2551" s="125"/>
      <c r="AV2551" s="125"/>
      <c r="AW2551" s="125"/>
      <c r="AX2551" s="238"/>
      <c r="AY2551" s="125"/>
      <c r="AZ2551" s="125"/>
      <c r="BA2551" s="125"/>
    </row>
    <row r="2552" spans="2:53" s="123" customFormat="1">
      <c r="B2552" s="125"/>
      <c r="D2552" s="125"/>
      <c r="I2552" s="125"/>
      <c r="Z2552" s="124"/>
      <c r="AA2552" s="74"/>
      <c r="AB2552" s="240"/>
      <c r="AD2552" s="124"/>
      <c r="AE2552" s="238"/>
      <c r="AF2552" s="239"/>
      <c r="AG2552" s="239"/>
      <c r="AH2552" s="124"/>
      <c r="AI2552" s="74"/>
      <c r="AJ2552" s="240"/>
      <c r="AL2552" s="124"/>
      <c r="AM2552" s="74"/>
      <c r="AP2552" s="125"/>
      <c r="AQ2552" s="241"/>
      <c r="AR2552" s="125"/>
      <c r="AS2552" s="125"/>
      <c r="AT2552" s="238"/>
      <c r="AU2552" s="125"/>
      <c r="AV2552" s="125"/>
      <c r="AW2552" s="125"/>
      <c r="AX2552" s="238"/>
      <c r="AY2552" s="125"/>
      <c r="AZ2552" s="125"/>
      <c r="BA2552" s="125"/>
    </row>
    <row r="2553" spans="2:53" s="123" customFormat="1">
      <c r="B2553" s="125"/>
      <c r="D2553" s="125"/>
      <c r="I2553" s="125"/>
      <c r="Z2553" s="124"/>
      <c r="AA2553" s="74"/>
      <c r="AB2553" s="240"/>
      <c r="AD2553" s="124"/>
      <c r="AE2553" s="238"/>
      <c r="AF2553" s="239"/>
      <c r="AG2553" s="239"/>
      <c r="AH2553" s="124"/>
      <c r="AI2553" s="74"/>
      <c r="AJ2553" s="240"/>
      <c r="AL2553" s="124"/>
      <c r="AM2553" s="74"/>
      <c r="AP2553" s="125"/>
      <c r="AQ2553" s="241"/>
      <c r="AR2553" s="125"/>
      <c r="AS2553" s="125"/>
      <c r="AT2553" s="238"/>
      <c r="AU2553" s="125"/>
      <c r="AV2553" s="125"/>
      <c r="AW2553" s="125"/>
      <c r="AX2553" s="238"/>
      <c r="AY2553" s="125"/>
      <c r="AZ2553" s="125"/>
      <c r="BA2553" s="125"/>
    </row>
    <row r="2554" spans="2:53" s="123" customFormat="1">
      <c r="B2554" s="125"/>
      <c r="D2554" s="125"/>
      <c r="I2554" s="125"/>
      <c r="Z2554" s="124"/>
      <c r="AA2554" s="74"/>
      <c r="AB2554" s="240"/>
      <c r="AD2554" s="124"/>
      <c r="AE2554" s="238"/>
      <c r="AF2554" s="239"/>
      <c r="AG2554" s="239"/>
      <c r="AH2554" s="124"/>
      <c r="AI2554" s="74"/>
      <c r="AJ2554" s="240"/>
      <c r="AL2554" s="124"/>
      <c r="AM2554" s="74"/>
      <c r="AP2554" s="125"/>
      <c r="AQ2554" s="241"/>
      <c r="AR2554" s="125"/>
      <c r="AS2554" s="125"/>
      <c r="AT2554" s="238"/>
      <c r="AU2554" s="125"/>
      <c r="AV2554" s="125"/>
      <c r="AW2554" s="125"/>
      <c r="AX2554" s="238"/>
      <c r="AY2554" s="125"/>
      <c r="AZ2554" s="125"/>
      <c r="BA2554" s="125"/>
    </row>
    <row r="2555" spans="2:53" s="123" customFormat="1">
      <c r="B2555" s="125"/>
      <c r="D2555" s="125"/>
      <c r="I2555" s="125"/>
      <c r="Z2555" s="124"/>
      <c r="AA2555" s="74"/>
      <c r="AB2555" s="240"/>
      <c r="AD2555" s="124"/>
      <c r="AE2555" s="238"/>
      <c r="AF2555" s="239"/>
      <c r="AG2555" s="239"/>
      <c r="AH2555" s="124"/>
      <c r="AI2555" s="74"/>
      <c r="AJ2555" s="240"/>
      <c r="AL2555" s="124"/>
      <c r="AM2555" s="74"/>
      <c r="AP2555" s="125"/>
      <c r="AQ2555" s="241"/>
      <c r="AR2555" s="125"/>
      <c r="AS2555" s="125"/>
      <c r="AT2555" s="238"/>
      <c r="AU2555" s="125"/>
      <c r="AV2555" s="125"/>
      <c r="AW2555" s="125"/>
      <c r="AX2555" s="238"/>
      <c r="AY2555" s="125"/>
      <c r="AZ2555" s="125"/>
      <c r="BA2555" s="125"/>
    </row>
    <row r="2556" spans="2:53" s="123" customFormat="1">
      <c r="B2556" s="125"/>
      <c r="D2556" s="125"/>
      <c r="I2556" s="125"/>
      <c r="Z2556" s="124"/>
      <c r="AA2556" s="74"/>
      <c r="AB2556" s="240"/>
      <c r="AD2556" s="124"/>
      <c r="AE2556" s="238"/>
      <c r="AF2556" s="239"/>
      <c r="AG2556" s="239"/>
      <c r="AH2556" s="124"/>
      <c r="AI2556" s="74"/>
      <c r="AJ2556" s="240"/>
      <c r="AL2556" s="124"/>
      <c r="AM2556" s="74"/>
      <c r="AP2556" s="125"/>
      <c r="AQ2556" s="241"/>
      <c r="AR2556" s="125"/>
      <c r="AS2556" s="125"/>
      <c r="AT2556" s="238"/>
      <c r="AU2556" s="125"/>
      <c r="AV2556" s="125"/>
      <c r="AW2556" s="125"/>
      <c r="AX2556" s="238"/>
      <c r="AY2556" s="125"/>
      <c r="AZ2556" s="125"/>
      <c r="BA2556" s="125"/>
    </row>
    <row r="2557" spans="2:53" s="123" customFormat="1">
      <c r="B2557" s="125"/>
      <c r="D2557" s="125"/>
      <c r="I2557" s="125"/>
      <c r="Z2557" s="124"/>
      <c r="AA2557" s="74"/>
      <c r="AB2557" s="240"/>
      <c r="AD2557" s="124"/>
      <c r="AE2557" s="238"/>
      <c r="AF2557" s="239"/>
      <c r="AG2557" s="239"/>
      <c r="AH2557" s="124"/>
      <c r="AI2557" s="74"/>
      <c r="AJ2557" s="240"/>
      <c r="AL2557" s="124"/>
      <c r="AM2557" s="74"/>
      <c r="AP2557" s="125"/>
      <c r="AQ2557" s="241"/>
      <c r="AR2557" s="125"/>
      <c r="AS2557" s="125"/>
      <c r="AT2557" s="238"/>
      <c r="AU2557" s="125"/>
      <c r="AV2557" s="125"/>
      <c r="AW2557" s="125"/>
      <c r="AX2557" s="238"/>
      <c r="AY2557" s="125"/>
      <c r="AZ2557" s="125"/>
      <c r="BA2557" s="125"/>
    </row>
    <row r="2558" spans="2:53" s="123" customFormat="1">
      <c r="B2558" s="125"/>
      <c r="D2558" s="125"/>
      <c r="I2558" s="125"/>
      <c r="Z2558" s="124"/>
      <c r="AA2558" s="74"/>
      <c r="AB2558" s="240"/>
      <c r="AD2558" s="124"/>
      <c r="AE2558" s="238"/>
      <c r="AF2558" s="239"/>
      <c r="AG2558" s="239"/>
      <c r="AH2558" s="124"/>
      <c r="AI2558" s="74"/>
      <c r="AJ2558" s="240"/>
      <c r="AL2558" s="124"/>
      <c r="AM2558" s="74"/>
      <c r="AP2558" s="125"/>
      <c r="AQ2558" s="241"/>
      <c r="AR2558" s="125"/>
      <c r="AS2558" s="125"/>
      <c r="AT2558" s="238"/>
      <c r="AU2558" s="125"/>
      <c r="AV2558" s="125"/>
      <c r="AW2558" s="125"/>
      <c r="AX2558" s="238"/>
      <c r="AY2558" s="125"/>
      <c r="AZ2558" s="125"/>
      <c r="BA2558" s="125"/>
    </row>
    <row r="2559" spans="2:53" s="123" customFormat="1">
      <c r="B2559" s="125"/>
      <c r="D2559" s="125"/>
      <c r="I2559" s="125"/>
      <c r="Z2559" s="124"/>
      <c r="AA2559" s="74"/>
      <c r="AB2559" s="240"/>
      <c r="AD2559" s="124"/>
      <c r="AE2559" s="238"/>
      <c r="AF2559" s="239"/>
      <c r="AG2559" s="239"/>
      <c r="AH2559" s="124"/>
      <c r="AI2559" s="74"/>
      <c r="AJ2559" s="240"/>
      <c r="AL2559" s="124"/>
      <c r="AM2559" s="74"/>
      <c r="AP2559" s="125"/>
      <c r="AQ2559" s="241"/>
      <c r="AR2559" s="125"/>
      <c r="AS2559" s="125"/>
      <c r="AT2559" s="238"/>
      <c r="AU2559" s="125"/>
      <c r="AV2559" s="125"/>
      <c r="AW2559" s="125"/>
      <c r="AX2559" s="238"/>
      <c r="AY2559" s="125"/>
      <c r="AZ2559" s="125"/>
      <c r="BA2559" s="125"/>
    </row>
    <row r="2560" spans="2:53" s="123" customFormat="1">
      <c r="B2560" s="125"/>
      <c r="D2560" s="125"/>
      <c r="I2560" s="125"/>
      <c r="Z2560" s="124"/>
      <c r="AA2560" s="74"/>
      <c r="AB2560" s="240"/>
      <c r="AD2560" s="124"/>
      <c r="AE2560" s="238"/>
      <c r="AF2560" s="239"/>
      <c r="AG2560" s="239"/>
      <c r="AH2560" s="124"/>
      <c r="AI2560" s="74"/>
      <c r="AJ2560" s="240"/>
      <c r="AL2560" s="124"/>
      <c r="AM2560" s="74"/>
      <c r="AP2560" s="125"/>
      <c r="AQ2560" s="241"/>
      <c r="AR2560" s="125"/>
      <c r="AS2560" s="125"/>
      <c r="AT2560" s="238"/>
      <c r="AU2560" s="125"/>
      <c r="AV2560" s="125"/>
      <c r="AW2560" s="125"/>
      <c r="AX2560" s="238"/>
      <c r="AY2560" s="125"/>
      <c r="AZ2560" s="125"/>
      <c r="BA2560" s="125"/>
    </row>
    <row r="2561" spans="2:53" s="123" customFormat="1">
      <c r="B2561" s="125"/>
      <c r="D2561" s="125"/>
      <c r="I2561" s="125"/>
      <c r="Z2561" s="124"/>
      <c r="AA2561" s="74"/>
      <c r="AB2561" s="240"/>
      <c r="AD2561" s="124"/>
      <c r="AE2561" s="238"/>
      <c r="AF2561" s="239"/>
      <c r="AG2561" s="239"/>
      <c r="AH2561" s="124"/>
      <c r="AI2561" s="74"/>
      <c r="AJ2561" s="240"/>
      <c r="AL2561" s="124"/>
      <c r="AM2561" s="74"/>
      <c r="AP2561" s="125"/>
      <c r="AQ2561" s="241"/>
      <c r="AR2561" s="125"/>
      <c r="AS2561" s="125"/>
      <c r="AT2561" s="238"/>
      <c r="AU2561" s="125"/>
      <c r="AV2561" s="125"/>
      <c r="AW2561" s="125"/>
      <c r="AX2561" s="238"/>
      <c r="AY2561" s="125"/>
      <c r="AZ2561" s="125"/>
      <c r="BA2561" s="125"/>
    </row>
    <row r="2562" spans="2:53" s="123" customFormat="1">
      <c r="B2562" s="125"/>
      <c r="D2562" s="125"/>
      <c r="I2562" s="125"/>
      <c r="Z2562" s="124"/>
      <c r="AA2562" s="74"/>
      <c r="AB2562" s="240"/>
      <c r="AD2562" s="124"/>
      <c r="AE2562" s="238"/>
      <c r="AF2562" s="239"/>
      <c r="AG2562" s="239"/>
      <c r="AH2562" s="124"/>
      <c r="AI2562" s="74"/>
      <c r="AJ2562" s="240"/>
      <c r="AL2562" s="124"/>
      <c r="AM2562" s="74"/>
      <c r="AP2562" s="125"/>
      <c r="AQ2562" s="241"/>
      <c r="AR2562" s="125"/>
      <c r="AS2562" s="125"/>
      <c r="AT2562" s="238"/>
      <c r="AU2562" s="125"/>
      <c r="AV2562" s="125"/>
      <c r="AW2562" s="125"/>
      <c r="AX2562" s="238"/>
      <c r="AY2562" s="125"/>
      <c r="AZ2562" s="125"/>
      <c r="BA2562" s="125"/>
    </row>
    <row r="2563" spans="2:53" s="123" customFormat="1">
      <c r="B2563" s="125"/>
      <c r="D2563" s="125"/>
      <c r="I2563" s="125"/>
      <c r="Z2563" s="124"/>
      <c r="AA2563" s="74"/>
      <c r="AB2563" s="240"/>
      <c r="AD2563" s="124"/>
      <c r="AE2563" s="238"/>
      <c r="AF2563" s="239"/>
      <c r="AG2563" s="239"/>
      <c r="AH2563" s="124"/>
      <c r="AI2563" s="74"/>
      <c r="AJ2563" s="240"/>
      <c r="AL2563" s="124"/>
      <c r="AM2563" s="74"/>
      <c r="AP2563" s="125"/>
      <c r="AQ2563" s="241"/>
      <c r="AR2563" s="125"/>
      <c r="AS2563" s="125"/>
      <c r="AT2563" s="238"/>
      <c r="AU2563" s="125"/>
      <c r="AV2563" s="125"/>
      <c r="AW2563" s="125"/>
      <c r="AX2563" s="238"/>
      <c r="AY2563" s="125"/>
      <c r="AZ2563" s="125"/>
      <c r="BA2563" s="125"/>
    </row>
    <row r="2564" spans="2:53" s="123" customFormat="1">
      <c r="B2564" s="125"/>
      <c r="D2564" s="125"/>
      <c r="I2564" s="125"/>
      <c r="Z2564" s="124"/>
      <c r="AA2564" s="74"/>
      <c r="AB2564" s="240"/>
      <c r="AD2564" s="124"/>
      <c r="AE2564" s="238"/>
      <c r="AF2564" s="239"/>
      <c r="AG2564" s="239"/>
      <c r="AH2564" s="124"/>
      <c r="AI2564" s="74"/>
      <c r="AJ2564" s="240"/>
      <c r="AL2564" s="124"/>
      <c r="AM2564" s="74"/>
      <c r="AP2564" s="125"/>
      <c r="AQ2564" s="241"/>
      <c r="AR2564" s="125"/>
      <c r="AS2564" s="125"/>
      <c r="AT2564" s="238"/>
      <c r="AU2564" s="125"/>
      <c r="AV2564" s="125"/>
      <c r="AW2564" s="125"/>
      <c r="AX2564" s="238"/>
      <c r="AY2564" s="125"/>
      <c r="AZ2564" s="125"/>
      <c r="BA2564" s="125"/>
    </row>
    <row r="2565" spans="2:53" s="123" customFormat="1">
      <c r="B2565" s="125"/>
      <c r="D2565" s="125"/>
      <c r="I2565" s="125"/>
      <c r="Z2565" s="124"/>
      <c r="AA2565" s="74"/>
      <c r="AB2565" s="240"/>
      <c r="AD2565" s="124"/>
      <c r="AE2565" s="238"/>
      <c r="AF2565" s="239"/>
      <c r="AG2565" s="239"/>
      <c r="AH2565" s="124"/>
      <c r="AI2565" s="74"/>
      <c r="AJ2565" s="240"/>
      <c r="AL2565" s="124"/>
      <c r="AM2565" s="74"/>
      <c r="AP2565" s="125"/>
      <c r="AQ2565" s="241"/>
      <c r="AR2565" s="125"/>
      <c r="AS2565" s="125"/>
      <c r="AT2565" s="238"/>
      <c r="AU2565" s="125"/>
      <c r="AV2565" s="125"/>
      <c r="AW2565" s="125"/>
      <c r="AX2565" s="238"/>
      <c r="AY2565" s="125"/>
      <c r="AZ2565" s="125"/>
      <c r="BA2565" s="125"/>
    </row>
    <row r="2566" spans="2:53" s="123" customFormat="1">
      <c r="B2566" s="125"/>
      <c r="D2566" s="125"/>
      <c r="I2566" s="125"/>
      <c r="Z2566" s="124"/>
      <c r="AA2566" s="74"/>
      <c r="AB2566" s="240"/>
      <c r="AD2566" s="124"/>
      <c r="AE2566" s="238"/>
      <c r="AF2566" s="239"/>
      <c r="AG2566" s="239"/>
      <c r="AH2566" s="124"/>
      <c r="AI2566" s="74"/>
      <c r="AJ2566" s="240"/>
      <c r="AL2566" s="124"/>
      <c r="AM2566" s="74"/>
      <c r="AP2566" s="125"/>
      <c r="AQ2566" s="241"/>
      <c r="AR2566" s="125"/>
      <c r="AS2566" s="125"/>
      <c r="AT2566" s="238"/>
      <c r="AU2566" s="125"/>
      <c r="AV2566" s="125"/>
      <c r="AW2566" s="125"/>
      <c r="AX2566" s="238"/>
      <c r="AY2566" s="125"/>
      <c r="AZ2566" s="125"/>
      <c r="BA2566" s="125"/>
    </row>
    <row r="2567" spans="2:53" s="123" customFormat="1">
      <c r="B2567" s="125"/>
      <c r="D2567" s="125"/>
      <c r="I2567" s="125"/>
      <c r="Z2567" s="124"/>
      <c r="AA2567" s="74"/>
      <c r="AB2567" s="240"/>
      <c r="AD2567" s="124"/>
      <c r="AE2567" s="238"/>
      <c r="AF2567" s="239"/>
      <c r="AG2567" s="239"/>
      <c r="AH2567" s="124"/>
      <c r="AI2567" s="74"/>
      <c r="AJ2567" s="240"/>
      <c r="AL2567" s="124"/>
      <c r="AM2567" s="74"/>
      <c r="AP2567" s="125"/>
      <c r="AQ2567" s="241"/>
      <c r="AR2567" s="125"/>
      <c r="AS2567" s="125"/>
      <c r="AT2567" s="238"/>
      <c r="AU2567" s="125"/>
      <c r="AV2567" s="125"/>
      <c r="AW2567" s="125"/>
      <c r="AX2567" s="238"/>
      <c r="AY2567" s="125"/>
      <c r="AZ2567" s="125"/>
      <c r="BA2567" s="125"/>
    </row>
    <row r="2568" spans="2:53" s="123" customFormat="1">
      <c r="B2568" s="125"/>
      <c r="D2568" s="125"/>
      <c r="I2568" s="125"/>
      <c r="Z2568" s="124"/>
      <c r="AA2568" s="74"/>
      <c r="AB2568" s="240"/>
      <c r="AD2568" s="124"/>
      <c r="AE2568" s="238"/>
      <c r="AF2568" s="239"/>
      <c r="AG2568" s="239"/>
      <c r="AH2568" s="124"/>
      <c r="AI2568" s="74"/>
      <c r="AJ2568" s="240"/>
      <c r="AL2568" s="124"/>
      <c r="AM2568" s="74"/>
      <c r="AP2568" s="125"/>
      <c r="AQ2568" s="241"/>
      <c r="AR2568" s="125"/>
      <c r="AS2568" s="125"/>
      <c r="AT2568" s="238"/>
      <c r="AU2568" s="125"/>
      <c r="AV2568" s="125"/>
      <c r="AW2568" s="125"/>
      <c r="AX2568" s="238"/>
      <c r="AY2568" s="125"/>
      <c r="AZ2568" s="125"/>
      <c r="BA2568" s="125"/>
    </row>
    <row r="2569" spans="2:53" s="123" customFormat="1">
      <c r="B2569" s="125"/>
      <c r="D2569" s="125"/>
      <c r="I2569" s="125"/>
      <c r="Z2569" s="124"/>
      <c r="AA2569" s="74"/>
      <c r="AB2569" s="240"/>
      <c r="AD2569" s="124"/>
      <c r="AE2569" s="238"/>
      <c r="AF2569" s="239"/>
      <c r="AG2569" s="239"/>
      <c r="AH2569" s="124"/>
      <c r="AI2569" s="74"/>
      <c r="AJ2569" s="240"/>
      <c r="AL2569" s="124"/>
      <c r="AM2569" s="74"/>
      <c r="AP2569" s="125"/>
      <c r="AQ2569" s="241"/>
      <c r="AR2569" s="125"/>
      <c r="AS2569" s="125"/>
      <c r="AT2569" s="238"/>
      <c r="AU2569" s="125"/>
      <c r="AV2569" s="125"/>
      <c r="AW2569" s="125"/>
      <c r="AX2569" s="238"/>
      <c r="AY2569" s="125"/>
      <c r="AZ2569" s="125"/>
      <c r="BA2569" s="125"/>
    </row>
    <row r="2570" spans="2:53" s="123" customFormat="1">
      <c r="B2570" s="125"/>
      <c r="D2570" s="125"/>
      <c r="I2570" s="125"/>
      <c r="Z2570" s="124"/>
      <c r="AA2570" s="74"/>
      <c r="AB2570" s="240"/>
      <c r="AD2570" s="124"/>
      <c r="AE2570" s="238"/>
      <c r="AF2570" s="239"/>
      <c r="AG2570" s="239"/>
      <c r="AH2570" s="124"/>
      <c r="AI2570" s="74"/>
      <c r="AJ2570" s="240"/>
      <c r="AL2570" s="124"/>
      <c r="AM2570" s="74"/>
      <c r="AP2570" s="125"/>
      <c r="AQ2570" s="241"/>
      <c r="AR2570" s="125"/>
      <c r="AS2570" s="125"/>
      <c r="AT2570" s="238"/>
      <c r="AU2570" s="125"/>
      <c r="AV2570" s="125"/>
      <c r="AW2570" s="125"/>
      <c r="AX2570" s="238"/>
      <c r="AY2570" s="125"/>
      <c r="AZ2570" s="125"/>
      <c r="BA2570" s="125"/>
    </row>
    <row r="2571" spans="2:53" s="123" customFormat="1">
      <c r="B2571" s="125"/>
      <c r="D2571" s="125"/>
      <c r="I2571" s="125"/>
      <c r="Z2571" s="124"/>
      <c r="AA2571" s="74"/>
      <c r="AB2571" s="240"/>
      <c r="AD2571" s="124"/>
      <c r="AE2571" s="238"/>
      <c r="AF2571" s="239"/>
      <c r="AG2571" s="239"/>
      <c r="AH2571" s="124"/>
      <c r="AI2571" s="74"/>
      <c r="AJ2571" s="240"/>
      <c r="AL2571" s="124"/>
      <c r="AM2571" s="74"/>
      <c r="AP2571" s="125"/>
      <c r="AQ2571" s="241"/>
      <c r="AR2571" s="125"/>
      <c r="AS2571" s="125"/>
      <c r="AT2571" s="238"/>
      <c r="AU2571" s="125"/>
      <c r="AV2571" s="125"/>
      <c r="AW2571" s="125"/>
      <c r="AX2571" s="238"/>
      <c r="AY2571" s="125"/>
      <c r="AZ2571" s="125"/>
      <c r="BA2571" s="125"/>
    </row>
    <row r="2572" spans="2:53" s="123" customFormat="1">
      <c r="B2572" s="125"/>
      <c r="D2572" s="125"/>
      <c r="I2572" s="125"/>
      <c r="Z2572" s="124"/>
      <c r="AA2572" s="74"/>
      <c r="AB2572" s="240"/>
      <c r="AD2572" s="124"/>
      <c r="AE2572" s="238"/>
      <c r="AF2572" s="239"/>
      <c r="AG2572" s="239"/>
      <c r="AH2572" s="124"/>
      <c r="AI2572" s="74"/>
      <c r="AJ2572" s="240"/>
      <c r="AL2572" s="124"/>
      <c r="AM2572" s="74"/>
      <c r="AP2572" s="125"/>
      <c r="AQ2572" s="241"/>
      <c r="AR2572" s="125"/>
      <c r="AS2572" s="125"/>
      <c r="AT2572" s="238"/>
      <c r="AU2572" s="125"/>
      <c r="AV2572" s="125"/>
      <c r="AW2572" s="125"/>
      <c r="AX2572" s="238"/>
      <c r="AY2572" s="125"/>
      <c r="AZ2572" s="125"/>
      <c r="BA2572" s="125"/>
    </row>
    <row r="2573" spans="2:53" s="123" customFormat="1">
      <c r="B2573" s="125"/>
      <c r="D2573" s="125"/>
      <c r="I2573" s="125"/>
      <c r="Z2573" s="124"/>
      <c r="AA2573" s="74"/>
      <c r="AB2573" s="240"/>
      <c r="AD2573" s="124"/>
      <c r="AE2573" s="238"/>
      <c r="AF2573" s="239"/>
      <c r="AG2573" s="239"/>
      <c r="AH2573" s="124"/>
      <c r="AI2573" s="74"/>
      <c r="AJ2573" s="240"/>
      <c r="AL2573" s="124"/>
      <c r="AM2573" s="74"/>
      <c r="AP2573" s="125"/>
      <c r="AQ2573" s="241"/>
      <c r="AR2573" s="125"/>
      <c r="AS2573" s="125"/>
      <c r="AT2573" s="238"/>
      <c r="AU2573" s="125"/>
      <c r="AV2573" s="125"/>
      <c r="AW2573" s="125"/>
      <c r="AX2573" s="238"/>
      <c r="AY2573" s="125"/>
      <c r="AZ2573" s="125"/>
      <c r="BA2573" s="125"/>
    </row>
    <row r="2574" spans="2:53" s="123" customFormat="1">
      <c r="B2574" s="125"/>
      <c r="D2574" s="125"/>
      <c r="I2574" s="125"/>
      <c r="Z2574" s="124"/>
      <c r="AA2574" s="74"/>
      <c r="AB2574" s="240"/>
      <c r="AD2574" s="124"/>
      <c r="AE2574" s="238"/>
      <c r="AF2574" s="239"/>
      <c r="AG2574" s="239"/>
      <c r="AH2574" s="124"/>
      <c r="AI2574" s="74"/>
      <c r="AJ2574" s="240"/>
      <c r="AL2574" s="124"/>
      <c r="AM2574" s="74"/>
      <c r="AP2574" s="125"/>
      <c r="AQ2574" s="241"/>
      <c r="AR2574" s="125"/>
      <c r="AS2574" s="125"/>
      <c r="AT2574" s="238"/>
      <c r="AU2574" s="125"/>
      <c r="AV2574" s="125"/>
      <c r="AW2574" s="125"/>
      <c r="AX2574" s="238"/>
      <c r="AY2574" s="125"/>
      <c r="AZ2574" s="125"/>
      <c r="BA2574" s="125"/>
    </row>
    <row r="2575" spans="2:53" s="123" customFormat="1">
      <c r="B2575" s="125"/>
      <c r="D2575" s="125"/>
      <c r="I2575" s="125"/>
      <c r="Z2575" s="124"/>
      <c r="AA2575" s="74"/>
      <c r="AB2575" s="240"/>
      <c r="AD2575" s="124"/>
      <c r="AE2575" s="238"/>
      <c r="AF2575" s="239"/>
      <c r="AG2575" s="239"/>
      <c r="AH2575" s="124"/>
      <c r="AI2575" s="74"/>
      <c r="AJ2575" s="240"/>
      <c r="AL2575" s="124"/>
      <c r="AM2575" s="74"/>
      <c r="AP2575" s="125"/>
      <c r="AQ2575" s="241"/>
      <c r="AR2575" s="125"/>
      <c r="AS2575" s="125"/>
      <c r="AT2575" s="238"/>
      <c r="AU2575" s="125"/>
      <c r="AV2575" s="125"/>
      <c r="AW2575" s="125"/>
      <c r="AX2575" s="238"/>
      <c r="AY2575" s="125"/>
      <c r="AZ2575" s="125"/>
      <c r="BA2575" s="125"/>
    </row>
    <row r="2576" spans="2:53" s="123" customFormat="1">
      <c r="B2576" s="125"/>
      <c r="D2576" s="125"/>
      <c r="I2576" s="125"/>
      <c r="Z2576" s="124"/>
      <c r="AA2576" s="74"/>
      <c r="AB2576" s="240"/>
      <c r="AD2576" s="124"/>
      <c r="AE2576" s="238"/>
      <c r="AF2576" s="239"/>
      <c r="AG2576" s="239"/>
      <c r="AH2576" s="124"/>
      <c r="AI2576" s="74"/>
      <c r="AJ2576" s="240"/>
      <c r="AL2576" s="124"/>
      <c r="AM2576" s="74"/>
      <c r="AP2576" s="125"/>
      <c r="AQ2576" s="241"/>
      <c r="AR2576" s="125"/>
      <c r="AS2576" s="125"/>
      <c r="AT2576" s="238"/>
      <c r="AU2576" s="125"/>
      <c r="AV2576" s="125"/>
      <c r="AW2576" s="125"/>
      <c r="AX2576" s="238"/>
      <c r="AY2576" s="125"/>
      <c r="AZ2576" s="125"/>
      <c r="BA2576" s="125"/>
    </row>
    <row r="2577" spans="2:53" s="123" customFormat="1">
      <c r="B2577" s="125"/>
      <c r="D2577" s="125"/>
      <c r="I2577" s="125"/>
      <c r="Z2577" s="124"/>
      <c r="AA2577" s="74"/>
      <c r="AB2577" s="240"/>
      <c r="AD2577" s="124"/>
      <c r="AE2577" s="238"/>
      <c r="AF2577" s="239"/>
      <c r="AG2577" s="239"/>
      <c r="AH2577" s="124"/>
      <c r="AI2577" s="74"/>
      <c r="AJ2577" s="240"/>
      <c r="AL2577" s="124"/>
      <c r="AM2577" s="74"/>
      <c r="AP2577" s="125"/>
      <c r="AQ2577" s="241"/>
      <c r="AR2577" s="125"/>
      <c r="AS2577" s="125"/>
      <c r="AT2577" s="238"/>
      <c r="AU2577" s="125"/>
      <c r="AV2577" s="125"/>
      <c r="AW2577" s="125"/>
      <c r="AX2577" s="238"/>
      <c r="AY2577" s="125"/>
      <c r="AZ2577" s="125"/>
      <c r="BA2577" s="125"/>
    </row>
    <row r="2578" spans="2:53" s="123" customFormat="1">
      <c r="B2578" s="125"/>
      <c r="D2578" s="125"/>
      <c r="I2578" s="125"/>
      <c r="Z2578" s="124"/>
      <c r="AA2578" s="74"/>
      <c r="AB2578" s="240"/>
      <c r="AD2578" s="124"/>
      <c r="AE2578" s="238"/>
      <c r="AF2578" s="239"/>
      <c r="AG2578" s="239"/>
      <c r="AH2578" s="124"/>
      <c r="AI2578" s="74"/>
      <c r="AJ2578" s="240"/>
      <c r="AL2578" s="124"/>
      <c r="AM2578" s="74"/>
      <c r="AP2578" s="125"/>
      <c r="AQ2578" s="241"/>
      <c r="AR2578" s="125"/>
      <c r="AS2578" s="125"/>
      <c r="AT2578" s="238"/>
      <c r="AU2578" s="125"/>
      <c r="AV2578" s="125"/>
      <c r="AW2578" s="125"/>
      <c r="AX2578" s="238"/>
      <c r="AY2578" s="125"/>
      <c r="AZ2578" s="125"/>
      <c r="BA2578" s="125"/>
    </row>
    <row r="2579" spans="2:53" s="123" customFormat="1">
      <c r="B2579" s="125"/>
      <c r="D2579" s="125"/>
      <c r="I2579" s="125"/>
      <c r="Z2579" s="124"/>
      <c r="AA2579" s="74"/>
      <c r="AB2579" s="240"/>
      <c r="AD2579" s="124"/>
      <c r="AE2579" s="238"/>
      <c r="AF2579" s="239"/>
      <c r="AG2579" s="239"/>
      <c r="AH2579" s="124"/>
      <c r="AI2579" s="74"/>
      <c r="AJ2579" s="240"/>
      <c r="AL2579" s="124"/>
      <c r="AM2579" s="74"/>
      <c r="AP2579" s="125"/>
      <c r="AQ2579" s="241"/>
      <c r="AR2579" s="125"/>
      <c r="AS2579" s="125"/>
      <c r="AT2579" s="238"/>
      <c r="AU2579" s="125"/>
      <c r="AV2579" s="125"/>
      <c r="AW2579" s="125"/>
      <c r="AX2579" s="238"/>
      <c r="AY2579" s="125"/>
      <c r="AZ2579" s="125"/>
      <c r="BA2579" s="125"/>
    </row>
    <row r="2580" spans="2:53" s="123" customFormat="1">
      <c r="B2580" s="125"/>
      <c r="D2580" s="125"/>
      <c r="I2580" s="125"/>
      <c r="Z2580" s="124"/>
      <c r="AA2580" s="74"/>
      <c r="AB2580" s="240"/>
      <c r="AD2580" s="124"/>
      <c r="AE2580" s="238"/>
      <c r="AF2580" s="239"/>
      <c r="AG2580" s="239"/>
      <c r="AH2580" s="124"/>
      <c r="AI2580" s="74"/>
      <c r="AJ2580" s="240"/>
      <c r="AL2580" s="124"/>
      <c r="AM2580" s="74"/>
      <c r="AP2580" s="125"/>
      <c r="AQ2580" s="241"/>
      <c r="AR2580" s="125"/>
      <c r="AS2580" s="125"/>
      <c r="AT2580" s="238"/>
      <c r="AU2580" s="125"/>
      <c r="AV2580" s="125"/>
      <c r="AW2580" s="125"/>
      <c r="AX2580" s="238"/>
      <c r="AY2580" s="125"/>
      <c r="AZ2580" s="125"/>
      <c r="BA2580" s="125"/>
    </row>
    <row r="2581" spans="2:53" s="123" customFormat="1">
      <c r="B2581" s="125"/>
      <c r="D2581" s="125"/>
      <c r="I2581" s="125"/>
      <c r="Z2581" s="124"/>
      <c r="AA2581" s="74"/>
      <c r="AB2581" s="240"/>
      <c r="AD2581" s="124"/>
      <c r="AE2581" s="238"/>
      <c r="AF2581" s="239"/>
      <c r="AG2581" s="239"/>
      <c r="AH2581" s="124"/>
      <c r="AI2581" s="74"/>
      <c r="AJ2581" s="240"/>
      <c r="AL2581" s="124"/>
      <c r="AM2581" s="74"/>
      <c r="AP2581" s="125"/>
      <c r="AQ2581" s="241"/>
      <c r="AR2581" s="125"/>
      <c r="AS2581" s="125"/>
      <c r="AT2581" s="238"/>
      <c r="AU2581" s="125"/>
      <c r="AV2581" s="125"/>
      <c r="AW2581" s="125"/>
      <c r="AX2581" s="238"/>
      <c r="AY2581" s="125"/>
      <c r="AZ2581" s="125"/>
      <c r="BA2581" s="125"/>
    </row>
    <row r="2582" spans="2:53" s="123" customFormat="1">
      <c r="B2582" s="125"/>
      <c r="D2582" s="125"/>
      <c r="I2582" s="125"/>
      <c r="Z2582" s="124"/>
      <c r="AA2582" s="74"/>
      <c r="AB2582" s="240"/>
      <c r="AD2582" s="124"/>
      <c r="AE2582" s="238"/>
      <c r="AF2582" s="239"/>
      <c r="AG2582" s="239"/>
      <c r="AH2582" s="124"/>
      <c r="AI2582" s="74"/>
      <c r="AJ2582" s="240"/>
      <c r="AL2582" s="124"/>
      <c r="AM2582" s="74"/>
      <c r="AP2582" s="125"/>
      <c r="AQ2582" s="241"/>
      <c r="AR2582" s="125"/>
      <c r="AS2582" s="125"/>
      <c r="AT2582" s="238"/>
      <c r="AU2582" s="125"/>
      <c r="AV2582" s="125"/>
      <c r="AW2582" s="125"/>
      <c r="AX2582" s="238"/>
      <c r="AY2582" s="125"/>
      <c r="AZ2582" s="125"/>
      <c r="BA2582" s="125"/>
    </row>
    <row r="2583" spans="2:53" s="123" customFormat="1">
      <c r="B2583" s="125"/>
      <c r="D2583" s="125"/>
      <c r="I2583" s="125"/>
      <c r="Z2583" s="124"/>
      <c r="AA2583" s="74"/>
      <c r="AB2583" s="240"/>
      <c r="AD2583" s="124"/>
      <c r="AE2583" s="238"/>
      <c r="AF2583" s="239"/>
      <c r="AG2583" s="239"/>
      <c r="AH2583" s="124"/>
      <c r="AI2583" s="74"/>
      <c r="AJ2583" s="240"/>
      <c r="AL2583" s="124"/>
      <c r="AM2583" s="74"/>
      <c r="AP2583" s="125"/>
      <c r="AQ2583" s="241"/>
      <c r="AR2583" s="125"/>
      <c r="AS2583" s="125"/>
      <c r="AT2583" s="238"/>
      <c r="AU2583" s="125"/>
      <c r="AV2583" s="125"/>
      <c r="AW2583" s="125"/>
      <c r="AX2583" s="238"/>
      <c r="AY2583" s="125"/>
      <c r="AZ2583" s="125"/>
      <c r="BA2583" s="125"/>
    </row>
    <row r="2584" spans="2:53" s="123" customFormat="1">
      <c r="B2584" s="125"/>
      <c r="D2584" s="125"/>
      <c r="I2584" s="125"/>
      <c r="Z2584" s="124"/>
      <c r="AA2584" s="74"/>
      <c r="AB2584" s="240"/>
      <c r="AD2584" s="124"/>
      <c r="AE2584" s="238"/>
      <c r="AF2584" s="239"/>
      <c r="AG2584" s="239"/>
      <c r="AH2584" s="124"/>
      <c r="AI2584" s="74"/>
      <c r="AJ2584" s="240"/>
      <c r="AL2584" s="124"/>
      <c r="AM2584" s="74"/>
      <c r="AP2584" s="125"/>
      <c r="AQ2584" s="241"/>
      <c r="AR2584" s="125"/>
      <c r="AS2584" s="125"/>
      <c r="AT2584" s="238"/>
      <c r="AU2584" s="125"/>
      <c r="AV2584" s="125"/>
      <c r="AW2584" s="125"/>
      <c r="AX2584" s="238"/>
      <c r="AY2584" s="125"/>
      <c r="AZ2584" s="125"/>
      <c r="BA2584" s="125"/>
    </row>
    <row r="2585" spans="2:53" s="123" customFormat="1">
      <c r="B2585" s="125"/>
      <c r="D2585" s="125"/>
      <c r="I2585" s="125"/>
      <c r="Z2585" s="124"/>
      <c r="AA2585" s="74"/>
      <c r="AB2585" s="240"/>
      <c r="AD2585" s="124"/>
      <c r="AE2585" s="238"/>
      <c r="AF2585" s="239"/>
      <c r="AG2585" s="239"/>
      <c r="AH2585" s="124"/>
      <c r="AI2585" s="74"/>
      <c r="AJ2585" s="240"/>
      <c r="AL2585" s="124"/>
      <c r="AM2585" s="74"/>
      <c r="AP2585" s="125"/>
      <c r="AQ2585" s="241"/>
      <c r="AR2585" s="125"/>
      <c r="AS2585" s="125"/>
      <c r="AT2585" s="238"/>
      <c r="AU2585" s="125"/>
      <c r="AV2585" s="125"/>
      <c r="AW2585" s="125"/>
      <c r="AX2585" s="238"/>
      <c r="AY2585" s="125"/>
      <c r="AZ2585" s="125"/>
      <c r="BA2585" s="125"/>
    </row>
    <row r="2586" spans="2:53" s="123" customFormat="1">
      <c r="B2586" s="125"/>
      <c r="D2586" s="125"/>
      <c r="I2586" s="125"/>
      <c r="Z2586" s="124"/>
      <c r="AA2586" s="74"/>
      <c r="AB2586" s="240"/>
      <c r="AD2586" s="124"/>
      <c r="AE2586" s="238"/>
      <c r="AF2586" s="239"/>
      <c r="AG2586" s="239"/>
      <c r="AH2586" s="124"/>
      <c r="AI2586" s="74"/>
      <c r="AJ2586" s="240"/>
      <c r="AL2586" s="124"/>
      <c r="AM2586" s="74"/>
      <c r="AP2586" s="125"/>
      <c r="AQ2586" s="241"/>
      <c r="AR2586" s="125"/>
      <c r="AS2586" s="125"/>
      <c r="AT2586" s="238"/>
      <c r="AU2586" s="125"/>
      <c r="AV2586" s="125"/>
      <c r="AW2586" s="125"/>
      <c r="AX2586" s="238"/>
      <c r="AY2586" s="125"/>
      <c r="AZ2586" s="125"/>
      <c r="BA2586" s="125"/>
    </row>
    <row r="2587" spans="2:53" s="123" customFormat="1">
      <c r="B2587" s="125"/>
      <c r="D2587" s="125"/>
      <c r="I2587" s="125"/>
      <c r="Z2587" s="124"/>
      <c r="AA2587" s="74"/>
      <c r="AB2587" s="240"/>
      <c r="AD2587" s="124"/>
      <c r="AE2587" s="238"/>
      <c r="AF2587" s="239"/>
      <c r="AG2587" s="239"/>
      <c r="AH2587" s="124"/>
      <c r="AI2587" s="74"/>
      <c r="AJ2587" s="240"/>
      <c r="AL2587" s="124"/>
      <c r="AM2587" s="74"/>
      <c r="AP2587" s="125"/>
      <c r="AQ2587" s="241"/>
      <c r="AR2587" s="125"/>
      <c r="AS2587" s="125"/>
      <c r="AT2587" s="238"/>
      <c r="AU2587" s="125"/>
      <c r="AV2587" s="125"/>
      <c r="AW2587" s="125"/>
      <c r="AX2587" s="238"/>
      <c r="AY2587" s="125"/>
      <c r="AZ2587" s="125"/>
      <c r="BA2587" s="125"/>
    </row>
    <row r="2588" spans="2:53" s="123" customFormat="1">
      <c r="B2588" s="125"/>
      <c r="D2588" s="125"/>
      <c r="I2588" s="125"/>
      <c r="Z2588" s="124"/>
      <c r="AA2588" s="74"/>
      <c r="AB2588" s="240"/>
      <c r="AD2588" s="124"/>
      <c r="AE2588" s="238"/>
      <c r="AF2588" s="239"/>
      <c r="AG2588" s="239"/>
      <c r="AH2588" s="124"/>
      <c r="AI2588" s="74"/>
      <c r="AJ2588" s="240"/>
      <c r="AL2588" s="124"/>
      <c r="AM2588" s="74"/>
      <c r="AP2588" s="125"/>
      <c r="AQ2588" s="241"/>
      <c r="AR2588" s="125"/>
      <c r="AS2588" s="125"/>
      <c r="AT2588" s="238"/>
      <c r="AU2588" s="125"/>
      <c r="AV2588" s="125"/>
      <c r="AW2588" s="125"/>
      <c r="AX2588" s="238"/>
      <c r="AY2588" s="125"/>
      <c r="AZ2588" s="125"/>
      <c r="BA2588" s="125"/>
    </row>
    <row r="2589" spans="2:53" s="123" customFormat="1">
      <c r="B2589" s="125"/>
      <c r="D2589" s="125"/>
      <c r="I2589" s="125"/>
      <c r="Z2589" s="124"/>
      <c r="AA2589" s="74"/>
      <c r="AB2589" s="240"/>
      <c r="AD2589" s="124"/>
      <c r="AE2589" s="238"/>
      <c r="AF2589" s="239"/>
      <c r="AG2589" s="239"/>
      <c r="AH2589" s="124"/>
      <c r="AI2589" s="74"/>
      <c r="AJ2589" s="240"/>
      <c r="AL2589" s="124"/>
      <c r="AM2589" s="74"/>
      <c r="AP2589" s="125"/>
      <c r="AQ2589" s="241"/>
      <c r="AR2589" s="125"/>
      <c r="AS2589" s="125"/>
      <c r="AT2589" s="238"/>
      <c r="AU2589" s="125"/>
      <c r="AV2589" s="125"/>
      <c r="AW2589" s="125"/>
      <c r="AX2589" s="238"/>
      <c r="AY2589" s="125"/>
      <c r="AZ2589" s="125"/>
      <c r="BA2589" s="125"/>
    </row>
    <row r="2590" spans="2:53" s="123" customFormat="1">
      <c r="B2590" s="125"/>
      <c r="D2590" s="125"/>
      <c r="I2590" s="125"/>
      <c r="Z2590" s="124"/>
      <c r="AA2590" s="74"/>
      <c r="AB2590" s="240"/>
      <c r="AD2590" s="124"/>
      <c r="AE2590" s="238"/>
      <c r="AF2590" s="239"/>
      <c r="AG2590" s="239"/>
      <c r="AH2590" s="124"/>
      <c r="AI2590" s="74"/>
      <c r="AJ2590" s="240"/>
      <c r="AL2590" s="124"/>
      <c r="AM2590" s="74"/>
      <c r="AP2590" s="125"/>
      <c r="AQ2590" s="241"/>
      <c r="AR2590" s="125"/>
      <c r="AS2590" s="125"/>
      <c r="AT2590" s="238"/>
      <c r="AU2590" s="125"/>
      <c r="AV2590" s="125"/>
      <c r="AW2590" s="125"/>
      <c r="AX2590" s="238"/>
      <c r="AY2590" s="125"/>
      <c r="AZ2590" s="125"/>
      <c r="BA2590" s="125"/>
    </row>
    <row r="2591" spans="2:53" s="123" customFormat="1">
      <c r="B2591" s="125"/>
      <c r="D2591" s="125"/>
      <c r="I2591" s="125"/>
      <c r="Z2591" s="124"/>
      <c r="AA2591" s="74"/>
      <c r="AB2591" s="240"/>
      <c r="AD2591" s="124"/>
      <c r="AE2591" s="238"/>
      <c r="AF2591" s="239"/>
      <c r="AG2591" s="239"/>
      <c r="AH2591" s="124"/>
      <c r="AI2591" s="74"/>
      <c r="AJ2591" s="240"/>
      <c r="AL2591" s="124"/>
      <c r="AM2591" s="74"/>
      <c r="AP2591" s="125"/>
      <c r="AQ2591" s="241"/>
      <c r="AR2591" s="125"/>
      <c r="AS2591" s="125"/>
      <c r="AT2591" s="238"/>
      <c r="AU2591" s="125"/>
      <c r="AV2591" s="125"/>
      <c r="AW2591" s="125"/>
      <c r="AX2591" s="238"/>
      <c r="AY2591" s="125"/>
      <c r="AZ2591" s="125"/>
      <c r="BA2591" s="125"/>
    </row>
    <row r="2592" spans="2:53" s="123" customFormat="1">
      <c r="B2592" s="125"/>
      <c r="D2592" s="125"/>
      <c r="I2592" s="125"/>
      <c r="Z2592" s="124"/>
      <c r="AA2592" s="74"/>
      <c r="AB2592" s="240"/>
      <c r="AD2592" s="124"/>
      <c r="AE2592" s="238"/>
      <c r="AF2592" s="239"/>
      <c r="AG2592" s="239"/>
      <c r="AH2592" s="124"/>
      <c r="AI2592" s="74"/>
      <c r="AJ2592" s="240"/>
      <c r="AL2592" s="124"/>
      <c r="AM2592" s="74"/>
      <c r="AP2592" s="125"/>
      <c r="AQ2592" s="241"/>
      <c r="AR2592" s="125"/>
      <c r="AS2592" s="125"/>
      <c r="AT2592" s="238"/>
      <c r="AU2592" s="125"/>
      <c r="AV2592" s="125"/>
      <c r="AW2592" s="125"/>
      <c r="AX2592" s="238"/>
      <c r="AY2592" s="125"/>
      <c r="AZ2592" s="125"/>
      <c r="BA2592" s="125"/>
    </row>
    <row r="2593" spans="2:53" s="123" customFormat="1">
      <c r="B2593" s="125"/>
      <c r="D2593" s="125"/>
      <c r="I2593" s="125"/>
      <c r="Z2593" s="124"/>
      <c r="AA2593" s="74"/>
      <c r="AB2593" s="240"/>
      <c r="AD2593" s="124"/>
      <c r="AE2593" s="238"/>
      <c r="AF2593" s="239"/>
      <c r="AG2593" s="239"/>
      <c r="AH2593" s="124"/>
      <c r="AI2593" s="74"/>
      <c r="AJ2593" s="240"/>
      <c r="AL2593" s="124"/>
      <c r="AM2593" s="74"/>
      <c r="AP2593" s="125"/>
      <c r="AQ2593" s="241"/>
      <c r="AR2593" s="125"/>
      <c r="AS2593" s="125"/>
      <c r="AT2593" s="238"/>
      <c r="AU2593" s="125"/>
      <c r="AV2593" s="125"/>
      <c r="AW2593" s="125"/>
      <c r="AX2593" s="238"/>
      <c r="AY2593" s="125"/>
      <c r="AZ2593" s="125"/>
      <c r="BA2593" s="125"/>
    </row>
    <row r="2594" spans="2:53" s="123" customFormat="1">
      <c r="B2594" s="125"/>
      <c r="D2594" s="125"/>
      <c r="I2594" s="125"/>
      <c r="Z2594" s="124"/>
      <c r="AA2594" s="74"/>
      <c r="AB2594" s="240"/>
      <c r="AD2594" s="124"/>
      <c r="AE2594" s="238"/>
      <c r="AF2594" s="239"/>
      <c r="AG2594" s="239"/>
      <c r="AH2594" s="124"/>
      <c r="AI2594" s="74"/>
      <c r="AJ2594" s="240"/>
      <c r="AL2594" s="124"/>
      <c r="AM2594" s="74"/>
      <c r="AP2594" s="125"/>
      <c r="AQ2594" s="241"/>
      <c r="AR2594" s="125"/>
      <c r="AS2594" s="125"/>
      <c r="AT2594" s="238"/>
      <c r="AU2594" s="125"/>
      <c r="AV2594" s="125"/>
      <c r="AW2594" s="125"/>
      <c r="AX2594" s="238"/>
      <c r="AY2594" s="125"/>
      <c r="AZ2594" s="125"/>
      <c r="BA2594" s="125"/>
    </row>
    <row r="2595" spans="2:53" s="123" customFormat="1">
      <c r="B2595" s="125"/>
      <c r="D2595" s="125"/>
      <c r="I2595" s="125"/>
      <c r="Z2595" s="124"/>
      <c r="AA2595" s="74"/>
      <c r="AB2595" s="240"/>
      <c r="AD2595" s="124"/>
      <c r="AE2595" s="238"/>
      <c r="AF2595" s="239"/>
      <c r="AG2595" s="239"/>
      <c r="AH2595" s="124"/>
      <c r="AI2595" s="74"/>
      <c r="AJ2595" s="240"/>
      <c r="AL2595" s="124"/>
      <c r="AM2595" s="74"/>
      <c r="AP2595" s="125"/>
      <c r="AQ2595" s="241"/>
      <c r="AR2595" s="125"/>
      <c r="AS2595" s="125"/>
      <c r="AT2595" s="238"/>
      <c r="AU2595" s="125"/>
      <c r="AV2595" s="125"/>
      <c r="AW2595" s="125"/>
      <c r="AX2595" s="238"/>
      <c r="AY2595" s="125"/>
      <c r="AZ2595" s="125"/>
      <c r="BA2595" s="125"/>
    </row>
    <row r="2596" spans="2:53" s="123" customFormat="1">
      <c r="B2596" s="125"/>
      <c r="D2596" s="125"/>
      <c r="I2596" s="125"/>
      <c r="Z2596" s="124"/>
      <c r="AA2596" s="74"/>
      <c r="AB2596" s="240"/>
      <c r="AD2596" s="124"/>
      <c r="AE2596" s="238"/>
      <c r="AF2596" s="239"/>
      <c r="AG2596" s="239"/>
      <c r="AH2596" s="124"/>
      <c r="AI2596" s="74"/>
      <c r="AJ2596" s="240"/>
      <c r="AL2596" s="124"/>
      <c r="AM2596" s="74"/>
      <c r="AP2596" s="125"/>
      <c r="AQ2596" s="241"/>
      <c r="AR2596" s="125"/>
      <c r="AS2596" s="125"/>
      <c r="AT2596" s="238"/>
      <c r="AU2596" s="125"/>
      <c r="AV2596" s="125"/>
      <c r="AW2596" s="125"/>
      <c r="AX2596" s="238"/>
      <c r="AY2596" s="125"/>
      <c r="AZ2596" s="125"/>
      <c r="BA2596" s="125"/>
    </row>
    <row r="2597" spans="2:53" s="123" customFormat="1">
      <c r="B2597" s="125"/>
      <c r="D2597" s="125"/>
      <c r="I2597" s="125"/>
      <c r="Z2597" s="124"/>
      <c r="AA2597" s="74"/>
      <c r="AB2597" s="240"/>
      <c r="AD2597" s="124"/>
      <c r="AE2597" s="238"/>
      <c r="AF2597" s="239"/>
      <c r="AG2597" s="239"/>
      <c r="AH2597" s="124"/>
      <c r="AI2597" s="74"/>
      <c r="AJ2597" s="240"/>
      <c r="AL2597" s="124"/>
      <c r="AM2597" s="74"/>
      <c r="AP2597" s="125"/>
      <c r="AQ2597" s="241"/>
      <c r="AR2597" s="125"/>
      <c r="AS2597" s="125"/>
      <c r="AT2597" s="238"/>
      <c r="AU2597" s="125"/>
      <c r="AV2597" s="125"/>
      <c r="AW2597" s="125"/>
      <c r="AX2597" s="238"/>
      <c r="AY2597" s="125"/>
      <c r="AZ2597" s="125"/>
      <c r="BA2597" s="125"/>
    </row>
    <row r="2598" spans="2:53" s="123" customFormat="1">
      <c r="B2598" s="125"/>
      <c r="D2598" s="125"/>
      <c r="I2598" s="125"/>
      <c r="Z2598" s="124"/>
      <c r="AA2598" s="74"/>
      <c r="AB2598" s="240"/>
      <c r="AD2598" s="124"/>
      <c r="AE2598" s="238"/>
      <c r="AF2598" s="239"/>
      <c r="AG2598" s="239"/>
      <c r="AH2598" s="124"/>
      <c r="AI2598" s="74"/>
      <c r="AJ2598" s="240"/>
      <c r="AL2598" s="124"/>
      <c r="AM2598" s="74"/>
      <c r="AP2598" s="125"/>
      <c r="AQ2598" s="241"/>
      <c r="AR2598" s="125"/>
      <c r="AS2598" s="125"/>
      <c r="AT2598" s="238"/>
      <c r="AU2598" s="125"/>
      <c r="AV2598" s="125"/>
      <c r="AW2598" s="125"/>
      <c r="AX2598" s="238"/>
      <c r="AY2598" s="125"/>
      <c r="AZ2598" s="125"/>
      <c r="BA2598" s="125"/>
    </row>
    <row r="2599" spans="2:53" s="123" customFormat="1">
      <c r="B2599" s="125"/>
      <c r="D2599" s="125"/>
      <c r="I2599" s="125"/>
      <c r="Z2599" s="124"/>
      <c r="AA2599" s="74"/>
      <c r="AB2599" s="240"/>
      <c r="AD2599" s="124"/>
      <c r="AE2599" s="238"/>
      <c r="AF2599" s="239"/>
      <c r="AG2599" s="239"/>
      <c r="AH2599" s="124"/>
      <c r="AI2599" s="74"/>
      <c r="AJ2599" s="240"/>
      <c r="AL2599" s="124"/>
      <c r="AM2599" s="74"/>
      <c r="AP2599" s="125"/>
      <c r="AQ2599" s="241"/>
      <c r="AR2599" s="125"/>
      <c r="AS2599" s="125"/>
      <c r="AT2599" s="238"/>
      <c r="AU2599" s="125"/>
      <c r="AV2599" s="125"/>
      <c r="AW2599" s="125"/>
      <c r="AX2599" s="238"/>
      <c r="AY2599" s="125"/>
      <c r="AZ2599" s="125"/>
      <c r="BA2599" s="125"/>
    </row>
    <row r="2600" spans="2:53" s="123" customFormat="1">
      <c r="B2600" s="125"/>
      <c r="D2600" s="125"/>
      <c r="I2600" s="125"/>
      <c r="Z2600" s="124"/>
      <c r="AA2600" s="74"/>
      <c r="AB2600" s="240"/>
      <c r="AD2600" s="124"/>
      <c r="AE2600" s="238"/>
      <c r="AF2600" s="239"/>
      <c r="AG2600" s="239"/>
      <c r="AH2600" s="124"/>
      <c r="AI2600" s="74"/>
      <c r="AJ2600" s="240"/>
      <c r="AL2600" s="124"/>
      <c r="AM2600" s="74"/>
      <c r="AP2600" s="125"/>
      <c r="AQ2600" s="241"/>
      <c r="AR2600" s="125"/>
      <c r="AS2600" s="125"/>
      <c r="AT2600" s="238"/>
      <c r="AU2600" s="125"/>
      <c r="AV2600" s="125"/>
      <c r="AW2600" s="125"/>
      <c r="AX2600" s="238"/>
      <c r="AY2600" s="125"/>
      <c r="AZ2600" s="125"/>
      <c r="BA2600" s="125"/>
    </row>
    <row r="2601" spans="2:53" s="123" customFormat="1">
      <c r="B2601" s="125"/>
      <c r="D2601" s="125"/>
      <c r="I2601" s="125"/>
      <c r="Z2601" s="124"/>
      <c r="AA2601" s="74"/>
      <c r="AB2601" s="240"/>
      <c r="AD2601" s="124"/>
      <c r="AE2601" s="238"/>
      <c r="AF2601" s="239"/>
      <c r="AG2601" s="239"/>
      <c r="AH2601" s="124"/>
      <c r="AI2601" s="74"/>
      <c r="AJ2601" s="240"/>
      <c r="AL2601" s="124"/>
      <c r="AM2601" s="74"/>
      <c r="AP2601" s="125"/>
      <c r="AQ2601" s="241"/>
      <c r="AR2601" s="125"/>
      <c r="AS2601" s="125"/>
      <c r="AT2601" s="238"/>
      <c r="AU2601" s="125"/>
      <c r="AV2601" s="125"/>
      <c r="AW2601" s="125"/>
      <c r="AX2601" s="238"/>
      <c r="AY2601" s="125"/>
      <c r="AZ2601" s="125"/>
      <c r="BA2601" s="125"/>
    </row>
    <row r="2602" spans="2:53" s="123" customFormat="1">
      <c r="B2602" s="125"/>
      <c r="D2602" s="125"/>
      <c r="I2602" s="125"/>
      <c r="Z2602" s="124"/>
      <c r="AA2602" s="74"/>
      <c r="AB2602" s="240"/>
      <c r="AD2602" s="124"/>
      <c r="AE2602" s="238"/>
      <c r="AF2602" s="239"/>
      <c r="AG2602" s="239"/>
      <c r="AH2602" s="124"/>
      <c r="AI2602" s="74"/>
      <c r="AJ2602" s="240"/>
      <c r="AL2602" s="124"/>
      <c r="AM2602" s="74"/>
      <c r="AP2602" s="125"/>
      <c r="AQ2602" s="241"/>
      <c r="AR2602" s="125"/>
      <c r="AS2602" s="125"/>
      <c r="AT2602" s="238"/>
      <c r="AU2602" s="125"/>
      <c r="AV2602" s="125"/>
      <c r="AW2602" s="125"/>
      <c r="AX2602" s="238"/>
      <c r="AY2602" s="125"/>
      <c r="AZ2602" s="125"/>
      <c r="BA2602" s="125"/>
    </row>
    <row r="2603" spans="2:53" s="123" customFormat="1">
      <c r="B2603" s="125"/>
      <c r="D2603" s="125"/>
      <c r="I2603" s="125"/>
      <c r="Z2603" s="124"/>
      <c r="AA2603" s="74"/>
      <c r="AB2603" s="240"/>
      <c r="AD2603" s="124"/>
      <c r="AE2603" s="238"/>
      <c r="AF2603" s="239"/>
      <c r="AG2603" s="239"/>
      <c r="AH2603" s="124"/>
      <c r="AI2603" s="74"/>
      <c r="AJ2603" s="240"/>
      <c r="AL2603" s="124"/>
      <c r="AM2603" s="74"/>
      <c r="AP2603" s="125"/>
      <c r="AQ2603" s="241"/>
      <c r="AR2603" s="125"/>
      <c r="AS2603" s="125"/>
      <c r="AT2603" s="238"/>
      <c r="AU2603" s="125"/>
      <c r="AV2603" s="125"/>
      <c r="AW2603" s="125"/>
      <c r="AX2603" s="238"/>
      <c r="AY2603" s="125"/>
      <c r="AZ2603" s="125"/>
      <c r="BA2603" s="125"/>
    </row>
    <row r="2604" spans="2:53" s="123" customFormat="1">
      <c r="B2604" s="125"/>
      <c r="D2604" s="125"/>
      <c r="I2604" s="125"/>
      <c r="Z2604" s="124"/>
      <c r="AA2604" s="74"/>
      <c r="AB2604" s="240"/>
      <c r="AD2604" s="124"/>
      <c r="AE2604" s="238"/>
      <c r="AF2604" s="239"/>
      <c r="AG2604" s="239"/>
      <c r="AH2604" s="124"/>
      <c r="AI2604" s="74"/>
      <c r="AJ2604" s="240"/>
      <c r="AL2604" s="124"/>
      <c r="AM2604" s="74"/>
      <c r="AP2604" s="125"/>
      <c r="AQ2604" s="241"/>
      <c r="AR2604" s="125"/>
      <c r="AS2604" s="125"/>
      <c r="AT2604" s="238"/>
      <c r="AU2604" s="125"/>
      <c r="AV2604" s="125"/>
      <c r="AW2604" s="125"/>
      <c r="AX2604" s="238"/>
      <c r="AY2604" s="125"/>
      <c r="AZ2604" s="125"/>
      <c r="BA2604" s="125"/>
    </row>
    <row r="2605" spans="2:53" s="123" customFormat="1">
      <c r="B2605" s="125"/>
      <c r="D2605" s="125"/>
      <c r="I2605" s="125"/>
      <c r="Z2605" s="124"/>
      <c r="AA2605" s="74"/>
      <c r="AB2605" s="240"/>
      <c r="AD2605" s="124"/>
      <c r="AE2605" s="238"/>
      <c r="AF2605" s="239"/>
      <c r="AG2605" s="239"/>
      <c r="AH2605" s="124"/>
      <c r="AI2605" s="74"/>
      <c r="AJ2605" s="240"/>
      <c r="AL2605" s="124"/>
      <c r="AM2605" s="74"/>
      <c r="AP2605" s="125"/>
      <c r="AQ2605" s="241"/>
      <c r="AR2605" s="125"/>
      <c r="AS2605" s="125"/>
      <c r="AT2605" s="238"/>
      <c r="AU2605" s="125"/>
      <c r="AV2605" s="125"/>
      <c r="AW2605" s="125"/>
      <c r="AX2605" s="238"/>
      <c r="AY2605" s="125"/>
      <c r="AZ2605" s="125"/>
      <c r="BA2605" s="125"/>
    </row>
    <row r="2606" spans="2:53" s="123" customFormat="1">
      <c r="B2606" s="125"/>
      <c r="D2606" s="125"/>
      <c r="I2606" s="125"/>
      <c r="Z2606" s="124"/>
      <c r="AA2606" s="74"/>
      <c r="AB2606" s="240"/>
      <c r="AD2606" s="124"/>
      <c r="AE2606" s="238"/>
      <c r="AF2606" s="239"/>
      <c r="AG2606" s="239"/>
      <c r="AH2606" s="124"/>
      <c r="AI2606" s="74"/>
      <c r="AJ2606" s="240"/>
      <c r="AL2606" s="124"/>
      <c r="AM2606" s="74"/>
      <c r="AP2606" s="125"/>
      <c r="AQ2606" s="241"/>
      <c r="AR2606" s="125"/>
      <c r="AS2606" s="125"/>
      <c r="AT2606" s="238"/>
      <c r="AU2606" s="125"/>
      <c r="AV2606" s="125"/>
      <c r="AW2606" s="125"/>
      <c r="AX2606" s="238"/>
      <c r="AY2606" s="125"/>
      <c r="AZ2606" s="125"/>
      <c r="BA2606" s="125"/>
    </row>
    <row r="2607" spans="2:53" s="123" customFormat="1">
      <c r="B2607" s="125"/>
      <c r="D2607" s="125"/>
      <c r="I2607" s="125"/>
      <c r="Z2607" s="124"/>
      <c r="AA2607" s="74"/>
      <c r="AB2607" s="240"/>
      <c r="AD2607" s="124"/>
      <c r="AE2607" s="238"/>
      <c r="AF2607" s="239"/>
      <c r="AG2607" s="239"/>
      <c r="AH2607" s="124"/>
      <c r="AI2607" s="74"/>
      <c r="AJ2607" s="240"/>
      <c r="AL2607" s="124"/>
      <c r="AM2607" s="74"/>
      <c r="AP2607" s="125"/>
      <c r="AQ2607" s="241"/>
      <c r="AR2607" s="125"/>
      <c r="AS2607" s="125"/>
      <c r="AT2607" s="238"/>
      <c r="AU2607" s="125"/>
      <c r="AV2607" s="125"/>
      <c r="AW2607" s="125"/>
      <c r="AX2607" s="238"/>
      <c r="AY2607" s="125"/>
      <c r="AZ2607" s="125"/>
      <c r="BA2607" s="125"/>
    </row>
    <row r="2608" spans="2:53" s="123" customFormat="1">
      <c r="B2608" s="125"/>
      <c r="D2608" s="125"/>
      <c r="I2608" s="125"/>
      <c r="Z2608" s="124"/>
      <c r="AA2608" s="74"/>
      <c r="AB2608" s="240"/>
      <c r="AD2608" s="124"/>
      <c r="AE2608" s="238"/>
      <c r="AF2608" s="239"/>
      <c r="AG2608" s="239"/>
      <c r="AH2608" s="124"/>
      <c r="AI2608" s="74"/>
      <c r="AJ2608" s="240"/>
      <c r="AL2608" s="124"/>
      <c r="AM2608" s="74"/>
      <c r="AP2608" s="125"/>
      <c r="AQ2608" s="241"/>
      <c r="AR2608" s="125"/>
      <c r="AS2608" s="125"/>
      <c r="AT2608" s="238"/>
      <c r="AU2608" s="125"/>
      <c r="AV2608" s="125"/>
      <c r="AW2608" s="125"/>
      <c r="AX2608" s="238"/>
      <c r="AY2608" s="125"/>
      <c r="AZ2608" s="125"/>
      <c r="BA2608" s="125"/>
    </row>
    <row r="2609" spans="2:53" s="123" customFormat="1">
      <c r="B2609" s="125"/>
      <c r="D2609" s="125"/>
      <c r="I2609" s="125"/>
      <c r="Z2609" s="124"/>
      <c r="AA2609" s="74"/>
      <c r="AB2609" s="240"/>
      <c r="AD2609" s="124"/>
      <c r="AE2609" s="238"/>
      <c r="AF2609" s="239"/>
      <c r="AG2609" s="239"/>
      <c r="AH2609" s="124"/>
      <c r="AI2609" s="74"/>
      <c r="AJ2609" s="240"/>
      <c r="AL2609" s="124"/>
      <c r="AM2609" s="74"/>
      <c r="AP2609" s="125"/>
      <c r="AQ2609" s="241"/>
      <c r="AR2609" s="125"/>
      <c r="AS2609" s="125"/>
      <c r="AT2609" s="238"/>
      <c r="AU2609" s="125"/>
      <c r="AV2609" s="125"/>
      <c r="AW2609" s="125"/>
      <c r="AX2609" s="238"/>
      <c r="AY2609" s="125"/>
      <c r="AZ2609" s="125"/>
      <c r="BA2609" s="125"/>
    </row>
    <row r="2610" spans="2:53" s="123" customFormat="1">
      <c r="B2610" s="125"/>
      <c r="D2610" s="125"/>
      <c r="I2610" s="125"/>
      <c r="Z2610" s="124"/>
      <c r="AA2610" s="74"/>
      <c r="AB2610" s="240"/>
      <c r="AD2610" s="124"/>
      <c r="AE2610" s="238"/>
      <c r="AF2610" s="239"/>
      <c r="AG2610" s="239"/>
      <c r="AH2610" s="124"/>
      <c r="AI2610" s="74"/>
      <c r="AJ2610" s="240"/>
      <c r="AL2610" s="124"/>
      <c r="AM2610" s="74"/>
      <c r="AP2610" s="125"/>
      <c r="AQ2610" s="241"/>
      <c r="AR2610" s="125"/>
      <c r="AS2610" s="125"/>
      <c r="AT2610" s="238"/>
      <c r="AU2610" s="125"/>
      <c r="AV2610" s="125"/>
      <c r="AW2610" s="125"/>
      <c r="AX2610" s="238"/>
      <c r="AY2610" s="125"/>
      <c r="AZ2610" s="125"/>
      <c r="BA2610" s="125"/>
    </row>
    <row r="2611" spans="2:53" s="123" customFormat="1">
      <c r="B2611" s="125"/>
      <c r="D2611" s="125"/>
      <c r="I2611" s="125"/>
      <c r="Z2611" s="124"/>
      <c r="AA2611" s="74"/>
      <c r="AB2611" s="240"/>
      <c r="AD2611" s="124"/>
      <c r="AE2611" s="238"/>
      <c r="AF2611" s="239"/>
      <c r="AG2611" s="239"/>
      <c r="AH2611" s="124"/>
      <c r="AI2611" s="74"/>
      <c r="AJ2611" s="240"/>
      <c r="AL2611" s="124"/>
      <c r="AM2611" s="74"/>
      <c r="AP2611" s="125"/>
      <c r="AQ2611" s="241"/>
      <c r="AR2611" s="125"/>
      <c r="AS2611" s="125"/>
      <c r="AT2611" s="238"/>
      <c r="AU2611" s="125"/>
      <c r="AV2611" s="125"/>
      <c r="AW2611" s="125"/>
      <c r="AX2611" s="238"/>
      <c r="AY2611" s="125"/>
      <c r="AZ2611" s="125"/>
      <c r="BA2611" s="125"/>
    </row>
    <row r="2612" spans="2:53" s="123" customFormat="1">
      <c r="B2612" s="125"/>
      <c r="D2612" s="125"/>
      <c r="I2612" s="125"/>
      <c r="Z2612" s="124"/>
      <c r="AA2612" s="74"/>
      <c r="AB2612" s="240"/>
      <c r="AD2612" s="124"/>
      <c r="AE2612" s="238"/>
      <c r="AF2612" s="239"/>
      <c r="AG2612" s="239"/>
      <c r="AH2612" s="124"/>
      <c r="AI2612" s="74"/>
      <c r="AJ2612" s="240"/>
      <c r="AL2612" s="124"/>
      <c r="AM2612" s="74"/>
      <c r="AP2612" s="125"/>
      <c r="AQ2612" s="241"/>
      <c r="AR2612" s="125"/>
      <c r="AS2612" s="125"/>
      <c r="AT2612" s="238"/>
      <c r="AU2612" s="125"/>
      <c r="AV2612" s="125"/>
      <c r="AW2612" s="125"/>
      <c r="AX2612" s="238"/>
      <c r="AY2612" s="125"/>
      <c r="AZ2612" s="125"/>
      <c r="BA2612" s="125"/>
    </row>
    <row r="2613" spans="2:53" s="123" customFormat="1">
      <c r="B2613" s="125"/>
      <c r="D2613" s="125"/>
      <c r="I2613" s="125"/>
      <c r="Z2613" s="124"/>
      <c r="AA2613" s="74"/>
      <c r="AB2613" s="240"/>
      <c r="AD2613" s="124"/>
      <c r="AE2613" s="238"/>
      <c r="AF2613" s="239"/>
      <c r="AG2613" s="239"/>
      <c r="AH2613" s="124"/>
      <c r="AI2613" s="74"/>
      <c r="AJ2613" s="240"/>
      <c r="AL2613" s="124"/>
      <c r="AM2613" s="74"/>
      <c r="AP2613" s="125"/>
      <c r="AQ2613" s="241"/>
      <c r="AR2613" s="125"/>
      <c r="AS2613" s="125"/>
      <c r="AT2613" s="238"/>
      <c r="AU2613" s="125"/>
      <c r="AV2613" s="125"/>
      <c r="AW2613" s="125"/>
      <c r="AX2613" s="238"/>
      <c r="AY2613" s="125"/>
      <c r="AZ2613" s="125"/>
      <c r="BA2613" s="125"/>
    </row>
    <row r="2614" spans="2:53" s="123" customFormat="1">
      <c r="B2614" s="125"/>
      <c r="D2614" s="125"/>
      <c r="I2614" s="125"/>
      <c r="Z2614" s="124"/>
      <c r="AA2614" s="74"/>
      <c r="AB2614" s="240"/>
      <c r="AD2614" s="124"/>
      <c r="AE2614" s="238"/>
      <c r="AF2614" s="239"/>
      <c r="AG2614" s="239"/>
      <c r="AH2614" s="124"/>
      <c r="AI2614" s="74"/>
      <c r="AJ2614" s="240"/>
      <c r="AL2614" s="124"/>
      <c r="AM2614" s="74"/>
      <c r="AP2614" s="125"/>
      <c r="AQ2614" s="241"/>
      <c r="AR2614" s="125"/>
      <c r="AS2614" s="125"/>
      <c r="AT2614" s="238"/>
      <c r="AU2614" s="125"/>
      <c r="AV2614" s="125"/>
      <c r="AW2614" s="125"/>
      <c r="AX2614" s="238"/>
      <c r="AY2614" s="125"/>
      <c r="AZ2614" s="125"/>
      <c r="BA2614" s="125"/>
    </row>
    <row r="2615" spans="2:53" s="123" customFormat="1">
      <c r="B2615" s="125"/>
      <c r="D2615" s="125"/>
      <c r="I2615" s="125"/>
      <c r="Z2615" s="124"/>
      <c r="AA2615" s="74"/>
      <c r="AB2615" s="240"/>
      <c r="AD2615" s="124"/>
      <c r="AE2615" s="238"/>
      <c r="AF2615" s="239"/>
      <c r="AG2615" s="239"/>
      <c r="AH2615" s="124"/>
      <c r="AI2615" s="74"/>
      <c r="AJ2615" s="240"/>
      <c r="AL2615" s="124"/>
      <c r="AM2615" s="74"/>
      <c r="AP2615" s="125"/>
      <c r="AQ2615" s="241"/>
      <c r="AR2615" s="125"/>
      <c r="AS2615" s="125"/>
      <c r="AT2615" s="238"/>
      <c r="AU2615" s="125"/>
      <c r="AV2615" s="125"/>
      <c r="AW2615" s="125"/>
      <c r="AX2615" s="238"/>
      <c r="AY2615" s="125"/>
      <c r="AZ2615" s="125"/>
      <c r="BA2615" s="125"/>
    </row>
    <row r="2616" spans="2:53" s="123" customFormat="1">
      <c r="B2616" s="125"/>
      <c r="D2616" s="125"/>
      <c r="I2616" s="125"/>
      <c r="Z2616" s="124"/>
      <c r="AA2616" s="74"/>
      <c r="AB2616" s="240"/>
      <c r="AD2616" s="124"/>
      <c r="AE2616" s="238"/>
      <c r="AF2616" s="239"/>
      <c r="AG2616" s="239"/>
      <c r="AH2616" s="124"/>
      <c r="AI2616" s="74"/>
      <c r="AJ2616" s="240"/>
      <c r="AL2616" s="124"/>
      <c r="AM2616" s="74"/>
      <c r="AP2616" s="125"/>
      <c r="AQ2616" s="241"/>
      <c r="AR2616" s="125"/>
      <c r="AS2616" s="125"/>
      <c r="AT2616" s="238"/>
      <c r="AU2616" s="125"/>
      <c r="AV2616" s="125"/>
      <c r="AW2616" s="125"/>
      <c r="AX2616" s="238"/>
      <c r="AY2616" s="125"/>
      <c r="AZ2616" s="125"/>
      <c r="BA2616" s="125"/>
    </row>
    <row r="2617" spans="2:53" s="123" customFormat="1">
      <c r="B2617" s="125"/>
      <c r="D2617" s="125"/>
      <c r="I2617" s="125"/>
      <c r="Z2617" s="124"/>
      <c r="AA2617" s="74"/>
      <c r="AB2617" s="240"/>
      <c r="AD2617" s="124"/>
      <c r="AE2617" s="238"/>
      <c r="AF2617" s="239"/>
      <c r="AG2617" s="239"/>
      <c r="AH2617" s="124"/>
      <c r="AI2617" s="74"/>
      <c r="AJ2617" s="240"/>
      <c r="AL2617" s="124"/>
      <c r="AM2617" s="74"/>
      <c r="AP2617" s="125"/>
      <c r="AQ2617" s="241"/>
      <c r="AR2617" s="125"/>
      <c r="AS2617" s="125"/>
      <c r="AT2617" s="238"/>
      <c r="AU2617" s="125"/>
      <c r="AV2617" s="125"/>
      <c r="AW2617" s="125"/>
      <c r="AX2617" s="238"/>
      <c r="AY2617" s="125"/>
      <c r="AZ2617" s="125"/>
      <c r="BA2617" s="125"/>
    </row>
    <row r="2618" spans="2:53" s="123" customFormat="1">
      <c r="B2618" s="125"/>
      <c r="D2618" s="125"/>
      <c r="I2618" s="125"/>
      <c r="Z2618" s="124"/>
      <c r="AA2618" s="74"/>
      <c r="AB2618" s="240"/>
      <c r="AD2618" s="124"/>
      <c r="AE2618" s="238"/>
      <c r="AF2618" s="239"/>
      <c r="AG2618" s="239"/>
      <c r="AH2618" s="124"/>
      <c r="AI2618" s="74"/>
      <c r="AJ2618" s="240"/>
      <c r="AL2618" s="124"/>
      <c r="AM2618" s="74"/>
      <c r="AP2618" s="125"/>
      <c r="AQ2618" s="241"/>
      <c r="AR2618" s="125"/>
      <c r="AS2618" s="125"/>
      <c r="AT2618" s="238"/>
      <c r="AU2618" s="125"/>
      <c r="AV2618" s="125"/>
      <c r="AW2618" s="125"/>
      <c r="AX2618" s="238"/>
      <c r="AY2618" s="125"/>
      <c r="AZ2618" s="125"/>
      <c r="BA2618" s="125"/>
    </row>
    <row r="2619" spans="2:53" s="123" customFormat="1">
      <c r="B2619" s="125"/>
      <c r="D2619" s="125"/>
      <c r="I2619" s="125"/>
      <c r="Z2619" s="124"/>
      <c r="AA2619" s="74"/>
      <c r="AB2619" s="240"/>
      <c r="AD2619" s="124"/>
      <c r="AE2619" s="238"/>
      <c r="AF2619" s="239"/>
      <c r="AG2619" s="239"/>
      <c r="AH2619" s="124"/>
      <c r="AI2619" s="74"/>
      <c r="AJ2619" s="240"/>
      <c r="AL2619" s="124"/>
      <c r="AM2619" s="74"/>
      <c r="AP2619" s="125"/>
      <c r="AQ2619" s="241"/>
      <c r="AR2619" s="125"/>
      <c r="AS2619" s="125"/>
      <c r="AT2619" s="238"/>
      <c r="AU2619" s="125"/>
      <c r="AV2619" s="125"/>
      <c r="AW2619" s="125"/>
      <c r="AX2619" s="238"/>
      <c r="AY2619" s="125"/>
      <c r="AZ2619" s="125"/>
      <c r="BA2619" s="125"/>
    </row>
    <row r="2620" spans="2:53" s="123" customFormat="1">
      <c r="B2620" s="125"/>
      <c r="D2620" s="125"/>
      <c r="I2620" s="125"/>
      <c r="Z2620" s="124"/>
      <c r="AA2620" s="74"/>
      <c r="AB2620" s="240"/>
      <c r="AD2620" s="124"/>
      <c r="AE2620" s="238"/>
      <c r="AF2620" s="239"/>
      <c r="AG2620" s="239"/>
      <c r="AH2620" s="124"/>
      <c r="AI2620" s="74"/>
      <c r="AJ2620" s="240"/>
      <c r="AL2620" s="124"/>
      <c r="AM2620" s="74"/>
      <c r="AP2620" s="125"/>
      <c r="AQ2620" s="241"/>
      <c r="AR2620" s="125"/>
      <c r="AS2620" s="125"/>
      <c r="AT2620" s="238"/>
      <c r="AU2620" s="125"/>
      <c r="AV2620" s="125"/>
      <c r="AW2620" s="125"/>
      <c r="AX2620" s="238"/>
      <c r="AY2620" s="125"/>
      <c r="AZ2620" s="125"/>
      <c r="BA2620" s="125"/>
    </row>
    <row r="2621" spans="2:53" s="123" customFormat="1">
      <c r="B2621" s="125"/>
      <c r="D2621" s="125"/>
      <c r="I2621" s="125"/>
      <c r="Z2621" s="124"/>
      <c r="AA2621" s="74"/>
      <c r="AB2621" s="240"/>
      <c r="AD2621" s="124"/>
      <c r="AE2621" s="238"/>
      <c r="AF2621" s="239"/>
      <c r="AG2621" s="239"/>
      <c r="AH2621" s="124"/>
      <c r="AI2621" s="74"/>
      <c r="AJ2621" s="240"/>
      <c r="AL2621" s="124"/>
      <c r="AM2621" s="74"/>
      <c r="AP2621" s="125"/>
      <c r="AQ2621" s="241"/>
      <c r="AR2621" s="125"/>
      <c r="AS2621" s="125"/>
      <c r="AT2621" s="238"/>
      <c r="AU2621" s="125"/>
      <c r="AV2621" s="125"/>
      <c r="AW2621" s="125"/>
      <c r="AX2621" s="238"/>
      <c r="AY2621" s="125"/>
      <c r="AZ2621" s="125"/>
      <c r="BA2621" s="125"/>
    </row>
    <row r="2622" spans="2:53" s="123" customFormat="1">
      <c r="B2622" s="125"/>
      <c r="D2622" s="125"/>
      <c r="I2622" s="125"/>
      <c r="Z2622" s="124"/>
      <c r="AA2622" s="74"/>
      <c r="AB2622" s="240"/>
      <c r="AD2622" s="124"/>
      <c r="AE2622" s="238"/>
      <c r="AF2622" s="239"/>
      <c r="AG2622" s="239"/>
      <c r="AH2622" s="124"/>
      <c r="AI2622" s="74"/>
      <c r="AJ2622" s="240"/>
      <c r="AL2622" s="124"/>
      <c r="AM2622" s="74"/>
      <c r="AP2622" s="125"/>
      <c r="AQ2622" s="241"/>
      <c r="AR2622" s="125"/>
      <c r="AS2622" s="125"/>
      <c r="AT2622" s="238"/>
      <c r="AU2622" s="125"/>
      <c r="AV2622" s="125"/>
      <c r="AW2622" s="125"/>
      <c r="AX2622" s="238"/>
      <c r="AY2622" s="125"/>
      <c r="AZ2622" s="125"/>
      <c r="BA2622" s="125"/>
    </row>
    <row r="2623" spans="2:53" s="123" customFormat="1">
      <c r="B2623" s="125"/>
      <c r="D2623" s="125"/>
      <c r="I2623" s="125"/>
      <c r="Z2623" s="124"/>
      <c r="AA2623" s="74"/>
      <c r="AB2623" s="240"/>
      <c r="AD2623" s="124"/>
      <c r="AE2623" s="238"/>
      <c r="AF2623" s="239"/>
      <c r="AG2623" s="239"/>
      <c r="AH2623" s="124"/>
      <c r="AI2623" s="74"/>
      <c r="AJ2623" s="240"/>
      <c r="AL2623" s="124"/>
      <c r="AM2623" s="74"/>
      <c r="AP2623" s="125"/>
      <c r="AQ2623" s="241"/>
      <c r="AR2623" s="125"/>
      <c r="AS2623" s="125"/>
      <c r="AT2623" s="238"/>
      <c r="AU2623" s="125"/>
      <c r="AV2623" s="125"/>
      <c r="AW2623" s="125"/>
      <c r="AX2623" s="238"/>
      <c r="AY2623" s="125"/>
      <c r="AZ2623" s="125"/>
      <c r="BA2623" s="125"/>
    </row>
    <row r="2624" spans="2:53" s="123" customFormat="1">
      <c r="B2624" s="125"/>
      <c r="D2624" s="125"/>
      <c r="I2624" s="125"/>
      <c r="Z2624" s="124"/>
      <c r="AA2624" s="74"/>
      <c r="AB2624" s="240"/>
      <c r="AD2624" s="124"/>
      <c r="AE2624" s="238"/>
      <c r="AF2624" s="239"/>
      <c r="AG2624" s="239"/>
      <c r="AH2624" s="124"/>
      <c r="AI2624" s="74"/>
      <c r="AJ2624" s="240"/>
      <c r="AL2624" s="124"/>
      <c r="AM2624" s="74"/>
      <c r="AP2624" s="125"/>
      <c r="AQ2624" s="241"/>
      <c r="AR2624" s="125"/>
      <c r="AS2624" s="125"/>
      <c r="AT2624" s="238"/>
      <c r="AU2624" s="125"/>
      <c r="AV2624" s="125"/>
      <c r="AW2624" s="125"/>
      <c r="AX2624" s="238"/>
      <c r="AY2624" s="125"/>
      <c r="AZ2624" s="125"/>
      <c r="BA2624" s="125"/>
    </row>
    <row r="2625" spans="2:53" s="123" customFormat="1">
      <c r="B2625" s="125"/>
      <c r="D2625" s="125"/>
      <c r="I2625" s="125"/>
      <c r="Z2625" s="124"/>
      <c r="AA2625" s="74"/>
      <c r="AB2625" s="240"/>
      <c r="AD2625" s="124"/>
      <c r="AE2625" s="238"/>
      <c r="AF2625" s="239"/>
      <c r="AG2625" s="239"/>
      <c r="AH2625" s="124"/>
      <c r="AI2625" s="74"/>
      <c r="AJ2625" s="240"/>
      <c r="AL2625" s="124"/>
      <c r="AM2625" s="74"/>
      <c r="AP2625" s="125"/>
      <c r="AQ2625" s="241"/>
      <c r="AR2625" s="125"/>
      <c r="AS2625" s="125"/>
      <c r="AT2625" s="238"/>
      <c r="AU2625" s="125"/>
      <c r="AV2625" s="125"/>
      <c r="AW2625" s="125"/>
      <c r="AX2625" s="238"/>
      <c r="AY2625" s="125"/>
      <c r="AZ2625" s="125"/>
      <c r="BA2625" s="125"/>
    </row>
    <row r="2626" spans="2:53" s="123" customFormat="1">
      <c r="B2626" s="125"/>
      <c r="D2626" s="125"/>
      <c r="I2626" s="125"/>
      <c r="Z2626" s="124"/>
      <c r="AA2626" s="74"/>
      <c r="AB2626" s="240"/>
      <c r="AD2626" s="124"/>
      <c r="AE2626" s="238"/>
      <c r="AF2626" s="239"/>
      <c r="AG2626" s="239"/>
      <c r="AH2626" s="124"/>
      <c r="AI2626" s="74"/>
      <c r="AJ2626" s="240"/>
      <c r="AL2626" s="124"/>
      <c r="AM2626" s="74"/>
      <c r="AP2626" s="125"/>
      <c r="AQ2626" s="241"/>
      <c r="AR2626" s="125"/>
      <c r="AS2626" s="125"/>
      <c r="AT2626" s="238"/>
      <c r="AU2626" s="125"/>
      <c r="AV2626" s="125"/>
      <c r="AW2626" s="125"/>
      <c r="AX2626" s="238"/>
      <c r="AY2626" s="125"/>
      <c r="AZ2626" s="125"/>
      <c r="BA2626" s="125"/>
    </row>
    <row r="2627" spans="2:53" s="123" customFormat="1">
      <c r="B2627" s="125"/>
      <c r="D2627" s="125"/>
      <c r="I2627" s="125"/>
      <c r="Z2627" s="124"/>
      <c r="AA2627" s="74"/>
      <c r="AB2627" s="240"/>
      <c r="AD2627" s="124"/>
      <c r="AE2627" s="238"/>
      <c r="AF2627" s="239"/>
      <c r="AG2627" s="239"/>
      <c r="AH2627" s="124"/>
      <c r="AI2627" s="74"/>
      <c r="AJ2627" s="240"/>
      <c r="AL2627" s="124"/>
      <c r="AM2627" s="74"/>
      <c r="AP2627" s="125"/>
      <c r="AQ2627" s="241"/>
      <c r="AR2627" s="125"/>
      <c r="AS2627" s="125"/>
      <c r="AT2627" s="238"/>
      <c r="AU2627" s="125"/>
      <c r="AV2627" s="125"/>
      <c r="AW2627" s="125"/>
      <c r="AX2627" s="238"/>
      <c r="AY2627" s="125"/>
      <c r="AZ2627" s="125"/>
      <c r="BA2627" s="125"/>
    </row>
    <row r="2628" spans="2:53" s="123" customFormat="1">
      <c r="B2628" s="125"/>
      <c r="D2628" s="125"/>
      <c r="I2628" s="125"/>
      <c r="Z2628" s="124"/>
      <c r="AA2628" s="74"/>
      <c r="AB2628" s="240"/>
      <c r="AD2628" s="124"/>
      <c r="AE2628" s="238"/>
      <c r="AF2628" s="239"/>
      <c r="AG2628" s="239"/>
      <c r="AH2628" s="124"/>
      <c r="AI2628" s="74"/>
      <c r="AJ2628" s="240"/>
      <c r="AL2628" s="124"/>
      <c r="AM2628" s="74"/>
      <c r="AP2628" s="125"/>
      <c r="AQ2628" s="241"/>
      <c r="AR2628" s="125"/>
      <c r="AS2628" s="125"/>
      <c r="AT2628" s="238"/>
      <c r="AU2628" s="125"/>
      <c r="AV2628" s="125"/>
      <c r="AW2628" s="125"/>
      <c r="AX2628" s="238"/>
      <c r="AY2628" s="125"/>
      <c r="AZ2628" s="125"/>
      <c r="BA2628" s="125"/>
    </row>
    <row r="2629" spans="2:53" s="123" customFormat="1">
      <c r="B2629" s="125"/>
      <c r="D2629" s="125"/>
      <c r="I2629" s="125"/>
      <c r="Z2629" s="124"/>
      <c r="AA2629" s="74"/>
      <c r="AB2629" s="240"/>
      <c r="AD2629" s="124"/>
      <c r="AE2629" s="238"/>
      <c r="AF2629" s="239"/>
      <c r="AG2629" s="239"/>
      <c r="AH2629" s="124"/>
      <c r="AI2629" s="74"/>
      <c r="AJ2629" s="240"/>
      <c r="AL2629" s="124"/>
      <c r="AM2629" s="74"/>
      <c r="AP2629" s="125"/>
      <c r="AQ2629" s="241"/>
      <c r="AR2629" s="125"/>
      <c r="AS2629" s="125"/>
      <c r="AT2629" s="238"/>
      <c r="AU2629" s="125"/>
      <c r="AV2629" s="125"/>
      <c r="AW2629" s="125"/>
      <c r="AX2629" s="238"/>
      <c r="AY2629" s="125"/>
      <c r="AZ2629" s="125"/>
      <c r="BA2629" s="125"/>
    </row>
    <row r="2630" spans="2:53" s="123" customFormat="1">
      <c r="B2630" s="125"/>
      <c r="D2630" s="125"/>
      <c r="I2630" s="125"/>
      <c r="Z2630" s="124"/>
      <c r="AA2630" s="74"/>
      <c r="AB2630" s="240"/>
      <c r="AD2630" s="124"/>
      <c r="AE2630" s="238"/>
      <c r="AF2630" s="239"/>
      <c r="AG2630" s="239"/>
      <c r="AH2630" s="124"/>
      <c r="AI2630" s="74"/>
      <c r="AJ2630" s="240"/>
      <c r="AL2630" s="124"/>
      <c r="AM2630" s="74"/>
      <c r="AP2630" s="125"/>
      <c r="AQ2630" s="241"/>
      <c r="AR2630" s="125"/>
      <c r="AS2630" s="125"/>
      <c r="AT2630" s="238"/>
      <c r="AU2630" s="125"/>
      <c r="AV2630" s="125"/>
      <c r="AW2630" s="125"/>
      <c r="AX2630" s="238"/>
      <c r="AY2630" s="125"/>
      <c r="AZ2630" s="125"/>
      <c r="BA2630" s="125"/>
    </row>
    <row r="2631" spans="2:53" s="123" customFormat="1">
      <c r="B2631" s="125"/>
      <c r="D2631" s="125"/>
      <c r="I2631" s="125"/>
      <c r="Z2631" s="124"/>
      <c r="AA2631" s="74"/>
      <c r="AB2631" s="240"/>
      <c r="AD2631" s="124"/>
      <c r="AE2631" s="238"/>
      <c r="AF2631" s="239"/>
      <c r="AG2631" s="239"/>
      <c r="AH2631" s="124"/>
      <c r="AI2631" s="74"/>
      <c r="AJ2631" s="240"/>
      <c r="AL2631" s="124"/>
      <c r="AM2631" s="74"/>
      <c r="AP2631" s="125"/>
      <c r="AQ2631" s="241"/>
      <c r="AR2631" s="125"/>
      <c r="AS2631" s="125"/>
      <c r="AT2631" s="238"/>
      <c r="AU2631" s="125"/>
      <c r="AV2631" s="125"/>
      <c r="AW2631" s="125"/>
      <c r="AX2631" s="238"/>
      <c r="AY2631" s="125"/>
      <c r="AZ2631" s="125"/>
      <c r="BA2631" s="125"/>
    </row>
    <row r="2632" spans="2:53" s="123" customFormat="1">
      <c r="B2632" s="125"/>
      <c r="D2632" s="125"/>
      <c r="I2632" s="125"/>
      <c r="Z2632" s="124"/>
      <c r="AA2632" s="74"/>
      <c r="AB2632" s="240"/>
      <c r="AD2632" s="124"/>
      <c r="AE2632" s="238"/>
      <c r="AF2632" s="239"/>
      <c r="AG2632" s="239"/>
      <c r="AH2632" s="124"/>
      <c r="AI2632" s="74"/>
      <c r="AJ2632" s="240"/>
      <c r="AL2632" s="124"/>
      <c r="AM2632" s="74"/>
      <c r="AP2632" s="125"/>
      <c r="AQ2632" s="241"/>
      <c r="AR2632" s="125"/>
      <c r="AS2632" s="125"/>
      <c r="AT2632" s="238"/>
      <c r="AU2632" s="125"/>
      <c r="AV2632" s="125"/>
      <c r="AW2632" s="125"/>
      <c r="AX2632" s="238"/>
      <c r="AY2632" s="125"/>
      <c r="AZ2632" s="125"/>
      <c r="BA2632" s="125"/>
    </row>
    <row r="2633" spans="2:53" s="123" customFormat="1">
      <c r="B2633" s="125"/>
      <c r="D2633" s="125"/>
      <c r="I2633" s="125"/>
      <c r="Z2633" s="124"/>
      <c r="AA2633" s="74"/>
      <c r="AB2633" s="240"/>
      <c r="AD2633" s="124"/>
      <c r="AE2633" s="238"/>
      <c r="AF2633" s="239"/>
      <c r="AG2633" s="239"/>
      <c r="AH2633" s="124"/>
      <c r="AI2633" s="74"/>
      <c r="AJ2633" s="240"/>
      <c r="AL2633" s="124"/>
      <c r="AM2633" s="74"/>
      <c r="AP2633" s="125"/>
      <c r="AQ2633" s="241"/>
      <c r="AR2633" s="125"/>
      <c r="AS2633" s="125"/>
      <c r="AT2633" s="238"/>
      <c r="AU2633" s="125"/>
      <c r="AV2633" s="125"/>
      <c r="AW2633" s="125"/>
      <c r="AX2633" s="238"/>
      <c r="AY2633" s="125"/>
      <c r="AZ2633" s="125"/>
      <c r="BA2633" s="125"/>
    </row>
    <row r="2634" spans="2:53" s="123" customFormat="1">
      <c r="B2634" s="125"/>
      <c r="D2634" s="125"/>
      <c r="I2634" s="125"/>
      <c r="Z2634" s="124"/>
      <c r="AA2634" s="74"/>
      <c r="AB2634" s="240"/>
      <c r="AD2634" s="124"/>
      <c r="AE2634" s="238"/>
      <c r="AF2634" s="239"/>
      <c r="AG2634" s="239"/>
      <c r="AH2634" s="124"/>
      <c r="AI2634" s="74"/>
      <c r="AJ2634" s="240"/>
      <c r="AL2634" s="124"/>
      <c r="AM2634" s="74"/>
      <c r="AP2634" s="125"/>
      <c r="AQ2634" s="241"/>
      <c r="AR2634" s="125"/>
      <c r="AS2634" s="125"/>
      <c r="AT2634" s="238"/>
      <c r="AU2634" s="125"/>
      <c r="AV2634" s="125"/>
      <c r="AW2634" s="125"/>
      <c r="AX2634" s="238"/>
      <c r="AY2634" s="125"/>
      <c r="AZ2634" s="125"/>
      <c r="BA2634" s="125"/>
    </row>
    <row r="2635" spans="2:53" s="123" customFormat="1">
      <c r="B2635" s="125"/>
      <c r="D2635" s="125"/>
      <c r="I2635" s="125"/>
      <c r="Z2635" s="124"/>
      <c r="AA2635" s="74"/>
      <c r="AB2635" s="240"/>
      <c r="AD2635" s="124"/>
      <c r="AE2635" s="238"/>
      <c r="AF2635" s="239"/>
      <c r="AG2635" s="239"/>
      <c r="AH2635" s="124"/>
      <c r="AI2635" s="74"/>
      <c r="AJ2635" s="240"/>
      <c r="AL2635" s="124"/>
      <c r="AM2635" s="74"/>
      <c r="AP2635" s="125"/>
      <c r="AQ2635" s="241"/>
      <c r="AR2635" s="125"/>
      <c r="AS2635" s="125"/>
      <c r="AT2635" s="238"/>
      <c r="AU2635" s="125"/>
      <c r="AV2635" s="125"/>
      <c r="AW2635" s="125"/>
      <c r="AX2635" s="238"/>
      <c r="AY2635" s="125"/>
      <c r="AZ2635" s="125"/>
      <c r="BA2635" s="125"/>
    </row>
    <row r="2636" spans="2:53" s="123" customFormat="1">
      <c r="B2636" s="125"/>
      <c r="D2636" s="125"/>
      <c r="I2636" s="125"/>
      <c r="Z2636" s="124"/>
      <c r="AA2636" s="74"/>
      <c r="AB2636" s="240"/>
      <c r="AD2636" s="124"/>
      <c r="AE2636" s="238"/>
      <c r="AF2636" s="239"/>
      <c r="AG2636" s="239"/>
      <c r="AH2636" s="124"/>
      <c r="AI2636" s="74"/>
      <c r="AJ2636" s="240"/>
      <c r="AL2636" s="124"/>
      <c r="AM2636" s="74"/>
      <c r="AP2636" s="125"/>
      <c r="AQ2636" s="241"/>
      <c r="AR2636" s="125"/>
      <c r="AS2636" s="125"/>
      <c r="AT2636" s="238"/>
      <c r="AU2636" s="125"/>
      <c r="AV2636" s="125"/>
      <c r="AW2636" s="125"/>
      <c r="AX2636" s="238"/>
      <c r="AY2636" s="125"/>
      <c r="AZ2636" s="125"/>
      <c r="BA2636" s="125"/>
    </row>
    <row r="2637" spans="2:53" s="123" customFormat="1">
      <c r="B2637" s="125"/>
      <c r="D2637" s="125"/>
      <c r="I2637" s="125"/>
      <c r="Z2637" s="124"/>
      <c r="AA2637" s="74"/>
      <c r="AB2637" s="240"/>
      <c r="AD2637" s="124"/>
      <c r="AE2637" s="238"/>
      <c r="AF2637" s="239"/>
      <c r="AG2637" s="239"/>
      <c r="AH2637" s="124"/>
      <c r="AI2637" s="74"/>
      <c r="AJ2637" s="240"/>
      <c r="AL2637" s="124"/>
      <c r="AM2637" s="74"/>
      <c r="AP2637" s="125"/>
      <c r="AQ2637" s="241"/>
      <c r="AR2637" s="125"/>
      <c r="AS2637" s="125"/>
      <c r="AT2637" s="238"/>
      <c r="AU2637" s="125"/>
      <c r="AV2637" s="125"/>
      <c r="AW2637" s="125"/>
      <c r="AX2637" s="238"/>
      <c r="AY2637" s="125"/>
      <c r="AZ2637" s="125"/>
      <c r="BA2637" s="125"/>
    </row>
    <row r="2638" spans="2:53" s="123" customFormat="1">
      <c r="B2638" s="125"/>
      <c r="D2638" s="125"/>
      <c r="I2638" s="125"/>
      <c r="Z2638" s="124"/>
      <c r="AA2638" s="74"/>
      <c r="AB2638" s="240"/>
      <c r="AD2638" s="124"/>
      <c r="AE2638" s="238"/>
      <c r="AF2638" s="239"/>
      <c r="AG2638" s="239"/>
      <c r="AH2638" s="124"/>
      <c r="AI2638" s="74"/>
      <c r="AJ2638" s="240"/>
      <c r="AL2638" s="124"/>
      <c r="AM2638" s="74"/>
      <c r="AP2638" s="125"/>
      <c r="AQ2638" s="241"/>
      <c r="AR2638" s="125"/>
      <c r="AS2638" s="125"/>
      <c r="AT2638" s="238"/>
      <c r="AU2638" s="125"/>
      <c r="AV2638" s="125"/>
      <c r="AW2638" s="125"/>
      <c r="AX2638" s="238"/>
      <c r="AY2638" s="125"/>
      <c r="AZ2638" s="125"/>
      <c r="BA2638" s="125"/>
    </row>
    <row r="2639" spans="2:53" s="123" customFormat="1">
      <c r="B2639" s="125"/>
      <c r="D2639" s="125"/>
      <c r="I2639" s="125"/>
      <c r="Z2639" s="124"/>
      <c r="AA2639" s="74"/>
      <c r="AB2639" s="240"/>
      <c r="AD2639" s="124"/>
      <c r="AE2639" s="238"/>
      <c r="AF2639" s="239"/>
      <c r="AG2639" s="239"/>
      <c r="AH2639" s="124"/>
      <c r="AI2639" s="74"/>
      <c r="AJ2639" s="240"/>
      <c r="AL2639" s="124"/>
      <c r="AM2639" s="74"/>
      <c r="AP2639" s="125"/>
      <c r="AQ2639" s="241"/>
      <c r="AR2639" s="125"/>
      <c r="AS2639" s="125"/>
      <c r="AT2639" s="238"/>
      <c r="AU2639" s="125"/>
      <c r="AV2639" s="125"/>
      <c r="AW2639" s="125"/>
      <c r="AX2639" s="238"/>
      <c r="AY2639" s="125"/>
      <c r="AZ2639" s="125"/>
      <c r="BA2639" s="125"/>
    </row>
    <row r="2640" spans="2:53" s="123" customFormat="1">
      <c r="B2640" s="125"/>
      <c r="D2640" s="125"/>
      <c r="I2640" s="125"/>
      <c r="Z2640" s="124"/>
      <c r="AA2640" s="74"/>
      <c r="AB2640" s="240"/>
      <c r="AD2640" s="124"/>
      <c r="AE2640" s="238"/>
      <c r="AF2640" s="239"/>
      <c r="AG2640" s="239"/>
      <c r="AH2640" s="124"/>
      <c r="AI2640" s="74"/>
      <c r="AJ2640" s="240"/>
      <c r="AL2640" s="124"/>
      <c r="AM2640" s="74"/>
      <c r="AP2640" s="125"/>
      <c r="AQ2640" s="241"/>
      <c r="AR2640" s="125"/>
      <c r="AS2640" s="125"/>
      <c r="AT2640" s="238"/>
      <c r="AU2640" s="125"/>
      <c r="AV2640" s="125"/>
      <c r="AW2640" s="125"/>
      <c r="AX2640" s="238"/>
      <c r="AY2640" s="125"/>
      <c r="AZ2640" s="125"/>
      <c r="BA2640" s="125"/>
    </row>
    <row r="2641" spans="2:53" s="123" customFormat="1">
      <c r="B2641" s="125"/>
      <c r="D2641" s="125"/>
      <c r="I2641" s="125"/>
      <c r="Z2641" s="124"/>
      <c r="AA2641" s="74"/>
      <c r="AB2641" s="240"/>
      <c r="AD2641" s="124"/>
      <c r="AE2641" s="238"/>
      <c r="AF2641" s="239"/>
      <c r="AG2641" s="239"/>
      <c r="AH2641" s="124"/>
      <c r="AI2641" s="74"/>
      <c r="AJ2641" s="240"/>
      <c r="AL2641" s="124"/>
      <c r="AM2641" s="74"/>
      <c r="AP2641" s="125"/>
      <c r="AQ2641" s="241"/>
      <c r="AR2641" s="125"/>
      <c r="AS2641" s="125"/>
      <c r="AT2641" s="238"/>
      <c r="AU2641" s="125"/>
      <c r="AV2641" s="125"/>
      <c r="AW2641" s="125"/>
      <c r="AX2641" s="238"/>
      <c r="AY2641" s="125"/>
      <c r="AZ2641" s="125"/>
      <c r="BA2641" s="125"/>
    </row>
    <row r="2642" spans="2:53" s="123" customFormat="1">
      <c r="B2642" s="125"/>
      <c r="D2642" s="125"/>
      <c r="I2642" s="125"/>
      <c r="Z2642" s="124"/>
      <c r="AA2642" s="74"/>
      <c r="AB2642" s="240"/>
      <c r="AD2642" s="124"/>
      <c r="AE2642" s="238"/>
      <c r="AF2642" s="239"/>
      <c r="AG2642" s="239"/>
      <c r="AH2642" s="124"/>
      <c r="AI2642" s="74"/>
      <c r="AJ2642" s="240"/>
      <c r="AL2642" s="124"/>
      <c r="AM2642" s="74"/>
      <c r="AP2642" s="125"/>
      <c r="AQ2642" s="241"/>
      <c r="AR2642" s="125"/>
      <c r="AS2642" s="125"/>
      <c r="AT2642" s="238"/>
      <c r="AU2642" s="125"/>
      <c r="AV2642" s="125"/>
      <c r="AW2642" s="125"/>
      <c r="AX2642" s="238"/>
      <c r="AY2642" s="125"/>
      <c r="AZ2642" s="125"/>
      <c r="BA2642" s="125"/>
    </row>
    <row r="2643" spans="2:53" s="123" customFormat="1">
      <c r="B2643" s="125"/>
      <c r="D2643" s="125"/>
      <c r="I2643" s="125"/>
      <c r="Z2643" s="124"/>
      <c r="AA2643" s="74"/>
      <c r="AB2643" s="240"/>
      <c r="AD2643" s="124"/>
      <c r="AE2643" s="238"/>
      <c r="AF2643" s="239"/>
      <c r="AG2643" s="239"/>
      <c r="AH2643" s="124"/>
      <c r="AI2643" s="74"/>
      <c r="AJ2643" s="240"/>
      <c r="AL2643" s="124"/>
      <c r="AM2643" s="74"/>
      <c r="AP2643" s="125"/>
      <c r="AQ2643" s="241"/>
      <c r="AR2643" s="125"/>
      <c r="AS2643" s="125"/>
      <c r="AT2643" s="238"/>
      <c r="AU2643" s="125"/>
      <c r="AV2643" s="125"/>
      <c r="AW2643" s="125"/>
      <c r="AX2643" s="238"/>
      <c r="AY2643" s="125"/>
      <c r="AZ2643" s="125"/>
      <c r="BA2643" s="125"/>
    </row>
    <row r="2644" spans="2:53" s="123" customFormat="1">
      <c r="B2644" s="125"/>
      <c r="D2644" s="125"/>
      <c r="I2644" s="125"/>
      <c r="Z2644" s="124"/>
      <c r="AA2644" s="74"/>
      <c r="AB2644" s="240"/>
      <c r="AD2644" s="124"/>
      <c r="AE2644" s="238"/>
      <c r="AF2644" s="239"/>
      <c r="AG2644" s="239"/>
      <c r="AH2644" s="124"/>
      <c r="AI2644" s="74"/>
      <c r="AJ2644" s="240"/>
      <c r="AL2644" s="124"/>
      <c r="AM2644" s="74"/>
      <c r="AP2644" s="125"/>
      <c r="AQ2644" s="241"/>
      <c r="AR2644" s="125"/>
      <c r="AS2644" s="125"/>
      <c r="AT2644" s="238"/>
      <c r="AU2644" s="125"/>
      <c r="AV2644" s="125"/>
      <c r="AW2644" s="125"/>
      <c r="AX2644" s="238"/>
      <c r="AY2644" s="125"/>
      <c r="AZ2644" s="125"/>
      <c r="BA2644" s="125"/>
    </row>
    <row r="2645" spans="2:53" s="123" customFormat="1">
      <c r="B2645" s="125"/>
      <c r="D2645" s="125"/>
      <c r="I2645" s="125"/>
      <c r="Z2645" s="124"/>
      <c r="AA2645" s="74"/>
      <c r="AB2645" s="240"/>
      <c r="AD2645" s="124"/>
      <c r="AE2645" s="238"/>
      <c r="AF2645" s="239"/>
      <c r="AG2645" s="239"/>
      <c r="AH2645" s="124"/>
      <c r="AI2645" s="74"/>
      <c r="AJ2645" s="240"/>
      <c r="AL2645" s="124"/>
      <c r="AM2645" s="74"/>
      <c r="AP2645" s="125"/>
      <c r="AQ2645" s="241"/>
      <c r="AR2645" s="125"/>
      <c r="AS2645" s="125"/>
      <c r="AT2645" s="238"/>
      <c r="AU2645" s="125"/>
      <c r="AV2645" s="125"/>
      <c r="AW2645" s="125"/>
      <c r="AX2645" s="238"/>
      <c r="AY2645" s="125"/>
      <c r="AZ2645" s="125"/>
      <c r="BA2645" s="125"/>
    </row>
    <row r="2646" spans="2:53" s="123" customFormat="1">
      <c r="B2646" s="125"/>
      <c r="D2646" s="125"/>
      <c r="I2646" s="125"/>
      <c r="Z2646" s="124"/>
      <c r="AA2646" s="74"/>
      <c r="AB2646" s="240"/>
      <c r="AD2646" s="124"/>
      <c r="AE2646" s="238"/>
      <c r="AF2646" s="239"/>
      <c r="AG2646" s="239"/>
      <c r="AH2646" s="124"/>
      <c r="AI2646" s="74"/>
      <c r="AJ2646" s="240"/>
      <c r="AL2646" s="124"/>
      <c r="AM2646" s="74"/>
      <c r="AP2646" s="125"/>
      <c r="AQ2646" s="241"/>
      <c r="AR2646" s="125"/>
      <c r="AS2646" s="125"/>
      <c r="AT2646" s="238"/>
      <c r="AU2646" s="125"/>
      <c r="AV2646" s="125"/>
      <c r="AW2646" s="125"/>
      <c r="AX2646" s="238"/>
      <c r="AY2646" s="125"/>
      <c r="AZ2646" s="125"/>
      <c r="BA2646" s="125"/>
    </row>
    <row r="2647" spans="2:53" s="123" customFormat="1">
      <c r="B2647" s="125"/>
      <c r="D2647" s="125"/>
      <c r="I2647" s="125"/>
      <c r="Z2647" s="124"/>
      <c r="AA2647" s="74"/>
      <c r="AB2647" s="240"/>
      <c r="AD2647" s="124"/>
      <c r="AE2647" s="238"/>
      <c r="AF2647" s="239"/>
      <c r="AG2647" s="239"/>
      <c r="AH2647" s="124"/>
      <c r="AI2647" s="74"/>
      <c r="AJ2647" s="240"/>
      <c r="AL2647" s="124"/>
      <c r="AM2647" s="74"/>
      <c r="AP2647" s="125"/>
      <c r="AQ2647" s="241"/>
      <c r="AR2647" s="125"/>
      <c r="AS2647" s="125"/>
      <c r="AT2647" s="238"/>
      <c r="AU2647" s="125"/>
      <c r="AV2647" s="125"/>
      <c r="AW2647" s="125"/>
      <c r="AX2647" s="238"/>
      <c r="AY2647" s="125"/>
      <c r="AZ2647" s="125"/>
      <c r="BA2647" s="125"/>
    </row>
    <row r="2648" spans="2:53" s="123" customFormat="1">
      <c r="B2648" s="125"/>
      <c r="D2648" s="125"/>
      <c r="I2648" s="125"/>
      <c r="Z2648" s="124"/>
      <c r="AA2648" s="74"/>
      <c r="AB2648" s="240"/>
      <c r="AD2648" s="124"/>
      <c r="AE2648" s="238"/>
      <c r="AF2648" s="239"/>
      <c r="AG2648" s="239"/>
      <c r="AH2648" s="124"/>
      <c r="AI2648" s="74"/>
      <c r="AJ2648" s="240"/>
      <c r="AL2648" s="124"/>
      <c r="AM2648" s="74"/>
      <c r="AP2648" s="125"/>
      <c r="AQ2648" s="241"/>
      <c r="AR2648" s="125"/>
      <c r="AS2648" s="125"/>
      <c r="AT2648" s="238"/>
      <c r="AU2648" s="125"/>
      <c r="AV2648" s="125"/>
      <c r="AW2648" s="125"/>
      <c r="AX2648" s="238"/>
      <c r="AY2648" s="125"/>
      <c r="AZ2648" s="125"/>
      <c r="BA2648" s="125"/>
    </row>
    <row r="2649" spans="2:53" s="123" customFormat="1">
      <c r="B2649" s="125"/>
      <c r="D2649" s="125"/>
      <c r="I2649" s="125"/>
      <c r="Z2649" s="124"/>
      <c r="AA2649" s="74"/>
      <c r="AB2649" s="240"/>
      <c r="AD2649" s="124"/>
      <c r="AE2649" s="238"/>
      <c r="AF2649" s="239"/>
      <c r="AG2649" s="239"/>
      <c r="AH2649" s="124"/>
      <c r="AI2649" s="74"/>
      <c r="AJ2649" s="240"/>
      <c r="AL2649" s="124"/>
      <c r="AM2649" s="74"/>
      <c r="AP2649" s="125"/>
      <c r="AQ2649" s="241"/>
      <c r="AR2649" s="125"/>
      <c r="AS2649" s="125"/>
      <c r="AT2649" s="238"/>
      <c r="AU2649" s="125"/>
      <c r="AV2649" s="125"/>
      <c r="AW2649" s="125"/>
      <c r="AX2649" s="238"/>
      <c r="AY2649" s="125"/>
      <c r="AZ2649" s="125"/>
      <c r="BA2649" s="125"/>
    </row>
    <row r="2650" spans="2:53" s="123" customFormat="1">
      <c r="B2650" s="125"/>
      <c r="D2650" s="125"/>
      <c r="I2650" s="125"/>
      <c r="Z2650" s="124"/>
      <c r="AA2650" s="74"/>
      <c r="AB2650" s="240"/>
      <c r="AD2650" s="124"/>
      <c r="AE2650" s="238"/>
      <c r="AF2650" s="239"/>
      <c r="AG2650" s="239"/>
      <c r="AH2650" s="124"/>
      <c r="AI2650" s="74"/>
      <c r="AJ2650" s="240"/>
      <c r="AL2650" s="124"/>
      <c r="AM2650" s="74"/>
      <c r="AP2650" s="125"/>
      <c r="AQ2650" s="241"/>
      <c r="AR2650" s="125"/>
      <c r="AS2650" s="125"/>
      <c r="AT2650" s="238"/>
      <c r="AU2650" s="125"/>
      <c r="AV2650" s="125"/>
      <c r="AW2650" s="125"/>
      <c r="AX2650" s="238"/>
      <c r="AY2650" s="125"/>
      <c r="AZ2650" s="125"/>
      <c r="BA2650" s="125"/>
    </row>
    <row r="2651" spans="2:53" s="123" customFormat="1">
      <c r="B2651" s="125"/>
      <c r="D2651" s="125"/>
      <c r="I2651" s="125"/>
      <c r="Z2651" s="124"/>
      <c r="AA2651" s="74"/>
      <c r="AB2651" s="240"/>
      <c r="AD2651" s="124"/>
      <c r="AE2651" s="238"/>
      <c r="AF2651" s="239"/>
      <c r="AG2651" s="239"/>
      <c r="AH2651" s="124"/>
      <c r="AI2651" s="74"/>
      <c r="AJ2651" s="240"/>
      <c r="AL2651" s="124"/>
      <c r="AM2651" s="74"/>
      <c r="AP2651" s="125"/>
      <c r="AQ2651" s="241"/>
      <c r="AR2651" s="125"/>
      <c r="AS2651" s="125"/>
      <c r="AT2651" s="238"/>
      <c r="AU2651" s="125"/>
      <c r="AV2651" s="125"/>
      <c r="AW2651" s="125"/>
      <c r="AX2651" s="238"/>
      <c r="AY2651" s="125"/>
      <c r="AZ2651" s="125"/>
      <c r="BA2651" s="125"/>
    </row>
    <row r="2652" spans="2:53" s="123" customFormat="1">
      <c r="B2652" s="125"/>
      <c r="D2652" s="125"/>
      <c r="I2652" s="125"/>
      <c r="Z2652" s="124"/>
      <c r="AA2652" s="74"/>
      <c r="AB2652" s="240"/>
      <c r="AD2652" s="124"/>
      <c r="AE2652" s="238"/>
      <c r="AF2652" s="239"/>
      <c r="AG2652" s="239"/>
      <c r="AH2652" s="124"/>
      <c r="AI2652" s="74"/>
      <c r="AJ2652" s="240"/>
      <c r="AL2652" s="124"/>
      <c r="AM2652" s="74"/>
      <c r="AP2652" s="125"/>
      <c r="AQ2652" s="241"/>
      <c r="AR2652" s="125"/>
      <c r="AS2652" s="125"/>
      <c r="AT2652" s="238"/>
      <c r="AU2652" s="125"/>
      <c r="AV2652" s="125"/>
      <c r="AW2652" s="125"/>
      <c r="AX2652" s="238"/>
      <c r="AY2652" s="125"/>
      <c r="AZ2652" s="125"/>
      <c r="BA2652" s="125"/>
    </row>
    <row r="2653" spans="2:53" s="123" customFormat="1">
      <c r="B2653" s="125"/>
      <c r="D2653" s="125"/>
      <c r="I2653" s="125"/>
      <c r="Z2653" s="124"/>
      <c r="AA2653" s="74"/>
      <c r="AB2653" s="240"/>
      <c r="AD2653" s="124"/>
      <c r="AE2653" s="238"/>
      <c r="AF2653" s="239"/>
      <c r="AG2653" s="239"/>
      <c r="AH2653" s="124"/>
      <c r="AI2653" s="74"/>
      <c r="AJ2653" s="240"/>
      <c r="AL2653" s="124"/>
      <c r="AM2653" s="74"/>
      <c r="AP2653" s="125"/>
      <c r="AQ2653" s="241"/>
      <c r="AR2653" s="125"/>
      <c r="AS2653" s="125"/>
      <c r="AT2653" s="238"/>
      <c r="AU2653" s="125"/>
      <c r="AV2653" s="125"/>
      <c r="AW2653" s="125"/>
      <c r="AX2653" s="238"/>
      <c r="AY2653" s="125"/>
      <c r="AZ2653" s="125"/>
      <c r="BA2653" s="125"/>
    </row>
    <row r="2654" spans="2:53" s="123" customFormat="1">
      <c r="B2654" s="125"/>
      <c r="D2654" s="125"/>
      <c r="I2654" s="125"/>
      <c r="Z2654" s="124"/>
      <c r="AA2654" s="74"/>
      <c r="AB2654" s="240"/>
      <c r="AD2654" s="124"/>
      <c r="AE2654" s="238"/>
      <c r="AF2654" s="239"/>
      <c r="AG2654" s="239"/>
      <c r="AH2654" s="124"/>
      <c r="AI2654" s="74"/>
      <c r="AJ2654" s="240"/>
      <c r="AL2654" s="124"/>
      <c r="AM2654" s="74"/>
      <c r="AP2654" s="125"/>
      <c r="AQ2654" s="241"/>
      <c r="AR2654" s="125"/>
      <c r="AS2654" s="125"/>
      <c r="AT2654" s="238"/>
      <c r="AU2654" s="125"/>
      <c r="AV2654" s="125"/>
      <c r="AW2654" s="125"/>
      <c r="AX2654" s="238"/>
      <c r="AY2654" s="125"/>
      <c r="AZ2654" s="125"/>
      <c r="BA2654" s="125"/>
    </row>
    <row r="2655" spans="2:53" s="123" customFormat="1">
      <c r="B2655" s="125"/>
      <c r="D2655" s="125"/>
      <c r="I2655" s="125"/>
      <c r="Z2655" s="124"/>
      <c r="AA2655" s="74"/>
      <c r="AB2655" s="240"/>
      <c r="AD2655" s="124"/>
      <c r="AE2655" s="238"/>
      <c r="AF2655" s="239"/>
      <c r="AG2655" s="239"/>
      <c r="AH2655" s="124"/>
      <c r="AI2655" s="74"/>
      <c r="AJ2655" s="240"/>
      <c r="AL2655" s="124"/>
      <c r="AM2655" s="74"/>
      <c r="AP2655" s="125"/>
      <c r="AQ2655" s="241"/>
      <c r="AR2655" s="125"/>
      <c r="AS2655" s="125"/>
      <c r="AT2655" s="238"/>
      <c r="AU2655" s="125"/>
      <c r="AV2655" s="125"/>
      <c r="AW2655" s="125"/>
      <c r="AX2655" s="238"/>
      <c r="AY2655" s="125"/>
      <c r="AZ2655" s="125"/>
      <c r="BA2655" s="125"/>
    </row>
    <row r="2656" spans="2:53" s="123" customFormat="1">
      <c r="B2656" s="125"/>
      <c r="D2656" s="125"/>
      <c r="I2656" s="125"/>
      <c r="Z2656" s="124"/>
      <c r="AA2656" s="74"/>
      <c r="AB2656" s="240"/>
      <c r="AD2656" s="124"/>
      <c r="AE2656" s="238"/>
      <c r="AF2656" s="239"/>
      <c r="AG2656" s="239"/>
      <c r="AH2656" s="124"/>
      <c r="AI2656" s="74"/>
      <c r="AJ2656" s="240"/>
      <c r="AL2656" s="124"/>
      <c r="AM2656" s="74"/>
      <c r="AP2656" s="125"/>
      <c r="AQ2656" s="241"/>
      <c r="AR2656" s="125"/>
      <c r="AS2656" s="125"/>
      <c r="AT2656" s="238"/>
      <c r="AU2656" s="125"/>
      <c r="AV2656" s="125"/>
      <c r="AW2656" s="125"/>
      <c r="AX2656" s="238"/>
      <c r="AY2656" s="125"/>
      <c r="AZ2656" s="125"/>
      <c r="BA2656" s="125"/>
    </row>
    <row r="2657" spans="2:53" s="123" customFormat="1">
      <c r="B2657" s="125"/>
      <c r="D2657" s="125"/>
      <c r="I2657" s="125"/>
      <c r="Z2657" s="124"/>
      <c r="AA2657" s="74"/>
      <c r="AB2657" s="240"/>
      <c r="AD2657" s="124"/>
      <c r="AE2657" s="238"/>
      <c r="AF2657" s="239"/>
      <c r="AG2657" s="239"/>
      <c r="AH2657" s="124"/>
      <c r="AI2657" s="74"/>
      <c r="AJ2657" s="240"/>
      <c r="AL2657" s="124"/>
      <c r="AM2657" s="74"/>
      <c r="AP2657" s="125"/>
      <c r="AQ2657" s="241"/>
      <c r="AR2657" s="125"/>
      <c r="AS2657" s="125"/>
      <c r="AT2657" s="238"/>
      <c r="AU2657" s="125"/>
      <c r="AV2657" s="125"/>
      <c r="AW2657" s="125"/>
      <c r="AX2657" s="238"/>
      <c r="AY2657" s="125"/>
      <c r="AZ2657" s="125"/>
      <c r="BA2657" s="125"/>
    </row>
    <row r="2658" spans="2:53" s="123" customFormat="1">
      <c r="B2658" s="125"/>
      <c r="D2658" s="125"/>
      <c r="I2658" s="125"/>
      <c r="Z2658" s="124"/>
      <c r="AA2658" s="74"/>
      <c r="AB2658" s="240"/>
      <c r="AD2658" s="124"/>
      <c r="AE2658" s="238"/>
      <c r="AF2658" s="239"/>
      <c r="AG2658" s="239"/>
      <c r="AH2658" s="124"/>
      <c r="AI2658" s="74"/>
      <c r="AJ2658" s="240"/>
      <c r="AL2658" s="124"/>
      <c r="AM2658" s="74"/>
      <c r="AP2658" s="125"/>
      <c r="AQ2658" s="241"/>
      <c r="AR2658" s="125"/>
      <c r="AS2658" s="125"/>
      <c r="AT2658" s="238"/>
      <c r="AU2658" s="125"/>
      <c r="AV2658" s="125"/>
      <c r="AW2658" s="125"/>
      <c r="AX2658" s="238"/>
      <c r="AY2658" s="125"/>
      <c r="AZ2658" s="125"/>
      <c r="BA2658" s="125"/>
    </row>
    <row r="2659" spans="2:53" s="123" customFormat="1">
      <c r="B2659" s="125"/>
      <c r="D2659" s="125"/>
      <c r="I2659" s="125"/>
      <c r="Z2659" s="124"/>
      <c r="AA2659" s="74"/>
      <c r="AB2659" s="240"/>
      <c r="AD2659" s="124"/>
      <c r="AE2659" s="238"/>
      <c r="AF2659" s="239"/>
      <c r="AG2659" s="239"/>
      <c r="AH2659" s="124"/>
      <c r="AI2659" s="74"/>
      <c r="AJ2659" s="240"/>
      <c r="AL2659" s="124"/>
      <c r="AM2659" s="74"/>
      <c r="AP2659" s="125"/>
      <c r="AQ2659" s="241"/>
      <c r="AR2659" s="125"/>
      <c r="AS2659" s="125"/>
      <c r="AT2659" s="238"/>
      <c r="AU2659" s="125"/>
      <c r="AV2659" s="125"/>
      <c r="AW2659" s="125"/>
      <c r="AX2659" s="238"/>
      <c r="AY2659" s="125"/>
      <c r="AZ2659" s="125"/>
      <c r="BA2659" s="125"/>
    </row>
    <row r="2660" spans="2:53" s="123" customFormat="1">
      <c r="B2660" s="125"/>
      <c r="D2660" s="125"/>
      <c r="I2660" s="125"/>
      <c r="Z2660" s="124"/>
      <c r="AA2660" s="74"/>
      <c r="AB2660" s="240"/>
      <c r="AD2660" s="124"/>
      <c r="AE2660" s="238"/>
      <c r="AF2660" s="239"/>
      <c r="AG2660" s="239"/>
      <c r="AH2660" s="124"/>
      <c r="AI2660" s="74"/>
      <c r="AJ2660" s="240"/>
      <c r="AL2660" s="124"/>
      <c r="AM2660" s="74"/>
      <c r="AP2660" s="125"/>
      <c r="AQ2660" s="241"/>
      <c r="AR2660" s="125"/>
      <c r="AS2660" s="125"/>
      <c r="AT2660" s="238"/>
      <c r="AU2660" s="125"/>
      <c r="AV2660" s="125"/>
      <c r="AW2660" s="125"/>
      <c r="AX2660" s="238"/>
      <c r="AY2660" s="125"/>
      <c r="AZ2660" s="125"/>
      <c r="BA2660" s="125"/>
    </row>
    <row r="2661" spans="2:53" s="123" customFormat="1">
      <c r="B2661" s="125"/>
      <c r="D2661" s="125"/>
      <c r="I2661" s="125"/>
      <c r="Z2661" s="124"/>
      <c r="AA2661" s="74"/>
      <c r="AB2661" s="240"/>
      <c r="AD2661" s="124"/>
      <c r="AE2661" s="238"/>
      <c r="AF2661" s="239"/>
      <c r="AG2661" s="239"/>
      <c r="AH2661" s="124"/>
      <c r="AI2661" s="74"/>
      <c r="AJ2661" s="240"/>
      <c r="AL2661" s="124"/>
      <c r="AM2661" s="74"/>
      <c r="AP2661" s="125"/>
      <c r="AQ2661" s="241"/>
      <c r="AR2661" s="125"/>
      <c r="AS2661" s="125"/>
      <c r="AT2661" s="238"/>
      <c r="AU2661" s="125"/>
      <c r="AV2661" s="125"/>
      <c r="AW2661" s="125"/>
      <c r="AX2661" s="238"/>
      <c r="AY2661" s="125"/>
      <c r="AZ2661" s="125"/>
      <c r="BA2661" s="125"/>
    </row>
    <row r="2662" spans="2:53" s="123" customFormat="1">
      <c r="B2662" s="125"/>
      <c r="D2662" s="125"/>
      <c r="I2662" s="125"/>
      <c r="Z2662" s="124"/>
      <c r="AA2662" s="74"/>
      <c r="AB2662" s="240"/>
      <c r="AD2662" s="124"/>
      <c r="AE2662" s="238"/>
      <c r="AF2662" s="239"/>
      <c r="AG2662" s="239"/>
      <c r="AH2662" s="124"/>
      <c r="AI2662" s="74"/>
      <c r="AJ2662" s="240"/>
      <c r="AL2662" s="124"/>
      <c r="AM2662" s="74"/>
      <c r="AP2662" s="125"/>
      <c r="AQ2662" s="241"/>
      <c r="AR2662" s="125"/>
      <c r="AS2662" s="125"/>
      <c r="AT2662" s="238"/>
      <c r="AU2662" s="125"/>
      <c r="AV2662" s="125"/>
      <c r="AW2662" s="125"/>
      <c r="AX2662" s="238"/>
      <c r="AY2662" s="125"/>
      <c r="AZ2662" s="125"/>
      <c r="BA2662" s="125"/>
    </row>
    <row r="2663" spans="2:53" s="123" customFormat="1">
      <c r="B2663" s="125"/>
      <c r="D2663" s="125"/>
      <c r="I2663" s="125"/>
      <c r="Z2663" s="124"/>
      <c r="AA2663" s="74"/>
      <c r="AB2663" s="240"/>
      <c r="AD2663" s="124"/>
      <c r="AE2663" s="238"/>
      <c r="AF2663" s="239"/>
      <c r="AG2663" s="239"/>
      <c r="AH2663" s="124"/>
      <c r="AI2663" s="74"/>
      <c r="AJ2663" s="240"/>
      <c r="AL2663" s="124"/>
      <c r="AM2663" s="74"/>
      <c r="AP2663" s="125"/>
      <c r="AQ2663" s="241"/>
      <c r="AR2663" s="125"/>
      <c r="AS2663" s="125"/>
      <c r="AT2663" s="238"/>
      <c r="AU2663" s="125"/>
      <c r="AV2663" s="125"/>
      <c r="AW2663" s="125"/>
      <c r="AX2663" s="238"/>
      <c r="AY2663" s="125"/>
      <c r="AZ2663" s="125"/>
      <c r="BA2663" s="125"/>
    </row>
    <row r="2664" spans="2:53" s="123" customFormat="1">
      <c r="B2664" s="125"/>
      <c r="D2664" s="125"/>
      <c r="I2664" s="125"/>
      <c r="Z2664" s="124"/>
      <c r="AA2664" s="74"/>
      <c r="AB2664" s="240"/>
      <c r="AD2664" s="124"/>
      <c r="AE2664" s="238"/>
      <c r="AF2664" s="239"/>
      <c r="AG2664" s="239"/>
      <c r="AH2664" s="124"/>
      <c r="AI2664" s="74"/>
      <c r="AJ2664" s="240"/>
      <c r="AL2664" s="124"/>
      <c r="AM2664" s="74"/>
      <c r="AP2664" s="125"/>
      <c r="AQ2664" s="241"/>
      <c r="AR2664" s="125"/>
      <c r="AS2664" s="125"/>
      <c r="AT2664" s="238"/>
      <c r="AU2664" s="125"/>
      <c r="AV2664" s="125"/>
      <c r="AW2664" s="125"/>
      <c r="AX2664" s="238"/>
      <c r="AY2664" s="125"/>
      <c r="AZ2664" s="125"/>
      <c r="BA2664" s="125"/>
    </row>
    <row r="2665" spans="2:53" s="123" customFormat="1">
      <c r="B2665" s="125"/>
      <c r="D2665" s="125"/>
      <c r="I2665" s="125"/>
      <c r="Z2665" s="124"/>
      <c r="AA2665" s="74"/>
      <c r="AB2665" s="240"/>
      <c r="AD2665" s="124"/>
      <c r="AE2665" s="238"/>
      <c r="AF2665" s="239"/>
      <c r="AG2665" s="239"/>
      <c r="AH2665" s="124"/>
      <c r="AI2665" s="74"/>
      <c r="AJ2665" s="240"/>
      <c r="AL2665" s="124"/>
      <c r="AM2665" s="74"/>
      <c r="AP2665" s="125"/>
      <c r="AQ2665" s="241"/>
      <c r="AR2665" s="125"/>
      <c r="AS2665" s="125"/>
      <c r="AT2665" s="238"/>
      <c r="AU2665" s="125"/>
      <c r="AV2665" s="125"/>
      <c r="AW2665" s="125"/>
      <c r="AX2665" s="238"/>
      <c r="AY2665" s="125"/>
      <c r="AZ2665" s="125"/>
      <c r="BA2665" s="125"/>
    </row>
    <row r="2666" spans="2:53" s="123" customFormat="1">
      <c r="B2666" s="125"/>
      <c r="D2666" s="125"/>
      <c r="I2666" s="125"/>
      <c r="Z2666" s="124"/>
      <c r="AA2666" s="74"/>
      <c r="AB2666" s="240"/>
      <c r="AD2666" s="124"/>
      <c r="AE2666" s="238"/>
      <c r="AF2666" s="239"/>
      <c r="AG2666" s="239"/>
      <c r="AH2666" s="124"/>
      <c r="AI2666" s="74"/>
      <c r="AJ2666" s="240"/>
      <c r="AL2666" s="124"/>
      <c r="AM2666" s="74"/>
      <c r="AP2666" s="125"/>
      <c r="AQ2666" s="241"/>
      <c r="AR2666" s="125"/>
      <c r="AS2666" s="125"/>
      <c r="AT2666" s="238"/>
      <c r="AU2666" s="125"/>
      <c r="AV2666" s="125"/>
      <c r="AW2666" s="125"/>
      <c r="AX2666" s="238"/>
      <c r="AY2666" s="125"/>
      <c r="AZ2666" s="125"/>
      <c r="BA2666" s="125"/>
    </row>
    <row r="2667" spans="2:53" s="123" customFormat="1">
      <c r="B2667" s="125"/>
      <c r="D2667" s="125"/>
      <c r="I2667" s="125"/>
      <c r="Z2667" s="124"/>
      <c r="AA2667" s="74"/>
      <c r="AB2667" s="240"/>
      <c r="AD2667" s="124"/>
      <c r="AE2667" s="238"/>
      <c r="AF2667" s="239"/>
      <c r="AG2667" s="239"/>
      <c r="AH2667" s="124"/>
      <c r="AI2667" s="74"/>
      <c r="AJ2667" s="240"/>
      <c r="AL2667" s="124"/>
      <c r="AM2667" s="74"/>
      <c r="AP2667" s="125"/>
      <c r="AQ2667" s="241"/>
      <c r="AR2667" s="125"/>
      <c r="AS2667" s="125"/>
      <c r="AT2667" s="238"/>
      <c r="AU2667" s="125"/>
      <c r="AV2667" s="125"/>
      <c r="AW2667" s="125"/>
      <c r="AX2667" s="238"/>
      <c r="AY2667" s="125"/>
      <c r="AZ2667" s="125"/>
      <c r="BA2667" s="125"/>
    </row>
    <row r="2668" spans="2:53" s="123" customFormat="1">
      <c r="B2668" s="125"/>
      <c r="D2668" s="125"/>
      <c r="I2668" s="125"/>
      <c r="Z2668" s="124"/>
      <c r="AA2668" s="74"/>
      <c r="AB2668" s="240"/>
      <c r="AD2668" s="124"/>
      <c r="AE2668" s="238"/>
      <c r="AF2668" s="239"/>
      <c r="AG2668" s="239"/>
      <c r="AH2668" s="124"/>
      <c r="AI2668" s="74"/>
      <c r="AJ2668" s="240"/>
      <c r="AL2668" s="124"/>
      <c r="AM2668" s="74"/>
      <c r="AP2668" s="125"/>
      <c r="AQ2668" s="241"/>
      <c r="AR2668" s="125"/>
      <c r="AS2668" s="125"/>
      <c r="AT2668" s="238"/>
      <c r="AU2668" s="125"/>
      <c r="AV2668" s="125"/>
      <c r="AW2668" s="125"/>
      <c r="AX2668" s="238"/>
      <c r="AY2668" s="125"/>
      <c r="AZ2668" s="125"/>
      <c r="BA2668" s="125"/>
    </row>
    <row r="2669" spans="2:53" s="123" customFormat="1">
      <c r="B2669" s="125"/>
      <c r="D2669" s="125"/>
      <c r="I2669" s="125"/>
      <c r="Z2669" s="124"/>
      <c r="AA2669" s="74"/>
      <c r="AB2669" s="240"/>
      <c r="AD2669" s="124"/>
      <c r="AE2669" s="238"/>
      <c r="AF2669" s="239"/>
      <c r="AG2669" s="239"/>
      <c r="AH2669" s="124"/>
      <c r="AI2669" s="74"/>
      <c r="AJ2669" s="240"/>
      <c r="AL2669" s="124"/>
      <c r="AM2669" s="74"/>
      <c r="AP2669" s="125"/>
      <c r="AQ2669" s="241"/>
      <c r="AR2669" s="125"/>
      <c r="AS2669" s="125"/>
      <c r="AT2669" s="238"/>
      <c r="AU2669" s="125"/>
      <c r="AV2669" s="125"/>
      <c r="AW2669" s="125"/>
      <c r="AX2669" s="238"/>
      <c r="AY2669" s="125"/>
      <c r="AZ2669" s="125"/>
      <c r="BA2669" s="125"/>
    </row>
    <row r="2670" spans="2:53" s="123" customFormat="1">
      <c r="B2670" s="125"/>
      <c r="D2670" s="125"/>
      <c r="I2670" s="125"/>
      <c r="Z2670" s="124"/>
      <c r="AA2670" s="74"/>
      <c r="AB2670" s="240"/>
      <c r="AD2670" s="124"/>
      <c r="AE2670" s="238"/>
      <c r="AF2670" s="239"/>
      <c r="AG2670" s="239"/>
      <c r="AH2670" s="124"/>
      <c r="AI2670" s="74"/>
      <c r="AJ2670" s="240"/>
      <c r="AL2670" s="124"/>
      <c r="AM2670" s="74"/>
      <c r="AP2670" s="125"/>
      <c r="AQ2670" s="241"/>
      <c r="AR2670" s="125"/>
      <c r="AS2670" s="125"/>
      <c r="AT2670" s="238"/>
      <c r="AU2670" s="125"/>
      <c r="AV2670" s="125"/>
      <c r="AW2670" s="125"/>
      <c r="AX2670" s="238"/>
      <c r="AY2670" s="125"/>
      <c r="AZ2670" s="125"/>
      <c r="BA2670" s="125"/>
    </row>
    <row r="2671" spans="2:53" s="123" customFormat="1">
      <c r="B2671" s="125"/>
      <c r="D2671" s="125"/>
      <c r="I2671" s="125"/>
      <c r="Z2671" s="124"/>
      <c r="AA2671" s="74"/>
      <c r="AB2671" s="240"/>
      <c r="AD2671" s="124"/>
      <c r="AE2671" s="238"/>
      <c r="AF2671" s="239"/>
      <c r="AG2671" s="239"/>
      <c r="AH2671" s="124"/>
      <c r="AI2671" s="74"/>
      <c r="AJ2671" s="240"/>
      <c r="AL2671" s="124"/>
      <c r="AM2671" s="74"/>
      <c r="AP2671" s="125"/>
      <c r="AQ2671" s="241"/>
      <c r="AR2671" s="125"/>
      <c r="AS2671" s="125"/>
      <c r="AT2671" s="238"/>
      <c r="AU2671" s="125"/>
      <c r="AV2671" s="125"/>
      <c r="AW2671" s="125"/>
      <c r="AX2671" s="238"/>
      <c r="AY2671" s="125"/>
      <c r="AZ2671" s="125"/>
      <c r="BA2671" s="125"/>
    </row>
    <row r="2672" spans="2:53" s="123" customFormat="1">
      <c r="B2672" s="125"/>
      <c r="D2672" s="125"/>
      <c r="I2672" s="125"/>
      <c r="Z2672" s="124"/>
      <c r="AA2672" s="74"/>
      <c r="AB2672" s="240"/>
      <c r="AD2672" s="124"/>
      <c r="AE2672" s="238"/>
      <c r="AF2672" s="239"/>
      <c r="AG2672" s="239"/>
      <c r="AH2672" s="124"/>
      <c r="AI2672" s="74"/>
      <c r="AJ2672" s="240"/>
      <c r="AL2672" s="124"/>
      <c r="AM2672" s="74"/>
      <c r="AP2672" s="125"/>
      <c r="AQ2672" s="241"/>
      <c r="AR2672" s="125"/>
      <c r="AS2672" s="125"/>
      <c r="AT2672" s="238"/>
      <c r="AU2672" s="125"/>
      <c r="AV2672" s="125"/>
      <c r="AW2672" s="125"/>
      <c r="AX2672" s="238"/>
      <c r="AY2672" s="125"/>
      <c r="AZ2672" s="125"/>
      <c r="BA2672" s="125"/>
    </row>
    <row r="2673" spans="2:53" s="123" customFormat="1">
      <c r="B2673" s="125"/>
      <c r="D2673" s="125"/>
      <c r="I2673" s="125"/>
      <c r="Z2673" s="124"/>
      <c r="AA2673" s="74"/>
      <c r="AB2673" s="240"/>
      <c r="AD2673" s="124"/>
      <c r="AE2673" s="238"/>
      <c r="AF2673" s="239"/>
      <c r="AG2673" s="239"/>
      <c r="AH2673" s="124"/>
      <c r="AI2673" s="74"/>
      <c r="AJ2673" s="240"/>
      <c r="AL2673" s="124"/>
      <c r="AM2673" s="74"/>
      <c r="AP2673" s="125"/>
      <c r="AQ2673" s="241"/>
      <c r="AR2673" s="125"/>
      <c r="AS2673" s="125"/>
      <c r="AT2673" s="238"/>
      <c r="AU2673" s="125"/>
      <c r="AV2673" s="125"/>
      <c r="AW2673" s="125"/>
      <c r="AX2673" s="238"/>
      <c r="AY2673" s="125"/>
      <c r="AZ2673" s="125"/>
      <c r="BA2673" s="125"/>
    </row>
    <row r="2674" spans="2:53" s="123" customFormat="1">
      <c r="B2674" s="125"/>
      <c r="D2674" s="125"/>
      <c r="I2674" s="125"/>
      <c r="Z2674" s="124"/>
      <c r="AA2674" s="74"/>
      <c r="AB2674" s="240"/>
      <c r="AD2674" s="124"/>
      <c r="AE2674" s="238"/>
      <c r="AF2674" s="239"/>
      <c r="AG2674" s="239"/>
      <c r="AH2674" s="124"/>
      <c r="AI2674" s="74"/>
      <c r="AJ2674" s="240"/>
      <c r="AL2674" s="124"/>
      <c r="AM2674" s="74"/>
      <c r="AP2674" s="125"/>
      <c r="AQ2674" s="241"/>
      <c r="AR2674" s="125"/>
      <c r="AS2674" s="125"/>
      <c r="AT2674" s="238"/>
      <c r="AU2674" s="125"/>
      <c r="AV2674" s="125"/>
      <c r="AW2674" s="125"/>
      <c r="AX2674" s="238"/>
      <c r="AY2674" s="125"/>
      <c r="AZ2674" s="125"/>
      <c r="BA2674" s="125"/>
    </row>
    <row r="2675" spans="2:53" s="123" customFormat="1">
      <c r="B2675" s="125"/>
      <c r="D2675" s="125"/>
      <c r="I2675" s="125"/>
      <c r="Z2675" s="124"/>
      <c r="AA2675" s="74"/>
      <c r="AB2675" s="240"/>
      <c r="AD2675" s="124"/>
      <c r="AE2675" s="238"/>
      <c r="AF2675" s="239"/>
      <c r="AG2675" s="239"/>
      <c r="AH2675" s="124"/>
      <c r="AI2675" s="74"/>
      <c r="AJ2675" s="240"/>
      <c r="AL2675" s="124"/>
      <c r="AM2675" s="74"/>
      <c r="AP2675" s="125"/>
      <c r="AQ2675" s="241"/>
      <c r="AR2675" s="125"/>
      <c r="AS2675" s="125"/>
      <c r="AT2675" s="238"/>
      <c r="AU2675" s="125"/>
      <c r="AV2675" s="125"/>
      <c r="AW2675" s="125"/>
      <c r="AX2675" s="238"/>
      <c r="AY2675" s="125"/>
      <c r="AZ2675" s="125"/>
      <c r="BA2675" s="125"/>
    </row>
    <row r="2676" spans="2:53" s="123" customFormat="1">
      <c r="B2676" s="125"/>
      <c r="D2676" s="125"/>
      <c r="I2676" s="125"/>
      <c r="Z2676" s="124"/>
      <c r="AA2676" s="74"/>
      <c r="AB2676" s="240"/>
      <c r="AD2676" s="124"/>
      <c r="AE2676" s="238"/>
      <c r="AF2676" s="239"/>
      <c r="AG2676" s="239"/>
      <c r="AH2676" s="124"/>
      <c r="AI2676" s="74"/>
      <c r="AJ2676" s="240"/>
      <c r="AL2676" s="124"/>
      <c r="AM2676" s="74"/>
      <c r="AP2676" s="125"/>
      <c r="AQ2676" s="241"/>
      <c r="AR2676" s="125"/>
      <c r="AS2676" s="125"/>
      <c r="AT2676" s="238"/>
      <c r="AU2676" s="125"/>
      <c r="AV2676" s="125"/>
      <c r="AW2676" s="125"/>
      <c r="AX2676" s="238"/>
      <c r="AY2676" s="125"/>
      <c r="AZ2676" s="125"/>
      <c r="BA2676" s="125"/>
    </row>
    <row r="2677" spans="2:53" s="123" customFormat="1">
      <c r="B2677" s="125"/>
      <c r="D2677" s="125"/>
      <c r="I2677" s="125"/>
      <c r="Z2677" s="124"/>
      <c r="AA2677" s="74"/>
      <c r="AB2677" s="240"/>
      <c r="AD2677" s="124"/>
      <c r="AE2677" s="238"/>
      <c r="AF2677" s="239"/>
      <c r="AG2677" s="239"/>
      <c r="AH2677" s="124"/>
      <c r="AI2677" s="74"/>
      <c r="AJ2677" s="240"/>
      <c r="AL2677" s="124"/>
      <c r="AM2677" s="74"/>
      <c r="AP2677" s="125"/>
      <c r="AQ2677" s="241"/>
      <c r="AR2677" s="125"/>
      <c r="AS2677" s="125"/>
      <c r="AT2677" s="238"/>
      <c r="AU2677" s="125"/>
      <c r="AV2677" s="125"/>
      <c r="AW2677" s="125"/>
      <c r="AX2677" s="238"/>
      <c r="AY2677" s="125"/>
      <c r="AZ2677" s="125"/>
      <c r="BA2677" s="125"/>
    </row>
    <row r="2678" spans="2:53" s="123" customFormat="1">
      <c r="B2678" s="125"/>
      <c r="D2678" s="125"/>
      <c r="I2678" s="125"/>
      <c r="Z2678" s="124"/>
      <c r="AA2678" s="74"/>
      <c r="AB2678" s="240"/>
      <c r="AD2678" s="124"/>
      <c r="AE2678" s="238"/>
      <c r="AF2678" s="239"/>
      <c r="AG2678" s="239"/>
      <c r="AH2678" s="124"/>
      <c r="AI2678" s="74"/>
      <c r="AJ2678" s="240"/>
      <c r="AL2678" s="124"/>
      <c r="AM2678" s="74"/>
      <c r="AP2678" s="125"/>
      <c r="AQ2678" s="241"/>
      <c r="AR2678" s="125"/>
      <c r="AS2678" s="125"/>
      <c r="AT2678" s="238"/>
      <c r="AU2678" s="125"/>
      <c r="AV2678" s="125"/>
      <c r="AW2678" s="125"/>
      <c r="AX2678" s="238"/>
      <c r="AY2678" s="125"/>
      <c r="AZ2678" s="125"/>
      <c r="BA2678" s="125"/>
    </row>
    <row r="2679" spans="2:53" s="123" customFormat="1">
      <c r="B2679" s="125"/>
      <c r="D2679" s="125"/>
      <c r="I2679" s="125"/>
      <c r="Z2679" s="124"/>
      <c r="AA2679" s="74"/>
      <c r="AB2679" s="240"/>
      <c r="AD2679" s="124"/>
      <c r="AE2679" s="238"/>
      <c r="AF2679" s="239"/>
      <c r="AG2679" s="239"/>
      <c r="AH2679" s="124"/>
      <c r="AI2679" s="74"/>
      <c r="AJ2679" s="240"/>
      <c r="AL2679" s="124"/>
      <c r="AM2679" s="74"/>
      <c r="AP2679" s="125"/>
      <c r="AQ2679" s="241"/>
      <c r="AR2679" s="125"/>
      <c r="AS2679" s="125"/>
      <c r="AT2679" s="238"/>
      <c r="AU2679" s="125"/>
      <c r="AV2679" s="125"/>
      <c r="AW2679" s="125"/>
      <c r="AX2679" s="238"/>
      <c r="AY2679" s="125"/>
      <c r="AZ2679" s="125"/>
      <c r="BA2679" s="125"/>
    </row>
    <row r="2680" spans="2:53" s="123" customFormat="1">
      <c r="B2680" s="125"/>
      <c r="D2680" s="125"/>
      <c r="I2680" s="125"/>
      <c r="Z2680" s="124"/>
      <c r="AA2680" s="74"/>
      <c r="AB2680" s="240"/>
      <c r="AD2680" s="124"/>
      <c r="AE2680" s="238"/>
      <c r="AF2680" s="239"/>
      <c r="AG2680" s="239"/>
      <c r="AH2680" s="124"/>
      <c r="AI2680" s="74"/>
      <c r="AJ2680" s="240"/>
      <c r="AL2680" s="124"/>
      <c r="AM2680" s="74"/>
      <c r="AP2680" s="125"/>
      <c r="AQ2680" s="241"/>
      <c r="AR2680" s="125"/>
      <c r="AS2680" s="125"/>
      <c r="AT2680" s="238"/>
      <c r="AU2680" s="125"/>
      <c r="AV2680" s="125"/>
      <c r="AW2680" s="125"/>
      <c r="AX2680" s="238"/>
      <c r="AY2680" s="125"/>
      <c r="AZ2680" s="125"/>
      <c r="BA2680" s="125"/>
    </row>
    <row r="2681" spans="2:53" s="123" customFormat="1">
      <c r="B2681" s="125"/>
      <c r="D2681" s="125"/>
      <c r="I2681" s="125"/>
      <c r="Z2681" s="124"/>
      <c r="AA2681" s="74"/>
      <c r="AB2681" s="240"/>
      <c r="AD2681" s="124"/>
      <c r="AE2681" s="238"/>
      <c r="AF2681" s="239"/>
      <c r="AG2681" s="239"/>
      <c r="AH2681" s="124"/>
      <c r="AI2681" s="74"/>
      <c r="AJ2681" s="240"/>
      <c r="AL2681" s="124"/>
      <c r="AM2681" s="74"/>
      <c r="AP2681" s="125"/>
      <c r="AQ2681" s="241"/>
      <c r="AR2681" s="125"/>
      <c r="AS2681" s="125"/>
      <c r="AT2681" s="238"/>
      <c r="AU2681" s="125"/>
      <c r="AV2681" s="125"/>
      <c r="AW2681" s="125"/>
      <c r="AX2681" s="238"/>
      <c r="AY2681" s="125"/>
      <c r="AZ2681" s="125"/>
      <c r="BA2681" s="125"/>
    </row>
    <row r="2682" spans="2:53" s="123" customFormat="1">
      <c r="B2682" s="125"/>
      <c r="D2682" s="125"/>
      <c r="I2682" s="125"/>
      <c r="Z2682" s="124"/>
      <c r="AA2682" s="74"/>
      <c r="AB2682" s="240"/>
      <c r="AD2682" s="124"/>
      <c r="AE2682" s="238"/>
      <c r="AF2682" s="239"/>
      <c r="AG2682" s="239"/>
      <c r="AH2682" s="124"/>
      <c r="AI2682" s="74"/>
      <c r="AJ2682" s="240"/>
      <c r="AL2682" s="124"/>
      <c r="AM2682" s="74"/>
      <c r="AP2682" s="125"/>
      <c r="AQ2682" s="241"/>
      <c r="AR2682" s="125"/>
      <c r="AS2682" s="125"/>
      <c r="AT2682" s="238"/>
      <c r="AU2682" s="125"/>
      <c r="AV2682" s="125"/>
      <c r="AW2682" s="125"/>
      <c r="AX2682" s="238"/>
      <c r="AY2682" s="125"/>
      <c r="AZ2682" s="125"/>
      <c r="BA2682" s="125"/>
    </row>
    <row r="2683" spans="2:53" s="123" customFormat="1">
      <c r="B2683" s="125"/>
      <c r="D2683" s="125"/>
      <c r="I2683" s="125"/>
      <c r="Z2683" s="124"/>
      <c r="AA2683" s="74"/>
      <c r="AB2683" s="240"/>
      <c r="AD2683" s="124"/>
      <c r="AE2683" s="238"/>
      <c r="AF2683" s="239"/>
      <c r="AG2683" s="239"/>
      <c r="AH2683" s="124"/>
      <c r="AI2683" s="74"/>
      <c r="AJ2683" s="240"/>
      <c r="AL2683" s="124"/>
      <c r="AM2683" s="74"/>
      <c r="AP2683" s="125"/>
      <c r="AQ2683" s="241"/>
      <c r="AR2683" s="125"/>
      <c r="AS2683" s="125"/>
      <c r="AT2683" s="238"/>
      <c r="AU2683" s="125"/>
      <c r="AV2683" s="125"/>
      <c r="AW2683" s="125"/>
      <c r="AX2683" s="238"/>
      <c r="AY2683" s="125"/>
      <c r="AZ2683" s="125"/>
      <c r="BA2683" s="125"/>
    </row>
    <row r="2684" spans="2:53" s="123" customFormat="1">
      <c r="B2684" s="125"/>
      <c r="D2684" s="125"/>
      <c r="I2684" s="125"/>
      <c r="Z2684" s="124"/>
      <c r="AA2684" s="74"/>
      <c r="AB2684" s="240"/>
      <c r="AD2684" s="124"/>
      <c r="AE2684" s="238"/>
      <c r="AF2684" s="239"/>
      <c r="AG2684" s="239"/>
      <c r="AH2684" s="124"/>
      <c r="AI2684" s="74"/>
      <c r="AJ2684" s="240"/>
      <c r="AL2684" s="124"/>
      <c r="AM2684" s="74"/>
      <c r="AP2684" s="125"/>
      <c r="AQ2684" s="241"/>
      <c r="AR2684" s="125"/>
      <c r="AS2684" s="125"/>
      <c r="AT2684" s="238"/>
      <c r="AU2684" s="125"/>
      <c r="AV2684" s="125"/>
      <c r="AW2684" s="125"/>
      <c r="AX2684" s="238"/>
      <c r="AY2684" s="125"/>
      <c r="AZ2684" s="125"/>
      <c r="BA2684" s="125"/>
    </row>
    <row r="2685" spans="2:53" s="123" customFormat="1">
      <c r="B2685" s="125"/>
      <c r="D2685" s="125"/>
      <c r="I2685" s="125"/>
      <c r="Z2685" s="124"/>
      <c r="AA2685" s="74"/>
      <c r="AB2685" s="240"/>
      <c r="AD2685" s="124"/>
      <c r="AE2685" s="238"/>
      <c r="AF2685" s="239"/>
      <c r="AG2685" s="239"/>
      <c r="AH2685" s="124"/>
      <c r="AI2685" s="74"/>
      <c r="AJ2685" s="240"/>
      <c r="AL2685" s="124"/>
      <c r="AM2685" s="74"/>
      <c r="AP2685" s="125"/>
      <c r="AQ2685" s="241"/>
      <c r="AR2685" s="125"/>
      <c r="AS2685" s="125"/>
      <c r="AT2685" s="238"/>
      <c r="AU2685" s="125"/>
      <c r="AV2685" s="125"/>
      <c r="AW2685" s="125"/>
      <c r="AX2685" s="238"/>
      <c r="AY2685" s="125"/>
      <c r="AZ2685" s="125"/>
      <c r="BA2685" s="125"/>
    </row>
    <row r="2686" spans="2:53" s="123" customFormat="1">
      <c r="B2686" s="125"/>
      <c r="D2686" s="125"/>
      <c r="I2686" s="125"/>
      <c r="Z2686" s="124"/>
      <c r="AA2686" s="74"/>
      <c r="AB2686" s="240"/>
      <c r="AD2686" s="124"/>
      <c r="AE2686" s="238"/>
      <c r="AF2686" s="239"/>
      <c r="AG2686" s="239"/>
      <c r="AH2686" s="124"/>
      <c r="AI2686" s="74"/>
      <c r="AJ2686" s="240"/>
      <c r="AL2686" s="124"/>
      <c r="AM2686" s="74"/>
      <c r="AP2686" s="125"/>
      <c r="AQ2686" s="241"/>
      <c r="AR2686" s="125"/>
      <c r="AS2686" s="125"/>
      <c r="AT2686" s="238"/>
      <c r="AU2686" s="125"/>
      <c r="AV2686" s="125"/>
      <c r="AW2686" s="125"/>
      <c r="AX2686" s="238"/>
      <c r="AY2686" s="125"/>
      <c r="AZ2686" s="125"/>
      <c r="BA2686" s="125"/>
    </row>
    <row r="2687" spans="2:53" s="123" customFormat="1">
      <c r="B2687" s="125"/>
      <c r="D2687" s="125"/>
      <c r="I2687" s="125"/>
      <c r="Z2687" s="124"/>
      <c r="AA2687" s="74"/>
      <c r="AB2687" s="240"/>
      <c r="AD2687" s="124"/>
      <c r="AE2687" s="238"/>
      <c r="AF2687" s="239"/>
      <c r="AG2687" s="239"/>
      <c r="AH2687" s="124"/>
      <c r="AI2687" s="74"/>
      <c r="AJ2687" s="240"/>
      <c r="AL2687" s="124"/>
      <c r="AM2687" s="74"/>
      <c r="AP2687" s="125"/>
      <c r="AQ2687" s="241"/>
      <c r="AR2687" s="125"/>
      <c r="AS2687" s="125"/>
      <c r="AT2687" s="238"/>
      <c r="AU2687" s="125"/>
      <c r="AV2687" s="125"/>
      <c r="AW2687" s="125"/>
      <c r="AX2687" s="238"/>
      <c r="AY2687" s="125"/>
      <c r="AZ2687" s="125"/>
      <c r="BA2687" s="125"/>
    </row>
    <row r="2688" spans="2:53" s="123" customFormat="1">
      <c r="B2688" s="125"/>
      <c r="D2688" s="125"/>
      <c r="I2688" s="125"/>
      <c r="Z2688" s="124"/>
      <c r="AA2688" s="74"/>
      <c r="AB2688" s="240"/>
      <c r="AD2688" s="124"/>
      <c r="AE2688" s="238"/>
      <c r="AF2688" s="239"/>
      <c r="AG2688" s="239"/>
      <c r="AH2688" s="124"/>
      <c r="AI2688" s="74"/>
      <c r="AJ2688" s="240"/>
      <c r="AL2688" s="124"/>
      <c r="AM2688" s="74"/>
      <c r="AP2688" s="125"/>
      <c r="AQ2688" s="241"/>
      <c r="AR2688" s="125"/>
      <c r="AS2688" s="125"/>
      <c r="AT2688" s="238"/>
      <c r="AU2688" s="125"/>
      <c r="AV2688" s="125"/>
      <c r="AW2688" s="125"/>
      <c r="AX2688" s="238"/>
      <c r="AY2688" s="125"/>
      <c r="AZ2688" s="125"/>
      <c r="BA2688" s="125"/>
    </row>
    <row r="2689" spans="2:53" s="123" customFormat="1">
      <c r="B2689" s="125"/>
      <c r="D2689" s="125"/>
      <c r="I2689" s="125"/>
      <c r="Z2689" s="124"/>
      <c r="AA2689" s="74"/>
      <c r="AB2689" s="240"/>
      <c r="AD2689" s="124"/>
      <c r="AE2689" s="238"/>
      <c r="AF2689" s="239"/>
      <c r="AG2689" s="239"/>
      <c r="AH2689" s="124"/>
      <c r="AI2689" s="74"/>
      <c r="AJ2689" s="240"/>
      <c r="AL2689" s="124"/>
      <c r="AM2689" s="74"/>
      <c r="AP2689" s="125"/>
      <c r="AQ2689" s="241"/>
      <c r="AR2689" s="125"/>
      <c r="AS2689" s="125"/>
      <c r="AT2689" s="238"/>
      <c r="AU2689" s="125"/>
      <c r="AV2689" s="125"/>
      <c r="AW2689" s="125"/>
      <c r="AX2689" s="238"/>
      <c r="AY2689" s="125"/>
      <c r="AZ2689" s="125"/>
      <c r="BA2689" s="125"/>
    </row>
    <row r="2690" spans="2:53" s="123" customFormat="1">
      <c r="B2690" s="125"/>
      <c r="D2690" s="125"/>
      <c r="I2690" s="125"/>
      <c r="Z2690" s="124"/>
      <c r="AA2690" s="74"/>
      <c r="AB2690" s="240"/>
      <c r="AD2690" s="124"/>
      <c r="AE2690" s="238"/>
      <c r="AF2690" s="239"/>
      <c r="AG2690" s="239"/>
      <c r="AH2690" s="124"/>
      <c r="AI2690" s="74"/>
      <c r="AJ2690" s="240"/>
      <c r="AL2690" s="124"/>
      <c r="AM2690" s="74"/>
      <c r="AP2690" s="125"/>
      <c r="AQ2690" s="241"/>
      <c r="AR2690" s="125"/>
      <c r="AS2690" s="125"/>
      <c r="AT2690" s="238"/>
      <c r="AU2690" s="125"/>
      <c r="AV2690" s="125"/>
      <c r="AW2690" s="125"/>
      <c r="AX2690" s="238"/>
      <c r="AY2690" s="125"/>
      <c r="AZ2690" s="125"/>
      <c r="BA2690" s="125"/>
    </row>
    <row r="2691" spans="2:53" s="123" customFormat="1">
      <c r="B2691" s="125"/>
      <c r="D2691" s="125"/>
      <c r="I2691" s="125"/>
      <c r="Z2691" s="124"/>
      <c r="AA2691" s="74"/>
      <c r="AB2691" s="240"/>
      <c r="AD2691" s="124"/>
      <c r="AE2691" s="238"/>
      <c r="AF2691" s="239"/>
      <c r="AG2691" s="239"/>
      <c r="AH2691" s="124"/>
      <c r="AI2691" s="74"/>
      <c r="AJ2691" s="240"/>
      <c r="AL2691" s="124"/>
      <c r="AM2691" s="74"/>
      <c r="AP2691" s="125"/>
      <c r="AQ2691" s="241"/>
      <c r="AR2691" s="125"/>
      <c r="AS2691" s="125"/>
      <c r="AT2691" s="238"/>
      <c r="AU2691" s="125"/>
      <c r="AV2691" s="125"/>
      <c r="AW2691" s="125"/>
      <c r="AX2691" s="238"/>
      <c r="AY2691" s="125"/>
      <c r="AZ2691" s="125"/>
      <c r="BA2691" s="125"/>
    </row>
    <row r="2692" spans="2:53" s="123" customFormat="1">
      <c r="B2692" s="125"/>
      <c r="D2692" s="125"/>
      <c r="I2692" s="125"/>
      <c r="Z2692" s="124"/>
      <c r="AA2692" s="74"/>
      <c r="AB2692" s="240"/>
      <c r="AD2692" s="124"/>
      <c r="AE2692" s="238"/>
      <c r="AF2692" s="239"/>
      <c r="AG2692" s="239"/>
      <c r="AH2692" s="124"/>
      <c r="AI2692" s="74"/>
      <c r="AJ2692" s="240"/>
      <c r="AL2692" s="124"/>
      <c r="AM2692" s="74"/>
      <c r="AP2692" s="125"/>
      <c r="AQ2692" s="241"/>
      <c r="AR2692" s="125"/>
      <c r="AS2692" s="125"/>
      <c r="AT2692" s="238"/>
      <c r="AU2692" s="125"/>
      <c r="AV2692" s="125"/>
      <c r="AW2692" s="125"/>
      <c r="AX2692" s="238"/>
      <c r="AY2692" s="125"/>
      <c r="AZ2692" s="125"/>
      <c r="BA2692" s="125"/>
    </row>
    <row r="2693" spans="2:53" s="123" customFormat="1">
      <c r="B2693" s="125"/>
      <c r="D2693" s="125"/>
      <c r="I2693" s="125"/>
      <c r="Z2693" s="124"/>
      <c r="AA2693" s="74"/>
      <c r="AB2693" s="240"/>
      <c r="AD2693" s="124"/>
      <c r="AE2693" s="238"/>
      <c r="AF2693" s="239"/>
      <c r="AG2693" s="239"/>
      <c r="AH2693" s="124"/>
      <c r="AI2693" s="74"/>
      <c r="AJ2693" s="240"/>
      <c r="AL2693" s="124"/>
      <c r="AM2693" s="74"/>
      <c r="AP2693" s="125"/>
      <c r="AQ2693" s="241"/>
      <c r="AR2693" s="125"/>
      <c r="AS2693" s="125"/>
      <c r="AT2693" s="238"/>
      <c r="AU2693" s="125"/>
      <c r="AV2693" s="125"/>
      <c r="AW2693" s="125"/>
      <c r="AX2693" s="238"/>
      <c r="AY2693" s="125"/>
      <c r="AZ2693" s="125"/>
      <c r="BA2693" s="125"/>
    </row>
    <row r="2694" spans="2:53" s="123" customFormat="1">
      <c r="B2694" s="125"/>
      <c r="D2694" s="125"/>
      <c r="I2694" s="125"/>
      <c r="Z2694" s="124"/>
      <c r="AA2694" s="74"/>
      <c r="AB2694" s="240"/>
      <c r="AD2694" s="124"/>
      <c r="AE2694" s="238"/>
      <c r="AF2694" s="239"/>
      <c r="AG2694" s="239"/>
      <c r="AH2694" s="124"/>
      <c r="AI2694" s="74"/>
      <c r="AJ2694" s="240"/>
      <c r="AL2694" s="124"/>
      <c r="AM2694" s="74"/>
      <c r="AP2694" s="125"/>
      <c r="AQ2694" s="241"/>
      <c r="AR2694" s="125"/>
      <c r="AS2694" s="125"/>
      <c r="AT2694" s="238"/>
      <c r="AU2694" s="125"/>
      <c r="AV2694" s="125"/>
      <c r="AW2694" s="125"/>
      <c r="AX2694" s="238"/>
      <c r="AY2694" s="125"/>
      <c r="AZ2694" s="125"/>
      <c r="BA2694" s="125"/>
    </row>
    <row r="2695" spans="2:53" s="123" customFormat="1">
      <c r="B2695" s="125"/>
      <c r="D2695" s="125"/>
      <c r="I2695" s="125"/>
      <c r="Z2695" s="124"/>
      <c r="AA2695" s="74"/>
      <c r="AB2695" s="240"/>
      <c r="AD2695" s="124"/>
      <c r="AE2695" s="238"/>
      <c r="AF2695" s="239"/>
      <c r="AG2695" s="239"/>
      <c r="AH2695" s="124"/>
      <c r="AI2695" s="74"/>
      <c r="AJ2695" s="240"/>
      <c r="AL2695" s="124"/>
      <c r="AM2695" s="74"/>
      <c r="AP2695" s="125"/>
      <c r="AQ2695" s="241"/>
      <c r="AR2695" s="125"/>
      <c r="AS2695" s="125"/>
      <c r="AT2695" s="238"/>
      <c r="AU2695" s="125"/>
      <c r="AV2695" s="125"/>
      <c r="AW2695" s="125"/>
      <c r="AX2695" s="238"/>
      <c r="AY2695" s="125"/>
      <c r="AZ2695" s="125"/>
      <c r="BA2695" s="125"/>
    </row>
    <row r="2696" spans="2:53" s="123" customFormat="1">
      <c r="B2696" s="125"/>
      <c r="D2696" s="125"/>
      <c r="I2696" s="125"/>
      <c r="Z2696" s="124"/>
      <c r="AA2696" s="74"/>
      <c r="AB2696" s="240"/>
      <c r="AD2696" s="124"/>
      <c r="AE2696" s="238"/>
      <c r="AF2696" s="239"/>
      <c r="AG2696" s="239"/>
      <c r="AH2696" s="124"/>
      <c r="AI2696" s="74"/>
      <c r="AJ2696" s="240"/>
      <c r="AL2696" s="124"/>
      <c r="AM2696" s="74"/>
      <c r="AP2696" s="125"/>
      <c r="AQ2696" s="241"/>
      <c r="AR2696" s="125"/>
      <c r="AS2696" s="125"/>
      <c r="AT2696" s="238"/>
      <c r="AU2696" s="125"/>
      <c r="AV2696" s="125"/>
      <c r="AW2696" s="125"/>
      <c r="AX2696" s="238"/>
      <c r="AY2696" s="125"/>
      <c r="AZ2696" s="125"/>
      <c r="BA2696" s="125"/>
    </row>
    <row r="2697" spans="2:53" s="123" customFormat="1">
      <c r="B2697" s="125"/>
      <c r="D2697" s="125"/>
      <c r="I2697" s="125"/>
      <c r="Z2697" s="124"/>
      <c r="AA2697" s="74"/>
      <c r="AB2697" s="240"/>
      <c r="AD2697" s="124"/>
      <c r="AE2697" s="238"/>
      <c r="AF2697" s="239"/>
      <c r="AG2697" s="239"/>
      <c r="AH2697" s="124"/>
      <c r="AI2697" s="74"/>
      <c r="AJ2697" s="240"/>
      <c r="AL2697" s="124"/>
      <c r="AM2697" s="74"/>
      <c r="AP2697" s="125"/>
      <c r="AQ2697" s="241"/>
      <c r="AR2697" s="125"/>
      <c r="AS2697" s="125"/>
      <c r="AT2697" s="238"/>
      <c r="AU2697" s="125"/>
      <c r="AV2697" s="125"/>
      <c r="AW2697" s="125"/>
      <c r="AX2697" s="238"/>
      <c r="AY2697" s="125"/>
      <c r="AZ2697" s="125"/>
      <c r="BA2697" s="125"/>
    </row>
    <row r="2698" spans="2:53" s="123" customFormat="1">
      <c r="B2698" s="125"/>
      <c r="D2698" s="125"/>
      <c r="I2698" s="125"/>
      <c r="Z2698" s="124"/>
      <c r="AA2698" s="74"/>
      <c r="AB2698" s="240"/>
      <c r="AD2698" s="124"/>
      <c r="AE2698" s="238"/>
      <c r="AF2698" s="239"/>
      <c r="AG2698" s="239"/>
      <c r="AH2698" s="124"/>
      <c r="AI2698" s="74"/>
      <c r="AJ2698" s="240"/>
      <c r="AL2698" s="124"/>
      <c r="AM2698" s="74"/>
      <c r="AP2698" s="125"/>
      <c r="AQ2698" s="241"/>
      <c r="AR2698" s="125"/>
      <c r="AS2698" s="125"/>
      <c r="AT2698" s="238"/>
      <c r="AU2698" s="125"/>
      <c r="AV2698" s="125"/>
      <c r="AW2698" s="125"/>
      <c r="AX2698" s="238"/>
      <c r="AY2698" s="125"/>
      <c r="AZ2698" s="125"/>
      <c r="BA2698" s="125"/>
    </row>
    <row r="2699" spans="2:53" s="123" customFormat="1">
      <c r="B2699" s="125"/>
      <c r="D2699" s="125"/>
      <c r="I2699" s="125"/>
      <c r="Z2699" s="124"/>
      <c r="AA2699" s="74"/>
      <c r="AB2699" s="240"/>
      <c r="AD2699" s="124"/>
      <c r="AE2699" s="238"/>
      <c r="AF2699" s="239"/>
      <c r="AG2699" s="239"/>
      <c r="AH2699" s="124"/>
      <c r="AI2699" s="74"/>
      <c r="AJ2699" s="240"/>
      <c r="AL2699" s="124"/>
      <c r="AM2699" s="74"/>
      <c r="AP2699" s="125"/>
      <c r="AQ2699" s="241"/>
      <c r="AR2699" s="125"/>
      <c r="AS2699" s="125"/>
      <c r="AT2699" s="238"/>
      <c r="AU2699" s="125"/>
      <c r="AV2699" s="125"/>
      <c r="AW2699" s="125"/>
      <c r="AX2699" s="238"/>
      <c r="AY2699" s="125"/>
      <c r="AZ2699" s="125"/>
      <c r="BA2699" s="125"/>
    </row>
    <row r="2700" spans="2:53" s="123" customFormat="1">
      <c r="B2700" s="125"/>
      <c r="D2700" s="125"/>
      <c r="I2700" s="125"/>
      <c r="Z2700" s="124"/>
      <c r="AA2700" s="74"/>
      <c r="AB2700" s="240"/>
      <c r="AD2700" s="124"/>
      <c r="AE2700" s="238"/>
      <c r="AF2700" s="239"/>
      <c r="AG2700" s="239"/>
      <c r="AH2700" s="124"/>
      <c r="AI2700" s="74"/>
      <c r="AJ2700" s="240"/>
      <c r="AL2700" s="124"/>
      <c r="AM2700" s="74"/>
      <c r="AP2700" s="125"/>
      <c r="AQ2700" s="241"/>
      <c r="AR2700" s="125"/>
      <c r="AS2700" s="125"/>
      <c r="AT2700" s="238"/>
      <c r="AU2700" s="125"/>
      <c r="AV2700" s="125"/>
      <c r="AW2700" s="125"/>
      <c r="AX2700" s="238"/>
      <c r="AY2700" s="125"/>
      <c r="AZ2700" s="125"/>
      <c r="BA2700" s="125"/>
    </row>
    <row r="2701" spans="2:53" s="123" customFormat="1">
      <c r="B2701" s="125"/>
      <c r="D2701" s="125"/>
      <c r="I2701" s="125"/>
      <c r="Z2701" s="124"/>
      <c r="AA2701" s="74"/>
      <c r="AB2701" s="240"/>
      <c r="AD2701" s="124"/>
      <c r="AE2701" s="238"/>
      <c r="AF2701" s="239"/>
      <c r="AG2701" s="239"/>
      <c r="AH2701" s="124"/>
      <c r="AI2701" s="74"/>
      <c r="AJ2701" s="240"/>
      <c r="AL2701" s="124"/>
      <c r="AM2701" s="74"/>
      <c r="AP2701" s="125"/>
      <c r="AQ2701" s="241"/>
      <c r="AR2701" s="125"/>
      <c r="AS2701" s="125"/>
      <c r="AT2701" s="238"/>
      <c r="AU2701" s="125"/>
      <c r="AV2701" s="125"/>
      <c r="AW2701" s="125"/>
      <c r="AX2701" s="238"/>
      <c r="AY2701" s="125"/>
      <c r="AZ2701" s="125"/>
      <c r="BA2701" s="125"/>
    </row>
    <row r="2702" spans="2:53" s="123" customFormat="1">
      <c r="B2702" s="125"/>
      <c r="D2702" s="125"/>
      <c r="I2702" s="125"/>
      <c r="Z2702" s="124"/>
      <c r="AA2702" s="74"/>
      <c r="AB2702" s="240"/>
      <c r="AD2702" s="124"/>
      <c r="AE2702" s="238"/>
      <c r="AF2702" s="239"/>
      <c r="AG2702" s="239"/>
      <c r="AH2702" s="124"/>
      <c r="AI2702" s="74"/>
      <c r="AJ2702" s="240"/>
      <c r="AL2702" s="124"/>
      <c r="AM2702" s="74"/>
      <c r="AP2702" s="125"/>
      <c r="AQ2702" s="241"/>
      <c r="AR2702" s="125"/>
      <c r="AS2702" s="125"/>
      <c r="AT2702" s="238"/>
      <c r="AU2702" s="125"/>
      <c r="AV2702" s="125"/>
      <c r="AW2702" s="125"/>
      <c r="AX2702" s="238"/>
      <c r="AY2702" s="125"/>
      <c r="AZ2702" s="125"/>
      <c r="BA2702" s="125"/>
    </row>
    <row r="2703" spans="2:53" s="123" customFormat="1">
      <c r="B2703" s="125"/>
      <c r="D2703" s="125"/>
      <c r="I2703" s="125"/>
      <c r="Z2703" s="124"/>
      <c r="AA2703" s="74"/>
      <c r="AB2703" s="240"/>
      <c r="AD2703" s="124"/>
      <c r="AE2703" s="238"/>
      <c r="AF2703" s="239"/>
      <c r="AG2703" s="239"/>
      <c r="AH2703" s="124"/>
      <c r="AI2703" s="74"/>
      <c r="AJ2703" s="240"/>
      <c r="AL2703" s="124"/>
      <c r="AM2703" s="74"/>
      <c r="AP2703" s="125"/>
      <c r="AQ2703" s="241"/>
      <c r="AR2703" s="125"/>
      <c r="AS2703" s="125"/>
      <c r="AT2703" s="238"/>
      <c r="AU2703" s="125"/>
      <c r="AV2703" s="125"/>
      <c r="AW2703" s="125"/>
      <c r="AX2703" s="238"/>
      <c r="AY2703" s="125"/>
      <c r="AZ2703" s="125"/>
      <c r="BA2703" s="125"/>
    </row>
    <row r="2704" spans="2:53" s="123" customFormat="1">
      <c r="B2704" s="125"/>
      <c r="D2704" s="125"/>
      <c r="I2704" s="125"/>
      <c r="Z2704" s="124"/>
      <c r="AA2704" s="74"/>
      <c r="AB2704" s="240"/>
      <c r="AD2704" s="124"/>
      <c r="AE2704" s="238"/>
      <c r="AF2704" s="239"/>
      <c r="AG2704" s="239"/>
      <c r="AH2704" s="124"/>
      <c r="AI2704" s="74"/>
      <c r="AJ2704" s="240"/>
      <c r="AL2704" s="124"/>
      <c r="AM2704" s="74"/>
      <c r="AP2704" s="125"/>
      <c r="AQ2704" s="241"/>
      <c r="AR2704" s="125"/>
      <c r="AS2704" s="125"/>
      <c r="AT2704" s="238"/>
      <c r="AU2704" s="125"/>
      <c r="AV2704" s="125"/>
      <c r="AW2704" s="125"/>
      <c r="AX2704" s="238"/>
      <c r="AY2704" s="125"/>
      <c r="AZ2704" s="125"/>
      <c r="BA2704" s="125"/>
    </row>
    <row r="2705" spans="2:53" s="123" customFormat="1">
      <c r="B2705" s="125"/>
      <c r="D2705" s="125"/>
      <c r="I2705" s="125"/>
      <c r="Z2705" s="124"/>
      <c r="AA2705" s="74"/>
      <c r="AB2705" s="240"/>
      <c r="AD2705" s="124"/>
      <c r="AE2705" s="238"/>
      <c r="AF2705" s="239"/>
      <c r="AG2705" s="239"/>
      <c r="AH2705" s="124"/>
      <c r="AI2705" s="74"/>
      <c r="AJ2705" s="240"/>
      <c r="AL2705" s="124"/>
      <c r="AM2705" s="74"/>
      <c r="AP2705" s="125"/>
      <c r="AQ2705" s="241"/>
      <c r="AR2705" s="125"/>
      <c r="AS2705" s="125"/>
      <c r="AT2705" s="238"/>
      <c r="AU2705" s="125"/>
      <c r="AV2705" s="125"/>
      <c r="AW2705" s="125"/>
      <c r="AX2705" s="238"/>
      <c r="AY2705" s="125"/>
      <c r="AZ2705" s="125"/>
      <c r="BA2705" s="125"/>
    </row>
    <row r="2706" spans="2:53" s="123" customFormat="1">
      <c r="B2706" s="125"/>
      <c r="D2706" s="125"/>
      <c r="I2706" s="125"/>
      <c r="Z2706" s="124"/>
      <c r="AA2706" s="74"/>
      <c r="AB2706" s="240"/>
      <c r="AD2706" s="124"/>
      <c r="AE2706" s="238"/>
      <c r="AF2706" s="239"/>
      <c r="AG2706" s="239"/>
      <c r="AH2706" s="124"/>
      <c r="AI2706" s="74"/>
      <c r="AJ2706" s="240"/>
      <c r="AL2706" s="124"/>
      <c r="AM2706" s="74"/>
      <c r="AP2706" s="125"/>
      <c r="AQ2706" s="241"/>
      <c r="AR2706" s="125"/>
      <c r="AS2706" s="125"/>
      <c r="AT2706" s="238"/>
      <c r="AU2706" s="125"/>
      <c r="AV2706" s="125"/>
      <c r="AW2706" s="125"/>
      <c r="AX2706" s="238"/>
      <c r="AY2706" s="125"/>
      <c r="AZ2706" s="125"/>
      <c r="BA2706" s="125"/>
    </row>
    <row r="2707" spans="2:53" s="123" customFormat="1">
      <c r="B2707" s="125"/>
      <c r="D2707" s="125"/>
      <c r="I2707" s="125"/>
      <c r="Z2707" s="124"/>
      <c r="AA2707" s="74"/>
      <c r="AB2707" s="240"/>
      <c r="AD2707" s="124"/>
      <c r="AE2707" s="238"/>
      <c r="AF2707" s="239"/>
      <c r="AG2707" s="239"/>
      <c r="AH2707" s="124"/>
      <c r="AI2707" s="74"/>
      <c r="AJ2707" s="240"/>
      <c r="AL2707" s="124"/>
      <c r="AM2707" s="74"/>
      <c r="AP2707" s="125"/>
      <c r="AQ2707" s="241"/>
      <c r="AR2707" s="125"/>
      <c r="AS2707" s="125"/>
      <c r="AT2707" s="238"/>
      <c r="AU2707" s="125"/>
      <c r="AV2707" s="125"/>
      <c r="AW2707" s="125"/>
      <c r="AX2707" s="238"/>
      <c r="AY2707" s="125"/>
      <c r="AZ2707" s="125"/>
      <c r="BA2707" s="125"/>
    </row>
    <row r="2708" spans="2:53" s="123" customFormat="1">
      <c r="B2708" s="125"/>
      <c r="D2708" s="125"/>
      <c r="I2708" s="125"/>
      <c r="Z2708" s="124"/>
      <c r="AA2708" s="74"/>
      <c r="AB2708" s="240"/>
      <c r="AD2708" s="124"/>
      <c r="AE2708" s="238"/>
      <c r="AF2708" s="239"/>
      <c r="AG2708" s="239"/>
      <c r="AH2708" s="124"/>
      <c r="AI2708" s="74"/>
      <c r="AJ2708" s="240"/>
      <c r="AL2708" s="124"/>
      <c r="AM2708" s="74"/>
      <c r="AP2708" s="125"/>
      <c r="AQ2708" s="241"/>
      <c r="AR2708" s="125"/>
      <c r="AS2708" s="125"/>
      <c r="AT2708" s="238"/>
      <c r="AU2708" s="125"/>
      <c r="AV2708" s="125"/>
      <c r="AW2708" s="125"/>
      <c r="AX2708" s="238"/>
      <c r="AY2708" s="125"/>
      <c r="AZ2708" s="125"/>
      <c r="BA2708" s="125"/>
    </row>
    <row r="2709" spans="2:53" s="123" customFormat="1">
      <c r="B2709" s="125"/>
      <c r="D2709" s="125"/>
      <c r="I2709" s="125"/>
      <c r="Z2709" s="124"/>
      <c r="AA2709" s="74"/>
      <c r="AB2709" s="240"/>
      <c r="AD2709" s="124"/>
      <c r="AE2709" s="238"/>
      <c r="AF2709" s="239"/>
      <c r="AG2709" s="239"/>
      <c r="AH2709" s="124"/>
      <c r="AI2709" s="74"/>
      <c r="AJ2709" s="240"/>
      <c r="AL2709" s="124"/>
      <c r="AM2709" s="74"/>
      <c r="AP2709" s="125"/>
      <c r="AQ2709" s="241"/>
      <c r="AR2709" s="125"/>
      <c r="AS2709" s="125"/>
      <c r="AT2709" s="238"/>
      <c r="AU2709" s="125"/>
      <c r="AV2709" s="125"/>
      <c r="AW2709" s="125"/>
      <c r="AX2709" s="238"/>
      <c r="AY2709" s="125"/>
      <c r="AZ2709" s="125"/>
      <c r="BA2709" s="125"/>
    </row>
    <row r="2710" spans="2:53" s="123" customFormat="1">
      <c r="B2710" s="125"/>
      <c r="D2710" s="125"/>
      <c r="I2710" s="125"/>
      <c r="Z2710" s="124"/>
      <c r="AA2710" s="74"/>
      <c r="AB2710" s="240"/>
      <c r="AD2710" s="124"/>
      <c r="AE2710" s="238"/>
      <c r="AF2710" s="239"/>
      <c r="AG2710" s="239"/>
      <c r="AH2710" s="124"/>
      <c r="AI2710" s="74"/>
      <c r="AJ2710" s="240"/>
      <c r="AL2710" s="124"/>
      <c r="AM2710" s="74"/>
      <c r="AP2710" s="125"/>
      <c r="AQ2710" s="241"/>
      <c r="AR2710" s="125"/>
      <c r="AS2710" s="125"/>
      <c r="AT2710" s="238"/>
      <c r="AU2710" s="125"/>
      <c r="AV2710" s="125"/>
      <c r="AW2710" s="125"/>
      <c r="AX2710" s="238"/>
      <c r="AY2710" s="125"/>
      <c r="AZ2710" s="125"/>
      <c r="BA2710" s="125"/>
    </row>
    <row r="2711" spans="2:53" s="123" customFormat="1">
      <c r="B2711" s="125"/>
      <c r="D2711" s="125"/>
      <c r="I2711" s="125"/>
      <c r="Z2711" s="124"/>
      <c r="AA2711" s="74"/>
      <c r="AB2711" s="240"/>
      <c r="AD2711" s="124"/>
      <c r="AE2711" s="238"/>
      <c r="AF2711" s="239"/>
      <c r="AG2711" s="239"/>
      <c r="AH2711" s="124"/>
      <c r="AI2711" s="74"/>
      <c r="AJ2711" s="240"/>
      <c r="AL2711" s="124"/>
      <c r="AM2711" s="74"/>
      <c r="AP2711" s="125"/>
      <c r="AQ2711" s="241"/>
      <c r="AR2711" s="125"/>
      <c r="AS2711" s="125"/>
      <c r="AT2711" s="238"/>
      <c r="AU2711" s="125"/>
      <c r="AV2711" s="125"/>
      <c r="AW2711" s="125"/>
      <c r="AX2711" s="238"/>
      <c r="AY2711" s="125"/>
      <c r="AZ2711" s="125"/>
      <c r="BA2711" s="125"/>
    </row>
    <row r="2712" spans="2:53" s="123" customFormat="1">
      <c r="B2712" s="125"/>
      <c r="D2712" s="125"/>
      <c r="I2712" s="125"/>
      <c r="Z2712" s="124"/>
      <c r="AA2712" s="74"/>
      <c r="AB2712" s="240"/>
      <c r="AD2712" s="124"/>
      <c r="AE2712" s="238"/>
      <c r="AF2712" s="239"/>
      <c r="AG2712" s="239"/>
      <c r="AH2712" s="124"/>
      <c r="AI2712" s="74"/>
      <c r="AJ2712" s="240"/>
      <c r="AL2712" s="124"/>
      <c r="AM2712" s="74"/>
      <c r="AP2712" s="125"/>
      <c r="AQ2712" s="241"/>
      <c r="AR2712" s="125"/>
      <c r="AS2712" s="125"/>
      <c r="AT2712" s="238"/>
      <c r="AU2712" s="125"/>
      <c r="AV2712" s="125"/>
      <c r="AW2712" s="125"/>
      <c r="AX2712" s="238"/>
      <c r="AY2712" s="125"/>
      <c r="AZ2712" s="125"/>
      <c r="BA2712" s="125"/>
    </row>
    <row r="2713" spans="2:53" s="123" customFormat="1">
      <c r="B2713" s="125"/>
      <c r="D2713" s="125"/>
      <c r="I2713" s="125"/>
      <c r="Z2713" s="124"/>
      <c r="AA2713" s="74"/>
      <c r="AB2713" s="240"/>
      <c r="AD2713" s="124"/>
      <c r="AE2713" s="238"/>
      <c r="AF2713" s="239"/>
      <c r="AG2713" s="239"/>
      <c r="AH2713" s="124"/>
      <c r="AI2713" s="74"/>
      <c r="AJ2713" s="240"/>
      <c r="AL2713" s="124"/>
      <c r="AM2713" s="74"/>
      <c r="AP2713" s="125"/>
      <c r="AQ2713" s="241"/>
      <c r="AR2713" s="125"/>
      <c r="AS2713" s="125"/>
      <c r="AT2713" s="238"/>
      <c r="AU2713" s="125"/>
      <c r="AV2713" s="125"/>
      <c r="AW2713" s="125"/>
      <c r="AX2713" s="238"/>
      <c r="AY2713" s="125"/>
      <c r="AZ2713" s="125"/>
      <c r="BA2713" s="125"/>
    </row>
    <row r="2714" spans="2:53" s="123" customFormat="1">
      <c r="B2714" s="125"/>
      <c r="D2714" s="125"/>
      <c r="I2714" s="125"/>
      <c r="Z2714" s="124"/>
      <c r="AA2714" s="74"/>
      <c r="AB2714" s="240"/>
      <c r="AD2714" s="124"/>
      <c r="AE2714" s="238"/>
      <c r="AF2714" s="239"/>
      <c r="AG2714" s="239"/>
      <c r="AH2714" s="124"/>
      <c r="AI2714" s="74"/>
      <c r="AJ2714" s="240"/>
      <c r="AL2714" s="124"/>
      <c r="AM2714" s="74"/>
      <c r="AP2714" s="125"/>
      <c r="AQ2714" s="241"/>
      <c r="AR2714" s="125"/>
      <c r="AS2714" s="125"/>
      <c r="AT2714" s="238"/>
      <c r="AU2714" s="125"/>
      <c r="AV2714" s="125"/>
      <c r="AW2714" s="125"/>
      <c r="AX2714" s="238"/>
      <c r="AY2714" s="125"/>
      <c r="AZ2714" s="125"/>
      <c r="BA2714" s="125"/>
    </row>
    <row r="2715" spans="2:53" s="123" customFormat="1">
      <c r="B2715" s="125"/>
      <c r="D2715" s="125"/>
      <c r="I2715" s="125"/>
      <c r="Z2715" s="124"/>
      <c r="AA2715" s="74"/>
      <c r="AB2715" s="240"/>
      <c r="AD2715" s="124"/>
      <c r="AE2715" s="238"/>
      <c r="AF2715" s="239"/>
      <c r="AG2715" s="239"/>
      <c r="AH2715" s="124"/>
      <c r="AI2715" s="74"/>
      <c r="AJ2715" s="240"/>
      <c r="AL2715" s="124"/>
      <c r="AM2715" s="74"/>
      <c r="AP2715" s="125"/>
      <c r="AQ2715" s="241"/>
      <c r="AR2715" s="125"/>
      <c r="AS2715" s="125"/>
      <c r="AT2715" s="238"/>
      <c r="AU2715" s="125"/>
      <c r="AV2715" s="125"/>
      <c r="AW2715" s="125"/>
      <c r="AX2715" s="238"/>
      <c r="AY2715" s="125"/>
      <c r="AZ2715" s="125"/>
      <c r="BA2715" s="125"/>
    </row>
    <row r="2716" spans="2:53" s="123" customFormat="1">
      <c r="B2716" s="125"/>
      <c r="D2716" s="125"/>
      <c r="I2716" s="125"/>
      <c r="Z2716" s="124"/>
      <c r="AA2716" s="74"/>
      <c r="AB2716" s="240"/>
      <c r="AD2716" s="124"/>
      <c r="AE2716" s="238"/>
      <c r="AF2716" s="239"/>
      <c r="AG2716" s="239"/>
      <c r="AH2716" s="124"/>
      <c r="AI2716" s="74"/>
      <c r="AJ2716" s="240"/>
      <c r="AL2716" s="124"/>
      <c r="AM2716" s="74"/>
      <c r="AP2716" s="125"/>
      <c r="AQ2716" s="241"/>
      <c r="AR2716" s="125"/>
      <c r="AS2716" s="125"/>
      <c r="AT2716" s="238"/>
      <c r="AU2716" s="125"/>
      <c r="AV2716" s="125"/>
      <c r="AW2716" s="125"/>
      <c r="AX2716" s="238"/>
      <c r="AY2716" s="125"/>
      <c r="AZ2716" s="125"/>
      <c r="BA2716" s="125"/>
    </row>
    <row r="2717" spans="2:53" s="123" customFormat="1">
      <c r="B2717" s="125"/>
      <c r="D2717" s="125"/>
      <c r="I2717" s="125"/>
      <c r="Z2717" s="124"/>
      <c r="AA2717" s="74"/>
      <c r="AB2717" s="240"/>
      <c r="AD2717" s="124"/>
      <c r="AE2717" s="238"/>
      <c r="AF2717" s="239"/>
      <c r="AG2717" s="239"/>
      <c r="AH2717" s="124"/>
      <c r="AI2717" s="74"/>
      <c r="AJ2717" s="240"/>
      <c r="AL2717" s="124"/>
      <c r="AM2717" s="74"/>
      <c r="AP2717" s="125"/>
      <c r="AQ2717" s="241"/>
      <c r="AR2717" s="125"/>
      <c r="AS2717" s="125"/>
      <c r="AT2717" s="238"/>
      <c r="AU2717" s="125"/>
      <c r="AV2717" s="125"/>
      <c r="AW2717" s="125"/>
      <c r="AX2717" s="238"/>
      <c r="AY2717" s="125"/>
      <c r="AZ2717" s="125"/>
      <c r="BA2717" s="125"/>
    </row>
    <row r="2718" spans="2:53" s="123" customFormat="1">
      <c r="B2718" s="125"/>
      <c r="D2718" s="125"/>
      <c r="I2718" s="125"/>
      <c r="Z2718" s="124"/>
      <c r="AA2718" s="74"/>
      <c r="AB2718" s="240"/>
      <c r="AD2718" s="124"/>
      <c r="AE2718" s="238"/>
      <c r="AF2718" s="239"/>
      <c r="AG2718" s="239"/>
      <c r="AH2718" s="124"/>
      <c r="AI2718" s="74"/>
      <c r="AJ2718" s="240"/>
      <c r="AL2718" s="124"/>
      <c r="AM2718" s="74"/>
      <c r="AP2718" s="125"/>
      <c r="AQ2718" s="241"/>
      <c r="AR2718" s="125"/>
      <c r="AS2718" s="125"/>
      <c r="AT2718" s="238"/>
      <c r="AU2718" s="125"/>
      <c r="AV2718" s="125"/>
      <c r="AW2718" s="125"/>
      <c r="AX2718" s="238"/>
      <c r="AY2718" s="125"/>
      <c r="AZ2718" s="125"/>
      <c r="BA2718" s="125"/>
    </row>
    <row r="2719" spans="2:53" s="123" customFormat="1">
      <c r="B2719" s="125"/>
      <c r="D2719" s="125"/>
      <c r="I2719" s="125"/>
      <c r="Z2719" s="124"/>
      <c r="AA2719" s="74"/>
      <c r="AB2719" s="240"/>
      <c r="AD2719" s="124"/>
      <c r="AE2719" s="238"/>
      <c r="AF2719" s="239"/>
      <c r="AG2719" s="239"/>
      <c r="AH2719" s="124"/>
      <c r="AI2719" s="74"/>
      <c r="AJ2719" s="240"/>
      <c r="AL2719" s="124"/>
      <c r="AM2719" s="74"/>
      <c r="AP2719" s="125"/>
      <c r="AQ2719" s="241"/>
      <c r="AR2719" s="125"/>
      <c r="AS2719" s="125"/>
      <c r="AT2719" s="238"/>
      <c r="AU2719" s="125"/>
      <c r="AV2719" s="125"/>
      <c r="AW2719" s="125"/>
      <c r="AX2719" s="238"/>
      <c r="AY2719" s="125"/>
      <c r="AZ2719" s="125"/>
      <c r="BA2719" s="125"/>
    </row>
    <row r="2720" spans="2:53" s="123" customFormat="1">
      <c r="B2720" s="125"/>
      <c r="D2720" s="125"/>
      <c r="I2720" s="125"/>
      <c r="Z2720" s="124"/>
      <c r="AA2720" s="74"/>
      <c r="AB2720" s="240"/>
      <c r="AD2720" s="124"/>
      <c r="AE2720" s="238"/>
      <c r="AF2720" s="239"/>
      <c r="AG2720" s="239"/>
      <c r="AH2720" s="124"/>
      <c r="AI2720" s="74"/>
      <c r="AJ2720" s="240"/>
      <c r="AL2720" s="124"/>
      <c r="AM2720" s="74"/>
      <c r="AP2720" s="125"/>
      <c r="AQ2720" s="241"/>
      <c r="AR2720" s="125"/>
      <c r="AS2720" s="125"/>
      <c r="AT2720" s="238"/>
      <c r="AU2720" s="125"/>
      <c r="AV2720" s="125"/>
      <c r="AW2720" s="125"/>
      <c r="AX2720" s="238"/>
      <c r="AY2720" s="125"/>
      <c r="AZ2720" s="125"/>
      <c r="BA2720" s="125"/>
    </row>
    <row r="2721" spans="2:53" s="123" customFormat="1">
      <c r="B2721" s="125"/>
      <c r="D2721" s="125"/>
      <c r="I2721" s="125"/>
      <c r="Z2721" s="124"/>
      <c r="AA2721" s="74"/>
      <c r="AB2721" s="240"/>
      <c r="AD2721" s="124"/>
      <c r="AE2721" s="238"/>
      <c r="AF2721" s="239"/>
      <c r="AG2721" s="239"/>
      <c r="AH2721" s="124"/>
      <c r="AI2721" s="74"/>
      <c r="AJ2721" s="240"/>
      <c r="AL2721" s="124"/>
      <c r="AM2721" s="74"/>
      <c r="AP2721" s="125"/>
      <c r="AQ2721" s="241"/>
      <c r="AR2721" s="125"/>
      <c r="AS2721" s="125"/>
      <c r="AT2721" s="238"/>
      <c r="AU2721" s="125"/>
      <c r="AV2721" s="125"/>
      <c r="AW2721" s="125"/>
      <c r="AX2721" s="238"/>
      <c r="AY2721" s="125"/>
      <c r="AZ2721" s="125"/>
      <c r="BA2721" s="125"/>
    </row>
    <row r="2722" spans="2:53" s="123" customFormat="1">
      <c r="B2722" s="125"/>
      <c r="D2722" s="125"/>
      <c r="I2722" s="125"/>
      <c r="Z2722" s="124"/>
      <c r="AA2722" s="74"/>
      <c r="AB2722" s="240"/>
      <c r="AD2722" s="124"/>
      <c r="AE2722" s="238"/>
      <c r="AF2722" s="239"/>
      <c r="AG2722" s="239"/>
      <c r="AH2722" s="124"/>
      <c r="AI2722" s="74"/>
      <c r="AJ2722" s="240"/>
      <c r="AL2722" s="124"/>
      <c r="AM2722" s="74"/>
      <c r="AP2722" s="125"/>
      <c r="AQ2722" s="241"/>
      <c r="AR2722" s="125"/>
      <c r="AS2722" s="125"/>
      <c r="AT2722" s="238"/>
      <c r="AU2722" s="125"/>
      <c r="AV2722" s="125"/>
      <c r="AW2722" s="125"/>
      <c r="AX2722" s="238"/>
      <c r="AY2722" s="125"/>
      <c r="AZ2722" s="125"/>
      <c r="BA2722" s="125"/>
    </row>
    <row r="2723" spans="2:53" s="123" customFormat="1">
      <c r="B2723" s="125"/>
      <c r="D2723" s="125"/>
      <c r="I2723" s="125"/>
      <c r="Z2723" s="124"/>
      <c r="AA2723" s="74"/>
      <c r="AB2723" s="240"/>
      <c r="AD2723" s="124"/>
      <c r="AE2723" s="238"/>
      <c r="AF2723" s="239"/>
      <c r="AG2723" s="239"/>
      <c r="AH2723" s="124"/>
      <c r="AI2723" s="74"/>
      <c r="AJ2723" s="240"/>
      <c r="AL2723" s="124"/>
      <c r="AM2723" s="74"/>
      <c r="AP2723" s="125"/>
      <c r="AQ2723" s="241"/>
      <c r="AR2723" s="125"/>
      <c r="AS2723" s="125"/>
      <c r="AT2723" s="238"/>
      <c r="AU2723" s="125"/>
      <c r="AV2723" s="125"/>
      <c r="AW2723" s="125"/>
      <c r="AX2723" s="238"/>
      <c r="AY2723" s="125"/>
      <c r="AZ2723" s="125"/>
      <c r="BA2723" s="125"/>
    </row>
    <row r="2724" spans="2:53" s="123" customFormat="1">
      <c r="B2724" s="125"/>
      <c r="D2724" s="125"/>
      <c r="I2724" s="125"/>
      <c r="Z2724" s="124"/>
      <c r="AA2724" s="74"/>
      <c r="AB2724" s="240"/>
      <c r="AD2724" s="124"/>
      <c r="AE2724" s="238"/>
      <c r="AF2724" s="239"/>
      <c r="AG2724" s="239"/>
      <c r="AH2724" s="124"/>
      <c r="AI2724" s="74"/>
      <c r="AJ2724" s="240"/>
      <c r="AL2724" s="124"/>
      <c r="AM2724" s="74"/>
      <c r="AP2724" s="125"/>
      <c r="AQ2724" s="241"/>
      <c r="AR2724" s="125"/>
      <c r="AS2724" s="125"/>
      <c r="AT2724" s="238"/>
      <c r="AU2724" s="125"/>
      <c r="AV2724" s="125"/>
      <c r="AW2724" s="125"/>
      <c r="AX2724" s="238"/>
      <c r="AY2724" s="125"/>
      <c r="AZ2724" s="125"/>
      <c r="BA2724" s="125"/>
    </row>
    <row r="2725" spans="2:53" s="123" customFormat="1">
      <c r="B2725" s="125"/>
      <c r="D2725" s="125"/>
      <c r="I2725" s="125"/>
      <c r="Z2725" s="124"/>
      <c r="AA2725" s="74"/>
      <c r="AB2725" s="240"/>
      <c r="AD2725" s="124"/>
      <c r="AE2725" s="238"/>
      <c r="AF2725" s="239"/>
      <c r="AG2725" s="239"/>
      <c r="AH2725" s="124"/>
      <c r="AI2725" s="74"/>
      <c r="AJ2725" s="240"/>
      <c r="AL2725" s="124"/>
      <c r="AM2725" s="74"/>
      <c r="AP2725" s="125"/>
      <c r="AQ2725" s="241"/>
      <c r="AR2725" s="125"/>
      <c r="AS2725" s="125"/>
      <c r="AT2725" s="238"/>
      <c r="AU2725" s="125"/>
      <c r="AV2725" s="125"/>
      <c r="AW2725" s="125"/>
      <c r="AX2725" s="238"/>
      <c r="AY2725" s="125"/>
      <c r="AZ2725" s="125"/>
      <c r="BA2725" s="125"/>
    </row>
    <row r="2726" spans="2:53" s="123" customFormat="1">
      <c r="B2726" s="125"/>
      <c r="D2726" s="125"/>
      <c r="I2726" s="125"/>
      <c r="Z2726" s="124"/>
      <c r="AA2726" s="74"/>
      <c r="AB2726" s="240"/>
      <c r="AD2726" s="124"/>
      <c r="AE2726" s="238"/>
      <c r="AF2726" s="239"/>
      <c r="AG2726" s="239"/>
      <c r="AH2726" s="124"/>
      <c r="AI2726" s="74"/>
      <c r="AJ2726" s="240"/>
      <c r="AL2726" s="124"/>
      <c r="AM2726" s="74"/>
      <c r="AP2726" s="125"/>
      <c r="AQ2726" s="241"/>
      <c r="AR2726" s="125"/>
      <c r="AS2726" s="125"/>
      <c r="AT2726" s="238"/>
      <c r="AU2726" s="125"/>
      <c r="AV2726" s="125"/>
      <c r="AW2726" s="125"/>
      <c r="AX2726" s="238"/>
      <c r="AY2726" s="125"/>
      <c r="AZ2726" s="125"/>
      <c r="BA2726" s="125"/>
    </row>
    <row r="2727" spans="2:53" s="123" customFormat="1">
      <c r="B2727" s="125"/>
      <c r="D2727" s="125"/>
      <c r="I2727" s="125"/>
      <c r="Z2727" s="124"/>
      <c r="AA2727" s="74"/>
      <c r="AB2727" s="240"/>
      <c r="AD2727" s="124"/>
      <c r="AE2727" s="238"/>
      <c r="AF2727" s="239"/>
      <c r="AG2727" s="239"/>
      <c r="AH2727" s="124"/>
      <c r="AI2727" s="74"/>
      <c r="AJ2727" s="240"/>
      <c r="AL2727" s="124"/>
      <c r="AM2727" s="74"/>
      <c r="AP2727" s="125"/>
      <c r="AQ2727" s="241"/>
      <c r="AR2727" s="125"/>
      <c r="AS2727" s="125"/>
      <c r="AT2727" s="238"/>
      <c r="AU2727" s="125"/>
      <c r="AV2727" s="125"/>
      <c r="AW2727" s="125"/>
      <c r="AX2727" s="238"/>
      <c r="AY2727" s="125"/>
      <c r="AZ2727" s="125"/>
      <c r="BA2727" s="125"/>
    </row>
    <row r="2728" spans="2:53" s="123" customFormat="1">
      <c r="B2728" s="125"/>
      <c r="D2728" s="125"/>
      <c r="I2728" s="125"/>
      <c r="Z2728" s="124"/>
      <c r="AA2728" s="74"/>
      <c r="AB2728" s="240"/>
      <c r="AD2728" s="124"/>
      <c r="AE2728" s="238"/>
      <c r="AF2728" s="239"/>
      <c r="AG2728" s="239"/>
      <c r="AH2728" s="124"/>
      <c r="AI2728" s="74"/>
      <c r="AJ2728" s="240"/>
      <c r="AL2728" s="124"/>
      <c r="AM2728" s="74"/>
      <c r="AP2728" s="125"/>
      <c r="AQ2728" s="241"/>
      <c r="AR2728" s="125"/>
      <c r="AS2728" s="125"/>
      <c r="AT2728" s="238"/>
      <c r="AU2728" s="125"/>
      <c r="AV2728" s="125"/>
      <c r="AW2728" s="125"/>
      <c r="AX2728" s="238"/>
      <c r="AY2728" s="125"/>
      <c r="AZ2728" s="125"/>
      <c r="BA2728" s="125"/>
    </row>
    <row r="2729" spans="2:53" s="123" customFormat="1">
      <c r="B2729" s="125"/>
      <c r="D2729" s="125"/>
      <c r="I2729" s="125"/>
      <c r="Z2729" s="124"/>
      <c r="AA2729" s="74"/>
      <c r="AB2729" s="240"/>
      <c r="AD2729" s="124"/>
      <c r="AE2729" s="238"/>
      <c r="AF2729" s="239"/>
      <c r="AG2729" s="239"/>
      <c r="AH2729" s="124"/>
      <c r="AI2729" s="74"/>
      <c r="AJ2729" s="240"/>
      <c r="AL2729" s="124"/>
      <c r="AM2729" s="74"/>
      <c r="AP2729" s="125"/>
      <c r="AQ2729" s="241"/>
      <c r="AR2729" s="125"/>
      <c r="AS2729" s="125"/>
      <c r="AT2729" s="238"/>
      <c r="AU2729" s="125"/>
      <c r="AV2729" s="125"/>
      <c r="AW2729" s="125"/>
      <c r="AX2729" s="238"/>
      <c r="AY2729" s="125"/>
      <c r="AZ2729" s="125"/>
      <c r="BA2729" s="125"/>
    </row>
    <row r="2730" spans="2:53" s="123" customFormat="1">
      <c r="B2730" s="125"/>
      <c r="D2730" s="125"/>
      <c r="I2730" s="125"/>
      <c r="Z2730" s="124"/>
      <c r="AA2730" s="74"/>
      <c r="AB2730" s="240"/>
      <c r="AD2730" s="124"/>
      <c r="AE2730" s="238"/>
      <c r="AF2730" s="239"/>
      <c r="AG2730" s="239"/>
      <c r="AH2730" s="124"/>
      <c r="AI2730" s="74"/>
      <c r="AJ2730" s="240"/>
      <c r="AL2730" s="124"/>
      <c r="AM2730" s="74"/>
      <c r="AP2730" s="125"/>
      <c r="AQ2730" s="241"/>
      <c r="AR2730" s="125"/>
      <c r="AS2730" s="125"/>
      <c r="AT2730" s="238"/>
      <c r="AU2730" s="125"/>
      <c r="AV2730" s="125"/>
      <c r="AW2730" s="125"/>
      <c r="AX2730" s="238"/>
      <c r="AY2730" s="125"/>
      <c r="AZ2730" s="125"/>
      <c r="BA2730" s="125"/>
    </row>
    <row r="2731" spans="2:53" s="123" customFormat="1">
      <c r="B2731" s="125"/>
      <c r="D2731" s="125"/>
      <c r="I2731" s="125"/>
      <c r="Z2731" s="124"/>
      <c r="AA2731" s="74"/>
      <c r="AB2731" s="240"/>
      <c r="AD2731" s="124"/>
      <c r="AE2731" s="238"/>
      <c r="AF2731" s="239"/>
      <c r="AG2731" s="239"/>
      <c r="AH2731" s="124"/>
      <c r="AI2731" s="74"/>
      <c r="AJ2731" s="240"/>
      <c r="AL2731" s="124"/>
      <c r="AM2731" s="74"/>
      <c r="AP2731" s="125"/>
      <c r="AQ2731" s="241"/>
      <c r="AR2731" s="125"/>
      <c r="AS2731" s="125"/>
      <c r="AT2731" s="238"/>
      <c r="AU2731" s="125"/>
      <c r="AV2731" s="125"/>
      <c r="AW2731" s="125"/>
      <c r="AX2731" s="238"/>
      <c r="AY2731" s="125"/>
      <c r="AZ2731" s="125"/>
      <c r="BA2731" s="125"/>
    </row>
    <row r="2732" spans="2:53" s="123" customFormat="1">
      <c r="B2732" s="125"/>
      <c r="D2732" s="125"/>
      <c r="I2732" s="125"/>
      <c r="Z2732" s="124"/>
      <c r="AA2732" s="74"/>
      <c r="AB2732" s="240"/>
      <c r="AD2732" s="124"/>
      <c r="AE2732" s="238"/>
      <c r="AF2732" s="239"/>
      <c r="AG2732" s="239"/>
      <c r="AH2732" s="124"/>
      <c r="AI2732" s="74"/>
      <c r="AJ2732" s="240"/>
      <c r="AL2732" s="124"/>
      <c r="AM2732" s="74"/>
      <c r="AP2732" s="125"/>
      <c r="AQ2732" s="241"/>
      <c r="AR2732" s="125"/>
      <c r="AS2732" s="125"/>
      <c r="AT2732" s="238"/>
      <c r="AU2732" s="125"/>
      <c r="AV2732" s="125"/>
      <c r="AW2732" s="125"/>
      <c r="AX2732" s="238"/>
      <c r="AY2732" s="125"/>
      <c r="AZ2732" s="125"/>
      <c r="BA2732" s="125"/>
    </row>
    <row r="2733" spans="2:53" s="123" customFormat="1">
      <c r="B2733" s="125"/>
      <c r="D2733" s="125"/>
      <c r="I2733" s="125"/>
      <c r="Z2733" s="124"/>
      <c r="AA2733" s="74"/>
      <c r="AB2733" s="240"/>
      <c r="AD2733" s="124"/>
      <c r="AE2733" s="238"/>
      <c r="AF2733" s="239"/>
      <c r="AG2733" s="239"/>
      <c r="AH2733" s="124"/>
      <c r="AI2733" s="74"/>
      <c r="AJ2733" s="240"/>
      <c r="AL2733" s="124"/>
      <c r="AM2733" s="74"/>
      <c r="AP2733" s="125"/>
      <c r="AQ2733" s="241"/>
      <c r="AR2733" s="125"/>
      <c r="AS2733" s="125"/>
      <c r="AT2733" s="238"/>
      <c r="AU2733" s="125"/>
      <c r="AV2733" s="125"/>
      <c r="AW2733" s="125"/>
      <c r="AX2733" s="238"/>
      <c r="AY2733" s="125"/>
      <c r="AZ2733" s="125"/>
      <c r="BA2733" s="125"/>
    </row>
    <row r="2734" spans="2:53" s="123" customFormat="1">
      <c r="B2734" s="125"/>
      <c r="D2734" s="125"/>
      <c r="I2734" s="125"/>
      <c r="Z2734" s="124"/>
      <c r="AA2734" s="74"/>
      <c r="AB2734" s="240"/>
      <c r="AD2734" s="124"/>
      <c r="AE2734" s="238"/>
      <c r="AF2734" s="239"/>
      <c r="AG2734" s="239"/>
      <c r="AH2734" s="124"/>
      <c r="AI2734" s="74"/>
      <c r="AJ2734" s="240"/>
      <c r="AL2734" s="124"/>
      <c r="AM2734" s="74"/>
      <c r="AP2734" s="125"/>
      <c r="AQ2734" s="241"/>
      <c r="AR2734" s="125"/>
      <c r="AS2734" s="125"/>
      <c r="AT2734" s="238"/>
      <c r="AU2734" s="125"/>
      <c r="AV2734" s="125"/>
      <c r="AW2734" s="125"/>
      <c r="AX2734" s="238"/>
      <c r="AY2734" s="125"/>
      <c r="AZ2734" s="125"/>
      <c r="BA2734" s="125"/>
    </row>
    <row r="2735" spans="2:53" s="123" customFormat="1">
      <c r="B2735" s="125"/>
      <c r="D2735" s="125"/>
      <c r="I2735" s="125"/>
      <c r="Z2735" s="124"/>
      <c r="AA2735" s="74"/>
      <c r="AB2735" s="240"/>
      <c r="AD2735" s="124"/>
      <c r="AE2735" s="238"/>
      <c r="AF2735" s="239"/>
      <c r="AG2735" s="239"/>
      <c r="AH2735" s="124"/>
      <c r="AI2735" s="74"/>
      <c r="AJ2735" s="240"/>
      <c r="AL2735" s="124"/>
      <c r="AM2735" s="74"/>
      <c r="AP2735" s="125"/>
      <c r="AQ2735" s="241"/>
      <c r="AR2735" s="125"/>
      <c r="AS2735" s="125"/>
      <c r="AT2735" s="238"/>
      <c r="AU2735" s="125"/>
      <c r="AV2735" s="125"/>
      <c r="AW2735" s="125"/>
      <c r="AX2735" s="238"/>
      <c r="AY2735" s="125"/>
      <c r="AZ2735" s="125"/>
      <c r="BA2735" s="125"/>
    </row>
    <row r="2736" spans="2:53" s="123" customFormat="1">
      <c r="B2736" s="125"/>
      <c r="D2736" s="125"/>
      <c r="I2736" s="125"/>
      <c r="Z2736" s="124"/>
      <c r="AA2736" s="74"/>
      <c r="AB2736" s="240"/>
      <c r="AD2736" s="124"/>
      <c r="AE2736" s="238"/>
      <c r="AF2736" s="239"/>
      <c r="AG2736" s="239"/>
      <c r="AH2736" s="124"/>
      <c r="AI2736" s="74"/>
      <c r="AJ2736" s="240"/>
      <c r="AL2736" s="124"/>
      <c r="AM2736" s="74"/>
      <c r="AP2736" s="125"/>
      <c r="AQ2736" s="241"/>
      <c r="AR2736" s="125"/>
      <c r="AS2736" s="125"/>
      <c r="AT2736" s="238"/>
      <c r="AU2736" s="125"/>
      <c r="AV2736" s="125"/>
      <c r="AW2736" s="125"/>
      <c r="AX2736" s="238"/>
      <c r="AY2736" s="125"/>
      <c r="AZ2736" s="125"/>
      <c r="BA2736" s="125"/>
    </row>
    <row r="2737" spans="2:53" s="123" customFormat="1">
      <c r="B2737" s="125"/>
      <c r="D2737" s="125"/>
      <c r="I2737" s="125"/>
      <c r="Z2737" s="124"/>
      <c r="AA2737" s="74"/>
      <c r="AB2737" s="240"/>
      <c r="AD2737" s="124"/>
      <c r="AE2737" s="238"/>
      <c r="AF2737" s="239"/>
      <c r="AG2737" s="239"/>
      <c r="AH2737" s="124"/>
      <c r="AI2737" s="74"/>
      <c r="AJ2737" s="240"/>
      <c r="AL2737" s="124"/>
      <c r="AM2737" s="74"/>
      <c r="AP2737" s="125"/>
      <c r="AQ2737" s="241"/>
      <c r="AR2737" s="125"/>
      <c r="AS2737" s="125"/>
      <c r="AT2737" s="238"/>
      <c r="AU2737" s="125"/>
      <c r="AV2737" s="125"/>
      <c r="AW2737" s="125"/>
      <c r="AX2737" s="238"/>
      <c r="AY2737" s="125"/>
      <c r="AZ2737" s="125"/>
      <c r="BA2737" s="125"/>
    </row>
    <row r="2738" spans="2:53" s="123" customFormat="1">
      <c r="B2738" s="125"/>
      <c r="D2738" s="125"/>
      <c r="I2738" s="125"/>
      <c r="Z2738" s="124"/>
      <c r="AA2738" s="74"/>
      <c r="AB2738" s="240"/>
      <c r="AD2738" s="124"/>
      <c r="AE2738" s="238"/>
      <c r="AF2738" s="239"/>
      <c r="AG2738" s="239"/>
      <c r="AH2738" s="124"/>
      <c r="AI2738" s="74"/>
      <c r="AJ2738" s="240"/>
      <c r="AL2738" s="124"/>
      <c r="AM2738" s="74"/>
      <c r="AP2738" s="125"/>
      <c r="AQ2738" s="241"/>
      <c r="AR2738" s="125"/>
      <c r="AS2738" s="125"/>
      <c r="AT2738" s="238"/>
      <c r="AU2738" s="125"/>
      <c r="AV2738" s="125"/>
      <c r="AW2738" s="125"/>
      <c r="AX2738" s="238"/>
      <c r="AY2738" s="125"/>
      <c r="AZ2738" s="125"/>
      <c r="BA2738" s="125"/>
    </row>
    <row r="2739" spans="2:53" s="123" customFormat="1">
      <c r="B2739" s="125"/>
      <c r="D2739" s="125"/>
      <c r="I2739" s="125"/>
      <c r="Z2739" s="124"/>
      <c r="AA2739" s="74"/>
      <c r="AB2739" s="240"/>
      <c r="AD2739" s="124"/>
      <c r="AE2739" s="238"/>
      <c r="AF2739" s="239"/>
      <c r="AG2739" s="239"/>
      <c r="AH2739" s="124"/>
      <c r="AI2739" s="74"/>
      <c r="AJ2739" s="240"/>
      <c r="AL2739" s="124"/>
      <c r="AM2739" s="74"/>
      <c r="AP2739" s="125"/>
      <c r="AQ2739" s="241"/>
      <c r="AR2739" s="125"/>
      <c r="AS2739" s="125"/>
      <c r="AT2739" s="238"/>
      <c r="AU2739" s="125"/>
      <c r="AV2739" s="125"/>
      <c r="AW2739" s="125"/>
      <c r="AX2739" s="238"/>
      <c r="AY2739" s="125"/>
      <c r="AZ2739" s="125"/>
      <c r="BA2739" s="125"/>
    </row>
    <row r="2740" spans="2:53" s="123" customFormat="1">
      <c r="B2740" s="125"/>
      <c r="D2740" s="125"/>
      <c r="I2740" s="125"/>
      <c r="Z2740" s="124"/>
      <c r="AA2740" s="74"/>
      <c r="AB2740" s="240"/>
      <c r="AD2740" s="124"/>
      <c r="AE2740" s="238"/>
      <c r="AF2740" s="239"/>
      <c r="AG2740" s="239"/>
      <c r="AH2740" s="124"/>
      <c r="AI2740" s="74"/>
      <c r="AJ2740" s="240"/>
      <c r="AL2740" s="124"/>
      <c r="AM2740" s="74"/>
      <c r="AP2740" s="125"/>
      <c r="AQ2740" s="241"/>
      <c r="AR2740" s="125"/>
      <c r="AS2740" s="125"/>
      <c r="AT2740" s="238"/>
      <c r="AU2740" s="125"/>
      <c r="AV2740" s="125"/>
      <c r="AW2740" s="125"/>
      <c r="AX2740" s="238"/>
      <c r="AY2740" s="125"/>
      <c r="AZ2740" s="125"/>
      <c r="BA2740" s="125"/>
    </row>
    <row r="2741" spans="2:53" s="123" customFormat="1">
      <c r="B2741" s="125"/>
      <c r="D2741" s="125"/>
      <c r="I2741" s="125"/>
      <c r="Z2741" s="124"/>
      <c r="AA2741" s="74"/>
      <c r="AB2741" s="240"/>
      <c r="AD2741" s="124"/>
      <c r="AE2741" s="238"/>
      <c r="AF2741" s="239"/>
      <c r="AG2741" s="239"/>
      <c r="AH2741" s="124"/>
      <c r="AI2741" s="74"/>
      <c r="AJ2741" s="240"/>
      <c r="AL2741" s="124"/>
      <c r="AM2741" s="74"/>
      <c r="AP2741" s="125"/>
      <c r="AQ2741" s="241"/>
      <c r="AR2741" s="125"/>
      <c r="AS2741" s="125"/>
      <c r="AT2741" s="238"/>
      <c r="AU2741" s="125"/>
      <c r="AV2741" s="125"/>
      <c r="AW2741" s="125"/>
      <c r="AX2741" s="238"/>
      <c r="AY2741" s="125"/>
      <c r="AZ2741" s="125"/>
      <c r="BA2741" s="125"/>
    </row>
    <row r="2742" spans="2:53" s="123" customFormat="1">
      <c r="B2742" s="125"/>
      <c r="D2742" s="125"/>
      <c r="I2742" s="125"/>
      <c r="Z2742" s="124"/>
      <c r="AA2742" s="74"/>
      <c r="AB2742" s="240"/>
      <c r="AD2742" s="124"/>
      <c r="AE2742" s="238"/>
      <c r="AF2742" s="239"/>
      <c r="AG2742" s="239"/>
      <c r="AH2742" s="124"/>
      <c r="AI2742" s="74"/>
      <c r="AJ2742" s="240"/>
      <c r="AL2742" s="124"/>
      <c r="AM2742" s="74"/>
      <c r="AP2742" s="125"/>
      <c r="AQ2742" s="241"/>
      <c r="AR2742" s="125"/>
      <c r="AS2742" s="125"/>
      <c r="AT2742" s="238"/>
      <c r="AU2742" s="125"/>
      <c r="AV2742" s="125"/>
      <c r="AW2742" s="125"/>
      <c r="AX2742" s="238"/>
      <c r="AY2742" s="125"/>
      <c r="AZ2742" s="125"/>
      <c r="BA2742" s="125"/>
    </row>
    <row r="2743" spans="2:53" s="123" customFormat="1">
      <c r="B2743" s="125"/>
      <c r="D2743" s="125"/>
      <c r="I2743" s="125"/>
      <c r="Z2743" s="124"/>
      <c r="AA2743" s="74"/>
      <c r="AB2743" s="240"/>
      <c r="AD2743" s="124"/>
      <c r="AE2743" s="238"/>
      <c r="AF2743" s="239"/>
      <c r="AG2743" s="239"/>
      <c r="AH2743" s="124"/>
      <c r="AI2743" s="74"/>
      <c r="AJ2743" s="240"/>
      <c r="AL2743" s="124"/>
      <c r="AM2743" s="74"/>
      <c r="AP2743" s="125"/>
      <c r="AQ2743" s="241"/>
      <c r="AR2743" s="125"/>
      <c r="AS2743" s="125"/>
      <c r="AT2743" s="238"/>
      <c r="AU2743" s="125"/>
      <c r="AV2743" s="125"/>
      <c r="AW2743" s="125"/>
      <c r="AX2743" s="238"/>
      <c r="AY2743" s="125"/>
      <c r="AZ2743" s="125"/>
      <c r="BA2743" s="125"/>
    </row>
    <row r="2744" spans="2:53" s="123" customFormat="1">
      <c r="B2744" s="125"/>
      <c r="D2744" s="125"/>
      <c r="I2744" s="125"/>
      <c r="Z2744" s="124"/>
      <c r="AA2744" s="74"/>
      <c r="AB2744" s="240"/>
      <c r="AD2744" s="124"/>
      <c r="AE2744" s="238"/>
      <c r="AF2744" s="239"/>
      <c r="AG2744" s="239"/>
      <c r="AH2744" s="124"/>
      <c r="AI2744" s="74"/>
      <c r="AJ2744" s="240"/>
      <c r="AL2744" s="124"/>
      <c r="AM2744" s="74"/>
      <c r="AP2744" s="125"/>
      <c r="AQ2744" s="241"/>
      <c r="AR2744" s="125"/>
      <c r="AS2744" s="125"/>
      <c r="AT2744" s="238"/>
      <c r="AU2744" s="125"/>
      <c r="AV2744" s="125"/>
      <c r="AW2744" s="125"/>
      <c r="AX2744" s="238"/>
      <c r="AY2744" s="125"/>
      <c r="AZ2744" s="125"/>
      <c r="BA2744" s="125"/>
    </row>
    <row r="2745" spans="2:53" s="123" customFormat="1">
      <c r="B2745" s="125"/>
      <c r="D2745" s="125"/>
      <c r="I2745" s="125"/>
      <c r="Z2745" s="124"/>
      <c r="AA2745" s="74"/>
      <c r="AB2745" s="240"/>
      <c r="AD2745" s="124"/>
      <c r="AE2745" s="238"/>
      <c r="AF2745" s="239"/>
      <c r="AG2745" s="239"/>
      <c r="AH2745" s="124"/>
      <c r="AI2745" s="74"/>
      <c r="AJ2745" s="240"/>
      <c r="AL2745" s="124"/>
      <c r="AM2745" s="74"/>
      <c r="AP2745" s="125"/>
      <c r="AQ2745" s="241"/>
      <c r="AR2745" s="125"/>
      <c r="AS2745" s="125"/>
      <c r="AT2745" s="238"/>
      <c r="AU2745" s="125"/>
      <c r="AV2745" s="125"/>
      <c r="AW2745" s="125"/>
      <c r="AX2745" s="238"/>
      <c r="AY2745" s="125"/>
      <c r="AZ2745" s="125"/>
      <c r="BA2745" s="125"/>
    </row>
    <row r="2746" spans="2:53" s="123" customFormat="1">
      <c r="B2746" s="125"/>
      <c r="D2746" s="125"/>
      <c r="I2746" s="125"/>
      <c r="Z2746" s="124"/>
      <c r="AA2746" s="74"/>
      <c r="AB2746" s="240"/>
      <c r="AD2746" s="124"/>
      <c r="AE2746" s="238"/>
      <c r="AF2746" s="239"/>
      <c r="AG2746" s="239"/>
      <c r="AH2746" s="124"/>
      <c r="AI2746" s="74"/>
      <c r="AJ2746" s="240"/>
      <c r="AL2746" s="124"/>
      <c r="AM2746" s="74"/>
      <c r="AP2746" s="125"/>
      <c r="AQ2746" s="241"/>
      <c r="AR2746" s="125"/>
      <c r="AS2746" s="125"/>
      <c r="AT2746" s="238"/>
      <c r="AU2746" s="125"/>
      <c r="AV2746" s="125"/>
      <c r="AW2746" s="125"/>
      <c r="AX2746" s="238"/>
      <c r="AY2746" s="125"/>
      <c r="AZ2746" s="125"/>
      <c r="BA2746" s="125"/>
    </row>
    <row r="2747" spans="2:53" s="123" customFormat="1">
      <c r="B2747" s="125"/>
      <c r="D2747" s="125"/>
      <c r="I2747" s="125"/>
      <c r="Z2747" s="124"/>
      <c r="AA2747" s="74"/>
      <c r="AB2747" s="240"/>
      <c r="AD2747" s="124"/>
      <c r="AE2747" s="238"/>
      <c r="AF2747" s="239"/>
      <c r="AG2747" s="239"/>
      <c r="AH2747" s="124"/>
      <c r="AI2747" s="74"/>
      <c r="AJ2747" s="240"/>
      <c r="AL2747" s="124"/>
      <c r="AM2747" s="74"/>
      <c r="AP2747" s="125"/>
      <c r="AQ2747" s="241"/>
      <c r="AR2747" s="125"/>
      <c r="AS2747" s="125"/>
      <c r="AT2747" s="238"/>
      <c r="AU2747" s="125"/>
      <c r="AV2747" s="125"/>
      <c r="AW2747" s="125"/>
      <c r="AX2747" s="238"/>
      <c r="AY2747" s="125"/>
      <c r="AZ2747" s="125"/>
      <c r="BA2747" s="125"/>
    </row>
    <row r="2748" spans="2:53" s="123" customFormat="1">
      <c r="B2748" s="125"/>
      <c r="D2748" s="125"/>
      <c r="I2748" s="125"/>
      <c r="Z2748" s="124"/>
      <c r="AA2748" s="74"/>
      <c r="AB2748" s="240"/>
      <c r="AD2748" s="124"/>
      <c r="AE2748" s="238"/>
      <c r="AF2748" s="239"/>
      <c r="AG2748" s="239"/>
      <c r="AH2748" s="124"/>
      <c r="AI2748" s="74"/>
      <c r="AJ2748" s="240"/>
      <c r="AL2748" s="124"/>
      <c r="AM2748" s="74"/>
      <c r="AP2748" s="125"/>
      <c r="AQ2748" s="241"/>
      <c r="AR2748" s="125"/>
      <c r="AS2748" s="125"/>
      <c r="AT2748" s="238"/>
      <c r="AU2748" s="125"/>
      <c r="AV2748" s="125"/>
      <c r="AW2748" s="125"/>
      <c r="AX2748" s="238"/>
      <c r="AY2748" s="125"/>
      <c r="AZ2748" s="125"/>
      <c r="BA2748" s="125"/>
    </row>
    <row r="2749" spans="2:53" s="123" customFormat="1">
      <c r="B2749" s="125"/>
      <c r="D2749" s="125"/>
      <c r="I2749" s="125"/>
      <c r="Z2749" s="124"/>
      <c r="AA2749" s="74"/>
      <c r="AB2749" s="240"/>
      <c r="AD2749" s="124"/>
      <c r="AE2749" s="238"/>
      <c r="AF2749" s="239"/>
      <c r="AG2749" s="239"/>
      <c r="AH2749" s="124"/>
      <c r="AI2749" s="74"/>
      <c r="AJ2749" s="240"/>
      <c r="AL2749" s="124"/>
      <c r="AM2749" s="74"/>
      <c r="AP2749" s="125"/>
      <c r="AQ2749" s="241"/>
      <c r="AR2749" s="125"/>
      <c r="AS2749" s="125"/>
      <c r="AT2749" s="238"/>
      <c r="AU2749" s="125"/>
      <c r="AV2749" s="125"/>
      <c r="AW2749" s="125"/>
      <c r="AX2749" s="238"/>
      <c r="AY2749" s="125"/>
      <c r="AZ2749" s="125"/>
      <c r="BA2749" s="125"/>
    </row>
    <row r="2750" spans="2:53" s="123" customFormat="1">
      <c r="B2750" s="125"/>
      <c r="D2750" s="125"/>
      <c r="I2750" s="125"/>
      <c r="Z2750" s="124"/>
      <c r="AA2750" s="74"/>
      <c r="AB2750" s="240"/>
      <c r="AD2750" s="124"/>
      <c r="AE2750" s="238"/>
      <c r="AF2750" s="239"/>
      <c r="AG2750" s="239"/>
      <c r="AH2750" s="124"/>
      <c r="AI2750" s="74"/>
      <c r="AJ2750" s="240"/>
      <c r="AL2750" s="124"/>
      <c r="AM2750" s="74"/>
      <c r="AP2750" s="125"/>
      <c r="AQ2750" s="241"/>
      <c r="AR2750" s="125"/>
      <c r="AS2750" s="125"/>
      <c r="AT2750" s="238"/>
      <c r="AU2750" s="125"/>
      <c r="AV2750" s="125"/>
      <c r="AW2750" s="125"/>
      <c r="AX2750" s="238"/>
      <c r="AY2750" s="125"/>
      <c r="AZ2750" s="125"/>
      <c r="BA2750" s="125"/>
    </row>
    <row r="2751" spans="2:53" s="123" customFormat="1">
      <c r="B2751" s="125"/>
      <c r="D2751" s="125"/>
      <c r="I2751" s="125"/>
      <c r="Z2751" s="124"/>
      <c r="AA2751" s="74"/>
      <c r="AB2751" s="240"/>
      <c r="AD2751" s="124"/>
      <c r="AE2751" s="238"/>
      <c r="AF2751" s="239"/>
      <c r="AG2751" s="239"/>
      <c r="AH2751" s="124"/>
      <c r="AI2751" s="74"/>
      <c r="AJ2751" s="240"/>
      <c r="AL2751" s="124"/>
      <c r="AM2751" s="74"/>
      <c r="AP2751" s="125"/>
      <c r="AQ2751" s="241"/>
      <c r="AR2751" s="125"/>
      <c r="AS2751" s="125"/>
      <c r="AT2751" s="238"/>
      <c r="AU2751" s="125"/>
      <c r="AV2751" s="125"/>
      <c r="AW2751" s="125"/>
      <c r="AX2751" s="238"/>
      <c r="AY2751" s="125"/>
      <c r="AZ2751" s="125"/>
      <c r="BA2751" s="125"/>
    </row>
    <row r="2752" spans="2:53" s="123" customFormat="1">
      <c r="B2752" s="125"/>
      <c r="D2752" s="125"/>
      <c r="I2752" s="125"/>
      <c r="Z2752" s="124"/>
      <c r="AA2752" s="74"/>
      <c r="AB2752" s="240"/>
      <c r="AD2752" s="124"/>
      <c r="AE2752" s="238"/>
      <c r="AF2752" s="239"/>
      <c r="AG2752" s="239"/>
      <c r="AH2752" s="124"/>
      <c r="AI2752" s="74"/>
      <c r="AJ2752" s="240"/>
      <c r="AL2752" s="124"/>
      <c r="AM2752" s="74"/>
      <c r="AP2752" s="125"/>
      <c r="AQ2752" s="241"/>
      <c r="AR2752" s="125"/>
      <c r="AS2752" s="125"/>
      <c r="AT2752" s="238"/>
      <c r="AU2752" s="125"/>
      <c r="AV2752" s="125"/>
      <c r="AW2752" s="125"/>
      <c r="AX2752" s="238"/>
      <c r="AY2752" s="125"/>
      <c r="AZ2752" s="125"/>
      <c r="BA2752" s="125"/>
    </row>
    <row r="2753" spans="2:53" s="123" customFormat="1">
      <c r="B2753" s="125"/>
      <c r="D2753" s="125"/>
      <c r="I2753" s="125"/>
      <c r="Z2753" s="124"/>
      <c r="AA2753" s="74"/>
      <c r="AB2753" s="240"/>
      <c r="AD2753" s="124"/>
      <c r="AE2753" s="238"/>
      <c r="AF2753" s="239"/>
      <c r="AG2753" s="239"/>
      <c r="AH2753" s="124"/>
      <c r="AI2753" s="74"/>
      <c r="AJ2753" s="240"/>
      <c r="AL2753" s="124"/>
      <c r="AM2753" s="74"/>
      <c r="AP2753" s="125"/>
      <c r="AQ2753" s="241"/>
      <c r="AR2753" s="125"/>
      <c r="AS2753" s="125"/>
      <c r="AT2753" s="238"/>
      <c r="AU2753" s="125"/>
      <c r="AV2753" s="125"/>
      <c r="AW2753" s="125"/>
      <c r="AX2753" s="238"/>
      <c r="AY2753" s="125"/>
      <c r="AZ2753" s="125"/>
      <c r="BA2753" s="125"/>
    </row>
    <row r="2754" spans="2:53" s="123" customFormat="1">
      <c r="B2754" s="125"/>
      <c r="D2754" s="125"/>
      <c r="I2754" s="125"/>
      <c r="Z2754" s="124"/>
      <c r="AA2754" s="74"/>
      <c r="AB2754" s="240"/>
      <c r="AD2754" s="124"/>
      <c r="AE2754" s="238"/>
      <c r="AF2754" s="239"/>
      <c r="AG2754" s="239"/>
      <c r="AH2754" s="124"/>
      <c r="AI2754" s="74"/>
      <c r="AJ2754" s="240"/>
      <c r="AL2754" s="124"/>
      <c r="AM2754" s="74"/>
      <c r="AP2754" s="125"/>
      <c r="AQ2754" s="241"/>
      <c r="AR2754" s="125"/>
      <c r="AS2754" s="125"/>
      <c r="AT2754" s="238"/>
      <c r="AU2754" s="125"/>
      <c r="AV2754" s="125"/>
      <c r="AW2754" s="125"/>
      <c r="AX2754" s="238"/>
      <c r="AY2754" s="125"/>
      <c r="AZ2754" s="125"/>
      <c r="BA2754" s="125"/>
    </row>
    <row r="2755" spans="2:53" s="123" customFormat="1">
      <c r="B2755" s="125"/>
      <c r="D2755" s="125"/>
      <c r="I2755" s="125"/>
      <c r="Z2755" s="124"/>
      <c r="AA2755" s="74"/>
      <c r="AB2755" s="240"/>
      <c r="AD2755" s="124"/>
      <c r="AE2755" s="238"/>
      <c r="AF2755" s="239"/>
      <c r="AG2755" s="239"/>
      <c r="AH2755" s="124"/>
      <c r="AI2755" s="74"/>
      <c r="AJ2755" s="240"/>
      <c r="AL2755" s="124"/>
      <c r="AM2755" s="74"/>
      <c r="AP2755" s="125"/>
      <c r="AQ2755" s="241"/>
      <c r="AR2755" s="125"/>
      <c r="AS2755" s="125"/>
      <c r="AT2755" s="238"/>
      <c r="AU2755" s="125"/>
      <c r="AV2755" s="125"/>
      <c r="AW2755" s="125"/>
      <c r="AX2755" s="238"/>
      <c r="AY2755" s="125"/>
      <c r="AZ2755" s="125"/>
      <c r="BA2755" s="125"/>
    </row>
    <row r="2756" spans="2:53" s="123" customFormat="1">
      <c r="B2756" s="125"/>
      <c r="D2756" s="125"/>
      <c r="I2756" s="125"/>
      <c r="Z2756" s="124"/>
      <c r="AA2756" s="74"/>
      <c r="AB2756" s="240"/>
      <c r="AD2756" s="124"/>
      <c r="AE2756" s="238"/>
      <c r="AF2756" s="239"/>
      <c r="AG2756" s="239"/>
      <c r="AH2756" s="124"/>
      <c r="AI2756" s="74"/>
      <c r="AJ2756" s="240"/>
      <c r="AL2756" s="124"/>
      <c r="AM2756" s="74"/>
      <c r="AP2756" s="125"/>
      <c r="AQ2756" s="241"/>
      <c r="AR2756" s="125"/>
      <c r="AS2756" s="125"/>
      <c r="AT2756" s="238"/>
      <c r="AU2756" s="125"/>
      <c r="AV2756" s="125"/>
      <c r="AW2756" s="125"/>
      <c r="AX2756" s="238"/>
      <c r="AY2756" s="125"/>
      <c r="AZ2756" s="125"/>
      <c r="BA2756" s="125"/>
    </row>
    <row r="2757" spans="2:53" s="123" customFormat="1">
      <c r="B2757" s="125"/>
      <c r="D2757" s="125"/>
      <c r="I2757" s="125"/>
      <c r="Z2757" s="124"/>
      <c r="AA2757" s="74"/>
      <c r="AB2757" s="240"/>
      <c r="AD2757" s="124"/>
      <c r="AE2757" s="238"/>
      <c r="AF2757" s="239"/>
      <c r="AG2757" s="239"/>
      <c r="AH2757" s="124"/>
      <c r="AI2757" s="74"/>
      <c r="AJ2757" s="240"/>
      <c r="AL2757" s="124"/>
      <c r="AM2757" s="74"/>
      <c r="AP2757" s="125"/>
      <c r="AQ2757" s="241"/>
      <c r="AR2757" s="125"/>
      <c r="AS2757" s="125"/>
      <c r="AT2757" s="238"/>
      <c r="AU2757" s="125"/>
      <c r="AV2757" s="125"/>
      <c r="AW2757" s="125"/>
      <c r="AX2757" s="238"/>
      <c r="AY2757" s="125"/>
      <c r="AZ2757" s="125"/>
      <c r="BA2757" s="125"/>
    </row>
    <row r="2758" spans="2:53" s="123" customFormat="1">
      <c r="B2758" s="125"/>
      <c r="D2758" s="125"/>
      <c r="I2758" s="125"/>
      <c r="Z2758" s="124"/>
      <c r="AA2758" s="74"/>
      <c r="AB2758" s="240"/>
      <c r="AD2758" s="124"/>
      <c r="AE2758" s="238"/>
      <c r="AF2758" s="239"/>
      <c r="AG2758" s="239"/>
      <c r="AH2758" s="124"/>
      <c r="AI2758" s="74"/>
      <c r="AJ2758" s="240"/>
      <c r="AL2758" s="124"/>
      <c r="AM2758" s="74"/>
      <c r="AP2758" s="125"/>
      <c r="AQ2758" s="241"/>
      <c r="AR2758" s="125"/>
      <c r="AS2758" s="125"/>
      <c r="AT2758" s="238"/>
      <c r="AU2758" s="125"/>
      <c r="AV2758" s="125"/>
      <c r="AW2758" s="125"/>
      <c r="AX2758" s="238"/>
      <c r="AY2758" s="125"/>
      <c r="AZ2758" s="125"/>
      <c r="BA2758" s="125"/>
    </row>
    <row r="2759" spans="2:53" s="123" customFormat="1">
      <c r="B2759" s="125"/>
      <c r="D2759" s="125"/>
      <c r="I2759" s="125"/>
      <c r="Z2759" s="124"/>
      <c r="AA2759" s="74"/>
      <c r="AB2759" s="240"/>
      <c r="AD2759" s="124"/>
      <c r="AE2759" s="238"/>
      <c r="AF2759" s="239"/>
      <c r="AG2759" s="239"/>
      <c r="AH2759" s="124"/>
      <c r="AI2759" s="74"/>
      <c r="AJ2759" s="240"/>
      <c r="AL2759" s="124"/>
      <c r="AM2759" s="74"/>
      <c r="AP2759" s="125"/>
      <c r="AQ2759" s="241"/>
      <c r="AR2759" s="125"/>
      <c r="AS2759" s="125"/>
      <c r="AT2759" s="238"/>
      <c r="AU2759" s="125"/>
      <c r="AV2759" s="125"/>
      <c r="AW2759" s="125"/>
      <c r="AX2759" s="238"/>
      <c r="AY2759" s="125"/>
      <c r="AZ2759" s="125"/>
      <c r="BA2759" s="125"/>
    </row>
    <row r="2760" spans="2:53" s="123" customFormat="1">
      <c r="B2760" s="125"/>
      <c r="D2760" s="125"/>
      <c r="I2760" s="125"/>
      <c r="Z2760" s="124"/>
      <c r="AA2760" s="74"/>
      <c r="AB2760" s="240"/>
      <c r="AD2760" s="124"/>
      <c r="AE2760" s="238"/>
      <c r="AF2760" s="239"/>
      <c r="AG2760" s="239"/>
      <c r="AH2760" s="124"/>
      <c r="AI2760" s="74"/>
      <c r="AJ2760" s="240"/>
      <c r="AL2760" s="124"/>
      <c r="AM2760" s="74"/>
      <c r="AP2760" s="125"/>
      <c r="AQ2760" s="241"/>
      <c r="AR2760" s="125"/>
      <c r="AS2760" s="125"/>
      <c r="AT2760" s="238"/>
      <c r="AU2760" s="125"/>
      <c r="AV2760" s="125"/>
      <c r="AW2760" s="125"/>
      <c r="AX2760" s="238"/>
      <c r="AY2760" s="125"/>
      <c r="AZ2760" s="125"/>
      <c r="BA2760" s="125"/>
    </row>
    <row r="2761" spans="2:53" s="123" customFormat="1">
      <c r="B2761" s="125"/>
      <c r="D2761" s="125"/>
      <c r="I2761" s="125"/>
      <c r="Z2761" s="124"/>
      <c r="AA2761" s="74"/>
      <c r="AB2761" s="240"/>
      <c r="AD2761" s="124"/>
      <c r="AE2761" s="238"/>
      <c r="AF2761" s="239"/>
      <c r="AG2761" s="239"/>
      <c r="AH2761" s="124"/>
      <c r="AI2761" s="74"/>
      <c r="AJ2761" s="240"/>
      <c r="AL2761" s="124"/>
      <c r="AM2761" s="74"/>
      <c r="AP2761" s="125"/>
      <c r="AQ2761" s="241"/>
      <c r="AR2761" s="125"/>
      <c r="AS2761" s="125"/>
      <c r="AT2761" s="238"/>
      <c r="AU2761" s="125"/>
      <c r="AV2761" s="125"/>
      <c r="AW2761" s="125"/>
      <c r="AX2761" s="238"/>
      <c r="AY2761" s="125"/>
      <c r="AZ2761" s="125"/>
      <c r="BA2761" s="125"/>
    </row>
    <row r="2762" spans="2:53" s="123" customFormat="1">
      <c r="B2762" s="125"/>
      <c r="D2762" s="125"/>
      <c r="I2762" s="125"/>
      <c r="Z2762" s="124"/>
      <c r="AA2762" s="74"/>
      <c r="AB2762" s="240"/>
      <c r="AD2762" s="124"/>
      <c r="AE2762" s="238"/>
      <c r="AF2762" s="239"/>
      <c r="AG2762" s="239"/>
      <c r="AH2762" s="124"/>
      <c r="AI2762" s="74"/>
      <c r="AJ2762" s="240"/>
      <c r="AL2762" s="124"/>
      <c r="AM2762" s="74"/>
      <c r="AP2762" s="125"/>
      <c r="AQ2762" s="241"/>
      <c r="AR2762" s="125"/>
      <c r="AS2762" s="125"/>
      <c r="AT2762" s="238"/>
      <c r="AU2762" s="125"/>
      <c r="AV2762" s="125"/>
      <c r="AW2762" s="125"/>
      <c r="AX2762" s="238"/>
      <c r="AY2762" s="125"/>
      <c r="AZ2762" s="125"/>
      <c r="BA2762" s="125"/>
    </row>
    <row r="2763" spans="2:53" s="123" customFormat="1">
      <c r="B2763" s="125"/>
      <c r="D2763" s="125"/>
      <c r="I2763" s="125"/>
      <c r="Z2763" s="124"/>
      <c r="AA2763" s="74"/>
      <c r="AB2763" s="240"/>
      <c r="AD2763" s="124"/>
      <c r="AE2763" s="238"/>
      <c r="AF2763" s="239"/>
      <c r="AG2763" s="239"/>
      <c r="AH2763" s="124"/>
      <c r="AI2763" s="74"/>
      <c r="AJ2763" s="240"/>
      <c r="AL2763" s="124"/>
      <c r="AM2763" s="74"/>
      <c r="AP2763" s="125"/>
      <c r="AQ2763" s="241"/>
      <c r="AR2763" s="125"/>
      <c r="AS2763" s="125"/>
      <c r="AT2763" s="238"/>
      <c r="AU2763" s="125"/>
      <c r="AV2763" s="125"/>
      <c r="AW2763" s="125"/>
      <c r="AX2763" s="238"/>
      <c r="AY2763" s="125"/>
      <c r="AZ2763" s="125"/>
      <c r="BA2763" s="125"/>
    </row>
    <row r="2764" spans="2:53" s="123" customFormat="1">
      <c r="B2764" s="125"/>
      <c r="D2764" s="125"/>
      <c r="I2764" s="125"/>
      <c r="Z2764" s="124"/>
      <c r="AA2764" s="74"/>
      <c r="AB2764" s="240"/>
      <c r="AD2764" s="124"/>
      <c r="AE2764" s="238"/>
      <c r="AF2764" s="239"/>
      <c r="AG2764" s="239"/>
      <c r="AH2764" s="124"/>
      <c r="AI2764" s="74"/>
      <c r="AJ2764" s="240"/>
      <c r="AL2764" s="124"/>
      <c r="AM2764" s="74"/>
      <c r="AP2764" s="125"/>
      <c r="AQ2764" s="241"/>
      <c r="AR2764" s="125"/>
      <c r="AS2764" s="125"/>
      <c r="AT2764" s="238"/>
      <c r="AU2764" s="125"/>
      <c r="AV2764" s="125"/>
      <c r="AW2764" s="125"/>
      <c r="AX2764" s="238"/>
      <c r="AY2764" s="125"/>
      <c r="AZ2764" s="125"/>
      <c r="BA2764" s="125"/>
    </row>
    <row r="2765" spans="2:53" s="123" customFormat="1">
      <c r="B2765" s="125"/>
      <c r="D2765" s="125"/>
      <c r="I2765" s="125"/>
      <c r="Z2765" s="124"/>
      <c r="AA2765" s="74"/>
      <c r="AB2765" s="240"/>
      <c r="AD2765" s="124"/>
      <c r="AE2765" s="238"/>
      <c r="AF2765" s="239"/>
      <c r="AG2765" s="239"/>
      <c r="AH2765" s="124"/>
      <c r="AI2765" s="74"/>
      <c r="AJ2765" s="240"/>
      <c r="AL2765" s="124"/>
      <c r="AM2765" s="74"/>
      <c r="AP2765" s="125"/>
      <c r="AQ2765" s="241"/>
      <c r="AR2765" s="125"/>
      <c r="AS2765" s="125"/>
      <c r="AT2765" s="238"/>
      <c r="AU2765" s="125"/>
      <c r="AV2765" s="125"/>
      <c r="AW2765" s="125"/>
      <c r="AX2765" s="238"/>
      <c r="AY2765" s="125"/>
      <c r="AZ2765" s="125"/>
      <c r="BA2765" s="125"/>
    </row>
    <row r="2766" spans="2:53" s="123" customFormat="1">
      <c r="B2766" s="125"/>
      <c r="D2766" s="125"/>
      <c r="I2766" s="125"/>
      <c r="Z2766" s="124"/>
      <c r="AA2766" s="74"/>
      <c r="AB2766" s="240"/>
      <c r="AD2766" s="124"/>
      <c r="AE2766" s="238"/>
      <c r="AF2766" s="239"/>
      <c r="AG2766" s="239"/>
      <c r="AH2766" s="124"/>
      <c r="AI2766" s="74"/>
      <c r="AJ2766" s="240"/>
      <c r="AL2766" s="124"/>
      <c r="AM2766" s="74"/>
      <c r="AP2766" s="125"/>
      <c r="AQ2766" s="241"/>
      <c r="AR2766" s="125"/>
      <c r="AS2766" s="125"/>
      <c r="AT2766" s="238"/>
      <c r="AU2766" s="125"/>
      <c r="AV2766" s="125"/>
      <c r="AW2766" s="125"/>
      <c r="AX2766" s="238"/>
      <c r="AY2766" s="125"/>
      <c r="AZ2766" s="125"/>
      <c r="BA2766" s="125"/>
    </row>
    <row r="2767" spans="2:53" s="123" customFormat="1">
      <c r="B2767" s="125"/>
      <c r="D2767" s="125"/>
      <c r="I2767" s="125"/>
      <c r="Z2767" s="124"/>
      <c r="AA2767" s="74"/>
      <c r="AB2767" s="240"/>
      <c r="AD2767" s="124"/>
      <c r="AE2767" s="238"/>
      <c r="AF2767" s="239"/>
      <c r="AG2767" s="239"/>
      <c r="AH2767" s="124"/>
      <c r="AI2767" s="74"/>
      <c r="AJ2767" s="240"/>
      <c r="AL2767" s="124"/>
      <c r="AM2767" s="74"/>
      <c r="AP2767" s="125"/>
      <c r="AQ2767" s="241"/>
      <c r="AR2767" s="125"/>
      <c r="AS2767" s="125"/>
      <c r="AT2767" s="238"/>
      <c r="AU2767" s="125"/>
      <c r="AV2767" s="125"/>
      <c r="AW2767" s="125"/>
      <c r="AX2767" s="238"/>
      <c r="AY2767" s="125"/>
      <c r="AZ2767" s="125"/>
      <c r="BA2767" s="125"/>
    </row>
    <row r="2768" spans="2:53" s="123" customFormat="1">
      <c r="B2768" s="125"/>
      <c r="D2768" s="125"/>
      <c r="I2768" s="125"/>
      <c r="Z2768" s="124"/>
      <c r="AA2768" s="74"/>
      <c r="AB2768" s="240"/>
      <c r="AD2768" s="124"/>
      <c r="AE2768" s="238"/>
      <c r="AF2768" s="239"/>
      <c r="AG2768" s="239"/>
      <c r="AH2768" s="124"/>
      <c r="AI2768" s="74"/>
      <c r="AJ2768" s="240"/>
      <c r="AL2768" s="124"/>
      <c r="AM2768" s="74"/>
      <c r="AP2768" s="125"/>
      <c r="AQ2768" s="241"/>
      <c r="AR2768" s="125"/>
      <c r="AS2768" s="125"/>
      <c r="AT2768" s="238"/>
      <c r="AU2768" s="125"/>
      <c r="AV2768" s="125"/>
      <c r="AW2768" s="125"/>
      <c r="AX2768" s="238"/>
      <c r="AY2768" s="125"/>
      <c r="AZ2768" s="125"/>
      <c r="BA2768" s="125"/>
    </row>
    <row r="2769" spans="2:53" s="123" customFormat="1">
      <c r="B2769" s="125"/>
      <c r="D2769" s="125"/>
      <c r="I2769" s="125"/>
      <c r="Z2769" s="124"/>
      <c r="AA2769" s="74"/>
      <c r="AB2769" s="240"/>
      <c r="AD2769" s="124"/>
      <c r="AE2769" s="238"/>
      <c r="AF2769" s="239"/>
      <c r="AG2769" s="239"/>
      <c r="AH2769" s="124"/>
      <c r="AI2769" s="74"/>
      <c r="AJ2769" s="240"/>
      <c r="AL2769" s="124"/>
      <c r="AM2769" s="74"/>
      <c r="AP2769" s="125"/>
      <c r="AQ2769" s="241"/>
      <c r="AR2769" s="125"/>
      <c r="AS2769" s="125"/>
      <c r="AT2769" s="238"/>
      <c r="AU2769" s="125"/>
      <c r="AV2769" s="125"/>
      <c r="AW2769" s="125"/>
      <c r="AX2769" s="238"/>
      <c r="AY2769" s="125"/>
      <c r="AZ2769" s="125"/>
      <c r="BA2769" s="125"/>
    </row>
    <row r="2770" spans="2:53" s="123" customFormat="1">
      <c r="B2770" s="125"/>
      <c r="D2770" s="125"/>
      <c r="I2770" s="125"/>
      <c r="Z2770" s="124"/>
      <c r="AA2770" s="74"/>
      <c r="AB2770" s="240"/>
      <c r="AD2770" s="124"/>
      <c r="AE2770" s="238"/>
      <c r="AF2770" s="239"/>
      <c r="AG2770" s="239"/>
      <c r="AH2770" s="124"/>
      <c r="AI2770" s="74"/>
      <c r="AJ2770" s="240"/>
      <c r="AL2770" s="124"/>
      <c r="AM2770" s="74"/>
      <c r="AP2770" s="125"/>
      <c r="AQ2770" s="241"/>
      <c r="AR2770" s="125"/>
      <c r="AS2770" s="125"/>
      <c r="AT2770" s="238"/>
      <c r="AU2770" s="125"/>
      <c r="AV2770" s="125"/>
      <c r="AW2770" s="125"/>
      <c r="AX2770" s="238"/>
      <c r="AY2770" s="125"/>
      <c r="AZ2770" s="125"/>
      <c r="BA2770" s="125"/>
    </row>
    <row r="2771" spans="2:53" s="123" customFormat="1">
      <c r="B2771" s="125"/>
      <c r="D2771" s="125"/>
      <c r="I2771" s="125"/>
      <c r="Z2771" s="124"/>
      <c r="AA2771" s="74"/>
      <c r="AB2771" s="240"/>
      <c r="AD2771" s="124"/>
      <c r="AE2771" s="238"/>
      <c r="AF2771" s="239"/>
      <c r="AG2771" s="239"/>
      <c r="AH2771" s="124"/>
      <c r="AI2771" s="74"/>
      <c r="AJ2771" s="240"/>
      <c r="AL2771" s="124"/>
      <c r="AM2771" s="74"/>
      <c r="AP2771" s="125"/>
      <c r="AQ2771" s="241"/>
      <c r="AR2771" s="125"/>
      <c r="AS2771" s="125"/>
      <c r="AT2771" s="238"/>
      <c r="AU2771" s="125"/>
      <c r="AV2771" s="125"/>
      <c r="AW2771" s="125"/>
      <c r="AX2771" s="238"/>
      <c r="AY2771" s="125"/>
      <c r="AZ2771" s="125"/>
      <c r="BA2771" s="125"/>
    </row>
    <row r="2772" spans="2:53" s="123" customFormat="1">
      <c r="B2772" s="125"/>
      <c r="D2772" s="125"/>
      <c r="I2772" s="125"/>
      <c r="Z2772" s="124"/>
      <c r="AA2772" s="74"/>
      <c r="AB2772" s="240"/>
      <c r="AD2772" s="124"/>
      <c r="AE2772" s="238"/>
      <c r="AF2772" s="239"/>
      <c r="AG2772" s="239"/>
      <c r="AH2772" s="124"/>
      <c r="AI2772" s="74"/>
      <c r="AJ2772" s="240"/>
      <c r="AL2772" s="124"/>
      <c r="AM2772" s="74"/>
      <c r="AP2772" s="125"/>
      <c r="AQ2772" s="241"/>
      <c r="AR2772" s="125"/>
      <c r="AS2772" s="125"/>
      <c r="AT2772" s="238"/>
      <c r="AU2772" s="125"/>
      <c r="AV2772" s="125"/>
      <c r="AW2772" s="125"/>
      <c r="AX2772" s="238"/>
      <c r="AY2772" s="125"/>
      <c r="AZ2772" s="125"/>
      <c r="BA2772" s="125"/>
    </row>
    <row r="2773" spans="2:53" s="123" customFormat="1">
      <c r="B2773" s="125"/>
      <c r="D2773" s="125"/>
      <c r="I2773" s="125"/>
      <c r="Z2773" s="124"/>
      <c r="AA2773" s="74"/>
      <c r="AB2773" s="240"/>
      <c r="AD2773" s="124"/>
      <c r="AE2773" s="238"/>
      <c r="AF2773" s="239"/>
      <c r="AG2773" s="239"/>
      <c r="AH2773" s="124"/>
      <c r="AI2773" s="74"/>
      <c r="AJ2773" s="240"/>
      <c r="AL2773" s="124"/>
      <c r="AM2773" s="74"/>
      <c r="AP2773" s="125"/>
      <c r="AQ2773" s="241"/>
      <c r="AR2773" s="125"/>
      <c r="AS2773" s="125"/>
      <c r="AT2773" s="238"/>
      <c r="AU2773" s="125"/>
      <c r="AV2773" s="125"/>
      <c r="AW2773" s="125"/>
      <c r="AX2773" s="238"/>
      <c r="AY2773" s="125"/>
      <c r="AZ2773" s="125"/>
      <c r="BA2773" s="125"/>
    </row>
    <row r="2774" spans="2:53" s="123" customFormat="1">
      <c r="B2774" s="125"/>
      <c r="D2774" s="125"/>
      <c r="I2774" s="125"/>
      <c r="Z2774" s="124"/>
      <c r="AA2774" s="74"/>
      <c r="AB2774" s="240"/>
      <c r="AD2774" s="124"/>
      <c r="AE2774" s="238"/>
      <c r="AF2774" s="239"/>
      <c r="AG2774" s="239"/>
      <c r="AH2774" s="124"/>
      <c r="AI2774" s="74"/>
      <c r="AJ2774" s="240"/>
      <c r="AL2774" s="124"/>
      <c r="AM2774" s="74"/>
      <c r="AP2774" s="125"/>
      <c r="AQ2774" s="241"/>
      <c r="AR2774" s="125"/>
      <c r="AS2774" s="125"/>
      <c r="AT2774" s="238"/>
      <c r="AU2774" s="125"/>
      <c r="AV2774" s="125"/>
      <c r="AW2774" s="125"/>
      <c r="AX2774" s="238"/>
      <c r="AY2774" s="125"/>
      <c r="AZ2774" s="125"/>
      <c r="BA2774" s="125"/>
    </row>
    <row r="2775" spans="2:53" s="123" customFormat="1">
      <c r="B2775" s="125"/>
      <c r="D2775" s="125"/>
      <c r="I2775" s="125"/>
      <c r="Z2775" s="124"/>
      <c r="AA2775" s="74"/>
      <c r="AB2775" s="240"/>
      <c r="AD2775" s="124"/>
      <c r="AE2775" s="238"/>
      <c r="AF2775" s="239"/>
      <c r="AG2775" s="239"/>
      <c r="AH2775" s="124"/>
      <c r="AI2775" s="74"/>
      <c r="AJ2775" s="240"/>
      <c r="AL2775" s="124"/>
      <c r="AM2775" s="74"/>
      <c r="AP2775" s="125"/>
      <c r="AQ2775" s="241"/>
      <c r="AR2775" s="125"/>
      <c r="AS2775" s="125"/>
      <c r="AT2775" s="238"/>
      <c r="AU2775" s="125"/>
      <c r="AV2775" s="125"/>
      <c r="AW2775" s="125"/>
      <c r="AX2775" s="238"/>
      <c r="AY2775" s="125"/>
      <c r="AZ2775" s="125"/>
      <c r="BA2775" s="125"/>
    </row>
    <row r="2776" spans="2:53" s="123" customFormat="1">
      <c r="B2776" s="125"/>
      <c r="D2776" s="125"/>
      <c r="I2776" s="125"/>
      <c r="Z2776" s="124"/>
      <c r="AA2776" s="74"/>
      <c r="AB2776" s="240"/>
      <c r="AD2776" s="124"/>
      <c r="AE2776" s="238"/>
      <c r="AF2776" s="239"/>
      <c r="AG2776" s="239"/>
      <c r="AH2776" s="124"/>
      <c r="AI2776" s="74"/>
      <c r="AJ2776" s="240"/>
      <c r="AL2776" s="124"/>
      <c r="AM2776" s="74"/>
      <c r="AP2776" s="125"/>
      <c r="AQ2776" s="241"/>
      <c r="AR2776" s="125"/>
      <c r="AS2776" s="125"/>
      <c r="AT2776" s="238"/>
      <c r="AU2776" s="125"/>
      <c r="AV2776" s="125"/>
      <c r="AW2776" s="125"/>
      <c r="AX2776" s="238"/>
      <c r="AY2776" s="125"/>
      <c r="AZ2776" s="125"/>
      <c r="BA2776" s="125"/>
    </row>
    <row r="2777" spans="2:53" s="123" customFormat="1">
      <c r="B2777" s="125"/>
      <c r="D2777" s="125"/>
      <c r="I2777" s="125"/>
      <c r="Z2777" s="124"/>
      <c r="AA2777" s="74"/>
      <c r="AB2777" s="240"/>
      <c r="AD2777" s="124"/>
      <c r="AE2777" s="238"/>
      <c r="AF2777" s="239"/>
      <c r="AG2777" s="239"/>
      <c r="AH2777" s="124"/>
      <c r="AI2777" s="74"/>
      <c r="AJ2777" s="240"/>
      <c r="AL2777" s="124"/>
      <c r="AM2777" s="74"/>
      <c r="AP2777" s="125"/>
      <c r="AQ2777" s="241"/>
      <c r="AR2777" s="125"/>
      <c r="AS2777" s="125"/>
      <c r="AT2777" s="238"/>
      <c r="AU2777" s="125"/>
      <c r="AV2777" s="125"/>
      <c r="AW2777" s="125"/>
      <c r="AX2777" s="238"/>
      <c r="AY2777" s="125"/>
      <c r="AZ2777" s="125"/>
      <c r="BA2777" s="125"/>
    </row>
    <row r="2778" spans="2:53" s="123" customFormat="1">
      <c r="B2778" s="125"/>
      <c r="D2778" s="125"/>
      <c r="I2778" s="125"/>
      <c r="Z2778" s="124"/>
      <c r="AA2778" s="74"/>
      <c r="AB2778" s="240"/>
      <c r="AD2778" s="124"/>
      <c r="AE2778" s="238"/>
      <c r="AF2778" s="239"/>
      <c r="AG2778" s="239"/>
      <c r="AH2778" s="124"/>
      <c r="AI2778" s="74"/>
      <c r="AJ2778" s="240"/>
      <c r="AL2778" s="124"/>
      <c r="AM2778" s="74"/>
      <c r="AP2778" s="125"/>
      <c r="AQ2778" s="241"/>
      <c r="AR2778" s="125"/>
      <c r="AS2778" s="125"/>
      <c r="AT2778" s="238"/>
      <c r="AU2778" s="125"/>
      <c r="AV2778" s="125"/>
      <c r="AW2778" s="125"/>
      <c r="AX2778" s="238"/>
      <c r="AY2778" s="125"/>
      <c r="AZ2778" s="125"/>
      <c r="BA2778" s="125"/>
    </row>
    <row r="2779" spans="2:53" s="123" customFormat="1">
      <c r="B2779" s="125"/>
      <c r="D2779" s="125"/>
      <c r="I2779" s="125"/>
      <c r="Z2779" s="124"/>
      <c r="AA2779" s="74"/>
      <c r="AB2779" s="240"/>
      <c r="AD2779" s="124"/>
      <c r="AE2779" s="238"/>
      <c r="AF2779" s="239"/>
      <c r="AG2779" s="239"/>
      <c r="AH2779" s="124"/>
      <c r="AI2779" s="74"/>
      <c r="AJ2779" s="240"/>
      <c r="AL2779" s="124"/>
      <c r="AM2779" s="74"/>
      <c r="AP2779" s="125"/>
      <c r="AQ2779" s="241"/>
      <c r="AR2779" s="125"/>
      <c r="AS2779" s="125"/>
      <c r="AT2779" s="238"/>
      <c r="AU2779" s="125"/>
      <c r="AV2779" s="125"/>
      <c r="AW2779" s="125"/>
      <c r="AX2779" s="238"/>
      <c r="AY2779" s="125"/>
      <c r="AZ2779" s="125"/>
      <c r="BA2779" s="125"/>
    </row>
    <row r="2780" spans="2:53" s="123" customFormat="1">
      <c r="B2780" s="125"/>
      <c r="D2780" s="125"/>
      <c r="I2780" s="125"/>
      <c r="Z2780" s="124"/>
      <c r="AA2780" s="74"/>
      <c r="AB2780" s="240"/>
      <c r="AD2780" s="124"/>
      <c r="AE2780" s="238"/>
      <c r="AF2780" s="239"/>
      <c r="AG2780" s="239"/>
      <c r="AH2780" s="124"/>
      <c r="AI2780" s="74"/>
      <c r="AJ2780" s="240"/>
      <c r="AL2780" s="124"/>
      <c r="AM2780" s="74"/>
      <c r="AP2780" s="125"/>
      <c r="AQ2780" s="241"/>
      <c r="AR2780" s="125"/>
      <c r="AS2780" s="125"/>
      <c r="AT2780" s="238"/>
      <c r="AU2780" s="125"/>
      <c r="AV2780" s="125"/>
      <c r="AW2780" s="125"/>
      <c r="AX2780" s="238"/>
      <c r="AY2780" s="125"/>
      <c r="AZ2780" s="125"/>
      <c r="BA2780" s="125"/>
    </row>
    <row r="2781" spans="2:53" s="123" customFormat="1">
      <c r="B2781" s="125"/>
      <c r="D2781" s="125"/>
      <c r="I2781" s="125"/>
      <c r="Z2781" s="124"/>
      <c r="AA2781" s="74"/>
      <c r="AB2781" s="240"/>
      <c r="AD2781" s="124"/>
      <c r="AE2781" s="238"/>
      <c r="AF2781" s="239"/>
      <c r="AG2781" s="239"/>
      <c r="AH2781" s="124"/>
      <c r="AI2781" s="74"/>
      <c r="AJ2781" s="240"/>
      <c r="AL2781" s="124"/>
      <c r="AM2781" s="74"/>
      <c r="AP2781" s="125"/>
      <c r="AQ2781" s="241"/>
      <c r="AR2781" s="125"/>
      <c r="AS2781" s="125"/>
      <c r="AT2781" s="238"/>
      <c r="AU2781" s="125"/>
      <c r="AV2781" s="125"/>
      <c r="AW2781" s="125"/>
      <c r="AX2781" s="238"/>
      <c r="AY2781" s="125"/>
      <c r="AZ2781" s="125"/>
      <c r="BA2781" s="125"/>
    </row>
    <row r="2782" spans="2:53" s="123" customFormat="1">
      <c r="B2782" s="125"/>
      <c r="D2782" s="125"/>
      <c r="I2782" s="125"/>
      <c r="Z2782" s="124"/>
      <c r="AA2782" s="74"/>
      <c r="AB2782" s="240"/>
      <c r="AD2782" s="124"/>
      <c r="AE2782" s="238"/>
      <c r="AF2782" s="239"/>
      <c r="AG2782" s="239"/>
      <c r="AH2782" s="124"/>
      <c r="AI2782" s="74"/>
      <c r="AJ2782" s="240"/>
      <c r="AL2782" s="124"/>
      <c r="AM2782" s="74"/>
      <c r="AP2782" s="125"/>
      <c r="AQ2782" s="241"/>
      <c r="AR2782" s="125"/>
      <c r="AS2782" s="125"/>
      <c r="AT2782" s="238"/>
      <c r="AU2782" s="125"/>
      <c r="AV2782" s="125"/>
      <c r="AW2782" s="125"/>
      <c r="AX2782" s="238"/>
      <c r="AY2782" s="125"/>
      <c r="AZ2782" s="125"/>
      <c r="BA2782" s="125"/>
    </row>
    <row r="2783" spans="2:53" s="123" customFormat="1">
      <c r="B2783" s="125"/>
      <c r="D2783" s="125"/>
      <c r="I2783" s="125"/>
      <c r="Z2783" s="124"/>
      <c r="AA2783" s="74"/>
      <c r="AB2783" s="240"/>
      <c r="AD2783" s="124"/>
      <c r="AE2783" s="238"/>
      <c r="AF2783" s="239"/>
      <c r="AG2783" s="239"/>
      <c r="AH2783" s="124"/>
      <c r="AI2783" s="74"/>
      <c r="AJ2783" s="240"/>
      <c r="AL2783" s="124"/>
      <c r="AM2783" s="74"/>
      <c r="AP2783" s="125"/>
      <c r="AQ2783" s="241"/>
      <c r="AR2783" s="125"/>
      <c r="AS2783" s="125"/>
      <c r="AT2783" s="238"/>
      <c r="AU2783" s="125"/>
      <c r="AV2783" s="125"/>
      <c r="AW2783" s="125"/>
      <c r="AX2783" s="238"/>
      <c r="AY2783" s="125"/>
      <c r="AZ2783" s="125"/>
      <c r="BA2783" s="125"/>
    </row>
    <row r="2784" spans="2:53" s="123" customFormat="1">
      <c r="B2784" s="125"/>
      <c r="D2784" s="125"/>
      <c r="I2784" s="125"/>
      <c r="Z2784" s="124"/>
      <c r="AA2784" s="74"/>
      <c r="AB2784" s="240"/>
      <c r="AD2784" s="124"/>
      <c r="AE2784" s="238"/>
      <c r="AF2784" s="239"/>
      <c r="AG2784" s="239"/>
      <c r="AH2784" s="124"/>
      <c r="AI2784" s="74"/>
      <c r="AJ2784" s="240"/>
      <c r="AL2784" s="124"/>
      <c r="AM2784" s="74"/>
      <c r="AP2784" s="125"/>
      <c r="AQ2784" s="241"/>
      <c r="AR2784" s="125"/>
      <c r="AS2784" s="125"/>
      <c r="AT2784" s="238"/>
      <c r="AU2784" s="125"/>
      <c r="AV2784" s="125"/>
      <c r="AW2784" s="125"/>
      <c r="AX2784" s="238"/>
      <c r="AY2784" s="125"/>
      <c r="AZ2784" s="125"/>
      <c r="BA2784" s="125"/>
    </row>
    <row r="2785" spans="2:53" s="123" customFormat="1">
      <c r="B2785" s="125"/>
      <c r="D2785" s="125"/>
      <c r="I2785" s="125"/>
      <c r="Z2785" s="124"/>
      <c r="AA2785" s="74"/>
      <c r="AB2785" s="240"/>
      <c r="AD2785" s="124"/>
      <c r="AE2785" s="238"/>
      <c r="AF2785" s="239"/>
      <c r="AG2785" s="239"/>
      <c r="AH2785" s="124"/>
      <c r="AI2785" s="74"/>
      <c r="AJ2785" s="240"/>
      <c r="AL2785" s="124"/>
      <c r="AM2785" s="74"/>
      <c r="AP2785" s="125"/>
      <c r="AQ2785" s="241"/>
      <c r="AR2785" s="125"/>
      <c r="AS2785" s="125"/>
      <c r="AT2785" s="238"/>
      <c r="AU2785" s="125"/>
      <c r="AV2785" s="125"/>
      <c r="AW2785" s="125"/>
      <c r="AX2785" s="238"/>
      <c r="AY2785" s="125"/>
      <c r="AZ2785" s="125"/>
      <c r="BA2785" s="125"/>
    </row>
    <row r="2786" spans="2:53" s="123" customFormat="1">
      <c r="B2786" s="125"/>
      <c r="D2786" s="125"/>
      <c r="I2786" s="125"/>
      <c r="Z2786" s="124"/>
      <c r="AA2786" s="74"/>
      <c r="AB2786" s="240"/>
      <c r="AD2786" s="124"/>
      <c r="AE2786" s="238"/>
      <c r="AF2786" s="239"/>
      <c r="AG2786" s="239"/>
      <c r="AH2786" s="124"/>
      <c r="AI2786" s="74"/>
      <c r="AJ2786" s="240"/>
      <c r="AL2786" s="124"/>
      <c r="AM2786" s="74"/>
      <c r="AP2786" s="125"/>
      <c r="AQ2786" s="241"/>
      <c r="AR2786" s="125"/>
      <c r="AS2786" s="125"/>
      <c r="AT2786" s="238"/>
      <c r="AU2786" s="125"/>
      <c r="AV2786" s="125"/>
      <c r="AW2786" s="125"/>
      <c r="AX2786" s="238"/>
      <c r="AY2786" s="125"/>
      <c r="AZ2786" s="125"/>
      <c r="BA2786" s="125"/>
    </row>
    <row r="2787" spans="2:53" s="123" customFormat="1">
      <c r="B2787" s="125"/>
      <c r="D2787" s="125"/>
      <c r="I2787" s="125"/>
      <c r="Z2787" s="124"/>
      <c r="AA2787" s="74"/>
      <c r="AB2787" s="240"/>
      <c r="AD2787" s="124"/>
      <c r="AE2787" s="238"/>
      <c r="AF2787" s="239"/>
      <c r="AG2787" s="239"/>
      <c r="AH2787" s="124"/>
      <c r="AI2787" s="74"/>
      <c r="AJ2787" s="240"/>
      <c r="AL2787" s="124"/>
      <c r="AM2787" s="74"/>
      <c r="AP2787" s="125"/>
      <c r="AQ2787" s="241"/>
      <c r="AR2787" s="125"/>
      <c r="AS2787" s="125"/>
      <c r="AT2787" s="238"/>
      <c r="AU2787" s="125"/>
      <c r="AV2787" s="125"/>
      <c r="AW2787" s="125"/>
      <c r="AX2787" s="238"/>
      <c r="AY2787" s="125"/>
      <c r="AZ2787" s="125"/>
      <c r="BA2787" s="125"/>
    </row>
    <row r="2788" spans="2:53" s="123" customFormat="1">
      <c r="B2788" s="125"/>
      <c r="D2788" s="125"/>
      <c r="I2788" s="125"/>
      <c r="Z2788" s="124"/>
      <c r="AA2788" s="74"/>
      <c r="AB2788" s="240"/>
      <c r="AD2788" s="124"/>
      <c r="AE2788" s="238"/>
      <c r="AF2788" s="239"/>
      <c r="AG2788" s="239"/>
      <c r="AH2788" s="124"/>
      <c r="AI2788" s="74"/>
      <c r="AJ2788" s="240"/>
      <c r="AL2788" s="124"/>
      <c r="AM2788" s="74"/>
      <c r="AP2788" s="125"/>
      <c r="AQ2788" s="241"/>
      <c r="AR2788" s="125"/>
      <c r="AS2788" s="125"/>
      <c r="AT2788" s="238"/>
      <c r="AU2788" s="125"/>
      <c r="AV2788" s="125"/>
      <c r="AW2788" s="125"/>
      <c r="AX2788" s="238"/>
      <c r="AY2788" s="125"/>
      <c r="AZ2788" s="125"/>
      <c r="BA2788" s="125"/>
    </row>
    <row r="2789" spans="2:53" s="123" customFormat="1">
      <c r="B2789" s="125"/>
      <c r="D2789" s="125"/>
      <c r="I2789" s="125"/>
      <c r="Z2789" s="124"/>
      <c r="AA2789" s="74"/>
      <c r="AB2789" s="240"/>
      <c r="AD2789" s="124"/>
      <c r="AE2789" s="238"/>
      <c r="AF2789" s="239"/>
      <c r="AG2789" s="239"/>
      <c r="AH2789" s="124"/>
      <c r="AI2789" s="74"/>
      <c r="AJ2789" s="240"/>
      <c r="AL2789" s="124"/>
      <c r="AM2789" s="74"/>
      <c r="AP2789" s="125"/>
      <c r="AQ2789" s="241"/>
      <c r="AR2789" s="125"/>
      <c r="AS2789" s="125"/>
      <c r="AT2789" s="238"/>
      <c r="AU2789" s="125"/>
      <c r="AV2789" s="125"/>
      <c r="AW2789" s="125"/>
      <c r="AX2789" s="238"/>
      <c r="AY2789" s="125"/>
      <c r="AZ2789" s="125"/>
      <c r="BA2789" s="125"/>
    </row>
    <row r="2790" spans="2:53" s="123" customFormat="1">
      <c r="B2790" s="125"/>
      <c r="D2790" s="125"/>
      <c r="I2790" s="125"/>
      <c r="Z2790" s="124"/>
      <c r="AA2790" s="74"/>
      <c r="AB2790" s="240"/>
      <c r="AD2790" s="124"/>
      <c r="AE2790" s="238"/>
      <c r="AF2790" s="239"/>
      <c r="AG2790" s="239"/>
      <c r="AH2790" s="124"/>
      <c r="AI2790" s="74"/>
      <c r="AJ2790" s="240"/>
      <c r="AL2790" s="124"/>
      <c r="AM2790" s="74"/>
      <c r="AP2790" s="125"/>
      <c r="AQ2790" s="241"/>
      <c r="AR2790" s="125"/>
      <c r="AS2790" s="125"/>
      <c r="AT2790" s="238"/>
      <c r="AU2790" s="125"/>
      <c r="AV2790" s="125"/>
      <c r="AW2790" s="125"/>
      <c r="AX2790" s="238"/>
      <c r="AY2790" s="125"/>
      <c r="AZ2790" s="125"/>
      <c r="BA2790" s="125"/>
    </row>
    <row r="2791" spans="2:53" s="123" customFormat="1">
      <c r="B2791" s="125"/>
      <c r="D2791" s="125"/>
      <c r="I2791" s="125"/>
      <c r="Z2791" s="124"/>
      <c r="AA2791" s="74"/>
      <c r="AB2791" s="240"/>
      <c r="AD2791" s="124"/>
      <c r="AE2791" s="238"/>
      <c r="AF2791" s="239"/>
      <c r="AG2791" s="239"/>
      <c r="AH2791" s="124"/>
      <c r="AI2791" s="74"/>
      <c r="AJ2791" s="240"/>
      <c r="AL2791" s="124"/>
      <c r="AM2791" s="74"/>
      <c r="AP2791" s="125"/>
      <c r="AQ2791" s="241"/>
      <c r="AR2791" s="125"/>
      <c r="AS2791" s="125"/>
      <c r="AT2791" s="238"/>
      <c r="AU2791" s="125"/>
      <c r="AV2791" s="125"/>
      <c r="AW2791" s="125"/>
      <c r="AX2791" s="238"/>
      <c r="AY2791" s="125"/>
      <c r="AZ2791" s="125"/>
      <c r="BA2791" s="125"/>
    </row>
    <row r="2792" spans="2:53" s="123" customFormat="1">
      <c r="B2792" s="125"/>
      <c r="D2792" s="125"/>
      <c r="I2792" s="125"/>
      <c r="Z2792" s="124"/>
      <c r="AA2792" s="74"/>
      <c r="AB2792" s="240"/>
      <c r="AD2792" s="124"/>
      <c r="AE2792" s="238"/>
      <c r="AF2792" s="239"/>
      <c r="AG2792" s="239"/>
      <c r="AH2792" s="124"/>
      <c r="AI2792" s="74"/>
      <c r="AJ2792" s="240"/>
      <c r="AL2792" s="124"/>
      <c r="AM2792" s="74"/>
      <c r="AP2792" s="125"/>
      <c r="AQ2792" s="241"/>
      <c r="AR2792" s="125"/>
      <c r="AS2792" s="125"/>
      <c r="AT2792" s="238"/>
      <c r="AU2792" s="125"/>
      <c r="AV2792" s="125"/>
      <c r="AW2792" s="125"/>
      <c r="AX2792" s="238"/>
      <c r="AY2792" s="125"/>
      <c r="AZ2792" s="125"/>
      <c r="BA2792" s="125"/>
    </row>
    <row r="2793" spans="2:53" s="123" customFormat="1">
      <c r="B2793" s="125"/>
      <c r="D2793" s="125"/>
      <c r="I2793" s="125"/>
      <c r="Z2793" s="124"/>
      <c r="AA2793" s="74"/>
      <c r="AB2793" s="240"/>
      <c r="AD2793" s="124"/>
      <c r="AE2793" s="238"/>
      <c r="AF2793" s="239"/>
      <c r="AG2793" s="239"/>
      <c r="AH2793" s="124"/>
      <c r="AI2793" s="74"/>
      <c r="AJ2793" s="240"/>
      <c r="AL2793" s="124"/>
      <c r="AM2793" s="74"/>
      <c r="AP2793" s="125"/>
      <c r="AQ2793" s="241"/>
      <c r="AR2793" s="125"/>
      <c r="AS2793" s="125"/>
      <c r="AT2793" s="238"/>
      <c r="AU2793" s="125"/>
      <c r="AV2793" s="125"/>
      <c r="AW2793" s="125"/>
      <c r="AX2793" s="238"/>
      <c r="AY2793" s="125"/>
      <c r="AZ2793" s="125"/>
      <c r="BA2793" s="125"/>
    </row>
    <row r="2794" spans="2:53" s="123" customFormat="1">
      <c r="B2794" s="125"/>
      <c r="D2794" s="125"/>
      <c r="I2794" s="125"/>
      <c r="Z2794" s="124"/>
      <c r="AA2794" s="74"/>
      <c r="AB2794" s="240"/>
      <c r="AD2794" s="124"/>
      <c r="AE2794" s="238"/>
      <c r="AF2794" s="239"/>
      <c r="AG2794" s="239"/>
      <c r="AH2794" s="124"/>
      <c r="AI2794" s="74"/>
      <c r="AJ2794" s="240"/>
      <c r="AL2794" s="124"/>
      <c r="AM2794" s="74"/>
      <c r="AP2794" s="125"/>
      <c r="AQ2794" s="241"/>
      <c r="AR2794" s="125"/>
      <c r="AS2794" s="125"/>
      <c r="AT2794" s="238"/>
      <c r="AU2794" s="125"/>
      <c r="AV2794" s="125"/>
      <c r="AW2794" s="125"/>
      <c r="AX2794" s="238"/>
      <c r="AY2794" s="125"/>
      <c r="AZ2794" s="125"/>
      <c r="BA2794" s="125"/>
    </row>
    <row r="2795" spans="2:53" s="123" customFormat="1">
      <c r="B2795" s="125"/>
      <c r="D2795" s="125"/>
      <c r="I2795" s="125"/>
      <c r="Z2795" s="124"/>
      <c r="AA2795" s="74"/>
      <c r="AB2795" s="240"/>
      <c r="AD2795" s="124"/>
      <c r="AE2795" s="238"/>
      <c r="AF2795" s="239"/>
      <c r="AG2795" s="239"/>
      <c r="AH2795" s="124"/>
      <c r="AI2795" s="74"/>
      <c r="AJ2795" s="240"/>
      <c r="AL2795" s="124"/>
      <c r="AM2795" s="74"/>
      <c r="AP2795" s="125"/>
      <c r="AQ2795" s="241"/>
      <c r="AR2795" s="125"/>
      <c r="AS2795" s="125"/>
      <c r="AT2795" s="238"/>
      <c r="AU2795" s="125"/>
      <c r="AV2795" s="125"/>
      <c r="AW2795" s="125"/>
      <c r="AX2795" s="238"/>
      <c r="AY2795" s="125"/>
      <c r="AZ2795" s="125"/>
      <c r="BA2795" s="125"/>
    </row>
    <row r="2796" spans="2:53" s="123" customFormat="1">
      <c r="B2796" s="125"/>
      <c r="D2796" s="125"/>
      <c r="I2796" s="125"/>
      <c r="Z2796" s="124"/>
      <c r="AA2796" s="74"/>
      <c r="AB2796" s="240"/>
      <c r="AD2796" s="124"/>
      <c r="AE2796" s="238"/>
      <c r="AF2796" s="239"/>
      <c r="AG2796" s="239"/>
      <c r="AH2796" s="124"/>
      <c r="AI2796" s="74"/>
      <c r="AJ2796" s="240"/>
      <c r="AL2796" s="124"/>
      <c r="AM2796" s="74"/>
      <c r="AP2796" s="125"/>
      <c r="AQ2796" s="241"/>
      <c r="AR2796" s="125"/>
      <c r="AS2796" s="125"/>
      <c r="AT2796" s="238"/>
      <c r="AU2796" s="125"/>
      <c r="AV2796" s="125"/>
      <c r="AW2796" s="125"/>
      <c r="AX2796" s="238"/>
      <c r="AY2796" s="125"/>
      <c r="AZ2796" s="125"/>
      <c r="BA2796" s="125"/>
    </row>
    <row r="2797" spans="2:53" s="123" customFormat="1">
      <c r="B2797" s="125"/>
      <c r="D2797" s="125"/>
      <c r="I2797" s="125"/>
      <c r="Z2797" s="124"/>
      <c r="AA2797" s="74"/>
      <c r="AB2797" s="240"/>
      <c r="AD2797" s="124"/>
      <c r="AE2797" s="238"/>
      <c r="AF2797" s="239"/>
      <c r="AG2797" s="239"/>
      <c r="AH2797" s="124"/>
      <c r="AI2797" s="74"/>
      <c r="AJ2797" s="240"/>
      <c r="AL2797" s="124"/>
      <c r="AM2797" s="74"/>
      <c r="AP2797" s="125"/>
      <c r="AQ2797" s="241"/>
      <c r="AR2797" s="125"/>
      <c r="AS2797" s="125"/>
      <c r="AT2797" s="238"/>
      <c r="AU2797" s="125"/>
      <c r="AV2797" s="125"/>
      <c r="AW2797" s="125"/>
      <c r="AX2797" s="238"/>
      <c r="AY2797" s="125"/>
      <c r="AZ2797" s="125"/>
      <c r="BA2797" s="125"/>
    </row>
    <row r="2798" spans="2:53" s="123" customFormat="1">
      <c r="B2798" s="125"/>
      <c r="D2798" s="125"/>
      <c r="I2798" s="125"/>
      <c r="Z2798" s="124"/>
      <c r="AA2798" s="74"/>
      <c r="AB2798" s="240"/>
      <c r="AD2798" s="124"/>
      <c r="AE2798" s="238"/>
      <c r="AF2798" s="239"/>
      <c r="AG2798" s="239"/>
      <c r="AH2798" s="124"/>
      <c r="AI2798" s="74"/>
      <c r="AJ2798" s="240"/>
      <c r="AL2798" s="124"/>
      <c r="AM2798" s="74"/>
      <c r="AP2798" s="125"/>
      <c r="AQ2798" s="241"/>
      <c r="AR2798" s="125"/>
      <c r="AS2798" s="125"/>
      <c r="AT2798" s="238"/>
      <c r="AU2798" s="125"/>
      <c r="AV2798" s="125"/>
      <c r="AW2798" s="125"/>
      <c r="AX2798" s="238"/>
      <c r="AY2798" s="125"/>
      <c r="AZ2798" s="125"/>
      <c r="BA2798" s="125"/>
    </row>
    <row r="2799" spans="2:53" s="123" customFormat="1">
      <c r="B2799" s="125"/>
      <c r="D2799" s="125"/>
      <c r="I2799" s="125"/>
      <c r="Z2799" s="124"/>
      <c r="AA2799" s="74"/>
      <c r="AB2799" s="240"/>
      <c r="AD2799" s="124"/>
      <c r="AE2799" s="238"/>
      <c r="AF2799" s="239"/>
      <c r="AG2799" s="239"/>
      <c r="AH2799" s="124"/>
      <c r="AI2799" s="74"/>
      <c r="AJ2799" s="240"/>
      <c r="AL2799" s="124"/>
      <c r="AM2799" s="74"/>
      <c r="AP2799" s="125"/>
      <c r="AQ2799" s="241"/>
      <c r="AR2799" s="125"/>
      <c r="AS2799" s="125"/>
      <c r="AT2799" s="238"/>
      <c r="AU2799" s="125"/>
      <c r="AV2799" s="125"/>
      <c r="AW2799" s="125"/>
      <c r="AX2799" s="238"/>
      <c r="AY2799" s="125"/>
      <c r="AZ2799" s="125"/>
      <c r="BA2799" s="125"/>
    </row>
    <row r="2800" spans="2:53" s="123" customFormat="1">
      <c r="B2800" s="125"/>
      <c r="D2800" s="125"/>
      <c r="I2800" s="125"/>
      <c r="Z2800" s="124"/>
      <c r="AA2800" s="74"/>
      <c r="AB2800" s="240"/>
      <c r="AD2800" s="124"/>
      <c r="AE2800" s="238"/>
      <c r="AF2800" s="239"/>
      <c r="AG2800" s="239"/>
      <c r="AH2800" s="124"/>
      <c r="AI2800" s="74"/>
      <c r="AJ2800" s="240"/>
      <c r="AL2800" s="124"/>
      <c r="AM2800" s="74"/>
      <c r="AP2800" s="125"/>
      <c r="AQ2800" s="241"/>
      <c r="AR2800" s="125"/>
      <c r="AS2800" s="125"/>
      <c r="AT2800" s="238"/>
      <c r="AU2800" s="125"/>
      <c r="AV2800" s="125"/>
      <c r="AW2800" s="125"/>
      <c r="AX2800" s="238"/>
      <c r="AY2800" s="125"/>
      <c r="AZ2800" s="125"/>
      <c r="BA2800" s="125"/>
    </row>
    <row r="2801" spans="2:53" s="123" customFormat="1">
      <c r="B2801" s="125"/>
      <c r="D2801" s="125"/>
      <c r="I2801" s="125"/>
      <c r="Z2801" s="124"/>
      <c r="AA2801" s="74"/>
      <c r="AB2801" s="240"/>
      <c r="AD2801" s="124"/>
      <c r="AE2801" s="238"/>
      <c r="AF2801" s="239"/>
      <c r="AG2801" s="239"/>
      <c r="AH2801" s="124"/>
      <c r="AI2801" s="74"/>
      <c r="AJ2801" s="240"/>
      <c r="AL2801" s="124"/>
      <c r="AM2801" s="74"/>
      <c r="AP2801" s="125"/>
      <c r="AQ2801" s="241"/>
      <c r="AR2801" s="125"/>
      <c r="AS2801" s="125"/>
      <c r="AT2801" s="238"/>
      <c r="AU2801" s="125"/>
      <c r="AV2801" s="125"/>
      <c r="AW2801" s="125"/>
      <c r="AX2801" s="238"/>
      <c r="AY2801" s="125"/>
      <c r="AZ2801" s="125"/>
      <c r="BA2801" s="125"/>
    </row>
    <row r="2802" spans="2:53" s="123" customFormat="1">
      <c r="B2802" s="125"/>
      <c r="D2802" s="125"/>
      <c r="I2802" s="125"/>
      <c r="Z2802" s="124"/>
      <c r="AA2802" s="74"/>
      <c r="AB2802" s="240"/>
      <c r="AD2802" s="124"/>
      <c r="AE2802" s="238"/>
      <c r="AF2802" s="239"/>
      <c r="AG2802" s="239"/>
      <c r="AH2802" s="124"/>
      <c r="AI2802" s="74"/>
      <c r="AJ2802" s="240"/>
      <c r="AL2802" s="124"/>
      <c r="AM2802" s="74"/>
      <c r="AP2802" s="125"/>
      <c r="AQ2802" s="241"/>
      <c r="AR2802" s="125"/>
      <c r="AS2802" s="125"/>
      <c r="AT2802" s="238"/>
      <c r="AU2802" s="125"/>
      <c r="AV2802" s="125"/>
      <c r="AW2802" s="125"/>
      <c r="AX2802" s="238"/>
      <c r="AY2802" s="125"/>
      <c r="AZ2802" s="125"/>
      <c r="BA2802" s="125"/>
    </row>
    <row r="2803" spans="2:53" s="123" customFormat="1">
      <c r="B2803" s="125"/>
      <c r="D2803" s="125"/>
      <c r="I2803" s="125"/>
      <c r="Z2803" s="124"/>
      <c r="AA2803" s="74"/>
      <c r="AB2803" s="240"/>
      <c r="AD2803" s="124"/>
      <c r="AE2803" s="238"/>
      <c r="AF2803" s="239"/>
      <c r="AG2803" s="239"/>
      <c r="AH2803" s="124"/>
      <c r="AI2803" s="74"/>
      <c r="AJ2803" s="240"/>
      <c r="AL2803" s="124"/>
      <c r="AM2803" s="74"/>
      <c r="AP2803" s="125"/>
      <c r="AQ2803" s="241"/>
      <c r="AR2803" s="125"/>
      <c r="AS2803" s="125"/>
      <c r="AT2803" s="238"/>
      <c r="AU2803" s="125"/>
      <c r="AV2803" s="125"/>
      <c r="AW2803" s="125"/>
      <c r="AX2803" s="238"/>
      <c r="AY2803" s="125"/>
      <c r="AZ2803" s="125"/>
      <c r="BA2803" s="125"/>
    </row>
    <row r="2804" spans="2:53" s="123" customFormat="1">
      <c r="B2804" s="125"/>
      <c r="D2804" s="125"/>
      <c r="I2804" s="125"/>
      <c r="Z2804" s="124"/>
      <c r="AA2804" s="74"/>
      <c r="AB2804" s="240"/>
      <c r="AD2804" s="124"/>
      <c r="AE2804" s="238"/>
      <c r="AF2804" s="239"/>
      <c r="AG2804" s="239"/>
      <c r="AH2804" s="124"/>
      <c r="AI2804" s="74"/>
      <c r="AJ2804" s="240"/>
      <c r="AL2804" s="124"/>
      <c r="AM2804" s="74"/>
      <c r="AP2804" s="125"/>
      <c r="AQ2804" s="241"/>
      <c r="AR2804" s="125"/>
      <c r="AS2804" s="125"/>
      <c r="AT2804" s="238"/>
      <c r="AU2804" s="125"/>
      <c r="AV2804" s="125"/>
      <c r="AW2804" s="125"/>
      <c r="AX2804" s="238"/>
      <c r="AY2804" s="125"/>
      <c r="AZ2804" s="125"/>
      <c r="BA2804" s="125"/>
    </row>
    <row r="2805" spans="2:53" s="123" customFormat="1">
      <c r="B2805" s="125"/>
      <c r="D2805" s="125"/>
      <c r="I2805" s="125"/>
      <c r="Z2805" s="124"/>
      <c r="AA2805" s="74"/>
      <c r="AB2805" s="240"/>
      <c r="AD2805" s="124"/>
      <c r="AE2805" s="238"/>
      <c r="AF2805" s="239"/>
      <c r="AG2805" s="239"/>
      <c r="AH2805" s="124"/>
      <c r="AI2805" s="74"/>
      <c r="AJ2805" s="240"/>
      <c r="AL2805" s="124"/>
      <c r="AM2805" s="74"/>
      <c r="AP2805" s="125"/>
      <c r="AQ2805" s="241"/>
      <c r="AR2805" s="125"/>
      <c r="AS2805" s="125"/>
      <c r="AT2805" s="238"/>
      <c r="AU2805" s="125"/>
      <c r="AV2805" s="125"/>
      <c r="AW2805" s="125"/>
      <c r="AX2805" s="238"/>
      <c r="AY2805" s="125"/>
      <c r="AZ2805" s="125"/>
      <c r="BA2805" s="125"/>
    </row>
    <row r="2806" spans="2:53" s="123" customFormat="1">
      <c r="B2806" s="125"/>
      <c r="D2806" s="125"/>
      <c r="I2806" s="125"/>
      <c r="Z2806" s="124"/>
      <c r="AA2806" s="74"/>
      <c r="AB2806" s="240"/>
      <c r="AD2806" s="124"/>
      <c r="AE2806" s="238"/>
      <c r="AF2806" s="239"/>
      <c r="AG2806" s="239"/>
      <c r="AH2806" s="124"/>
      <c r="AI2806" s="74"/>
      <c r="AJ2806" s="240"/>
      <c r="AL2806" s="124"/>
      <c r="AM2806" s="74"/>
      <c r="AP2806" s="125"/>
      <c r="AQ2806" s="241"/>
      <c r="AR2806" s="125"/>
      <c r="AS2806" s="125"/>
      <c r="AT2806" s="238"/>
      <c r="AU2806" s="125"/>
      <c r="AV2806" s="125"/>
      <c r="AW2806" s="125"/>
      <c r="AX2806" s="238"/>
      <c r="AY2806" s="125"/>
      <c r="AZ2806" s="125"/>
      <c r="BA2806" s="125"/>
    </row>
    <row r="2807" spans="2:53" s="123" customFormat="1">
      <c r="B2807" s="125"/>
      <c r="D2807" s="125"/>
      <c r="I2807" s="125"/>
      <c r="Z2807" s="124"/>
      <c r="AA2807" s="74"/>
      <c r="AB2807" s="240"/>
      <c r="AD2807" s="124"/>
      <c r="AE2807" s="238"/>
      <c r="AF2807" s="239"/>
      <c r="AG2807" s="239"/>
      <c r="AH2807" s="124"/>
      <c r="AI2807" s="74"/>
      <c r="AJ2807" s="240"/>
      <c r="AL2807" s="124"/>
      <c r="AM2807" s="74"/>
      <c r="AP2807" s="125"/>
      <c r="AQ2807" s="241"/>
      <c r="AR2807" s="125"/>
      <c r="AS2807" s="125"/>
      <c r="AT2807" s="238"/>
      <c r="AU2807" s="125"/>
      <c r="AV2807" s="125"/>
      <c r="AW2807" s="125"/>
      <c r="AX2807" s="238"/>
      <c r="AY2807" s="125"/>
      <c r="AZ2807" s="125"/>
      <c r="BA2807" s="125"/>
    </row>
    <row r="2808" spans="2:53" s="123" customFormat="1">
      <c r="B2808" s="125"/>
      <c r="D2808" s="125"/>
      <c r="I2808" s="125"/>
      <c r="Z2808" s="124"/>
      <c r="AA2808" s="74"/>
      <c r="AB2808" s="240"/>
      <c r="AD2808" s="124"/>
      <c r="AE2808" s="238"/>
      <c r="AF2808" s="239"/>
      <c r="AG2808" s="239"/>
      <c r="AH2808" s="124"/>
      <c r="AI2808" s="74"/>
      <c r="AJ2808" s="240"/>
      <c r="AL2808" s="124"/>
      <c r="AM2808" s="74"/>
      <c r="AP2808" s="125"/>
      <c r="AQ2808" s="241"/>
      <c r="AR2808" s="125"/>
      <c r="AS2808" s="125"/>
      <c r="AT2808" s="238"/>
      <c r="AU2808" s="125"/>
      <c r="AV2808" s="125"/>
      <c r="AW2808" s="125"/>
      <c r="AX2808" s="238"/>
      <c r="AY2808" s="125"/>
      <c r="AZ2808" s="125"/>
      <c r="BA2808" s="125"/>
    </row>
    <row r="2809" spans="2:53" s="123" customFormat="1">
      <c r="B2809" s="125"/>
      <c r="D2809" s="125"/>
      <c r="I2809" s="125"/>
      <c r="Z2809" s="124"/>
      <c r="AA2809" s="74"/>
      <c r="AB2809" s="240"/>
      <c r="AD2809" s="124"/>
      <c r="AE2809" s="238"/>
      <c r="AF2809" s="239"/>
      <c r="AG2809" s="239"/>
      <c r="AH2809" s="124"/>
      <c r="AI2809" s="74"/>
      <c r="AJ2809" s="240"/>
      <c r="AL2809" s="124"/>
      <c r="AM2809" s="74"/>
      <c r="AP2809" s="125"/>
      <c r="AQ2809" s="241"/>
      <c r="AR2809" s="125"/>
      <c r="AS2809" s="125"/>
      <c r="AT2809" s="238"/>
      <c r="AU2809" s="125"/>
      <c r="AV2809" s="125"/>
      <c r="AW2809" s="125"/>
      <c r="AX2809" s="238"/>
      <c r="AY2809" s="125"/>
      <c r="AZ2809" s="125"/>
      <c r="BA2809" s="125"/>
    </row>
    <row r="2810" spans="2:53" s="123" customFormat="1">
      <c r="B2810" s="125"/>
      <c r="D2810" s="125"/>
      <c r="I2810" s="125"/>
      <c r="Z2810" s="124"/>
      <c r="AA2810" s="74"/>
      <c r="AB2810" s="240"/>
      <c r="AD2810" s="124"/>
      <c r="AE2810" s="238"/>
      <c r="AF2810" s="239"/>
      <c r="AG2810" s="239"/>
      <c r="AH2810" s="124"/>
      <c r="AI2810" s="74"/>
      <c r="AJ2810" s="240"/>
      <c r="AL2810" s="124"/>
      <c r="AM2810" s="74"/>
      <c r="AP2810" s="125"/>
      <c r="AQ2810" s="241"/>
      <c r="AR2810" s="125"/>
      <c r="AS2810" s="125"/>
      <c r="AT2810" s="238"/>
      <c r="AU2810" s="125"/>
      <c r="AV2810" s="125"/>
      <c r="AW2810" s="125"/>
      <c r="AX2810" s="238"/>
      <c r="AY2810" s="125"/>
      <c r="AZ2810" s="125"/>
      <c r="BA2810" s="125"/>
    </row>
    <row r="2811" spans="2:53" s="123" customFormat="1">
      <c r="B2811" s="125"/>
      <c r="D2811" s="125"/>
      <c r="I2811" s="125"/>
      <c r="Z2811" s="124"/>
      <c r="AA2811" s="74"/>
      <c r="AB2811" s="240"/>
      <c r="AD2811" s="124"/>
      <c r="AE2811" s="238"/>
      <c r="AF2811" s="239"/>
      <c r="AG2811" s="239"/>
      <c r="AH2811" s="124"/>
      <c r="AI2811" s="74"/>
      <c r="AJ2811" s="240"/>
      <c r="AL2811" s="124"/>
      <c r="AM2811" s="74"/>
      <c r="AP2811" s="125"/>
      <c r="AQ2811" s="241"/>
      <c r="AR2811" s="125"/>
      <c r="AS2811" s="125"/>
      <c r="AT2811" s="238"/>
      <c r="AU2811" s="125"/>
      <c r="AV2811" s="125"/>
      <c r="AW2811" s="125"/>
      <c r="AX2811" s="238"/>
      <c r="AY2811" s="125"/>
      <c r="AZ2811" s="125"/>
      <c r="BA2811" s="125"/>
    </row>
    <row r="2812" spans="2:53" s="123" customFormat="1">
      <c r="B2812" s="125"/>
      <c r="D2812" s="125"/>
      <c r="I2812" s="125"/>
      <c r="Z2812" s="124"/>
      <c r="AA2812" s="74"/>
      <c r="AB2812" s="240"/>
      <c r="AD2812" s="124"/>
      <c r="AE2812" s="238"/>
      <c r="AF2812" s="239"/>
      <c r="AG2812" s="239"/>
      <c r="AH2812" s="124"/>
      <c r="AI2812" s="74"/>
      <c r="AJ2812" s="240"/>
      <c r="AL2812" s="124"/>
      <c r="AM2812" s="74"/>
      <c r="AP2812" s="125"/>
      <c r="AQ2812" s="241"/>
      <c r="AR2812" s="125"/>
      <c r="AS2812" s="125"/>
      <c r="AT2812" s="238"/>
      <c r="AU2812" s="125"/>
      <c r="AV2812" s="125"/>
      <c r="AW2812" s="125"/>
      <c r="AX2812" s="238"/>
      <c r="AY2812" s="125"/>
      <c r="AZ2812" s="125"/>
      <c r="BA2812" s="125"/>
    </row>
    <row r="2813" spans="2:53" s="123" customFormat="1">
      <c r="B2813" s="125"/>
      <c r="D2813" s="125"/>
      <c r="I2813" s="125"/>
      <c r="Z2813" s="124"/>
      <c r="AA2813" s="74"/>
      <c r="AB2813" s="240"/>
      <c r="AD2813" s="124"/>
      <c r="AE2813" s="238"/>
      <c r="AF2813" s="239"/>
      <c r="AG2813" s="239"/>
      <c r="AH2813" s="124"/>
      <c r="AI2813" s="74"/>
      <c r="AJ2813" s="240"/>
      <c r="AL2813" s="124"/>
      <c r="AM2813" s="74"/>
      <c r="AP2813" s="125"/>
      <c r="AQ2813" s="241"/>
      <c r="AR2813" s="125"/>
      <c r="AS2813" s="125"/>
      <c r="AT2813" s="238"/>
      <c r="AU2813" s="125"/>
      <c r="AV2813" s="125"/>
      <c r="AW2813" s="125"/>
      <c r="AX2813" s="238"/>
      <c r="AY2813" s="125"/>
      <c r="AZ2813" s="125"/>
      <c r="BA2813" s="125"/>
    </row>
    <row r="2814" spans="2:53" s="123" customFormat="1">
      <c r="B2814" s="125"/>
      <c r="D2814" s="125"/>
      <c r="I2814" s="125"/>
      <c r="Z2814" s="124"/>
      <c r="AA2814" s="74"/>
      <c r="AB2814" s="240"/>
      <c r="AD2814" s="124"/>
      <c r="AE2814" s="238"/>
      <c r="AF2814" s="239"/>
      <c r="AG2814" s="239"/>
      <c r="AH2814" s="124"/>
      <c r="AI2814" s="74"/>
      <c r="AJ2814" s="240"/>
      <c r="AL2814" s="124"/>
      <c r="AM2814" s="74"/>
      <c r="AP2814" s="125"/>
      <c r="AQ2814" s="241"/>
      <c r="AR2814" s="125"/>
      <c r="AS2814" s="125"/>
      <c r="AT2814" s="238"/>
      <c r="AU2814" s="125"/>
      <c r="AV2814" s="125"/>
      <c r="AW2814" s="125"/>
      <c r="AX2814" s="238"/>
      <c r="AY2814" s="125"/>
      <c r="AZ2814" s="125"/>
      <c r="BA2814" s="125"/>
    </row>
    <row r="2815" spans="2:53" s="123" customFormat="1">
      <c r="B2815" s="125"/>
      <c r="D2815" s="125"/>
      <c r="I2815" s="125"/>
      <c r="Z2815" s="124"/>
      <c r="AA2815" s="74"/>
      <c r="AB2815" s="240"/>
      <c r="AD2815" s="124"/>
      <c r="AE2815" s="238"/>
      <c r="AF2815" s="239"/>
      <c r="AG2815" s="239"/>
      <c r="AH2815" s="124"/>
      <c r="AI2815" s="74"/>
      <c r="AJ2815" s="240"/>
      <c r="AL2815" s="124"/>
      <c r="AM2815" s="74"/>
      <c r="AP2815" s="125"/>
      <c r="AQ2815" s="241"/>
      <c r="AR2815" s="125"/>
      <c r="AS2815" s="125"/>
      <c r="AT2815" s="238"/>
      <c r="AU2815" s="125"/>
      <c r="AV2815" s="125"/>
      <c r="AW2815" s="125"/>
      <c r="AX2815" s="238"/>
      <c r="AY2815" s="125"/>
      <c r="AZ2815" s="125"/>
      <c r="BA2815" s="125"/>
    </row>
    <row r="2816" spans="2:53" s="123" customFormat="1">
      <c r="B2816" s="125"/>
      <c r="D2816" s="125"/>
      <c r="I2816" s="125"/>
      <c r="Z2816" s="124"/>
      <c r="AA2816" s="74"/>
      <c r="AB2816" s="240"/>
      <c r="AD2816" s="124"/>
      <c r="AE2816" s="238"/>
      <c r="AF2816" s="239"/>
      <c r="AG2816" s="239"/>
      <c r="AH2816" s="124"/>
      <c r="AI2816" s="74"/>
      <c r="AJ2816" s="240"/>
      <c r="AL2816" s="124"/>
      <c r="AM2816" s="74"/>
      <c r="AP2816" s="125"/>
      <c r="AQ2816" s="241"/>
      <c r="AR2816" s="125"/>
      <c r="AS2816" s="125"/>
      <c r="AT2816" s="238"/>
      <c r="AU2816" s="125"/>
      <c r="AV2816" s="125"/>
      <c r="AW2816" s="125"/>
      <c r="AX2816" s="238"/>
      <c r="AY2816" s="125"/>
      <c r="AZ2816" s="125"/>
      <c r="BA2816" s="125"/>
    </row>
    <row r="2817" spans="2:53" s="123" customFormat="1">
      <c r="B2817" s="125"/>
      <c r="D2817" s="125"/>
      <c r="I2817" s="125"/>
      <c r="Z2817" s="124"/>
      <c r="AA2817" s="74"/>
      <c r="AB2817" s="240"/>
      <c r="AD2817" s="124"/>
      <c r="AE2817" s="238"/>
      <c r="AF2817" s="239"/>
      <c r="AG2817" s="239"/>
      <c r="AH2817" s="124"/>
      <c r="AI2817" s="74"/>
      <c r="AJ2817" s="240"/>
      <c r="AL2817" s="124"/>
      <c r="AM2817" s="74"/>
      <c r="AP2817" s="125"/>
      <c r="AQ2817" s="241"/>
      <c r="AR2817" s="125"/>
      <c r="AS2817" s="125"/>
      <c r="AT2817" s="238"/>
      <c r="AU2817" s="125"/>
      <c r="AV2817" s="125"/>
      <c r="AW2817" s="125"/>
      <c r="AX2817" s="238"/>
      <c r="AY2817" s="125"/>
      <c r="AZ2817" s="125"/>
      <c r="BA2817" s="125"/>
    </row>
    <row r="2818" spans="2:53" s="123" customFormat="1">
      <c r="B2818" s="125"/>
      <c r="D2818" s="125"/>
      <c r="I2818" s="125"/>
      <c r="Z2818" s="124"/>
      <c r="AA2818" s="74"/>
      <c r="AB2818" s="240"/>
      <c r="AD2818" s="124"/>
      <c r="AE2818" s="238"/>
      <c r="AF2818" s="239"/>
      <c r="AG2818" s="239"/>
      <c r="AH2818" s="124"/>
      <c r="AI2818" s="74"/>
      <c r="AJ2818" s="240"/>
      <c r="AL2818" s="124"/>
      <c r="AM2818" s="74"/>
      <c r="AP2818" s="125"/>
      <c r="AQ2818" s="241"/>
      <c r="AR2818" s="125"/>
      <c r="AS2818" s="125"/>
      <c r="AT2818" s="238"/>
      <c r="AU2818" s="125"/>
      <c r="AV2818" s="125"/>
      <c r="AW2818" s="125"/>
      <c r="AX2818" s="238"/>
      <c r="AY2818" s="125"/>
      <c r="AZ2818" s="125"/>
      <c r="BA2818" s="125"/>
    </row>
    <row r="2819" spans="2:53" s="123" customFormat="1">
      <c r="B2819" s="125"/>
      <c r="D2819" s="125"/>
      <c r="I2819" s="125"/>
      <c r="Z2819" s="124"/>
      <c r="AA2819" s="74"/>
      <c r="AB2819" s="240"/>
      <c r="AD2819" s="124"/>
      <c r="AE2819" s="238"/>
      <c r="AF2819" s="239"/>
      <c r="AG2819" s="239"/>
      <c r="AH2819" s="124"/>
      <c r="AI2819" s="74"/>
      <c r="AJ2819" s="240"/>
      <c r="AL2819" s="124"/>
      <c r="AM2819" s="74"/>
      <c r="AP2819" s="125"/>
      <c r="AQ2819" s="241"/>
      <c r="AR2819" s="125"/>
      <c r="AS2819" s="125"/>
      <c r="AT2819" s="238"/>
      <c r="AU2819" s="125"/>
      <c r="AV2819" s="125"/>
      <c r="AW2819" s="125"/>
      <c r="AX2819" s="238"/>
      <c r="AY2819" s="125"/>
      <c r="AZ2819" s="125"/>
      <c r="BA2819" s="125"/>
    </row>
    <row r="2820" spans="2:53" s="123" customFormat="1">
      <c r="B2820" s="125"/>
      <c r="D2820" s="125"/>
      <c r="I2820" s="125"/>
      <c r="Z2820" s="124"/>
      <c r="AA2820" s="74"/>
      <c r="AB2820" s="240"/>
      <c r="AD2820" s="124"/>
      <c r="AE2820" s="238"/>
      <c r="AF2820" s="239"/>
      <c r="AG2820" s="239"/>
      <c r="AH2820" s="124"/>
      <c r="AI2820" s="74"/>
      <c r="AJ2820" s="240"/>
      <c r="AL2820" s="124"/>
      <c r="AM2820" s="74"/>
      <c r="AP2820" s="125"/>
      <c r="AQ2820" s="241"/>
      <c r="AR2820" s="125"/>
      <c r="AS2820" s="125"/>
      <c r="AT2820" s="238"/>
      <c r="AU2820" s="125"/>
      <c r="AV2820" s="125"/>
      <c r="AW2820" s="125"/>
      <c r="AX2820" s="238"/>
      <c r="AY2820" s="125"/>
      <c r="AZ2820" s="125"/>
      <c r="BA2820" s="125"/>
    </row>
    <row r="2821" spans="2:53" s="123" customFormat="1">
      <c r="B2821" s="125"/>
      <c r="D2821" s="125"/>
      <c r="I2821" s="125"/>
      <c r="Z2821" s="124"/>
      <c r="AA2821" s="74"/>
      <c r="AB2821" s="240"/>
      <c r="AD2821" s="124"/>
      <c r="AE2821" s="238"/>
      <c r="AF2821" s="239"/>
      <c r="AG2821" s="239"/>
      <c r="AH2821" s="124"/>
      <c r="AI2821" s="74"/>
      <c r="AJ2821" s="240"/>
      <c r="AL2821" s="124"/>
      <c r="AM2821" s="74"/>
      <c r="AP2821" s="125"/>
      <c r="AQ2821" s="241"/>
      <c r="AR2821" s="125"/>
      <c r="AS2821" s="125"/>
      <c r="AT2821" s="238"/>
      <c r="AU2821" s="125"/>
      <c r="AV2821" s="125"/>
      <c r="AW2821" s="125"/>
      <c r="AX2821" s="238"/>
      <c r="AY2821" s="125"/>
      <c r="AZ2821" s="125"/>
      <c r="BA2821" s="125"/>
    </row>
    <row r="2822" spans="2:53" s="123" customFormat="1">
      <c r="B2822" s="125"/>
      <c r="D2822" s="125"/>
      <c r="I2822" s="125"/>
      <c r="Z2822" s="124"/>
      <c r="AA2822" s="74"/>
      <c r="AB2822" s="240"/>
      <c r="AD2822" s="124"/>
      <c r="AE2822" s="238"/>
      <c r="AF2822" s="239"/>
      <c r="AG2822" s="239"/>
      <c r="AH2822" s="124"/>
      <c r="AI2822" s="74"/>
      <c r="AJ2822" s="240"/>
      <c r="AL2822" s="124"/>
      <c r="AM2822" s="74"/>
      <c r="AP2822" s="125"/>
      <c r="AQ2822" s="241"/>
      <c r="AR2822" s="125"/>
      <c r="AS2822" s="125"/>
      <c r="AT2822" s="238"/>
      <c r="AU2822" s="125"/>
      <c r="AV2822" s="125"/>
      <c r="AW2822" s="125"/>
      <c r="AX2822" s="238"/>
      <c r="AY2822" s="125"/>
      <c r="AZ2822" s="125"/>
      <c r="BA2822" s="125"/>
    </row>
    <row r="2823" spans="2:53" s="123" customFormat="1">
      <c r="B2823" s="125"/>
      <c r="D2823" s="125"/>
      <c r="I2823" s="125"/>
      <c r="Z2823" s="124"/>
      <c r="AA2823" s="74"/>
      <c r="AB2823" s="240"/>
      <c r="AD2823" s="124"/>
      <c r="AE2823" s="238"/>
      <c r="AF2823" s="239"/>
      <c r="AG2823" s="239"/>
      <c r="AH2823" s="124"/>
      <c r="AI2823" s="74"/>
      <c r="AJ2823" s="240"/>
      <c r="AL2823" s="124"/>
      <c r="AM2823" s="74"/>
      <c r="AP2823" s="125"/>
      <c r="AQ2823" s="241"/>
      <c r="AR2823" s="125"/>
      <c r="AS2823" s="125"/>
      <c r="AT2823" s="238"/>
      <c r="AU2823" s="125"/>
      <c r="AV2823" s="125"/>
      <c r="AW2823" s="125"/>
      <c r="AX2823" s="238"/>
      <c r="AY2823" s="125"/>
      <c r="AZ2823" s="125"/>
      <c r="BA2823" s="125"/>
    </row>
    <row r="2824" spans="2:53" s="123" customFormat="1">
      <c r="B2824" s="125"/>
      <c r="D2824" s="125"/>
      <c r="I2824" s="125"/>
      <c r="Z2824" s="124"/>
      <c r="AA2824" s="74"/>
      <c r="AB2824" s="240"/>
      <c r="AD2824" s="124"/>
      <c r="AE2824" s="238"/>
      <c r="AF2824" s="239"/>
      <c r="AG2824" s="239"/>
      <c r="AH2824" s="124"/>
      <c r="AI2824" s="74"/>
      <c r="AJ2824" s="240"/>
      <c r="AL2824" s="124"/>
      <c r="AM2824" s="74"/>
      <c r="AP2824" s="125"/>
      <c r="AQ2824" s="241"/>
      <c r="AR2824" s="125"/>
      <c r="AS2824" s="125"/>
      <c r="AT2824" s="238"/>
      <c r="AU2824" s="125"/>
      <c r="AV2824" s="125"/>
      <c r="AW2824" s="125"/>
      <c r="AX2824" s="238"/>
      <c r="AY2824" s="125"/>
      <c r="AZ2824" s="125"/>
      <c r="BA2824" s="125"/>
    </row>
    <row r="2825" spans="2:53" s="123" customFormat="1">
      <c r="B2825" s="125"/>
      <c r="D2825" s="125"/>
      <c r="I2825" s="125"/>
      <c r="Z2825" s="124"/>
      <c r="AA2825" s="74"/>
      <c r="AB2825" s="240"/>
      <c r="AD2825" s="124"/>
      <c r="AE2825" s="238"/>
      <c r="AF2825" s="239"/>
      <c r="AG2825" s="239"/>
      <c r="AH2825" s="124"/>
      <c r="AI2825" s="74"/>
      <c r="AJ2825" s="240"/>
      <c r="AL2825" s="124"/>
      <c r="AM2825" s="74"/>
      <c r="AP2825" s="125"/>
      <c r="AQ2825" s="241"/>
      <c r="AR2825" s="125"/>
      <c r="AS2825" s="125"/>
      <c r="AT2825" s="238"/>
      <c r="AU2825" s="125"/>
      <c r="AV2825" s="125"/>
      <c r="AW2825" s="125"/>
      <c r="AX2825" s="238"/>
      <c r="AY2825" s="125"/>
      <c r="AZ2825" s="125"/>
      <c r="BA2825" s="125"/>
    </row>
    <row r="2826" spans="2:53" s="123" customFormat="1">
      <c r="B2826" s="125"/>
      <c r="D2826" s="125"/>
      <c r="I2826" s="125"/>
      <c r="Z2826" s="124"/>
      <c r="AA2826" s="74"/>
      <c r="AB2826" s="240"/>
      <c r="AD2826" s="124"/>
      <c r="AE2826" s="238"/>
      <c r="AF2826" s="239"/>
      <c r="AG2826" s="239"/>
      <c r="AH2826" s="124"/>
      <c r="AI2826" s="74"/>
      <c r="AJ2826" s="240"/>
      <c r="AL2826" s="124"/>
      <c r="AM2826" s="74"/>
      <c r="AP2826" s="125"/>
      <c r="AQ2826" s="241"/>
      <c r="AR2826" s="125"/>
      <c r="AS2826" s="125"/>
      <c r="AT2826" s="238"/>
      <c r="AU2826" s="125"/>
      <c r="AV2826" s="125"/>
      <c r="AW2826" s="125"/>
      <c r="AX2826" s="238"/>
      <c r="AY2826" s="125"/>
      <c r="AZ2826" s="125"/>
      <c r="BA2826" s="125"/>
    </row>
    <row r="2827" spans="2:53" s="123" customFormat="1">
      <c r="B2827" s="125"/>
      <c r="D2827" s="125"/>
      <c r="I2827" s="125"/>
      <c r="Z2827" s="124"/>
      <c r="AA2827" s="74"/>
      <c r="AB2827" s="240"/>
      <c r="AD2827" s="124"/>
      <c r="AE2827" s="238"/>
      <c r="AF2827" s="239"/>
      <c r="AG2827" s="239"/>
      <c r="AH2827" s="124"/>
      <c r="AI2827" s="74"/>
      <c r="AJ2827" s="240"/>
      <c r="AL2827" s="124"/>
      <c r="AM2827" s="74"/>
      <c r="AP2827" s="125"/>
      <c r="AQ2827" s="241"/>
      <c r="AR2827" s="125"/>
      <c r="AS2827" s="125"/>
      <c r="AT2827" s="238"/>
      <c r="AU2827" s="125"/>
      <c r="AV2827" s="125"/>
      <c r="AW2827" s="125"/>
      <c r="AX2827" s="238"/>
      <c r="AY2827" s="125"/>
      <c r="AZ2827" s="125"/>
      <c r="BA2827" s="125"/>
    </row>
    <row r="2828" spans="2:53" s="123" customFormat="1">
      <c r="B2828" s="125"/>
      <c r="D2828" s="125"/>
      <c r="I2828" s="125"/>
      <c r="Z2828" s="124"/>
      <c r="AA2828" s="74"/>
      <c r="AB2828" s="240"/>
      <c r="AD2828" s="124"/>
      <c r="AE2828" s="238"/>
      <c r="AF2828" s="239"/>
      <c r="AG2828" s="239"/>
      <c r="AH2828" s="124"/>
      <c r="AI2828" s="74"/>
      <c r="AJ2828" s="240"/>
      <c r="AL2828" s="124"/>
      <c r="AM2828" s="74"/>
      <c r="AP2828" s="125"/>
      <c r="AQ2828" s="241"/>
      <c r="AR2828" s="125"/>
      <c r="AS2828" s="125"/>
      <c r="AT2828" s="238"/>
      <c r="AU2828" s="125"/>
      <c r="AV2828" s="125"/>
      <c r="AW2828" s="125"/>
      <c r="AX2828" s="238"/>
      <c r="AY2828" s="125"/>
      <c r="AZ2828" s="125"/>
      <c r="BA2828" s="125"/>
    </row>
    <row r="2829" spans="2:53" s="123" customFormat="1">
      <c r="B2829" s="125"/>
      <c r="D2829" s="125"/>
      <c r="I2829" s="125"/>
      <c r="Z2829" s="124"/>
      <c r="AA2829" s="74"/>
      <c r="AB2829" s="240"/>
      <c r="AD2829" s="124"/>
      <c r="AE2829" s="238"/>
      <c r="AF2829" s="239"/>
      <c r="AG2829" s="239"/>
      <c r="AH2829" s="124"/>
      <c r="AI2829" s="74"/>
      <c r="AJ2829" s="240"/>
      <c r="AL2829" s="124"/>
      <c r="AM2829" s="74"/>
      <c r="AP2829" s="125"/>
      <c r="AQ2829" s="241"/>
      <c r="AR2829" s="125"/>
      <c r="AS2829" s="125"/>
      <c r="AT2829" s="238"/>
      <c r="AU2829" s="125"/>
      <c r="AV2829" s="125"/>
      <c r="AW2829" s="125"/>
      <c r="AX2829" s="238"/>
      <c r="AY2829" s="125"/>
      <c r="AZ2829" s="125"/>
      <c r="BA2829" s="125"/>
    </row>
    <row r="2830" spans="2:53" s="123" customFormat="1">
      <c r="B2830" s="125"/>
      <c r="D2830" s="125"/>
      <c r="I2830" s="125"/>
      <c r="Z2830" s="124"/>
      <c r="AA2830" s="74"/>
      <c r="AB2830" s="240"/>
      <c r="AD2830" s="124"/>
      <c r="AE2830" s="238"/>
      <c r="AF2830" s="239"/>
      <c r="AG2830" s="239"/>
      <c r="AH2830" s="124"/>
      <c r="AI2830" s="74"/>
      <c r="AJ2830" s="240"/>
      <c r="AL2830" s="124"/>
      <c r="AM2830" s="74"/>
      <c r="AP2830" s="125"/>
      <c r="AQ2830" s="241"/>
      <c r="AR2830" s="125"/>
      <c r="AS2830" s="125"/>
      <c r="AT2830" s="238"/>
      <c r="AU2830" s="125"/>
      <c r="AV2830" s="125"/>
      <c r="AW2830" s="125"/>
      <c r="AX2830" s="238"/>
      <c r="AY2830" s="125"/>
      <c r="AZ2830" s="125"/>
      <c r="BA2830" s="125"/>
    </row>
    <row r="2831" spans="2:53" s="123" customFormat="1">
      <c r="B2831" s="125"/>
      <c r="D2831" s="125"/>
      <c r="I2831" s="125"/>
      <c r="Z2831" s="124"/>
      <c r="AA2831" s="74"/>
      <c r="AB2831" s="240"/>
      <c r="AD2831" s="124"/>
      <c r="AE2831" s="238"/>
      <c r="AF2831" s="239"/>
      <c r="AG2831" s="239"/>
      <c r="AH2831" s="124"/>
      <c r="AI2831" s="74"/>
      <c r="AJ2831" s="240"/>
      <c r="AL2831" s="124"/>
      <c r="AM2831" s="74"/>
      <c r="AP2831" s="125"/>
      <c r="AQ2831" s="241"/>
      <c r="AR2831" s="125"/>
      <c r="AS2831" s="125"/>
      <c r="AT2831" s="238"/>
      <c r="AU2831" s="125"/>
      <c r="AV2831" s="125"/>
      <c r="AW2831" s="125"/>
      <c r="AX2831" s="238"/>
      <c r="AY2831" s="125"/>
      <c r="AZ2831" s="125"/>
      <c r="BA2831" s="125"/>
    </row>
    <row r="2832" spans="2:53" s="123" customFormat="1">
      <c r="B2832" s="125"/>
      <c r="D2832" s="125"/>
      <c r="I2832" s="125"/>
      <c r="Z2832" s="124"/>
      <c r="AA2832" s="74"/>
      <c r="AB2832" s="240"/>
      <c r="AD2832" s="124"/>
      <c r="AE2832" s="238"/>
      <c r="AF2832" s="239"/>
      <c r="AG2832" s="239"/>
      <c r="AH2832" s="124"/>
      <c r="AI2832" s="74"/>
      <c r="AJ2832" s="240"/>
      <c r="AL2832" s="124"/>
      <c r="AM2832" s="74"/>
      <c r="AP2832" s="125"/>
      <c r="AQ2832" s="241"/>
      <c r="AR2832" s="125"/>
      <c r="AS2832" s="125"/>
      <c r="AT2832" s="238"/>
      <c r="AU2832" s="125"/>
      <c r="AV2832" s="125"/>
      <c r="AW2832" s="125"/>
      <c r="AX2832" s="238"/>
      <c r="AY2832" s="125"/>
      <c r="AZ2832" s="125"/>
      <c r="BA2832" s="125"/>
    </row>
    <row r="2833" spans="2:53" s="123" customFormat="1">
      <c r="B2833" s="125"/>
      <c r="D2833" s="125"/>
      <c r="I2833" s="125"/>
      <c r="Z2833" s="124"/>
      <c r="AA2833" s="74"/>
      <c r="AB2833" s="240"/>
      <c r="AD2833" s="124"/>
      <c r="AE2833" s="238"/>
      <c r="AF2833" s="239"/>
      <c r="AG2833" s="239"/>
      <c r="AH2833" s="124"/>
      <c r="AI2833" s="74"/>
      <c r="AJ2833" s="240"/>
      <c r="AL2833" s="124"/>
      <c r="AM2833" s="74"/>
      <c r="AP2833" s="125"/>
      <c r="AQ2833" s="241"/>
      <c r="AR2833" s="125"/>
      <c r="AS2833" s="125"/>
      <c r="AT2833" s="238"/>
      <c r="AU2833" s="125"/>
      <c r="AV2833" s="125"/>
      <c r="AW2833" s="125"/>
      <c r="AX2833" s="238"/>
      <c r="AY2833" s="125"/>
      <c r="AZ2833" s="125"/>
      <c r="BA2833" s="125"/>
    </row>
    <row r="2834" spans="2:53" s="123" customFormat="1">
      <c r="B2834" s="125"/>
      <c r="D2834" s="125"/>
      <c r="I2834" s="125"/>
      <c r="Z2834" s="124"/>
      <c r="AA2834" s="74"/>
      <c r="AB2834" s="240"/>
      <c r="AD2834" s="124"/>
      <c r="AE2834" s="238"/>
      <c r="AF2834" s="239"/>
      <c r="AG2834" s="239"/>
      <c r="AH2834" s="124"/>
      <c r="AI2834" s="74"/>
      <c r="AJ2834" s="240"/>
      <c r="AL2834" s="124"/>
      <c r="AM2834" s="74"/>
      <c r="AP2834" s="125"/>
      <c r="AQ2834" s="241"/>
      <c r="AR2834" s="125"/>
      <c r="AS2834" s="125"/>
      <c r="AT2834" s="238"/>
      <c r="AU2834" s="125"/>
      <c r="AV2834" s="125"/>
      <c r="AW2834" s="125"/>
      <c r="AX2834" s="238"/>
      <c r="AY2834" s="125"/>
      <c r="AZ2834" s="125"/>
      <c r="BA2834" s="125"/>
    </row>
    <row r="2835" spans="2:53" s="123" customFormat="1">
      <c r="B2835" s="125"/>
      <c r="D2835" s="125"/>
      <c r="I2835" s="125"/>
      <c r="Z2835" s="124"/>
      <c r="AA2835" s="74"/>
      <c r="AB2835" s="240"/>
      <c r="AD2835" s="124"/>
      <c r="AE2835" s="238"/>
      <c r="AF2835" s="239"/>
      <c r="AG2835" s="239"/>
      <c r="AH2835" s="124"/>
      <c r="AI2835" s="74"/>
      <c r="AJ2835" s="240"/>
      <c r="AL2835" s="124"/>
      <c r="AM2835" s="74"/>
      <c r="AP2835" s="125"/>
      <c r="AQ2835" s="241"/>
      <c r="AR2835" s="125"/>
      <c r="AS2835" s="125"/>
      <c r="AT2835" s="238"/>
      <c r="AU2835" s="125"/>
      <c r="AV2835" s="125"/>
      <c r="AW2835" s="125"/>
      <c r="AX2835" s="238"/>
      <c r="AY2835" s="125"/>
      <c r="AZ2835" s="125"/>
      <c r="BA2835" s="125"/>
    </row>
    <row r="2836" spans="2:53" s="123" customFormat="1">
      <c r="B2836" s="125"/>
      <c r="D2836" s="125"/>
      <c r="I2836" s="125"/>
      <c r="Z2836" s="124"/>
      <c r="AA2836" s="74"/>
      <c r="AB2836" s="240"/>
      <c r="AD2836" s="124"/>
      <c r="AE2836" s="238"/>
      <c r="AF2836" s="239"/>
      <c r="AG2836" s="239"/>
      <c r="AH2836" s="124"/>
      <c r="AI2836" s="74"/>
      <c r="AJ2836" s="240"/>
      <c r="AL2836" s="124"/>
      <c r="AM2836" s="74"/>
      <c r="AP2836" s="125"/>
      <c r="AQ2836" s="241"/>
      <c r="AR2836" s="125"/>
      <c r="AS2836" s="125"/>
      <c r="AT2836" s="238"/>
      <c r="AU2836" s="125"/>
      <c r="AV2836" s="125"/>
      <c r="AW2836" s="125"/>
      <c r="AX2836" s="238"/>
      <c r="AY2836" s="125"/>
      <c r="AZ2836" s="125"/>
      <c r="BA2836" s="125"/>
    </row>
    <row r="2837" spans="2:53" s="123" customFormat="1">
      <c r="B2837" s="125"/>
      <c r="D2837" s="125"/>
      <c r="I2837" s="125"/>
      <c r="Z2837" s="124"/>
      <c r="AA2837" s="74"/>
      <c r="AB2837" s="240"/>
      <c r="AD2837" s="124"/>
      <c r="AE2837" s="238"/>
      <c r="AF2837" s="239"/>
      <c r="AG2837" s="239"/>
      <c r="AH2837" s="124"/>
      <c r="AI2837" s="74"/>
      <c r="AJ2837" s="240"/>
      <c r="AL2837" s="124"/>
      <c r="AM2837" s="74"/>
      <c r="AP2837" s="125"/>
      <c r="AQ2837" s="241"/>
      <c r="AR2837" s="125"/>
      <c r="AS2837" s="125"/>
      <c r="AT2837" s="238"/>
      <c r="AU2837" s="125"/>
      <c r="AV2837" s="125"/>
      <c r="AW2837" s="125"/>
      <c r="AX2837" s="238"/>
      <c r="AY2837" s="125"/>
      <c r="AZ2837" s="125"/>
      <c r="BA2837" s="125"/>
    </row>
    <row r="2838" spans="2:53" s="123" customFormat="1">
      <c r="B2838" s="125"/>
      <c r="D2838" s="125"/>
      <c r="I2838" s="125"/>
      <c r="Z2838" s="124"/>
      <c r="AA2838" s="74"/>
      <c r="AB2838" s="240"/>
      <c r="AD2838" s="124"/>
      <c r="AE2838" s="238"/>
      <c r="AF2838" s="239"/>
      <c r="AG2838" s="239"/>
      <c r="AH2838" s="124"/>
      <c r="AI2838" s="74"/>
      <c r="AJ2838" s="240"/>
      <c r="AL2838" s="124"/>
      <c r="AM2838" s="74"/>
      <c r="AP2838" s="125"/>
      <c r="AQ2838" s="241"/>
      <c r="AR2838" s="125"/>
      <c r="AS2838" s="125"/>
      <c r="AT2838" s="238"/>
      <c r="AU2838" s="125"/>
      <c r="AV2838" s="125"/>
      <c r="AW2838" s="125"/>
      <c r="AX2838" s="238"/>
      <c r="AY2838" s="125"/>
      <c r="AZ2838" s="125"/>
      <c r="BA2838" s="125"/>
    </row>
    <row r="2839" spans="2:53" s="123" customFormat="1">
      <c r="B2839" s="125"/>
      <c r="D2839" s="125"/>
      <c r="I2839" s="125"/>
      <c r="Z2839" s="124"/>
      <c r="AA2839" s="74"/>
      <c r="AB2839" s="240"/>
      <c r="AD2839" s="124"/>
      <c r="AE2839" s="238"/>
      <c r="AF2839" s="239"/>
      <c r="AG2839" s="239"/>
      <c r="AH2839" s="124"/>
      <c r="AI2839" s="74"/>
      <c r="AJ2839" s="240"/>
      <c r="AL2839" s="124"/>
      <c r="AM2839" s="74"/>
      <c r="AP2839" s="125"/>
      <c r="AQ2839" s="241"/>
      <c r="AR2839" s="125"/>
      <c r="AS2839" s="125"/>
      <c r="AT2839" s="238"/>
      <c r="AU2839" s="125"/>
      <c r="AV2839" s="125"/>
      <c r="AW2839" s="125"/>
      <c r="AX2839" s="238"/>
      <c r="AY2839" s="125"/>
      <c r="AZ2839" s="125"/>
      <c r="BA2839" s="125"/>
    </row>
    <row r="2840" spans="2:53" s="123" customFormat="1">
      <c r="B2840" s="125"/>
      <c r="D2840" s="125"/>
      <c r="I2840" s="125"/>
      <c r="Z2840" s="124"/>
      <c r="AA2840" s="74"/>
      <c r="AB2840" s="240"/>
      <c r="AD2840" s="124"/>
      <c r="AE2840" s="238"/>
      <c r="AF2840" s="239"/>
      <c r="AG2840" s="239"/>
      <c r="AH2840" s="124"/>
      <c r="AI2840" s="74"/>
      <c r="AJ2840" s="240"/>
      <c r="AL2840" s="124"/>
      <c r="AM2840" s="74"/>
      <c r="AP2840" s="125"/>
      <c r="AQ2840" s="241"/>
      <c r="AR2840" s="125"/>
      <c r="AS2840" s="125"/>
      <c r="AT2840" s="238"/>
      <c r="AU2840" s="125"/>
      <c r="AV2840" s="125"/>
      <c r="AW2840" s="125"/>
      <c r="AX2840" s="238"/>
      <c r="AY2840" s="125"/>
      <c r="AZ2840" s="125"/>
      <c r="BA2840" s="125"/>
    </row>
    <row r="2841" spans="2:53" s="123" customFormat="1">
      <c r="B2841" s="125"/>
      <c r="D2841" s="125"/>
      <c r="I2841" s="125"/>
      <c r="Z2841" s="124"/>
      <c r="AA2841" s="74"/>
      <c r="AB2841" s="240"/>
      <c r="AD2841" s="124"/>
      <c r="AE2841" s="238"/>
      <c r="AF2841" s="239"/>
      <c r="AG2841" s="239"/>
      <c r="AH2841" s="124"/>
      <c r="AI2841" s="74"/>
      <c r="AJ2841" s="240"/>
      <c r="AL2841" s="124"/>
      <c r="AM2841" s="74"/>
      <c r="AP2841" s="125"/>
      <c r="AQ2841" s="241"/>
      <c r="AR2841" s="125"/>
      <c r="AS2841" s="125"/>
      <c r="AT2841" s="238"/>
      <c r="AU2841" s="125"/>
      <c r="AV2841" s="125"/>
      <c r="AW2841" s="125"/>
      <c r="AX2841" s="238"/>
      <c r="AY2841" s="125"/>
      <c r="AZ2841" s="125"/>
      <c r="BA2841" s="125"/>
    </row>
    <row r="2842" spans="2:53" s="123" customFormat="1">
      <c r="B2842" s="125"/>
      <c r="D2842" s="125"/>
      <c r="I2842" s="125"/>
      <c r="Z2842" s="124"/>
      <c r="AA2842" s="74"/>
      <c r="AB2842" s="240"/>
      <c r="AD2842" s="124"/>
      <c r="AE2842" s="238"/>
      <c r="AF2842" s="239"/>
      <c r="AG2842" s="239"/>
      <c r="AH2842" s="124"/>
      <c r="AI2842" s="74"/>
      <c r="AJ2842" s="240"/>
      <c r="AL2842" s="124"/>
      <c r="AM2842" s="74"/>
      <c r="AP2842" s="125"/>
      <c r="AQ2842" s="241"/>
      <c r="AR2842" s="125"/>
      <c r="AS2842" s="125"/>
      <c r="AT2842" s="238"/>
      <c r="AU2842" s="125"/>
      <c r="AV2842" s="125"/>
      <c r="AW2842" s="125"/>
      <c r="AX2842" s="238"/>
      <c r="AY2842" s="125"/>
      <c r="AZ2842" s="125"/>
      <c r="BA2842" s="125"/>
    </row>
    <row r="2843" spans="2:53" s="123" customFormat="1">
      <c r="B2843" s="125"/>
      <c r="D2843" s="125"/>
      <c r="I2843" s="125"/>
      <c r="Z2843" s="124"/>
      <c r="AA2843" s="74"/>
      <c r="AB2843" s="240"/>
      <c r="AD2843" s="124"/>
      <c r="AE2843" s="238"/>
      <c r="AF2843" s="239"/>
      <c r="AG2843" s="239"/>
      <c r="AH2843" s="124"/>
      <c r="AI2843" s="74"/>
      <c r="AJ2843" s="240"/>
      <c r="AL2843" s="124"/>
      <c r="AM2843" s="74"/>
      <c r="AP2843" s="125"/>
      <c r="AQ2843" s="241"/>
      <c r="AR2843" s="125"/>
      <c r="AS2843" s="125"/>
      <c r="AT2843" s="238"/>
      <c r="AU2843" s="125"/>
      <c r="AV2843" s="125"/>
      <c r="AW2843" s="125"/>
      <c r="AX2843" s="238"/>
      <c r="AY2843" s="125"/>
      <c r="AZ2843" s="125"/>
      <c r="BA2843" s="125"/>
    </row>
    <row r="2844" spans="2:53" s="123" customFormat="1">
      <c r="B2844" s="125"/>
      <c r="D2844" s="125"/>
      <c r="I2844" s="125"/>
      <c r="Z2844" s="124"/>
      <c r="AA2844" s="74"/>
      <c r="AB2844" s="240"/>
      <c r="AD2844" s="124"/>
      <c r="AE2844" s="238"/>
      <c r="AF2844" s="239"/>
      <c r="AG2844" s="239"/>
      <c r="AH2844" s="124"/>
      <c r="AI2844" s="74"/>
      <c r="AJ2844" s="240"/>
      <c r="AL2844" s="124"/>
      <c r="AM2844" s="74"/>
      <c r="AP2844" s="125"/>
      <c r="AQ2844" s="241"/>
      <c r="AR2844" s="125"/>
      <c r="AS2844" s="125"/>
      <c r="AT2844" s="238"/>
      <c r="AU2844" s="125"/>
      <c r="AV2844" s="125"/>
      <c r="AW2844" s="125"/>
      <c r="AX2844" s="238"/>
      <c r="AY2844" s="125"/>
      <c r="AZ2844" s="125"/>
      <c r="BA2844" s="125"/>
    </row>
    <row r="2845" spans="2:53" s="123" customFormat="1">
      <c r="B2845" s="125"/>
      <c r="D2845" s="125"/>
      <c r="I2845" s="125"/>
      <c r="Z2845" s="124"/>
      <c r="AA2845" s="74"/>
      <c r="AB2845" s="240"/>
      <c r="AD2845" s="124"/>
      <c r="AE2845" s="238"/>
      <c r="AF2845" s="239"/>
      <c r="AG2845" s="239"/>
      <c r="AH2845" s="124"/>
      <c r="AI2845" s="74"/>
      <c r="AJ2845" s="240"/>
      <c r="AL2845" s="124"/>
      <c r="AM2845" s="74"/>
      <c r="AP2845" s="125"/>
      <c r="AQ2845" s="241"/>
      <c r="AR2845" s="125"/>
      <c r="AS2845" s="125"/>
      <c r="AT2845" s="238"/>
      <c r="AU2845" s="125"/>
      <c r="AV2845" s="125"/>
      <c r="AW2845" s="125"/>
      <c r="AX2845" s="238"/>
      <c r="AY2845" s="125"/>
      <c r="AZ2845" s="125"/>
      <c r="BA2845" s="125"/>
    </row>
    <row r="2846" spans="2:53" s="123" customFormat="1">
      <c r="B2846" s="125"/>
      <c r="D2846" s="125"/>
      <c r="I2846" s="125"/>
      <c r="Z2846" s="124"/>
      <c r="AA2846" s="74"/>
      <c r="AB2846" s="240"/>
      <c r="AD2846" s="124"/>
      <c r="AE2846" s="238"/>
      <c r="AF2846" s="239"/>
      <c r="AG2846" s="239"/>
      <c r="AH2846" s="124"/>
      <c r="AI2846" s="74"/>
      <c r="AJ2846" s="240"/>
      <c r="AL2846" s="124"/>
      <c r="AM2846" s="74"/>
      <c r="AP2846" s="125"/>
      <c r="AQ2846" s="241"/>
      <c r="AR2846" s="125"/>
      <c r="AS2846" s="125"/>
      <c r="AT2846" s="238"/>
      <c r="AU2846" s="125"/>
      <c r="AV2846" s="125"/>
      <c r="AW2846" s="125"/>
      <c r="AX2846" s="238"/>
      <c r="AY2846" s="125"/>
      <c r="AZ2846" s="125"/>
      <c r="BA2846" s="125"/>
    </row>
    <row r="2847" spans="2:53" s="123" customFormat="1">
      <c r="B2847" s="125"/>
      <c r="D2847" s="125"/>
      <c r="I2847" s="125"/>
      <c r="Z2847" s="124"/>
      <c r="AA2847" s="74"/>
      <c r="AB2847" s="240"/>
      <c r="AD2847" s="124"/>
      <c r="AE2847" s="238"/>
      <c r="AF2847" s="239"/>
      <c r="AG2847" s="239"/>
      <c r="AH2847" s="124"/>
      <c r="AI2847" s="74"/>
      <c r="AJ2847" s="240"/>
      <c r="AL2847" s="124"/>
      <c r="AM2847" s="74"/>
      <c r="AP2847" s="125"/>
      <c r="AQ2847" s="241"/>
      <c r="AR2847" s="125"/>
      <c r="AS2847" s="125"/>
      <c r="AT2847" s="238"/>
      <c r="AU2847" s="125"/>
      <c r="AV2847" s="125"/>
      <c r="AW2847" s="125"/>
      <c r="AX2847" s="238"/>
      <c r="AY2847" s="125"/>
      <c r="AZ2847" s="125"/>
      <c r="BA2847" s="125"/>
    </row>
    <row r="2848" spans="2:53" s="123" customFormat="1">
      <c r="B2848" s="125"/>
      <c r="D2848" s="125"/>
      <c r="I2848" s="125"/>
      <c r="Z2848" s="124"/>
      <c r="AA2848" s="74"/>
      <c r="AB2848" s="240"/>
      <c r="AD2848" s="124"/>
      <c r="AE2848" s="238"/>
      <c r="AF2848" s="239"/>
      <c r="AG2848" s="239"/>
      <c r="AH2848" s="124"/>
      <c r="AI2848" s="74"/>
      <c r="AJ2848" s="240"/>
      <c r="AL2848" s="124"/>
      <c r="AM2848" s="74"/>
      <c r="AP2848" s="125"/>
      <c r="AQ2848" s="241"/>
      <c r="AR2848" s="125"/>
      <c r="AS2848" s="125"/>
      <c r="AT2848" s="238"/>
      <c r="AU2848" s="125"/>
      <c r="AV2848" s="125"/>
      <c r="AW2848" s="125"/>
      <c r="AX2848" s="238"/>
      <c r="AY2848" s="125"/>
      <c r="AZ2848" s="125"/>
      <c r="BA2848" s="125"/>
    </row>
    <row r="2849" spans="2:53" s="123" customFormat="1">
      <c r="B2849" s="125"/>
      <c r="D2849" s="125"/>
      <c r="I2849" s="125"/>
      <c r="Z2849" s="124"/>
      <c r="AA2849" s="74"/>
      <c r="AB2849" s="240"/>
      <c r="AD2849" s="124"/>
      <c r="AE2849" s="238"/>
      <c r="AF2849" s="239"/>
      <c r="AG2849" s="239"/>
      <c r="AH2849" s="124"/>
      <c r="AI2849" s="74"/>
      <c r="AJ2849" s="240"/>
      <c r="AL2849" s="124"/>
      <c r="AM2849" s="74"/>
      <c r="AP2849" s="125"/>
      <c r="AQ2849" s="241"/>
      <c r="AR2849" s="125"/>
      <c r="AS2849" s="125"/>
      <c r="AT2849" s="238"/>
      <c r="AU2849" s="125"/>
      <c r="AV2849" s="125"/>
      <c r="AW2849" s="125"/>
      <c r="AX2849" s="238"/>
      <c r="AY2849" s="125"/>
      <c r="AZ2849" s="125"/>
      <c r="BA2849" s="125"/>
    </row>
    <row r="2850" spans="2:53" s="123" customFormat="1">
      <c r="B2850" s="125"/>
      <c r="D2850" s="125"/>
      <c r="I2850" s="125"/>
      <c r="Z2850" s="124"/>
      <c r="AA2850" s="74"/>
      <c r="AB2850" s="240"/>
      <c r="AD2850" s="124"/>
      <c r="AE2850" s="238"/>
      <c r="AF2850" s="239"/>
      <c r="AG2850" s="239"/>
      <c r="AH2850" s="124"/>
      <c r="AI2850" s="74"/>
      <c r="AJ2850" s="240"/>
      <c r="AL2850" s="124"/>
      <c r="AM2850" s="74"/>
      <c r="AP2850" s="125"/>
      <c r="AQ2850" s="241"/>
      <c r="AR2850" s="125"/>
      <c r="AS2850" s="125"/>
      <c r="AT2850" s="238"/>
      <c r="AU2850" s="125"/>
      <c r="AV2850" s="125"/>
      <c r="AW2850" s="125"/>
      <c r="AX2850" s="238"/>
      <c r="AY2850" s="125"/>
      <c r="AZ2850" s="125"/>
      <c r="BA2850" s="125"/>
    </row>
    <row r="2851" spans="2:53" s="123" customFormat="1">
      <c r="B2851" s="125"/>
      <c r="D2851" s="125"/>
      <c r="I2851" s="125"/>
      <c r="Z2851" s="124"/>
      <c r="AA2851" s="74"/>
      <c r="AB2851" s="240"/>
      <c r="AD2851" s="124"/>
      <c r="AE2851" s="238"/>
      <c r="AF2851" s="239"/>
      <c r="AG2851" s="239"/>
      <c r="AH2851" s="124"/>
      <c r="AI2851" s="74"/>
      <c r="AJ2851" s="240"/>
      <c r="AL2851" s="124"/>
      <c r="AM2851" s="74"/>
      <c r="AP2851" s="125"/>
      <c r="AQ2851" s="241"/>
      <c r="AR2851" s="125"/>
      <c r="AS2851" s="125"/>
      <c r="AT2851" s="238"/>
      <c r="AU2851" s="125"/>
      <c r="AV2851" s="125"/>
      <c r="AW2851" s="125"/>
      <c r="AX2851" s="238"/>
      <c r="AY2851" s="125"/>
      <c r="AZ2851" s="125"/>
      <c r="BA2851" s="125"/>
    </row>
    <row r="2852" spans="2:53" s="123" customFormat="1">
      <c r="B2852" s="125"/>
      <c r="D2852" s="125"/>
      <c r="I2852" s="125"/>
      <c r="Z2852" s="124"/>
      <c r="AA2852" s="74"/>
      <c r="AB2852" s="240"/>
      <c r="AD2852" s="124"/>
      <c r="AE2852" s="238"/>
      <c r="AF2852" s="239"/>
      <c r="AG2852" s="239"/>
      <c r="AH2852" s="124"/>
      <c r="AI2852" s="74"/>
      <c r="AJ2852" s="240"/>
      <c r="AL2852" s="124"/>
      <c r="AM2852" s="74"/>
      <c r="AP2852" s="125"/>
      <c r="AQ2852" s="241"/>
      <c r="AR2852" s="125"/>
      <c r="AS2852" s="125"/>
      <c r="AT2852" s="238"/>
      <c r="AU2852" s="125"/>
      <c r="AV2852" s="125"/>
      <c r="AW2852" s="125"/>
      <c r="AX2852" s="238"/>
      <c r="AY2852" s="125"/>
      <c r="AZ2852" s="125"/>
      <c r="BA2852" s="125"/>
    </row>
    <row r="2853" spans="2:53" s="123" customFormat="1">
      <c r="B2853" s="125"/>
      <c r="D2853" s="125"/>
      <c r="I2853" s="125"/>
      <c r="Z2853" s="124"/>
      <c r="AA2853" s="74"/>
      <c r="AB2853" s="240"/>
      <c r="AD2853" s="124"/>
      <c r="AE2853" s="238"/>
      <c r="AF2853" s="239"/>
      <c r="AG2853" s="239"/>
      <c r="AH2853" s="124"/>
      <c r="AI2853" s="74"/>
      <c r="AJ2853" s="240"/>
      <c r="AL2853" s="124"/>
      <c r="AM2853" s="74"/>
      <c r="AP2853" s="125"/>
      <c r="AQ2853" s="241"/>
      <c r="AR2853" s="125"/>
      <c r="AS2853" s="125"/>
      <c r="AT2853" s="238"/>
      <c r="AU2853" s="125"/>
      <c r="AV2853" s="125"/>
      <c r="AW2853" s="125"/>
      <c r="AX2853" s="238"/>
      <c r="AY2853" s="125"/>
      <c r="AZ2853" s="125"/>
      <c r="BA2853" s="125"/>
    </row>
    <row r="2854" spans="2:53" s="123" customFormat="1">
      <c r="B2854" s="125"/>
      <c r="D2854" s="125"/>
      <c r="I2854" s="125"/>
      <c r="Z2854" s="124"/>
      <c r="AA2854" s="74"/>
      <c r="AB2854" s="240"/>
      <c r="AD2854" s="124"/>
      <c r="AE2854" s="238"/>
      <c r="AF2854" s="239"/>
      <c r="AG2854" s="239"/>
      <c r="AH2854" s="124"/>
      <c r="AI2854" s="74"/>
      <c r="AJ2854" s="240"/>
      <c r="AL2854" s="124"/>
      <c r="AM2854" s="74"/>
      <c r="AP2854" s="125"/>
      <c r="AQ2854" s="241"/>
      <c r="AR2854" s="125"/>
      <c r="AS2854" s="125"/>
      <c r="AT2854" s="238"/>
      <c r="AU2854" s="125"/>
      <c r="AV2854" s="125"/>
      <c r="AW2854" s="125"/>
      <c r="AX2854" s="238"/>
      <c r="AY2854" s="125"/>
      <c r="AZ2854" s="125"/>
      <c r="BA2854" s="125"/>
    </row>
    <row r="2855" spans="2:53" s="123" customFormat="1">
      <c r="B2855" s="125"/>
      <c r="D2855" s="125"/>
      <c r="I2855" s="125"/>
      <c r="Z2855" s="124"/>
      <c r="AA2855" s="74"/>
      <c r="AB2855" s="240"/>
      <c r="AD2855" s="124"/>
      <c r="AE2855" s="238"/>
      <c r="AF2855" s="239"/>
      <c r="AG2855" s="239"/>
      <c r="AH2855" s="124"/>
      <c r="AI2855" s="74"/>
      <c r="AJ2855" s="240"/>
      <c r="AL2855" s="124"/>
      <c r="AM2855" s="74"/>
      <c r="AP2855" s="125"/>
      <c r="AQ2855" s="241"/>
      <c r="AR2855" s="125"/>
      <c r="AS2855" s="125"/>
      <c r="AT2855" s="238"/>
      <c r="AU2855" s="125"/>
      <c r="AV2855" s="125"/>
      <c r="AW2855" s="125"/>
      <c r="AX2855" s="238"/>
      <c r="AY2855" s="125"/>
      <c r="AZ2855" s="125"/>
      <c r="BA2855" s="125"/>
    </row>
    <row r="2856" spans="2:53" s="123" customFormat="1">
      <c r="B2856" s="125"/>
      <c r="D2856" s="125"/>
      <c r="I2856" s="125"/>
      <c r="Z2856" s="124"/>
      <c r="AA2856" s="74"/>
      <c r="AB2856" s="240"/>
      <c r="AD2856" s="124"/>
      <c r="AE2856" s="238"/>
      <c r="AF2856" s="239"/>
      <c r="AG2856" s="239"/>
      <c r="AH2856" s="124"/>
      <c r="AI2856" s="74"/>
      <c r="AJ2856" s="240"/>
      <c r="AL2856" s="124"/>
      <c r="AM2856" s="74"/>
      <c r="AP2856" s="125"/>
      <c r="AQ2856" s="241"/>
      <c r="AR2856" s="125"/>
      <c r="AS2856" s="125"/>
      <c r="AT2856" s="238"/>
      <c r="AU2856" s="125"/>
      <c r="AV2856" s="125"/>
      <c r="AW2856" s="125"/>
      <c r="AX2856" s="238"/>
      <c r="AY2856" s="125"/>
      <c r="AZ2856" s="125"/>
      <c r="BA2856" s="125"/>
    </row>
    <row r="2857" spans="2:53" s="123" customFormat="1">
      <c r="B2857" s="125"/>
      <c r="D2857" s="125"/>
      <c r="I2857" s="125"/>
      <c r="Z2857" s="124"/>
      <c r="AA2857" s="74"/>
      <c r="AB2857" s="240"/>
      <c r="AD2857" s="124"/>
      <c r="AE2857" s="238"/>
      <c r="AF2857" s="239"/>
      <c r="AG2857" s="239"/>
      <c r="AH2857" s="124"/>
      <c r="AI2857" s="74"/>
      <c r="AJ2857" s="240"/>
      <c r="AL2857" s="124"/>
      <c r="AM2857" s="74"/>
      <c r="AP2857" s="125"/>
      <c r="AQ2857" s="241"/>
      <c r="AR2857" s="125"/>
      <c r="AS2857" s="125"/>
      <c r="AT2857" s="238"/>
      <c r="AU2857" s="125"/>
      <c r="AV2857" s="125"/>
      <c r="AW2857" s="125"/>
      <c r="AX2857" s="238"/>
      <c r="AY2857" s="125"/>
      <c r="AZ2857" s="125"/>
      <c r="BA2857" s="125"/>
    </row>
    <row r="2858" spans="2:53" s="123" customFormat="1">
      <c r="B2858" s="125"/>
      <c r="D2858" s="125"/>
      <c r="I2858" s="125"/>
      <c r="Z2858" s="124"/>
      <c r="AA2858" s="74"/>
      <c r="AB2858" s="240"/>
      <c r="AD2858" s="124"/>
      <c r="AE2858" s="238"/>
      <c r="AF2858" s="239"/>
      <c r="AG2858" s="239"/>
      <c r="AH2858" s="124"/>
      <c r="AI2858" s="74"/>
      <c r="AJ2858" s="240"/>
      <c r="AL2858" s="124"/>
      <c r="AM2858" s="74"/>
      <c r="AP2858" s="125"/>
      <c r="AQ2858" s="241"/>
      <c r="AR2858" s="125"/>
      <c r="AS2858" s="125"/>
      <c r="AT2858" s="238"/>
      <c r="AU2858" s="125"/>
      <c r="AV2858" s="125"/>
      <c r="AW2858" s="125"/>
      <c r="AX2858" s="238"/>
      <c r="AY2858" s="125"/>
      <c r="AZ2858" s="125"/>
      <c r="BA2858" s="125"/>
    </row>
    <row r="2859" spans="2:53" s="123" customFormat="1">
      <c r="B2859" s="125"/>
      <c r="D2859" s="125"/>
      <c r="I2859" s="125"/>
      <c r="Z2859" s="124"/>
      <c r="AA2859" s="74"/>
      <c r="AB2859" s="240"/>
      <c r="AD2859" s="124"/>
      <c r="AE2859" s="238"/>
      <c r="AF2859" s="239"/>
      <c r="AG2859" s="239"/>
      <c r="AH2859" s="124"/>
      <c r="AI2859" s="74"/>
      <c r="AJ2859" s="240"/>
      <c r="AL2859" s="124"/>
      <c r="AM2859" s="74"/>
      <c r="AP2859" s="125"/>
      <c r="AQ2859" s="241"/>
      <c r="AR2859" s="125"/>
      <c r="AS2859" s="125"/>
      <c r="AT2859" s="238"/>
      <c r="AU2859" s="125"/>
      <c r="AV2859" s="125"/>
      <c r="AW2859" s="125"/>
      <c r="AX2859" s="238"/>
      <c r="AY2859" s="125"/>
      <c r="AZ2859" s="125"/>
      <c r="BA2859" s="125"/>
    </row>
    <row r="2860" spans="2:53" s="123" customFormat="1">
      <c r="B2860" s="125"/>
      <c r="D2860" s="125"/>
      <c r="I2860" s="125"/>
      <c r="Z2860" s="124"/>
      <c r="AA2860" s="74"/>
      <c r="AB2860" s="240"/>
      <c r="AD2860" s="124"/>
      <c r="AE2860" s="238"/>
      <c r="AF2860" s="239"/>
      <c r="AG2860" s="239"/>
      <c r="AH2860" s="124"/>
      <c r="AI2860" s="74"/>
      <c r="AJ2860" s="240"/>
      <c r="AL2860" s="124"/>
      <c r="AM2860" s="74"/>
      <c r="AP2860" s="125"/>
      <c r="AQ2860" s="241"/>
      <c r="AR2860" s="125"/>
      <c r="AS2860" s="125"/>
      <c r="AT2860" s="238"/>
      <c r="AU2860" s="125"/>
      <c r="AV2860" s="125"/>
      <c r="AW2860" s="125"/>
      <c r="AX2860" s="238"/>
      <c r="AY2860" s="125"/>
      <c r="AZ2860" s="125"/>
      <c r="BA2860" s="125"/>
    </row>
    <row r="2861" spans="2:53" s="123" customFormat="1">
      <c r="B2861" s="125"/>
      <c r="D2861" s="125"/>
      <c r="I2861" s="125"/>
      <c r="Z2861" s="124"/>
      <c r="AA2861" s="74"/>
      <c r="AB2861" s="240"/>
      <c r="AD2861" s="124"/>
      <c r="AE2861" s="238"/>
      <c r="AF2861" s="239"/>
      <c r="AG2861" s="239"/>
      <c r="AH2861" s="124"/>
      <c r="AI2861" s="74"/>
      <c r="AJ2861" s="240"/>
      <c r="AL2861" s="124"/>
      <c r="AM2861" s="74"/>
      <c r="AP2861" s="125"/>
      <c r="AQ2861" s="241"/>
      <c r="AR2861" s="125"/>
      <c r="AS2861" s="125"/>
      <c r="AT2861" s="238"/>
      <c r="AU2861" s="125"/>
      <c r="AV2861" s="125"/>
      <c r="AW2861" s="125"/>
      <c r="AX2861" s="238"/>
      <c r="AY2861" s="125"/>
      <c r="AZ2861" s="125"/>
      <c r="BA2861" s="125"/>
    </row>
    <row r="2862" spans="2:53" s="123" customFormat="1">
      <c r="B2862" s="125"/>
      <c r="D2862" s="125"/>
      <c r="I2862" s="125"/>
      <c r="Z2862" s="124"/>
      <c r="AA2862" s="74"/>
      <c r="AB2862" s="240"/>
      <c r="AD2862" s="124"/>
      <c r="AE2862" s="238"/>
      <c r="AF2862" s="239"/>
      <c r="AG2862" s="239"/>
      <c r="AH2862" s="124"/>
      <c r="AI2862" s="74"/>
      <c r="AJ2862" s="240"/>
      <c r="AL2862" s="124"/>
      <c r="AM2862" s="74"/>
      <c r="AP2862" s="125"/>
      <c r="AQ2862" s="241"/>
      <c r="AR2862" s="125"/>
      <c r="AS2862" s="125"/>
      <c r="AT2862" s="238"/>
      <c r="AU2862" s="125"/>
      <c r="AV2862" s="125"/>
      <c r="AW2862" s="125"/>
      <c r="AX2862" s="238"/>
      <c r="AY2862" s="125"/>
      <c r="AZ2862" s="125"/>
      <c r="BA2862" s="125"/>
    </row>
    <row r="2863" spans="2:53" s="123" customFormat="1">
      <c r="B2863" s="125"/>
      <c r="D2863" s="125"/>
      <c r="I2863" s="125"/>
      <c r="Z2863" s="124"/>
      <c r="AA2863" s="74"/>
      <c r="AB2863" s="240"/>
      <c r="AD2863" s="124"/>
      <c r="AE2863" s="238"/>
      <c r="AF2863" s="239"/>
      <c r="AG2863" s="239"/>
      <c r="AH2863" s="124"/>
      <c r="AI2863" s="74"/>
      <c r="AJ2863" s="240"/>
      <c r="AL2863" s="124"/>
      <c r="AM2863" s="74"/>
      <c r="AP2863" s="125"/>
      <c r="AQ2863" s="241"/>
      <c r="AR2863" s="125"/>
      <c r="AS2863" s="125"/>
      <c r="AT2863" s="238"/>
      <c r="AU2863" s="125"/>
      <c r="AV2863" s="125"/>
      <c r="AW2863" s="125"/>
      <c r="AX2863" s="238"/>
      <c r="AY2863" s="125"/>
      <c r="AZ2863" s="125"/>
      <c r="BA2863" s="125"/>
    </row>
    <row r="2864" spans="2:53" s="123" customFormat="1">
      <c r="B2864" s="125"/>
      <c r="D2864" s="125"/>
      <c r="I2864" s="125"/>
      <c r="Z2864" s="124"/>
      <c r="AA2864" s="74"/>
      <c r="AB2864" s="240"/>
      <c r="AD2864" s="124"/>
      <c r="AE2864" s="238"/>
      <c r="AF2864" s="239"/>
      <c r="AG2864" s="239"/>
      <c r="AH2864" s="124"/>
      <c r="AI2864" s="74"/>
      <c r="AJ2864" s="240"/>
      <c r="AL2864" s="124"/>
      <c r="AM2864" s="74"/>
      <c r="AP2864" s="125"/>
      <c r="AQ2864" s="241"/>
      <c r="AR2864" s="125"/>
      <c r="AS2864" s="125"/>
      <c r="AT2864" s="238"/>
      <c r="AU2864" s="125"/>
      <c r="AV2864" s="125"/>
      <c r="AW2864" s="125"/>
      <c r="AX2864" s="238"/>
      <c r="AY2864" s="125"/>
      <c r="AZ2864" s="125"/>
      <c r="BA2864" s="125"/>
    </row>
    <row r="2865" spans="2:53" s="123" customFormat="1">
      <c r="B2865" s="125"/>
      <c r="D2865" s="125"/>
      <c r="I2865" s="125"/>
      <c r="Z2865" s="124"/>
      <c r="AA2865" s="74"/>
      <c r="AB2865" s="240"/>
      <c r="AD2865" s="124"/>
      <c r="AE2865" s="238"/>
      <c r="AF2865" s="239"/>
      <c r="AG2865" s="239"/>
      <c r="AH2865" s="124"/>
      <c r="AI2865" s="74"/>
      <c r="AJ2865" s="240"/>
      <c r="AL2865" s="124"/>
      <c r="AM2865" s="74"/>
      <c r="AP2865" s="125"/>
      <c r="AQ2865" s="241"/>
      <c r="AR2865" s="125"/>
      <c r="AS2865" s="125"/>
      <c r="AT2865" s="238"/>
      <c r="AU2865" s="125"/>
      <c r="AV2865" s="125"/>
      <c r="AW2865" s="125"/>
      <c r="AX2865" s="238"/>
      <c r="AY2865" s="125"/>
      <c r="AZ2865" s="125"/>
      <c r="BA2865" s="125"/>
    </row>
    <row r="2866" spans="2:53" s="123" customFormat="1">
      <c r="B2866" s="125"/>
      <c r="D2866" s="125"/>
      <c r="I2866" s="125"/>
      <c r="Z2866" s="124"/>
      <c r="AA2866" s="74"/>
      <c r="AB2866" s="240"/>
      <c r="AD2866" s="124"/>
      <c r="AE2866" s="238"/>
      <c r="AF2866" s="239"/>
      <c r="AG2866" s="239"/>
      <c r="AH2866" s="124"/>
      <c r="AI2866" s="74"/>
      <c r="AJ2866" s="240"/>
      <c r="AL2866" s="124"/>
      <c r="AM2866" s="74"/>
      <c r="AP2866" s="125"/>
      <c r="AQ2866" s="241"/>
      <c r="AR2866" s="125"/>
      <c r="AS2866" s="125"/>
      <c r="AT2866" s="238"/>
      <c r="AU2866" s="125"/>
      <c r="AV2866" s="125"/>
      <c r="AW2866" s="125"/>
      <c r="AX2866" s="238"/>
      <c r="AY2866" s="125"/>
      <c r="AZ2866" s="125"/>
      <c r="BA2866" s="125"/>
    </row>
    <row r="2867" spans="2:53" s="123" customFormat="1">
      <c r="B2867" s="125"/>
      <c r="D2867" s="125"/>
      <c r="I2867" s="125"/>
      <c r="Z2867" s="124"/>
      <c r="AA2867" s="74"/>
      <c r="AB2867" s="240"/>
      <c r="AD2867" s="124"/>
      <c r="AE2867" s="238"/>
      <c r="AF2867" s="239"/>
      <c r="AG2867" s="239"/>
      <c r="AH2867" s="124"/>
      <c r="AI2867" s="74"/>
      <c r="AJ2867" s="240"/>
      <c r="AL2867" s="124"/>
      <c r="AM2867" s="74"/>
      <c r="AP2867" s="125"/>
      <c r="AQ2867" s="241"/>
      <c r="AR2867" s="125"/>
      <c r="AS2867" s="125"/>
      <c r="AT2867" s="238"/>
      <c r="AU2867" s="125"/>
      <c r="AV2867" s="125"/>
      <c r="AW2867" s="125"/>
      <c r="AX2867" s="238"/>
      <c r="AY2867" s="125"/>
      <c r="AZ2867" s="125"/>
      <c r="BA2867" s="125"/>
    </row>
    <row r="2868" spans="2:53" s="123" customFormat="1">
      <c r="B2868" s="125"/>
      <c r="D2868" s="125"/>
      <c r="I2868" s="125"/>
      <c r="Z2868" s="124"/>
      <c r="AA2868" s="74"/>
      <c r="AB2868" s="240"/>
      <c r="AD2868" s="124"/>
      <c r="AE2868" s="238"/>
      <c r="AF2868" s="239"/>
      <c r="AG2868" s="239"/>
      <c r="AH2868" s="124"/>
      <c r="AI2868" s="74"/>
      <c r="AJ2868" s="240"/>
      <c r="AL2868" s="124"/>
      <c r="AM2868" s="74"/>
      <c r="AP2868" s="125"/>
      <c r="AQ2868" s="241"/>
      <c r="AR2868" s="125"/>
      <c r="AS2868" s="125"/>
      <c r="AT2868" s="238"/>
      <c r="AU2868" s="125"/>
      <c r="AV2868" s="125"/>
      <c r="AW2868" s="125"/>
      <c r="AX2868" s="238"/>
      <c r="AY2868" s="125"/>
      <c r="AZ2868" s="125"/>
      <c r="BA2868" s="125"/>
    </row>
    <row r="2869" spans="2:53" s="123" customFormat="1">
      <c r="B2869" s="125"/>
      <c r="D2869" s="125"/>
      <c r="I2869" s="125"/>
      <c r="Z2869" s="124"/>
      <c r="AA2869" s="74"/>
      <c r="AB2869" s="240"/>
      <c r="AD2869" s="124"/>
      <c r="AE2869" s="238"/>
      <c r="AF2869" s="239"/>
      <c r="AG2869" s="239"/>
      <c r="AH2869" s="124"/>
      <c r="AI2869" s="74"/>
      <c r="AJ2869" s="240"/>
      <c r="AL2869" s="124"/>
      <c r="AM2869" s="74"/>
      <c r="AP2869" s="125"/>
      <c r="AQ2869" s="241"/>
      <c r="AR2869" s="125"/>
      <c r="AS2869" s="125"/>
      <c r="AT2869" s="238"/>
      <c r="AU2869" s="125"/>
      <c r="AV2869" s="125"/>
      <c r="AW2869" s="125"/>
      <c r="AX2869" s="238"/>
      <c r="AY2869" s="125"/>
      <c r="AZ2869" s="125"/>
      <c r="BA2869" s="125"/>
    </row>
    <row r="2870" spans="2:53" s="123" customFormat="1">
      <c r="B2870" s="125"/>
      <c r="D2870" s="125"/>
      <c r="I2870" s="125"/>
      <c r="Z2870" s="124"/>
      <c r="AA2870" s="74"/>
      <c r="AB2870" s="240"/>
      <c r="AD2870" s="124"/>
      <c r="AE2870" s="238"/>
      <c r="AF2870" s="239"/>
      <c r="AG2870" s="239"/>
      <c r="AH2870" s="124"/>
      <c r="AI2870" s="74"/>
      <c r="AJ2870" s="240"/>
      <c r="AL2870" s="124"/>
      <c r="AM2870" s="74"/>
      <c r="AP2870" s="125"/>
      <c r="AQ2870" s="241"/>
      <c r="AR2870" s="125"/>
      <c r="AS2870" s="125"/>
      <c r="AT2870" s="238"/>
      <c r="AU2870" s="125"/>
      <c r="AV2870" s="125"/>
      <c r="AW2870" s="125"/>
      <c r="AX2870" s="238"/>
      <c r="AY2870" s="125"/>
      <c r="AZ2870" s="125"/>
      <c r="BA2870" s="125"/>
    </row>
    <row r="2871" spans="2:53" s="123" customFormat="1">
      <c r="B2871" s="125"/>
      <c r="D2871" s="125"/>
      <c r="I2871" s="125"/>
      <c r="Z2871" s="124"/>
      <c r="AA2871" s="74"/>
      <c r="AB2871" s="240"/>
      <c r="AD2871" s="124"/>
      <c r="AE2871" s="238"/>
      <c r="AF2871" s="239"/>
      <c r="AG2871" s="239"/>
      <c r="AH2871" s="124"/>
      <c r="AI2871" s="74"/>
      <c r="AJ2871" s="240"/>
      <c r="AL2871" s="124"/>
      <c r="AM2871" s="74"/>
      <c r="AP2871" s="125"/>
      <c r="AQ2871" s="241"/>
      <c r="AR2871" s="125"/>
      <c r="AS2871" s="125"/>
      <c r="AT2871" s="238"/>
      <c r="AU2871" s="125"/>
      <c r="AV2871" s="125"/>
      <c r="AW2871" s="125"/>
      <c r="AX2871" s="238"/>
      <c r="AY2871" s="125"/>
      <c r="AZ2871" s="125"/>
      <c r="BA2871" s="125"/>
    </row>
    <row r="2872" spans="2:53" s="123" customFormat="1">
      <c r="B2872" s="125"/>
      <c r="D2872" s="125"/>
      <c r="I2872" s="125"/>
      <c r="Z2872" s="124"/>
      <c r="AA2872" s="74"/>
      <c r="AB2872" s="240"/>
      <c r="AD2872" s="124"/>
      <c r="AE2872" s="238"/>
      <c r="AF2872" s="239"/>
      <c r="AG2872" s="239"/>
      <c r="AH2872" s="124"/>
      <c r="AI2872" s="74"/>
      <c r="AJ2872" s="240"/>
      <c r="AL2872" s="124"/>
      <c r="AM2872" s="74"/>
      <c r="AP2872" s="125"/>
      <c r="AQ2872" s="241"/>
      <c r="AR2872" s="125"/>
      <c r="AS2872" s="125"/>
      <c r="AT2872" s="238"/>
      <c r="AU2872" s="125"/>
      <c r="AV2872" s="125"/>
      <c r="AW2872" s="125"/>
      <c r="AX2872" s="238"/>
      <c r="AY2872" s="125"/>
      <c r="AZ2872" s="125"/>
      <c r="BA2872" s="125"/>
    </row>
    <row r="2873" spans="2:53" s="123" customFormat="1">
      <c r="B2873" s="125"/>
      <c r="D2873" s="125"/>
      <c r="I2873" s="125"/>
      <c r="Z2873" s="124"/>
      <c r="AA2873" s="74"/>
      <c r="AB2873" s="240"/>
      <c r="AD2873" s="124"/>
      <c r="AE2873" s="238"/>
      <c r="AF2873" s="239"/>
      <c r="AG2873" s="239"/>
      <c r="AH2873" s="124"/>
      <c r="AI2873" s="74"/>
      <c r="AJ2873" s="240"/>
      <c r="AL2873" s="124"/>
      <c r="AM2873" s="74"/>
      <c r="AP2873" s="125"/>
      <c r="AQ2873" s="241"/>
      <c r="AR2873" s="125"/>
      <c r="AS2873" s="125"/>
      <c r="AT2873" s="238"/>
      <c r="AU2873" s="125"/>
      <c r="AV2873" s="125"/>
      <c r="AW2873" s="125"/>
      <c r="AX2873" s="238"/>
      <c r="AY2873" s="125"/>
      <c r="AZ2873" s="125"/>
      <c r="BA2873" s="125"/>
    </row>
    <row r="2874" spans="2:53" s="123" customFormat="1">
      <c r="B2874" s="125"/>
      <c r="D2874" s="125"/>
      <c r="I2874" s="125"/>
      <c r="Z2874" s="124"/>
      <c r="AA2874" s="74"/>
      <c r="AB2874" s="240"/>
      <c r="AD2874" s="124"/>
      <c r="AE2874" s="238"/>
      <c r="AF2874" s="239"/>
      <c r="AG2874" s="239"/>
      <c r="AH2874" s="124"/>
      <c r="AI2874" s="74"/>
      <c r="AJ2874" s="240"/>
      <c r="AL2874" s="124"/>
      <c r="AM2874" s="74"/>
      <c r="AP2874" s="125"/>
      <c r="AQ2874" s="241"/>
      <c r="AR2874" s="125"/>
      <c r="AS2874" s="125"/>
      <c r="AT2874" s="238"/>
      <c r="AU2874" s="125"/>
      <c r="AV2874" s="125"/>
      <c r="AW2874" s="125"/>
      <c r="AX2874" s="238"/>
      <c r="AY2874" s="125"/>
      <c r="AZ2874" s="125"/>
      <c r="BA2874" s="125"/>
    </row>
    <row r="2875" spans="2:53" s="123" customFormat="1">
      <c r="B2875" s="125"/>
      <c r="D2875" s="125"/>
      <c r="I2875" s="125"/>
      <c r="Z2875" s="124"/>
      <c r="AA2875" s="74"/>
      <c r="AB2875" s="240"/>
      <c r="AD2875" s="124"/>
      <c r="AE2875" s="238"/>
      <c r="AF2875" s="239"/>
      <c r="AG2875" s="239"/>
      <c r="AH2875" s="124"/>
      <c r="AI2875" s="74"/>
      <c r="AJ2875" s="240"/>
      <c r="AL2875" s="124"/>
      <c r="AM2875" s="74"/>
      <c r="AP2875" s="125"/>
      <c r="AQ2875" s="241"/>
      <c r="AR2875" s="125"/>
      <c r="AS2875" s="125"/>
      <c r="AT2875" s="238"/>
      <c r="AU2875" s="125"/>
      <c r="AV2875" s="125"/>
      <c r="AW2875" s="125"/>
      <c r="AX2875" s="238"/>
      <c r="AY2875" s="125"/>
      <c r="AZ2875" s="125"/>
      <c r="BA2875" s="125"/>
    </row>
    <row r="2876" spans="2:53" s="123" customFormat="1">
      <c r="B2876" s="125"/>
      <c r="D2876" s="125"/>
      <c r="I2876" s="125"/>
      <c r="Z2876" s="124"/>
      <c r="AA2876" s="74"/>
      <c r="AB2876" s="240"/>
      <c r="AD2876" s="124"/>
      <c r="AE2876" s="238"/>
      <c r="AF2876" s="239"/>
      <c r="AG2876" s="239"/>
      <c r="AH2876" s="124"/>
      <c r="AI2876" s="74"/>
      <c r="AJ2876" s="240"/>
      <c r="AL2876" s="124"/>
      <c r="AM2876" s="74"/>
      <c r="AP2876" s="125"/>
      <c r="AQ2876" s="241"/>
      <c r="AR2876" s="125"/>
      <c r="AS2876" s="125"/>
      <c r="AT2876" s="238"/>
      <c r="AU2876" s="125"/>
      <c r="AV2876" s="125"/>
      <c r="AW2876" s="125"/>
      <c r="AX2876" s="238"/>
      <c r="AY2876" s="125"/>
      <c r="AZ2876" s="125"/>
      <c r="BA2876" s="125"/>
    </row>
    <row r="2877" spans="2:53" s="123" customFormat="1">
      <c r="B2877" s="125"/>
      <c r="D2877" s="125"/>
      <c r="I2877" s="125"/>
      <c r="Z2877" s="124"/>
      <c r="AA2877" s="74"/>
      <c r="AB2877" s="240"/>
      <c r="AD2877" s="124"/>
      <c r="AE2877" s="238"/>
      <c r="AF2877" s="239"/>
      <c r="AG2877" s="239"/>
      <c r="AH2877" s="124"/>
      <c r="AI2877" s="74"/>
      <c r="AJ2877" s="240"/>
      <c r="AL2877" s="124"/>
      <c r="AM2877" s="74"/>
      <c r="AP2877" s="125"/>
      <c r="AQ2877" s="241"/>
      <c r="AR2877" s="125"/>
      <c r="AS2877" s="125"/>
      <c r="AT2877" s="238"/>
      <c r="AU2877" s="125"/>
      <c r="AV2877" s="125"/>
      <c r="AW2877" s="125"/>
      <c r="AX2877" s="238"/>
      <c r="AY2877" s="125"/>
      <c r="AZ2877" s="125"/>
      <c r="BA2877" s="125"/>
    </row>
    <row r="2878" spans="2:53" s="123" customFormat="1">
      <c r="B2878" s="125"/>
      <c r="D2878" s="125"/>
      <c r="I2878" s="125"/>
      <c r="Z2878" s="124"/>
      <c r="AA2878" s="74"/>
      <c r="AB2878" s="240"/>
      <c r="AD2878" s="124"/>
      <c r="AE2878" s="238"/>
      <c r="AF2878" s="239"/>
      <c r="AG2878" s="239"/>
      <c r="AH2878" s="124"/>
      <c r="AI2878" s="74"/>
      <c r="AJ2878" s="240"/>
      <c r="AL2878" s="124"/>
      <c r="AM2878" s="74"/>
      <c r="AP2878" s="125"/>
      <c r="AQ2878" s="241"/>
      <c r="AR2878" s="125"/>
      <c r="AS2878" s="125"/>
      <c r="AT2878" s="238"/>
      <c r="AU2878" s="125"/>
      <c r="AV2878" s="125"/>
      <c r="AW2878" s="125"/>
      <c r="AX2878" s="238"/>
      <c r="AY2878" s="125"/>
      <c r="AZ2878" s="125"/>
      <c r="BA2878" s="125"/>
    </row>
    <row r="2879" spans="2:53" s="123" customFormat="1">
      <c r="B2879" s="125"/>
      <c r="D2879" s="125"/>
      <c r="I2879" s="125"/>
      <c r="Z2879" s="124"/>
      <c r="AA2879" s="74"/>
      <c r="AB2879" s="240"/>
      <c r="AD2879" s="124"/>
      <c r="AE2879" s="238"/>
      <c r="AF2879" s="239"/>
      <c r="AG2879" s="239"/>
      <c r="AH2879" s="124"/>
      <c r="AI2879" s="74"/>
      <c r="AJ2879" s="240"/>
      <c r="AL2879" s="124"/>
      <c r="AM2879" s="74"/>
      <c r="AP2879" s="125"/>
      <c r="AQ2879" s="241"/>
      <c r="AR2879" s="125"/>
      <c r="AS2879" s="125"/>
      <c r="AT2879" s="238"/>
      <c r="AU2879" s="125"/>
      <c r="AV2879" s="125"/>
      <c r="AW2879" s="125"/>
      <c r="AX2879" s="238"/>
      <c r="AY2879" s="125"/>
      <c r="AZ2879" s="125"/>
      <c r="BA2879" s="125"/>
    </row>
    <row r="2880" spans="2:53" s="123" customFormat="1">
      <c r="B2880" s="125"/>
      <c r="D2880" s="125"/>
      <c r="I2880" s="125"/>
      <c r="Z2880" s="124"/>
      <c r="AA2880" s="74"/>
      <c r="AB2880" s="240"/>
      <c r="AD2880" s="124"/>
      <c r="AE2880" s="238"/>
      <c r="AF2880" s="239"/>
      <c r="AG2880" s="239"/>
      <c r="AH2880" s="124"/>
      <c r="AI2880" s="74"/>
      <c r="AJ2880" s="240"/>
      <c r="AL2880" s="124"/>
      <c r="AM2880" s="74"/>
      <c r="AP2880" s="125"/>
      <c r="AQ2880" s="241"/>
      <c r="AR2880" s="125"/>
      <c r="AS2880" s="125"/>
      <c r="AT2880" s="238"/>
      <c r="AU2880" s="125"/>
      <c r="AV2880" s="125"/>
      <c r="AW2880" s="125"/>
      <c r="AX2880" s="238"/>
      <c r="AY2880" s="125"/>
      <c r="AZ2880" s="125"/>
      <c r="BA2880" s="125"/>
    </row>
    <row r="2881" spans="2:53" s="123" customFormat="1">
      <c r="B2881" s="125"/>
      <c r="D2881" s="125"/>
      <c r="I2881" s="125"/>
      <c r="Z2881" s="124"/>
      <c r="AA2881" s="74"/>
      <c r="AB2881" s="240"/>
      <c r="AD2881" s="124"/>
      <c r="AE2881" s="238"/>
      <c r="AF2881" s="239"/>
      <c r="AG2881" s="239"/>
      <c r="AH2881" s="124"/>
      <c r="AI2881" s="74"/>
      <c r="AJ2881" s="240"/>
      <c r="AL2881" s="124"/>
      <c r="AM2881" s="74"/>
      <c r="AP2881" s="125"/>
      <c r="AQ2881" s="241"/>
      <c r="AR2881" s="125"/>
      <c r="AS2881" s="125"/>
      <c r="AT2881" s="238"/>
      <c r="AU2881" s="125"/>
      <c r="AV2881" s="125"/>
      <c r="AW2881" s="125"/>
      <c r="AX2881" s="238"/>
      <c r="AY2881" s="125"/>
      <c r="AZ2881" s="125"/>
      <c r="BA2881" s="125"/>
    </row>
    <row r="2882" spans="2:53" s="123" customFormat="1">
      <c r="B2882" s="125"/>
      <c r="D2882" s="125"/>
      <c r="I2882" s="125"/>
      <c r="Z2882" s="124"/>
      <c r="AA2882" s="74"/>
      <c r="AB2882" s="240"/>
      <c r="AD2882" s="124"/>
      <c r="AE2882" s="238"/>
      <c r="AF2882" s="239"/>
      <c r="AG2882" s="239"/>
      <c r="AH2882" s="124"/>
      <c r="AI2882" s="74"/>
      <c r="AJ2882" s="240"/>
      <c r="AL2882" s="124"/>
      <c r="AM2882" s="74"/>
      <c r="AP2882" s="125"/>
      <c r="AQ2882" s="241"/>
      <c r="AR2882" s="125"/>
      <c r="AS2882" s="125"/>
      <c r="AT2882" s="238"/>
      <c r="AU2882" s="125"/>
      <c r="AV2882" s="125"/>
      <c r="AW2882" s="125"/>
      <c r="AX2882" s="238"/>
      <c r="AY2882" s="125"/>
      <c r="AZ2882" s="125"/>
      <c r="BA2882" s="125"/>
    </row>
    <row r="2883" spans="2:53" s="123" customFormat="1">
      <c r="B2883" s="125"/>
      <c r="D2883" s="125"/>
      <c r="I2883" s="125"/>
      <c r="Z2883" s="124"/>
      <c r="AA2883" s="74"/>
      <c r="AB2883" s="240"/>
      <c r="AD2883" s="124"/>
      <c r="AE2883" s="238"/>
      <c r="AF2883" s="239"/>
      <c r="AG2883" s="239"/>
      <c r="AH2883" s="124"/>
      <c r="AI2883" s="74"/>
      <c r="AJ2883" s="240"/>
      <c r="AL2883" s="124"/>
      <c r="AM2883" s="74"/>
      <c r="AP2883" s="125"/>
      <c r="AQ2883" s="241"/>
      <c r="AR2883" s="125"/>
      <c r="AS2883" s="125"/>
      <c r="AT2883" s="238"/>
      <c r="AU2883" s="125"/>
      <c r="AV2883" s="125"/>
      <c r="AW2883" s="125"/>
      <c r="AX2883" s="238"/>
      <c r="AY2883" s="125"/>
      <c r="AZ2883" s="125"/>
      <c r="BA2883" s="125"/>
    </row>
    <row r="2884" spans="2:53" s="123" customFormat="1">
      <c r="B2884" s="125"/>
      <c r="D2884" s="125"/>
      <c r="I2884" s="125"/>
      <c r="Z2884" s="124"/>
      <c r="AA2884" s="74"/>
      <c r="AB2884" s="240"/>
      <c r="AD2884" s="124"/>
      <c r="AE2884" s="238"/>
      <c r="AF2884" s="239"/>
      <c r="AG2884" s="239"/>
      <c r="AH2884" s="124"/>
      <c r="AI2884" s="74"/>
      <c r="AJ2884" s="240"/>
      <c r="AL2884" s="124"/>
      <c r="AM2884" s="74"/>
      <c r="AP2884" s="125"/>
      <c r="AQ2884" s="241"/>
      <c r="AR2884" s="125"/>
      <c r="AS2884" s="125"/>
      <c r="AT2884" s="238"/>
      <c r="AU2884" s="125"/>
      <c r="AV2884" s="125"/>
      <c r="AW2884" s="125"/>
      <c r="AX2884" s="238"/>
      <c r="AY2884" s="125"/>
      <c r="AZ2884" s="125"/>
      <c r="BA2884" s="125"/>
    </row>
    <row r="2885" spans="2:53" s="123" customFormat="1">
      <c r="B2885" s="125"/>
      <c r="D2885" s="125"/>
      <c r="I2885" s="125"/>
      <c r="Z2885" s="124"/>
      <c r="AA2885" s="74"/>
      <c r="AB2885" s="240"/>
      <c r="AD2885" s="124"/>
      <c r="AE2885" s="238"/>
      <c r="AF2885" s="239"/>
      <c r="AG2885" s="239"/>
      <c r="AH2885" s="124"/>
      <c r="AI2885" s="74"/>
      <c r="AJ2885" s="240"/>
      <c r="AL2885" s="124"/>
      <c r="AM2885" s="74"/>
      <c r="AP2885" s="125"/>
      <c r="AQ2885" s="241"/>
      <c r="AR2885" s="125"/>
      <c r="AS2885" s="125"/>
      <c r="AT2885" s="238"/>
      <c r="AU2885" s="125"/>
      <c r="AV2885" s="125"/>
      <c r="AW2885" s="125"/>
      <c r="AX2885" s="238"/>
      <c r="AY2885" s="125"/>
      <c r="AZ2885" s="125"/>
      <c r="BA2885" s="125"/>
    </row>
    <row r="2886" spans="2:53" s="123" customFormat="1">
      <c r="B2886" s="125"/>
      <c r="D2886" s="125"/>
      <c r="I2886" s="125"/>
      <c r="Z2886" s="124"/>
      <c r="AA2886" s="74"/>
      <c r="AB2886" s="240"/>
      <c r="AD2886" s="124"/>
      <c r="AE2886" s="238"/>
      <c r="AF2886" s="239"/>
      <c r="AG2886" s="239"/>
      <c r="AH2886" s="124"/>
      <c r="AI2886" s="74"/>
      <c r="AJ2886" s="240"/>
      <c r="AL2886" s="124"/>
      <c r="AM2886" s="74"/>
      <c r="AP2886" s="125"/>
      <c r="AQ2886" s="241"/>
      <c r="AR2886" s="125"/>
      <c r="AS2886" s="125"/>
      <c r="AT2886" s="238"/>
      <c r="AU2886" s="125"/>
      <c r="AV2886" s="125"/>
      <c r="AW2886" s="125"/>
      <c r="AX2886" s="238"/>
      <c r="AY2886" s="125"/>
      <c r="AZ2886" s="125"/>
      <c r="BA2886" s="125"/>
    </row>
    <row r="2887" spans="2:53" s="123" customFormat="1">
      <c r="B2887" s="125"/>
      <c r="D2887" s="125"/>
      <c r="I2887" s="125"/>
      <c r="Z2887" s="124"/>
      <c r="AA2887" s="74"/>
      <c r="AB2887" s="240"/>
      <c r="AD2887" s="124"/>
      <c r="AE2887" s="238"/>
      <c r="AF2887" s="239"/>
      <c r="AG2887" s="239"/>
      <c r="AH2887" s="124"/>
      <c r="AI2887" s="74"/>
      <c r="AJ2887" s="240"/>
      <c r="AL2887" s="124"/>
      <c r="AM2887" s="74"/>
      <c r="AP2887" s="125"/>
      <c r="AQ2887" s="241"/>
      <c r="AR2887" s="125"/>
      <c r="AS2887" s="125"/>
      <c r="AT2887" s="238"/>
      <c r="AU2887" s="125"/>
      <c r="AV2887" s="125"/>
      <c r="AW2887" s="125"/>
      <c r="AX2887" s="238"/>
      <c r="AY2887" s="125"/>
      <c r="AZ2887" s="125"/>
      <c r="BA2887" s="125"/>
    </row>
    <row r="2888" spans="2:53" s="123" customFormat="1">
      <c r="B2888" s="125"/>
      <c r="D2888" s="125"/>
      <c r="I2888" s="125"/>
      <c r="Z2888" s="124"/>
      <c r="AA2888" s="74"/>
      <c r="AB2888" s="240"/>
      <c r="AD2888" s="124"/>
      <c r="AE2888" s="238"/>
      <c r="AF2888" s="239"/>
      <c r="AG2888" s="239"/>
      <c r="AH2888" s="124"/>
      <c r="AI2888" s="74"/>
      <c r="AJ2888" s="240"/>
      <c r="AL2888" s="124"/>
      <c r="AM2888" s="74"/>
      <c r="AP2888" s="125"/>
      <c r="AQ2888" s="241"/>
      <c r="AR2888" s="125"/>
      <c r="AS2888" s="125"/>
      <c r="AT2888" s="238"/>
      <c r="AU2888" s="125"/>
      <c r="AV2888" s="125"/>
      <c r="AW2888" s="125"/>
      <c r="AX2888" s="238"/>
      <c r="AY2888" s="125"/>
      <c r="AZ2888" s="125"/>
      <c r="BA2888" s="125"/>
    </row>
    <row r="2889" spans="2:53" s="123" customFormat="1">
      <c r="B2889" s="125"/>
      <c r="D2889" s="125"/>
      <c r="I2889" s="125"/>
      <c r="Z2889" s="124"/>
      <c r="AA2889" s="74"/>
      <c r="AB2889" s="240"/>
      <c r="AD2889" s="124"/>
      <c r="AE2889" s="238"/>
      <c r="AF2889" s="239"/>
      <c r="AG2889" s="239"/>
      <c r="AH2889" s="124"/>
      <c r="AI2889" s="74"/>
      <c r="AJ2889" s="240"/>
      <c r="AL2889" s="124"/>
      <c r="AM2889" s="74"/>
      <c r="AP2889" s="125"/>
      <c r="AQ2889" s="241"/>
      <c r="AR2889" s="125"/>
      <c r="AS2889" s="125"/>
      <c r="AT2889" s="238"/>
      <c r="AU2889" s="125"/>
      <c r="AV2889" s="125"/>
      <c r="AW2889" s="125"/>
      <c r="AX2889" s="238"/>
      <c r="AY2889" s="125"/>
      <c r="AZ2889" s="125"/>
      <c r="BA2889" s="125"/>
    </row>
    <row r="2890" spans="2:53" s="123" customFormat="1">
      <c r="B2890" s="125"/>
      <c r="D2890" s="125"/>
      <c r="I2890" s="125"/>
      <c r="Z2890" s="124"/>
      <c r="AA2890" s="74"/>
      <c r="AB2890" s="240"/>
      <c r="AD2890" s="124"/>
      <c r="AE2890" s="238"/>
      <c r="AF2890" s="239"/>
      <c r="AG2890" s="239"/>
      <c r="AH2890" s="124"/>
      <c r="AI2890" s="74"/>
      <c r="AJ2890" s="240"/>
      <c r="AL2890" s="124"/>
      <c r="AM2890" s="74"/>
      <c r="AP2890" s="125"/>
      <c r="AQ2890" s="241"/>
      <c r="AR2890" s="125"/>
      <c r="AS2890" s="125"/>
      <c r="AT2890" s="238"/>
      <c r="AU2890" s="125"/>
      <c r="AV2890" s="125"/>
      <c r="AW2890" s="125"/>
      <c r="AX2890" s="238"/>
      <c r="AY2890" s="125"/>
      <c r="AZ2890" s="125"/>
      <c r="BA2890" s="125"/>
    </row>
    <row r="2891" spans="2:53" s="123" customFormat="1">
      <c r="B2891" s="125"/>
      <c r="D2891" s="125"/>
      <c r="I2891" s="125"/>
      <c r="Z2891" s="124"/>
      <c r="AA2891" s="74"/>
      <c r="AB2891" s="240"/>
      <c r="AD2891" s="124"/>
      <c r="AE2891" s="238"/>
      <c r="AF2891" s="239"/>
      <c r="AG2891" s="239"/>
      <c r="AH2891" s="124"/>
      <c r="AI2891" s="74"/>
      <c r="AJ2891" s="240"/>
      <c r="AL2891" s="124"/>
      <c r="AM2891" s="74"/>
      <c r="AP2891" s="125"/>
      <c r="AQ2891" s="241"/>
      <c r="AR2891" s="125"/>
      <c r="AS2891" s="125"/>
      <c r="AT2891" s="238"/>
      <c r="AU2891" s="125"/>
      <c r="AV2891" s="125"/>
      <c r="AW2891" s="125"/>
      <c r="AX2891" s="238"/>
      <c r="AY2891" s="125"/>
      <c r="AZ2891" s="125"/>
      <c r="BA2891" s="125"/>
    </row>
    <row r="2892" spans="2:53" s="123" customFormat="1">
      <c r="B2892" s="125"/>
      <c r="D2892" s="125"/>
      <c r="I2892" s="125"/>
      <c r="Z2892" s="124"/>
      <c r="AA2892" s="74"/>
      <c r="AB2892" s="240"/>
      <c r="AD2892" s="124"/>
      <c r="AE2892" s="238"/>
      <c r="AF2892" s="239"/>
      <c r="AG2892" s="239"/>
      <c r="AH2892" s="124"/>
      <c r="AI2892" s="74"/>
      <c r="AJ2892" s="240"/>
      <c r="AL2892" s="124"/>
      <c r="AM2892" s="74"/>
      <c r="AP2892" s="125"/>
      <c r="AQ2892" s="241"/>
      <c r="AR2892" s="125"/>
      <c r="AS2892" s="125"/>
      <c r="AT2892" s="238"/>
      <c r="AU2892" s="125"/>
      <c r="AV2892" s="125"/>
      <c r="AW2892" s="125"/>
      <c r="AX2892" s="238"/>
      <c r="AY2892" s="125"/>
      <c r="AZ2892" s="125"/>
      <c r="BA2892" s="125"/>
    </row>
    <row r="2893" spans="2:53" s="123" customFormat="1">
      <c r="B2893" s="125"/>
      <c r="D2893" s="125"/>
      <c r="I2893" s="125"/>
      <c r="Z2893" s="124"/>
      <c r="AA2893" s="74"/>
      <c r="AB2893" s="240"/>
      <c r="AD2893" s="124"/>
      <c r="AE2893" s="238"/>
      <c r="AF2893" s="239"/>
      <c r="AG2893" s="239"/>
      <c r="AH2893" s="124"/>
      <c r="AI2893" s="74"/>
      <c r="AJ2893" s="240"/>
      <c r="AL2893" s="124"/>
      <c r="AM2893" s="74"/>
      <c r="AP2893" s="125"/>
      <c r="AQ2893" s="241"/>
      <c r="AR2893" s="125"/>
      <c r="AS2893" s="125"/>
      <c r="AT2893" s="238"/>
      <c r="AU2893" s="125"/>
      <c r="AV2893" s="125"/>
      <c r="AW2893" s="125"/>
      <c r="AX2893" s="238"/>
      <c r="AY2893" s="125"/>
      <c r="AZ2893" s="125"/>
      <c r="BA2893" s="125"/>
    </row>
    <row r="2894" spans="2:53" s="123" customFormat="1">
      <c r="B2894" s="125"/>
      <c r="D2894" s="125"/>
      <c r="I2894" s="125"/>
      <c r="Z2894" s="124"/>
      <c r="AA2894" s="74"/>
      <c r="AB2894" s="240"/>
      <c r="AD2894" s="124"/>
      <c r="AE2894" s="238"/>
      <c r="AF2894" s="239"/>
      <c r="AG2894" s="239"/>
      <c r="AH2894" s="124"/>
      <c r="AI2894" s="74"/>
      <c r="AJ2894" s="240"/>
      <c r="AL2894" s="124"/>
      <c r="AM2894" s="74"/>
      <c r="AP2894" s="125"/>
      <c r="AQ2894" s="241"/>
      <c r="AR2894" s="125"/>
      <c r="AS2894" s="125"/>
      <c r="AT2894" s="238"/>
      <c r="AU2894" s="125"/>
      <c r="AV2894" s="125"/>
      <c r="AW2894" s="125"/>
      <c r="AX2894" s="238"/>
      <c r="AY2894" s="125"/>
      <c r="AZ2894" s="125"/>
      <c r="BA2894" s="125"/>
    </row>
    <row r="2895" spans="2:53" s="123" customFormat="1">
      <c r="B2895" s="125"/>
      <c r="D2895" s="125"/>
      <c r="I2895" s="125"/>
      <c r="Z2895" s="124"/>
      <c r="AA2895" s="74"/>
      <c r="AB2895" s="240"/>
      <c r="AD2895" s="124"/>
      <c r="AE2895" s="238"/>
      <c r="AF2895" s="239"/>
      <c r="AG2895" s="239"/>
      <c r="AH2895" s="124"/>
      <c r="AI2895" s="74"/>
      <c r="AJ2895" s="240"/>
      <c r="AL2895" s="124"/>
      <c r="AM2895" s="74"/>
      <c r="AP2895" s="125"/>
      <c r="AQ2895" s="241"/>
      <c r="AR2895" s="125"/>
      <c r="AS2895" s="125"/>
      <c r="AT2895" s="238"/>
      <c r="AU2895" s="125"/>
      <c r="AV2895" s="125"/>
      <c r="AW2895" s="125"/>
      <c r="AX2895" s="238"/>
      <c r="AY2895" s="125"/>
      <c r="AZ2895" s="125"/>
      <c r="BA2895" s="125"/>
    </row>
    <row r="2896" spans="2:53" s="123" customFormat="1">
      <c r="B2896" s="125"/>
      <c r="D2896" s="125"/>
      <c r="I2896" s="125"/>
      <c r="Z2896" s="124"/>
      <c r="AA2896" s="74"/>
      <c r="AB2896" s="240"/>
      <c r="AD2896" s="124"/>
      <c r="AE2896" s="238"/>
      <c r="AF2896" s="239"/>
      <c r="AG2896" s="239"/>
      <c r="AH2896" s="124"/>
      <c r="AI2896" s="74"/>
      <c r="AJ2896" s="240"/>
      <c r="AL2896" s="124"/>
      <c r="AM2896" s="74"/>
      <c r="AP2896" s="125"/>
      <c r="AQ2896" s="241"/>
      <c r="AR2896" s="125"/>
      <c r="AS2896" s="125"/>
      <c r="AT2896" s="238"/>
      <c r="AU2896" s="125"/>
      <c r="AV2896" s="125"/>
      <c r="AW2896" s="125"/>
      <c r="AX2896" s="238"/>
      <c r="AY2896" s="125"/>
      <c r="AZ2896" s="125"/>
      <c r="BA2896" s="125"/>
    </row>
    <row r="2897" spans="2:53" s="123" customFormat="1">
      <c r="B2897" s="125"/>
      <c r="D2897" s="125"/>
      <c r="I2897" s="125"/>
      <c r="Z2897" s="124"/>
      <c r="AA2897" s="74"/>
      <c r="AB2897" s="240"/>
      <c r="AD2897" s="124"/>
      <c r="AE2897" s="238"/>
      <c r="AF2897" s="239"/>
      <c r="AG2897" s="239"/>
      <c r="AH2897" s="124"/>
      <c r="AI2897" s="74"/>
      <c r="AJ2897" s="240"/>
      <c r="AL2897" s="124"/>
      <c r="AM2897" s="74"/>
      <c r="AP2897" s="125"/>
      <c r="AQ2897" s="241"/>
      <c r="AR2897" s="125"/>
      <c r="AS2897" s="125"/>
      <c r="AT2897" s="238"/>
      <c r="AU2897" s="125"/>
      <c r="AV2897" s="125"/>
      <c r="AW2897" s="125"/>
      <c r="AX2897" s="238"/>
      <c r="AY2897" s="125"/>
      <c r="AZ2897" s="125"/>
      <c r="BA2897" s="125"/>
    </row>
    <row r="2898" spans="2:53" s="123" customFormat="1">
      <c r="B2898" s="125"/>
      <c r="D2898" s="125"/>
      <c r="I2898" s="125"/>
      <c r="Z2898" s="124"/>
      <c r="AA2898" s="74"/>
      <c r="AB2898" s="240"/>
      <c r="AD2898" s="124"/>
      <c r="AE2898" s="238"/>
      <c r="AF2898" s="239"/>
      <c r="AG2898" s="239"/>
      <c r="AH2898" s="124"/>
      <c r="AI2898" s="74"/>
      <c r="AJ2898" s="240"/>
      <c r="AL2898" s="124"/>
      <c r="AM2898" s="74"/>
      <c r="AP2898" s="125"/>
      <c r="AQ2898" s="241"/>
      <c r="AR2898" s="125"/>
      <c r="AS2898" s="125"/>
      <c r="AT2898" s="238"/>
      <c r="AU2898" s="125"/>
      <c r="AV2898" s="125"/>
      <c r="AW2898" s="125"/>
      <c r="AX2898" s="238"/>
      <c r="AY2898" s="125"/>
      <c r="AZ2898" s="125"/>
      <c r="BA2898" s="125"/>
    </row>
    <row r="2899" spans="2:53" s="123" customFormat="1">
      <c r="B2899" s="125"/>
      <c r="D2899" s="125"/>
      <c r="I2899" s="125"/>
      <c r="Z2899" s="124"/>
      <c r="AA2899" s="74"/>
      <c r="AB2899" s="240"/>
      <c r="AD2899" s="124"/>
      <c r="AE2899" s="238"/>
      <c r="AF2899" s="239"/>
      <c r="AG2899" s="239"/>
      <c r="AH2899" s="124"/>
      <c r="AI2899" s="74"/>
      <c r="AJ2899" s="240"/>
      <c r="AL2899" s="124"/>
      <c r="AM2899" s="74"/>
      <c r="AP2899" s="125"/>
      <c r="AQ2899" s="241"/>
      <c r="AR2899" s="125"/>
      <c r="AS2899" s="125"/>
      <c r="AT2899" s="238"/>
      <c r="AU2899" s="125"/>
      <c r="AV2899" s="125"/>
      <c r="AW2899" s="125"/>
      <c r="AX2899" s="238"/>
      <c r="AY2899" s="125"/>
      <c r="AZ2899" s="125"/>
      <c r="BA2899" s="125"/>
    </row>
    <row r="2900" spans="2:53" s="123" customFormat="1">
      <c r="B2900" s="125"/>
      <c r="D2900" s="125"/>
      <c r="I2900" s="125"/>
      <c r="Z2900" s="124"/>
      <c r="AA2900" s="74"/>
      <c r="AB2900" s="240"/>
      <c r="AD2900" s="124"/>
      <c r="AE2900" s="238"/>
      <c r="AF2900" s="239"/>
      <c r="AG2900" s="239"/>
      <c r="AH2900" s="124"/>
      <c r="AI2900" s="74"/>
      <c r="AJ2900" s="240"/>
      <c r="AL2900" s="124"/>
      <c r="AM2900" s="74"/>
      <c r="AP2900" s="125"/>
      <c r="AQ2900" s="241"/>
      <c r="AR2900" s="125"/>
      <c r="AS2900" s="125"/>
      <c r="AT2900" s="238"/>
      <c r="AU2900" s="125"/>
      <c r="AV2900" s="125"/>
      <c r="AW2900" s="125"/>
      <c r="AX2900" s="238"/>
      <c r="AY2900" s="125"/>
      <c r="AZ2900" s="125"/>
      <c r="BA2900" s="125"/>
    </row>
    <row r="2901" spans="2:53" s="123" customFormat="1">
      <c r="B2901" s="125"/>
      <c r="D2901" s="125"/>
      <c r="I2901" s="125"/>
      <c r="Z2901" s="124"/>
      <c r="AA2901" s="74"/>
      <c r="AB2901" s="240"/>
      <c r="AD2901" s="124"/>
      <c r="AE2901" s="238"/>
      <c r="AF2901" s="239"/>
      <c r="AG2901" s="239"/>
      <c r="AH2901" s="124"/>
      <c r="AI2901" s="74"/>
      <c r="AJ2901" s="240"/>
      <c r="AL2901" s="124"/>
      <c r="AM2901" s="74"/>
      <c r="AP2901" s="125"/>
      <c r="AQ2901" s="241"/>
      <c r="AR2901" s="125"/>
      <c r="AS2901" s="125"/>
      <c r="AT2901" s="238"/>
      <c r="AU2901" s="125"/>
      <c r="AV2901" s="125"/>
      <c r="AW2901" s="125"/>
      <c r="AX2901" s="238"/>
      <c r="AY2901" s="125"/>
      <c r="AZ2901" s="125"/>
      <c r="BA2901" s="125"/>
    </row>
    <row r="2902" spans="2:53" s="123" customFormat="1">
      <c r="B2902" s="125"/>
      <c r="D2902" s="125"/>
      <c r="I2902" s="125"/>
      <c r="Z2902" s="124"/>
      <c r="AA2902" s="74"/>
      <c r="AB2902" s="240"/>
      <c r="AD2902" s="124"/>
      <c r="AE2902" s="238"/>
      <c r="AF2902" s="239"/>
      <c r="AG2902" s="239"/>
      <c r="AH2902" s="124"/>
      <c r="AI2902" s="74"/>
      <c r="AJ2902" s="240"/>
      <c r="AL2902" s="124"/>
      <c r="AM2902" s="74"/>
      <c r="AP2902" s="125"/>
      <c r="AQ2902" s="241"/>
      <c r="AR2902" s="125"/>
      <c r="AS2902" s="125"/>
      <c r="AT2902" s="238"/>
      <c r="AU2902" s="125"/>
      <c r="AV2902" s="125"/>
      <c r="AW2902" s="125"/>
      <c r="AX2902" s="238"/>
      <c r="AY2902" s="125"/>
      <c r="AZ2902" s="125"/>
      <c r="BA2902" s="125"/>
    </row>
    <row r="2903" spans="2:53" s="123" customFormat="1">
      <c r="B2903" s="125"/>
      <c r="D2903" s="125"/>
      <c r="I2903" s="125"/>
      <c r="Z2903" s="124"/>
      <c r="AA2903" s="74"/>
      <c r="AB2903" s="240"/>
      <c r="AD2903" s="124"/>
      <c r="AE2903" s="238"/>
      <c r="AF2903" s="239"/>
      <c r="AG2903" s="239"/>
      <c r="AH2903" s="124"/>
      <c r="AI2903" s="74"/>
      <c r="AJ2903" s="240"/>
      <c r="AL2903" s="124"/>
      <c r="AM2903" s="74"/>
      <c r="AP2903" s="125"/>
      <c r="AQ2903" s="241"/>
      <c r="AR2903" s="125"/>
      <c r="AS2903" s="125"/>
      <c r="AT2903" s="238"/>
      <c r="AU2903" s="125"/>
      <c r="AV2903" s="125"/>
      <c r="AW2903" s="125"/>
      <c r="AX2903" s="238"/>
      <c r="AY2903" s="125"/>
      <c r="AZ2903" s="125"/>
      <c r="BA2903" s="125"/>
    </row>
    <row r="2904" spans="2:53" s="123" customFormat="1">
      <c r="B2904" s="125"/>
      <c r="D2904" s="125"/>
      <c r="I2904" s="125"/>
      <c r="Z2904" s="124"/>
      <c r="AA2904" s="74"/>
      <c r="AB2904" s="240"/>
      <c r="AD2904" s="124"/>
      <c r="AE2904" s="238"/>
      <c r="AF2904" s="239"/>
      <c r="AG2904" s="239"/>
      <c r="AH2904" s="124"/>
      <c r="AI2904" s="74"/>
      <c r="AJ2904" s="240"/>
      <c r="AL2904" s="124"/>
      <c r="AM2904" s="74"/>
      <c r="AP2904" s="125"/>
      <c r="AQ2904" s="241"/>
      <c r="AR2904" s="125"/>
      <c r="AS2904" s="125"/>
      <c r="AT2904" s="238"/>
      <c r="AU2904" s="125"/>
      <c r="AV2904" s="125"/>
      <c r="AW2904" s="125"/>
      <c r="AX2904" s="238"/>
      <c r="AY2904" s="125"/>
      <c r="AZ2904" s="125"/>
      <c r="BA2904" s="125"/>
    </row>
    <row r="2905" spans="2:53" s="123" customFormat="1">
      <c r="B2905" s="125"/>
      <c r="D2905" s="125"/>
      <c r="I2905" s="125"/>
      <c r="Z2905" s="124"/>
      <c r="AA2905" s="74"/>
      <c r="AB2905" s="240"/>
      <c r="AD2905" s="124"/>
      <c r="AE2905" s="238"/>
      <c r="AF2905" s="239"/>
      <c r="AG2905" s="239"/>
      <c r="AH2905" s="124"/>
      <c r="AI2905" s="74"/>
      <c r="AJ2905" s="240"/>
      <c r="AL2905" s="124"/>
      <c r="AM2905" s="74"/>
      <c r="AP2905" s="125"/>
      <c r="AQ2905" s="241"/>
      <c r="AR2905" s="125"/>
      <c r="AS2905" s="125"/>
      <c r="AT2905" s="238"/>
      <c r="AU2905" s="125"/>
      <c r="AV2905" s="125"/>
      <c r="AW2905" s="125"/>
      <c r="AX2905" s="238"/>
      <c r="AY2905" s="125"/>
      <c r="AZ2905" s="125"/>
      <c r="BA2905" s="125"/>
    </row>
    <row r="2906" spans="2:53" s="123" customFormat="1">
      <c r="B2906" s="125"/>
      <c r="D2906" s="125"/>
      <c r="I2906" s="125"/>
      <c r="Z2906" s="124"/>
      <c r="AA2906" s="74"/>
      <c r="AB2906" s="240"/>
      <c r="AD2906" s="124"/>
      <c r="AE2906" s="238"/>
      <c r="AF2906" s="239"/>
      <c r="AG2906" s="239"/>
      <c r="AH2906" s="124"/>
      <c r="AI2906" s="74"/>
      <c r="AJ2906" s="240"/>
      <c r="AL2906" s="124"/>
      <c r="AM2906" s="74"/>
      <c r="AP2906" s="125"/>
      <c r="AQ2906" s="241"/>
      <c r="AR2906" s="125"/>
      <c r="AS2906" s="125"/>
      <c r="AT2906" s="238"/>
      <c r="AU2906" s="125"/>
      <c r="AV2906" s="125"/>
      <c r="AW2906" s="125"/>
      <c r="AX2906" s="238"/>
      <c r="AY2906" s="125"/>
      <c r="AZ2906" s="125"/>
      <c r="BA2906" s="125"/>
    </row>
    <row r="2907" spans="2:53" s="123" customFormat="1">
      <c r="B2907" s="125"/>
      <c r="D2907" s="125"/>
      <c r="I2907" s="125"/>
      <c r="Z2907" s="124"/>
      <c r="AA2907" s="74"/>
      <c r="AB2907" s="240"/>
      <c r="AD2907" s="124"/>
      <c r="AE2907" s="238"/>
      <c r="AF2907" s="239"/>
      <c r="AG2907" s="239"/>
      <c r="AH2907" s="124"/>
      <c r="AI2907" s="74"/>
      <c r="AJ2907" s="240"/>
      <c r="AL2907" s="124"/>
      <c r="AM2907" s="74"/>
      <c r="AP2907" s="125"/>
      <c r="AQ2907" s="241"/>
      <c r="AR2907" s="125"/>
      <c r="AS2907" s="125"/>
      <c r="AT2907" s="238"/>
      <c r="AU2907" s="125"/>
      <c r="AV2907" s="125"/>
      <c r="AW2907" s="125"/>
      <c r="AX2907" s="238"/>
      <c r="AY2907" s="125"/>
      <c r="AZ2907" s="125"/>
      <c r="BA2907" s="125"/>
    </row>
    <row r="2908" spans="2:53" s="123" customFormat="1">
      <c r="B2908" s="125"/>
      <c r="D2908" s="125"/>
      <c r="I2908" s="125"/>
      <c r="Z2908" s="124"/>
      <c r="AA2908" s="74"/>
      <c r="AB2908" s="240"/>
      <c r="AD2908" s="124"/>
      <c r="AE2908" s="238"/>
      <c r="AF2908" s="239"/>
      <c r="AG2908" s="239"/>
      <c r="AH2908" s="124"/>
      <c r="AI2908" s="74"/>
      <c r="AJ2908" s="240"/>
      <c r="AL2908" s="124"/>
      <c r="AM2908" s="74"/>
      <c r="AP2908" s="125"/>
      <c r="AQ2908" s="241"/>
      <c r="AR2908" s="125"/>
      <c r="AS2908" s="125"/>
      <c r="AT2908" s="238"/>
      <c r="AU2908" s="125"/>
      <c r="AV2908" s="125"/>
      <c r="AW2908" s="125"/>
      <c r="AX2908" s="238"/>
      <c r="AY2908" s="125"/>
      <c r="AZ2908" s="125"/>
      <c r="BA2908" s="125"/>
    </row>
    <row r="2909" spans="2:53" s="123" customFormat="1">
      <c r="B2909" s="125"/>
      <c r="D2909" s="125"/>
      <c r="I2909" s="125"/>
      <c r="Z2909" s="124"/>
      <c r="AA2909" s="74"/>
      <c r="AB2909" s="240"/>
      <c r="AD2909" s="124"/>
      <c r="AE2909" s="238"/>
      <c r="AF2909" s="239"/>
      <c r="AG2909" s="239"/>
      <c r="AH2909" s="124"/>
      <c r="AI2909" s="74"/>
      <c r="AJ2909" s="240"/>
      <c r="AL2909" s="124"/>
      <c r="AM2909" s="74"/>
      <c r="AP2909" s="125"/>
      <c r="AQ2909" s="241"/>
      <c r="AR2909" s="125"/>
      <c r="AS2909" s="125"/>
      <c r="AT2909" s="238"/>
      <c r="AU2909" s="125"/>
      <c r="AV2909" s="125"/>
      <c r="AW2909" s="125"/>
      <c r="AX2909" s="238"/>
      <c r="AY2909" s="125"/>
      <c r="AZ2909" s="125"/>
      <c r="BA2909" s="125"/>
    </row>
    <row r="2910" spans="2:53" s="123" customFormat="1">
      <c r="B2910" s="125"/>
      <c r="D2910" s="125"/>
      <c r="I2910" s="125"/>
      <c r="Z2910" s="124"/>
      <c r="AA2910" s="74"/>
      <c r="AB2910" s="240"/>
      <c r="AD2910" s="124"/>
      <c r="AE2910" s="238"/>
      <c r="AF2910" s="239"/>
      <c r="AG2910" s="239"/>
      <c r="AH2910" s="124"/>
      <c r="AI2910" s="74"/>
      <c r="AJ2910" s="240"/>
      <c r="AL2910" s="124"/>
      <c r="AM2910" s="74"/>
      <c r="AP2910" s="125"/>
      <c r="AQ2910" s="241"/>
      <c r="AR2910" s="125"/>
      <c r="AS2910" s="125"/>
      <c r="AT2910" s="238"/>
      <c r="AU2910" s="125"/>
      <c r="AV2910" s="125"/>
      <c r="AW2910" s="125"/>
      <c r="AX2910" s="238"/>
      <c r="AY2910" s="125"/>
      <c r="AZ2910" s="125"/>
      <c r="BA2910" s="125"/>
    </row>
    <row r="2911" spans="2:53" s="123" customFormat="1">
      <c r="B2911" s="125"/>
      <c r="D2911" s="125"/>
      <c r="I2911" s="125"/>
      <c r="Z2911" s="124"/>
      <c r="AA2911" s="74"/>
      <c r="AB2911" s="240"/>
      <c r="AD2911" s="124"/>
      <c r="AE2911" s="238"/>
      <c r="AF2911" s="239"/>
      <c r="AG2911" s="239"/>
      <c r="AH2911" s="124"/>
      <c r="AI2911" s="74"/>
      <c r="AJ2911" s="240"/>
      <c r="AL2911" s="124"/>
      <c r="AM2911" s="74"/>
      <c r="AP2911" s="125"/>
      <c r="AQ2911" s="241"/>
      <c r="AR2911" s="125"/>
      <c r="AS2911" s="125"/>
      <c r="AT2911" s="238"/>
      <c r="AU2911" s="125"/>
      <c r="AV2911" s="125"/>
      <c r="AW2911" s="125"/>
      <c r="AX2911" s="238"/>
      <c r="AY2911" s="125"/>
      <c r="AZ2911" s="125"/>
      <c r="BA2911" s="125"/>
    </row>
    <row r="2912" spans="2:53" s="123" customFormat="1">
      <c r="B2912" s="125"/>
      <c r="D2912" s="125"/>
      <c r="I2912" s="125"/>
      <c r="Z2912" s="124"/>
      <c r="AA2912" s="74"/>
      <c r="AB2912" s="240"/>
      <c r="AD2912" s="124"/>
      <c r="AE2912" s="238"/>
      <c r="AF2912" s="239"/>
      <c r="AG2912" s="239"/>
      <c r="AH2912" s="124"/>
      <c r="AI2912" s="74"/>
      <c r="AJ2912" s="240"/>
      <c r="AL2912" s="124"/>
      <c r="AM2912" s="74"/>
      <c r="AP2912" s="125"/>
      <c r="AQ2912" s="241"/>
      <c r="AR2912" s="125"/>
      <c r="AS2912" s="125"/>
      <c r="AT2912" s="238"/>
      <c r="AU2912" s="125"/>
      <c r="AV2912" s="125"/>
      <c r="AW2912" s="125"/>
      <c r="AX2912" s="238"/>
      <c r="AY2912" s="125"/>
      <c r="AZ2912" s="125"/>
      <c r="BA2912" s="125"/>
    </row>
    <row r="2913" spans="2:53" s="123" customFormat="1">
      <c r="B2913" s="125"/>
      <c r="D2913" s="125"/>
      <c r="I2913" s="125"/>
      <c r="Z2913" s="124"/>
      <c r="AA2913" s="74"/>
      <c r="AB2913" s="240"/>
      <c r="AD2913" s="124"/>
      <c r="AE2913" s="238"/>
      <c r="AF2913" s="239"/>
      <c r="AG2913" s="239"/>
      <c r="AH2913" s="124"/>
      <c r="AI2913" s="74"/>
      <c r="AJ2913" s="240"/>
      <c r="AL2913" s="124"/>
      <c r="AM2913" s="74"/>
      <c r="AP2913" s="125"/>
      <c r="AQ2913" s="241"/>
      <c r="AR2913" s="125"/>
      <c r="AS2913" s="125"/>
      <c r="AT2913" s="238"/>
      <c r="AU2913" s="125"/>
      <c r="AV2913" s="125"/>
      <c r="AW2913" s="125"/>
      <c r="AX2913" s="238"/>
      <c r="AY2913" s="125"/>
      <c r="AZ2913" s="125"/>
      <c r="BA2913" s="125"/>
    </row>
    <row r="2914" spans="2:53" s="123" customFormat="1">
      <c r="B2914" s="125"/>
      <c r="D2914" s="125"/>
      <c r="I2914" s="125"/>
      <c r="Z2914" s="124"/>
      <c r="AA2914" s="74"/>
      <c r="AB2914" s="240"/>
      <c r="AD2914" s="124"/>
      <c r="AE2914" s="238"/>
      <c r="AF2914" s="239"/>
      <c r="AG2914" s="239"/>
      <c r="AH2914" s="124"/>
      <c r="AI2914" s="74"/>
      <c r="AJ2914" s="240"/>
      <c r="AL2914" s="124"/>
      <c r="AM2914" s="74"/>
      <c r="AP2914" s="125"/>
      <c r="AQ2914" s="241"/>
      <c r="AR2914" s="125"/>
      <c r="AS2914" s="125"/>
      <c r="AT2914" s="238"/>
      <c r="AU2914" s="125"/>
      <c r="AV2914" s="125"/>
      <c r="AW2914" s="125"/>
      <c r="AX2914" s="238"/>
      <c r="AY2914" s="125"/>
      <c r="AZ2914" s="125"/>
      <c r="BA2914" s="125"/>
    </row>
    <row r="2915" spans="2:53" s="123" customFormat="1">
      <c r="B2915" s="125"/>
      <c r="D2915" s="125"/>
      <c r="I2915" s="125"/>
      <c r="Z2915" s="124"/>
      <c r="AA2915" s="74"/>
      <c r="AB2915" s="240"/>
      <c r="AD2915" s="124"/>
      <c r="AE2915" s="238"/>
      <c r="AF2915" s="239"/>
      <c r="AG2915" s="239"/>
      <c r="AH2915" s="124"/>
      <c r="AI2915" s="74"/>
      <c r="AJ2915" s="240"/>
      <c r="AL2915" s="124"/>
      <c r="AM2915" s="74"/>
      <c r="AP2915" s="125"/>
      <c r="AQ2915" s="241"/>
      <c r="AR2915" s="125"/>
      <c r="AS2915" s="125"/>
      <c r="AT2915" s="238"/>
      <c r="AU2915" s="125"/>
      <c r="AV2915" s="125"/>
      <c r="AW2915" s="125"/>
      <c r="AX2915" s="238"/>
      <c r="AY2915" s="125"/>
      <c r="AZ2915" s="125"/>
      <c r="BA2915" s="125"/>
    </row>
    <row r="2916" spans="2:53" s="123" customFormat="1">
      <c r="B2916" s="125"/>
      <c r="D2916" s="125"/>
      <c r="I2916" s="125"/>
      <c r="Z2916" s="124"/>
      <c r="AA2916" s="74"/>
      <c r="AB2916" s="240"/>
      <c r="AD2916" s="124"/>
      <c r="AE2916" s="238"/>
      <c r="AF2916" s="239"/>
      <c r="AG2916" s="239"/>
      <c r="AH2916" s="124"/>
      <c r="AI2916" s="74"/>
      <c r="AJ2916" s="240"/>
      <c r="AL2916" s="124"/>
      <c r="AM2916" s="74"/>
      <c r="AP2916" s="125"/>
      <c r="AQ2916" s="241"/>
      <c r="AR2916" s="125"/>
      <c r="AS2916" s="125"/>
      <c r="AT2916" s="238"/>
      <c r="AU2916" s="125"/>
      <c r="AV2916" s="125"/>
      <c r="AW2916" s="125"/>
      <c r="AX2916" s="238"/>
      <c r="AY2916" s="125"/>
      <c r="AZ2916" s="125"/>
      <c r="BA2916" s="125"/>
    </row>
    <row r="2917" spans="2:53" s="123" customFormat="1">
      <c r="B2917" s="125"/>
      <c r="D2917" s="125"/>
      <c r="I2917" s="125"/>
      <c r="Z2917" s="124"/>
      <c r="AA2917" s="74"/>
      <c r="AB2917" s="240"/>
      <c r="AD2917" s="124"/>
      <c r="AE2917" s="238"/>
      <c r="AF2917" s="239"/>
      <c r="AG2917" s="239"/>
      <c r="AH2917" s="124"/>
      <c r="AI2917" s="74"/>
      <c r="AJ2917" s="240"/>
      <c r="AL2917" s="124"/>
      <c r="AM2917" s="74"/>
      <c r="AP2917" s="125"/>
      <c r="AQ2917" s="241"/>
      <c r="AR2917" s="125"/>
      <c r="AS2917" s="125"/>
      <c r="AT2917" s="238"/>
      <c r="AU2917" s="125"/>
      <c r="AV2917" s="125"/>
      <c r="AW2917" s="125"/>
      <c r="AX2917" s="238"/>
      <c r="AY2917" s="125"/>
      <c r="AZ2917" s="125"/>
      <c r="BA2917" s="125"/>
    </row>
    <row r="2918" spans="2:53" s="123" customFormat="1">
      <c r="B2918" s="125"/>
      <c r="D2918" s="125"/>
      <c r="I2918" s="125"/>
      <c r="Z2918" s="124"/>
      <c r="AA2918" s="74"/>
      <c r="AB2918" s="240"/>
      <c r="AD2918" s="124"/>
      <c r="AE2918" s="238"/>
      <c r="AF2918" s="239"/>
      <c r="AG2918" s="239"/>
      <c r="AH2918" s="124"/>
      <c r="AI2918" s="74"/>
      <c r="AJ2918" s="240"/>
      <c r="AL2918" s="124"/>
      <c r="AM2918" s="74"/>
      <c r="AP2918" s="125"/>
      <c r="AQ2918" s="241"/>
      <c r="AR2918" s="125"/>
      <c r="AS2918" s="125"/>
      <c r="AT2918" s="238"/>
      <c r="AU2918" s="125"/>
      <c r="AV2918" s="125"/>
      <c r="AW2918" s="125"/>
      <c r="AX2918" s="238"/>
      <c r="AY2918" s="125"/>
      <c r="AZ2918" s="125"/>
      <c r="BA2918" s="125"/>
    </row>
    <row r="2919" spans="2:53" s="123" customFormat="1">
      <c r="B2919" s="125"/>
      <c r="D2919" s="125"/>
      <c r="I2919" s="125"/>
      <c r="Z2919" s="124"/>
      <c r="AA2919" s="74"/>
      <c r="AB2919" s="240"/>
      <c r="AD2919" s="124"/>
      <c r="AE2919" s="238"/>
      <c r="AF2919" s="239"/>
      <c r="AG2919" s="239"/>
      <c r="AH2919" s="124"/>
      <c r="AI2919" s="74"/>
      <c r="AJ2919" s="240"/>
      <c r="AL2919" s="124"/>
      <c r="AM2919" s="74"/>
      <c r="AP2919" s="125"/>
      <c r="AQ2919" s="241"/>
      <c r="AR2919" s="125"/>
      <c r="AS2919" s="125"/>
      <c r="AT2919" s="238"/>
      <c r="AU2919" s="125"/>
      <c r="AV2919" s="125"/>
      <c r="AW2919" s="125"/>
      <c r="AX2919" s="238"/>
      <c r="AY2919" s="125"/>
      <c r="AZ2919" s="125"/>
      <c r="BA2919" s="125"/>
    </row>
    <row r="2920" spans="2:53" s="123" customFormat="1">
      <c r="B2920" s="125"/>
      <c r="D2920" s="125"/>
      <c r="I2920" s="125"/>
      <c r="Z2920" s="124"/>
      <c r="AA2920" s="74"/>
      <c r="AB2920" s="240"/>
      <c r="AD2920" s="124"/>
      <c r="AE2920" s="238"/>
      <c r="AF2920" s="239"/>
      <c r="AG2920" s="239"/>
      <c r="AH2920" s="124"/>
      <c r="AI2920" s="74"/>
      <c r="AJ2920" s="240"/>
      <c r="AL2920" s="124"/>
      <c r="AM2920" s="74"/>
      <c r="AP2920" s="125"/>
      <c r="AQ2920" s="241"/>
      <c r="AR2920" s="125"/>
      <c r="AS2920" s="125"/>
      <c r="AT2920" s="238"/>
      <c r="AU2920" s="125"/>
      <c r="AV2920" s="125"/>
      <c r="AW2920" s="125"/>
      <c r="AX2920" s="238"/>
      <c r="AY2920" s="125"/>
      <c r="AZ2920" s="125"/>
      <c r="BA2920" s="125"/>
    </row>
    <row r="2921" spans="2:53" s="123" customFormat="1">
      <c r="B2921" s="125"/>
      <c r="D2921" s="125"/>
      <c r="I2921" s="125"/>
      <c r="Z2921" s="124"/>
      <c r="AA2921" s="74"/>
      <c r="AB2921" s="240"/>
      <c r="AD2921" s="124"/>
      <c r="AE2921" s="238"/>
      <c r="AF2921" s="239"/>
      <c r="AG2921" s="239"/>
      <c r="AH2921" s="124"/>
      <c r="AI2921" s="74"/>
      <c r="AJ2921" s="240"/>
      <c r="AL2921" s="124"/>
      <c r="AM2921" s="74"/>
      <c r="AP2921" s="125"/>
      <c r="AQ2921" s="241"/>
      <c r="AR2921" s="125"/>
      <c r="AS2921" s="125"/>
      <c r="AT2921" s="238"/>
      <c r="AU2921" s="125"/>
      <c r="AV2921" s="125"/>
      <c r="AW2921" s="125"/>
      <c r="AX2921" s="238"/>
      <c r="AY2921" s="125"/>
      <c r="AZ2921" s="125"/>
      <c r="BA2921" s="125"/>
    </row>
    <row r="2922" spans="2:53" s="123" customFormat="1">
      <c r="B2922" s="125"/>
      <c r="D2922" s="125"/>
      <c r="I2922" s="125"/>
      <c r="Z2922" s="124"/>
      <c r="AA2922" s="74"/>
      <c r="AB2922" s="240"/>
      <c r="AD2922" s="124"/>
      <c r="AE2922" s="238"/>
      <c r="AF2922" s="239"/>
      <c r="AG2922" s="239"/>
      <c r="AH2922" s="124"/>
      <c r="AI2922" s="74"/>
      <c r="AJ2922" s="240"/>
      <c r="AL2922" s="124"/>
      <c r="AM2922" s="74"/>
      <c r="AP2922" s="125"/>
      <c r="AQ2922" s="241"/>
      <c r="AR2922" s="125"/>
      <c r="AS2922" s="125"/>
      <c r="AT2922" s="238"/>
      <c r="AU2922" s="125"/>
      <c r="AV2922" s="125"/>
      <c r="AW2922" s="125"/>
      <c r="AX2922" s="238"/>
      <c r="AY2922" s="125"/>
      <c r="AZ2922" s="125"/>
      <c r="BA2922" s="125"/>
    </row>
    <row r="2923" spans="2:53" s="123" customFormat="1">
      <c r="B2923" s="125"/>
      <c r="D2923" s="125"/>
      <c r="I2923" s="125"/>
      <c r="Z2923" s="124"/>
      <c r="AA2923" s="74"/>
      <c r="AB2923" s="240"/>
      <c r="AD2923" s="124"/>
      <c r="AE2923" s="238"/>
      <c r="AF2923" s="239"/>
      <c r="AG2923" s="239"/>
      <c r="AH2923" s="124"/>
      <c r="AI2923" s="74"/>
      <c r="AJ2923" s="240"/>
      <c r="AL2923" s="124"/>
      <c r="AM2923" s="74"/>
      <c r="AP2923" s="125"/>
      <c r="AQ2923" s="241"/>
      <c r="AR2923" s="125"/>
      <c r="AS2923" s="125"/>
      <c r="AT2923" s="238"/>
      <c r="AU2923" s="125"/>
      <c r="AV2923" s="125"/>
      <c r="AW2923" s="125"/>
      <c r="AX2923" s="238"/>
      <c r="AY2923" s="125"/>
      <c r="AZ2923" s="125"/>
      <c r="BA2923" s="125"/>
    </row>
    <row r="2924" spans="2:53" s="123" customFormat="1">
      <c r="B2924" s="125"/>
      <c r="D2924" s="125"/>
      <c r="I2924" s="125"/>
      <c r="Z2924" s="124"/>
      <c r="AA2924" s="74"/>
      <c r="AB2924" s="240"/>
      <c r="AD2924" s="124"/>
      <c r="AE2924" s="238"/>
      <c r="AF2924" s="239"/>
      <c r="AG2924" s="239"/>
      <c r="AH2924" s="124"/>
      <c r="AI2924" s="74"/>
      <c r="AJ2924" s="240"/>
      <c r="AL2924" s="124"/>
      <c r="AM2924" s="74"/>
      <c r="AP2924" s="125"/>
      <c r="AQ2924" s="241"/>
      <c r="AR2924" s="125"/>
      <c r="AS2924" s="125"/>
      <c r="AT2924" s="238"/>
      <c r="AU2924" s="125"/>
      <c r="AV2924" s="125"/>
      <c r="AW2924" s="125"/>
      <c r="AX2924" s="238"/>
      <c r="AY2924" s="125"/>
      <c r="AZ2924" s="125"/>
      <c r="BA2924" s="125"/>
    </row>
    <row r="2925" spans="2:53" s="123" customFormat="1">
      <c r="B2925" s="125"/>
      <c r="D2925" s="125"/>
      <c r="I2925" s="125"/>
      <c r="Z2925" s="124"/>
      <c r="AA2925" s="74"/>
      <c r="AB2925" s="240"/>
      <c r="AD2925" s="124"/>
      <c r="AE2925" s="238"/>
      <c r="AF2925" s="239"/>
      <c r="AG2925" s="239"/>
      <c r="AH2925" s="124"/>
      <c r="AI2925" s="74"/>
      <c r="AJ2925" s="240"/>
      <c r="AL2925" s="124"/>
      <c r="AM2925" s="74"/>
      <c r="AP2925" s="125"/>
      <c r="AQ2925" s="241"/>
      <c r="AR2925" s="125"/>
      <c r="AS2925" s="125"/>
      <c r="AT2925" s="238"/>
      <c r="AU2925" s="125"/>
      <c r="AV2925" s="125"/>
      <c r="AW2925" s="125"/>
      <c r="AX2925" s="238"/>
      <c r="AY2925" s="125"/>
      <c r="AZ2925" s="125"/>
      <c r="BA2925" s="125"/>
    </row>
    <row r="2926" spans="2:53" s="123" customFormat="1">
      <c r="B2926" s="125"/>
      <c r="D2926" s="125"/>
      <c r="I2926" s="125"/>
      <c r="Z2926" s="124"/>
      <c r="AA2926" s="74"/>
      <c r="AB2926" s="240"/>
      <c r="AD2926" s="124"/>
      <c r="AE2926" s="238"/>
      <c r="AF2926" s="239"/>
      <c r="AG2926" s="239"/>
      <c r="AH2926" s="124"/>
      <c r="AI2926" s="74"/>
      <c r="AJ2926" s="240"/>
      <c r="AL2926" s="124"/>
      <c r="AM2926" s="74"/>
      <c r="AP2926" s="125"/>
      <c r="AQ2926" s="241"/>
      <c r="AR2926" s="125"/>
      <c r="AS2926" s="125"/>
      <c r="AT2926" s="238"/>
      <c r="AU2926" s="125"/>
      <c r="AV2926" s="125"/>
      <c r="AW2926" s="125"/>
      <c r="AX2926" s="238"/>
      <c r="AY2926" s="125"/>
      <c r="AZ2926" s="125"/>
      <c r="BA2926" s="125"/>
    </row>
    <row r="2927" spans="2:53" s="123" customFormat="1">
      <c r="B2927" s="125"/>
      <c r="D2927" s="125"/>
      <c r="I2927" s="125"/>
      <c r="Z2927" s="124"/>
      <c r="AA2927" s="74"/>
      <c r="AB2927" s="240"/>
      <c r="AD2927" s="124"/>
      <c r="AE2927" s="238"/>
      <c r="AF2927" s="239"/>
      <c r="AG2927" s="239"/>
      <c r="AH2927" s="124"/>
      <c r="AI2927" s="74"/>
      <c r="AJ2927" s="240"/>
      <c r="AL2927" s="124"/>
      <c r="AM2927" s="74"/>
      <c r="AP2927" s="125"/>
      <c r="AQ2927" s="241"/>
      <c r="AR2927" s="125"/>
      <c r="AS2927" s="125"/>
      <c r="AT2927" s="238"/>
      <c r="AU2927" s="125"/>
      <c r="AV2927" s="125"/>
      <c r="AW2927" s="125"/>
      <c r="AX2927" s="238"/>
      <c r="AY2927" s="125"/>
      <c r="AZ2927" s="125"/>
      <c r="BA2927" s="125"/>
    </row>
    <row r="2928" spans="2:53" s="123" customFormat="1">
      <c r="B2928" s="125"/>
      <c r="D2928" s="125"/>
      <c r="I2928" s="125"/>
      <c r="Z2928" s="124"/>
      <c r="AA2928" s="74"/>
      <c r="AB2928" s="240"/>
      <c r="AD2928" s="124"/>
      <c r="AE2928" s="238"/>
      <c r="AF2928" s="239"/>
      <c r="AG2928" s="239"/>
      <c r="AH2928" s="124"/>
      <c r="AI2928" s="74"/>
      <c r="AJ2928" s="240"/>
      <c r="AL2928" s="124"/>
      <c r="AM2928" s="74"/>
      <c r="AP2928" s="125"/>
      <c r="AQ2928" s="241"/>
      <c r="AR2928" s="125"/>
      <c r="AS2928" s="125"/>
      <c r="AT2928" s="238"/>
      <c r="AU2928" s="125"/>
      <c r="AV2928" s="125"/>
      <c r="AW2928" s="125"/>
      <c r="AX2928" s="238"/>
      <c r="AY2928" s="125"/>
      <c r="AZ2928" s="125"/>
      <c r="BA2928" s="125"/>
    </row>
    <row r="2929" spans="2:53" s="123" customFormat="1">
      <c r="B2929" s="125"/>
      <c r="D2929" s="125"/>
      <c r="I2929" s="125"/>
      <c r="Z2929" s="124"/>
      <c r="AA2929" s="74"/>
      <c r="AB2929" s="240"/>
      <c r="AD2929" s="124"/>
      <c r="AE2929" s="238"/>
      <c r="AF2929" s="239"/>
      <c r="AG2929" s="239"/>
      <c r="AH2929" s="124"/>
      <c r="AI2929" s="74"/>
      <c r="AJ2929" s="240"/>
      <c r="AL2929" s="124"/>
      <c r="AM2929" s="74"/>
      <c r="AP2929" s="125"/>
      <c r="AQ2929" s="241"/>
      <c r="AR2929" s="125"/>
      <c r="AS2929" s="125"/>
      <c r="AT2929" s="238"/>
      <c r="AU2929" s="125"/>
      <c r="AV2929" s="125"/>
      <c r="AW2929" s="125"/>
      <c r="AX2929" s="238"/>
      <c r="AY2929" s="125"/>
      <c r="AZ2929" s="125"/>
      <c r="BA2929" s="125"/>
    </row>
    <row r="2930" spans="2:53" s="123" customFormat="1">
      <c r="B2930" s="125"/>
      <c r="D2930" s="125"/>
      <c r="I2930" s="125"/>
      <c r="Z2930" s="124"/>
      <c r="AA2930" s="74"/>
      <c r="AB2930" s="240"/>
      <c r="AD2930" s="124"/>
      <c r="AE2930" s="238"/>
      <c r="AF2930" s="239"/>
      <c r="AG2930" s="239"/>
      <c r="AH2930" s="124"/>
      <c r="AI2930" s="74"/>
      <c r="AJ2930" s="240"/>
      <c r="AL2930" s="124"/>
      <c r="AM2930" s="74"/>
      <c r="AP2930" s="125"/>
      <c r="AQ2930" s="241"/>
      <c r="AR2930" s="125"/>
      <c r="AS2930" s="125"/>
      <c r="AT2930" s="238"/>
      <c r="AU2930" s="125"/>
      <c r="AV2930" s="125"/>
      <c r="AW2930" s="125"/>
      <c r="AX2930" s="238"/>
      <c r="AY2930" s="125"/>
      <c r="AZ2930" s="125"/>
      <c r="BA2930" s="125"/>
    </row>
    <row r="2931" spans="2:53" s="123" customFormat="1">
      <c r="B2931" s="125"/>
      <c r="D2931" s="125"/>
      <c r="I2931" s="125"/>
      <c r="Z2931" s="124"/>
      <c r="AA2931" s="74"/>
      <c r="AB2931" s="240"/>
      <c r="AD2931" s="124"/>
      <c r="AE2931" s="238"/>
      <c r="AF2931" s="239"/>
      <c r="AG2931" s="239"/>
      <c r="AH2931" s="124"/>
      <c r="AI2931" s="74"/>
      <c r="AJ2931" s="240"/>
      <c r="AL2931" s="124"/>
      <c r="AM2931" s="74"/>
      <c r="AP2931" s="125"/>
      <c r="AQ2931" s="241"/>
      <c r="AR2931" s="125"/>
      <c r="AS2931" s="125"/>
      <c r="AT2931" s="238"/>
      <c r="AU2931" s="125"/>
      <c r="AV2931" s="125"/>
      <c r="AW2931" s="125"/>
      <c r="AX2931" s="238"/>
      <c r="AY2931" s="125"/>
      <c r="AZ2931" s="125"/>
      <c r="BA2931" s="125"/>
    </row>
    <row r="2932" spans="2:53" s="123" customFormat="1">
      <c r="B2932" s="125"/>
      <c r="D2932" s="125"/>
      <c r="I2932" s="125"/>
      <c r="Z2932" s="124"/>
      <c r="AA2932" s="74"/>
      <c r="AB2932" s="240"/>
      <c r="AD2932" s="124"/>
      <c r="AE2932" s="238"/>
      <c r="AF2932" s="239"/>
      <c r="AG2932" s="239"/>
      <c r="AH2932" s="124"/>
      <c r="AI2932" s="74"/>
      <c r="AJ2932" s="240"/>
      <c r="AL2932" s="124"/>
      <c r="AM2932" s="74"/>
      <c r="AP2932" s="125"/>
      <c r="AQ2932" s="241"/>
      <c r="AR2932" s="125"/>
      <c r="AS2932" s="125"/>
      <c r="AT2932" s="238"/>
      <c r="AU2932" s="125"/>
      <c r="AV2932" s="125"/>
      <c r="AW2932" s="125"/>
      <c r="AX2932" s="238"/>
      <c r="AY2932" s="125"/>
      <c r="AZ2932" s="125"/>
      <c r="BA2932" s="125"/>
    </row>
    <row r="2933" spans="2:53" s="123" customFormat="1">
      <c r="B2933" s="125"/>
      <c r="D2933" s="125"/>
      <c r="I2933" s="125"/>
      <c r="Z2933" s="124"/>
      <c r="AA2933" s="74"/>
      <c r="AB2933" s="240"/>
      <c r="AD2933" s="124"/>
      <c r="AE2933" s="238"/>
      <c r="AF2933" s="239"/>
      <c r="AG2933" s="239"/>
      <c r="AH2933" s="124"/>
      <c r="AI2933" s="74"/>
      <c r="AJ2933" s="240"/>
      <c r="AL2933" s="124"/>
      <c r="AM2933" s="74"/>
      <c r="AP2933" s="125"/>
      <c r="AQ2933" s="241"/>
      <c r="AR2933" s="125"/>
      <c r="AS2933" s="125"/>
      <c r="AT2933" s="238"/>
      <c r="AU2933" s="125"/>
      <c r="AV2933" s="125"/>
      <c r="AW2933" s="125"/>
      <c r="AX2933" s="238"/>
      <c r="AY2933" s="125"/>
      <c r="AZ2933" s="125"/>
      <c r="BA2933" s="125"/>
    </row>
    <row r="2934" spans="2:53" s="123" customFormat="1">
      <c r="B2934" s="125"/>
      <c r="D2934" s="125"/>
      <c r="I2934" s="125"/>
      <c r="Z2934" s="124"/>
      <c r="AA2934" s="74"/>
      <c r="AB2934" s="240"/>
      <c r="AD2934" s="124"/>
      <c r="AE2934" s="238"/>
      <c r="AF2934" s="239"/>
      <c r="AG2934" s="239"/>
      <c r="AH2934" s="124"/>
      <c r="AI2934" s="74"/>
      <c r="AJ2934" s="240"/>
      <c r="AL2934" s="124"/>
      <c r="AM2934" s="74"/>
      <c r="AP2934" s="125"/>
      <c r="AQ2934" s="241"/>
      <c r="AR2934" s="125"/>
      <c r="AS2934" s="125"/>
      <c r="AT2934" s="238"/>
      <c r="AU2934" s="125"/>
      <c r="AV2934" s="125"/>
      <c r="AW2934" s="125"/>
      <c r="AX2934" s="238"/>
      <c r="AY2934" s="125"/>
      <c r="AZ2934" s="125"/>
      <c r="BA2934" s="125"/>
    </row>
    <row r="2935" spans="2:53" s="123" customFormat="1">
      <c r="B2935" s="125"/>
      <c r="D2935" s="125"/>
      <c r="I2935" s="125"/>
      <c r="Z2935" s="124"/>
      <c r="AA2935" s="74"/>
      <c r="AB2935" s="240"/>
      <c r="AD2935" s="124"/>
      <c r="AE2935" s="238"/>
      <c r="AF2935" s="239"/>
      <c r="AG2935" s="239"/>
      <c r="AH2935" s="124"/>
      <c r="AI2935" s="74"/>
      <c r="AJ2935" s="240"/>
      <c r="AL2935" s="124"/>
      <c r="AM2935" s="74"/>
      <c r="AP2935" s="125"/>
      <c r="AQ2935" s="241"/>
      <c r="AR2935" s="125"/>
      <c r="AS2935" s="125"/>
      <c r="AT2935" s="238"/>
      <c r="AU2935" s="125"/>
      <c r="AV2935" s="125"/>
      <c r="AW2935" s="125"/>
      <c r="AX2935" s="238"/>
      <c r="AY2935" s="125"/>
      <c r="AZ2935" s="125"/>
      <c r="BA2935" s="125"/>
    </row>
    <row r="2936" spans="2:53" s="123" customFormat="1">
      <c r="B2936" s="125"/>
      <c r="D2936" s="125"/>
      <c r="I2936" s="125"/>
      <c r="Z2936" s="124"/>
      <c r="AA2936" s="74"/>
      <c r="AB2936" s="240"/>
      <c r="AD2936" s="124"/>
      <c r="AE2936" s="238"/>
      <c r="AF2936" s="239"/>
      <c r="AG2936" s="239"/>
      <c r="AH2936" s="124"/>
      <c r="AI2936" s="74"/>
      <c r="AJ2936" s="240"/>
      <c r="AL2936" s="124"/>
      <c r="AM2936" s="74"/>
      <c r="AP2936" s="125"/>
      <c r="AQ2936" s="241"/>
      <c r="AR2936" s="125"/>
      <c r="AS2936" s="125"/>
      <c r="AT2936" s="238"/>
      <c r="AU2936" s="125"/>
      <c r="AV2936" s="125"/>
      <c r="AW2936" s="125"/>
      <c r="AX2936" s="238"/>
      <c r="AY2936" s="125"/>
      <c r="AZ2936" s="125"/>
      <c r="BA2936" s="125"/>
    </row>
    <row r="2937" spans="2:53" s="123" customFormat="1">
      <c r="B2937" s="125"/>
      <c r="D2937" s="125"/>
      <c r="I2937" s="125"/>
      <c r="Z2937" s="124"/>
      <c r="AA2937" s="74"/>
      <c r="AB2937" s="240"/>
      <c r="AD2937" s="124"/>
      <c r="AE2937" s="238"/>
      <c r="AF2937" s="239"/>
      <c r="AG2937" s="239"/>
      <c r="AH2937" s="124"/>
      <c r="AI2937" s="74"/>
      <c r="AJ2937" s="240"/>
      <c r="AL2937" s="124"/>
      <c r="AM2937" s="74"/>
      <c r="AP2937" s="125"/>
      <c r="AQ2937" s="241"/>
      <c r="AR2937" s="125"/>
      <c r="AS2937" s="125"/>
      <c r="AT2937" s="238"/>
      <c r="AU2937" s="125"/>
      <c r="AV2937" s="125"/>
      <c r="AW2937" s="125"/>
      <c r="AX2937" s="238"/>
      <c r="AY2937" s="125"/>
      <c r="AZ2937" s="125"/>
      <c r="BA2937" s="125"/>
    </row>
    <row r="2938" spans="2:53" s="123" customFormat="1">
      <c r="B2938" s="125"/>
      <c r="D2938" s="125"/>
      <c r="I2938" s="125"/>
      <c r="Z2938" s="124"/>
      <c r="AA2938" s="74"/>
      <c r="AB2938" s="240"/>
      <c r="AD2938" s="124"/>
      <c r="AE2938" s="238"/>
      <c r="AF2938" s="239"/>
      <c r="AG2938" s="239"/>
      <c r="AH2938" s="124"/>
      <c r="AI2938" s="74"/>
      <c r="AJ2938" s="240"/>
      <c r="AL2938" s="124"/>
      <c r="AM2938" s="74"/>
      <c r="AP2938" s="125"/>
      <c r="AQ2938" s="241"/>
      <c r="AR2938" s="125"/>
      <c r="AS2938" s="125"/>
      <c r="AT2938" s="238"/>
      <c r="AU2938" s="125"/>
      <c r="AV2938" s="125"/>
      <c r="AW2938" s="125"/>
      <c r="AX2938" s="238"/>
      <c r="AY2938" s="125"/>
      <c r="AZ2938" s="125"/>
      <c r="BA2938" s="125"/>
    </row>
    <row r="2939" spans="2:53" s="123" customFormat="1">
      <c r="B2939" s="125"/>
      <c r="D2939" s="125"/>
      <c r="I2939" s="125"/>
      <c r="Z2939" s="124"/>
      <c r="AA2939" s="74"/>
      <c r="AB2939" s="240"/>
      <c r="AD2939" s="124"/>
      <c r="AE2939" s="238"/>
      <c r="AF2939" s="239"/>
      <c r="AG2939" s="239"/>
      <c r="AH2939" s="124"/>
      <c r="AI2939" s="74"/>
      <c r="AJ2939" s="240"/>
      <c r="AL2939" s="124"/>
      <c r="AM2939" s="74"/>
      <c r="AP2939" s="125"/>
      <c r="AQ2939" s="241"/>
      <c r="AR2939" s="125"/>
      <c r="AS2939" s="125"/>
      <c r="AT2939" s="238"/>
      <c r="AU2939" s="125"/>
      <c r="AV2939" s="125"/>
      <c r="AW2939" s="125"/>
      <c r="AX2939" s="238"/>
      <c r="AY2939" s="125"/>
      <c r="AZ2939" s="125"/>
      <c r="BA2939" s="125"/>
    </row>
    <row r="2940" spans="2:53" s="123" customFormat="1">
      <c r="B2940" s="125"/>
      <c r="D2940" s="125"/>
      <c r="I2940" s="125"/>
      <c r="Z2940" s="124"/>
      <c r="AA2940" s="74"/>
      <c r="AB2940" s="240"/>
      <c r="AD2940" s="124"/>
      <c r="AE2940" s="238"/>
      <c r="AF2940" s="239"/>
      <c r="AG2940" s="239"/>
      <c r="AH2940" s="124"/>
      <c r="AI2940" s="74"/>
      <c r="AJ2940" s="240"/>
      <c r="AL2940" s="124"/>
      <c r="AM2940" s="74"/>
      <c r="AP2940" s="125"/>
      <c r="AQ2940" s="241"/>
      <c r="AR2940" s="125"/>
      <c r="AS2940" s="125"/>
      <c r="AT2940" s="238"/>
      <c r="AU2940" s="125"/>
      <c r="AV2940" s="125"/>
      <c r="AW2940" s="125"/>
      <c r="AX2940" s="238"/>
      <c r="AY2940" s="125"/>
      <c r="AZ2940" s="125"/>
      <c r="BA2940" s="125"/>
    </row>
    <row r="2941" spans="2:53" s="123" customFormat="1">
      <c r="B2941" s="125"/>
      <c r="D2941" s="125"/>
      <c r="I2941" s="125"/>
      <c r="Z2941" s="124"/>
      <c r="AA2941" s="74"/>
      <c r="AB2941" s="240"/>
      <c r="AD2941" s="124"/>
      <c r="AE2941" s="238"/>
      <c r="AF2941" s="239"/>
      <c r="AG2941" s="239"/>
      <c r="AH2941" s="124"/>
      <c r="AI2941" s="74"/>
      <c r="AJ2941" s="240"/>
      <c r="AL2941" s="124"/>
      <c r="AM2941" s="74"/>
      <c r="AP2941" s="125"/>
      <c r="AQ2941" s="241"/>
      <c r="AR2941" s="125"/>
      <c r="AS2941" s="125"/>
      <c r="AT2941" s="238"/>
      <c r="AU2941" s="125"/>
      <c r="AV2941" s="125"/>
      <c r="AW2941" s="125"/>
      <c r="AX2941" s="238"/>
      <c r="AY2941" s="125"/>
      <c r="AZ2941" s="125"/>
      <c r="BA2941" s="125"/>
    </row>
    <row r="2942" spans="2:53" s="123" customFormat="1">
      <c r="B2942" s="125"/>
      <c r="D2942" s="125"/>
      <c r="I2942" s="125"/>
      <c r="Z2942" s="124"/>
      <c r="AA2942" s="74"/>
      <c r="AB2942" s="240"/>
      <c r="AD2942" s="124"/>
      <c r="AE2942" s="238"/>
      <c r="AF2942" s="239"/>
      <c r="AG2942" s="239"/>
      <c r="AH2942" s="124"/>
      <c r="AI2942" s="74"/>
      <c r="AJ2942" s="240"/>
      <c r="AL2942" s="124"/>
      <c r="AM2942" s="74"/>
      <c r="AP2942" s="125"/>
      <c r="AQ2942" s="241"/>
      <c r="AR2942" s="125"/>
      <c r="AS2942" s="125"/>
      <c r="AT2942" s="238"/>
      <c r="AU2942" s="125"/>
      <c r="AV2942" s="125"/>
      <c r="AW2942" s="125"/>
      <c r="AX2942" s="238"/>
      <c r="AY2942" s="125"/>
      <c r="AZ2942" s="125"/>
      <c r="BA2942" s="125"/>
    </row>
    <row r="2943" spans="2:53" s="123" customFormat="1">
      <c r="B2943" s="125"/>
      <c r="D2943" s="125"/>
      <c r="I2943" s="125"/>
      <c r="Z2943" s="124"/>
      <c r="AA2943" s="74"/>
      <c r="AB2943" s="240"/>
      <c r="AD2943" s="124"/>
      <c r="AE2943" s="238"/>
      <c r="AF2943" s="239"/>
      <c r="AG2943" s="239"/>
      <c r="AH2943" s="124"/>
      <c r="AI2943" s="74"/>
      <c r="AJ2943" s="240"/>
      <c r="AL2943" s="124"/>
      <c r="AM2943" s="74"/>
      <c r="AP2943" s="125"/>
      <c r="AQ2943" s="241"/>
      <c r="AR2943" s="125"/>
      <c r="AS2943" s="125"/>
      <c r="AT2943" s="238"/>
      <c r="AU2943" s="125"/>
      <c r="AV2943" s="125"/>
      <c r="AW2943" s="125"/>
      <c r="AX2943" s="238"/>
      <c r="AY2943" s="125"/>
      <c r="AZ2943" s="125"/>
      <c r="BA2943" s="125"/>
    </row>
    <row r="2944" spans="2:53" s="123" customFormat="1">
      <c r="B2944" s="125"/>
      <c r="D2944" s="125"/>
      <c r="I2944" s="125"/>
      <c r="Z2944" s="124"/>
      <c r="AA2944" s="74"/>
      <c r="AB2944" s="240"/>
      <c r="AD2944" s="124"/>
      <c r="AE2944" s="238"/>
      <c r="AF2944" s="239"/>
      <c r="AG2944" s="239"/>
      <c r="AH2944" s="124"/>
      <c r="AI2944" s="74"/>
      <c r="AJ2944" s="240"/>
      <c r="AL2944" s="124"/>
      <c r="AM2944" s="74"/>
      <c r="AP2944" s="125"/>
      <c r="AQ2944" s="241"/>
      <c r="AR2944" s="125"/>
      <c r="AS2944" s="125"/>
      <c r="AT2944" s="238"/>
      <c r="AU2944" s="125"/>
      <c r="AV2944" s="125"/>
      <c r="AW2944" s="125"/>
      <c r="AX2944" s="238"/>
      <c r="AY2944" s="125"/>
      <c r="AZ2944" s="125"/>
      <c r="BA2944" s="125"/>
    </row>
    <row r="2945" spans="2:53" s="123" customFormat="1">
      <c r="B2945" s="125"/>
      <c r="D2945" s="125"/>
      <c r="I2945" s="125"/>
      <c r="Z2945" s="124"/>
      <c r="AA2945" s="74"/>
      <c r="AB2945" s="240"/>
      <c r="AD2945" s="124"/>
      <c r="AE2945" s="238"/>
      <c r="AF2945" s="239"/>
      <c r="AG2945" s="239"/>
      <c r="AH2945" s="124"/>
      <c r="AI2945" s="74"/>
      <c r="AJ2945" s="240"/>
      <c r="AL2945" s="124"/>
      <c r="AM2945" s="74"/>
      <c r="AP2945" s="125"/>
      <c r="AQ2945" s="241"/>
      <c r="AR2945" s="125"/>
      <c r="AS2945" s="125"/>
      <c r="AT2945" s="238"/>
      <c r="AU2945" s="125"/>
      <c r="AV2945" s="125"/>
      <c r="AW2945" s="125"/>
      <c r="AX2945" s="238"/>
      <c r="AY2945" s="125"/>
      <c r="AZ2945" s="125"/>
      <c r="BA2945" s="125"/>
    </row>
    <row r="2946" spans="2:53" s="123" customFormat="1">
      <c r="B2946" s="125"/>
      <c r="D2946" s="125"/>
      <c r="I2946" s="125"/>
      <c r="Z2946" s="124"/>
      <c r="AA2946" s="74"/>
      <c r="AB2946" s="240"/>
      <c r="AD2946" s="124"/>
      <c r="AE2946" s="238"/>
      <c r="AF2946" s="239"/>
      <c r="AG2946" s="239"/>
      <c r="AH2946" s="124"/>
      <c r="AI2946" s="74"/>
      <c r="AJ2946" s="240"/>
      <c r="AL2946" s="124"/>
      <c r="AM2946" s="74"/>
      <c r="AP2946" s="125"/>
      <c r="AQ2946" s="241"/>
      <c r="AR2946" s="125"/>
      <c r="AS2946" s="125"/>
      <c r="AT2946" s="238"/>
      <c r="AU2946" s="125"/>
      <c r="AV2946" s="125"/>
      <c r="AW2946" s="125"/>
      <c r="AX2946" s="238"/>
      <c r="AY2946" s="125"/>
      <c r="AZ2946" s="125"/>
      <c r="BA2946" s="125"/>
    </row>
    <row r="2947" spans="2:53" s="123" customFormat="1">
      <c r="B2947" s="125"/>
      <c r="D2947" s="125"/>
      <c r="I2947" s="125"/>
      <c r="Z2947" s="124"/>
      <c r="AA2947" s="74"/>
      <c r="AB2947" s="240"/>
      <c r="AD2947" s="124"/>
      <c r="AE2947" s="238"/>
      <c r="AF2947" s="239"/>
      <c r="AG2947" s="239"/>
      <c r="AH2947" s="124"/>
      <c r="AI2947" s="74"/>
      <c r="AJ2947" s="240"/>
      <c r="AL2947" s="124"/>
      <c r="AM2947" s="74"/>
      <c r="AP2947" s="125"/>
      <c r="AQ2947" s="241"/>
      <c r="AR2947" s="125"/>
      <c r="AS2947" s="125"/>
      <c r="AT2947" s="238"/>
      <c r="AU2947" s="125"/>
      <c r="AV2947" s="125"/>
      <c r="AW2947" s="125"/>
      <c r="AX2947" s="238"/>
      <c r="AY2947" s="125"/>
      <c r="AZ2947" s="125"/>
      <c r="BA2947" s="125"/>
    </row>
    <row r="2948" spans="2:53" s="123" customFormat="1">
      <c r="B2948" s="125"/>
      <c r="D2948" s="125"/>
      <c r="I2948" s="125"/>
      <c r="Z2948" s="124"/>
      <c r="AA2948" s="74"/>
      <c r="AB2948" s="240"/>
      <c r="AD2948" s="124"/>
      <c r="AE2948" s="238"/>
      <c r="AF2948" s="239"/>
      <c r="AG2948" s="239"/>
      <c r="AH2948" s="124"/>
      <c r="AI2948" s="74"/>
      <c r="AJ2948" s="240"/>
      <c r="AL2948" s="124"/>
      <c r="AM2948" s="74"/>
      <c r="AP2948" s="125"/>
      <c r="AQ2948" s="241"/>
      <c r="AR2948" s="125"/>
      <c r="AS2948" s="125"/>
      <c r="AT2948" s="238"/>
      <c r="AU2948" s="125"/>
      <c r="AV2948" s="125"/>
      <c r="AW2948" s="125"/>
      <c r="AX2948" s="238"/>
      <c r="AY2948" s="125"/>
      <c r="AZ2948" s="125"/>
      <c r="BA2948" s="125"/>
    </row>
    <row r="2949" spans="2:53" s="123" customFormat="1">
      <c r="B2949" s="125"/>
      <c r="D2949" s="125"/>
      <c r="I2949" s="125"/>
      <c r="Z2949" s="124"/>
      <c r="AA2949" s="74"/>
      <c r="AB2949" s="240"/>
      <c r="AD2949" s="124"/>
      <c r="AE2949" s="238"/>
      <c r="AF2949" s="239"/>
      <c r="AG2949" s="239"/>
      <c r="AH2949" s="124"/>
      <c r="AI2949" s="74"/>
      <c r="AJ2949" s="240"/>
      <c r="AL2949" s="124"/>
      <c r="AM2949" s="74"/>
      <c r="AP2949" s="125"/>
      <c r="AQ2949" s="241"/>
      <c r="AR2949" s="125"/>
      <c r="AS2949" s="125"/>
      <c r="AT2949" s="238"/>
      <c r="AU2949" s="125"/>
      <c r="AV2949" s="125"/>
      <c r="AW2949" s="125"/>
      <c r="AX2949" s="238"/>
      <c r="AY2949" s="125"/>
      <c r="AZ2949" s="125"/>
      <c r="BA2949" s="125"/>
    </row>
    <row r="2950" spans="2:53" s="123" customFormat="1">
      <c r="B2950" s="125"/>
      <c r="D2950" s="125"/>
      <c r="I2950" s="125"/>
      <c r="Z2950" s="124"/>
      <c r="AA2950" s="74"/>
      <c r="AB2950" s="240"/>
      <c r="AD2950" s="124"/>
      <c r="AE2950" s="238"/>
      <c r="AF2950" s="239"/>
      <c r="AG2950" s="239"/>
      <c r="AH2950" s="124"/>
      <c r="AI2950" s="74"/>
      <c r="AJ2950" s="240"/>
      <c r="AL2950" s="124"/>
      <c r="AM2950" s="74"/>
      <c r="AP2950" s="125"/>
      <c r="AQ2950" s="241"/>
      <c r="AR2950" s="125"/>
      <c r="AS2950" s="125"/>
      <c r="AT2950" s="238"/>
      <c r="AU2950" s="125"/>
      <c r="AV2950" s="125"/>
      <c r="AW2950" s="125"/>
      <c r="AX2950" s="238"/>
      <c r="AY2950" s="125"/>
      <c r="AZ2950" s="125"/>
      <c r="BA2950" s="125"/>
    </row>
    <row r="2951" spans="2:53" s="123" customFormat="1">
      <c r="B2951" s="125"/>
      <c r="D2951" s="125"/>
      <c r="I2951" s="125"/>
      <c r="Z2951" s="124"/>
      <c r="AA2951" s="74"/>
      <c r="AB2951" s="240"/>
      <c r="AD2951" s="124"/>
      <c r="AE2951" s="238"/>
      <c r="AF2951" s="239"/>
      <c r="AG2951" s="239"/>
      <c r="AH2951" s="124"/>
      <c r="AI2951" s="74"/>
      <c r="AJ2951" s="240"/>
      <c r="AL2951" s="124"/>
      <c r="AM2951" s="74"/>
      <c r="AP2951" s="125"/>
      <c r="AQ2951" s="241"/>
      <c r="AR2951" s="125"/>
      <c r="AS2951" s="125"/>
      <c r="AT2951" s="238"/>
      <c r="AU2951" s="125"/>
      <c r="AV2951" s="125"/>
      <c r="AW2951" s="125"/>
      <c r="AX2951" s="238"/>
      <c r="AY2951" s="125"/>
      <c r="AZ2951" s="125"/>
      <c r="BA2951" s="125"/>
    </row>
    <row r="2952" spans="2:53" s="123" customFormat="1">
      <c r="B2952" s="125"/>
      <c r="D2952" s="125"/>
      <c r="I2952" s="125"/>
      <c r="Z2952" s="124"/>
      <c r="AA2952" s="74"/>
      <c r="AB2952" s="240"/>
      <c r="AD2952" s="124"/>
      <c r="AE2952" s="238"/>
      <c r="AF2952" s="239"/>
      <c r="AG2952" s="239"/>
      <c r="AH2952" s="124"/>
      <c r="AI2952" s="74"/>
      <c r="AJ2952" s="240"/>
      <c r="AL2952" s="124"/>
      <c r="AM2952" s="74"/>
      <c r="AP2952" s="125"/>
      <c r="AQ2952" s="241"/>
      <c r="AR2952" s="125"/>
      <c r="AS2952" s="125"/>
      <c r="AT2952" s="238"/>
      <c r="AU2952" s="125"/>
      <c r="AV2952" s="125"/>
      <c r="AW2952" s="125"/>
      <c r="AX2952" s="238"/>
      <c r="AY2952" s="125"/>
      <c r="AZ2952" s="125"/>
      <c r="BA2952" s="125"/>
    </row>
    <row r="2953" spans="2:53" s="123" customFormat="1">
      <c r="B2953" s="125"/>
      <c r="D2953" s="125"/>
      <c r="I2953" s="125"/>
      <c r="Z2953" s="124"/>
      <c r="AA2953" s="74"/>
      <c r="AB2953" s="240"/>
      <c r="AD2953" s="124"/>
      <c r="AE2953" s="238"/>
      <c r="AF2953" s="239"/>
      <c r="AG2953" s="239"/>
      <c r="AH2953" s="124"/>
      <c r="AI2953" s="74"/>
      <c r="AJ2953" s="240"/>
      <c r="AL2953" s="124"/>
      <c r="AM2953" s="74"/>
      <c r="AP2953" s="125"/>
      <c r="AQ2953" s="241"/>
      <c r="AR2953" s="125"/>
      <c r="AS2953" s="125"/>
      <c r="AT2953" s="238"/>
      <c r="AU2953" s="125"/>
      <c r="AV2953" s="125"/>
      <c r="AW2953" s="125"/>
      <c r="AX2953" s="238"/>
      <c r="AY2953" s="125"/>
      <c r="AZ2953" s="125"/>
      <c r="BA2953" s="125"/>
    </row>
    <row r="2954" spans="2:53" s="123" customFormat="1">
      <c r="B2954" s="125"/>
      <c r="D2954" s="125"/>
      <c r="I2954" s="125"/>
      <c r="Z2954" s="124"/>
      <c r="AA2954" s="74"/>
      <c r="AB2954" s="240"/>
      <c r="AD2954" s="124"/>
      <c r="AE2954" s="238"/>
      <c r="AF2954" s="239"/>
      <c r="AG2954" s="239"/>
      <c r="AH2954" s="124"/>
      <c r="AI2954" s="74"/>
      <c r="AJ2954" s="240"/>
      <c r="AL2954" s="124"/>
      <c r="AM2954" s="74"/>
      <c r="AP2954" s="125"/>
      <c r="AQ2954" s="241"/>
      <c r="AR2954" s="125"/>
      <c r="AS2954" s="125"/>
      <c r="AT2954" s="238"/>
      <c r="AU2954" s="125"/>
      <c r="AV2954" s="125"/>
      <c r="AW2954" s="125"/>
      <c r="AX2954" s="238"/>
      <c r="AY2954" s="125"/>
      <c r="AZ2954" s="125"/>
      <c r="BA2954" s="125"/>
    </row>
    <row r="2955" spans="2:53" s="123" customFormat="1">
      <c r="B2955" s="125"/>
      <c r="D2955" s="125"/>
      <c r="I2955" s="125"/>
      <c r="Z2955" s="124"/>
      <c r="AA2955" s="74"/>
      <c r="AB2955" s="240"/>
      <c r="AD2955" s="124"/>
      <c r="AE2955" s="238"/>
      <c r="AF2955" s="239"/>
      <c r="AG2955" s="239"/>
      <c r="AH2955" s="124"/>
      <c r="AI2955" s="74"/>
      <c r="AJ2955" s="240"/>
      <c r="AL2955" s="124"/>
      <c r="AM2955" s="74"/>
      <c r="AP2955" s="125"/>
      <c r="AQ2955" s="241"/>
      <c r="AR2955" s="125"/>
      <c r="AS2955" s="125"/>
      <c r="AT2955" s="238"/>
      <c r="AU2955" s="125"/>
      <c r="AV2955" s="125"/>
      <c r="AW2955" s="125"/>
      <c r="AX2955" s="238"/>
      <c r="AY2955" s="125"/>
      <c r="AZ2955" s="125"/>
      <c r="BA2955" s="125"/>
    </row>
    <row r="2956" spans="2:53" s="123" customFormat="1">
      <c r="B2956" s="125"/>
      <c r="D2956" s="125"/>
      <c r="I2956" s="125"/>
      <c r="Z2956" s="124"/>
      <c r="AA2956" s="74"/>
      <c r="AB2956" s="240"/>
      <c r="AD2956" s="124"/>
      <c r="AE2956" s="238"/>
      <c r="AF2956" s="239"/>
      <c r="AG2956" s="239"/>
      <c r="AH2956" s="124"/>
      <c r="AI2956" s="74"/>
      <c r="AJ2956" s="240"/>
      <c r="AL2956" s="124"/>
      <c r="AM2956" s="74"/>
      <c r="AP2956" s="125"/>
      <c r="AQ2956" s="241"/>
      <c r="AR2956" s="125"/>
      <c r="AS2956" s="125"/>
      <c r="AT2956" s="238"/>
      <c r="AU2956" s="125"/>
      <c r="AV2956" s="125"/>
      <c r="AW2956" s="125"/>
      <c r="AX2956" s="238"/>
      <c r="AY2956" s="125"/>
      <c r="AZ2956" s="125"/>
      <c r="BA2956" s="125"/>
    </row>
    <row r="2957" spans="2:53" s="123" customFormat="1">
      <c r="B2957" s="125"/>
      <c r="D2957" s="125"/>
      <c r="I2957" s="125"/>
      <c r="Z2957" s="124"/>
      <c r="AA2957" s="74"/>
      <c r="AB2957" s="240"/>
      <c r="AD2957" s="124"/>
      <c r="AE2957" s="238"/>
      <c r="AF2957" s="239"/>
      <c r="AG2957" s="239"/>
      <c r="AH2957" s="124"/>
      <c r="AI2957" s="74"/>
      <c r="AJ2957" s="240"/>
      <c r="AL2957" s="124"/>
      <c r="AM2957" s="74"/>
      <c r="AP2957" s="125"/>
      <c r="AQ2957" s="241"/>
      <c r="AR2957" s="125"/>
      <c r="AS2957" s="125"/>
      <c r="AT2957" s="238"/>
      <c r="AU2957" s="125"/>
      <c r="AV2957" s="125"/>
      <c r="AW2957" s="125"/>
      <c r="AX2957" s="238"/>
      <c r="AY2957" s="125"/>
      <c r="AZ2957" s="125"/>
      <c r="BA2957" s="125"/>
    </row>
    <row r="2958" spans="2:53" s="123" customFormat="1">
      <c r="B2958" s="125"/>
      <c r="D2958" s="125"/>
      <c r="I2958" s="125"/>
      <c r="Z2958" s="124"/>
      <c r="AA2958" s="74"/>
      <c r="AB2958" s="240"/>
      <c r="AD2958" s="124"/>
      <c r="AE2958" s="238"/>
      <c r="AF2958" s="239"/>
      <c r="AG2958" s="239"/>
      <c r="AH2958" s="124"/>
      <c r="AI2958" s="74"/>
      <c r="AJ2958" s="240"/>
      <c r="AL2958" s="124"/>
      <c r="AM2958" s="74"/>
      <c r="AP2958" s="125"/>
      <c r="AQ2958" s="241"/>
      <c r="AR2958" s="125"/>
      <c r="AS2958" s="125"/>
      <c r="AT2958" s="238"/>
      <c r="AU2958" s="125"/>
      <c r="AV2958" s="125"/>
      <c r="AW2958" s="125"/>
      <c r="AX2958" s="238"/>
      <c r="AY2958" s="125"/>
      <c r="AZ2958" s="125"/>
      <c r="BA2958" s="125"/>
    </row>
    <row r="2959" spans="2:53" s="123" customFormat="1">
      <c r="B2959" s="125"/>
      <c r="D2959" s="125"/>
      <c r="I2959" s="125"/>
      <c r="Z2959" s="124"/>
      <c r="AA2959" s="74"/>
      <c r="AB2959" s="240"/>
      <c r="AD2959" s="124"/>
      <c r="AE2959" s="238"/>
      <c r="AF2959" s="239"/>
      <c r="AG2959" s="239"/>
      <c r="AH2959" s="124"/>
      <c r="AI2959" s="74"/>
      <c r="AJ2959" s="240"/>
      <c r="AL2959" s="124"/>
      <c r="AM2959" s="74"/>
      <c r="AP2959" s="125"/>
      <c r="AQ2959" s="241"/>
      <c r="AR2959" s="125"/>
      <c r="AS2959" s="125"/>
      <c r="AT2959" s="238"/>
      <c r="AU2959" s="125"/>
      <c r="AV2959" s="125"/>
      <c r="AW2959" s="125"/>
      <c r="AX2959" s="238"/>
      <c r="AY2959" s="125"/>
      <c r="AZ2959" s="125"/>
      <c r="BA2959" s="125"/>
    </row>
    <row r="2960" spans="2:53" s="123" customFormat="1">
      <c r="B2960" s="125"/>
      <c r="D2960" s="125"/>
      <c r="I2960" s="125"/>
      <c r="Z2960" s="124"/>
      <c r="AA2960" s="74"/>
      <c r="AB2960" s="240"/>
      <c r="AD2960" s="124"/>
      <c r="AE2960" s="238"/>
      <c r="AF2960" s="239"/>
      <c r="AG2960" s="239"/>
      <c r="AH2960" s="124"/>
      <c r="AI2960" s="74"/>
      <c r="AJ2960" s="240"/>
      <c r="AL2960" s="124"/>
      <c r="AM2960" s="74"/>
      <c r="AP2960" s="125"/>
      <c r="AQ2960" s="241"/>
      <c r="AR2960" s="125"/>
      <c r="AS2960" s="125"/>
      <c r="AT2960" s="238"/>
      <c r="AU2960" s="125"/>
      <c r="AV2960" s="125"/>
      <c r="AW2960" s="125"/>
      <c r="AX2960" s="238"/>
      <c r="AY2960" s="125"/>
      <c r="AZ2960" s="125"/>
      <c r="BA2960" s="125"/>
    </row>
    <row r="2961" spans="2:53" s="123" customFormat="1">
      <c r="B2961" s="125"/>
      <c r="D2961" s="125"/>
      <c r="I2961" s="125"/>
      <c r="Z2961" s="124"/>
      <c r="AA2961" s="74"/>
      <c r="AB2961" s="240"/>
      <c r="AD2961" s="124"/>
      <c r="AE2961" s="238"/>
      <c r="AF2961" s="239"/>
      <c r="AG2961" s="239"/>
      <c r="AH2961" s="124"/>
      <c r="AI2961" s="74"/>
      <c r="AJ2961" s="240"/>
      <c r="AL2961" s="124"/>
      <c r="AM2961" s="74"/>
      <c r="AP2961" s="125"/>
      <c r="AQ2961" s="241"/>
      <c r="AR2961" s="125"/>
      <c r="AS2961" s="125"/>
      <c r="AT2961" s="238"/>
      <c r="AU2961" s="125"/>
      <c r="AV2961" s="125"/>
      <c r="AW2961" s="125"/>
      <c r="AX2961" s="238"/>
      <c r="AY2961" s="125"/>
      <c r="AZ2961" s="125"/>
      <c r="BA2961" s="125"/>
    </row>
    <row r="2962" spans="2:53" s="123" customFormat="1">
      <c r="B2962" s="125"/>
      <c r="D2962" s="125"/>
      <c r="I2962" s="125"/>
      <c r="Z2962" s="124"/>
      <c r="AA2962" s="74"/>
      <c r="AB2962" s="240"/>
      <c r="AD2962" s="124"/>
      <c r="AE2962" s="238"/>
      <c r="AF2962" s="239"/>
      <c r="AG2962" s="239"/>
      <c r="AH2962" s="124"/>
      <c r="AI2962" s="74"/>
      <c r="AJ2962" s="240"/>
      <c r="AL2962" s="124"/>
      <c r="AM2962" s="74"/>
      <c r="AP2962" s="125"/>
      <c r="AQ2962" s="241"/>
      <c r="AR2962" s="125"/>
      <c r="AS2962" s="125"/>
      <c r="AT2962" s="238"/>
      <c r="AU2962" s="125"/>
      <c r="AV2962" s="125"/>
      <c r="AW2962" s="125"/>
      <c r="AX2962" s="238"/>
      <c r="AY2962" s="125"/>
      <c r="AZ2962" s="125"/>
      <c r="BA2962" s="125"/>
    </row>
    <row r="2963" spans="2:53" s="123" customFormat="1">
      <c r="B2963" s="125"/>
      <c r="D2963" s="125"/>
      <c r="I2963" s="125"/>
      <c r="Z2963" s="124"/>
      <c r="AA2963" s="74"/>
      <c r="AB2963" s="240"/>
      <c r="AD2963" s="124"/>
      <c r="AE2963" s="238"/>
      <c r="AF2963" s="239"/>
      <c r="AG2963" s="239"/>
      <c r="AH2963" s="124"/>
      <c r="AI2963" s="74"/>
      <c r="AJ2963" s="240"/>
      <c r="AL2963" s="124"/>
      <c r="AM2963" s="74"/>
      <c r="AP2963" s="125"/>
      <c r="AQ2963" s="241"/>
      <c r="AR2963" s="125"/>
      <c r="AS2963" s="125"/>
      <c r="AT2963" s="238"/>
      <c r="AU2963" s="125"/>
      <c r="AV2963" s="125"/>
      <c r="AW2963" s="125"/>
      <c r="AX2963" s="238"/>
      <c r="AY2963" s="125"/>
      <c r="AZ2963" s="125"/>
      <c r="BA2963" s="125"/>
    </row>
    <row r="2964" spans="2:53" s="123" customFormat="1">
      <c r="B2964" s="125"/>
      <c r="D2964" s="125"/>
      <c r="I2964" s="125"/>
      <c r="Z2964" s="124"/>
      <c r="AA2964" s="74"/>
      <c r="AB2964" s="240"/>
      <c r="AD2964" s="124"/>
      <c r="AE2964" s="238"/>
      <c r="AF2964" s="239"/>
      <c r="AG2964" s="239"/>
      <c r="AH2964" s="124"/>
      <c r="AI2964" s="74"/>
      <c r="AJ2964" s="240"/>
      <c r="AL2964" s="124"/>
      <c r="AM2964" s="74"/>
      <c r="AP2964" s="125"/>
      <c r="AQ2964" s="241"/>
      <c r="AR2964" s="125"/>
      <c r="AS2964" s="125"/>
      <c r="AT2964" s="238"/>
      <c r="AU2964" s="125"/>
      <c r="AV2964" s="125"/>
      <c r="AW2964" s="125"/>
      <c r="AX2964" s="238"/>
      <c r="AY2964" s="125"/>
      <c r="AZ2964" s="125"/>
      <c r="BA2964" s="125"/>
    </row>
    <row r="2965" spans="2:53" s="123" customFormat="1">
      <c r="B2965" s="125"/>
      <c r="D2965" s="125"/>
      <c r="I2965" s="125"/>
      <c r="Z2965" s="124"/>
      <c r="AA2965" s="74"/>
      <c r="AB2965" s="240"/>
      <c r="AD2965" s="124"/>
      <c r="AE2965" s="238"/>
      <c r="AF2965" s="239"/>
      <c r="AG2965" s="239"/>
      <c r="AH2965" s="124"/>
      <c r="AI2965" s="74"/>
      <c r="AJ2965" s="240"/>
      <c r="AL2965" s="124"/>
      <c r="AM2965" s="74"/>
      <c r="AP2965" s="125"/>
      <c r="AQ2965" s="241"/>
      <c r="AR2965" s="125"/>
      <c r="AS2965" s="125"/>
      <c r="AT2965" s="238"/>
      <c r="AU2965" s="125"/>
      <c r="AV2965" s="125"/>
      <c r="AW2965" s="125"/>
      <c r="AX2965" s="238"/>
      <c r="AY2965" s="125"/>
      <c r="AZ2965" s="125"/>
      <c r="BA2965" s="125"/>
    </row>
    <row r="2966" spans="2:53" s="123" customFormat="1">
      <c r="B2966" s="125"/>
      <c r="D2966" s="125"/>
      <c r="I2966" s="125"/>
      <c r="Z2966" s="124"/>
      <c r="AA2966" s="74"/>
      <c r="AB2966" s="240"/>
      <c r="AD2966" s="124"/>
      <c r="AE2966" s="238"/>
      <c r="AF2966" s="239"/>
      <c r="AG2966" s="239"/>
      <c r="AH2966" s="124"/>
      <c r="AI2966" s="74"/>
      <c r="AJ2966" s="240"/>
      <c r="AL2966" s="124"/>
      <c r="AM2966" s="74"/>
      <c r="AP2966" s="125"/>
      <c r="AQ2966" s="241"/>
      <c r="AR2966" s="125"/>
      <c r="AS2966" s="125"/>
      <c r="AT2966" s="238"/>
      <c r="AU2966" s="125"/>
      <c r="AV2966" s="125"/>
      <c r="AW2966" s="125"/>
      <c r="AX2966" s="238"/>
      <c r="AY2966" s="125"/>
      <c r="AZ2966" s="125"/>
      <c r="BA2966" s="125"/>
    </row>
    <row r="2967" spans="2:53" s="123" customFormat="1">
      <c r="B2967" s="125"/>
      <c r="D2967" s="125"/>
      <c r="I2967" s="125"/>
      <c r="Z2967" s="124"/>
      <c r="AA2967" s="74"/>
      <c r="AB2967" s="240"/>
      <c r="AD2967" s="124"/>
      <c r="AE2967" s="238"/>
      <c r="AF2967" s="239"/>
      <c r="AG2967" s="239"/>
      <c r="AH2967" s="124"/>
      <c r="AI2967" s="74"/>
      <c r="AJ2967" s="240"/>
      <c r="AL2967" s="124"/>
      <c r="AM2967" s="74"/>
      <c r="AP2967" s="125"/>
      <c r="AQ2967" s="241"/>
      <c r="AR2967" s="125"/>
      <c r="AS2967" s="125"/>
      <c r="AT2967" s="238"/>
      <c r="AU2967" s="125"/>
      <c r="AV2967" s="125"/>
      <c r="AW2967" s="125"/>
      <c r="AX2967" s="238"/>
      <c r="AY2967" s="125"/>
      <c r="AZ2967" s="125"/>
      <c r="BA2967" s="125"/>
    </row>
    <row r="2968" spans="2:53" s="123" customFormat="1">
      <c r="B2968" s="125"/>
      <c r="D2968" s="125"/>
      <c r="I2968" s="125"/>
      <c r="Z2968" s="124"/>
      <c r="AA2968" s="74"/>
      <c r="AB2968" s="240"/>
      <c r="AD2968" s="124"/>
      <c r="AE2968" s="238"/>
      <c r="AF2968" s="239"/>
      <c r="AG2968" s="239"/>
      <c r="AH2968" s="124"/>
      <c r="AI2968" s="74"/>
      <c r="AJ2968" s="240"/>
      <c r="AL2968" s="124"/>
      <c r="AM2968" s="74"/>
      <c r="AP2968" s="125"/>
      <c r="AQ2968" s="241"/>
      <c r="AR2968" s="125"/>
      <c r="AS2968" s="125"/>
      <c r="AT2968" s="238"/>
      <c r="AU2968" s="125"/>
      <c r="AV2968" s="125"/>
      <c r="AW2968" s="125"/>
      <c r="AX2968" s="238"/>
      <c r="AY2968" s="125"/>
      <c r="AZ2968" s="125"/>
      <c r="BA2968" s="125"/>
    </row>
    <row r="2969" spans="2:53" s="123" customFormat="1">
      <c r="B2969" s="125"/>
      <c r="D2969" s="125"/>
      <c r="I2969" s="125"/>
      <c r="Z2969" s="124"/>
      <c r="AA2969" s="74"/>
      <c r="AB2969" s="240"/>
      <c r="AD2969" s="124"/>
      <c r="AE2969" s="238"/>
      <c r="AF2969" s="239"/>
      <c r="AG2969" s="239"/>
      <c r="AH2969" s="124"/>
      <c r="AI2969" s="74"/>
      <c r="AJ2969" s="240"/>
      <c r="AL2969" s="124"/>
      <c r="AM2969" s="74"/>
      <c r="AP2969" s="125"/>
      <c r="AQ2969" s="241"/>
      <c r="AR2969" s="125"/>
      <c r="AS2969" s="125"/>
      <c r="AT2969" s="238"/>
      <c r="AU2969" s="125"/>
      <c r="AV2969" s="125"/>
      <c r="AW2969" s="125"/>
      <c r="AX2969" s="238"/>
      <c r="AY2969" s="125"/>
      <c r="AZ2969" s="125"/>
      <c r="BA2969" s="125"/>
    </row>
    <row r="2970" spans="2:53" s="123" customFormat="1">
      <c r="B2970" s="125"/>
      <c r="D2970" s="125"/>
      <c r="I2970" s="125"/>
      <c r="Z2970" s="124"/>
      <c r="AA2970" s="74"/>
      <c r="AB2970" s="240"/>
      <c r="AD2970" s="124"/>
      <c r="AE2970" s="238"/>
      <c r="AF2970" s="239"/>
      <c r="AG2970" s="239"/>
      <c r="AH2970" s="124"/>
      <c r="AI2970" s="74"/>
      <c r="AJ2970" s="240"/>
      <c r="AL2970" s="124"/>
      <c r="AM2970" s="74"/>
      <c r="AP2970" s="125"/>
      <c r="AQ2970" s="241"/>
      <c r="AR2970" s="125"/>
      <c r="AS2970" s="125"/>
      <c r="AT2970" s="238"/>
      <c r="AU2970" s="125"/>
      <c r="AV2970" s="125"/>
      <c r="AW2970" s="125"/>
      <c r="AX2970" s="238"/>
      <c r="AY2970" s="125"/>
      <c r="AZ2970" s="125"/>
      <c r="BA2970" s="125"/>
    </row>
    <row r="2971" spans="2:53" s="123" customFormat="1">
      <c r="B2971" s="125"/>
      <c r="D2971" s="125"/>
      <c r="I2971" s="125"/>
      <c r="Z2971" s="124"/>
      <c r="AA2971" s="74"/>
      <c r="AB2971" s="240"/>
      <c r="AD2971" s="124"/>
      <c r="AE2971" s="238"/>
      <c r="AF2971" s="239"/>
      <c r="AG2971" s="239"/>
      <c r="AH2971" s="124"/>
      <c r="AI2971" s="74"/>
      <c r="AJ2971" s="240"/>
      <c r="AL2971" s="124"/>
      <c r="AM2971" s="74"/>
      <c r="AP2971" s="125"/>
      <c r="AQ2971" s="241"/>
      <c r="AR2971" s="125"/>
      <c r="AS2971" s="125"/>
      <c r="AT2971" s="238"/>
      <c r="AU2971" s="125"/>
      <c r="AV2971" s="125"/>
      <c r="AW2971" s="125"/>
      <c r="AX2971" s="238"/>
      <c r="AY2971" s="125"/>
      <c r="AZ2971" s="125"/>
      <c r="BA2971" s="125"/>
    </row>
    <row r="2972" spans="2:53" s="123" customFormat="1">
      <c r="B2972" s="125"/>
      <c r="D2972" s="125"/>
      <c r="I2972" s="125"/>
      <c r="Z2972" s="124"/>
      <c r="AA2972" s="74"/>
      <c r="AB2972" s="240"/>
      <c r="AD2972" s="124"/>
      <c r="AE2972" s="238"/>
      <c r="AF2972" s="239"/>
      <c r="AG2972" s="239"/>
      <c r="AH2972" s="124"/>
      <c r="AI2972" s="74"/>
      <c r="AJ2972" s="240"/>
      <c r="AL2972" s="124"/>
      <c r="AM2972" s="74"/>
      <c r="AP2972" s="125"/>
      <c r="AQ2972" s="241"/>
      <c r="AR2972" s="125"/>
      <c r="AS2972" s="125"/>
      <c r="AT2972" s="238"/>
      <c r="AU2972" s="125"/>
      <c r="AV2972" s="125"/>
      <c r="AW2972" s="125"/>
      <c r="AX2972" s="238"/>
      <c r="AY2972" s="125"/>
      <c r="AZ2972" s="125"/>
      <c r="BA2972" s="125"/>
    </row>
    <row r="2973" spans="2:53" s="123" customFormat="1">
      <c r="B2973" s="125"/>
      <c r="D2973" s="125"/>
      <c r="I2973" s="125"/>
      <c r="Z2973" s="124"/>
      <c r="AA2973" s="74"/>
      <c r="AB2973" s="240"/>
      <c r="AD2973" s="124"/>
      <c r="AE2973" s="238"/>
      <c r="AF2973" s="239"/>
      <c r="AG2973" s="239"/>
      <c r="AH2973" s="124"/>
      <c r="AI2973" s="74"/>
      <c r="AJ2973" s="240"/>
      <c r="AL2973" s="124"/>
      <c r="AM2973" s="74"/>
      <c r="AP2973" s="125"/>
      <c r="AQ2973" s="241"/>
      <c r="AR2973" s="125"/>
      <c r="AS2973" s="125"/>
      <c r="AT2973" s="238"/>
      <c r="AU2973" s="125"/>
      <c r="AV2973" s="125"/>
      <c r="AW2973" s="125"/>
      <c r="AX2973" s="238"/>
      <c r="AY2973" s="125"/>
      <c r="AZ2973" s="125"/>
      <c r="BA2973" s="125"/>
    </row>
    <row r="2974" spans="2:53" s="123" customFormat="1">
      <c r="B2974" s="125"/>
      <c r="D2974" s="125"/>
      <c r="I2974" s="125"/>
      <c r="Z2974" s="124"/>
      <c r="AA2974" s="74"/>
      <c r="AB2974" s="240"/>
      <c r="AD2974" s="124"/>
      <c r="AE2974" s="238"/>
      <c r="AF2974" s="239"/>
      <c r="AG2974" s="239"/>
      <c r="AH2974" s="124"/>
      <c r="AI2974" s="74"/>
      <c r="AJ2974" s="240"/>
      <c r="AL2974" s="124"/>
      <c r="AM2974" s="74"/>
      <c r="AP2974" s="125"/>
      <c r="AQ2974" s="241"/>
      <c r="AR2974" s="125"/>
      <c r="AS2974" s="125"/>
      <c r="AT2974" s="238"/>
      <c r="AU2974" s="125"/>
      <c r="AV2974" s="125"/>
      <c r="AW2974" s="125"/>
      <c r="AX2974" s="238"/>
      <c r="AY2974" s="125"/>
      <c r="AZ2974" s="125"/>
      <c r="BA2974" s="125"/>
    </row>
    <row r="2975" spans="2:53" s="123" customFormat="1">
      <c r="B2975" s="125"/>
      <c r="D2975" s="125"/>
      <c r="I2975" s="125"/>
      <c r="Z2975" s="124"/>
      <c r="AA2975" s="74"/>
      <c r="AB2975" s="240"/>
      <c r="AD2975" s="124"/>
      <c r="AE2975" s="238"/>
      <c r="AF2975" s="239"/>
      <c r="AG2975" s="239"/>
      <c r="AH2975" s="124"/>
      <c r="AI2975" s="74"/>
      <c r="AJ2975" s="240"/>
      <c r="AL2975" s="124"/>
      <c r="AM2975" s="74"/>
      <c r="AP2975" s="125"/>
      <c r="AQ2975" s="241"/>
      <c r="AR2975" s="125"/>
      <c r="AS2975" s="125"/>
      <c r="AT2975" s="238"/>
      <c r="AU2975" s="125"/>
      <c r="AV2975" s="125"/>
      <c r="AW2975" s="125"/>
      <c r="AX2975" s="238"/>
      <c r="AY2975" s="125"/>
      <c r="AZ2975" s="125"/>
      <c r="BA2975" s="125"/>
    </row>
    <row r="2976" spans="2:53" s="123" customFormat="1">
      <c r="B2976" s="125"/>
      <c r="D2976" s="125"/>
      <c r="I2976" s="125"/>
      <c r="Z2976" s="124"/>
      <c r="AA2976" s="74"/>
      <c r="AB2976" s="240"/>
      <c r="AD2976" s="124"/>
      <c r="AE2976" s="238"/>
      <c r="AF2976" s="239"/>
      <c r="AG2976" s="239"/>
      <c r="AH2976" s="124"/>
      <c r="AI2976" s="74"/>
      <c r="AJ2976" s="240"/>
      <c r="AL2976" s="124"/>
      <c r="AM2976" s="74"/>
      <c r="AP2976" s="125"/>
      <c r="AQ2976" s="241"/>
      <c r="AR2976" s="125"/>
      <c r="AS2976" s="125"/>
      <c r="AT2976" s="238"/>
      <c r="AU2976" s="125"/>
      <c r="AV2976" s="125"/>
      <c r="AW2976" s="125"/>
      <c r="AX2976" s="238"/>
      <c r="AY2976" s="125"/>
      <c r="AZ2976" s="125"/>
      <c r="BA2976" s="125"/>
    </row>
    <row r="2977" spans="2:53" s="123" customFormat="1">
      <c r="B2977" s="125"/>
      <c r="D2977" s="125"/>
      <c r="I2977" s="125"/>
      <c r="Z2977" s="124"/>
      <c r="AA2977" s="74"/>
      <c r="AB2977" s="240"/>
      <c r="AD2977" s="124"/>
      <c r="AE2977" s="238"/>
      <c r="AF2977" s="239"/>
      <c r="AG2977" s="239"/>
      <c r="AH2977" s="124"/>
      <c r="AI2977" s="74"/>
      <c r="AJ2977" s="240"/>
      <c r="AL2977" s="124"/>
      <c r="AM2977" s="74"/>
      <c r="AP2977" s="125"/>
      <c r="AQ2977" s="241"/>
      <c r="AR2977" s="125"/>
      <c r="AS2977" s="125"/>
      <c r="AT2977" s="238"/>
      <c r="AU2977" s="125"/>
      <c r="AV2977" s="125"/>
      <c r="AW2977" s="125"/>
      <c r="AX2977" s="238"/>
      <c r="AY2977" s="125"/>
      <c r="AZ2977" s="125"/>
      <c r="BA2977" s="125"/>
    </row>
    <row r="2978" spans="2:53" s="123" customFormat="1">
      <c r="B2978" s="125"/>
      <c r="D2978" s="125"/>
      <c r="I2978" s="125"/>
      <c r="Z2978" s="124"/>
      <c r="AA2978" s="74"/>
      <c r="AB2978" s="240"/>
      <c r="AD2978" s="124"/>
      <c r="AE2978" s="238"/>
      <c r="AF2978" s="239"/>
      <c r="AG2978" s="239"/>
      <c r="AH2978" s="124"/>
      <c r="AI2978" s="74"/>
      <c r="AJ2978" s="240"/>
      <c r="AL2978" s="124"/>
      <c r="AM2978" s="74"/>
      <c r="AP2978" s="125"/>
      <c r="AQ2978" s="241"/>
      <c r="AR2978" s="125"/>
      <c r="AS2978" s="125"/>
      <c r="AT2978" s="238"/>
      <c r="AU2978" s="125"/>
      <c r="AV2978" s="125"/>
      <c r="AW2978" s="125"/>
      <c r="AX2978" s="238"/>
      <c r="AY2978" s="125"/>
      <c r="AZ2978" s="125"/>
      <c r="BA2978" s="125"/>
    </row>
    <row r="2979" spans="2:53" s="123" customFormat="1">
      <c r="B2979" s="125"/>
      <c r="D2979" s="125"/>
      <c r="I2979" s="125"/>
      <c r="Z2979" s="124"/>
      <c r="AA2979" s="74"/>
      <c r="AB2979" s="240"/>
      <c r="AD2979" s="124"/>
      <c r="AE2979" s="238"/>
      <c r="AF2979" s="239"/>
      <c r="AG2979" s="239"/>
      <c r="AH2979" s="124"/>
      <c r="AI2979" s="74"/>
      <c r="AJ2979" s="240"/>
      <c r="AL2979" s="124"/>
      <c r="AM2979" s="74"/>
      <c r="AP2979" s="125"/>
      <c r="AQ2979" s="241"/>
      <c r="AR2979" s="125"/>
      <c r="AS2979" s="125"/>
      <c r="AT2979" s="238"/>
      <c r="AU2979" s="125"/>
      <c r="AV2979" s="125"/>
      <c r="AW2979" s="125"/>
      <c r="AX2979" s="238"/>
      <c r="AY2979" s="125"/>
      <c r="AZ2979" s="125"/>
      <c r="BA2979" s="125"/>
    </row>
    <row r="2980" spans="2:53" s="123" customFormat="1">
      <c r="B2980" s="125"/>
      <c r="D2980" s="125"/>
      <c r="I2980" s="125"/>
      <c r="Z2980" s="124"/>
      <c r="AA2980" s="74"/>
      <c r="AB2980" s="240"/>
      <c r="AD2980" s="124"/>
      <c r="AE2980" s="238"/>
      <c r="AF2980" s="239"/>
      <c r="AG2980" s="239"/>
      <c r="AH2980" s="124"/>
      <c r="AI2980" s="74"/>
      <c r="AJ2980" s="240"/>
      <c r="AL2980" s="124"/>
      <c r="AM2980" s="74"/>
      <c r="AP2980" s="125"/>
      <c r="AQ2980" s="241"/>
      <c r="AR2980" s="125"/>
      <c r="AS2980" s="125"/>
      <c r="AT2980" s="238"/>
      <c r="AU2980" s="125"/>
      <c r="AV2980" s="125"/>
      <c r="AW2980" s="125"/>
      <c r="AX2980" s="238"/>
      <c r="AY2980" s="125"/>
      <c r="AZ2980" s="125"/>
      <c r="BA2980" s="125"/>
    </row>
    <row r="2981" spans="2:53" s="123" customFormat="1">
      <c r="B2981" s="125"/>
      <c r="D2981" s="125"/>
      <c r="I2981" s="125"/>
      <c r="Z2981" s="124"/>
      <c r="AA2981" s="74"/>
      <c r="AB2981" s="240"/>
      <c r="AD2981" s="124"/>
      <c r="AE2981" s="238"/>
      <c r="AF2981" s="239"/>
      <c r="AG2981" s="239"/>
      <c r="AH2981" s="124"/>
      <c r="AI2981" s="74"/>
      <c r="AJ2981" s="240"/>
      <c r="AL2981" s="124"/>
      <c r="AM2981" s="74"/>
      <c r="AP2981" s="125"/>
      <c r="AQ2981" s="241"/>
      <c r="AR2981" s="125"/>
      <c r="AS2981" s="125"/>
      <c r="AT2981" s="238"/>
      <c r="AU2981" s="125"/>
      <c r="AV2981" s="125"/>
      <c r="AW2981" s="125"/>
      <c r="AX2981" s="238"/>
      <c r="AY2981" s="125"/>
      <c r="AZ2981" s="125"/>
      <c r="BA2981" s="125"/>
    </row>
    <row r="2982" spans="2:53" s="123" customFormat="1">
      <c r="B2982" s="125"/>
      <c r="D2982" s="125"/>
      <c r="I2982" s="125"/>
      <c r="Z2982" s="124"/>
      <c r="AA2982" s="74"/>
      <c r="AB2982" s="240"/>
      <c r="AD2982" s="124"/>
      <c r="AE2982" s="238"/>
      <c r="AF2982" s="239"/>
      <c r="AG2982" s="239"/>
      <c r="AH2982" s="124"/>
      <c r="AI2982" s="74"/>
      <c r="AJ2982" s="240"/>
      <c r="AL2982" s="124"/>
      <c r="AM2982" s="74"/>
      <c r="AP2982" s="125"/>
      <c r="AQ2982" s="241"/>
      <c r="AR2982" s="125"/>
      <c r="AS2982" s="125"/>
      <c r="AT2982" s="238"/>
      <c r="AU2982" s="125"/>
      <c r="AV2982" s="125"/>
      <c r="AW2982" s="125"/>
      <c r="AX2982" s="238"/>
      <c r="AY2982" s="125"/>
      <c r="AZ2982" s="125"/>
      <c r="BA2982" s="125"/>
    </row>
    <row r="2983" spans="2:53" s="123" customFormat="1">
      <c r="B2983" s="125"/>
      <c r="D2983" s="125"/>
      <c r="I2983" s="125"/>
      <c r="Z2983" s="124"/>
      <c r="AA2983" s="74"/>
      <c r="AB2983" s="240"/>
      <c r="AD2983" s="124"/>
      <c r="AE2983" s="238"/>
      <c r="AF2983" s="239"/>
      <c r="AG2983" s="239"/>
      <c r="AH2983" s="124"/>
      <c r="AI2983" s="74"/>
      <c r="AJ2983" s="240"/>
      <c r="AL2983" s="124"/>
      <c r="AM2983" s="74"/>
      <c r="AP2983" s="125"/>
      <c r="AQ2983" s="241"/>
      <c r="AR2983" s="125"/>
      <c r="AS2983" s="125"/>
      <c r="AT2983" s="238"/>
      <c r="AU2983" s="125"/>
      <c r="AV2983" s="125"/>
      <c r="AW2983" s="125"/>
      <c r="AX2983" s="238"/>
      <c r="AY2983" s="125"/>
      <c r="AZ2983" s="125"/>
      <c r="BA2983" s="125"/>
    </row>
    <row r="2984" spans="2:53" s="123" customFormat="1">
      <c r="B2984" s="125"/>
      <c r="D2984" s="125"/>
      <c r="I2984" s="125"/>
      <c r="Z2984" s="124"/>
      <c r="AA2984" s="74"/>
      <c r="AB2984" s="240"/>
      <c r="AD2984" s="124"/>
      <c r="AE2984" s="238"/>
      <c r="AF2984" s="239"/>
      <c r="AG2984" s="239"/>
      <c r="AH2984" s="124"/>
      <c r="AI2984" s="74"/>
      <c r="AJ2984" s="240"/>
      <c r="AL2984" s="124"/>
      <c r="AM2984" s="74"/>
      <c r="AP2984" s="125"/>
      <c r="AQ2984" s="241"/>
      <c r="AR2984" s="125"/>
      <c r="AS2984" s="125"/>
      <c r="AT2984" s="238"/>
      <c r="AU2984" s="125"/>
      <c r="AV2984" s="125"/>
      <c r="AW2984" s="125"/>
      <c r="AX2984" s="238"/>
      <c r="AY2984" s="125"/>
      <c r="AZ2984" s="125"/>
      <c r="BA2984" s="125"/>
    </row>
    <row r="2985" spans="2:53" s="123" customFormat="1">
      <c r="B2985" s="125"/>
      <c r="D2985" s="125"/>
      <c r="I2985" s="125"/>
      <c r="Z2985" s="124"/>
      <c r="AA2985" s="74"/>
      <c r="AB2985" s="240"/>
      <c r="AD2985" s="124"/>
      <c r="AE2985" s="238"/>
      <c r="AF2985" s="239"/>
      <c r="AG2985" s="239"/>
      <c r="AH2985" s="124"/>
      <c r="AI2985" s="74"/>
      <c r="AJ2985" s="240"/>
      <c r="AL2985" s="124"/>
      <c r="AM2985" s="74"/>
      <c r="AP2985" s="125"/>
      <c r="AQ2985" s="241"/>
      <c r="AR2985" s="125"/>
      <c r="AS2985" s="125"/>
      <c r="AT2985" s="238"/>
      <c r="AU2985" s="125"/>
      <c r="AV2985" s="125"/>
      <c r="AW2985" s="125"/>
      <c r="AX2985" s="238"/>
      <c r="AY2985" s="125"/>
      <c r="AZ2985" s="125"/>
      <c r="BA2985" s="125"/>
    </row>
    <row r="2986" spans="2:53" s="123" customFormat="1">
      <c r="B2986" s="125"/>
      <c r="D2986" s="125"/>
      <c r="I2986" s="125"/>
      <c r="Z2986" s="124"/>
      <c r="AA2986" s="74"/>
      <c r="AB2986" s="240"/>
      <c r="AD2986" s="124"/>
      <c r="AE2986" s="238"/>
      <c r="AF2986" s="239"/>
      <c r="AG2986" s="239"/>
      <c r="AH2986" s="124"/>
      <c r="AI2986" s="74"/>
      <c r="AJ2986" s="240"/>
      <c r="AL2986" s="124"/>
      <c r="AM2986" s="74"/>
      <c r="AP2986" s="125"/>
      <c r="AQ2986" s="241"/>
      <c r="AR2986" s="125"/>
      <c r="AS2986" s="125"/>
      <c r="AT2986" s="238"/>
      <c r="AU2986" s="125"/>
      <c r="AV2986" s="125"/>
      <c r="AW2986" s="125"/>
      <c r="AX2986" s="238"/>
      <c r="AY2986" s="125"/>
      <c r="AZ2986" s="125"/>
      <c r="BA2986" s="125"/>
    </row>
    <row r="2987" spans="2:53" s="123" customFormat="1">
      <c r="B2987" s="125"/>
      <c r="D2987" s="125"/>
      <c r="I2987" s="125"/>
      <c r="Z2987" s="124"/>
      <c r="AA2987" s="74"/>
      <c r="AB2987" s="240"/>
      <c r="AD2987" s="124"/>
      <c r="AE2987" s="238"/>
      <c r="AF2987" s="239"/>
      <c r="AG2987" s="239"/>
      <c r="AH2987" s="124"/>
      <c r="AI2987" s="74"/>
      <c r="AJ2987" s="240"/>
      <c r="AL2987" s="124"/>
      <c r="AM2987" s="74"/>
      <c r="AP2987" s="125"/>
      <c r="AQ2987" s="241"/>
      <c r="AR2987" s="125"/>
      <c r="AS2987" s="125"/>
      <c r="AT2987" s="238"/>
      <c r="AU2987" s="125"/>
      <c r="AV2987" s="125"/>
      <c r="AW2987" s="125"/>
      <c r="AX2987" s="238"/>
      <c r="AY2987" s="125"/>
      <c r="AZ2987" s="125"/>
      <c r="BA2987" s="125"/>
    </row>
    <row r="2988" spans="2:53" s="123" customFormat="1">
      <c r="B2988" s="125"/>
      <c r="D2988" s="125"/>
      <c r="I2988" s="125"/>
      <c r="Z2988" s="124"/>
      <c r="AA2988" s="74"/>
      <c r="AB2988" s="240"/>
      <c r="AD2988" s="124"/>
      <c r="AE2988" s="238"/>
      <c r="AF2988" s="239"/>
      <c r="AG2988" s="239"/>
      <c r="AH2988" s="124"/>
      <c r="AI2988" s="74"/>
      <c r="AJ2988" s="240"/>
      <c r="AL2988" s="124"/>
      <c r="AM2988" s="74"/>
      <c r="AP2988" s="125"/>
      <c r="AQ2988" s="241"/>
      <c r="AR2988" s="125"/>
      <c r="AS2988" s="125"/>
      <c r="AT2988" s="238"/>
      <c r="AU2988" s="125"/>
      <c r="AV2988" s="125"/>
      <c r="AW2988" s="125"/>
      <c r="AX2988" s="238"/>
      <c r="AY2988" s="125"/>
      <c r="AZ2988" s="125"/>
      <c r="BA2988" s="125"/>
    </row>
    <row r="2989" spans="2:53" s="123" customFormat="1">
      <c r="B2989" s="125"/>
      <c r="D2989" s="125"/>
      <c r="I2989" s="125"/>
      <c r="Z2989" s="124"/>
      <c r="AA2989" s="74"/>
      <c r="AB2989" s="240"/>
      <c r="AD2989" s="124"/>
      <c r="AE2989" s="238"/>
      <c r="AF2989" s="239"/>
      <c r="AG2989" s="239"/>
      <c r="AH2989" s="124"/>
      <c r="AI2989" s="74"/>
      <c r="AJ2989" s="240"/>
      <c r="AL2989" s="124"/>
      <c r="AM2989" s="74"/>
      <c r="AP2989" s="125"/>
      <c r="AQ2989" s="241"/>
      <c r="AR2989" s="125"/>
      <c r="AS2989" s="125"/>
      <c r="AT2989" s="238"/>
      <c r="AU2989" s="125"/>
      <c r="AV2989" s="125"/>
      <c r="AW2989" s="125"/>
      <c r="AX2989" s="238"/>
      <c r="AY2989" s="125"/>
      <c r="AZ2989" s="125"/>
      <c r="BA2989" s="125"/>
    </row>
    <row r="2990" spans="2:53" s="123" customFormat="1">
      <c r="B2990" s="125"/>
      <c r="D2990" s="125"/>
      <c r="I2990" s="125"/>
      <c r="Z2990" s="124"/>
      <c r="AA2990" s="74"/>
      <c r="AB2990" s="240"/>
      <c r="AD2990" s="124"/>
      <c r="AE2990" s="238"/>
      <c r="AF2990" s="239"/>
      <c r="AG2990" s="239"/>
      <c r="AH2990" s="124"/>
      <c r="AI2990" s="74"/>
      <c r="AJ2990" s="240"/>
      <c r="AL2990" s="124"/>
      <c r="AM2990" s="74"/>
      <c r="AP2990" s="125"/>
      <c r="AQ2990" s="241"/>
      <c r="AR2990" s="125"/>
      <c r="AS2990" s="125"/>
      <c r="AT2990" s="238"/>
      <c r="AU2990" s="125"/>
      <c r="AV2990" s="125"/>
      <c r="AW2990" s="125"/>
      <c r="AX2990" s="238"/>
      <c r="AY2990" s="125"/>
      <c r="AZ2990" s="125"/>
      <c r="BA2990" s="125"/>
    </row>
    <row r="2991" spans="2:53" s="123" customFormat="1">
      <c r="B2991" s="125"/>
      <c r="D2991" s="125"/>
      <c r="I2991" s="125"/>
      <c r="Z2991" s="124"/>
      <c r="AA2991" s="74"/>
      <c r="AB2991" s="240"/>
      <c r="AD2991" s="124"/>
      <c r="AE2991" s="238"/>
      <c r="AF2991" s="239"/>
      <c r="AG2991" s="239"/>
      <c r="AH2991" s="124"/>
      <c r="AI2991" s="74"/>
      <c r="AJ2991" s="240"/>
      <c r="AL2991" s="124"/>
      <c r="AM2991" s="74"/>
      <c r="AP2991" s="125"/>
      <c r="AQ2991" s="241"/>
      <c r="AR2991" s="125"/>
      <c r="AS2991" s="125"/>
      <c r="AT2991" s="238"/>
      <c r="AU2991" s="125"/>
      <c r="AV2991" s="125"/>
      <c r="AW2991" s="125"/>
      <c r="AX2991" s="238"/>
      <c r="AY2991" s="125"/>
      <c r="AZ2991" s="125"/>
      <c r="BA2991" s="125"/>
    </row>
    <row r="2992" spans="2:53" s="123" customFormat="1">
      <c r="B2992" s="125"/>
      <c r="D2992" s="125"/>
      <c r="I2992" s="125"/>
      <c r="Z2992" s="124"/>
      <c r="AA2992" s="74"/>
      <c r="AB2992" s="240"/>
      <c r="AD2992" s="124"/>
      <c r="AE2992" s="238"/>
      <c r="AF2992" s="239"/>
      <c r="AG2992" s="239"/>
      <c r="AH2992" s="124"/>
      <c r="AI2992" s="74"/>
      <c r="AJ2992" s="240"/>
      <c r="AL2992" s="124"/>
      <c r="AM2992" s="74"/>
      <c r="AP2992" s="125"/>
      <c r="AQ2992" s="241"/>
      <c r="AR2992" s="125"/>
      <c r="AS2992" s="125"/>
      <c r="AT2992" s="238"/>
      <c r="AU2992" s="125"/>
      <c r="AV2992" s="125"/>
      <c r="AW2992" s="125"/>
      <c r="AX2992" s="238"/>
      <c r="AY2992" s="125"/>
      <c r="AZ2992" s="125"/>
      <c r="BA2992" s="125"/>
    </row>
    <row r="2993" spans="2:53" s="123" customFormat="1">
      <c r="B2993" s="125"/>
      <c r="D2993" s="125"/>
      <c r="I2993" s="125"/>
      <c r="Z2993" s="124"/>
      <c r="AA2993" s="74"/>
      <c r="AB2993" s="240"/>
      <c r="AD2993" s="124"/>
      <c r="AE2993" s="238"/>
      <c r="AF2993" s="239"/>
      <c r="AG2993" s="239"/>
      <c r="AH2993" s="124"/>
      <c r="AI2993" s="74"/>
      <c r="AJ2993" s="240"/>
      <c r="AL2993" s="124"/>
      <c r="AM2993" s="74"/>
      <c r="AP2993" s="125"/>
      <c r="AQ2993" s="241"/>
      <c r="AR2993" s="125"/>
      <c r="AS2993" s="125"/>
      <c r="AT2993" s="238"/>
      <c r="AU2993" s="125"/>
      <c r="AV2993" s="125"/>
      <c r="AW2993" s="125"/>
      <c r="AX2993" s="238"/>
      <c r="AY2993" s="125"/>
      <c r="AZ2993" s="125"/>
      <c r="BA2993" s="125"/>
    </row>
    <row r="2994" spans="2:53" s="123" customFormat="1">
      <c r="B2994" s="125"/>
      <c r="D2994" s="125"/>
      <c r="I2994" s="125"/>
      <c r="Z2994" s="124"/>
      <c r="AA2994" s="74"/>
      <c r="AB2994" s="240"/>
      <c r="AD2994" s="124"/>
      <c r="AE2994" s="238"/>
      <c r="AF2994" s="239"/>
      <c r="AG2994" s="239"/>
      <c r="AH2994" s="124"/>
      <c r="AI2994" s="74"/>
      <c r="AJ2994" s="240"/>
      <c r="AL2994" s="124"/>
      <c r="AM2994" s="74"/>
      <c r="AP2994" s="125"/>
      <c r="AQ2994" s="241"/>
      <c r="AR2994" s="125"/>
      <c r="AS2994" s="125"/>
      <c r="AT2994" s="238"/>
      <c r="AU2994" s="125"/>
      <c r="AV2994" s="125"/>
      <c r="AW2994" s="125"/>
      <c r="AX2994" s="238"/>
      <c r="AY2994" s="125"/>
      <c r="AZ2994" s="125"/>
      <c r="BA2994" s="125"/>
    </row>
    <row r="2995" spans="2:53" s="123" customFormat="1">
      <c r="B2995" s="125"/>
      <c r="D2995" s="125"/>
      <c r="I2995" s="125"/>
      <c r="Z2995" s="124"/>
      <c r="AA2995" s="74"/>
      <c r="AB2995" s="240"/>
      <c r="AD2995" s="124"/>
      <c r="AE2995" s="238"/>
      <c r="AF2995" s="239"/>
      <c r="AG2995" s="239"/>
      <c r="AH2995" s="124"/>
      <c r="AI2995" s="74"/>
      <c r="AJ2995" s="240"/>
      <c r="AL2995" s="124"/>
      <c r="AM2995" s="74"/>
      <c r="AP2995" s="125"/>
      <c r="AQ2995" s="241"/>
      <c r="AR2995" s="125"/>
      <c r="AS2995" s="125"/>
      <c r="AT2995" s="238"/>
      <c r="AU2995" s="125"/>
      <c r="AV2995" s="125"/>
      <c r="AW2995" s="125"/>
      <c r="AX2995" s="238"/>
      <c r="AY2995" s="125"/>
      <c r="AZ2995" s="125"/>
      <c r="BA2995" s="125"/>
    </row>
    <row r="2996" spans="2:53" s="123" customFormat="1">
      <c r="B2996" s="125"/>
      <c r="D2996" s="125"/>
      <c r="I2996" s="125"/>
      <c r="Z2996" s="124"/>
      <c r="AA2996" s="74"/>
      <c r="AB2996" s="240"/>
      <c r="AD2996" s="124"/>
      <c r="AE2996" s="238"/>
      <c r="AF2996" s="239"/>
      <c r="AG2996" s="239"/>
      <c r="AH2996" s="124"/>
      <c r="AI2996" s="74"/>
      <c r="AJ2996" s="240"/>
      <c r="AL2996" s="124"/>
      <c r="AM2996" s="74"/>
      <c r="AP2996" s="125"/>
      <c r="AQ2996" s="241"/>
      <c r="AR2996" s="125"/>
      <c r="AS2996" s="125"/>
      <c r="AT2996" s="238"/>
      <c r="AU2996" s="125"/>
      <c r="AV2996" s="125"/>
      <c r="AW2996" s="125"/>
      <c r="AX2996" s="238"/>
      <c r="AY2996" s="125"/>
      <c r="AZ2996" s="125"/>
      <c r="BA2996" s="125"/>
    </row>
    <row r="2997" spans="2:53" s="123" customFormat="1">
      <c r="B2997" s="125"/>
      <c r="D2997" s="125"/>
      <c r="I2997" s="125"/>
      <c r="Z2997" s="124"/>
      <c r="AA2997" s="74"/>
      <c r="AB2997" s="240"/>
      <c r="AD2997" s="124"/>
      <c r="AE2997" s="238"/>
      <c r="AF2997" s="239"/>
      <c r="AG2997" s="239"/>
      <c r="AH2997" s="124"/>
      <c r="AI2997" s="74"/>
      <c r="AJ2997" s="240"/>
      <c r="AL2997" s="124"/>
      <c r="AM2997" s="74"/>
      <c r="AP2997" s="125"/>
      <c r="AQ2997" s="241"/>
      <c r="AR2997" s="125"/>
      <c r="AS2997" s="125"/>
      <c r="AT2997" s="238"/>
      <c r="AU2997" s="125"/>
      <c r="AV2997" s="125"/>
      <c r="AW2997" s="125"/>
      <c r="AX2997" s="238"/>
      <c r="AY2997" s="125"/>
      <c r="AZ2997" s="125"/>
      <c r="BA2997" s="125"/>
    </row>
    <row r="2998" spans="2:53" s="123" customFormat="1">
      <c r="B2998" s="125"/>
      <c r="D2998" s="125"/>
      <c r="I2998" s="125"/>
      <c r="Z2998" s="124"/>
      <c r="AA2998" s="74"/>
      <c r="AB2998" s="240"/>
      <c r="AD2998" s="124"/>
      <c r="AE2998" s="238"/>
      <c r="AF2998" s="239"/>
      <c r="AG2998" s="239"/>
      <c r="AH2998" s="124"/>
      <c r="AI2998" s="74"/>
      <c r="AJ2998" s="240"/>
      <c r="AL2998" s="124"/>
      <c r="AM2998" s="74"/>
      <c r="AP2998" s="125"/>
      <c r="AQ2998" s="241"/>
      <c r="AR2998" s="125"/>
      <c r="AS2998" s="125"/>
      <c r="AT2998" s="238"/>
      <c r="AU2998" s="125"/>
      <c r="AV2998" s="125"/>
      <c r="AW2998" s="125"/>
      <c r="AX2998" s="238"/>
      <c r="AY2998" s="125"/>
      <c r="AZ2998" s="125"/>
      <c r="BA2998" s="125"/>
    </row>
    <row r="2999" spans="2:53" s="123" customFormat="1">
      <c r="B2999" s="125"/>
      <c r="D2999" s="125"/>
      <c r="I2999" s="125"/>
      <c r="Z2999" s="124"/>
      <c r="AA2999" s="74"/>
      <c r="AB2999" s="240"/>
      <c r="AD2999" s="124"/>
      <c r="AE2999" s="238"/>
      <c r="AF2999" s="239"/>
      <c r="AG2999" s="239"/>
      <c r="AH2999" s="124"/>
      <c r="AI2999" s="74"/>
      <c r="AJ2999" s="240"/>
      <c r="AL2999" s="124"/>
      <c r="AM2999" s="74"/>
      <c r="AP2999" s="125"/>
      <c r="AQ2999" s="241"/>
      <c r="AR2999" s="125"/>
      <c r="AS2999" s="125"/>
      <c r="AT2999" s="238"/>
      <c r="AU2999" s="125"/>
      <c r="AV2999" s="125"/>
      <c r="AW2999" s="125"/>
      <c r="AX2999" s="238"/>
      <c r="AY2999" s="125"/>
      <c r="AZ2999" s="125"/>
      <c r="BA2999" s="125"/>
    </row>
    <row r="3000" spans="2:53" s="123" customFormat="1">
      <c r="B3000" s="125"/>
      <c r="D3000" s="125"/>
      <c r="I3000" s="125"/>
      <c r="Z3000" s="124"/>
      <c r="AA3000" s="74"/>
      <c r="AB3000" s="240"/>
      <c r="AD3000" s="124"/>
      <c r="AE3000" s="238"/>
      <c r="AF3000" s="239"/>
      <c r="AG3000" s="239"/>
      <c r="AH3000" s="124"/>
      <c r="AI3000" s="74"/>
      <c r="AJ3000" s="240"/>
      <c r="AL3000" s="124"/>
      <c r="AM3000" s="74"/>
      <c r="AP3000" s="125"/>
      <c r="AQ3000" s="241"/>
      <c r="AR3000" s="125"/>
      <c r="AS3000" s="125"/>
      <c r="AT3000" s="238"/>
      <c r="AU3000" s="125"/>
      <c r="AV3000" s="125"/>
      <c r="AW3000" s="125"/>
      <c r="AX3000" s="238"/>
      <c r="AY3000" s="125"/>
      <c r="AZ3000" s="125"/>
      <c r="BA3000" s="125"/>
    </row>
    <row r="3001" spans="2:53" s="123" customFormat="1">
      <c r="B3001" s="125"/>
      <c r="D3001" s="125"/>
      <c r="I3001" s="125"/>
      <c r="Z3001" s="124"/>
      <c r="AA3001" s="74"/>
      <c r="AB3001" s="240"/>
      <c r="AD3001" s="124"/>
      <c r="AE3001" s="238"/>
      <c r="AF3001" s="239"/>
      <c r="AG3001" s="239"/>
      <c r="AH3001" s="124"/>
      <c r="AI3001" s="74"/>
      <c r="AJ3001" s="240"/>
      <c r="AL3001" s="124"/>
      <c r="AM3001" s="74"/>
      <c r="AP3001" s="125"/>
      <c r="AQ3001" s="241"/>
      <c r="AR3001" s="125"/>
      <c r="AS3001" s="125"/>
      <c r="AT3001" s="238"/>
      <c r="AU3001" s="125"/>
      <c r="AV3001" s="125"/>
      <c r="AW3001" s="125"/>
      <c r="AX3001" s="238"/>
      <c r="AY3001" s="125"/>
      <c r="AZ3001" s="125"/>
      <c r="BA3001" s="125"/>
    </row>
    <row r="3002" spans="2:53" s="123" customFormat="1">
      <c r="B3002" s="125"/>
      <c r="D3002" s="125"/>
      <c r="I3002" s="125"/>
      <c r="Z3002" s="124"/>
      <c r="AA3002" s="74"/>
      <c r="AB3002" s="240"/>
      <c r="AD3002" s="124"/>
      <c r="AE3002" s="238"/>
      <c r="AF3002" s="239"/>
      <c r="AG3002" s="239"/>
      <c r="AH3002" s="124"/>
      <c r="AI3002" s="74"/>
      <c r="AJ3002" s="240"/>
      <c r="AL3002" s="124"/>
      <c r="AM3002" s="74"/>
      <c r="AP3002" s="125"/>
      <c r="AQ3002" s="241"/>
      <c r="AR3002" s="125"/>
      <c r="AS3002" s="125"/>
      <c r="AT3002" s="238"/>
      <c r="AU3002" s="125"/>
      <c r="AV3002" s="125"/>
      <c r="AW3002" s="125"/>
      <c r="AX3002" s="238"/>
      <c r="AY3002" s="125"/>
      <c r="AZ3002" s="125"/>
      <c r="BA3002" s="125"/>
    </row>
    <row r="3003" spans="2:53" s="123" customFormat="1">
      <c r="B3003" s="125"/>
      <c r="D3003" s="125"/>
      <c r="I3003" s="125"/>
      <c r="Z3003" s="124"/>
      <c r="AA3003" s="74"/>
      <c r="AB3003" s="240"/>
      <c r="AD3003" s="124"/>
      <c r="AE3003" s="238"/>
      <c r="AF3003" s="239"/>
      <c r="AG3003" s="239"/>
      <c r="AH3003" s="124"/>
      <c r="AI3003" s="74"/>
      <c r="AJ3003" s="240"/>
      <c r="AL3003" s="124"/>
      <c r="AM3003" s="74"/>
      <c r="AP3003" s="125"/>
      <c r="AQ3003" s="241"/>
      <c r="AR3003" s="125"/>
      <c r="AS3003" s="125"/>
      <c r="AT3003" s="238"/>
      <c r="AU3003" s="125"/>
      <c r="AV3003" s="125"/>
      <c r="AW3003" s="125"/>
      <c r="AX3003" s="238"/>
      <c r="AY3003" s="125"/>
      <c r="AZ3003" s="125"/>
      <c r="BA3003" s="125"/>
    </row>
    <row r="3004" spans="2:53" s="123" customFormat="1">
      <c r="B3004" s="125"/>
      <c r="D3004" s="125"/>
      <c r="I3004" s="125"/>
      <c r="Z3004" s="124"/>
      <c r="AA3004" s="74"/>
      <c r="AB3004" s="240"/>
      <c r="AD3004" s="124"/>
      <c r="AE3004" s="238"/>
      <c r="AF3004" s="239"/>
      <c r="AG3004" s="239"/>
      <c r="AH3004" s="124"/>
      <c r="AI3004" s="74"/>
      <c r="AJ3004" s="240"/>
      <c r="AL3004" s="124"/>
      <c r="AM3004" s="74"/>
      <c r="AP3004" s="125"/>
      <c r="AQ3004" s="241"/>
      <c r="AR3004" s="125"/>
      <c r="AS3004" s="125"/>
      <c r="AT3004" s="238"/>
      <c r="AU3004" s="125"/>
      <c r="AV3004" s="125"/>
      <c r="AW3004" s="125"/>
      <c r="AX3004" s="238"/>
      <c r="AY3004" s="125"/>
      <c r="AZ3004" s="125"/>
      <c r="BA3004" s="125"/>
    </row>
    <row r="3005" spans="2:53" s="123" customFormat="1">
      <c r="B3005" s="125"/>
      <c r="D3005" s="125"/>
      <c r="I3005" s="125"/>
      <c r="Z3005" s="124"/>
      <c r="AA3005" s="74"/>
      <c r="AB3005" s="240"/>
      <c r="AD3005" s="124"/>
      <c r="AE3005" s="238"/>
      <c r="AF3005" s="239"/>
      <c r="AG3005" s="239"/>
      <c r="AH3005" s="124"/>
      <c r="AI3005" s="74"/>
      <c r="AJ3005" s="240"/>
      <c r="AL3005" s="124"/>
      <c r="AM3005" s="74"/>
      <c r="AP3005" s="125"/>
      <c r="AQ3005" s="241"/>
      <c r="AR3005" s="125"/>
      <c r="AS3005" s="125"/>
      <c r="AT3005" s="238"/>
      <c r="AU3005" s="125"/>
      <c r="AV3005" s="125"/>
      <c r="AW3005" s="125"/>
      <c r="AX3005" s="238"/>
      <c r="AY3005" s="125"/>
      <c r="AZ3005" s="125"/>
      <c r="BA3005" s="125"/>
    </row>
    <row r="3006" spans="2:53" s="123" customFormat="1">
      <c r="B3006" s="125"/>
      <c r="D3006" s="125"/>
      <c r="I3006" s="125"/>
      <c r="Z3006" s="124"/>
      <c r="AA3006" s="74"/>
      <c r="AB3006" s="240"/>
      <c r="AD3006" s="124"/>
      <c r="AE3006" s="238"/>
      <c r="AF3006" s="239"/>
      <c r="AG3006" s="239"/>
      <c r="AH3006" s="124"/>
      <c r="AI3006" s="74"/>
      <c r="AJ3006" s="240"/>
      <c r="AL3006" s="124"/>
      <c r="AM3006" s="74"/>
      <c r="AP3006" s="125"/>
      <c r="AQ3006" s="241"/>
      <c r="AR3006" s="125"/>
      <c r="AS3006" s="125"/>
      <c r="AT3006" s="238"/>
      <c r="AU3006" s="125"/>
      <c r="AV3006" s="125"/>
      <c r="AW3006" s="125"/>
      <c r="AX3006" s="238"/>
      <c r="AY3006" s="125"/>
      <c r="AZ3006" s="125"/>
      <c r="BA3006" s="125"/>
    </row>
    <row r="3007" spans="2:53" s="123" customFormat="1">
      <c r="B3007" s="125"/>
      <c r="D3007" s="125"/>
      <c r="I3007" s="125"/>
      <c r="Z3007" s="124"/>
      <c r="AA3007" s="74"/>
      <c r="AB3007" s="240"/>
      <c r="AD3007" s="124"/>
      <c r="AE3007" s="238"/>
      <c r="AF3007" s="239"/>
      <c r="AG3007" s="239"/>
      <c r="AH3007" s="124"/>
      <c r="AI3007" s="74"/>
      <c r="AJ3007" s="240"/>
      <c r="AL3007" s="124"/>
      <c r="AM3007" s="74"/>
      <c r="AP3007" s="125"/>
      <c r="AQ3007" s="241"/>
      <c r="AR3007" s="125"/>
      <c r="AS3007" s="125"/>
      <c r="AT3007" s="238"/>
      <c r="AU3007" s="125"/>
      <c r="AV3007" s="125"/>
      <c r="AW3007" s="125"/>
      <c r="AX3007" s="238"/>
      <c r="AY3007" s="125"/>
      <c r="AZ3007" s="125"/>
      <c r="BA3007" s="125"/>
    </row>
    <row r="3008" spans="2:53" s="123" customFormat="1">
      <c r="B3008" s="125"/>
      <c r="D3008" s="125"/>
      <c r="I3008" s="125"/>
      <c r="Z3008" s="124"/>
      <c r="AA3008" s="74"/>
      <c r="AB3008" s="240"/>
      <c r="AD3008" s="124"/>
      <c r="AE3008" s="238"/>
      <c r="AF3008" s="239"/>
      <c r="AG3008" s="239"/>
      <c r="AH3008" s="124"/>
      <c r="AI3008" s="74"/>
      <c r="AJ3008" s="240"/>
      <c r="AL3008" s="124"/>
      <c r="AM3008" s="74"/>
      <c r="AP3008" s="125"/>
      <c r="AQ3008" s="241"/>
      <c r="AR3008" s="125"/>
      <c r="AS3008" s="125"/>
      <c r="AT3008" s="238"/>
      <c r="AU3008" s="125"/>
      <c r="AV3008" s="125"/>
      <c r="AW3008" s="125"/>
      <c r="AX3008" s="238"/>
      <c r="AY3008" s="125"/>
      <c r="AZ3008" s="125"/>
      <c r="BA3008" s="125"/>
    </row>
    <row r="3009" spans="2:53" s="123" customFormat="1">
      <c r="B3009" s="125"/>
      <c r="D3009" s="125"/>
      <c r="I3009" s="125"/>
      <c r="Z3009" s="124"/>
      <c r="AA3009" s="74"/>
      <c r="AB3009" s="240"/>
      <c r="AD3009" s="124"/>
      <c r="AE3009" s="238"/>
      <c r="AF3009" s="239"/>
      <c r="AG3009" s="239"/>
      <c r="AH3009" s="124"/>
      <c r="AI3009" s="74"/>
      <c r="AJ3009" s="240"/>
      <c r="AL3009" s="124"/>
      <c r="AM3009" s="74"/>
      <c r="AP3009" s="125"/>
      <c r="AQ3009" s="241"/>
      <c r="AR3009" s="125"/>
      <c r="AS3009" s="125"/>
      <c r="AT3009" s="238"/>
      <c r="AU3009" s="125"/>
      <c r="AV3009" s="125"/>
      <c r="AW3009" s="125"/>
      <c r="AX3009" s="238"/>
      <c r="AY3009" s="125"/>
      <c r="AZ3009" s="125"/>
      <c r="BA3009" s="125"/>
    </row>
    <row r="3010" spans="2:53" s="123" customFormat="1">
      <c r="B3010" s="125"/>
      <c r="D3010" s="125"/>
      <c r="I3010" s="125"/>
      <c r="Z3010" s="124"/>
      <c r="AA3010" s="74"/>
      <c r="AB3010" s="240"/>
      <c r="AD3010" s="124"/>
      <c r="AE3010" s="238"/>
      <c r="AF3010" s="239"/>
      <c r="AG3010" s="239"/>
      <c r="AH3010" s="124"/>
      <c r="AI3010" s="74"/>
      <c r="AJ3010" s="240"/>
      <c r="AL3010" s="124"/>
      <c r="AM3010" s="74"/>
      <c r="AP3010" s="125"/>
      <c r="AQ3010" s="241"/>
      <c r="AR3010" s="125"/>
      <c r="AS3010" s="125"/>
      <c r="AT3010" s="238"/>
      <c r="AU3010" s="125"/>
      <c r="AV3010" s="125"/>
      <c r="AW3010" s="125"/>
      <c r="AX3010" s="238"/>
      <c r="AY3010" s="125"/>
      <c r="AZ3010" s="125"/>
      <c r="BA3010" s="125"/>
    </row>
    <row r="3011" spans="2:53" s="123" customFormat="1">
      <c r="B3011" s="125"/>
      <c r="D3011" s="125"/>
      <c r="I3011" s="125"/>
      <c r="Z3011" s="124"/>
      <c r="AA3011" s="74"/>
      <c r="AB3011" s="240"/>
      <c r="AD3011" s="124"/>
      <c r="AE3011" s="238"/>
      <c r="AF3011" s="239"/>
      <c r="AG3011" s="239"/>
      <c r="AH3011" s="124"/>
      <c r="AI3011" s="74"/>
      <c r="AJ3011" s="240"/>
      <c r="AL3011" s="124"/>
      <c r="AM3011" s="74"/>
      <c r="AP3011" s="125"/>
      <c r="AQ3011" s="241"/>
      <c r="AR3011" s="125"/>
      <c r="AS3011" s="125"/>
      <c r="AT3011" s="238"/>
      <c r="AU3011" s="125"/>
      <c r="AV3011" s="125"/>
      <c r="AW3011" s="125"/>
      <c r="AX3011" s="238"/>
      <c r="AY3011" s="125"/>
      <c r="AZ3011" s="125"/>
      <c r="BA3011" s="125"/>
    </row>
    <row r="3012" spans="2:53" s="123" customFormat="1">
      <c r="B3012" s="125"/>
      <c r="D3012" s="125"/>
      <c r="I3012" s="125"/>
      <c r="Z3012" s="124"/>
      <c r="AA3012" s="74"/>
      <c r="AB3012" s="240"/>
      <c r="AD3012" s="124"/>
      <c r="AE3012" s="238"/>
      <c r="AF3012" s="239"/>
      <c r="AG3012" s="239"/>
      <c r="AH3012" s="124"/>
      <c r="AI3012" s="74"/>
      <c r="AJ3012" s="240"/>
      <c r="AL3012" s="124"/>
      <c r="AM3012" s="74"/>
      <c r="AP3012" s="125"/>
      <c r="AQ3012" s="241"/>
      <c r="AR3012" s="125"/>
      <c r="AS3012" s="125"/>
      <c r="AT3012" s="238"/>
      <c r="AU3012" s="125"/>
      <c r="AV3012" s="125"/>
      <c r="AW3012" s="125"/>
      <c r="AX3012" s="238"/>
      <c r="AY3012" s="125"/>
      <c r="AZ3012" s="125"/>
      <c r="BA3012" s="125"/>
    </row>
    <row r="3013" spans="2:53" s="123" customFormat="1">
      <c r="B3013" s="125"/>
      <c r="D3013" s="125"/>
      <c r="I3013" s="125"/>
      <c r="Z3013" s="124"/>
      <c r="AA3013" s="74"/>
      <c r="AB3013" s="240"/>
      <c r="AD3013" s="124"/>
      <c r="AE3013" s="238"/>
      <c r="AF3013" s="239"/>
      <c r="AG3013" s="239"/>
      <c r="AH3013" s="124"/>
      <c r="AI3013" s="74"/>
      <c r="AJ3013" s="240"/>
      <c r="AL3013" s="124"/>
      <c r="AM3013" s="74"/>
      <c r="AP3013" s="125"/>
      <c r="AQ3013" s="241"/>
      <c r="AR3013" s="125"/>
      <c r="AS3013" s="125"/>
      <c r="AT3013" s="238"/>
      <c r="AU3013" s="125"/>
      <c r="AV3013" s="125"/>
      <c r="AW3013" s="125"/>
      <c r="AX3013" s="238"/>
      <c r="AY3013" s="125"/>
      <c r="AZ3013" s="125"/>
      <c r="BA3013" s="125"/>
    </row>
    <row r="3014" spans="2:53" s="123" customFormat="1">
      <c r="B3014" s="125"/>
      <c r="D3014" s="125"/>
      <c r="I3014" s="125"/>
      <c r="Z3014" s="124"/>
      <c r="AA3014" s="74"/>
      <c r="AB3014" s="240"/>
      <c r="AD3014" s="124"/>
      <c r="AE3014" s="238"/>
      <c r="AF3014" s="239"/>
      <c r="AG3014" s="239"/>
      <c r="AH3014" s="124"/>
      <c r="AI3014" s="74"/>
      <c r="AJ3014" s="240"/>
      <c r="AL3014" s="124"/>
      <c r="AM3014" s="74"/>
      <c r="AP3014" s="125"/>
      <c r="AQ3014" s="241"/>
      <c r="AR3014" s="125"/>
      <c r="AS3014" s="125"/>
      <c r="AT3014" s="238"/>
      <c r="AU3014" s="125"/>
      <c r="AV3014" s="125"/>
      <c r="AW3014" s="125"/>
      <c r="AX3014" s="238"/>
      <c r="AY3014" s="125"/>
      <c r="AZ3014" s="125"/>
      <c r="BA3014" s="125"/>
    </row>
    <row r="3015" spans="2:53" s="123" customFormat="1">
      <c r="B3015" s="125"/>
      <c r="D3015" s="125"/>
      <c r="I3015" s="125"/>
      <c r="Z3015" s="124"/>
      <c r="AA3015" s="74"/>
      <c r="AB3015" s="240"/>
      <c r="AD3015" s="124"/>
      <c r="AE3015" s="238"/>
      <c r="AF3015" s="239"/>
      <c r="AG3015" s="239"/>
      <c r="AH3015" s="124"/>
      <c r="AI3015" s="74"/>
      <c r="AJ3015" s="240"/>
      <c r="AL3015" s="124"/>
      <c r="AM3015" s="74"/>
      <c r="AP3015" s="125"/>
      <c r="AQ3015" s="241"/>
      <c r="AR3015" s="125"/>
      <c r="AS3015" s="125"/>
      <c r="AT3015" s="238"/>
      <c r="AU3015" s="125"/>
      <c r="AV3015" s="125"/>
      <c r="AW3015" s="125"/>
      <c r="AX3015" s="238"/>
      <c r="AY3015" s="125"/>
      <c r="AZ3015" s="125"/>
      <c r="BA3015" s="125"/>
    </row>
    <row r="3016" spans="2:53" s="123" customFormat="1">
      <c r="B3016" s="125"/>
      <c r="D3016" s="125"/>
      <c r="I3016" s="125"/>
      <c r="Z3016" s="124"/>
      <c r="AA3016" s="74"/>
      <c r="AB3016" s="240"/>
      <c r="AD3016" s="124"/>
      <c r="AE3016" s="238"/>
      <c r="AF3016" s="239"/>
      <c r="AG3016" s="239"/>
      <c r="AH3016" s="124"/>
      <c r="AI3016" s="74"/>
      <c r="AJ3016" s="240"/>
      <c r="AL3016" s="124"/>
      <c r="AM3016" s="74"/>
      <c r="AP3016" s="125"/>
      <c r="AQ3016" s="241"/>
      <c r="AR3016" s="125"/>
      <c r="AS3016" s="125"/>
      <c r="AT3016" s="238"/>
      <c r="AU3016" s="125"/>
      <c r="AV3016" s="125"/>
      <c r="AW3016" s="125"/>
      <c r="AX3016" s="238"/>
      <c r="AY3016" s="125"/>
      <c r="AZ3016" s="125"/>
      <c r="BA3016" s="125"/>
    </row>
    <row r="3017" spans="2:53" s="123" customFormat="1">
      <c r="B3017" s="125"/>
      <c r="D3017" s="125"/>
      <c r="I3017" s="125"/>
      <c r="Z3017" s="124"/>
      <c r="AA3017" s="74"/>
      <c r="AB3017" s="240"/>
      <c r="AD3017" s="124"/>
      <c r="AE3017" s="238"/>
      <c r="AF3017" s="239"/>
      <c r="AG3017" s="239"/>
      <c r="AH3017" s="124"/>
      <c r="AI3017" s="74"/>
      <c r="AJ3017" s="240"/>
      <c r="AL3017" s="124"/>
      <c r="AM3017" s="74"/>
      <c r="AP3017" s="125"/>
      <c r="AQ3017" s="241"/>
      <c r="AR3017" s="125"/>
      <c r="AS3017" s="125"/>
      <c r="AT3017" s="238"/>
      <c r="AU3017" s="125"/>
      <c r="AV3017" s="125"/>
      <c r="AW3017" s="125"/>
      <c r="AX3017" s="238"/>
      <c r="AY3017" s="125"/>
      <c r="AZ3017" s="125"/>
      <c r="BA3017" s="125"/>
    </row>
    <row r="3018" spans="2:53" s="123" customFormat="1">
      <c r="B3018" s="125"/>
      <c r="D3018" s="125"/>
      <c r="I3018" s="125"/>
      <c r="Z3018" s="124"/>
      <c r="AA3018" s="74"/>
      <c r="AB3018" s="240"/>
      <c r="AD3018" s="124"/>
      <c r="AE3018" s="238"/>
      <c r="AF3018" s="239"/>
      <c r="AG3018" s="239"/>
      <c r="AH3018" s="124"/>
      <c r="AI3018" s="74"/>
      <c r="AJ3018" s="240"/>
      <c r="AL3018" s="124"/>
      <c r="AM3018" s="74"/>
      <c r="AP3018" s="125"/>
      <c r="AQ3018" s="241"/>
      <c r="AR3018" s="125"/>
      <c r="AS3018" s="125"/>
      <c r="AT3018" s="238"/>
      <c r="AU3018" s="125"/>
      <c r="AV3018" s="125"/>
      <c r="AW3018" s="125"/>
      <c r="AX3018" s="238"/>
      <c r="AY3018" s="125"/>
      <c r="AZ3018" s="125"/>
      <c r="BA3018" s="125"/>
    </row>
    <row r="3019" spans="2:53" s="123" customFormat="1">
      <c r="B3019" s="125"/>
      <c r="D3019" s="125"/>
      <c r="I3019" s="125"/>
      <c r="Z3019" s="124"/>
      <c r="AA3019" s="74"/>
      <c r="AB3019" s="240"/>
      <c r="AD3019" s="124"/>
      <c r="AE3019" s="238"/>
      <c r="AF3019" s="239"/>
      <c r="AG3019" s="239"/>
      <c r="AH3019" s="124"/>
      <c r="AI3019" s="74"/>
      <c r="AJ3019" s="240"/>
      <c r="AL3019" s="124"/>
      <c r="AM3019" s="74"/>
      <c r="AP3019" s="125"/>
      <c r="AQ3019" s="241"/>
      <c r="AR3019" s="125"/>
      <c r="AS3019" s="125"/>
      <c r="AT3019" s="238"/>
      <c r="AU3019" s="125"/>
      <c r="AV3019" s="125"/>
      <c r="AW3019" s="125"/>
      <c r="AX3019" s="238"/>
      <c r="AY3019" s="125"/>
      <c r="AZ3019" s="125"/>
      <c r="BA3019" s="125"/>
    </row>
    <row r="3020" spans="2:53" s="123" customFormat="1">
      <c r="B3020" s="125"/>
      <c r="D3020" s="125"/>
      <c r="I3020" s="125"/>
      <c r="Z3020" s="124"/>
      <c r="AA3020" s="74"/>
      <c r="AB3020" s="240"/>
      <c r="AD3020" s="124"/>
      <c r="AE3020" s="238"/>
      <c r="AF3020" s="239"/>
      <c r="AG3020" s="239"/>
      <c r="AH3020" s="124"/>
      <c r="AI3020" s="74"/>
      <c r="AJ3020" s="240"/>
      <c r="AL3020" s="124"/>
      <c r="AM3020" s="74"/>
      <c r="AP3020" s="125"/>
      <c r="AQ3020" s="241"/>
      <c r="AR3020" s="125"/>
      <c r="AS3020" s="125"/>
      <c r="AT3020" s="238"/>
      <c r="AU3020" s="125"/>
      <c r="AV3020" s="125"/>
      <c r="AW3020" s="125"/>
      <c r="AX3020" s="238"/>
      <c r="AY3020" s="125"/>
      <c r="AZ3020" s="125"/>
      <c r="BA3020" s="125"/>
    </row>
    <row r="3021" spans="2:53" s="123" customFormat="1">
      <c r="B3021" s="125"/>
      <c r="D3021" s="125"/>
      <c r="I3021" s="125"/>
      <c r="Z3021" s="124"/>
      <c r="AA3021" s="74"/>
      <c r="AB3021" s="240"/>
      <c r="AD3021" s="124"/>
      <c r="AE3021" s="238"/>
      <c r="AF3021" s="239"/>
      <c r="AG3021" s="239"/>
      <c r="AH3021" s="124"/>
      <c r="AI3021" s="74"/>
      <c r="AJ3021" s="240"/>
      <c r="AL3021" s="124"/>
      <c r="AM3021" s="74"/>
      <c r="AP3021" s="125"/>
      <c r="AQ3021" s="241"/>
      <c r="AR3021" s="125"/>
      <c r="AS3021" s="125"/>
      <c r="AT3021" s="238"/>
      <c r="AU3021" s="125"/>
      <c r="AV3021" s="125"/>
      <c r="AW3021" s="125"/>
      <c r="AX3021" s="238"/>
      <c r="AY3021" s="125"/>
      <c r="AZ3021" s="125"/>
      <c r="BA3021" s="125"/>
    </row>
    <row r="3022" spans="2:53" s="123" customFormat="1">
      <c r="B3022" s="125"/>
      <c r="D3022" s="125"/>
      <c r="I3022" s="125"/>
      <c r="Z3022" s="124"/>
      <c r="AA3022" s="74"/>
      <c r="AB3022" s="240"/>
      <c r="AD3022" s="124"/>
      <c r="AE3022" s="238"/>
      <c r="AF3022" s="239"/>
      <c r="AG3022" s="239"/>
      <c r="AH3022" s="124"/>
      <c r="AI3022" s="74"/>
      <c r="AJ3022" s="240"/>
      <c r="AL3022" s="124"/>
      <c r="AM3022" s="74"/>
      <c r="AP3022" s="125"/>
      <c r="AQ3022" s="241"/>
      <c r="AR3022" s="125"/>
      <c r="AS3022" s="125"/>
      <c r="AT3022" s="238"/>
      <c r="AU3022" s="125"/>
      <c r="AV3022" s="125"/>
      <c r="AW3022" s="125"/>
      <c r="AX3022" s="238"/>
      <c r="AY3022" s="125"/>
      <c r="AZ3022" s="125"/>
      <c r="BA3022" s="125"/>
    </row>
    <row r="3023" spans="2:53" s="123" customFormat="1">
      <c r="B3023" s="125"/>
      <c r="D3023" s="125"/>
      <c r="I3023" s="125"/>
      <c r="Z3023" s="124"/>
      <c r="AA3023" s="74"/>
      <c r="AB3023" s="240"/>
      <c r="AD3023" s="124"/>
      <c r="AE3023" s="238"/>
      <c r="AF3023" s="239"/>
      <c r="AG3023" s="239"/>
      <c r="AH3023" s="124"/>
      <c r="AI3023" s="74"/>
      <c r="AJ3023" s="240"/>
      <c r="AL3023" s="124"/>
      <c r="AM3023" s="74"/>
      <c r="AP3023" s="125"/>
      <c r="AQ3023" s="241"/>
      <c r="AR3023" s="125"/>
      <c r="AS3023" s="125"/>
      <c r="AT3023" s="238"/>
      <c r="AU3023" s="125"/>
      <c r="AV3023" s="125"/>
      <c r="AW3023" s="125"/>
      <c r="AX3023" s="238"/>
      <c r="AY3023" s="125"/>
      <c r="AZ3023" s="125"/>
      <c r="BA3023" s="125"/>
    </row>
    <row r="3024" spans="2:53" s="123" customFormat="1">
      <c r="B3024" s="125"/>
      <c r="D3024" s="125"/>
      <c r="I3024" s="125"/>
      <c r="Z3024" s="124"/>
      <c r="AA3024" s="74"/>
      <c r="AB3024" s="240"/>
      <c r="AD3024" s="124"/>
      <c r="AE3024" s="238"/>
      <c r="AF3024" s="239"/>
      <c r="AG3024" s="239"/>
      <c r="AH3024" s="124"/>
      <c r="AI3024" s="74"/>
      <c r="AJ3024" s="240"/>
      <c r="AL3024" s="124"/>
      <c r="AM3024" s="74"/>
      <c r="AP3024" s="125"/>
      <c r="AQ3024" s="241"/>
      <c r="AR3024" s="125"/>
      <c r="AS3024" s="125"/>
      <c r="AT3024" s="238"/>
      <c r="AU3024" s="125"/>
      <c r="AV3024" s="125"/>
      <c r="AW3024" s="125"/>
      <c r="AX3024" s="238"/>
      <c r="AY3024" s="125"/>
      <c r="AZ3024" s="125"/>
      <c r="BA3024" s="125"/>
    </row>
    <row r="3025" spans="2:53" s="123" customFormat="1">
      <c r="B3025" s="125"/>
      <c r="D3025" s="125"/>
      <c r="I3025" s="125"/>
      <c r="Z3025" s="124"/>
      <c r="AA3025" s="74"/>
      <c r="AB3025" s="240"/>
      <c r="AD3025" s="124"/>
      <c r="AE3025" s="238"/>
      <c r="AF3025" s="239"/>
      <c r="AG3025" s="239"/>
      <c r="AH3025" s="124"/>
      <c r="AI3025" s="74"/>
      <c r="AJ3025" s="240"/>
      <c r="AL3025" s="124"/>
      <c r="AM3025" s="74"/>
      <c r="AP3025" s="125"/>
      <c r="AQ3025" s="241"/>
      <c r="AR3025" s="125"/>
      <c r="AS3025" s="125"/>
      <c r="AT3025" s="238"/>
      <c r="AU3025" s="125"/>
      <c r="AV3025" s="125"/>
      <c r="AW3025" s="125"/>
      <c r="AX3025" s="238"/>
      <c r="AY3025" s="125"/>
      <c r="AZ3025" s="125"/>
      <c r="BA3025" s="125"/>
    </row>
    <row r="3026" spans="2:53" s="123" customFormat="1">
      <c r="B3026" s="125"/>
      <c r="D3026" s="125"/>
      <c r="I3026" s="125"/>
      <c r="Z3026" s="124"/>
      <c r="AA3026" s="74"/>
      <c r="AB3026" s="240"/>
      <c r="AD3026" s="124"/>
      <c r="AE3026" s="238"/>
      <c r="AF3026" s="239"/>
      <c r="AG3026" s="239"/>
      <c r="AH3026" s="124"/>
      <c r="AI3026" s="74"/>
      <c r="AJ3026" s="240"/>
      <c r="AL3026" s="124"/>
      <c r="AM3026" s="74"/>
      <c r="AP3026" s="125"/>
      <c r="AQ3026" s="241"/>
      <c r="AR3026" s="125"/>
      <c r="AS3026" s="125"/>
      <c r="AT3026" s="238"/>
      <c r="AU3026" s="125"/>
      <c r="AV3026" s="125"/>
      <c r="AW3026" s="125"/>
      <c r="AX3026" s="238"/>
      <c r="AY3026" s="125"/>
      <c r="AZ3026" s="125"/>
      <c r="BA3026" s="125"/>
    </row>
    <row r="3027" spans="2:53" s="123" customFormat="1">
      <c r="B3027" s="125"/>
      <c r="D3027" s="125"/>
      <c r="I3027" s="125"/>
      <c r="Z3027" s="124"/>
      <c r="AA3027" s="74"/>
      <c r="AB3027" s="240"/>
      <c r="AD3027" s="124"/>
      <c r="AE3027" s="238"/>
      <c r="AF3027" s="239"/>
      <c r="AG3027" s="239"/>
      <c r="AH3027" s="124"/>
      <c r="AI3027" s="74"/>
      <c r="AJ3027" s="240"/>
      <c r="AL3027" s="124"/>
      <c r="AM3027" s="74"/>
      <c r="AP3027" s="125"/>
      <c r="AQ3027" s="241"/>
      <c r="AR3027" s="125"/>
      <c r="AS3027" s="125"/>
      <c r="AT3027" s="238"/>
      <c r="AU3027" s="125"/>
      <c r="AV3027" s="125"/>
      <c r="AW3027" s="125"/>
      <c r="AX3027" s="238"/>
      <c r="AY3027" s="125"/>
      <c r="AZ3027" s="125"/>
      <c r="BA3027" s="125"/>
    </row>
    <row r="3028" spans="2:53" s="123" customFormat="1">
      <c r="B3028" s="125"/>
      <c r="D3028" s="125"/>
      <c r="I3028" s="125"/>
      <c r="Z3028" s="124"/>
      <c r="AA3028" s="74"/>
      <c r="AB3028" s="240"/>
      <c r="AD3028" s="124"/>
      <c r="AE3028" s="238"/>
      <c r="AF3028" s="239"/>
      <c r="AG3028" s="239"/>
      <c r="AH3028" s="124"/>
      <c r="AI3028" s="74"/>
      <c r="AJ3028" s="240"/>
      <c r="AL3028" s="124"/>
      <c r="AM3028" s="74"/>
      <c r="AP3028" s="125"/>
      <c r="AQ3028" s="241"/>
      <c r="AR3028" s="125"/>
      <c r="AS3028" s="125"/>
      <c r="AT3028" s="238"/>
      <c r="AU3028" s="125"/>
      <c r="AV3028" s="125"/>
      <c r="AW3028" s="125"/>
      <c r="AX3028" s="238"/>
      <c r="AY3028" s="125"/>
      <c r="AZ3028" s="125"/>
      <c r="BA3028" s="125"/>
    </row>
    <row r="3029" spans="2:53" s="123" customFormat="1">
      <c r="B3029" s="125"/>
      <c r="D3029" s="125"/>
      <c r="I3029" s="125"/>
      <c r="Z3029" s="124"/>
      <c r="AA3029" s="74"/>
      <c r="AB3029" s="240"/>
      <c r="AD3029" s="124"/>
      <c r="AE3029" s="238"/>
      <c r="AF3029" s="239"/>
      <c r="AG3029" s="239"/>
      <c r="AH3029" s="124"/>
      <c r="AI3029" s="74"/>
      <c r="AJ3029" s="240"/>
      <c r="AL3029" s="124"/>
      <c r="AM3029" s="74"/>
      <c r="AP3029" s="125"/>
      <c r="AQ3029" s="241"/>
      <c r="AR3029" s="125"/>
      <c r="AS3029" s="125"/>
      <c r="AT3029" s="238"/>
      <c r="AU3029" s="125"/>
      <c r="AV3029" s="125"/>
      <c r="AW3029" s="125"/>
      <c r="AX3029" s="238"/>
      <c r="AY3029" s="125"/>
      <c r="AZ3029" s="125"/>
      <c r="BA3029" s="125"/>
    </row>
    <row r="3030" spans="2:53" s="123" customFormat="1">
      <c r="B3030" s="125"/>
      <c r="D3030" s="125"/>
      <c r="I3030" s="125"/>
      <c r="Z3030" s="124"/>
      <c r="AA3030" s="74"/>
      <c r="AB3030" s="240"/>
      <c r="AD3030" s="124"/>
      <c r="AE3030" s="238"/>
      <c r="AF3030" s="239"/>
      <c r="AG3030" s="239"/>
      <c r="AH3030" s="124"/>
      <c r="AI3030" s="74"/>
      <c r="AJ3030" s="240"/>
      <c r="AL3030" s="124"/>
      <c r="AM3030" s="74"/>
      <c r="AP3030" s="125"/>
      <c r="AQ3030" s="241"/>
      <c r="AR3030" s="125"/>
      <c r="AS3030" s="125"/>
      <c r="AT3030" s="238"/>
      <c r="AU3030" s="125"/>
      <c r="AV3030" s="125"/>
      <c r="AW3030" s="125"/>
      <c r="AX3030" s="238"/>
      <c r="AY3030" s="125"/>
      <c r="AZ3030" s="125"/>
      <c r="BA3030" s="125"/>
    </row>
    <row r="3031" spans="2:53" s="123" customFormat="1">
      <c r="B3031" s="125"/>
      <c r="D3031" s="125"/>
      <c r="I3031" s="125"/>
      <c r="Z3031" s="124"/>
      <c r="AA3031" s="74"/>
      <c r="AB3031" s="240"/>
      <c r="AD3031" s="124"/>
      <c r="AE3031" s="238"/>
      <c r="AF3031" s="239"/>
      <c r="AG3031" s="239"/>
      <c r="AH3031" s="124"/>
      <c r="AI3031" s="74"/>
      <c r="AJ3031" s="240"/>
      <c r="AL3031" s="124"/>
      <c r="AM3031" s="74"/>
      <c r="AP3031" s="125"/>
      <c r="AQ3031" s="241"/>
      <c r="AR3031" s="125"/>
      <c r="AS3031" s="125"/>
      <c r="AT3031" s="238"/>
      <c r="AU3031" s="125"/>
      <c r="AV3031" s="125"/>
      <c r="AW3031" s="125"/>
      <c r="AX3031" s="238"/>
      <c r="AY3031" s="125"/>
      <c r="AZ3031" s="125"/>
      <c r="BA3031" s="125"/>
    </row>
    <row r="3032" spans="2:53" s="123" customFormat="1">
      <c r="B3032" s="125"/>
      <c r="D3032" s="125"/>
      <c r="I3032" s="125"/>
      <c r="Z3032" s="124"/>
      <c r="AA3032" s="74"/>
      <c r="AB3032" s="240"/>
      <c r="AD3032" s="124"/>
      <c r="AE3032" s="238"/>
      <c r="AF3032" s="239"/>
      <c r="AG3032" s="239"/>
      <c r="AH3032" s="124"/>
      <c r="AI3032" s="74"/>
      <c r="AJ3032" s="240"/>
      <c r="AL3032" s="124"/>
      <c r="AM3032" s="74"/>
      <c r="AP3032" s="125"/>
      <c r="AQ3032" s="241"/>
      <c r="AR3032" s="125"/>
      <c r="AS3032" s="125"/>
      <c r="AT3032" s="238"/>
      <c r="AU3032" s="125"/>
      <c r="AV3032" s="125"/>
      <c r="AW3032" s="125"/>
      <c r="AX3032" s="238"/>
      <c r="AY3032" s="125"/>
      <c r="AZ3032" s="125"/>
      <c r="BA3032" s="125"/>
    </row>
    <row r="3033" spans="2:53" s="123" customFormat="1">
      <c r="B3033" s="125"/>
      <c r="D3033" s="125"/>
      <c r="I3033" s="125"/>
      <c r="Z3033" s="124"/>
      <c r="AA3033" s="74"/>
      <c r="AB3033" s="240"/>
      <c r="AD3033" s="124"/>
      <c r="AE3033" s="238"/>
      <c r="AF3033" s="239"/>
      <c r="AG3033" s="239"/>
      <c r="AH3033" s="124"/>
      <c r="AI3033" s="74"/>
      <c r="AJ3033" s="240"/>
      <c r="AL3033" s="124"/>
      <c r="AM3033" s="74"/>
      <c r="AP3033" s="125"/>
      <c r="AQ3033" s="241"/>
      <c r="AR3033" s="125"/>
      <c r="AS3033" s="125"/>
      <c r="AT3033" s="238"/>
      <c r="AU3033" s="125"/>
      <c r="AV3033" s="125"/>
      <c r="AW3033" s="125"/>
      <c r="AX3033" s="238"/>
      <c r="AY3033" s="125"/>
      <c r="AZ3033" s="125"/>
      <c r="BA3033" s="125"/>
    </row>
    <row r="3034" spans="2:53" s="123" customFormat="1">
      <c r="B3034" s="125"/>
      <c r="D3034" s="125"/>
      <c r="I3034" s="125"/>
      <c r="Z3034" s="124"/>
      <c r="AA3034" s="74"/>
      <c r="AB3034" s="240"/>
      <c r="AD3034" s="124"/>
      <c r="AE3034" s="238"/>
      <c r="AF3034" s="239"/>
      <c r="AG3034" s="239"/>
      <c r="AH3034" s="124"/>
      <c r="AI3034" s="74"/>
      <c r="AJ3034" s="240"/>
      <c r="AL3034" s="124"/>
      <c r="AM3034" s="74"/>
      <c r="AP3034" s="125"/>
      <c r="AQ3034" s="241"/>
      <c r="AR3034" s="125"/>
      <c r="AS3034" s="125"/>
      <c r="AT3034" s="238"/>
      <c r="AU3034" s="125"/>
      <c r="AV3034" s="125"/>
      <c r="AW3034" s="125"/>
      <c r="AX3034" s="238"/>
      <c r="AY3034" s="125"/>
      <c r="AZ3034" s="125"/>
      <c r="BA3034" s="125"/>
    </row>
    <row r="3035" spans="2:53" s="123" customFormat="1">
      <c r="B3035" s="125"/>
      <c r="D3035" s="125"/>
      <c r="I3035" s="125"/>
      <c r="Z3035" s="124"/>
      <c r="AA3035" s="74"/>
      <c r="AB3035" s="240"/>
      <c r="AD3035" s="124"/>
      <c r="AE3035" s="238"/>
      <c r="AF3035" s="239"/>
      <c r="AG3035" s="239"/>
      <c r="AH3035" s="124"/>
      <c r="AI3035" s="74"/>
      <c r="AJ3035" s="240"/>
      <c r="AL3035" s="124"/>
      <c r="AM3035" s="74"/>
      <c r="AP3035" s="125"/>
      <c r="AQ3035" s="241"/>
      <c r="AR3035" s="125"/>
      <c r="AS3035" s="125"/>
      <c r="AT3035" s="238"/>
      <c r="AU3035" s="125"/>
      <c r="AV3035" s="125"/>
      <c r="AW3035" s="125"/>
      <c r="AX3035" s="238"/>
      <c r="AY3035" s="125"/>
      <c r="AZ3035" s="125"/>
      <c r="BA3035" s="125"/>
    </row>
    <row r="3036" spans="2:53" s="123" customFormat="1">
      <c r="B3036" s="125"/>
      <c r="D3036" s="125"/>
      <c r="I3036" s="125"/>
      <c r="Z3036" s="124"/>
      <c r="AA3036" s="74"/>
      <c r="AB3036" s="240"/>
      <c r="AD3036" s="124"/>
      <c r="AE3036" s="238"/>
      <c r="AF3036" s="239"/>
      <c r="AG3036" s="239"/>
      <c r="AH3036" s="124"/>
      <c r="AI3036" s="74"/>
      <c r="AJ3036" s="240"/>
      <c r="AL3036" s="124"/>
      <c r="AM3036" s="74"/>
      <c r="AP3036" s="125"/>
      <c r="AQ3036" s="241"/>
      <c r="AR3036" s="125"/>
      <c r="AS3036" s="125"/>
      <c r="AT3036" s="238"/>
      <c r="AU3036" s="125"/>
      <c r="AV3036" s="125"/>
      <c r="AW3036" s="125"/>
      <c r="AX3036" s="238"/>
      <c r="AY3036" s="125"/>
      <c r="AZ3036" s="125"/>
      <c r="BA3036" s="125"/>
    </row>
    <row r="3037" spans="2:53" s="123" customFormat="1">
      <c r="B3037" s="125"/>
      <c r="D3037" s="125"/>
      <c r="I3037" s="125"/>
      <c r="Z3037" s="124"/>
      <c r="AA3037" s="74"/>
      <c r="AB3037" s="240"/>
      <c r="AD3037" s="124"/>
      <c r="AE3037" s="238"/>
      <c r="AF3037" s="239"/>
      <c r="AG3037" s="239"/>
      <c r="AH3037" s="124"/>
      <c r="AI3037" s="74"/>
      <c r="AJ3037" s="240"/>
      <c r="AL3037" s="124"/>
      <c r="AM3037" s="74"/>
      <c r="AP3037" s="125"/>
      <c r="AQ3037" s="241"/>
      <c r="AR3037" s="125"/>
      <c r="AS3037" s="125"/>
      <c r="AT3037" s="238"/>
      <c r="AU3037" s="125"/>
      <c r="AV3037" s="125"/>
      <c r="AW3037" s="125"/>
      <c r="AX3037" s="238"/>
      <c r="AY3037" s="125"/>
      <c r="AZ3037" s="125"/>
      <c r="BA3037" s="125"/>
    </row>
    <row r="3038" spans="2:53" s="123" customFormat="1">
      <c r="B3038" s="125"/>
      <c r="D3038" s="125"/>
      <c r="I3038" s="125"/>
      <c r="Z3038" s="124"/>
      <c r="AA3038" s="74"/>
      <c r="AB3038" s="240"/>
      <c r="AD3038" s="124"/>
      <c r="AE3038" s="238"/>
      <c r="AF3038" s="239"/>
      <c r="AG3038" s="239"/>
      <c r="AH3038" s="124"/>
      <c r="AI3038" s="74"/>
      <c r="AJ3038" s="240"/>
      <c r="AL3038" s="124"/>
      <c r="AM3038" s="74"/>
      <c r="AP3038" s="125"/>
      <c r="AQ3038" s="241"/>
      <c r="AR3038" s="125"/>
      <c r="AS3038" s="125"/>
      <c r="AT3038" s="238"/>
      <c r="AU3038" s="125"/>
      <c r="AV3038" s="125"/>
      <c r="AW3038" s="125"/>
      <c r="AX3038" s="238"/>
      <c r="AY3038" s="125"/>
      <c r="AZ3038" s="125"/>
      <c r="BA3038" s="125"/>
    </row>
    <row r="3039" spans="2:53" s="123" customFormat="1">
      <c r="B3039" s="125"/>
      <c r="D3039" s="125"/>
      <c r="I3039" s="125"/>
      <c r="Z3039" s="124"/>
      <c r="AA3039" s="74"/>
      <c r="AB3039" s="240"/>
      <c r="AD3039" s="124"/>
      <c r="AE3039" s="238"/>
      <c r="AF3039" s="239"/>
      <c r="AG3039" s="239"/>
      <c r="AH3039" s="124"/>
      <c r="AI3039" s="74"/>
      <c r="AJ3039" s="240"/>
      <c r="AL3039" s="124"/>
      <c r="AM3039" s="74"/>
      <c r="AP3039" s="125"/>
      <c r="AQ3039" s="241"/>
      <c r="AR3039" s="125"/>
      <c r="AS3039" s="125"/>
      <c r="AT3039" s="238"/>
      <c r="AU3039" s="125"/>
      <c r="AV3039" s="125"/>
      <c r="AW3039" s="125"/>
      <c r="AX3039" s="238"/>
      <c r="AY3039" s="125"/>
      <c r="AZ3039" s="125"/>
      <c r="BA3039" s="125"/>
    </row>
    <row r="3040" spans="2:53" s="123" customFormat="1">
      <c r="B3040" s="125"/>
      <c r="D3040" s="125"/>
      <c r="I3040" s="125"/>
      <c r="Z3040" s="124"/>
      <c r="AA3040" s="74"/>
      <c r="AB3040" s="240"/>
      <c r="AD3040" s="124"/>
      <c r="AE3040" s="238"/>
      <c r="AF3040" s="239"/>
      <c r="AG3040" s="239"/>
      <c r="AH3040" s="124"/>
      <c r="AI3040" s="74"/>
      <c r="AJ3040" s="240"/>
      <c r="AL3040" s="124"/>
      <c r="AM3040" s="74"/>
      <c r="AP3040" s="125"/>
      <c r="AQ3040" s="241"/>
      <c r="AR3040" s="125"/>
      <c r="AS3040" s="125"/>
      <c r="AT3040" s="238"/>
      <c r="AU3040" s="125"/>
      <c r="AV3040" s="125"/>
      <c r="AW3040" s="125"/>
      <c r="AX3040" s="238"/>
      <c r="AY3040" s="125"/>
      <c r="AZ3040" s="125"/>
      <c r="BA3040" s="125"/>
    </row>
    <row r="3041" spans="2:53" s="123" customFormat="1">
      <c r="B3041" s="125"/>
      <c r="D3041" s="125"/>
      <c r="I3041" s="125"/>
      <c r="Z3041" s="124"/>
      <c r="AA3041" s="74"/>
      <c r="AB3041" s="240"/>
      <c r="AD3041" s="124"/>
      <c r="AE3041" s="238"/>
      <c r="AF3041" s="239"/>
      <c r="AG3041" s="239"/>
      <c r="AH3041" s="124"/>
      <c r="AI3041" s="74"/>
      <c r="AJ3041" s="240"/>
      <c r="AL3041" s="124"/>
      <c r="AM3041" s="74"/>
      <c r="AP3041" s="125"/>
      <c r="AQ3041" s="241"/>
      <c r="AR3041" s="125"/>
      <c r="AS3041" s="125"/>
      <c r="AT3041" s="238"/>
      <c r="AU3041" s="125"/>
      <c r="AV3041" s="125"/>
      <c r="AW3041" s="125"/>
      <c r="AX3041" s="238"/>
      <c r="AY3041" s="125"/>
      <c r="AZ3041" s="125"/>
      <c r="BA3041" s="125"/>
    </row>
    <row r="3042" spans="2:53" s="123" customFormat="1">
      <c r="B3042" s="125"/>
      <c r="D3042" s="125"/>
      <c r="I3042" s="125"/>
      <c r="Z3042" s="124"/>
      <c r="AA3042" s="74"/>
      <c r="AB3042" s="240"/>
      <c r="AD3042" s="124"/>
      <c r="AE3042" s="238"/>
      <c r="AF3042" s="239"/>
      <c r="AG3042" s="239"/>
      <c r="AH3042" s="124"/>
      <c r="AI3042" s="74"/>
      <c r="AJ3042" s="240"/>
      <c r="AL3042" s="124"/>
      <c r="AM3042" s="74"/>
      <c r="AP3042" s="125"/>
      <c r="AQ3042" s="241"/>
      <c r="AR3042" s="125"/>
      <c r="AS3042" s="125"/>
      <c r="AT3042" s="238"/>
      <c r="AU3042" s="125"/>
      <c r="AV3042" s="125"/>
      <c r="AW3042" s="125"/>
      <c r="AX3042" s="238"/>
      <c r="AY3042" s="125"/>
      <c r="AZ3042" s="125"/>
      <c r="BA3042" s="125"/>
    </row>
    <row r="3043" spans="2:53" s="123" customFormat="1">
      <c r="B3043" s="125"/>
      <c r="D3043" s="125"/>
      <c r="I3043" s="125"/>
      <c r="Z3043" s="124"/>
      <c r="AA3043" s="74"/>
      <c r="AB3043" s="240"/>
      <c r="AD3043" s="124"/>
      <c r="AE3043" s="238"/>
      <c r="AF3043" s="239"/>
      <c r="AG3043" s="239"/>
      <c r="AH3043" s="124"/>
      <c r="AI3043" s="74"/>
      <c r="AJ3043" s="240"/>
      <c r="AL3043" s="124"/>
      <c r="AM3043" s="74"/>
      <c r="AP3043" s="125"/>
      <c r="AQ3043" s="241"/>
      <c r="AR3043" s="125"/>
      <c r="AS3043" s="125"/>
      <c r="AT3043" s="238"/>
      <c r="AU3043" s="125"/>
      <c r="AV3043" s="125"/>
      <c r="AW3043" s="125"/>
      <c r="AX3043" s="238"/>
      <c r="AY3043" s="125"/>
      <c r="AZ3043" s="125"/>
      <c r="BA3043" s="125"/>
    </row>
    <row r="3044" spans="2:53" s="123" customFormat="1">
      <c r="B3044" s="125"/>
      <c r="D3044" s="125"/>
      <c r="I3044" s="125"/>
      <c r="Z3044" s="124"/>
      <c r="AA3044" s="74"/>
      <c r="AB3044" s="240"/>
      <c r="AD3044" s="124"/>
      <c r="AE3044" s="238"/>
      <c r="AF3044" s="239"/>
      <c r="AG3044" s="239"/>
      <c r="AH3044" s="124"/>
      <c r="AI3044" s="74"/>
      <c r="AJ3044" s="240"/>
      <c r="AL3044" s="124"/>
      <c r="AM3044" s="74"/>
      <c r="AP3044" s="125"/>
      <c r="AQ3044" s="241"/>
      <c r="AR3044" s="125"/>
      <c r="AS3044" s="125"/>
      <c r="AT3044" s="238"/>
      <c r="AU3044" s="125"/>
      <c r="AV3044" s="125"/>
      <c r="AW3044" s="125"/>
      <c r="AX3044" s="238"/>
      <c r="AY3044" s="125"/>
      <c r="AZ3044" s="125"/>
      <c r="BA3044" s="125"/>
    </row>
    <row r="3045" spans="2:53" s="123" customFormat="1">
      <c r="B3045" s="125"/>
      <c r="D3045" s="125"/>
      <c r="I3045" s="125"/>
      <c r="Z3045" s="124"/>
      <c r="AA3045" s="74"/>
      <c r="AB3045" s="240"/>
      <c r="AD3045" s="124"/>
      <c r="AE3045" s="238"/>
      <c r="AF3045" s="239"/>
      <c r="AG3045" s="239"/>
      <c r="AH3045" s="124"/>
      <c r="AI3045" s="74"/>
      <c r="AJ3045" s="240"/>
      <c r="AL3045" s="124"/>
      <c r="AM3045" s="74"/>
      <c r="AP3045" s="125"/>
      <c r="AQ3045" s="241"/>
      <c r="AR3045" s="125"/>
      <c r="AS3045" s="125"/>
      <c r="AT3045" s="238"/>
      <c r="AU3045" s="125"/>
      <c r="AV3045" s="125"/>
      <c r="AW3045" s="125"/>
      <c r="AX3045" s="238"/>
      <c r="AY3045" s="125"/>
      <c r="AZ3045" s="125"/>
      <c r="BA3045" s="125"/>
    </row>
    <row r="3046" spans="2:53" s="123" customFormat="1">
      <c r="B3046" s="125"/>
      <c r="D3046" s="125"/>
      <c r="I3046" s="125"/>
      <c r="Z3046" s="124"/>
      <c r="AA3046" s="74"/>
      <c r="AB3046" s="240"/>
      <c r="AD3046" s="124"/>
      <c r="AE3046" s="238"/>
      <c r="AF3046" s="239"/>
      <c r="AG3046" s="239"/>
      <c r="AH3046" s="124"/>
      <c r="AI3046" s="74"/>
      <c r="AJ3046" s="240"/>
      <c r="AL3046" s="124"/>
      <c r="AM3046" s="74"/>
      <c r="AP3046" s="125"/>
      <c r="AQ3046" s="241"/>
      <c r="AR3046" s="125"/>
      <c r="AS3046" s="125"/>
      <c r="AT3046" s="238"/>
      <c r="AU3046" s="125"/>
      <c r="AV3046" s="125"/>
      <c r="AW3046" s="125"/>
      <c r="AX3046" s="238"/>
      <c r="AY3046" s="125"/>
      <c r="AZ3046" s="125"/>
      <c r="BA3046" s="125"/>
    </row>
    <row r="3047" spans="2:53" s="123" customFormat="1">
      <c r="B3047" s="125"/>
      <c r="D3047" s="125"/>
      <c r="I3047" s="125"/>
      <c r="Z3047" s="124"/>
      <c r="AA3047" s="74"/>
      <c r="AB3047" s="240"/>
      <c r="AD3047" s="124"/>
      <c r="AE3047" s="238"/>
      <c r="AF3047" s="239"/>
      <c r="AG3047" s="239"/>
      <c r="AH3047" s="124"/>
      <c r="AI3047" s="74"/>
      <c r="AJ3047" s="240"/>
      <c r="AL3047" s="124"/>
      <c r="AM3047" s="74"/>
      <c r="AP3047" s="125"/>
      <c r="AQ3047" s="241"/>
      <c r="AR3047" s="125"/>
      <c r="AS3047" s="125"/>
      <c r="AT3047" s="238"/>
      <c r="AU3047" s="125"/>
      <c r="AV3047" s="125"/>
      <c r="AW3047" s="125"/>
      <c r="AX3047" s="238"/>
      <c r="AY3047" s="125"/>
      <c r="AZ3047" s="125"/>
      <c r="BA3047" s="125"/>
    </row>
    <row r="3048" spans="2:53" s="123" customFormat="1">
      <c r="B3048" s="125"/>
      <c r="D3048" s="125"/>
      <c r="I3048" s="125"/>
      <c r="Z3048" s="124"/>
      <c r="AA3048" s="74"/>
      <c r="AB3048" s="240"/>
      <c r="AD3048" s="124"/>
      <c r="AE3048" s="238"/>
      <c r="AF3048" s="239"/>
      <c r="AG3048" s="239"/>
      <c r="AH3048" s="124"/>
      <c r="AI3048" s="74"/>
      <c r="AJ3048" s="240"/>
      <c r="AL3048" s="124"/>
      <c r="AM3048" s="74"/>
      <c r="AP3048" s="125"/>
      <c r="AQ3048" s="241"/>
      <c r="AR3048" s="125"/>
      <c r="AS3048" s="125"/>
      <c r="AT3048" s="238"/>
      <c r="AU3048" s="125"/>
      <c r="AV3048" s="125"/>
      <c r="AW3048" s="125"/>
      <c r="AX3048" s="238"/>
      <c r="AY3048" s="125"/>
      <c r="AZ3048" s="125"/>
      <c r="BA3048" s="125"/>
    </row>
    <row r="3049" spans="2:53" s="123" customFormat="1">
      <c r="B3049" s="125"/>
      <c r="D3049" s="125"/>
      <c r="I3049" s="125"/>
      <c r="Z3049" s="124"/>
      <c r="AA3049" s="74"/>
      <c r="AB3049" s="240"/>
      <c r="AD3049" s="124"/>
      <c r="AE3049" s="238"/>
      <c r="AF3049" s="239"/>
      <c r="AG3049" s="239"/>
      <c r="AH3049" s="124"/>
      <c r="AI3049" s="74"/>
      <c r="AJ3049" s="240"/>
      <c r="AL3049" s="124"/>
      <c r="AM3049" s="74"/>
      <c r="AP3049" s="125"/>
      <c r="AQ3049" s="241"/>
      <c r="AR3049" s="125"/>
      <c r="AS3049" s="125"/>
      <c r="AT3049" s="238"/>
      <c r="AU3049" s="125"/>
      <c r="AV3049" s="125"/>
      <c r="AW3049" s="125"/>
      <c r="AX3049" s="238"/>
      <c r="AY3049" s="125"/>
      <c r="AZ3049" s="125"/>
      <c r="BA3049" s="125"/>
    </row>
    <row r="3050" spans="2:53" s="123" customFormat="1">
      <c r="B3050" s="125"/>
      <c r="D3050" s="125"/>
      <c r="I3050" s="125"/>
      <c r="Z3050" s="124"/>
      <c r="AA3050" s="74"/>
      <c r="AB3050" s="240"/>
      <c r="AD3050" s="124"/>
      <c r="AE3050" s="238"/>
      <c r="AF3050" s="239"/>
      <c r="AG3050" s="239"/>
      <c r="AH3050" s="124"/>
      <c r="AI3050" s="74"/>
      <c r="AJ3050" s="240"/>
      <c r="AL3050" s="124"/>
      <c r="AM3050" s="74"/>
      <c r="AP3050" s="125"/>
      <c r="AQ3050" s="241"/>
      <c r="AR3050" s="125"/>
      <c r="AS3050" s="125"/>
      <c r="AT3050" s="238"/>
      <c r="AU3050" s="125"/>
      <c r="AV3050" s="125"/>
      <c r="AW3050" s="125"/>
      <c r="AX3050" s="238"/>
      <c r="AY3050" s="125"/>
      <c r="AZ3050" s="125"/>
      <c r="BA3050" s="125"/>
    </row>
    <row r="3051" spans="2:53" s="123" customFormat="1">
      <c r="B3051" s="125"/>
      <c r="D3051" s="125"/>
      <c r="I3051" s="125"/>
      <c r="Z3051" s="124"/>
      <c r="AA3051" s="74"/>
      <c r="AB3051" s="240"/>
      <c r="AD3051" s="124"/>
      <c r="AE3051" s="238"/>
      <c r="AF3051" s="239"/>
      <c r="AG3051" s="239"/>
      <c r="AH3051" s="124"/>
      <c r="AI3051" s="74"/>
      <c r="AJ3051" s="240"/>
      <c r="AL3051" s="124"/>
      <c r="AM3051" s="74"/>
      <c r="AP3051" s="125"/>
      <c r="AQ3051" s="241"/>
      <c r="AR3051" s="125"/>
      <c r="AS3051" s="125"/>
      <c r="AT3051" s="238"/>
      <c r="AU3051" s="125"/>
      <c r="AV3051" s="125"/>
      <c r="AW3051" s="125"/>
      <c r="AX3051" s="238"/>
      <c r="AY3051" s="125"/>
      <c r="AZ3051" s="125"/>
      <c r="BA3051" s="125"/>
    </row>
    <row r="3052" spans="2:53" s="123" customFormat="1">
      <c r="B3052" s="125"/>
      <c r="D3052" s="125"/>
      <c r="I3052" s="125"/>
      <c r="Z3052" s="124"/>
      <c r="AA3052" s="74"/>
      <c r="AB3052" s="240"/>
      <c r="AD3052" s="124"/>
      <c r="AE3052" s="238"/>
      <c r="AF3052" s="239"/>
      <c r="AG3052" s="239"/>
      <c r="AH3052" s="124"/>
      <c r="AI3052" s="74"/>
      <c r="AJ3052" s="240"/>
      <c r="AL3052" s="124"/>
      <c r="AM3052" s="74"/>
      <c r="AP3052" s="125"/>
      <c r="AQ3052" s="241"/>
      <c r="AR3052" s="125"/>
      <c r="AS3052" s="125"/>
      <c r="AT3052" s="238"/>
      <c r="AU3052" s="125"/>
      <c r="AV3052" s="125"/>
      <c r="AW3052" s="125"/>
      <c r="AX3052" s="238"/>
      <c r="AY3052" s="125"/>
      <c r="AZ3052" s="125"/>
      <c r="BA3052" s="125"/>
    </row>
    <row r="3053" spans="2:53" s="123" customFormat="1">
      <c r="B3053" s="125"/>
      <c r="D3053" s="125"/>
      <c r="I3053" s="125"/>
      <c r="Z3053" s="124"/>
      <c r="AA3053" s="74"/>
      <c r="AB3053" s="240"/>
      <c r="AD3053" s="124"/>
      <c r="AE3053" s="238"/>
      <c r="AF3053" s="239"/>
      <c r="AG3053" s="239"/>
      <c r="AH3053" s="124"/>
      <c r="AI3053" s="74"/>
      <c r="AJ3053" s="240"/>
      <c r="AL3053" s="124"/>
      <c r="AM3053" s="74"/>
      <c r="AP3053" s="125"/>
      <c r="AQ3053" s="241"/>
      <c r="AR3053" s="125"/>
      <c r="AS3053" s="125"/>
      <c r="AT3053" s="238"/>
      <c r="AU3053" s="125"/>
      <c r="AV3053" s="125"/>
      <c r="AW3053" s="125"/>
      <c r="AX3053" s="238"/>
      <c r="AY3053" s="125"/>
      <c r="AZ3053" s="125"/>
      <c r="BA3053" s="125"/>
    </row>
    <row r="3054" spans="2:53" s="123" customFormat="1">
      <c r="B3054" s="125"/>
      <c r="D3054" s="125"/>
      <c r="I3054" s="125"/>
      <c r="Z3054" s="124"/>
      <c r="AA3054" s="74"/>
      <c r="AB3054" s="240"/>
      <c r="AD3054" s="124"/>
      <c r="AE3054" s="238"/>
      <c r="AF3054" s="239"/>
      <c r="AG3054" s="239"/>
      <c r="AH3054" s="124"/>
      <c r="AI3054" s="74"/>
      <c r="AJ3054" s="240"/>
      <c r="AL3054" s="124"/>
      <c r="AM3054" s="74"/>
      <c r="AP3054" s="125"/>
      <c r="AQ3054" s="241"/>
      <c r="AR3054" s="125"/>
      <c r="AS3054" s="125"/>
      <c r="AT3054" s="238"/>
      <c r="AU3054" s="125"/>
      <c r="AV3054" s="125"/>
      <c r="AW3054" s="125"/>
      <c r="AX3054" s="238"/>
      <c r="AY3054" s="125"/>
      <c r="AZ3054" s="125"/>
      <c r="BA3054" s="125"/>
    </row>
    <row r="3055" spans="2:53" s="123" customFormat="1">
      <c r="B3055" s="125"/>
      <c r="D3055" s="125"/>
      <c r="I3055" s="125"/>
      <c r="Z3055" s="124"/>
      <c r="AA3055" s="74"/>
      <c r="AB3055" s="240"/>
      <c r="AD3055" s="124"/>
      <c r="AE3055" s="238"/>
      <c r="AF3055" s="239"/>
      <c r="AG3055" s="239"/>
      <c r="AH3055" s="124"/>
      <c r="AI3055" s="74"/>
      <c r="AJ3055" s="240"/>
      <c r="AL3055" s="124"/>
      <c r="AM3055" s="74"/>
      <c r="AP3055" s="125"/>
      <c r="AQ3055" s="241"/>
      <c r="AR3055" s="125"/>
      <c r="AS3055" s="125"/>
      <c r="AT3055" s="238"/>
      <c r="AU3055" s="125"/>
      <c r="AV3055" s="125"/>
      <c r="AW3055" s="125"/>
      <c r="AX3055" s="238"/>
      <c r="AY3055" s="125"/>
      <c r="AZ3055" s="125"/>
      <c r="BA3055" s="125"/>
    </row>
    <row r="3056" spans="2:53" s="123" customFormat="1">
      <c r="B3056" s="125"/>
      <c r="D3056" s="125"/>
      <c r="I3056" s="125"/>
      <c r="Z3056" s="124"/>
      <c r="AA3056" s="74"/>
      <c r="AB3056" s="240"/>
      <c r="AD3056" s="124"/>
      <c r="AE3056" s="238"/>
      <c r="AF3056" s="239"/>
      <c r="AG3056" s="239"/>
      <c r="AH3056" s="124"/>
      <c r="AI3056" s="74"/>
      <c r="AJ3056" s="240"/>
      <c r="AL3056" s="124"/>
      <c r="AM3056" s="74"/>
      <c r="AP3056" s="125"/>
      <c r="AQ3056" s="241"/>
      <c r="AR3056" s="125"/>
      <c r="AS3056" s="125"/>
      <c r="AT3056" s="238"/>
      <c r="AU3056" s="125"/>
      <c r="AV3056" s="125"/>
      <c r="AW3056" s="125"/>
      <c r="AX3056" s="238"/>
      <c r="AY3056" s="125"/>
      <c r="AZ3056" s="125"/>
      <c r="BA3056" s="125"/>
    </row>
    <row r="3057" spans="2:53" s="123" customFormat="1">
      <c r="B3057" s="125"/>
      <c r="D3057" s="125"/>
      <c r="I3057" s="125"/>
      <c r="Z3057" s="124"/>
      <c r="AA3057" s="74"/>
      <c r="AB3057" s="240"/>
      <c r="AD3057" s="124"/>
      <c r="AE3057" s="238"/>
      <c r="AF3057" s="239"/>
      <c r="AG3057" s="239"/>
      <c r="AH3057" s="124"/>
      <c r="AI3057" s="74"/>
      <c r="AJ3057" s="240"/>
      <c r="AL3057" s="124"/>
      <c r="AM3057" s="74"/>
      <c r="AP3057" s="125"/>
      <c r="AQ3057" s="241"/>
      <c r="AR3057" s="125"/>
      <c r="AS3057" s="125"/>
      <c r="AT3057" s="238"/>
      <c r="AU3057" s="125"/>
      <c r="AV3057" s="125"/>
      <c r="AW3057" s="125"/>
      <c r="AX3057" s="238"/>
      <c r="AY3057" s="125"/>
      <c r="AZ3057" s="125"/>
      <c r="BA3057" s="125"/>
    </row>
    <row r="3058" spans="2:53" s="123" customFormat="1">
      <c r="B3058" s="125"/>
      <c r="D3058" s="125"/>
      <c r="I3058" s="125"/>
      <c r="Z3058" s="124"/>
      <c r="AA3058" s="74"/>
      <c r="AB3058" s="240"/>
      <c r="AD3058" s="124"/>
      <c r="AE3058" s="238"/>
      <c r="AF3058" s="239"/>
      <c r="AG3058" s="239"/>
      <c r="AH3058" s="124"/>
      <c r="AI3058" s="74"/>
      <c r="AJ3058" s="240"/>
      <c r="AL3058" s="124"/>
      <c r="AM3058" s="74"/>
      <c r="AP3058" s="125"/>
      <c r="AQ3058" s="241"/>
      <c r="AR3058" s="125"/>
      <c r="AS3058" s="125"/>
      <c r="AT3058" s="238"/>
      <c r="AU3058" s="125"/>
      <c r="AV3058" s="125"/>
      <c r="AW3058" s="125"/>
      <c r="AX3058" s="238"/>
      <c r="AY3058" s="125"/>
      <c r="AZ3058" s="125"/>
      <c r="BA3058" s="125"/>
    </row>
    <row r="3059" spans="2:53" s="123" customFormat="1">
      <c r="B3059" s="125"/>
      <c r="D3059" s="125"/>
      <c r="I3059" s="125"/>
      <c r="Z3059" s="124"/>
      <c r="AA3059" s="74"/>
      <c r="AB3059" s="240"/>
      <c r="AD3059" s="124"/>
      <c r="AE3059" s="238"/>
      <c r="AF3059" s="239"/>
      <c r="AG3059" s="239"/>
      <c r="AH3059" s="124"/>
      <c r="AI3059" s="74"/>
      <c r="AJ3059" s="240"/>
      <c r="AL3059" s="124"/>
      <c r="AM3059" s="74"/>
      <c r="AP3059" s="125"/>
      <c r="AQ3059" s="241"/>
      <c r="AR3059" s="125"/>
      <c r="AS3059" s="125"/>
      <c r="AT3059" s="238"/>
      <c r="AU3059" s="125"/>
      <c r="AV3059" s="125"/>
      <c r="AW3059" s="125"/>
      <c r="AX3059" s="238"/>
      <c r="AY3059" s="125"/>
      <c r="AZ3059" s="125"/>
      <c r="BA3059" s="125"/>
    </row>
    <row r="3060" spans="2:53" s="123" customFormat="1">
      <c r="B3060" s="125"/>
      <c r="D3060" s="125"/>
      <c r="I3060" s="125"/>
      <c r="Z3060" s="124"/>
      <c r="AA3060" s="74"/>
      <c r="AB3060" s="240"/>
      <c r="AD3060" s="124"/>
      <c r="AE3060" s="238"/>
      <c r="AF3060" s="239"/>
      <c r="AG3060" s="239"/>
      <c r="AH3060" s="124"/>
      <c r="AI3060" s="74"/>
      <c r="AJ3060" s="240"/>
      <c r="AL3060" s="124"/>
      <c r="AM3060" s="74"/>
      <c r="AP3060" s="125"/>
      <c r="AQ3060" s="241"/>
      <c r="AR3060" s="125"/>
      <c r="AS3060" s="125"/>
      <c r="AT3060" s="238"/>
      <c r="AU3060" s="125"/>
      <c r="AV3060" s="125"/>
      <c r="AW3060" s="125"/>
      <c r="AX3060" s="238"/>
      <c r="AY3060" s="125"/>
      <c r="AZ3060" s="125"/>
      <c r="BA3060" s="125"/>
    </row>
    <row r="3061" spans="2:53" s="123" customFormat="1">
      <c r="B3061" s="125"/>
      <c r="D3061" s="125"/>
      <c r="I3061" s="125"/>
      <c r="Z3061" s="124"/>
      <c r="AA3061" s="74"/>
      <c r="AB3061" s="240"/>
      <c r="AD3061" s="124"/>
      <c r="AE3061" s="238"/>
      <c r="AF3061" s="239"/>
      <c r="AG3061" s="239"/>
      <c r="AH3061" s="124"/>
      <c r="AI3061" s="74"/>
      <c r="AJ3061" s="240"/>
      <c r="AL3061" s="124"/>
      <c r="AM3061" s="74"/>
      <c r="AP3061" s="125"/>
      <c r="AQ3061" s="241"/>
      <c r="AR3061" s="125"/>
      <c r="AS3061" s="125"/>
      <c r="AT3061" s="238"/>
      <c r="AU3061" s="125"/>
      <c r="AV3061" s="125"/>
      <c r="AW3061" s="125"/>
      <c r="AX3061" s="238"/>
      <c r="AY3061" s="125"/>
      <c r="AZ3061" s="125"/>
      <c r="BA3061" s="125"/>
    </row>
    <row r="3062" spans="2:53" s="123" customFormat="1">
      <c r="B3062" s="125"/>
      <c r="D3062" s="125"/>
      <c r="I3062" s="125"/>
      <c r="Z3062" s="124"/>
      <c r="AA3062" s="74"/>
      <c r="AB3062" s="240"/>
      <c r="AD3062" s="124"/>
      <c r="AE3062" s="238"/>
      <c r="AF3062" s="239"/>
      <c r="AG3062" s="239"/>
      <c r="AH3062" s="124"/>
      <c r="AI3062" s="74"/>
      <c r="AJ3062" s="240"/>
      <c r="AL3062" s="124"/>
      <c r="AM3062" s="74"/>
      <c r="AP3062" s="125"/>
      <c r="AQ3062" s="241"/>
      <c r="AR3062" s="125"/>
      <c r="AS3062" s="125"/>
      <c r="AT3062" s="238"/>
      <c r="AU3062" s="125"/>
      <c r="AV3062" s="125"/>
      <c r="AW3062" s="125"/>
      <c r="AX3062" s="238"/>
      <c r="AY3062" s="125"/>
      <c r="AZ3062" s="125"/>
      <c r="BA3062" s="125"/>
    </row>
    <row r="3063" spans="2:53" s="123" customFormat="1">
      <c r="B3063" s="125"/>
      <c r="D3063" s="125"/>
      <c r="I3063" s="125"/>
      <c r="Z3063" s="124"/>
      <c r="AA3063" s="74"/>
      <c r="AB3063" s="240"/>
      <c r="AD3063" s="124"/>
      <c r="AE3063" s="238"/>
      <c r="AF3063" s="239"/>
      <c r="AG3063" s="239"/>
      <c r="AH3063" s="124"/>
      <c r="AI3063" s="74"/>
      <c r="AJ3063" s="240"/>
      <c r="AL3063" s="124"/>
      <c r="AM3063" s="74"/>
      <c r="AP3063" s="125"/>
      <c r="AQ3063" s="241"/>
      <c r="AR3063" s="125"/>
      <c r="AS3063" s="125"/>
      <c r="AT3063" s="238"/>
      <c r="AU3063" s="125"/>
      <c r="AV3063" s="125"/>
      <c r="AW3063" s="125"/>
      <c r="AX3063" s="238"/>
      <c r="AY3063" s="125"/>
      <c r="AZ3063" s="125"/>
      <c r="BA3063" s="125"/>
    </row>
    <row r="3064" spans="2:53" s="123" customFormat="1">
      <c r="B3064" s="125"/>
      <c r="D3064" s="125"/>
      <c r="I3064" s="125"/>
      <c r="Z3064" s="124"/>
      <c r="AA3064" s="74"/>
      <c r="AB3064" s="240"/>
      <c r="AD3064" s="124"/>
      <c r="AE3064" s="238"/>
      <c r="AF3064" s="239"/>
      <c r="AG3064" s="239"/>
      <c r="AH3064" s="124"/>
      <c r="AI3064" s="74"/>
      <c r="AJ3064" s="240"/>
      <c r="AL3064" s="124"/>
      <c r="AM3064" s="74"/>
      <c r="AP3064" s="125"/>
      <c r="AQ3064" s="241"/>
      <c r="AR3064" s="125"/>
      <c r="AS3064" s="125"/>
      <c r="AT3064" s="238"/>
      <c r="AU3064" s="125"/>
      <c r="AV3064" s="125"/>
      <c r="AW3064" s="125"/>
      <c r="AX3064" s="238"/>
      <c r="AY3064" s="125"/>
      <c r="AZ3064" s="125"/>
      <c r="BA3064" s="125"/>
    </row>
    <row r="3065" spans="2:53" s="123" customFormat="1">
      <c r="B3065" s="125"/>
      <c r="D3065" s="125"/>
      <c r="I3065" s="125"/>
      <c r="Z3065" s="124"/>
      <c r="AA3065" s="74"/>
      <c r="AB3065" s="240"/>
      <c r="AD3065" s="124"/>
      <c r="AE3065" s="238"/>
      <c r="AF3065" s="239"/>
      <c r="AG3065" s="239"/>
      <c r="AH3065" s="124"/>
      <c r="AI3065" s="74"/>
      <c r="AJ3065" s="240"/>
      <c r="AL3065" s="124"/>
      <c r="AM3065" s="74"/>
      <c r="AP3065" s="125"/>
      <c r="AQ3065" s="241"/>
      <c r="AR3065" s="125"/>
      <c r="AS3065" s="125"/>
      <c r="AT3065" s="238"/>
      <c r="AU3065" s="125"/>
      <c r="AV3065" s="125"/>
      <c r="AW3065" s="125"/>
      <c r="AX3065" s="238"/>
      <c r="AY3065" s="125"/>
      <c r="AZ3065" s="125"/>
      <c r="BA3065" s="125"/>
    </row>
    <row r="3066" spans="2:53" s="123" customFormat="1">
      <c r="B3066" s="125"/>
      <c r="D3066" s="125"/>
      <c r="I3066" s="125"/>
      <c r="Z3066" s="124"/>
      <c r="AA3066" s="74"/>
      <c r="AB3066" s="240"/>
      <c r="AD3066" s="124"/>
      <c r="AE3066" s="238"/>
      <c r="AF3066" s="239"/>
      <c r="AG3066" s="239"/>
      <c r="AH3066" s="124"/>
      <c r="AI3066" s="74"/>
      <c r="AJ3066" s="240"/>
      <c r="AL3066" s="124"/>
      <c r="AM3066" s="74"/>
      <c r="AP3066" s="125"/>
      <c r="AQ3066" s="241"/>
      <c r="AR3066" s="125"/>
      <c r="AS3066" s="125"/>
      <c r="AT3066" s="238"/>
      <c r="AU3066" s="125"/>
      <c r="AV3066" s="125"/>
      <c r="AW3066" s="125"/>
      <c r="AX3066" s="238"/>
      <c r="AY3066" s="125"/>
      <c r="AZ3066" s="125"/>
      <c r="BA3066" s="125"/>
    </row>
    <row r="3067" spans="2:53" s="123" customFormat="1">
      <c r="B3067" s="125"/>
      <c r="D3067" s="125"/>
      <c r="I3067" s="125"/>
      <c r="Z3067" s="124"/>
      <c r="AA3067" s="74"/>
      <c r="AB3067" s="240"/>
      <c r="AD3067" s="124"/>
      <c r="AE3067" s="238"/>
      <c r="AF3067" s="239"/>
      <c r="AG3067" s="239"/>
      <c r="AH3067" s="124"/>
      <c r="AI3067" s="74"/>
      <c r="AJ3067" s="240"/>
      <c r="AL3067" s="124"/>
      <c r="AM3067" s="74"/>
      <c r="AP3067" s="125"/>
      <c r="AQ3067" s="241"/>
      <c r="AR3067" s="125"/>
      <c r="AS3067" s="125"/>
      <c r="AT3067" s="238"/>
      <c r="AU3067" s="125"/>
      <c r="AV3067" s="125"/>
      <c r="AW3067" s="125"/>
      <c r="AX3067" s="238"/>
      <c r="AY3067" s="125"/>
      <c r="AZ3067" s="125"/>
      <c r="BA3067" s="125"/>
    </row>
    <row r="3068" spans="2:53" s="123" customFormat="1">
      <c r="B3068" s="125"/>
      <c r="D3068" s="125"/>
      <c r="I3068" s="125"/>
      <c r="Z3068" s="124"/>
      <c r="AA3068" s="74"/>
      <c r="AB3068" s="240"/>
      <c r="AD3068" s="124"/>
      <c r="AE3068" s="238"/>
      <c r="AF3068" s="239"/>
      <c r="AG3068" s="239"/>
      <c r="AH3068" s="124"/>
      <c r="AI3068" s="74"/>
      <c r="AJ3068" s="240"/>
      <c r="AL3068" s="124"/>
      <c r="AM3068" s="74"/>
      <c r="AP3068" s="125"/>
      <c r="AQ3068" s="241"/>
      <c r="AR3068" s="125"/>
      <c r="AS3068" s="125"/>
      <c r="AT3068" s="238"/>
      <c r="AU3068" s="125"/>
      <c r="AV3068" s="125"/>
      <c r="AW3068" s="125"/>
      <c r="AX3068" s="238"/>
      <c r="AY3068" s="125"/>
      <c r="AZ3068" s="125"/>
      <c r="BA3068" s="125"/>
    </row>
    <row r="3069" spans="2:53" s="123" customFormat="1">
      <c r="B3069" s="125"/>
      <c r="D3069" s="125"/>
      <c r="I3069" s="125"/>
      <c r="Z3069" s="124"/>
      <c r="AA3069" s="74"/>
      <c r="AB3069" s="240"/>
      <c r="AD3069" s="124"/>
      <c r="AE3069" s="238"/>
      <c r="AF3069" s="239"/>
      <c r="AG3069" s="239"/>
      <c r="AH3069" s="124"/>
      <c r="AI3069" s="74"/>
      <c r="AJ3069" s="240"/>
      <c r="AL3069" s="124"/>
      <c r="AM3069" s="74"/>
      <c r="AP3069" s="125"/>
      <c r="AQ3069" s="241"/>
      <c r="AR3069" s="125"/>
      <c r="AS3069" s="125"/>
      <c r="AT3069" s="238"/>
      <c r="AU3069" s="125"/>
      <c r="AV3069" s="125"/>
      <c r="AW3069" s="125"/>
      <c r="AX3069" s="238"/>
      <c r="AY3069" s="125"/>
      <c r="AZ3069" s="125"/>
      <c r="BA3069" s="125"/>
    </row>
    <row r="3070" spans="2:53" s="123" customFormat="1">
      <c r="B3070" s="125"/>
      <c r="D3070" s="125"/>
      <c r="I3070" s="125"/>
      <c r="Z3070" s="124"/>
      <c r="AA3070" s="74"/>
      <c r="AB3070" s="240"/>
      <c r="AD3070" s="124"/>
      <c r="AE3070" s="238"/>
      <c r="AF3070" s="239"/>
      <c r="AG3070" s="239"/>
      <c r="AH3070" s="124"/>
      <c r="AI3070" s="74"/>
      <c r="AJ3070" s="240"/>
      <c r="AL3070" s="124"/>
      <c r="AM3070" s="74"/>
      <c r="AP3070" s="125"/>
      <c r="AQ3070" s="241"/>
      <c r="AR3070" s="125"/>
      <c r="AS3070" s="125"/>
      <c r="AT3070" s="238"/>
      <c r="AU3070" s="125"/>
      <c r="AV3070" s="125"/>
      <c r="AW3070" s="125"/>
      <c r="AX3070" s="238"/>
      <c r="AY3070" s="125"/>
      <c r="AZ3070" s="125"/>
      <c r="BA3070" s="125"/>
    </row>
    <row r="3071" spans="2:53" s="123" customFormat="1">
      <c r="B3071" s="125"/>
      <c r="D3071" s="125"/>
      <c r="I3071" s="125"/>
      <c r="Z3071" s="124"/>
      <c r="AA3071" s="74"/>
      <c r="AB3071" s="240"/>
      <c r="AD3071" s="124"/>
      <c r="AE3071" s="238"/>
      <c r="AF3071" s="239"/>
      <c r="AG3071" s="239"/>
      <c r="AH3071" s="124"/>
      <c r="AI3071" s="74"/>
      <c r="AJ3071" s="240"/>
      <c r="AL3071" s="124"/>
      <c r="AM3071" s="74"/>
      <c r="AP3071" s="125"/>
      <c r="AQ3071" s="241"/>
      <c r="AR3071" s="125"/>
      <c r="AS3071" s="125"/>
      <c r="AT3071" s="238"/>
      <c r="AU3071" s="125"/>
      <c r="AV3071" s="125"/>
      <c r="AW3071" s="125"/>
      <c r="AX3071" s="238"/>
      <c r="AY3071" s="125"/>
      <c r="AZ3071" s="125"/>
      <c r="BA3071" s="125"/>
    </row>
    <row r="3072" spans="2:53" s="123" customFormat="1">
      <c r="B3072" s="125"/>
      <c r="D3072" s="125"/>
      <c r="I3072" s="125"/>
      <c r="Z3072" s="124"/>
      <c r="AA3072" s="74"/>
      <c r="AB3072" s="240"/>
      <c r="AD3072" s="124"/>
      <c r="AE3072" s="238"/>
      <c r="AF3072" s="239"/>
      <c r="AG3072" s="239"/>
      <c r="AH3072" s="124"/>
      <c r="AI3072" s="74"/>
      <c r="AJ3072" s="240"/>
      <c r="AL3072" s="124"/>
      <c r="AM3072" s="74"/>
      <c r="AP3072" s="125"/>
      <c r="AQ3072" s="241"/>
      <c r="AR3072" s="125"/>
      <c r="AS3072" s="125"/>
      <c r="AT3072" s="238"/>
      <c r="AU3072" s="125"/>
      <c r="AV3072" s="125"/>
      <c r="AW3072" s="125"/>
      <c r="AX3072" s="238"/>
      <c r="AY3072" s="125"/>
      <c r="AZ3072" s="125"/>
      <c r="BA3072" s="125"/>
    </row>
    <row r="3073" spans="2:53" s="123" customFormat="1">
      <c r="B3073" s="125"/>
      <c r="D3073" s="125"/>
      <c r="I3073" s="125"/>
      <c r="Z3073" s="124"/>
      <c r="AA3073" s="74"/>
      <c r="AB3073" s="240"/>
      <c r="AD3073" s="124"/>
      <c r="AE3073" s="238"/>
      <c r="AF3073" s="239"/>
      <c r="AG3073" s="239"/>
      <c r="AH3073" s="124"/>
      <c r="AI3073" s="74"/>
      <c r="AJ3073" s="240"/>
      <c r="AL3073" s="124"/>
      <c r="AM3073" s="74"/>
      <c r="AP3073" s="125"/>
      <c r="AQ3073" s="241"/>
      <c r="AR3073" s="125"/>
      <c r="AS3073" s="125"/>
      <c r="AT3073" s="238"/>
      <c r="AU3073" s="125"/>
      <c r="AV3073" s="125"/>
      <c r="AW3073" s="125"/>
      <c r="AX3073" s="238"/>
      <c r="AY3073" s="125"/>
      <c r="AZ3073" s="125"/>
      <c r="BA3073" s="125"/>
    </row>
    <row r="3074" spans="2:53" s="123" customFormat="1">
      <c r="B3074" s="125"/>
      <c r="D3074" s="125"/>
      <c r="I3074" s="125"/>
      <c r="Z3074" s="124"/>
      <c r="AA3074" s="74"/>
      <c r="AB3074" s="240"/>
      <c r="AD3074" s="124"/>
      <c r="AE3074" s="238"/>
      <c r="AF3074" s="239"/>
      <c r="AG3074" s="239"/>
      <c r="AH3074" s="124"/>
      <c r="AI3074" s="74"/>
      <c r="AJ3074" s="240"/>
      <c r="AL3074" s="124"/>
      <c r="AM3074" s="74"/>
      <c r="AP3074" s="125"/>
      <c r="AQ3074" s="241"/>
      <c r="AR3074" s="125"/>
      <c r="AS3074" s="125"/>
      <c r="AT3074" s="238"/>
      <c r="AU3074" s="125"/>
      <c r="AV3074" s="125"/>
      <c r="AW3074" s="125"/>
      <c r="AX3074" s="238"/>
      <c r="AY3074" s="125"/>
      <c r="AZ3074" s="125"/>
      <c r="BA3074" s="125"/>
    </row>
    <row r="3075" spans="2:53" s="123" customFormat="1">
      <c r="B3075" s="125"/>
      <c r="D3075" s="125"/>
      <c r="I3075" s="125"/>
      <c r="Z3075" s="124"/>
      <c r="AA3075" s="74"/>
      <c r="AB3075" s="240"/>
      <c r="AD3075" s="124"/>
      <c r="AE3075" s="238"/>
      <c r="AF3075" s="239"/>
      <c r="AG3075" s="239"/>
      <c r="AH3075" s="124"/>
      <c r="AI3075" s="74"/>
      <c r="AJ3075" s="240"/>
      <c r="AL3075" s="124"/>
      <c r="AM3075" s="74"/>
      <c r="AP3075" s="125"/>
      <c r="AQ3075" s="241"/>
      <c r="AR3075" s="125"/>
      <c r="AS3075" s="125"/>
      <c r="AT3075" s="238"/>
      <c r="AU3075" s="125"/>
      <c r="AV3075" s="125"/>
      <c r="AW3075" s="125"/>
      <c r="AX3075" s="238"/>
      <c r="AY3075" s="125"/>
      <c r="AZ3075" s="125"/>
      <c r="BA3075" s="125"/>
    </row>
    <row r="3076" spans="2:53" s="123" customFormat="1">
      <c r="B3076" s="125"/>
      <c r="D3076" s="125"/>
      <c r="I3076" s="125"/>
      <c r="Z3076" s="124"/>
      <c r="AA3076" s="74"/>
      <c r="AB3076" s="240"/>
      <c r="AD3076" s="124"/>
      <c r="AE3076" s="238"/>
      <c r="AF3076" s="239"/>
      <c r="AG3076" s="239"/>
      <c r="AH3076" s="124"/>
      <c r="AI3076" s="74"/>
      <c r="AJ3076" s="240"/>
      <c r="AL3076" s="124"/>
      <c r="AM3076" s="74"/>
      <c r="AP3076" s="125"/>
      <c r="AQ3076" s="241"/>
      <c r="AR3076" s="125"/>
      <c r="AS3076" s="125"/>
      <c r="AT3076" s="238"/>
      <c r="AU3076" s="125"/>
      <c r="AV3076" s="125"/>
      <c r="AW3076" s="125"/>
      <c r="AX3076" s="238"/>
      <c r="AY3076" s="125"/>
      <c r="AZ3076" s="125"/>
      <c r="BA3076" s="125"/>
    </row>
    <row r="3077" spans="2:53" s="123" customFormat="1">
      <c r="B3077" s="125"/>
      <c r="D3077" s="125"/>
      <c r="I3077" s="125"/>
      <c r="Z3077" s="124"/>
      <c r="AA3077" s="74"/>
      <c r="AB3077" s="240"/>
      <c r="AD3077" s="124"/>
      <c r="AE3077" s="238"/>
      <c r="AF3077" s="239"/>
      <c r="AG3077" s="239"/>
      <c r="AH3077" s="124"/>
      <c r="AI3077" s="74"/>
      <c r="AJ3077" s="240"/>
      <c r="AL3077" s="124"/>
      <c r="AM3077" s="74"/>
      <c r="AP3077" s="125"/>
      <c r="AQ3077" s="241"/>
      <c r="AR3077" s="125"/>
      <c r="AS3077" s="125"/>
      <c r="AT3077" s="238"/>
      <c r="AU3077" s="125"/>
      <c r="AV3077" s="125"/>
      <c r="AW3077" s="125"/>
      <c r="AX3077" s="238"/>
      <c r="AY3077" s="125"/>
      <c r="AZ3077" s="125"/>
      <c r="BA3077" s="125"/>
    </row>
    <row r="3078" spans="2:53" s="123" customFormat="1">
      <c r="B3078" s="125"/>
      <c r="D3078" s="125"/>
      <c r="I3078" s="125"/>
      <c r="Z3078" s="124"/>
      <c r="AA3078" s="74"/>
      <c r="AB3078" s="240"/>
      <c r="AD3078" s="124"/>
      <c r="AE3078" s="238"/>
      <c r="AF3078" s="239"/>
      <c r="AG3078" s="239"/>
      <c r="AH3078" s="124"/>
      <c r="AI3078" s="74"/>
      <c r="AJ3078" s="240"/>
      <c r="AL3078" s="124"/>
      <c r="AM3078" s="74"/>
      <c r="AP3078" s="125"/>
      <c r="AQ3078" s="241"/>
      <c r="AR3078" s="125"/>
      <c r="AS3078" s="125"/>
      <c r="AT3078" s="238"/>
      <c r="AU3078" s="125"/>
      <c r="AV3078" s="125"/>
      <c r="AW3078" s="125"/>
      <c r="AX3078" s="238"/>
      <c r="AY3078" s="125"/>
      <c r="AZ3078" s="125"/>
      <c r="BA3078" s="125"/>
    </row>
    <row r="3079" spans="2:53" s="123" customFormat="1">
      <c r="B3079" s="125"/>
      <c r="D3079" s="125"/>
      <c r="I3079" s="125"/>
      <c r="Z3079" s="124"/>
      <c r="AA3079" s="74"/>
      <c r="AB3079" s="240"/>
      <c r="AD3079" s="124"/>
      <c r="AE3079" s="238"/>
      <c r="AF3079" s="239"/>
      <c r="AG3079" s="239"/>
      <c r="AH3079" s="124"/>
      <c r="AI3079" s="74"/>
      <c r="AJ3079" s="240"/>
      <c r="AL3079" s="124"/>
      <c r="AM3079" s="74"/>
      <c r="AP3079" s="125"/>
      <c r="AQ3079" s="241"/>
      <c r="AR3079" s="125"/>
      <c r="AS3079" s="125"/>
      <c r="AT3079" s="238"/>
      <c r="AU3079" s="125"/>
      <c r="AV3079" s="125"/>
      <c r="AW3079" s="125"/>
      <c r="AX3079" s="238"/>
      <c r="AY3079" s="125"/>
      <c r="AZ3079" s="125"/>
      <c r="BA3079" s="125"/>
    </row>
    <row r="3080" spans="2:53" s="123" customFormat="1">
      <c r="B3080" s="125"/>
      <c r="D3080" s="125"/>
      <c r="I3080" s="125"/>
      <c r="Z3080" s="124"/>
      <c r="AA3080" s="74"/>
      <c r="AB3080" s="240"/>
      <c r="AD3080" s="124"/>
      <c r="AE3080" s="238"/>
      <c r="AF3080" s="239"/>
      <c r="AG3080" s="239"/>
      <c r="AH3080" s="124"/>
      <c r="AI3080" s="74"/>
      <c r="AJ3080" s="240"/>
      <c r="AL3080" s="124"/>
      <c r="AM3080" s="74"/>
      <c r="AP3080" s="125"/>
      <c r="AQ3080" s="241"/>
      <c r="AR3080" s="125"/>
      <c r="AS3080" s="125"/>
      <c r="AT3080" s="238"/>
      <c r="AU3080" s="125"/>
      <c r="AV3080" s="125"/>
      <c r="AW3080" s="125"/>
      <c r="AX3080" s="238"/>
      <c r="AY3080" s="125"/>
      <c r="AZ3080" s="125"/>
      <c r="BA3080" s="125"/>
    </row>
    <row r="3081" spans="2:53" s="123" customFormat="1">
      <c r="B3081" s="125"/>
      <c r="D3081" s="125"/>
      <c r="I3081" s="125"/>
      <c r="Z3081" s="124"/>
      <c r="AA3081" s="74"/>
      <c r="AB3081" s="240"/>
      <c r="AD3081" s="124"/>
      <c r="AE3081" s="238"/>
      <c r="AF3081" s="239"/>
      <c r="AG3081" s="239"/>
      <c r="AH3081" s="124"/>
      <c r="AI3081" s="74"/>
      <c r="AJ3081" s="240"/>
      <c r="AL3081" s="124"/>
      <c r="AM3081" s="74"/>
      <c r="AP3081" s="125"/>
      <c r="AQ3081" s="241"/>
      <c r="AR3081" s="125"/>
      <c r="AS3081" s="125"/>
      <c r="AT3081" s="238"/>
      <c r="AU3081" s="125"/>
      <c r="AV3081" s="125"/>
      <c r="AW3081" s="125"/>
      <c r="AX3081" s="238"/>
      <c r="AY3081" s="125"/>
      <c r="AZ3081" s="125"/>
      <c r="BA3081" s="125"/>
    </row>
    <row r="3082" spans="2:53" s="123" customFormat="1">
      <c r="B3082" s="125"/>
      <c r="D3082" s="125"/>
      <c r="I3082" s="125"/>
      <c r="Z3082" s="124"/>
      <c r="AA3082" s="74"/>
      <c r="AB3082" s="240"/>
      <c r="AD3082" s="124"/>
      <c r="AE3082" s="238"/>
      <c r="AF3082" s="239"/>
      <c r="AG3082" s="239"/>
      <c r="AH3082" s="124"/>
      <c r="AI3082" s="74"/>
      <c r="AJ3082" s="240"/>
      <c r="AL3082" s="124"/>
      <c r="AM3082" s="74"/>
      <c r="AP3082" s="125"/>
      <c r="AQ3082" s="241"/>
      <c r="AR3082" s="125"/>
      <c r="AS3082" s="125"/>
      <c r="AT3082" s="238"/>
      <c r="AU3082" s="125"/>
      <c r="AV3082" s="125"/>
      <c r="AW3082" s="125"/>
      <c r="AX3082" s="238"/>
      <c r="AY3082" s="125"/>
      <c r="AZ3082" s="125"/>
      <c r="BA3082" s="125"/>
    </row>
    <row r="3083" spans="2:53" s="123" customFormat="1">
      <c r="B3083" s="125"/>
      <c r="D3083" s="125"/>
      <c r="I3083" s="125"/>
      <c r="Z3083" s="124"/>
      <c r="AA3083" s="74"/>
      <c r="AB3083" s="240"/>
      <c r="AD3083" s="124"/>
      <c r="AE3083" s="238"/>
      <c r="AF3083" s="239"/>
      <c r="AG3083" s="239"/>
      <c r="AH3083" s="124"/>
      <c r="AI3083" s="74"/>
      <c r="AJ3083" s="240"/>
      <c r="AL3083" s="124"/>
      <c r="AM3083" s="74"/>
      <c r="AP3083" s="125"/>
      <c r="AQ3083" s="241"/>
      <c r="AR3083" s="125"/>
      <c r="AS3083" s="125"/>
      <c r="AT3083" s="238"/>
      <c r="AU3083" s="125"/>
      <c r="AV3083" s="125"/>
      <c r="AW3083" s="125"/>
      <c r="AX3083" s="238"/>
      <c r="AY3083" s="125"/>
      <c r="AZ3083" s="125"/>
      <c r="BA3083" s="125"/>
    </row>
    <row r="3084" spans="2:53" s="123" customFormat="1">
      <c r="B3084" s="125"/>
      <c r="D3084" s="125"/>
      <c r="I3084" s="125"/>
      <c r="Z3084" s="124"/>
      <c r="AA3084" s="74"/>
      <c r="AB3084" s="240"/>
      <c r="AD3084" s="124"/>
      <c r="AE3084" s="238"/>
      <c r="AF3084" s="239"/>
      <c r="AG3084" s="239"/>
      <c r="AH3084" s="124"/>
      <c r="AI3084" s="74"/>
      <c r="AJ3084" s="240"/>
      <c r="AL3084" s="124"/>
      <c r="AM3084" s="74"/>
      <c r="AP3084" s="125"/>
      <c r="AQ3084" s="241"/>
      <c r="AR3084" s="125"/>
      <c r="AS3084" s="125"/>
      <c r="AT3084" s="238"/>
      <c r="AU3084" s="125"/>
      <c r="AV3084" s="125"/>
      <c r="AW3084" s="125"/>
      <c r="AX3084" s="238"/>
      <c r="AY3084" s="125"/>
      <c r="AZ3084" s="125"/>
      <c r="BA3084" s="125"/>
    </row>
    <row r="3085" spans="2:53" s="123" customFormat="1">
      <c r="B3085" s="125"/>
      <c r="D3085" s="125"/>
      <c r="I3085" s="125"/>
      <c r="Z3085" s="124"/>
      <c r="AA3085" s="74"/>
      <c r="AB3085" s="240"/>
      <c r="AD3085" s="124"/>
      <c r="AE3085" s="238"/>
      <c r="AF3085" s="239"/>
      <c r="AG3085" s="239"/>
      <c r="AH3085" s="124"/>
      <c r="AI3085" s="74"/>
      <c r="AJ3085" s="240"/>
      <c r="AL3085" s="124"/>
      <c r="AM3085" s="74"/>
      <c r="AP3085" s="125"/>
      <c r="AQ3085" s="241"/>
      <c r="AR3085" s="125"/>
      <c r="AS3085" s="125"/>
      <c r="AT3085" s="238"/>
      <c r="AU3085" s="125"/>
      <c r="AV3085" s="125"/>
      <c r="AW3085" s="125"/>
      <c r="AX3085" s="238"/>
      <c r="AY3085" s="125"/>
      <c r="AZ3085" s="125"/>
      <c r="BA3085" s="125"/>
    </row>
    <row r="3086" spans="2:53" s="123" customFormat="1">
      <c r="B3086" s="125"/>
      <c r="D3086" s="125"/>
      <c r="I3086" s="125"/>
      <c r="Z3086" s="124"/>
      <c r="AA3086" s="74"/>
      <c r="AB3086" s="240"/>
      <c r="AD3086" s="124"/>
      <c r="AE3086" s="238"/>
      <c r="AF3086" s="239"/>
      <c r="AG3086" s="239"/>
      <c r="AH3086" s="124"/>
      <c r="AI3086" s="74"/>
      <c r="AJ3086" s="240"/>
      <c r="AL3086" s="124"/>
      <c r="AM3086" s="74"/>
      <c r="AP3086" s="125"/>
      <c r="AQ3086" s="241"/>
      <c r="AR3086" s="125"/>
      <c r="AS3086" s="125"/>
      <c r="AT3086" s="238"/>
      <c r="AU3086" s="125"/>
      <c r="AV3086" s="125"/>
      <c r="AW3086" s="125"/>
      <c r="AX3086" s="238"/>
      <c r="AY3086" s="125"/>
      <c r="AZ3086" s="125"/>
      <c r="BA3086" s="125"/>
    </row>
    <row r="3087" spans="2:53" s="123" customFormat="1">
      <c r="B3087" s="125"/>
      <c r="D3087" s="125"/>
      <c r="I3087" s="125"/>
      <c r="Z3087" s="124"/>
      <c r="AA3087" s="74"/>
      <c r="AB3087" s="240"/>
      <c r="AD3087" s="124"/>
      <c r="AE3087" s="238"/>
      <c r="AF3087" s="239"/>
      <c r="AG3087" s="239"/>
      <c r="AH3087" s="124"/>
      <c r="AI3087" s="74"/>
      <c r="AJ3087" s="240"/>
      <c r="AL3087" s="124"/>
      <c r="AM3087" s="74"/>
      <c r="AP3087" s="125"/>
      <c r="AQ3087" s="241"/>
      <c r="AR3087" s="125"/>
      <c r="AS3087" s="125"/>
      <c r="AT3087" s="238"/>
      <c r="AU3087" s="125"/>
      <c r="AV3087" s="125"/>
      <c r="AW3087" s="125"/>
      <c r="AX3087" s="238"/>
      <c r="AY3087" s="125"/>
      <c r="AZ3087" s="125"/>
      <c r="BA3087" s="125"/>
    </row>
    <row r="3088" spans="2:53" s="123" customFormat="1">
      <c r="B3088" s="125"/>
      <c r="D3088" s="125"/>
      <c r="I3088" s="125"/>
      <c r="Z3088" s="124"/>
      <c r="AA3088" s="74"/>
      <c r="AB3088" s="240"/>
      <c r="AD3088" s="124"/>
      <c r="AE3088" s="238"/>
      <c r="AF3088" s="239"/>
      <c r="AG3088" s="239"/>
      <c r="AH3088" s="124"/>
      <c r="AI3088" s="74"/>
      <c r="AJ3088" s="240"/>
      <c r="AL3088" s="124"/>
      <c r="AM3088" s="74"/>
      <c r="AP3088" s="125"/>
      <c r="AQ3088" s="241"/>
      <c r="AR3088" s="125"/>
      <c r="AS3088" s="125"/>
      <c r="AT3088" s="238"/>
      <c r="AU3088" s="125"/>
      <c r="AV3088" s="125"/>
      <c r="AW3088" s="125"/>
      <c r="AX3088" s="238"/>
      <c r="AY3088" s="125"/>
      <c r="AZ3088" s="125"/>
      <c r="BA3088" s="125"/>
    </row>
    <row r="3089" spans="2:53" s="123" customFormat="1">
      <c r="B3089" s="125"/>
      <c r="D3089" s="125"/>
      <c r="I3089" s="125"/>
      <c r="Z3089" s="124"/>
      <c r="AA3089" s="74"/>
      <c r="AB3089" s="240"/>
      <c r="AD3089" s="124"/>
      <c r="AE3089" s="238"/>
      <c r="AF3089" s="239"/>
      <c r="AG3089" s="239"/>
      <c r="AH3089" s="124"/>
      <c r="AI3089" s="74"/>
      <c r="AJ3089" s="240"/>
      <c r="AL3089" s="124"/>
      <c r="AM3089" s="74"/>
      <c r="AP3089" s="125"/>
      <c r="AQ3089" s="241"/>
      <c r="AR3089" s="125"/>
      <c r="AS3089" s="125"/>
      <c r="AT3089" s="238"/>
      <c r="AU3089" s="125"/>
      <c r="AV3089" s="125"/>
      <c r="AW3089" s="125"/>
      <c r="AX3089" s="238"/>
      <c r="AY3089" s="125"/>
      <c r="AZ3089" s="125"/>
      <c r="BA3089" s="125"/>
    </row>
    <row r="3090" spans="2:53" s="123" customFormat="1">
      <c r="B3090" s="125"/>
      <c r="D3090" s="125"/>
      <c r="I3090" s="125"/>
      <c r="Z3090" s="124"/>
      <c r="AA3090" s="74"/>
      <c r="AB3090" s="240"/>
      <c r="AD3090" s="124"/>
      <c r="AE3090" s="238"/>
      <c r="AF3090" s="239"/>
      <c r="AG3090" s="239"/>
      <c r="AH3090" s="124"/>
      <c r="AI3090" s="74"/>
      <c r="AJ3090" s="240"/>
      <c r="AL3090" s="124"/>
      <c r="AM3090" s="74"/>
      <c r="AP3090" s="125"/>
      <c r="AQ3090" s="241"/>
      <c r="AR3090" s="125"/>
      <c r="AS3090" s="125"/>
      <c r="AT3090" s="238"/>
      <c r="AU3090" s="125"/>
      <c r="AV3090" s="125"/>
      <c r="AW3090" s="125"/>
      <c r="AX3090" s="238"/>
      <c r="AY3090" s="125"/>
      <c r="AZ3090" s="125"/>
      <c r="BA3090" s="125"/>
    </row>
    <row r="3091" spans="2:53" s="123" customFormat="1">
      <c r="B3091" s="125"/>
      <c r="D3091" s="125"/>
      <c r="I3091" s="125"/>
      <c r="Z3091" s="124"/>
      <c r="AA3091" s="74"/>
      <c r="AB3091" s="240"/>
      <c r="AD3091" s="124"/>
      <c r="AE3091" s="238"/>
      <c r="AF3091" s="239"/>
      <c r="AG3091" s="239"/>
      <c r="AH3091" s="124"/>
      <c r="AI3091" s="74"/>
      <c r="AJ3091" s="240"/>
      <c r="AL3091" s="124"/>
      <c r="AM3091" s="74"/>
      <c r="AP3091" s="125"/>
      <c r="AQ3091" s="241"/>
      <c r="AR3091" s="125"/>
      <c r="AS3091" s="125"/>
      <c r="AT3091" s="238"/>
      <c r="AU3091" s="125"/>
      <c r="AV3091" s="125"/>
      <c r="AW3091" s="125"/>
      <c r="AX3091" s="238"/>
      <c r="AY3091" s="125"/>
      <c r="AZ3091" s="125"/>
      <c r="BA3091" s="125"/>
    </row>
    <row r="3092" spans="2:53" s="123" customFormat="1">
      <c r="B3092" s="125"/>
      <c r="D3092" s="125"/>
      <c r="I3092" s="125"/>
      <c r="Z3092" s="124"/>
      <c r="AA3092" s="74"/>
      <c r="AB3092" s="240"/>
      <c r="AD3092" s="124"/>
      <c r="AE3092" s="238"/>
      <c r="AF3092" s="239"/>
      <c r="AG3092" s="239"/>
      <c r="AH3092" s="124"/>
      <c r="AI3092" s="74"/>
      <c r="AJ3092" s="240"/>
      <c r="AL3092" s="124"/>
      <c r="AM3092" s="74"/>
      <c r="AP3092" s="125"/>
      <c r="AQ3092" s="241"/>
      <c r="AR3092" s="125"/>
      <c r="AS3092" s="125"/>
      <c r="AT3092" s="238"/>
      <c r="AU3092" s="125"/>
      <c r="AV3092" s="125"/>
      <c r="AW3092" s="125"/>
      <c r="AX3092" s="238"/>
      <c r="AY3092" s="125"/>
      <c r="AZ3092" s="125"/>
      <c r="BA3092" s="125"/>
    </row>
    <row r="3093" spans="2:53" s="123" customFormat="1">
      <c r="B3093" s="125"/>
      <c r="D3093" s="125"/>
      <c r="I3093" s="125"/>
      <c r="Z3093" s="124"/>
      <c r="AA3093" s="74"/>
      <c r="AB3093" s="240"/>
      <c r="AD3093" s="124"/>
      <c r="AE3093" s="238"/>
      <c r="AF3093" s="239"/>
      <c r="AG3093" s="239"/>
      <c r="AH3093" s="124"/>
      <c r="AI3093" s="74"/>
      <c r="AJ3093" s="240"/>
      <c r="AL3093" s="124"/>
      <c r="AM3093" s="74"/>
      <c r="AP3093" s="125"/>
      <c r="AQ3093" s="241"/>
      <c r="AR3093" s="125"/>
      <c r="AS3093" s="125"/>
      <c r="AT3093" s="238"/>
      <c r="AU3093" s="125"/>
      <c r="AV3093" s="125"/>
      <c r="AW3093" s="125"/>
      <c r="AX3093" s="238"/>
      <c r="AY3093" s="125"/>
      <c r="AZ3093" s="125"/>
      <c r="BA3093" s="125"/>
    </row>
    <row r="3094" spans="2:53" s="123" customFormat="1">
      <c r="B3094" s="125"/>
      <c r="D3094" s="125"/>
      <c r="I3094" s="125"/>
      <c r="Z3094" s="124"/>
      <c r="AA3094" s="74"/>
      <c r="AB3094" s="240"/>
      <c r="AD3094" s="124"/>
      <c r="AE3094" s="238"/>
      <c r="AF3094" s="239"/>
      <c r="AG3094" s="239"/>
      <c r="AH3094" s="124"/>
      <c r="AI3094" s="74"/>
      <c r="AJ3094" s="240"/>
      <c r="AL3094" s="124"/>
      <c r="AM3094" s="74"/>
      <c r="AP3094" s="125"/>
      <c r="AQ3094" s="241"/>
      <c r="AR3094" s="125"/>
      <c r="AS3094" s="125"/>
      <c r="AT3094" s="238"/>
      <c r="AU3094" s="125"/>
      <c r="AV3094" s="125"/>
      <c r="AW3094" s="125"/>
      <c r="AX3094" s="238"/>
      <c r="AY3094" s="125"/>
      <c r="AZ3094" s="125"/>
      <c r="BA3094" s="125"/>
    </row>
    <row r="3095" spans="2:53" s="123" customFormat="1">
      <c r="B3095" s="125"/>
      <c r="D3095" s="125"/>
      <c r="I3095" s="125"/>
      <c r="Z3095" s="124"/>
      <c r="AA3095" s="74"/>
      <c r="AB3095" s="240"/>
      <c r="AD3095" s="124"/>
      <c r="AE3095" s="238"/>
      <c r="AF3095" s="239"/>
      <c r="AG3095" s="239"/>
      <c r="AH3095" s="124"/>
      <c r="AI3095" s="74"/>
      <c r="AJ3095" s="240"/>
      <c r="AL3095" s="124"/>
      <c r="AM3095" s="74"/>
      <c r="AP3095" s="125"/>
      <c r="AQ3095" s="241"/>
      <c r="AR3095" s="125"/>
      <c r="AS3095" s="125"/>
      <c r="AT3095" s="238"/>
      <c r="AU3095" s="125"/>
      <c r="AV3095" s="125"/>
      <c r="AW3095" s="125"/>
      <c r="AX3095" s="238"/>
      <c r="AY3095" s="125"/>
      <c r="AZ3095" s="125"/>
      <c r="BA3095" s="125"/>
    </row>
    <row r="3096" spans="2:53" s="123" customFormat="1">
      <c r="B3096" s="125"/>
      <c r="D3096" s="125"/>
      <c r="I3096" s="125"/>
      <c r="Z3096" s="124"/>
      <c r="AA3096" s="74"/>
      <c r="AB3096" s="240"/>
      <c r="AD3096" s="124"/>
      <c r="AE3096" s="238"/>
      <c r="AF3096" s="239"/>
      <c r="AG3096" s="239"/>
      <c r="AH3096" s="124"/>
      <c r="AI3096" s="74"/>
      <c r="AJ3096" s="240"/>
      <c r="AL3096" s="124"/>
      <c r="AM3096" s="74"/>
      <c r="AP3096" s="125"/>
      <c r="AQ3096" s="241"/>
      <c r="AR3096" s="125"/>
      <c r="AS3096" s="125"/>
      <c r="AT3096" s="238"/>
      <c r="AU3096" s="125"/>
      <c r="AV3096" s="125"/>
      <c r="AW3096" s="125"/>
      <c r="AX3096" s="238"/>
      <c r="AY3096" s="125"/>
      <c r="AZ3096" s="125"/>
      <c r="BA3096" s="125"/>
    </row>
    <row r="3097" spans="2:53" s="123" customFormat="1">
      <c r="B3097" s="125"/>
      <c r="D3097" s="125"/>
      <c r="I3097" s="125"/>
      <c r="Z3097" s="124"/>
      <c r="AA3097" s="74"/>
      <c r="AB3097" s="240"/>
      <c r="AD3097" s="124"/>
      <c r="AE3097" s="238"/>
      <c r="AF3097" s="239"/>
      <c r="AG3097" s="239"/>
      <c r="AH3097" s="124"/>
      <c r="AI3097" s="74"/>
      <c r="AJ3097" s="240"/>
      <c r="AL3097" s="124"/>
      <c r="AM3097" s="74"/>
      <c r="AP3097" s="125"/>
      <c r="AQ3097" s="241"/>
      <c r="AR3097" s="125"/>
      <c r="AS3097" s="125"/>
      <c r="AT3097" s="238"/>
      <c r="AU3097" s="125"/>
      <c r="AV3097" s="125"/>
      <c r="AW3097" s="125"/>
      <c r="AX3097" s="238"/>
      <c r="AY3097" s="125"/>
      <c r="AZ3097" s="125"/>
      <c r="BA3097" s="125"/>
    </row>
    <row r="3098" spans="2:53" s="123" customFormat="1">
      <c r="B3098" s="125"/>
      <c r="D3098" s="125"/>
      <c r="I3098" s="125"/>
      <c r="Z3098" s="124"/>
      <c r="AA3098" s="74"/>
      <c r="AB3098" s="240"/>
      <c r="AD3098" s="124"/>
      <c r="AE3098" s="238"/>
      <c r="AF3098" s="239"/>
      <c r="AG3098" s="239"/>
      <c r="AH3098" s="124"/>
      <c r="AI3098" s="74"/>
      <c r="AJ3098" s="240"/>
      <c r="AL3098" s="124"/>
      <c r="AM3098" s="74"/>
      <c r="AP3098" s="125"/>
      <c r="AQ3098" s="241"/>
      <c r="AR3098" s="125"/>
      <c r="AS3098" s="125"/>
      <c r="AT3098" s="238"/>
      <c r="AU3098" s="125"/>
      <c r="AV3098" s="125"/>
      <c r="AW3098" s="125"/>
      <c r="AX3098" s="238"/>
      <c r="AY3098" s="125"/>
      <c r="AZ3098" s="125"/>
      <c r="BA3098" s="125"/>
    </row>
    <row r="3099" spans="2:53" s="123" customFormat="1">
      <c r="B3099" s="125"/>
      <c r="D3099" s="125"/>
      <c r="I3099" s="125"/>
      <c r="Z3099" s="124"/>
      <c r="AA3099" s="74"/>
      <c r="AB3099" s="240"/>
      <c r="AD3099" s="124"/>
      <c r="AE3099" s="238"/>
      <c r="AF3099" s="239"/>
      <c r="AG3099" s="239"/>
      <c r="AH3099" s="124"/>
      <c r="AI3099" s="74"/>
      <c r="AJ3099" s="240"/>
      <c r="AL3099" s="124"/>
      <c r="AM3099" s="74"/>
      <c r="AP3099" s="125"/>
      <c r="AQ3099" s="241"/>
      <c r="AR3099" s="125"/>
      <c r="AS3099" s="125"/>
      <c r="AT3099" s="238"/>
      <c r="AU3099" s="125"/>
      <c r="AV3099" s="125"/>
      <c r="AW3099" s="125"/>
      <c r="AX3099" s="238"/>
      <c r="AY3099" s="125"/>
      <c r="AZ3099" s="125"/>
      <c r="BA3099" s="125"/>
    </row>
    <row r="3100" spans="2:53" s="123" customFormat="1">
      <c r="B3100" s="125"/>
      <c r="D3100" s="125"/>
      <c r="I3100" s="125"/>
      <c r="Z3100" s="124"/>
      <c r="AA3100" s="74"/>
      <c r="AB3100" s="240"/>
      <c r="AD3100" s="124"/>
      <c r="AE3100" s="238"/>
      <c r="AF3100" s="239"/>
      <c r="AG3100" s="239"/>
      <c r="AH3100" s="124"/>
      <c r="AI3100" s="74"/>
      <c r="AJ3100" s="240"/>
      <c r="AL3100" s="124"/>
      <c r="AM3100" s="74"/>
      <c r="AP3100" s="125"/>
      <c r="AQ3100" s="241"/>
      <c r="AR3100" s="125"/>
      <c r="AS3100" s="125"/>
      <c r="AT3100" s="238"/>
      <c r="AU3100" s="125"/>
      <c r="AV3100" s="125"/>
      <c r="AW3100" s="125"/>
      <c r="AX3100" s="238"/>
      <c r="AY3100" s="125"/>
      <c r="AZ3100" s="125"/>
      <c r="BA3100" s="125"/>
    </row>
    <row r="3101" spans="2:53" s="123" customFormat="1">
      <c r="B3101" s="125"/>
      <c r="D3101" s="125"/>
      <c r="I3101" s="125"/>
      <c r="Z3101" s="124"/>
      <c r="AA3101" s="74"/>
      <c r="AB3101" s="240"/>
      <c r="AD3101" s="124"/>
      <c r="AE3101" s="238"/>
      <c r="AF3101" s="239"/>
      <c r="AG3101" s="239"/>
      <c r="AH3101" s="124"/>
      <c r="AI3101" s="74"/>
      <c r="AJ3101" s="240"/>
      <c r="AL3101" s="124"/>
      <c r="AM3101" s="74"/>
      <c r="AP3101" s="125"/>
      <c r="AQ3101" s="241"/>
      <c r="AR3101" s="125"/>
      <c r="AS3101" s="125"/>
      <c r="AT3101" s="238"/>
      <c r="AU3101" s="125"/>
      <c r="AV3101" s="125"/>
      <c r="AW3101" s="125"/>
      <c r="AX3101" s="238"/>
      <c r="AY3101" s="125"/>
      <c r="AZ3101" s="125"/>
      <c r="BA3101" s="125"/>
    </row>
    <row r="3102" spans="2:53" s="123" customFormat="1">
      <c r="B3102" s="125"/>
      <c r="D3102" s="125"/>
      <c r="I3102" s="125"/>
      <c r="Z3102" s="124"/>
      <c r="AA3102" s="74"/>
      <c r="AB3102" s="240"/>
      <c r="AD3102" s="124"/>
      <c r="AE3102" s="238"/>
      <c r="AF3102" s="239"/>
      <c r="AG3102" s="239"/>
      <c r="AH3102" s="124"/>
      <c r="AI3102" s="74"/>
      <c r="AJ3102" s="240"/>
      <c r="AL3102" s="124"/>
      <c r="AM3102" s="74"/>
      <c r="AP3102" s="125"/>
      <c r="AQ3102" s="241"/>
      <c r="AR3102" s="125"/>
      <c r="AS3102" s="125"/>
      <c r="AT3102" s="238"/>
      <c r="AU3102" s="125"/>
      <c r="AV3102" s="125"/>
      <c r="AW3102" s="125"/>
      <c r="AX3102" s="238"/>
      <c r="AY3102" s="125"/>
      <c r="AZ3102" s="125"/>
      <c r="BA3102" s="125"/>
    </row>
    <row r="3103" spans="2:53" s="123" customFormat="1">
      <c r="B3103" s="125"/>
      <c r="D3103" s="125"/>
      <c r="I3103" s="125"/>
      <c r="Z3103" s="124"/>
      <c r="AA3103" s="74"/>
      <c r="AB3103" s="240"/>
      <c r="AD3103" s="124"/>
      <c r="AE3103" s="238"/>
      <c r="AF3103" s="239"/>
      <c r="AG3103" s="239"/>
      <c r="AH3103" s="124"/>
      <c r="AI3103" s="74"/>
      <c r="AJ3103" s="240"/>
      <c r="AL3103" s="124"/>
      <c r="AM3103" s="74"/>
      <c r="AP3103" s="125"/>
      <c r="AQ3103" s="241"/>
      <c r="AR3103" s="125"/>
      <c r="AS3103" s="125"/>
      <c r="AT3103" s="238"/>
      <c r="AU3103" s="125"/>
      <c r="AV3103" s="125"/>
      <c r="AW3103" s="125"/>
      <c r="AX3103" s="238"/>
      <c r="AY3103" s="125"/>
      <c r="AZ3103" s="125"/>
      <c r="BA3103" s="125"/>
    </row>
    <row r="3104" spans="2:53" s="123" customFormat="1">
      <c r="B3104" s="125"/>
      <c r="D3104" s="125"/>
      <c r="I3104" s="125"/>
      <c r="Z3104" s="124"/>
      <c r="AA3104" s="74"/>
      <c r="AB3104" s="240"/>
      <c r="AD3104" s="124"/>
      <c r="AE3104" s="238"/>
      <c r="AF3104" s="239"/>
      <c r="AG3104" s="239"/>
      <c r="AH3104" s="124"/>
      <c r="AI3104" s="74"/>
      <c r="AJ3104" s="240"/>
      <c r="AL3104" s="124"/>
      <c r="AM3104" s="74"/>
      <c r="AP3104" s="125"/>
      <c r="AQ3104" s="241"/>
      <c r="AR3104" s="125"/>
      <c r="AS3104" s="125"/>
      <c r="AT3104" s="238"/>
      <c r="AU3104" s="125"/>
      <c r="AV3104" s="125"/>
      <c r="AW3104" s="125"/>
      <c r="AX3104" s="238"/>
      <c r="AY3104" s="125"/>
      <c r="AZ3104" s="125"/>
      <c r="BA3104" s="125"/>
    </row>
    <row r="3105" spans="2:53" s="123" customFormat="1">
      <c r="B3105" s="125"/>
      <c r="D3105" s="125"/>
      <c r="I3105" s="125"/>
      <c r="Z3105" s="124"/>
      <c r="AA3105" s="74"/>
      <c r="AB3105" s="240"/>
      <c r="AD3105" s="124"/>
      <c r="AE3105" s="238"/>
      <c r="AF3105" s="239"/>
      <c r="AG3105" s="239"/>
      <c r="AH3105" s="124"/>
      <c r="AI3105" s="74"/>
      <c r="AJ3105" s="240"/>
      <c r="AL3105" s="124"/>
      <c r="AM3105" s="74"/>
      <c r="AP3105" s="125"/>
      <c r="AQ3105" s="241"/>
      <c r="AR3105" s="125"/>
      <c r="AS3105" s="125"/>
      <c r="AT3105" s="238"/>
      <c r="AU3105" s="125"/>
      <c r="AV3105" s="125"/>
      <c r="AW3105" s="125"/>
      <c r="AX3105" s="238"/>
      <c r="AY3105" s="125"/>
      <c r="AZ3105" s="125"/>
      <c r="BA3105" s="125"/>
    </row>
    <row r="3106" spans="2:53" s="123" customFormat="1">
      <c r="B3106" s="125"/>
      <c r="D3106" s="125"/>
      <c r="I3106" s="125"/>
      <c r="Z3106" s="124"/>
      <c r="AA3106" s="74"/>
      <c r="AB3106" s="240"/>
      <c r="AD3106" s="124"/>
      <c r="AE3106" s="238"/>
      <c r="AF3106" s="239"/>
      <c r="AG3106" s="239"/>
      <c r="AH3106" s="124"/>
      <c r="AI3106" s="74"/>
      <c r="AJ3106" s="240"/>
      <c r="AL3106" s="124"/>
      <c r="AM3106" s="74"/>
      <c r="AP3106" s="125"/>
      <c r="AQ3106" s="241"/>
      <c r="AR3106" s="125"/>
      <c r="AS3106" s="125"/>
      <c r="AT3106" s="238"/>
      <c r="AU3106" s="125"/>
      <c r="AV3106" s="125"/>
      <c r="AW3106" s="125"/>
      <c r="AX3106" s="238"/>
      <c r="AY3106" s="125"/>
      <c r="AZ3106" s="125"/>
      <c r="BA3106" s="125"/>
    </row>
    <row r="3107" spans="2:53" s="123" customFormat="1">
      <c r="B3107" s="125"/>
      <c r="D3107" s="125"/>
      <c r="I3107" s="125"/>
      <c r="Z3107" s="124"/>
      <c r="AA3107" s="74"/>
      <c r="AB3107" s="240"/>
      <c r="AD3107" s="124"/>
      <c r="AE3107" s="238"/>
      <c r="AF3107" s="239"/>
      <c r="AG3107" s="239"/>
      <c r="AH3107" s="124"/>
      <c r="AI3107" s="74"/>
      <c r="AJ3107" s="240"/>
      <c r="AL3107" s="124"/>
      <c r="AM3107" s="74"/>
      <c r="AP3107" s="125"/>
      <c r="AQ3107" s="241"/>
      <c r="AR3107" s="125"/>
      <c r="AS3107" s="125"/>
      <c r="AT3107" s="238"/>
      <c r="AU3107" s="125"/>
      <c r="AV3107" s="125"/>
      <c r="AW3107" s="125"/>
      <c r="AX3107" s="238"/>
      <c r="AY3107" s="125"/>
      <c r="AZ3107" s="125"/>
      <c r="BA3107" s="125"/>
    </row>
    <row r="3108" spans="2:53" s="123" customFormat="1">
      <c r="B3108" s="125"/>
      <c r="D3108" s="125"/>
      <c r="I3108" s="125"/>
      <c r="Z3108" s="124"/>
      <c r="AA3108" s="74"/>
      <c r="AB3108" s="240"/>
      <c r="AD3108" s="124"/>
      <c r="AE3108" s="238"/>
      <c r="AF3108" s="239"/>
      <c r="AG3108" s="239"/>
      <c r="AH3108" s="124"/>
      <c r="AI3108" s="74"/>
      <c r="AJ3108" s="240"/>
      <c r="AL3108" s="124"/>
      <c r="AM3108" s="74"/>
      <c r="AP3108" s="125"/>
      <c r="AQ3108" s="241"/>
      <c r="AR3108" s="125"/>
      <c r="AS3108" s="125"/>
      <c r="AT3108" s="238"/>
      <c r="AU3108" s="125"/>
      <c r="AV3108" s="125"/>
      <c r="AW3108" s="125"/>
      <c r="AX3108" s="238"/>
      <c r="AY3108" s="125"/>
      <c r="AZ3108" s="125"/>
      <c r="BA3108" s="125"/>
    </row>
    <row r="3109" spans="2:53" s="123" customFormat="1">
      <c r="B3109" s="125"/>
      <c r="D3109" s="125"/>
      <c r="I3109" s="125"/>
      <c r="Z3109" s="124"/>
      <c r="AA3109" s="74"/>
      <c r="AB3109" s="240"/>
      <c r="AD3109" s="124"/>
      <c r="AE3109" s="238"/>
      <c r="AF3109" s="239"/>
      <c r="AG3109" s="239"/>
      <c r="AH3109" s="124"/>
      <c r="AI3109" s="74"/>
      <c r="AJ3109" s="240"/>
      <c r="AL3109" s="124"/>
      <c r="AM3109" s="74"/>
      <c r="AP3109" s="125"/>
      <c r="AQ3109" s="241"/>
      <c r="AR3109" s="125"/>
      <c r="AS3109" s="125"/>
      <c r="AT3109" s="238"/>
      <c r="AU3109" s="125"/>
      <c r="AV3109" s="125"/>
      <c r="AW3109" s="125"/>
      <c r="AX3109" s="238"/>
      <c r="AY3109" s="125"/>
      <c r="AZ3109" s="125"/>
      <c r="BA3109" s="125"/>
    </row>
    <row r="3110" spans="2:53" s="123" customFormat="1">
      <c r="B3110" s="125"/>
      <c r="D3110" s="125"/>
      <c r="I3110" s="125"/>
      <c r="Z3110" s="124"/>
      <c r="AA3110" s="74"/>
      <c r="AB3110" s="240"/>
      <c r="AD3110" s="124"/>
      <c r="AE3110" s="238"/>
      <c r="AF3110" s="239"/>
      <c r="AG3110" s="239"/>
      <c r="AH3110" s="124"/>
      <c r="AI3110" s="74"/>
      <c r="AJ3110" s="240"/>
      <c r="AL3110" s="124"/>
      <c r="AM3110" s="74"/>
      <c r="AP3110" s="125"/>
      <c r="AQ3110" s="241"/>
      <c r="AR3110" s="125"/>
      <c r="AS3110" s="125"/>
      <c r="AT3110" s="238"/>
      <c r="AU3110" s="125"/>
      <c r="AV3110" s="125"/>
      <c r="AW3110" s="125"/>
      <c r="AX3110" s="238"/>
      <c r="AY3110" s="125"/>
      <c r="AZ3110" s="125"/>
      <c r="BA3110" s="125"/>
    </row>
    <row r="3111" spans="2:53" s="123" customFormat="1">
      <c r="B3111" s="125"/>
      <c r="D3111" s="125"/>
      <c r="I3111" s="125"/>
      <c r="Z3111" s="124"/>
      <c r="AA3111" s="74"/>
      <c r="AB3111" s="240"/>
      <c r="AD3111" s="124"/>
      <c r="AE3111" s="238"/>
      <c r="AF3111" s="239"/>
      <c r="AG3111" s="239"/>
      <c r="AH3111" s="124"/>
      <c r="AI3111" s="74"/>
      <c r="AJ3111" s="240"/>
      <c r="AL3111" s="124"/>
      <c r="AM3111" s="74"/>
      <c r="AP3111" s="125"/>
      <c r="AQ3111" s="241"/>
      <c r="AR3111" s="125"/>
      <c r="AS3111" s="125"/>
      <c r="AT3111" s="238"/>
      <c r="AU3111" s="125"/>
      <c r="AV3111" s="125"/>
      <c r="AW3111" s="125"/>
      <c r="AX3111" s="238"/>
      <c r="AY3111" s="125"/>
      <c r="AZ3111" s="125"/>
      <c r="BA3111" s="125"/>
    </row>
    <row r="3112" spans="2:53" s="123" customFormat="1">
      <c r="B3112" s="125"/>
      <c r="D3112" s="125"/>
      <c r="I3112" s="125"/>
      <c r="Z3112" s="124"/>
      <c r="AA3112" s="74"/>
      <c r="AB3112" s="240"/>
      <c r="AD3112" s="124"/>
      <c r="AE3112" s="238"/>
      <c r="AF3112" s="239"/>
      <c r="AG3112" s="239"/>
      <c r="AH3112" s="124"/>
      <c r="AI3112" s="74"/>
      <c r="AJ3112" s="240"/>
      <c r="AL3112" s="124"/>
      <c r="AM3112" s="74"/>
      <c r="AP3112" s="125"/>
      <c r="AQ3112" s="241"/>
      <c r="AR3112" s="125"/>
      <c r="AS3112" s="125"/>
      <c r="AT3112" s="238"/>
      <c r="AU3112" s="125"/>
      <c r="AV3112" s="125"/>
      <c r="AW3112" s="125"/>
      <c r="AX3112" s="238"/>
      <c r="AY3112" s="125"/>
      <c r="AZ3112" s="125"/>
      <c r="BA3112" s="125"/>
    </row>
    <row r="3113" spans="2:53" s="123" customFormat="1">
      <c r="B3113" s="125"/>
      <c r="D3113" s="125"/>
      <c r="I3113" s="125"/>
      <c r="Z3113" s="124"/>
      <c r="AA3113" s="74"/>
      <c r="AB3113" s="240"/>
      <c r="AD3113" s="124"/>
      <c r="AE3113" s="238"/>
      <c r="AF3113" s="239"/>
      <c r="AG3113" s="239"/>
      <c r="AH3113" s="124"/>
      <c r="AI3113" s="74"/>
      <c r="AJ3113" s="240"/>
      <c r="AL3113" s="124"/>
      <c r="AM3113" s="74"/>
      <c r="AP3113" s="125"/>
      <c r="AQ3113" s="241"/>
      <c r="AR3113" s="125"/>
      <c r="AS3113" s="125"/>
      <c r="AT3113" s="238"/>
      <c r="AU3113" s="125"/>
      <c r="AV3113" s="125"/>
      <c r="AW3113" s="125"/>
      <c r="AX3113" s="238"/>
      <c r="AY3113" s="125"/>
      <c r="AZ3113" s="125"/>
      <c r="BA3113" s="125"/>
    </row>
    <row r="3114" spans="2:53" s="123" customFormat="1">
      <c r="B3114" s="125"/>
      <c r="D3114" s="125"/>
      <c r="I3114" s="125"/>
      <c r="Z3114" s="124"/>
      <c r="AA3114" s="74"/>
      <c r="AB3114" s="240"/>
      <c r="AD3114" s="124"/>
      <c r="AE3114" s="238"/>
      <c r="AF3114" s="239"/>
      <c r="AG3114" s="239"/>
      <c r="AH3114" s="124"/>
      <c r="AI3114" s="74"/>
      <c r="AJ3114" s="240"/>
      <c r="AL3114" s="124"/>
      <c r="AM3114" s="74"/>
      <c r="AP3114" s="125"/>
      <c r="AQ3114" s="241"/>
      <c r="AR3114" s="125"/>
      <c r="AS3114" s="125"/>
      <c r="AT3114" s="238"/>
      <c r="AU3114" s="125"/>
      <c r="AV3114" s="125"/>
      <c r="AW3114" s="125"/>
      <c r="AX3114" s="238"/>
      <c r="AY3114" s="125"/>
      <c r="AZ3114" s="125"/>
      <c r="BA3114" s="125"/>
    </row>
    <row r="3115" spans="2:53" s="123" customFormat="1">
      <c r="B3115" s="125"/>
      <c r="D3115" s="125"/>
      <c r="I3115" s="125"/>
      <c r="Z3115" s="124"/>
      <c r="AA3115" s="74"/>
      <c r="AB3115" s="240"/>
      <c r="AD3115" s="124"/>
      <c r="AE3115" s="238"/>
      <c r="AF3115" s="239"/>
      <c r="AG3115" s="239"/>
      <c r="AH3115" s="124"/>
      <c r="AI3115" s="74"/>
      <c r="AJ3115" s="240"/>
      <c r="AL3115" s="124"/>
      <c r="AM3115" s="74"/>
      <c r="AP3115" s="125"/>
      <c r="AQ3115" s="241"/>
      <c r="AR3115" s="125"/>
      <c r="AS3115" s="125"/>
      <c r="AT3115" s="238"/>
      <c r="AU3115" s="125"/>
      <c r="AV3115" s="125"/>
      <c r="AW3115" s="125"/>
      <c r="AX3115" s="238"/>
      <c r="AY3115" s="125"/>
      <c r="AZ3115" s="125"/>
      <c r="BA3115" s="125"/>
    </row>
    <row r="3116" spans="2:53" s="123" customFormat="1">
      <c r="B3116" s="125"/>
      <c r="D3116" s="125"/>
      <c r="I3116" s="125"/>
      <c r="Z3116" s="124"/>
      <c r="AA3116" s="74"/>
      <c r="AB3116" s="240"/>
      <c r="AD3116" s="124"/>
      <c r="AE3116" s="238"/>
      <c r="AF3116" s="239"/>
      <c r="AG3116" s="239"/>
      <c r="AH3116" s="124"/>
      <c r="AI3116" s="74"/>
      <c r="AJ3116" s="240"/>
      <c r="AL3116" s="124"/>
      <c r="AM3116" s="74"/>
      <c r="AP3116" s="125"/>
      <c r="AQ3116" s="241"/>
      <c r="AR3116" s="125"/>
      <c r="AS3116" s="125"/>
      <c r="AT3116" s="238"/>
      <c r="AU3116" s="125"/>
      <c r="AV3116" s="125"/>
      <c r="AW3116" s="125"/>
      <c r="AX3116" s="238"/>
      <c r="AY3116" s="125"/>
      <c r="AZ3116" s="125"/>
      <c r="BA3116" s="125"/>
    </row>
    <row r="3117" spans="2:53" s="123" customFormat="1">
      <c r="B3117" s="125"/>
      <c r="D3117" s="125"/>
      <c r="I3117" s="125"/>
      <c r="Z3117" s="124"/>
      <c r="AA3117" s="74"/>
      <c r="AB3117" s="240"/>
      <c r="AD3117" s="124"/>
      <c r="AE3117" s="238"/>
      <c r="AF3117" s="239"/>
      <c r="AG3117" s="239"/>
      <c r="AH3117" s="124"/>
      <c r="AI3117" s="74"/>
      <c r="AJ3117" s="240"/>
      <c r="AL3117" s="124"/>
      <c r="AM3117" s="74"/>
      <c r="AP3117" s="125"/>
      <c r="AQ3117" s="241"/>
      <c r="AR3117" s="125"/>
      <c r="AS3117" s="125"/>
      <c r="AT3117" s="238"/>
      <c r="AU3117" s="125"/>
      <c r="AV3117" s="125"/>
      <c r="AW3117" s="125"/>
      <c r="AX3117" s="238"/>
      <c r="AY3117" s="125"/>
      <c r="AZ3117" s="125"/>
      <c r="BA3117" s="125"/>
    </row>
    <row r="3118" spans="2:53" s="123" customFormat="1">
      <c r="B3118" s="125"/>
      <c r="D3118" s="125"/>
      <c r="I3118" s="125"/>
      <c r="Z3118" s="124"/>
      <c r="AA3118" s="74"/>
      <c r="AB3118" s="240"/>
      <c r="AD3118" s="124"/>
      <c r="AE3118" s="238"/>
      <c r="AF3118" s="239"/>
      <c r="AG3118" s="239"/>
      <c r="AH3118" s="124"/>
      <c r="AI3118" s="74"/>
      <c r="AJ3118" s="240"/>
      <c r="AL3118" s="124"/>
      <c r="AM3118" s="74"/>
      <c r="AP3118" s="125"/>
      <c r="AQ3118" s="241"/>
      <c r="AR3118" s="125"/>
      <c r="AS3118" s="125"/>
      <c r="AT3118" s="238"/>
      <c r="AU3118" s="125"/>
      <c r="AV3118" s="125"/>
      <c r="AW3118" s="125"/>
      <c r="AX3118" s="238"/>
      <c r="AY3118" s="125"/>
      <c r="AZ3118" s="125"/>
      <c r="BA3118" s="125"/>
    </row>
    <row r="3119" spans="2:53" s="123" customFormat="1">
      <c r="B3119" s="125"/>
      <c r="D3119" s="125"/>
      <c r="I3119" s="125"/>
      <c r="Z3119" s="124"/>
      <c r="AA3119" s="74"/>
      <c r="AB3119" s="240"/>
      <c r="AD3119" s="124"/>
      <c r="AE3119" s="238"/>
      <c r="AF3119" s="239"/>
      <c r="AG3119" s="239"/>
      <c r="AH3119" s="124"/>
      <c r="AI3119" s="74"/>
      <c r="AJ3119" s="240"/>
      <c r="AL3119" s="124"/>
      <c r="AM3119" s="74"/>
      <c r="AP3119" s="125"/>
      <c r="AQ3119" s="241"/>
      <c r="AR3119" s="125"/>
      <c r="AS3119" s="125"/>
      <c r="AT3119" s="238"/>
      <c r="AU3119" s="125"/>
      <c r="AV3119" s="125"/>
      <c r="AW3119" s="125"/>
      <c r="AX3119" s="238"/>
      <c r="AY3119" s="125"/>
      <c r="AZ3119" s="125"/>
      <c r="BA3119" s="125"/>
    </row>
    <row r="3120" spans="2:53" s="123" customFormat="1">
      <c r="B3120" s="125"/>
      <c r="D3120" s="125"/>
      <c r="I3120" s="125"/>
      <c r="Z3120" s="124"/>
      <c r="AA3120" s="74"/>
      <c r="AB3120" s="240"/>
      <c r="AD3120" s="124"/>
      <c r="AE3120" s="238"/>
      <c r="AF3120" s="239"/>
      <c r="AG3120" s="239"/>
      <c r="AH3120" s="124"/>
      <c r="AI3120" s="74"/>
      <c r="AJ3120" s="240"/>
      <c r="AL3120" s="124"/>
      <c r="AM3120" s="74"/>
      <c r="AP3120" s="125"/>
      <c r="AQ3120" s="241"/>
      <c r="AR3120" s="125"/>
      <c r="AS3120" s="125"/>
      <c r="AT3120" s="238"/>
      <c r="AU3120" s="125"/>
      <c r="AV3120" s="125"/>
      <c r="AW3120" s="125"/>
      <c r="AX3120" s="238"/>
      <c r="AY3120" s="125"/>
      <c r="AZ3120" s="125"/>
      <c r="BA3120" s="125"/>
    </row>
    <row r="3121" spans="2:53" s="123" customFormat="1">
      <c r="B3121" s="125"/>
      <c r="D3121" s="125"/>
      <c r="I3121" s="125"/>
      <c r="Z3121" s="124"/>
      <c r="AA3121" s="74"/>
      <c r="AB3121" s="240"/>
      <c r="AD3121" s="124"/>
      <c r="AE3121" s="238"/>
      <c r="AF3121" s="239"/>
      <c r="AG3121" s="239"/>
      <c r="AH3121" s="124"/>
      <c r="AI3121" s="74"/>
      <c r="AJ3121" s="240"/>
      <c r="AL3121" s="124"/>
      <c r="AM3121" s="74"/>
      <c r="AP3121" s="125"/>
      <c r="AQ3121" s="241"/>
      <c r="AR3121" s="125"/>
      <c r="AS3121" s="125"/>
      <c r="AT3121" s="238"/>
      <c r="AU3121" s="125"/>
      <c r="AV3121" s="125"/>
      <c r="AW3121" s="125"/>
      <c r="AX3121" s="238"/>
      <c r="AY3121" s="125"/>
      <c r="AZ3121" s="125"/>
      <c r="BA3121" s="125"/>
    </row>
    <row r="3122" spans="2:53" s="123" customFormat="1">
      <c r="B3122" s="125"/>
      <c r="D3122" s="125"/>
      <c r="I3122" s="125"/>
      <c r="Z3122" s="124"/>
      <c r="AA3122" s="74"/>
      <c r="AB3122" s="240"/>
      <c r="AD3122" s="124"/>
      <c r="AE3122" s="238"/>
      <c r="AF3122" s="239"/>
      <c r="AG3122" s="239"/>
      <c r="AH3122" s="124"/>
      <c r="AI3122" s="74"/>
      <c r="AJ3122" s="240"/>
      <c r="AL3122" s="124"/>
      <c r="AM3122" s="74"/>
      <c r="AP3122" s="125"/>
      <c r="AQ3122" s="241"/>
      <c r="AR3122" s="125"/>
      <c r="AS3122" s="125"/>
      <c r="AT3122" s="238"/>
      <c r="AU3122" s="125"/>
      <c r="AV3122" s="125"/>
      <c r="AW3122" s="125"/>
      <c r="AX3122" s="238"/>
      <c r="AY3122" s="125"/>
      <c r="AZ3122" s="125"/>
      <c r="BA3122" s="125"/>
    </row>
    <row r="3123" spans="2:53" s="123" customFormat="1">
      <c r="B3123" s="125"/>
      <c r="D3123" s="125"/>
      <c r="I3123" s="125"/>
      <c r="Z3123" s="124"/>
      <c r="AA3123" s="74"/>
      <c r="AB3123" s="240"/>
      <c r="AD3123" s="124"/>
      <c r="AE3123" s="238"/>
      <c r="AF3123" s="239"/>
      <c r="AG3123" s="239"/>
      <c r="AH3123" s="124"/>
      <c r="AI3123" s="74"/>
      <c r="AJ3123" s="240"/>
      <c r="AL3123" s="124"/>
      <c r="AM3123" s="74"/>
      <c r="AP3123" s="125"/>
      <c r="AQ3123" s="241"/>
      <c r="AR3123" s="125"/>
      <c r="AS3123" s="125"/>
      <c r="AT3123" s="238"/>
      <c r="AU3123" s="125"/>
      <c r="AV3123" s="125"/>
      <c r="AW3123" s="125"/>
      <c r="AX3123" s="238"/>
      <c r="AY3123" s="125"/>
      <c r="AZ3123" s="125"/>
      <c r="BA3123" s="125"/>
    </row>
    <row r="3124" spans="2:53" s="123" customFormat="1">
      <c r="B3124" s="125"/>
      <c r="D3124" s="125"/>
      <c r="I3124" s="125"/>
      <c r="Z3124" s="124"/>
      <c r="AA3124" s="74"/>
      <c r="AB3124" s="240"/>
      <c r="AD3124" s="124"/>
      <c r="AE3124" s="238"/>
      <c r="AF3124" s="239"/>
      <c r="AG3124" s="239"/>
      <c r="AH3124" s="124"/>
      <c r="AI3124" s="74"/>
      <c r="AJ3124" s="240"/>
      <c r="AL3124" s="124"/>
      <c r="AM3124" s="74"/>
      <c r="AP3124" s="125"/>
      <c r="AQ3124" s="241"/>
      <c r="AR3124" s="125"/>
      <c r="AS3124" s="125"/>
      <c r="AT3124" s="238"/>
      <c r="AU3124" s="125"/>
      <c r="AV3124" s="125"/>
      <c r="AW3124" s="125"/>
      <c r="AX3124" s="238"/>
      <c r="AY3124" s="125"/>
      <c r="AZ3124" s="125"/>
      <c r="BA3124" s="125"/>
    </row>
    <row r="3125" spans="2:53" s="123" customFormat="1">
      <c r="B3125" s="125"/>
      <c r="D3125" s="125"/>
      <c r="I3125" s="125"/>
      <c r="Z3125" s="124"/>
      <c r="AA3125" s="74"/>
      <c r="AB3125" s="240"/>
      <c r="AD3125" s="124"/>
      <c r="AE3125" s="238"/>
      <c r="AF3125" s="239"/>
      <c r="AG3125" s="239"/>
      <c r="AH3125" s="124"/>
      <c r="AI3125" s="74"/>
      <c r="AJ3125" s="240"/>
      <c r="AL3125" s="124"/>
      <c r="AM3125" s="74"/>
      <c r="AP3125" s="125"/>
      <c r="AQ3125" s="241"/>
      <c r="AR3125" s="125"/>
      <c r="AS3125" s="125"/>
      <c r="AT3125" s="238"/>
      <c r="AU3125" s="125"/>
      <c r="AV3125" s="125"/>
      <c r="AW3125" s="125"/>
      <c r="AX3125" s="238"/>
      <c r="AY3125" s="125"/>
      <c r="AZ3125" s="125"/>
      <c r="BA3125" s="125"/>
    </row>
    <row r="3126" spans="2:53" s="123" customFormat="1">
      <c r="B3126" s="125"/>
      <c r="D3126" s="125"/>
      <c r="I3126" s="125"/>
      <c r="Z3126" s="124"/>
      <c r="AA3126" s="74"/>
      <c r="AB3126" s="240"/>
      <c r="AD3126" s="124"/>
      <c r="AE3126" s="238"/>
      <c r="AF3126" s="239"/>
      <c r="AG3126" s="239"/>
      <c r="AH3126" s="124"/>
      <c r="AI3126" s="74"/>
      <c r="AJ3126" s="240"/>
      <c r="AL3126" s="124"/>
      <c r="AM3126" s="74"/>
      <c r="AP3126" s="125"/>
      <c r="AQ3126" s="241"/>
      <c r="AR3126" s="125"/>
      <c r="AS3126" s="125"/>
      <c r="AT3126" s="238"/>
      <c r="AU3126" s="125"/>
      <c r="AV3126" s="125"/>
      <c r="AW3126" s="125"/>
      <c r="AX3126" s="238"/>
      <c r="AY3126" s="125"/>
      <c r="AZ3126" s="125"/>
      <c r="BA3126" s="125"/>
    </row>
    <row r="3127" spans="2:53" s="123" customFormat="1">
      <c r="B3127" s="125"/>
      <c r="D3127" s="125"/>
      <c r="I3127" s="125"/>
      <c r="Z3127" s="124"/>
      <c r="AA3127" s="74"/>
      <c r="AB3127" s="240"/>
      <c r="AD3127" s="124"/>
      <c r="AE3127" s="238"/>
      <c r="AF3127" s="239"/>
      <c r="AG3127" s="239"/>
      <c r="AH3127" s="124"/>
      <c r="AI3127" s="74"/>
      <c r="AJ3127" s="240"/>
      <c r="AL3127" s="124"/>
      <c r="AM3127" s="74"/>
      <c r="AP3127" s="125"/>
      <c r="AQ3127" s="241"/>
      <c r="AR3127" s="125"/>
      <c r="AS3127" s="125"/>
      <c r="AT3127" s="238"/>
      <c r="AU3127" s="125"/>
      <c r="AV3127" s="125"/>
      <c r="AW3127" s="125"/>
      <c r="AX3127" s="238"/>
      <c r="AY3127" s="125"/>
      <c r="AZ3127" s="125"/>
      <c r="BA3127" s="125"/>
    </row>
    <row r="3128" spans="2:53" s="123" customFormat="1">
      <c r="B3128" s="125"/>
      <c r="D3128" s="125"/>
      <c r="I3128" s="125"/>
      <c r="Z3128" s="124"/>
      <c r="AA3128" s="74"/>
      <c r="AB3128" s="240"/>
      <c r="AD3128" s="124"/>
      <c r="AE3128" s="238"/>
      <c r="AF3128" s="239"/>
      <c r="AG3128" s="239"/>
      <c r="AH3128" s="124"/>
      <c r="AI3128" s="74"/>
      <c r="AJ3128" s="240"/>
      <c r="AL3128" s="124"/>
      <c r="AM3128" s="74"/>
      <c r="AP3128" s="125"/>
      <c r="AQ3128" s="241"/>
      <c r="AR3128" s="125"/>
      <c r="AS3128" s="125"/>
      <c r="AT3128" s="238"/>
      <c r="AU3128" s="125"/>
      <c r="AV3128" s="125"/>
      <c r="AW3128" s="125"/>
      <c r="AX3128" s="238"/>
      <c r="AY3128" s="125"/>
      <c r="AZ3128" s="125"/>
      <c r="BA3128" s="125"/>
    </row>
    <row r="3129" spans="2:53" s="123" customFormat="1">
      <c r="B3129" s="125"/>
      <c r="D3129" s="125"/>
      <c r="I3129" s="125"/>
      <c r="Z3129" s="124"/>
      <c r="AA3129" s="74"/>
      <c r="AB3129" s="240"/>
      <c r="AD3129" s="124"/>
      <c r="AE3129" s="238"/>
      <c r="AF3129" s="239"/>
      <c r="AG3129" s="239"/>
      <c r="AH3129" s="124"/>
      <c r="AI3129" s="74"/>
      <c r="AJ3129" s="240"/>
      <c r="AL3129" s="124"/>
      <c r="AM3129" s="74"/>
      <c r="AP3129" s="125"/>
      <c r="AQ3129" s="241"/>
      <c r="AR3129" s="125"/>
      <c r="AS3129" s="125"/>
      <c r="AT3129" s="238"/>
      <c r="AU3129" s="125"/>
      <c r="AV3129" s="125"/>
      <c r="AW3129" s="125"/>
      <c r="AX3129" s="238"/>
      <c r="AY3129" s="125"/>
      <c r="AZ3129" s="125"/>
      <c r="BA3129" s="125"/>
    </row>
    <row r="3130" spans="2:53" s="123" customFormat="1">
      <c r="B3130" s="125"/>
      <c r="D3130" s="125"/>
      <c r="I3130" s="125"/>
      <c r="Z3130" s="124"/>
      <c r="AA3130" s="74"/>
      <c r="AB3130" s="240"/>
      <c r="AD3130" s="124"/>
      <c r="AE3130" s="238"/>
      <c r="AF3130" s="239"/>
      <c r="AG3130" s="239"/>
      <c r="AH3130" s="124"/>
      <c r="AI3130" s="74"/>
      <c r="AJ3130" s="240"/>
      <c r="AL3130" s="124"/>
      <c r="AM3130" s="74"/>
      <c r="AP3130" s="125"/>
      <c r="AQ3130" s="241"/>
      <c r="AR3130" s="125"/>
      <c r="AS3130" s="125"/>
      <c r="AT3130" s="238"/>
      <c r="AU3130" s="125"/>
      <c r="AV3130" s="125"/>
      <c r="AW3130" s="125"/>
      <c r="AX3130" s="238"/>
      <c r="AY3130" s="125"/>
      <c r="AZ3130" s="125"/>
      <c r="BA3130" s="125"/>
    </row>
    <row r="3131" spans="2:53" s="123" customFormat="1">
      <c r="B3131" s="125"/>
      <c r="D3131" s="125"/>
      <c r="I3131" s="125"/>
      <c r="Z3131" s="124"/>
      <c r="AA3131" s="74"/>
      <c r="AB3131" s="240"/>
      <c r="AD3131" s="124"/>
      <c r="AE3131" s="238"/>
      <c r="AF3131" s="239"/>
      <c r="AG3131" s="239"/>
      <c r="AH3131" s="124"/>
      <c r="AI3131" s="74"/>
      <c r="AJ3131" s="240"/>
      <c r="AL3131" s="124"/>
      <c r="AM3131" s="74"/>
      <c r="AP3131" s="125"/>
      <c r="AQ3131" s="241"/>
      <c r="AR3131" s="125"/>
      <c r="AS3131" s="125"/>
      <c r="AT3131" s="238"/>
      <c r="AU3131" s="125"/>
      <c r="AV3131" s="125"/>
      <c r="AW3131" s="125"/>
      <c r="AX3131" s="238"/>
      <c r="AY3131" s="125"/>
      <c r="AZ3131" s="125"/>
      <c r="BA3131" s="125"/>
    </row>
    <row r="3132" spans="2:53" s="123" customFormat="1">
      <c r="B3132" s="125"/>
      <c r="D3132" s="125"/>
      <c r="I3132" s="125"/>
      <c r="Z3132" s="124"/>
      <c r="AA3132" s="74"/>
      <c r="AB3132" s="240"/>
      <c r="AD3132" s="124"/>
      <c r="AE3132" s="238"/>
      <c r="AF3132" s="239"/>
      <c r="AG3132" s="239"/>
      <c r="AH3132" s="124"/>
      <c r="AI3132" s="74"/>
      <c r="AJ3132" s="240"/>
      <c r="AL3132" s="124"/>
      <c r="AM3132" s="74"/>
      <c r="AP3132" s="125"/>
      <c r="AQ3132" s="241"/>
      <c r="AR3132" s="125"/>
      <c r="AS3132" s="125"/>
      <c r="AT3132" s="238"/>
      <c r="AU3132" s="125"/>
      <c r="AV3132" s="125"/>
      <c r="AW3132" s="125"/>
      <c r="AX3132" s="238"/>
      <c r="AY3132" s="125"/>
      <c r="AZ3132" s="125"/>
      <c r="BA3132" s="125"/>
    </row>
    <row r="3133" spans="2:53" s="123" customFormat="1">
      <c r="B3133" s="125"/>
      <c r="D3133" s="125"/>
      <c r="I3133" s="125"/>
      <c r="Z3133" s="124"/>
      <c r="AA3133" s="74"/>
      <c r="AB3133" s="240"/>
      <c r="AD3133" s="124"/>
      <c r="AE3133" s="238"/>
      <c r="AF3133" s="239"/>
      <c r="AG3133" s="239"/>
      <c r="AH3133" s="124"/>
      <c r="AI3133" s="74"/>
      <c r="AJ3133" s="240"/>
      <c r="AL3133" s="124"/>
      <c r="AM3133" s="74"/>
      <c r="AP3133" s="125"/>
      <c r="AQ3133" s="241"/>
      <c r="AR3133" s="125"/>
      <c r="AS3133" s="125"/>
      <c r="AT3133" s="238"/>
      <c r="AU3133" s="125"/>
      <c r="AV3133" s="125"/>
      <c r="AW3133" s="125"/>
      <c r="AX3133" s="238"/>
      <c r="AY3133" s="125"/>
      <c r="AZ3133" s="125"/>
      <c r="BA3133" s="125"/>
    </row>
    <row r="3134" spans="2:53" s="123" customFormat="1">
      <c r="B3134" s="125"/>
      <c r="D3134" s="125"/>
      <c r="I3134" s="125"/>
      <c r="Z3134" s="124"/>
      <c r="AA3134" s="74"/>
      <c r="AB3134" s="240"/>
      <c r="AD3134" s="124"/>
      <c r="AE3134" s="238"/>
      <c r="AF3134" s="239"/>
      <c r="AG3134" s="239"/>
      <c r="AH3134" s="124"/>
      <c r="AI3134" s="74"/>
      <c r="AJ3134" s="240"/>
      <c r="AL3134" s="124"/>
      <c r="AM3134" s="74"/>
      <c r="AP3134" s="125"/>
      <c r="AQ3134" s="241"/>
      <c r="AR3134" s="125"/>
      <c r="AS3134" s="125"/>
      <c r="AT3134" s="238"/>
      <c r="AU3134" s="125"/>
      <c r="AV3134" s="125"/>
      <c r="AW3134" s="125"/>
      <c r="AX3134" s="238"/>
      <c r="AY3134" s="125"/>
      <c r="AZ3134" s="125"/>
      <c r="BA3134" s="125"/>
    </row>
    <row r="3135" spans="2:53" s="123" customFormat="1">
      <c r="B3135" s="125"/>
      <c r="D3135" s="125"/>
      <c r="I3135" s="125"/>
      <c r="Z3135" s="124"/>
      <c r="AA3135" s="74"/>
      <c r="AB3135" s="240"/>
      <c r="AD3135" s="124"/>
      <c r="AE3135" s="238"/>
      <c r="AF3135" s="239"/>
      <c r="AG3135" s="239"/>
      <c r="AH3135" s="124"/>
      <c r="AI3135" s="74"/>
      <c r="AJ3135" s="240"/>
      <c r="AL3135" s="124"/>
      <c r="AM3135" s="74"/>
      <c r="AP3135" s="125"/>
      <c r="AQ3135" s="241"/>
      <c r="AR3135" s="125"/>
      <c r="AS3135" s="125"/>
      <c r="AT3135" s="238"/>
      <c r="AU3135" s="125"/>
      <c r="AV3135" s="125"/>
      <c r="AW3135" s="125"/>
      <c r="AX3135" s="238"/>
      <c r="AY3135" s="125"/>
      <c r="AZ3135" s="125"/>
      <c r="BA3135" s="125"/>
    </row>
    <row r="3136" spans="2:53" s="123" customFormat="1">
      <c r="B3136" s="125"/>
      <c r="D3136" s="125"/>
      <c r="I3136" s="125"/>
      <c r="Z3136" s="124"/>
      <c r="AA3136" s="74"/>
      <c r="AB3136" s="240"/>
      <c r="AD3136" s="124"/>
      <c r="AE3136" s="238"/>
      <c r="AF3136" s="239"/>
      <c r="AG3136" s="239"/>
      <c r="AH3136" s="124"/>
      <c r="AI3136" s="74"/>
      <c r="AJ3136" s="240"/>
      <c r="AL3136" s="124"/>
      <c r="AM3136" s="74"/>
      <c r="AP3136" s="125"/>
      <c r="AQ3136" s="241"/>
      <c r="AR3136" s="125"/>
      <c r="AS3136" s="125"/>
      <c r="AT3136" s="238"/>
      <c r="AU3136" s="125"/>
      <c r="AV3136" s="125"/>
      <c r="AW3136" s="125"/>
      <c r="AX3136" s="238"/>
      <c r="AY3136" s="125"/>
      <c r="AZ3136" s="125"/>
      <c r="BA3136" s="125"/>
    </row>
    <row r="3137" spans="2:53" s="123" customFormat="1">
      <c r="B3137" s="125"/>
      <c r="D3137" s="125"/>
      <c r="I3137" s="125"/>
      <c r="Z3137" s="124"/>
      <c r="AA3137" s="74"/>
      <c r="AB3137" s="240"/>
      <c r="AD3137" s="124"/>
      <c r="AE3137" s="238"/>
      <c r="AF3137" s="239"/>
      <c r="AG3137" s="239"/>
      <c r="AH3137" s="124"/>
      <c r="AI3137" s="74"/>
      <c r="AJ3137" s="240"/>
      <c r="AL3137" s="124"/>
      <c r="AM3137" s="74"/>
      <c r="AP3137" s="125"/>
      <c r="AQ3137" s="241"/>
      <c r="AR3137" s="125"/>
      <c r="AS3137" s="125"/>
      <c r="AT3137" s="238"/>
      <c r="AU3137" s="125"/>
      <c r="AV3137" s="125"/>
      <c r="AW3137" s="125"/>
      <c r="AX3137" s="238"/>
      <c r="AY3137" s="125"/>
      <c r="AZ3137" s="125"/>
      <c r="BA3137" s="125"/>
    </row>
    <row r="3138" spans="2:53" s="123" customFormat="1">
      <c r="B3138" s="125"/>
      <c r="D3138" s="125"/>
      <c r="I3138" s="125"/>
      <c r="Z3138" s="124"/>
      <c r="AA3138" s="74"/>
      <c r="AB3138" s="240"/>
      <c r="AD3138" s="124"/>
      <c r="AE3138" s="238"/>
      <c r="AF3138" s="239"/>
      <c r="AG3138" s="239"/>
      <c r="AH3138" s="124"/>
      <c r="AI3138" s="74"/>
      <c r="AJ3138" s="240"/>
      <c r="AL3138" s="124"/>
      <c r="AM3138" s="74"/>
      <c r="AP3138" s="125"/>
      <c r="AQ3138" s="241"/>
      <c r="AR3138" s="125"/>
      <c r="AS3138" s="125"/>
      <c r="AT3138" s="238"/>
      <c r="AU3138" s="125"/>
      <c r="AV3138" s="125"/>
      <c r="AW3138" s="125"/>
      <c r="AX3138" s="238"/>
      <c r="AY3138" s="125"/>
      <c r="AZ3138" s="125"/>
      <c r="BA3138" s="125"/>
    </row>
    <row r="3139" spans="2:53" s="123" customFormat="1">
      <c r="B3139" s="125"/>
      <c r="D3139" s="125"/>
      <c r="I3139" s="125"/>
      <c r="Z3139" s="124"/>
      <c r="AA3139" s="74"/>
      <c r="AB3139" s="240"/>
      <c r="AD3139" s="124"/>
      <c r="AE3139" s="238"/>
      <c r="AF3139" s="239"/>
      <c r="AG3139" s="239"/>
      <c r="AH3139" s="124"/>
      <c r="AI3139" s="74"/>
      <c r="AJ3139" s="240"/>
      <c r="AL3139" s="124"/>
      <c r="AM3139" s="74"/>
      <c r="AP3139" s="125"/>
      <c r="AQ3139" s="241"/>
      <c r="AR3139" s="125"/>
      <c r="AS3139" s="125"/>
      <c r="AT3139" s="238"/>
      <c r="AU3139" s="125"/>
      <c r="AV3139" s="125"/>
      <c r="AW3139" s="125"/>
      <c r="AX3139" s="238"/>
      <c r="AY3139" s="125"/>
      <c r="AZ3139" s="125"/>
      <c r="BA3139" s="125"/>
    </row>
    <row r="3140" spans="2:53" s="123" customFormat="1">
      <c r="B3140" s="125"/>
      <c r="D3140" s="125"/>
      <c r="I3140" s="125"/>
      <c r="Z3140" s="124"/>
      <c r="AA3140" s="74"/>
      <c r="AB3140" s="240"/>
      <c r="AD3140" s="124"/>
      <c r="AE3140" s="238"/>
      <c r="AF3140" s="239"/>
      <c r="AG3140" s="239"/>
      <c r="AH3140" s="124"/>
      <c r="AI3140" s="74"/>
      <c r="AJ3140" s="240"/>
      <c r="AL3140" s="124"/>
      <c r="AM3140" s="74"/>
      <c r="AP3140" s="125"/>
      <c r="AQ3140" s="241"/>
      <c r="AR3140" s="125"/>
      <c r="AS3140" s="125"/>
      <c r="AT3140" s="238"/>
      <c r="AU3140" s="125"/>
      <c r="AV3140" s="125"/>
      <c r="AW3140" s="125"/>
      <c r="AX3140" s="238"/>
      <c r="AY3140" s="125"/>
      <c r="AZ3140" s="125"/>
      <c r="BA3140" s="125"/>
    </row>
    <row r="3141" spans="2:53" s="123" customFormat="1">
      <c r="B3141" s="125"/>
      <c r="D3141" s="125"/>
      <c r="I3141" s="125"/>
      <c r="Z3141" s="124"/>
      <c r="AA3141" s="74"/>
      <c r="AB3141" s="240"/>
      <c r="AD3141" s="124"/>
      <c r="AE3141" s="238"/>
      <c r="AF3141" s="239"/>
      <c r="AG3141" s="239"/>
      <c r="AH3141" s="124"/>
      <c r="AI3141" s="74"/>
      <c r="AJ3141" s="240"/>
      <c r="AL3141" s="124"/>
      <c r="AM3141" s="74"/>
      <c r="AP3141" s="125"/>
      <c r="AQ3141" s="241"/>
      <c r="AR3141" s="125"/>
      <c r="AS3141" s="125"/>
      <c r="AT3141" s="238"/>
      <c r="AU3141" s="125"/>
      <c r="AV3141" s="125"/>
      <c r="AW3141" s="125"/>
      <c r="AX3141" s="238"/>
      <c r="AY3141" s="125"/>
      <c r="AZ3141" s="125"/>
      <c r="BA3141" s="125"/>
    </row>
    <row r="3142" spans="2:53" s="123" customFormat="1">
      <c r="B3142" s="125"/>
      <c r="D3142" s="125"/>
      <c r="I3142" s="125"/>
      <c r="Z3142" s="124"/>
      <c r="AA3142" s="74"/>
      <c r="AB3142" s="240"/>
      <c r="AD3142" s="124"/>
      <c r="AE3142" s="238"/>
      <c r="AF3142" s="239"/>
      <c r="AG3142" s="239"/>
      <c r="AH3142" s="124"/>
      <c r="AI3142" s="74"/>
      <c r="AJ3142" s="240"/>
      <c r="AL3142" s="124"/>
      <c r="AM3142" s="74"/>
      <c r="AP3142" s="125"/>
      <c r="AQ3142" s="241"/>
      <c r="AR3142" s="125"/>
      <c r="AS3142" s="125"/>
      <c r="AT3142" s="238"/>
      <c r="AU3142" s="125"/>
      <c r="AV3142" s="125"/>
      <c r="AW3142" s="125"/>
      <c r="AX3142" s="238"/>
      <c r="AY3142" s="125"/>
      <c r="AZ3142" s="125"/>
      <c r="BA3142" s="125"/>
    </row>
    <row r="3143" spans="2:53" s="123" customFormat="1">
      <c r="B3143" s="125"/>
      <c r="D3143" s="125"/>
      <c r="I3143" s="125"/>
      <c r="Z3143" s="124"/>
      <c r="AA3143" s="74"/>
      <c r="AB3143" s="240"/>
      <c r="AD3143" s="124"/>
      <c r="AE3143" s="238"/>
      <c r="AF3143" s="239"/>
      <c r="AG3143" s="239"/>
      <c r="AH3143" s="124"/>
      <c r="AI3143" s="74"/>
      <c r="AJ3143" s="240"/>
      <c r="AL3143" s="124"/>
      <c r="AM3143" s="74"/>
      <c r="AP3143" s="125"/>
      <c r="AQ3143" s="241"/>
      <c r="AR3143" s="125"/>
      <c r="AS3143" s="125"/>
      <c r="AT3143" s="238"/>
      <c r="AU3143" s="125"/>
      <c r="AV3143" s="125"/>
      <c r="AW3143" s="125"/>
      <c r="AX3143" s="238"/>
      <c r="AY3143" s="125"/>
      <c r="AZ3143" s="125"/>
      <c r="BA3143" s="125"/>
    </row>
    <row r="3144" spans="2:53" s="123" customFormat="1">
      <c r="B3144" s="125"/>
      <c r="D3144" s="125"/>
      <c r="I3144" s="125"/>
      <c r="Z3144" s="124"/>
      <c r="AA3144" s="74"/>
      <c r="AB3144" s="240"/>
      <c r="AD3144" s="124"/>
      <c r="AE3144" s="238"/>
      <c r="AF3144" s="239"/>
      <c r="AG3144" s="239"/>
      <c r="AH3144" s="124"/>
      <c r="AI3144" s="74"/>
      <c r="AJ3144" s="240"/>
      <c r="AL3144" s="124"/>
      <c r="AM3144" s="74"/>
      <c r="AP3144" s="125"/>
      <c r="AQ3144" s="241"/>
      <c r="AR3144" s="125"/>
      <c r="AS3144" s="125"/>
      <c r="AT3144" s="238"/>
      <c r="AU3144" s="125"/>
      <c r="AV3144" s="125"/>
      <c r="AW3144" s="125"/>
      <c r="AX3144" s="238"/>
      <c r="AY3144" s="125"/>
      <c r="AZ3144" s="125"/>
      <c r="BA3144" s="125"/>
    </row>
    <row r="3145" spans="2:53" s="123" customFormat="1">
      <c r="B3145" s="125"/>
      <c r="D3145" s="125"/>
      <c r="I3145" s="125"/>
      <c r="Z3145" s="124"/>
      <c r="AA3145" s="74"/>
      <c r="AB3145" s="240"/>
      <c r="AD3145" s="124"/>
      <c r="AE3145" s="238"/>
      <c r="AF3145" s="239"/>
      <c r="AG3145" s="239"/>
      <c r="AH3145" s="124"/>
      <c r="AI3145" s="74"/>
      <c r="AJ3145" s="240"/>
      <c r="AL3145" s="124"/>
      <c r="AM3145" s="74"/>
      <c r="AP3145" s="125"/>
      <c r="AQ3145" s="241"/>
      <c r="AR3145" s="125"/>
      <c r="AS3145" s="125"/>
      <c r="AT3145" s="238"/>
      <c r="AU3145" s="125"/>
      <c r="AV3145" s="125"/>
      <c r="AW3145" s="125"/>
      <c r="AX3145" s="238"/>
      <c r="AY3145" s="125"/>
      <c r="AZ3145" s="125"/>
      <c r="BA3145" s="125"/>
    </row>
    <row r="3146" spans="2:53" s="123" customFormat="1">
      <c r="B3146" s="125"/>
      <c r="D3146" s="125"/>
      <c r="I3146" s="125"/>
      <c r="Z3146" s="124"/>
      <c r="AA3146" s="74"/>
      <c r="AB3146" s="240"/>
      <c r="AD3146" s="124"/>
      <c r="AE3146" s="238"/>
      <c r="AF3146" s="239"/>
      <c r="AG3146" s="239"/>
      <c r="AH3146" s="124"/>
      <c r="AI3146" s="74"/>
      <c r="AJ3146" s="240"/>
      <c r="AL3146" s="124"/>
      <c r="AM3146" s="74"/>
      <c r="AP3146" s="125"/>
      <c r="AQ3146" s="241"/>
      <c r="AR3146" s="125"/>
      <c r="AS3146" s="125"/>
      <c r="AT3146" s="238"/>
      <c r="AU3146" s="125"/>
      <c r="AV3146" s="125"/>
      <c r="AW3146" s="125"/>
      <c r="AX3146" s="238"/>
      <c r="AY3146" s="125"/>
      <c r="AZ3146" s="125"/>
      <c r="BA3146" s="125"/>
    </row>
    <row r="3147" spans="2:53" s="123" customFormat="1">
      <c r="B3147" s="125"/>
      <c r="D3147" s="125"/>
      <c r="I3147" s="125"/>
      <c r="Z3147" s="124"/>
      <c r="AA3147" s="74"/>
      <c r="AB3147" s="240"/>
      <c r="AD3147" s="124"/>
      <c r="AE3147" s="238"/>
      <c r="AF3147" s="239"/>
      <c r="AG3147" s="239"/>
      <c r="AH3147" s="124"/>
      <c r="AI3147" s="74"/>
      <c r="AJ3147" s="240"/>
      <c r="AL3147" s="124"/>
      <c r="AM3147" s="74"/>
      <c r="AP3147" s="125"/>
      <c r="AQ3147" s="241"/>
      <c r="AR3147" s="125"/>
      <c r="AS3147" s="125"/>
      <c r="AT3147" s="238"/>
      <c r="AU3147" s="125"/>
      <c r="AV3147" s="125"/>
      <c r="AW3147" s="125"/>
      <c r="AX3147" s="238"/>
      <c r="AY3147" s="125"/>
      <c r="AZ3147" s="125"/>
      <c r="BA3147" s="125"/>
    </row>
    <row r="3148" spans="2:53" s="123" customFormat="1">
      <c r="B3148" s="125"/>
      <c r="D3148" s="125"/>
      <c r="I3148" s="125"/>
      <c r="Z3148" s="124"/>
      <c r="AA3148" s="74"/>
      <c r="AB3148" s="240"/>
      <c r="AD3148" s="124"/>
      <c r="AE3148" s="238"/>
      <c r="AF3148" s="239"/>
      <c r="AG3148" s="239"/>
      <c r="AH3148" s="124"/>
      <c r="AI3148" s="74"/>
      <c r="AJ3148" s="240"/>
      <c r="AL3148" s="124"/>
      <c r="AM3148" s="74"/>
      <c r="AP3148" s="125"/>
      <c r="AQ3148" s="241"/>
      <c r="AR3148" s="125"/>
      <c r="AS3148" s="125"/>
      <c r="AT3148" s="238"/>
      <c r="AU3148" s="125"/>
      <c r="AV3148" s="125"/>
      <c r="AW3148" s="125"/>
      <c r="AX3148" s="238"/>
      <c r="AY3148" s="125"/>
      <c r="AZ3148" s="125"/>
      <c r="BA3148" s="125"/>
    </row>
    <row r="3149" spans="2:53" s="123" customFormat="1">
      <c r="B3149" s="125"/>
      <c r="D3149" s="125"/>
      <c r="I3149" s="125"/>
      <c r="Z3149" s="124"/>
      <c r="AA3149" s="74"/>
      <c r="AB3149" s="240"/>
      <c r="AD3149" s="124"/>
      <c r="AE3149" s="238"/>
      <c r="AF3149" s="239"/>
      <c r="AG3149" s="239"/>
      <c r="AH3149" s="124"/>
      <c r="AI3149" s="74"/>
      <c r="AJ3149" s="240"/>
      <c r="AL3149" s="124"/>
      <c r="AM3149" s="74"/>
      <c r="AP3149" s="125"/>
      <c r="AQ3149" s="241"/>
      <c r="AR3149" s="125"/>
      <c r="AS3149" s="125"/>
      <c r="AT3149" s="238"/>
      <c r="AU3149" s="125"/>
      <c r="AV3149" s="125"/>
      <c r="AW3149" s="125"/>
      <c r="AX3149" s="238"/>
      <c r="AY3149" s="125"/>
      <c r="AZ3149" s="125"/>
      <c r="BA3149" s="125"/>
    </row>
    <row r="3150" spans="2:53" s="123" customFormat="1">
      <c r="B3150" s="125"/>
      <c r="D3150" s="125"/>
      <c r="I3150" s="125"/>
      <c r="Z3150" s="124"/>
      <c r="AA3150" s="74"/>
      <c r="AB3150" s="240"/>
      <c r="AD3150" s="124"/>
      <c r="AE3150" s="238"/>
      <c r="AF3150" s="239"/>
      <c r="AG3150" s="239"/>
      <c r="AH3150" s="124"/>
      <c r="AI3150" s="74"/>
      <c r="AJ3150" s="240"/>
      <c r="AL3150" s="124"/>
      <c r="AM3150" s="74"/>
      <c r="AP3150" s="125"/>
      <c r="AQ3150" s="241"/>
      <c r="AR3150" s="125"/>
      <c r="AS3150" s="125"/>
      <c r="AT3150" s="238"/>
      <c r="AU3150" s="125"/>
      <c r="AV3150" s="125"/>
      <c r="AW3150" s="125"/>
      <c r="AX3150" s="238"/>
      <c r="AY3150" s="125"/>
      <c r="AZ3150" s="125"/>
      <c r="BA3150" s="125"/>
    </row>
    <row r="3151" spans="2:53" s="123" customFormat="1">
      <c r="B3151" s="125"/>
      <c r="D3151" s="125"/>
      <c r="I3151" s="125"/>
      <c r="Z3151" s="124"/>
      <c r="AA3151" s="74"/>
      <c r="AB3151" s="240"/>
      <c r="AD3151" s="124"/>
      <c r="AE3151" s="238"/>
      <c r="AF3151" s="239"/>
      <c r="AG3151" s="239"/>
      <c r="AH3151" s="124"/>
      <c r="AI3151" s="74"/>
      <c r="AJ3151" s="240"/>
      <c r="AL3151" s="124"/>
      <c r="AM3151" s="74"/>
      <c r="AP3151" s="125"/>
      <c r="AQ3151" s="241"/>
      <c r="AR3151" s="125"/>
      <c r="AS3151" s="125"/>
      <c r="AT3151" s="238"/>
      <c r="AU3151" s="125"/>
      <c r="AV3151" s="125"/>
      <c r="AW3151" s="125"/>
      <c r="AX3151" s="238"/>
      <c r="AY3151" s="125"/>
      <c r="AZ3151" s="125"/>
      <c r="BA3151" s="125"/>
    </row>
    <row r="3152" spans="2:53" s="123" customFormat="1">
      <c r="B3152" s="125"/>
      <c r="D3152" s="125"/>
      <c r="I3152" s="125"/>
      <c r="Z3152" s="124"/>
      <c r="AA3152" s="74"/>
      <c r="AB3152" s="240"/>
      <c r="AD3152" s="124"/>
      <c r="AE3152" s="238"/>
      <c r="AF3152" s="239"/>
      <c r="AG3152" s="239"/>
      <c r="AH3152" s="124"/>
      <c r="AI3152" s="74"/>
      <c r="AJ3152" s="240"/>
      <c r="AL3152" s="124"/>
      <c r="AM3152" s="74"/>
      <c r="AP3152" s="125"/>
      <c r="AQ3152" s="241"/>
      <c r="AR3152" s="125"/>
      <c r="AS3152" s="125"/>
      <c r="AT3152" s="238"/>
      <c r="AU3152" s="125"/>
      <c r="AV3152" s="125"/>
      <c r="AW3152" s="125"/>
      <c r="AX3152" s="238"/>
      <c r="AY3152" s="125"/>
      <c r="AZ3152" s="125"/>
      <c r="BA3152" s="125"/>
    </row>
    <row r="3153" spans="2:53" s="123" customFormat="1">
      <c r="B3153" s="125"/>
      <c r="D3153" s="125"/>
      <c r="I3153" s="125"/>
      <c r="Z3153" s="124"/>
      <c r="AA3153" s="74"/>
      <c r="AB3153" s="240"/>
      <c r="AD3153" s="124"/>
      <c r="AE3153" s="238"/>
      <c r="AF3153" s="239"/>
      <c r="AG3153" s="239"/>
      <c r="AH3153" s="124"/>
      <c r="AI3153" s="74"/>
      <c r="AJ3153" s="240"/>
      <c r="AL3153" s="124"/>
      <c r="AM3153" s="74"/>
      <c r="AP3153" s="125"/>
      <c r="AQ3153" s="241"/>
      <c r="AR3153" s="125"/>
      <c r="AS3153" s="125"/>
      <c r="AT3153" s="238"/>
      <c r="AU3153" s="125"/>
      <c r="AV3153" s="125"/>
      <c r="AW3153" s="125"/>
      <c r="AX3153" s="238"/>
      <c r="AY3153" s="125"/>
      <c r="AZ3153" s="125"/>
      <c r="BA3153" s="125"/>
    </row>
    <row r="3154" spans="2:53" s="123" customFormat="1">
      <c r="B3154" s="125"/>
      <c r="D3154" s="125"/>
      <c r="I3154" s="125"/>
      <c r="Z3154" s="124"/>
      <c r="AA3154" s="74"/>
      <c r="AB3154" s="240"/>
      <c r="AD3154" s="124"/>
      <c r="AE3154" s="238"/>
      <c r="AF3154" s="239"/>
      <c r="AG3154" s="239"/>
      <c r="AH3154" s="124"/>
      <c r="AI3154" s="74"/>
      <c r="AJ3154" s="240"/>
      <c r="AL3154" s="124"/>
      <c r="AM3154" s="74"/>
      <c r="AP3154" s="125"/>
      <c r="AQ3154" s="241"/>
      <c r="AR3154" s="125"/>
      <c r="AS3154" s="125"/>
      <c r="AT3154" s="238"/>
      <c r="AU3154" s="125"/>
      <c r="AV3154" s="125"/>
      <c r="AW3154" s="125"/>
      <c r="AX3154" s="238"/>
      <c r="AY3154" s="125"/>
      <c r="AZ3154" s="125"/>
      <c r="BA3154" s="125"/>
    </row>
    <row r="3155" spans="2:53" s="123" customFormat="1">
      <c r="B3155" s="125"/>
      <c r="D3155" s="125"/>
      <c r="I3155" s="125"/>
      <c r="Z3155" s="124"/>
      <c r="AA3155" s="74"/>
      <c r="AB3155" s="240"/>
      <c r="AD3155" s="124"/>
      <c r="AE3155" s="238"/>
      <c r="AF3155" s="239"/>
      <c r="AG3155" s="239"/>
      <c r="AH3155" s="124"/>
      <c r="AI3155" s="74"/>
      <c r="AJ3155" s="240"/>
      <c r="AL3155" s="124"/>
      <c r="AM3155" s="74"/>
      <c r="AP3155" s="125"/>
      <c r="AQ3155" s="241"/>
      <c r="AR3155" s="125"/>
      <c r="AS3155" s="125"/>
      <c r="AT3155" s="238"/>
      <c r="AU3155" s="125"/>
      <c r="AV3155" s="125"/>
      <c r="AW3155" s="125"/>
      <c r="AX3155" s="238"/>
      <c r="AY3155" s="125"/>
      <c r="AZ3155" s="125"/>
      <c r="BA3155" s="125"/>
    </row>
    <row r="3156" spans="2:53" s="123" customFormat="1">
      <c r="B3156" s="125"/>
      <c r="D3156" s="125"/>
      <c r="I3156" s="125"/>
      <c r="Z3156" s="124"/>
      <c r="AA3156" s="74"/>
      <c r="AB3156" s="240"/>
      <c r="AD3156" s="124"/>
      <c r="AE3156" s="238"/>
      <c r="AF3156" s="239"/>
      <c r="AG3156" s="239"/>
      <c r="AH3156" s="124"/>
      <c r="AI3156" s="74"/>
      <c r="AJ3156" s="240"/>
      <c r="AL3156" s="124"/>
      <c r="AM3156" s="74"/>
      <c r="AP3156" s="125"/>
      <c r="AQ3156" s="241"/>
      <c r="AR3156" s="125"/>
      <c r="AS3156" s="125"/>
      <c r="AT3156" s="238"/>
      <c r="AU3156" s="125"/>
      <c r="AV3156" s="125"/>
      <c r="AW3156" s="125"/>
      <c r="AX3156" s="238"/>
      <c r="AY3156" s="125"/>
      <c r="AZ3156" s="125"/>
      <c r="BA3156" s="125"/>
    </row>
    <row r="3157" spans="2:53" s="123" customFormat="1">
      <c r="B3157" s="125"/>
      <c r="D3157" s="125"/>
      <c r="I3157" s="125"/>
      <c r="Z3157" s="124"/>
      <c r="AA3157" s="74"/>
      <c r="AB3157" s="240"/>
      <c r="AD3157" s="124"/>
      <c r="AE3157" s="238"/>
      <c r="AF3157" s="239"/>
      <c r="AG3157" s="239"/>
      <c r="AH3157" s="124"/>
      <c r="AI3157" s="74"/>
      <c r="AJ3157" s="240"/>
      <c r="AL3157" s="124"/>
      <c r="AM3157" s="74"/>
      <c r="AP3157" s="125"/>
      <c r="AQ3157" s="241"/>
      <c r="AR3157" s="125"/>
      <c r="AS3157" s="125"/>
      <c r="AT3157" s="238"/>
      <c r="AU3157" s="125"/>
      <c r="AV3157" s="125"/>
      <c r="AW3157" s="125"/>
      <c r="AX3157" s="238"/>
      <c r="AY3157" s="125"/>
      <c r="AZ3157" s="125"/>
      <c r="BA3157" s="125"/>
    </row>
    <row r="3158" spans="2:53" s="123" customFormat="1">
      <c r="B3158" s="125"/>
      <c r="D3158" s="125"/>
      <c r="I3158" s="125"/>
      <c r="Z3158" s="124"/>
      <c r="AA3158" s="74"/>
      <c r="AB3158" s="240"/>
      <c r="AD3158" s="124"/>
      <c r="AE3158" s="238"/>
      <c r="AF3158" s="239"/>
      <c r="AG3158" s="239"/>
      <c r="AH3158" s="124"/>
      <c r="AI3158" s="74"/>
      <c r="AJ3158" s="240"/>
      <c r="AL3158" s="124"/>
      <c r="AM3158" s="74"/>
      <c r="AP3158" s="125"/>
      <c r="AQ3158" s="241"/>
      <c r="AR3158" s="125"/>
      <c r="AS3158" s="125"/>
      <c r="AT3158" s="238"/>
      <c r="AU3158" s="125"/>
      <c r="AV3158" s="125"/>
      <c r="AW3158" s="125"/>
      <c r="AX3158" s="238"/>
      <c r="AY3158" s="125"/>
      <c r="AZ3158" s="125"/>
      <c r="BA3158" s="125"/>
    </row>
    <row r="3159" spans="2:53" s="123" customFormat="1">
      <c r="B3159" s="125"/>
      <c r="D3159" s="125"/>
      <c r="I3159" s="125"/>
      <c r="Z3159" s="124"/>
      <c r="AA3159" s="74"/>
      <c r="AB3159" s="240"/>
      <c r="AD3159" s="124"/>
      <c r="AE3159" s="238"/>
      <c r="AF3159" s="239"/>
      <c r="AG3159" s="239"/>
      <c r="AH3159" s="124"/>
      <c r="AI3159" s="74"/>
      <c r="AJ3159" s="240"/>
      <c r="AL3159" s="124"/>
      <c r="AM3159" s="74"/>
      <c r="AP3159" s="125"/>
      <c r="AQ3159" s="241"/>
      <c r="AR3159" s="125"/>
      <c r="AS3159" s="125"/>
      <c r="AT3159" s="238"/>
      <c r="AU3159" s="125"/>
      <c r="AV3159" s="125"/>
      <c r="AW3159" s="125"/>
      <c r="AX3159" s="238"/>
      <c r="AY3159" s="125"/>
      <c r="AZ3159" s="125"/>
      <c r="BA3159" s="125"/>
    </row>
    <row r="3160" spans="2:53" s="123" customFormat="1">
      <c r="B3160" s="125"/>
      <c r="D3160" s="125"/>
      <c r="I3160" s="125"/>
      <c r="Z3160" s="124"/>
      <c r="AA3160" s="74"/>
      <c r="AB3160" s="240"/>
      <c r="AD3160" s="124"/>
      <c r="AE3160" s="238"/>
      <c r="AF3160" s="239"/>
      <c r="AG3160" s="239"/>
      <c r="AH3160" s="124"/>
      <c r="AI3160" s="74"/>
      <c r="AJ3160" s="240"/>
      <c r="AL3160" s="124"/>
      <c r="AM3160" s="74"/>
      <c r="AP3160" s="125"/>
      <c r="AQ3160" s="241"/>
      <c r="AR3160" s="125"/>
      <c r="AS3160" s="125"/>
      <c r="AT3160" s="238"/>
      <c r="AU3160" s="125"/>
      <c r="AV3160" s="125"/>
      <c r="AW3160" s="125"/>
      <c r="AX3160" s="238"/>
      <c r="AY3160" s="125"/>
      <c r="AZ3160" s="125"/>
      <c r="BA3160" s="125"/>
    </row>
    <row r="3161" spans="2:53" s="123" customFormat="1">
      <c r="B3161" s="125"/>
      <c r="D3161" s="125"/>
      <c r="I3161" s="125"/>
      <c r="Z3161" s="124"/>
      <c r="AA3161" s="74"/>
      <c r="AB3161" s="240"/>
      <c r="AD3161" s="124"/>
      <c r="AE3161" s="238"/>
      <c r="AF3161" s="239"/>
      <c r="AG3161" s="239"/>
      <c r="AH3161" s="124"/>
      <c r="AI3161" s="74"/>
      <c r="AJ3161" s="240"/>
      <c r="AL3161" s="124"/>
      <c r="AM3161" s="74"/>
      <c r="AP3161" s="125"/>
      <c r="AQ3161" s="241"/>
      <c r="AR3161" s="125"/>
      <c r="AS3161" s="125"/>
      <c r="AT3161" s="238"/>
      <c r="AU3161" s="125"/>
      <c r="AV3161" s="125"/>
      <c r="AW3161" s="125"/>
      <c r="AX3161" s="238"/>
      <c r="AY3161" s="125"/>
      <c r="AZ3161" s="125"/>
      <c r="BA3161" s="125"/>
    </row>
    <row r="3162" spans="2:53" s="123" customFormat="1">
      <c r="B3162" s="125"/>
      <c r="D3162" s="125"/>
      <c r="I3162" s="125"/>
      <c r="Z3162" s="124"/>
      <c r="AA3162" s="74"/>
      <c r="AB3162" s="240"/>
      <c r="AD3162" s="124"/>
      <c r="AE3162" s="238"/>
      <c r="AF3162" s="239"/>
      <c r="AG3162" s="239"/>
      <c r="AH3162" s="124"/>
      <c r="AI3162" s="74"/>
      <c r="AJ3162" s="240"/>
      <c r="AL3162" s="124"/>
      <c r="AM3162" s="74"/>
      <c r="AP3162" s="125"/>
      <c r="AQ3162" s="241"/>
      <c r="AR3162" s="125"/>
      <c r="AS3162" s="125"/>
      <c r="AT3162" s="238"/>
      <c r="AU3162" s="125"/>
      <c r="AV3162" s="125"/>
      <c r="AW3162" s="125"/>
      <c r="AX3162" s="238"/>
      <c r="AY3162" s="125"/>
      <c r="AZ3162" s="125"/>
      <c r="BA3162" s="125"/>
    </row>
    <row r="3163" spans="2:53" s="123" customFormat="1">
      <c r="B3163" s="125"/>
      <c r="D3163" s="125"/>
      <c r="I3163" s="125"/>
      <c r="Z3163" s="124"/>
      <c r="AA3163" s="74"/>
      <c r="AB3163" s="240"/>
      <c r="AD3163" s="124"/>
      <c r="AE3163" s="238"/>
      <c r="AF3163" s="239"/>
      <c r="AG3163" s="239"/>
      <c r="AH3163" s="124"/>
      <c r="AI3163" s="74"/>
      <c r="AJ3163" s="240"/>
      <c r="AL3163" s="124"/>
      <c r="AM3163" s="74"/>
      <c r="AP3163" s="125"/>
      <c r="AQ3163" s="241"/>
      <c r="AR3163" s="125"/>
      <c r="AS3163" s="125"/>
      <c r="AT3163" s="238"/>
      <c r="AU3163" s="125"/>
      <c r="AV3163" s="125"/>
      <c r="AW3163" s="125"/>
      <c r="AX3163" s="238"/>
      <c r="AY3163" s="125"/>
      <c r="AZ3163" s="125"/>
      <c r="BA3163" s="125"/>
    </row>
    <row r="3164" spans="2:53" s="123" customFormat="1">
      <c r="B3164" s="125"/>
      <c r="D3164" s="125"/>
      <c r="I3164" s="125"/>
      <c r="Z3164" s="124"/>
      <c r="AA3164" s="74"/>
      <c r="AB3164" s="240"/>
      <c r="AD3164" s="124"/>
      <c r="AE3164" s="238"/>
      <c r="AF3164" s="239"/>
      <c r="AG3164" s="239"/>
      <c r="AH3164" s="124"/>
      <c r="AI3164" s="74"/>
      <c r="AJ3164" s="240"/>
      <c r="AL3164" s="124"/>
      <c r="AM3164" s="74"/>
      <c r="AP3164" s="125"/>
      <c r="AQ3164" s="241"/>
      <c r="AR3164" s="125"/>
      <c r="AS3164" s="125"/>
      <c r="AT3164" s="238"/>
      <c r="AU3164" s="125"/>
      <c r="AV3164" s="125"/>
      <c r="AW3164" s="125"/>
      <c r="AX3164" s="238"/>
      <c r="AY3164" s="125"/>
      <c r="AZ3164" s="125"/>
      <c r="BA3164" s="125"/>
    </row>
    <row r="3165" spans="2:53" s="123" customFormat="1">
      <c r="B3165" s="125"/>
      <c r="D3165" s="125"/>
      <c r="I3165" s="125"/>
      <c r="Z3165" s="124"/>
      <c r="AA3165" s="74"/>
      <c r="AB3165" s="240"/>
      <c r="AD3165" s="124"/>
      <c r="AE3165" s="238"/>
      <c r="AF3165" s="239"/>
      <c r="AG3165" s="239"/>
      <c r="AH3165" s="124"/>
      <c r="AI3165" s="74"/>
      <c r="AJ3165" s="240"/>
      <c r="AL3165" s="124"/>
      <c r="AM3165" s="74"/>
      <c r="AP3165" s="125"/>
      <c r="AQ3165" s="241"/>
      <c r="AR3165" s="125"/>
      <c r="AS3165" s="125"/>
      <c r="AT3165" s="238"/>
      <c r="AU3165" s="125"/>
      <c r="AV3165" s="125"/>
      <c r="AW3165" s="125"/>
      <c r="AX3165" s="238"/>
      <c r="AY3165" s="125"/>
      <c r="AZ3165" s="125"/>
      <c r="BA3165" s="125"/>
    </row>
    <row r="3166" spans="2:53" s="123" customFormat="1">
      <c r="B3166" s="125"/>
      <c r="D3166" s="125"/>
      <c r="I3166" s="125"/>
      <c r="Z3166" s="124"/>
      <c r="AA3166" s="74"/>
      <c r="AB3166" s="240"/>
      <c r="AD3166" s="124"/>
      <c r="AE3166" s="238"/>
      <c r="AF3166" s="239"/>
      <c r="AG3166" s="239"/>
      <c r="AH3166" s="124"/>
      <c r="AI3166" s="74"/>
      <c r="AJ3166" s="240"/>
      <c r="AL3166" s="124"/>
      <c r="AM3166" s="74"/>
      <c r="AP3166" s="125"/>
      <c r="AQ3166" s="241"/>
      <c r="AR3166" s="125"/>
      <c r="AS3166" s="125"/>
      <c r="AT3166" s="238"/>
      <c r="AU3166" s="125"/>
      <c r="AV3166" s="125"/>
      <c r="AW3166" s="125"/>
      <c r="AX3166" s="238"/>
      <c r="AY3166" s="125"/>
      <c r="AZ3166" s="125"/>
      <c r="BA3166" s="125"/>
    </row>
    <row r="3167" spans="2:53" s="123" customFormat="1">
      <c r="B3167" s="125"/>
      <c r="D3167" s="125"/>
      <c r="I3167" s="125"/>
      <c r="Z3167" s="124"/>
      <c r="AA3167" s="74"/>
      <c r="AB3167" s="240"/>
      <c r="AD3167" s="124"/>
      <c r="AE3167" s="238"/>
      <c r="AF3167" s="239"/>
      <c r="AG3167" s="239"/>
      <c r="AH3167" s="124"/>
      <c r="AI3167" s="74"/>
      <c r="AJ3167" s="240"/>
      <c r="AL3167" s="124"/>
      <c r="AM3167" s="74"/>
      <c r="AP3167" s="125"/>
      <c r="AQ3167" s="241"/>
      <c r="AR3167" s="125"/>
      <c r="AS3167" s="125"/>
      <c r="AT3167" s="238"/>
      <c r="AU3167" s="125"/>
      <c r="AV3167" s="125"/>
      <c r="AW3167" s="125"/>
      <c r="AX3167" s="238"/>
      <c r="AY3167" s="125"/>
      <c r="AZ3167" s="125"/>
      <c r="BA3167" s="125"/>
    </row>
    <row r="3168" spans="2:53" s="123" customFormat="1">
      <c r="B3168" s="125"/>
      <c r="D3168" s="125"/>
      <c r="I3168" s="125"/>
      <c r="Z3168" s="124"/>
      <c r="AA3168" s="74"/>
      <c r="AB3168" s="240"/>
      <c r="AD3168" s="124"/>
      <c r="AE3168" s="238"/>
      <c r="AF3168" s="239"/>
      <c r="AG3168" s="239"/>
      <c r="AH3168" s="124"/>
      <c r="AI3168" s="74"/>
      <c r="AJ3168" s="240"/>
      <c r="AL3168" s="124"/>
      <c r="AM3168" s="74"/>
      <c r="AP3168" s="125"/>
      <c r="AQ3168" s="241"/>
      <c r="AR3168" s="125"/>
      <c r="AS3168" s="125"/>
      <c r="AT3168" s="238"/>
      <c r="AU3168" s="125"/>
      <c r="AV3168" s="125"/>
      <c r="AW3168" s="125"/>
      <c r="AX3168" s="238"/>
      <c r="AY3168" s="125"/>
      <c r="AZ3168" s="125"/>
      <c r="BA3168" s="125"/>
    </row>
    <row r="3169" spans="2:53" s="123" customFormat="1">
      <c r="B3169" s="125"/>
      <c r="D3169" s="125"/>
      <c r="I3169" s="125"/>
      <c r="Z3169" s="124"/>
      <c r="AA3169" s="74"/>
      <c r="AB3169" s="240"/>
      <c r="AD3169" s="124"/>
      <c r="AE3169" s="238"/>
      <c r="AF3169" s="239"/>
      <c r="AG3169" s="239"/>
      <c r="AH3169" s="124"/>
      <c r="AI3169" s="74"/>
      <c r="AJ3169" s="240"/>
      <c r="AL3169" s="124"/>
      <c r="AM3169" s="74"/>
      <c r="AP3169" s="125"/>
      <c r="AQ3169" s="241"/>
      <c r="AR3169" s="125"/>
      <c r="AS3169" s="125"/>
      <c r="AT3169" s="238"/>
      <c r="AU3169" s="125"/>
      <c r="AV3169" s="125"/>
      <c r="AW3169" s="125"/>
      <c r="AX3169" s="238"/>
      <c r="AY3169" s="125"/>
      <c r="AZ3169" s="125"/>
      <c r="BA3169" s="125"/>
    </row>
    <row r="3170" spans="2:53" s="123" customFormat="1">
      <c r="B3170" s="125"/>
      <c r="D3170" s="125"/>
      <c r="I3170" s="125"/>
      <c r="Z3170" s="124"/>
      <c r="AA3170" s="74"/>
      <c r="AB3170" s="240"/>
      <c r="AD3170" s="124"/>
      <c r="AE3170" s="238"/>
      <c r="AF3170" s="239"/>
      <c r="AG3170" s="239"/>
      <c r="AH3170" s="124"/>
      <c r="AI3170" s="74"/>
      <c r="AJ3170" s="240"/>
      <c r="AL3170" s="124"/>
      <c r="AM3170" s="74"/>
      <c r="AP3170" s="125"/>
      <c r="AQ3170" s="241"/>
      <c r="AR3170" s="125"/>
      <c r="AS3170" s="125"/>
      <c r="AT3170" s="238"/>
      <c r="AU3170" s="125"/>
      <c r="AV3170" s="125"/>
      <c r="AW3170" s="125"/>
      <c r="AX3170" s="238"/>
      <c r="AY3170" s="125"/>
      <c r="AZ3170" s="125"/>
      <c r="BA3170" s="125"/>
    </row>
    <row r="3171" spans="2:53" s="123" customFormat="1">
      <c r="B3171" s="125"/>
      <c r="D3171" s="125"/>
      <c r="I3171" s="125"/>
      <c r="Z3171" s="124"/>
      <c r="AA3171" s="74"/>
      <c r="AB3171" s="240"/>
      <c r="AD3171" s="124"/>
      <c r="AE3171" s="238"/>
      <c r="AF3171" s="239"/>
      <c r="AG3171" s="239"/>
      <c r="AH3171" s="124"/>
      <c r="AI3171" s="74"/>
      <c r="AJ3171" s="240"/>
      <c r="AL3171" s="124"/>
      <c r="AM3171" s="74"/>
      <c r="AP3171" s="125"/>
      <c r="AQ3171" s="241"/>
      <c r="AR3171" s="125"/>
      <c r="AS3171" s="125"/>
      <c r="AT3171" s="238"/>
      <c r="AU3171" s="125"/>
      <c r="AV3171" s="125"/>
      <c r="AW3171" s="125"/>
      <c r="AX3171" s="238"/>
      <c r="AY3171" s="125"/>
      <c r="AZ3171" s="125"/>
      <c r="BA3171" s="125"/>
    </row>
    <row r="3172" spans="2:53" s="123" customFormat="1">
      <c r="B3172" s="125"/>
      <c r="D3172" s="125"/>
      <c r="I3172" s="125"/>
      <c r="Z3172" s="124"/>
      <c r="AA3172" s="74"/>
      <c r="AB3172" s="240"/>
      <c r="AD3172" s="124"/>
      <c r="AE3172" s="238"/>
      <c r="AF3172" s="239"/>
      <c r="AG3172" s="239"/>
      <c r="AH3172" s="124"/>
      <c r="AI3172" s="74"/>
      <c r="AJ3172" s="240"/>
      <c r="AL3172" s="124"/>
      <c r="AM3172" s="74"/>
      <c r="AP3172" s="125"/>
      <c r="AQ3172" s="241"/>
      <c r="AR3172" s="125"/>
      <c r="AS3172" s="125"/>
      <c r="AT3172" s="238"/>
      <c r="AU3172" s="125"/>
      <c r="AV3172" s="125"/>
      <c r="AW3172" s="125"/>
      <c r="AX3172" s="238"/>
      <c r="AY3172" s="125"/>
      <c r="AZ3172" s="125"/>
      <c r="BA3172" s="125"/>
    </row>
    <row r="3173" spans="2:53" s="123" customFormat="1">
      <c r="B3173" s="125"/>
      <c r="D3173" s="125"/>
      <c r="I3173" s="125"/>
      <c r="Z3173" s="124"/>
      <c r="AA3173" s="74"/>
      <c r="AB3173" s="240"/>
      <c r="AD3173" s="124"/>
      <c r="AE3173" s="238"/>
      <c r="AF3173" s="239"/>
      <c r="AG3173" s="239"/>
      <c r="AH3173" s="124"/>
      <c r="AI3173" s="74"/>
      <c r="AJ3173" s="240"/>
      <c r="AL3173" s="124"/>
      <c r="AM3173" s="74"/>
      <c r="AP3173" s="125"/>
      <c r="AQ3173" s="241"/>
      <c r="AR3173" s="125"/>
      <c r="AS3173" s="125"/>
      <c r="AT3173" s="238"/>
      <c r="AU3173" s="125"/>
      <c r="AV3173" s="125"/>
      <c r="AW3173" s="125"/>
      <c r="AX3173" s="238"/>
      <c r="AY3173" s="125"/>
      <c r="AZ3173" s="125"/>
      <c r="BA3173" s="125"/>
    </row>
    <row r="3174" spans="2:53" s="123" customFormat="1">
      <c r="B3174" s="125"/>
      <c r="D3174" s="125"/>
      <c r="I3174" s="125"/>
      <c r="Z3174" s="124"/>
      <c r="AA3174" s="74"/>
      <c r="AB3174" s="240"/>
      <c r="AD3174" s="124"/>
      <c r="AE3174" s="238"/>
      <c r="AF3174" s="239"/>
      <c r="AG3174" s="239"/>
      <c r="AH3174" s="124"/>
      <c r="AI3174" s="74"/>
      <c r="AJ3174" s="240"/>
      <c r="AL3174" s="124"/>
      <c r="AM3174" s="74"/>
      <c r="AP3174" s="125"/>
      <c r="AQ3174" s="241"/>
      <c r="AR3174" s="125"/>
      <c r="AS3174" s="125"/>
      <c r="AT3174" s="238"/>
      <c r="AU3174" s="125"/>
      <c r="AV3174" s="125"/>
      <c r="AW3174" s="125"/>
      <c r="AX3174" s="238"/>
      <c r="AY3174" s="125"/>
      <c r="AZ3174" s="125"/>
      <c r="BA3174" s="125"/>
    </row>
    <row r="3175" spans="2:53" s="123" customFormat="1">
      <c r="B3175" s="125"/>
      <c r="D3175" s="125"/>
      <c r="I3175" s="125"/>
      <c r="Z3175" s="124"/>
      <c r="AA3175" s="74"/>
      <c r="AB3175" s="240"/>
      <c r="AD3175" s="124"/>
      <c r="AE3175" s="238"/>
      <c r="AF3175" s="239"/>
      <c r="AG3175" s="239"/>
      <c r="AH3175" s="124"/>
      <c r="AI3175" s="74"/>
      <c r="AJ3175" s="240"/>
      <c r="AL3175" s="124"/>
      <c r="AM3175" s="74"/>
      <c r="AP3175" s="125"/>
      <c r="AQ3175" s="241"/>
      <c r="AR3175" s="125"/>
      <c r="AS3175" s="125"/>
      <c r="AT3175" s="238"/>
      <c r="AU3175" s="125"/>
      <c r="AV3175" s="125"/>
      <c r="AW3175" s="125"/>
      <c r="AX3175" s="238"/>
      <c r="AY3175" s="125"/>
      <c r="AZ3175" s="125"/>
      <c r="BA3175" s="125"/>
    </row>
    <row r="3176" spans="2:53" s="123" customFormat="1">
      <c r="B3176" s="125"/>
      <c r="D3176" s="125"/>
      <c r="I3176" s="125"/>
      <c r="Z3176" s="124"/>
      <c r="AA3176" s="74"/>
      <c r="AB3176" s="240"/>
      <c r="AD3176" s="124"/>
      <c r="AE3176" s="238"/>
      <c r="AF3176" s="239"/>
      <c r="AG3176" s="239"/>
      <c r="AH3176" s="124"/>
      <c r="AI3176" s="74"/>
      <c r="AJ3176" s="240"/>
      <c r="AL3176" s="124"/>
      <c r="AM3176" s="74"/>
      <c r="AP3176" s="125"/>
      <c r="AQ3176" s="241"/>
      <c r="AR3176" s="125"/>
      <c r="AS3176" s="125"/>
      <c r="AT3176" s="238"/>
      <c r="AU3176" s="125"/>
      <c r="AV3176" s="125"/>
      <c r="AW3176" s="125"/>
      <c r="AX3176" s="238"/>
      <c r="AY3176" s="125"/>
      <c r="AZ3176" s="125"/>
      <c r="BA3176" s="125"/>
    </row>
    <row r="3177" spans="2:53" s="123" customFormat="1">
      <c r="B3177" s="125"/>
      <c r="D3177" s="125"/>
      <c r="I3177" s="125"/>
      <c r="Z3177" s="124"/>
      <c r="AA3177" s="74"/>
      <c r="AB3177" s="240"/>
      <c r="AD3177" s="124"/>
      <c r="AE3177" s="238"/>
      <c r="AF3177" s="239"/>
      <c r="AG3177" s="239"/>
      <c r="AH3177" s="124"/>
      <c r="AI3177" s="74"/>
      <c r="AJ3177" s="240"/>
      <c r="AL3177" s="124"/>
      <c r="AM3177" s="74"/>
      <c r="AP3177" s="125"/>
      <c r="AQ3177" s="241"/>
      <c r="AR3177" s="125"/>
      <c r="AS3177" s="125"/>
      <c r="AT3177" s="238"/>
      <c r="AU3177" s="125"/>
      <c r="AV3177" s="125"/>
      <c r="AW3177" s="125"/>
      <c r="AX3177" s="238"/>
      <c r="AY3177" s="125"/>
      <c r="AZ3177" s="125"/>
      <c r="BA3177" s="125"/>
    </row>
    <row r="3178" spans="2:53" s="123" customFormat="1">
      <c r="B3178" s="125"/>
      <c r="D3178" s="125"/>
      <c r="I3178" s="125"/>
      <c r="Z3178" s="124"/>
      <c r="AA3178" s="74"/>
      <c r="AB3178" s="240"/>
      <c r="AD3178" s="124"/>
      <c r="AE3178" s="238"/>
      <c r="AF3178" s="239"/>
      <c r="AG3178" s="239"/>
      <c r="AH3178" s="124"/>
      <c r="AI3178" s="74"/>
      <c r="AJ3178" s="240"/>
      <c r="AL3178" s="124"/>
      <c r="AM3178" s="74"/>
      <c r="AP3178" s="125"/>
      <c r="AQ3178" s="241"/>
      <c r="AR3178" s="125"/>
      <c r="AS3178" s="125"/>
      <c r="AT3178" s="238"/>
      <c r="AU3178" s="125"/>
      <c r="AV3178" s="125"/>
      <c r="AW3178" s="125"/>
      <c r="AX3178" s="238"/>
      <c r="AY3178" s="125"/>
      <c r="AZ3178" s="125"/>
      <c r="BA3178" s="125"/>
    </row>
    <row r="3179" spans="2:53" s="123" customFormat="1">
      <c r="B3179" s="125"/>
      <c r="D3179" s="125"/>
      <c r="I3179" s="125"/>
      <c r="Z3179" s="124"/>
      <c r="AA3179" s="74"/>
      <c r="AB3179" s="240"/>
      <c r="AD3179" s="124"/>
      <c r="AE3179" s="238"/>
      <c r="AF3179" s="239"/>
      <c r="AG3179" s="239"/>
      <c r="AH3179" s="124"/>
      <c r="AI3179" s="74"/>
      <c r="AJ3179" s="240"/>
      <c r="AL3179" s="124"/>
      <c r="AM3179" s="74"/>
      <c r="AP3179" s="125"/>
      <c r="AQ3179" s="241"/>
      <c r="AR3179" s="125"/>
      <c r="AS3179" s="125"/>
      <c r="AT3179" s="238"/>
      <c r="AU3179" s="125"/>
      <c r="AV3179" s="125"/>
      <c r="AW3179" s="125"/>
      <c r="AX3179" s="238"/>
      <c r="AY3179" s="125"/>
      <c r="AZ3179" s="125"/>
      <c r="BA3179" s="125"/>
    </row>
    <row r="3180" spans="2:53" s="123" customFormat="1">
      <c r="B3180" s="125"/>
      <c r="D3180" s="125"/>
      <c r="I3180" s="125"/>
      <c r="Z3180" s="124"/>
      <c r="AA3180" s="74"/>
      <c r="AB3180" s="240"/>
      <c r="AD3180" s="124"/>
      <c r="AE3180" s="238"/>
      <c r="AF3180" s="239"/>
      <c r="AG3180" s="239"/>
      <c r="AH3180" s="124"/>
      <c r="AI3180" s="74"/>
      <c r="AJ3180" s="240"/>
      <c r="AL3180" s="124"/>
      <c r="AM3180" s="74"/>
      <c r="AP3180" s="125"/>
      <c r="AQ3180" s="241"/>
      <c r="AR3180" s="125"/>
      <c r="AS3180" s="125"/>
      <c r="AT3180" s="238"/>
      <c r="AU3180" s="125"/>
      <c r="AV3180" s="125"/>
      <c r="AW3180" s="125"/>
      <c r="AX3180" s="238"/>
      <c r="AY3180" s="125"/>
      <c r="AZ3180" s="125"/>
      <c r="BA3180" s="125"/>
    </row>
    <row r="3181" spans="2:53" s="123" customFormat="1">
      <c r="B3181" s="125"/>
      <c r="D3181" s="125"/>
      <c r="I3181" s="125"/>
      <c r="Z3181" s="124"/>
      <c r="AA3181" s="74"/>
      <c r="AB3181" s="240"/>
      <c r="AD3181" s="124"/>
      <c r="AE3181" s="238"/>
      <c r="AF3181" s="239"/>
      <c r="AG3181" s="239"/>
      <c r="AH3181" s="124"/>
      <c r="AI3181" s="74"/>
      <c r="AJ3181" s="240"/>
      <c r="AL3181" s="124"/>
      <c r="AM3181" s="74"/>
      <c r="AP3181" s="125"/>
      <c r="AQ3181" s="241"/>
      <c r="AR3181" s="125"/>
      <c r="AS3181" s="125"/>
      <c r="AT3181" s="238"/>
      <c r="AU3181" s="125"/>
      <c r="AV3181" s="125"/>
      <c r="AW3181" s="125"/>
      <c r="AX3181" s="238"/>
      <c r="AY3181" s="125"/>
      <c r="AZ3181" s="125"/>
      <c r="BA3181" s="125"/>
    </row>
    <row r="3182" spans="2:53" s="123" customFormat="1">
      <c r="B3182" s="125"/>
      <c r="D3182" s="125"/>
      <c r="I3182" s="125"/>
      <c r="Z3182" s="124"/>
      <c r="AA3182" s="74"/>
      <c r="AB3182" s="240"/>
      <c r="AD3182" s="124"/>
      <c r="AE3182" s="238"/>
      <c r="AF3182" s="239"/>
      <c r="AG3182" s="239"/>
      <c r="AH3182" s="124"/>
      <c r="AI3182" s="74"/>
      <c r="AJ3182" s="240"/>
      <c r="AL3182" s="124"/>
      <c r="AM3182" s="74"/>
      <c r="AP3182" s="125"/>
      <c r="AQ3182" s="241"/>
      <c r="AR3182" s="125"/>
      <c r="AS3182" s="125"/>
      <c r="AT3182" s="238"/>
      <c r="AU3182" s="125"/>
      <c r="AV3182" s="125"/>
      <c r="AW3182" s="125"/>
      <c r="AX3182" s="238"/>
      <c r="AY3182" s="125"/>
      <c r="AZ3182" s="125"/>
      <c r="BA3182" s="125"/>
    </row>
    <row r="3183" spans="2:53" s="123" customFormat="1">
      <c r="B3183" s="125"/>
      <c r="D3183" s="125"/>
      <c r="I3183" s="125"/>
      <c r="Z3183" s="124"/>
      <c r="AA3183" s="74"/>
      <c r="AB3183" s="240"/>
      <c r="AD3183" s="124"/>
      <c r="AE3183" s="238"/>
      <c r="AF3183" s="239"/>
      <c r="AG3183" s="239"/>
      <c r="AH3183" s="124"/>
      <c r="AI3183" s="74"/>
      <c r="AJ3183" s="240"/>
      <c r="AL3183" s="124"/>
      <c r="AM3183" s="74"/>
      <c r="AP3183" s="125"/>
      <c r="AQ3183" s="241"/>
      <c r="AR3183" s="125"/>
      <c r="AS3183" s="125"/>
      <c r="AT3183" s="238"/>
      <c r="AU3183" s="125"/>
      <c r="AV3183" s="125"/>
      <c r="AW3183" s="125"/>
      <c r="AX3183" s="238"/>
      <c r="AY3183" s="125"/>
      <c r="AZ3183" s="125"/>
      <c r="BA3183" s="125"/>
    </row>
    <row r="3184" spans="2:53" s="123" customFormat="1">
      <c r="B3184" s="125"/>
      <c r="D3184" s="125"/>
      <c r="I3184" s="125"/>
      <c r="Z3184" s="124"/>
      <c r="AA3184" s="74"/>
      <c r="AB3184" s="240"/>
      <c r="AD3184" s="124"/>
      <c r="AE3184" s="238"/>
      <c r="AF3184" s="239"/>
      <c r="AG3184" s="239"/>
      <c r="AH3184" s="124"/>
      <c r="AI3184" s="74"/>
      <c r="AJ3184" s="240"/>
      <c r="AL3184" s="124"/>
      <c r="AM3184" s="74"/>
      <c r="AP3184" s="125"/>
      <c r="AQ3184" s="241"/>
      <c r="AR3184" s="125"/>
      <c r="AS3184" s="125"/>
      <c r="AT3184" s="238"/>
      <c r="AU3184" s="125"/>
      <c r="AV3184" s="125"/>
      <c r="AW3184" s="125"/>
      <c r="AX3184" s="238"/>
      <c r="AY3184" s="125"/>
      <c r="AZ3184" s="125"/>
      <c r="BA3184" s="125"/>
    </row>
    <row r="3185" spans="2:53" s="123" customFormat="1">
      <c r="B3185" s="125"/>
      <c r="D3185" s="125"/>
      <c r="I3185" s="125"/>
      <c r="Z3185" s="124"/>
      <c r="AA3185" s="74"/>
      <c r="AB3185" s="240"/>
      <c r="AD3185" s="124"/>
      <c r="AE3185" s="238"/>
      <c r="AF3185" s="239"/>
      <c r="AG3185" s="239"/>
      <c r="AH3185" s="124"/>
      <c r="AI3185" s="74"/>
      <c r="AJ3185" s="240"/>
      <c r="AL3185" s="124"/>
      <c r="AM3185" s="74"/>
      <c r="AP3185" s="125"/>
      <c r="AQ3185" s="241"/>
      <c r="AR3185" s="125"/>
      <c r="AS3185" s="125"/>
      <c r="AT3185" s="238"/>
      <c r="AU3185" s="125"/>
      <c r="AV3185" s="125"/>
      <c r="AW3185" s="125"/>
      <c r="AX3185" s="238"/>
      <c r="AY3185" s="125"/>
      <c r="AZ3185" s="125"/>
      <c r="BA3185" s="125"/>
    </row>
    <row r="3186" spans="2:53" s="123" customFormat="1">
      <c r="B3186" s="125"/>
      <c r="D3186" s="125"/>
      <c r="I3186" s="125"/>
      <c r="Z3186" s="124"/>
      <c r="AA3186" s="74"/>
      <c r="AB3186" s="240"/>
      <c r="AD3186" s="124"/>
      <c r="AE3186" s="238"/>
      <c r="AF3186" s="239"/>
      <c r="AG3186" s="239"/>
      <c r="AH3186" s="124"/>
      <c r="AI3186" s="74"/>
      <c r="AJ3186" s="240"/>
      <c r="AL3186" s="124"/>
      <c r="AM3186" s="74"/>
      <c r="AP3186" s="125"/>
      <c r="AQ3186" s="241"/>
      <c r="AR3186" s="125"/>
      <c r="AS3186" s="125"/>
      <c r="AT3186" s="238"/>
      <c r="AU3186" s="125"/>
      <c r="AV3186" s="125"/>
      <c r="AW3186" s="125"/>
      <c r="AX3186" s="238"/>
      <c r="AY3186" s="125"/>
      <c r="AZ3186" s="125"/>
      <c r="BA3186" s="125"/>
    </row>
    <row r="3187" spans="2:53" s="123" customFormat="1">
      <c r="B3187" s="125"/>
      <c r="D3187" s="125"/>
      <c r="I3187" s="125"/>
      <c r="Z3187" s="124"/>
      <c r="AA3187" s="74"/>
      <c r="AB3187" s="240"/>
      <c r="AD3187" s="124"/>
      <c r="AE3187" s="238"/>
      <c r="AF3187" s="239"/>
      <c r="AG3187" s="239"/>
      <c r="AH3187" s="124"/>
      <c r="AI3187" s="74"/>
      <c r="AJ3187" s="240"/>
      <c r="AL3187" s="124"/>
      <c r="AM3187" s="74"/>
      <c r="AP3187" s="125"/>
      <c r="AQ3187" s="241"/>
      <c r="AR3187" s="125"/>
      <c r="AS3187" s="125"/>
      <c r="AT3187" s="238"/>
      <c r="AU3187" s="125"/>
      <c r="AV3187" s="125"/>
      <c r="AW3187" s="125"/>
      <c r="AX3187" s="238"/>
      <c r="AY3187" s="125"/>
      <c r="AZ3187" s="125"/>
      <c r="BA3187" s="125"/>
    </row>
    <row r="3188" spans="2:53" s="123" customFormat="1">
      <c r="B3188" s="125"/>
      <c r="D3188" s="125"/>
      <c r="I3188" s="125"/>
      <c r="Z3188" s="124"/>
      <c r="AA3188" s="74"/>
      <c r="AB3188" s="240"/>
      <c r="AD3188" s="124"/>
      <c r="AE3188" s="238"/>
      <c r="AF3188" s="239"/>
      <c r="AG3188" s="239"/>
      <c r="AH3188" s="124"/>
      <c r="AI3188" s="74"/>
      <c r="AJ3188" s="240"/>
      <c r="AL3188" s="124"/>
      <c r="AM3188" s="74"/>
      <c r="AP3188" s="125"/>
      <c r="AQ3188" s="241"/>
      <c r="AR3188" s="125"/>
      <c r="AS3188" s="125"/>
      <c r="AT3188" s="238"/>
      <c r="AU3188" s="125"/>
      <c r="AV3188" s="125"/>
      <c r="AW3188" s="125"/>
      <c r="AX3188" s="238"/>
      <c r="AY3188" s="125"/>
      <c r="AZ3188" s="125"/>
      <c r="BA3188" s="125"/>
    </row>
    <row r="3189" spans="2:53" s="123" customFormat="1">
      <c r="B3189" s="125"/>
      <c r="D3189" s="125"/>
      <c r="I3189" s="125"/>
      <c r="Z3189" s="124"/>
      <c r="AA3189" s="74"/>
      <c r="AB3189" s="240"/>
      <c r="AD3189" s="124"/>
      <c r="AE3189" s="238"/>
      <c r="AF3189" s="239"/>
      <c r="AG3189" s="239"/>
      <c r="AH3189" s="124"/>
      <c r="AI3189" s="74"/>
      <c r="AJ3189" s="240"/>
      <c r="AL3189" s="124"/>
      <c r="AM3189" s="74"/>
      <c r="AP3189" s="125"/>
      <c r="AQ3189" s="241"/>
      <c r="AR3189" s="125"/>
      <c r="AS3189" s="125"/>
      <c r="AT3189" s="238"/>
      <c r="AU3189" s="125"/>
      <c r="AV3189" s="125"/>
      <c r="AW3189" s="125"/>
      <c r="AX3189" s="238"/>
      <c r="AY3189" s="125"/>
      <c r="AZ3189" s="125"/>
      <c r="BA3189" s="125"/>
    </row>
    <row r="3190" spans="2:53" s="123" customFormat="1">
      <c r="B3190" s="125"/>
      <c r="D3190" s="125"/>
      <c r="I3190" s="125"/>
      <c r="Z3190" s="124"/>
      <c r="AA3190" s="74"/>
      <c r="AB3190" s="240"/>
      <c r="AD3190" s="124"/>
      <c r="AE3190" s="238"/>
      <c r="AF3190" s="239"/>
      <c r="AG3190" s="239"/>
      <c r="AH3190" s="124"/>
      <c r="AI3190" s="74"/>
      <c r="AJ3190" s="240"/>
      <c r="AL3190" s="124"/>
      <c r="AM3190" s="74"/>
      <c r="AP3190" s="125"/>
      <c r="AQ3190" s="241"/>
      <c r="AR3190" s="125"/>
      <c r="AS3190" s="125"/>
      <c r="AT3190" s="238"/>
      <c r="AU3190" s="125"/>
      <c r="AV3190" s="125"/>
      <c r="AW3190" s="125"/>
      <c r="AX3190" s="238"/>
      <c r="AY3190" s="125"/>
      <c r="AZ3190" s="125"/>
      <c r="BA3190" s="125"/>
    </row>
    <row r="3191" spans="2:53" s="123" customFormat="1">
      <c r="B3191" s="125"/>
      <c r="D3191" s="125"/>
      <c r="I3191" s="125"/>
      <c r="Z3191" s="124"/>
      <c r="AA3191" s="74"/>
      <c r="AB3191" s="240"/>
      <c r="AD3191" s="124"/>
      <c r="AE3191" s="238"/>
      <c r="AF3191" s="239"/>
      <c r="AG3191" s="239"/>
      <c r="AH3191" s="124"/>
      <c r="AI3191" s="74"/>
      <c r="AJ3191" s="240"/>
      <c r="AL3191" s="124"/>
      <c r="AM3191" s="74"/>
      <c r="AP3191" s="125"/>
      <c r="AQ3191" s="241"/>
      <c r="AR3191" s="125"/>
      <c r="AS3191" s="125"/>
      <c r="AT3191" s="238"/>
      <c r="AU3191" s="125"/>
      <c r="AV3191" s="125"/>
      <c r="AW3191" s="125"/>
      <c r="AX3191" s="238"/>
      <c r="AY3191" s="125"/>
      <c r="AZ3191" s="125"/>
      <c r="BA3191" s="125"/>
    </row>
    <row r="3192" spans="2:53" s="123" customFormat="1">
      <c r="B3192" s="125"/>
      <c r="D3192" s="125"/>
      <c r="I3192" s="125"/>
      <c r="Z3192" s="124"/>
      <c r="AA3192" s="74"/>
      <c r="AB3192" s="240"/>
      <c r="AD3192" s="124"/>
      <c r="AE3192" s="238"/>
      <c r="AF3192" s="239"/>
      <c r="AG3192" s="239"/>
      <c r="AH3192" s="124"/>
      <c r="AI3192" s="74"/>
      <c r="AJ3192" s="240"/>
      <c r="AL3192" s="124"/>
      <c r="AM3192" s="74"/>
      <c r="AP3192" s="125"/>
      <c r="AQ3192" s="241"/>
      <c r="AR3192" s="125"/>
      <c r="AS3192" s="125"/>
      <c r="AT3192" s="238"/>
      <c r="AU3192" s="125"/>
      <c r="AV3192" s="125"/>
      <c r="AW3192" s="125"/>
      <c r="AX3192" s="238"/>
      <c r="AY3192" s="125"/>
      <c r="AZ3192" s="125"/>
      <c r="BA3192" s="125"/>
    </row>
    <row r="3193" spans="2:53" s="123" customFormat="1">
      <c r="B3193" s="125"/>
      <c r="D3193" s="125"/>
      <c r="I3193" s="125"/>
      <c r="Z3193" s="124"/>
      <c r="AA3193" s="74"/>
      <c r="AB3193" s="240"/>
      <c r="AD3193" s="124"/>
      <c r="AE3193" s="238"/>
      <c r="AF3193" s="239"/>
      <c r="AG3193" s="239"/>
      <c r="AH3193" s="124"/>
      <c r="AI3193" s="74"/>
      <c r="AJ3193" s="240"/>
      <c r="AL3193" s="124"/>
      <c r="AM3193" s="74"/>
      <c r="AP3193" s="125"/>
      <c r="AQ3193" s="241"/>
      <c r="AR3193" s="125"/>
      <c r="AS3193" s="125"/>
      <c r="AT3193" s="238"/>
      <c r="AU3193" s="125"/>
      <c r="AV3193" s="125"/>
      <c r="AW3193" s="125"/>
      <c r="AX3193" s="238"/>
      <c r="AY3193" s="125"/>
      <c r="AZ3193" s="125"/>
      <c r="BA3193" s="125"/>
    </row>
    <row r="3194" spans="2:53" s="123" customFormat="1">
      <c r="B3194" s="125"/>
      <c r="D3194" s="125"/>
      <c r="I3194" s="125"/>
      <c r="Z3194" s="124"/>
      <c r="AA3194" s="74"/>
      <c r="AB3194" s="240"/>
      <c r="AD3194" s="124"/>
      <c r="AE3194" s="238"/>
      <c r="AF3194" s="239"/>
      <c r="AG3194" s="239"/>
      <c r="AH3194" s="124"/>
      <c r="AI3194" s="74"/>
      <c r="AJ3194" s="240"/>
      <c r="AL3194" s="124"/>
      <c r="AM3194" s="74"/>
      <c r="AP3194" s="125"/>
      <c r="AQ3194" s="241"/>
      <c r="AR3194" s="125"/>
      <c r="AS3194" s="125"/>
      <c r="AT3194" s="238"/>
      <c r="AU3194" s="125"/>
      <c r="AV3194" s="125"/>
      <c r="AW3194" s="125"/>
      <c r="AX3194" s="238"/>
      <c r="AY3194" s="125"/>
      <c r="AZ3194" s="125"/>
      <c r="BA3194" s="125"/>
    </row>
    <row r="3195" spans="2:53" s="123" customFormat="1">
      <c r="B3195" s="125"/>
      <c r="D3195" s="125"/>
      <c r="I3195" s="125"/>
      <c r="Z3195" s="124"/>
      <c r="AA3195" s="74"/>
      <c r="AB3195" s="240"/>
      <c r="AD3195" s="124"/>
      <c r="AE3195" s="238"/>
      <c r="AF3195" s="239"/>
      <c r="AG3195" s="239"/>
      <c r="AH3195" s="124"/>
      <c r="AI3195" s="74"/>
      <c r="AJ3195" s="240"/>
      <c r="AL3195" s="124"/>
      <c r="AM3195" s="74"/>
      <c r="AP3195" s="125"/>
      <c r="AQ3195" s="241"/>
      <c r="AR3195" s="125"/>
      <c r="AS3195" s="125"/>
      <c r="AT3195" s="238"/>
      <c r="AU3195" s="125"/>
      <c r="AV3195" s="125"/>
      <c r="AW3195" s="125"/>
      <c r="AX3195" s="238"/>
      <c r="AY3195" s="125"/>
      <c r="AZ3195" s="125"/>
      <c r="BA3195" s="125"/>
    </row>
    <row r="3196" spans="2:53" s="123" customFormat="1">
      <c r="B3196" s="125"/>
      <c r="D3196" s="125"/>
      <c r="I3196" s="125"/>
      <c r="Z3196" s="124"/>
      <c r="AA3196" s="74"/>
      <c r="AB3196" s="240"/>
      <c r="AD3196" s="124"/>
      <c r="AE3196" s="238"/>
      <c r="AF3196" s="239"/>
      <c r="AG3196" s="239"/>
      <c r="AH3196" s="124"/>
      <c r="AI3196" s="74"/>
      <c r="AJ3196" s="240"/>
      <c r="AL3196" s="124"/>
      <c r="AM3196" s="74"/>
      <c r="AP3196" s="125"/>
      <c r="AQ3196" s="241"/>
      <c r="AR3196" s="125"/>
      <c r="AS3196" s="125"/>
      <c r="AT3196" s="238"/>
      <c r="AU3196" s="125"/>
      <c r="AV3196" s="125"/>
      <c r="AW3196" s="125"/>
      <c r="AX3196" s="238"/>
      <c r="AY3196" s="125"/>
      <c r="AZ3196" s="125"/>
      <c r="BA3196" s="125"/>
    </row>
    <row r="3197" spans="2:53" s="123" customFormat="1">
      <c r="B3197" s="125"/>
      <c r="D3197" s="125"/>
      <c r="I3197" s="125"/>
      <c r="Z3197" s="124"/>
      <c r="AA3197" s="74"/>
      <c r="AB3197" s="240"/>
      <c r="AD3197" s="124"/>
      <c r="AE3197" s="238"/>
      <c r="AF3197" s="239"/>
      <c r="AG3197" s="239"/>
      <c r="AH3197" s="124"/>
      <c r="AI3197" s="74"/>
      <c r="AJ3197" s="240"/>
      <c r="AL3197" s="124"/>
      <c r="AM3197" s="74"/>
      <c r="AP3197" s="125"/>
      <c r="AQ3197" s="241"/>
      <c r="AR3197" s="125"/>
      <c r="AS3197" s="125"/>
      <c r="AT3197" s="238"/>
      <c r="AU3197" s="125"/>
      <c r="AV3197" s="125"/>
      <c r="AW3197" s="125"/>
      <c r="AX3197" s="238"/>
      <c r="AY3197" s="125"/>
      <c r="AZ3197" s="125"/>
      <c r="BA3197" s="125"/>
    </row>
    <row r="3198" spans="2:53" s="123" customFormat="1">
      <c r="B3198" s="125"/>
      <c r="D3198" s="125"/>
      <c r="I3198" s="125"/>
      <c r="Z3198" s="124"/>
      <c r="AA3198" s="74"/>
      <c r="AB3198" s="240"/>
      <c r="AD3198" s="124"/>
      <c r="AE3198" s="238"/>
      <c r="AF3198" s="239"/>
      <c r="AG3198" s="239"/>
      <c r="AH3198" s="124"/>
      <c r="AI3198" s="74"/>
      <c r="AJ3198" s="240"/>
      <c r="AL3198" s="124"/>
      <c r="AM3198" s="74"/>
      <c r="AP3198" s="125"/>
      <c r="AQ3198" s="241"/>
      <c r="AR3198" s="125"/>
      <c r="AS3198" s="125"/>
      <c r="AT3198" s="238"/>
      <c r="AU3198" s="125"/>
      <c r="AV3198" s="125"/>
      <c r="AW3198" s="125"/>
      <c r="AX3198" s="238"/>
      <c r="AY3198" s="125"/>
      <c r="AZ3198" s="125"/>
      <c r="BA3198" s="125"/>
    </row>
    <row r="3199" spans="2:53" s="123" customFormat="1">
      <c r="B3199" s="125"/>
      <c r="D3199" s="125"/>
      <c r="I3199" s="125"/>
      <c r="Z3199" s="124"/>
      <c r="AA3199" s="74"/>
      <c r="AB3199" s="240"/>
      <c r="AD3199" s="124"/>
      <c r="AE3199" s="238"/>
      <c r="AF3199" s="239"/>
      <c r="AG3199" s="239"/>
      <c r="AH3199" s="124"/>
      <c r="AI3199" s="74"/>
      <c r="AJ3199" s="240"/>
      <c r="AL3199" s="124"/>
      <c r="AM3199" s="74"/>
      <c r="AP3199" s="125"/>
      <c r="AQ3199" s="241"/>
      <c r="AR3199" s="125"/>
      <c r="AS3199" s="125"/>
      <c r="AT3199" s="238"/>
      <c r="AU3199" s="125"/>
      <c r="AV3199" s="125"/>
      <c r="AW3199" s="125"/>
      <c r="AX3199" s="238"/>
      <c r="AY3199" s="125"/>
      <c r="AZ3199" s="125"/>
      <c r="BA3199" s="125"/>
    </row>
    <row r="3200" spans="2:53" s="123" customFormat="1">
      <c r="B3200" s="125"/>
      <c r="D3200" s="125"/>
      <c r="I3200" s="125"/>
      <c r="Z3200" s="124"/>
      <c r="AA3200" s="74"/>
      <c r="AB3200" s="240"/>
      <c r="AD3200" s="124"/>
      <c r="AE3200" s="238"/>
      <c r="AF3200" s="239"/>
      <c r="AG3200" s="239"/>
      <c r="AH3200" s="124"/>
      <c r="AI3200" s="74"/>
      <c r="AJ3200" s="240"/>
      <c r="AL3200" s="124"/>
      <c r="AM3200" s="74"/>
      <c r="AP3200" s="125"/>
      <c r="AQ3200" s="241"/>
      <c r="AR3200" s="125"/>
      <c r="AS3200" s="125"/>
      <c r="AT3200" s="238"/>
      <c r="AU3200" s="125"/>
      <c r="AV3200" s="125"/>
      <c r="AW3200" s="125"/>
      <c r="AX3200" s="238"/>
      <c r="AY3200" s="125"/>
      <c r="AZ3200" s="125"/>
      <c r="BA3200" s="125"/>
    </row>
    <row r="3201" spans="2:53" s="123" customFormat="1">
      <c r="B3201" s="125"/>
      <c r="D3201" s="125"/>
      <c r="I3201" s="125"/>
      <c r="Z3201" s="124"/>
      <c r="AA3201" s="74"/>
      <c r="AB3201" s="240"/>
      <c r="AD3201" s="124"/>
      <c r="AE3201" s="238"/>
      <c r="AF3201" s="239"/>
      <c r="AG3201" s="239"/>
      <c r="AH3201" s="124"/>
      <c r="AI3201" s="74"/>
      <c r="AJ3201" s="240"/>
      <c r="AL3201" s="124"/>
      <c r="AM3201" s="74"/>
      <c r="AP3201" s="125"/>
      <c r="AQ3201" s="241"/>
      <c r="AR3201" s="125"/>
      <c r="AS3201" s="125"/>
      <c r="AT3201" s="238"/>
      <c r="AU3201" s="125"/>
      <c r="AV3201" s="125"/>
      <c r="AW3201" s="125"/>
      <c r="AX3201" s="238"/>
      <c r="AY3201" s="125"/>
      <c r="AZ3201" s="125"/>
      <c r="BA3201" s="125"/>
    </row>
    <row r="3202" spans="2:53" s="123" customFormat="1">
      <c r="B3202" s="125"/>
      <c r="D3202" s="125"/>
      <c r="I3202" s="125"/>
      <c r="Z3202" s="124"/>
      <c r="AA3202" s="74"/>
      <c r="AB3202" s="240"/>
      <c r="AD3202" s="124"/>
      <c r="AE3202" s="238"/>
      <c r="AF3202" s="239"/>
      <c r="AG3202" s="239"/>
      <c r="AH3202" s="124"/>
      <c r="AI3202" s="74"/>
      <c r="AJ3202" s="240"/>
      <c r="AL3202" s="124"/>
      <c r="AM3202" s="74"/>
      <c r="AP3202" s="125"/>
      <c r="AQ3202" s="241"/>
      <c r="AR3202" s="125"/>
      <c r="AS3202" s="125"/>
      <c r="AT3202" s="238"/>
      <c r="AU3202" s="125"/>
      <c r="AV3202" s="125"/>
      <c r="AW3202" s="125"/>
      <c r="AX3202" s="238"/>
      <c r="AY3202" s="125"/>
      <c r="AZ3202" s="125"/>
      <c r="BA3202" s="125"/>
    </row>
    <row r="3203" spans="2:53" s="123" customFormat="1">
      <c r="B3203" s="125"/>
      <c r="D3203" s="125"/>
      <c r="I3203" s="125"/>
      <c r="Z3203" s="124"/>
      <c r="AA3203" s="74"/>
      <c r="AB3203" s="240"/>
      <c r="AD3203" s="124"/>
      <c r="AE3203" s="238"/>
      <c r="AF3203" s="239"/>
      <c r="AG3203" s="239"/>
      <c r="AH3203" s="124"/>
      <c r="AI3203" s="74"/>
      <c r="AJ3203" s="240"/>
      <c r="AL3203" s="124"/>
      <c r="AM3203" s="74"/>
      <c r="AP3203" s="125"/>
      <c r="AQ3203" s="241"/>
      <c r="AR3203" s="125"/>
      <c r="AS3203" s="125"/>
      <c r="AT3203" s="238"/>
      <c r="AU3203" s="125"/>
      <c r="AV3203" s="125"/>
      <c r="AW3203" s="125"/>
      <c r="AX3203" s="238"/>
      <c r="AY3203" s="125"/>
      <c r="AZ3203" s="125"/>
      <c r="BA3203" s="125"/>
    </row>
    <row r="3204" spans="2:53" s="123" customFormat="1">
      <c r="B3204" s="125"/>
      <c r="D3204" s="125"/>
      <c r="I3204" s="125"/>
      <c r="Z3204" s="124"/>
      <c r="AA3204" s="74"/>
      <c r="AB3204" s="240"/>
      <c r="AD3204" s="124"/>
      <c r="AE3204" s="238"/>
      <c r="AF3204" s="239"/>
      <c r="AG3204" s="239"/>
      <c r="AH3204" s="124"/>
      <c r="AI3204" s="74"/>
      <c r="AJ3204" s="240"/>
      <c r="AL3204" s="124"/>
      <c r="AM3204" s="74"/>
      <c r="AP3204" s="125"/>
      <c r="AQ3204" s="241"/>
      <c r="AR3204" s="125"/>
      <c r="AS3204" s="125"/>
      <c r="AT3204" s="238"/>
      <c r="AU3204" s="125"/>
      <c r="AV3204" s="125"/>
      <c r="AW3204" s="125"/>
      <c r="AX3204" s="238"/>
      <c r="AY3204" s="125"/>
      <c r="AZ3204" s="125"/>
      <c r="BA3204" s="125"/>
    </row>
    <row r="3205" spans="2:53" s="123" customFormat="1">
      <c r="B3205" s="125"/>
      <c r="D3205" s="125"/>
      <c r="I3205" s="125"/>
      <c r="Z3205" s="124"/>
      <c r="AA3205" s="74"/>
      <c r="AB3205" s="240"/>
      <c r="AD3205" s="124"/>
      <c r="AE3205" s="238"/>
      <c r="AF3205" s="239"/>
      <c r="AG3205" s="239"/>
      <c r="AH3205" s="124"/>
      <c r="AI3205" s="74"/>
      <c r="AJ3205" s="240"/>
      <c r="AL3205" s="124"/>
      <c r="AM3205" s="74"/>
      <c r="AP3205" s="125"/>
      <c r="AQ3205" s="241"/>
      <c r="AR3205" s="125"/>
      <c r="AS3205" s="125"/>
      <c r="AT3205" s="238"/>
      <c r="AU3205" s="125"/>
      <c r="AV3205" s="125"/>
      <c r="AW3205" s="125"/>
      <c r="AX3205" s="238"/>
      <c r="AY3205" s="125"/>
      <c r="AZ3205" s="125"/>
      <c r="BA3205" s="125"/>
    </row>
    <row r="3206" spans="2:53" s="123" customFormat="1">
      <c r="B3206" s="125"/>
      <c r="D3206" s="125"/>
      <c r="I3206" s="125"/>
      <c r="Z3206" s="124"/>
      <c r="AA3206" s="74"/>
      <c r="AB3206" s="240"/>
      <c r="AD3206" s="124"/>
      <c r="AE3206" s="238"/>
      <c r="AF3206" s="239"/>
      <c r="AG3206" s="239"/>
      <c r="AH3206" s="124"/>
      <c r="AI3206" s="74"/>
      <c r="AJ3206" s="240"/>
      <c r="AL3206" s="124"/>
      <c r="AM3206" s="74"/>
      <c r="AP3206" s="125"/>
      <c r="AQ3206" s="241"/>
      <c r="AR3206" s="125"/>
      <c r="AS3206" s="125"/>
      <c r="AT3206" s="238"/>
      <c r="AU3206" s="125"/>
      <c r="AV3206" s="125"/>
      <c r="AW3206" s="125"/>
      <c r="AX3206" s="238"/>
      <c r="AY3206" s="125"/>
      <c r="AZ3206" s="125"/>
      <c r="BA3206" s="125"/>
    </row>
    <row r="3207" spans="2:53" s="123" customFormat="1">
      <c r="B3207" s="125"/>
      <c r="D3207" s="125"/>
      <c r="I3207" s="125"/>
      <c r="Z3207" s="124"/>
      <c r="AA3207" s="74"/>
      <c r="AB3207" s="240"/>
      <c r="AD3207" s="124"/>
      <c r="AE3207" s="238"/>
      <c r="AF3207" s="239"/>
      <c r="AG3207" s="239"/>
      <c r="AH3207" s="124"/>
      <c r="AI3207" s="74"/>
      <c r="AJ3207" s="240"/>
      <c r="AL3207" s="124"/>
      <c r="AM3207" s="74"/>
      <c r="AP3207" s="125"/>
      <c r="AQ3207" s="241"/>
      <c r="AR3207" s="125"/>
      <c r="AS3207" s="125"/>
      <c r="AT3207" s="238"/>
      <c r="AU3207" s="125"/>
      <c r="AV3207" s="125"/>
      <c r="AW3207" s="125"/>
      <c r="AX3207" s="238"/>
      <c r="AY3207" s="125"/>
      <c r="AZ3207" s="125"/>
      <c r="BA3207" s="125"/>
    </row>
    <row r="3208" spans="2:53" s="123" customFormat="1">
      <c r="B3208" s="125"/>
      <c r="D3208" s="125"/>
      <c r="I3208" s="125"/>
      <c r="Z3208" s="124"/>
      <c r="AA3208" s="74"/>
      <c r="AB3208" s="240"/>
      <c r="AD3208" s="124"/>
      <c r="AE3208" s="238"/>
      <c r="AF3208" s="239"/>
      <c r="AG3208" s="239"/>
      <c r="AH3208" s="124"/>
      <c r="AI3208" s="74"/>
      <c r="AJ3208" s="240"/>
      <c r="AL3208" s="124"/>
      <c r="AM3208" s="74"/>
      <c r="AP3208" s="125"/>
      <c r="AQ3208" s="241"/>
      <c r="AR3208" s="125"/>
      <c r="AS3208" s="125"/>
      <c r="AT3208" s="238"/>
      <c r="AU3208" s="125"/>
      <c r="AV3208" s="125"/>
      <c r="AW3208" s="125"/>
      <c r="AX3208" s="238"/>
      <c r="AY3208" s="125"/>
      <c r="AZ3208" s="125"/>
      <c r="BA3208" s="125"/>
    </row>
    <row r="3209" spans="2:53" s="123" customFormat="1">
      <c r="B3209" s="125"/>
      <c r="D3209" s="125"/>
      <c r="I3209" s="125"/>
      <c r="Z3209" s="124"/>
      <c r="AA3209" s="74"/>
      <c r="AB3209" s="240"/>
      <c r="AD3209" s="124"/>
      <c r="AE3209" s="238"/>
      <c r="AF3209" s="239"/>
      <c r="AG3209" s="239"/>
      <c r="AH3209" s="124"/>
      <c r="AI3209" s="74"/>
      <c r="AJ3209" s="240"/>
      <c r="AL3209" s="124"/>
      <c r="AM3209" s="74"/>
      <c r="AP3209" s="125"/>
      <c r="AQ3209" s="241"/>
      <c r="AR3209" s="125"/>
      <c r="AS3209" s="125"/>
      <c r="AT3209" s="238"/>
      <c r="AU3209" s="125"/>
      <c r="AV3209" s="125"/>
      <c r="AW3209" s="125"/>
      <c r="AX3209" s="238"/>
      <c r="AY3209" s="125"/>
      <c r="AZ3209" s="125"/>
      <c r="BA3209" s="125"/>
    </row>
    <row r="3210" spans="2:53" s="123" customFormat="1">
      <c r="B3210" s="125"/>
      <c r="D3210" s="125"/>
      <c r="I3210" s="125"/>
      <c r="Z3210" s="124"/>
      <c r="AA3210" s="74"/>
      <c r="AB3210" s="240"/>
      <c r="AD3210" s="124"/>
      <c r="AE3210" s="238"/>
      <c r="AF3210" s="239"/>
      <c r="AG3210" s="239"/>
      <c r="AH3210" s="124"/>
      <c r="AI3210" s="74"/>
      <c r="AJ3210" s="240"/>
      <c r="AL3210" s="124"/>
      <c r="AM3210" s="74"/>
      <c r="AP3210" s="125"/>
      <c r="AQ3210" s="241"/>
      <c r="AR3210" s="125"/>
      <c r="AS3210" s="125"/>
      <c r="AT3210" s="238"/>
      <c r="AU3210" s="125"/>
      <c r="AV3210" s="125"/>
      <c r="AW3210" s="125"/>
      <c r="AX3210" s="238"/>
      <c r="AY3210" s="125"/>
      <c r="AZ3210" s="125"/>
      <c r="BA3210" s="125"/>
    </row>
    <row r="3211" spans="2:53" s="123" customFormat="1">
      <c r="B3211" s="125"/>
      <c r="D3211" s="125"/>
      <c r="I3211" s="125"/>
      <c r="Z3211" s="124"/>
      <c r="AA3211" s="74"/>
      <c r="AB3211" s="240"/>
      <c r="AD3211" s="124"/>
      <c r="AE3211" s="238"/>
      <c r="AF3211" s="239"/>
      <c r="AG3211" s="239"/>
      <c r="AH3211" s="124"/>
      <c r="AI3211" s="74"/>
      <c r="AJ3211" s="240"/>
      <c r="AL3211" s="124"/>
      <c r="AM3211" s="74"/>
      <c r="AP3211" s="125"/>
      <c r="AQ3211" s="241"/>
      <c r="AR3211" s="125"/>
      <c r="AS3211" s="125"/>
      <c r="AT3211" s="238"/>
      <c r="AU3211" s="125"/>
      <c r="AV3211" s="125"/>
      <c r="AW3211" s="125"/>
      <c r="AX3211" s="238"/>
      <c r="AY3211" s="125"/>
      <c r="AZ3211" s="125"/>
      <c r="BA3211" s="125"/>
    </row>
    <row r="3212" spans="2:53" s="123" customFormat="1">
      <c r="B3212" s="125"/>
      <c r="D3212" s="125"/>
      <c r="I3212" s="125"/>
      <c r="Z3212" s="124"/>
      <c r="AA3212" s="74"/>
      <c r="AB3212" s="240"/>
      <c r="AD3212" s="124"/>
      <c r="AE3212" s="238"/>
      <c r="AF3212" s="239"/>
      <c r="AG3212" s="239"/>
      <c r="AH3212" s="124"/>
      <c r="AI3212" s="74"/>
      <c r="AJ3212" s="240"/>
      <c r="AL3212" s="124"/>
      <c r="AM3212" s="74"/>
      <c r="AP3212" s="125"/>
      <c r="AQ3212" s="241"/>
      <c r="AR3212" s="125"/>
      <c r="AS3212" s="125"/>
      <c r="AT3212" s="238"/>
      <c r="AU3212" s="125"/>
      <c r="AV3212" s="125"/>
      <c r="AW3212" s="125"/>
      <c r="AX3212" s="238"/>
      <c r="AY3212" s="125"/>
      <c r="AZ3212" s="125"/>
      <c r="BA3212" s="125"/>
    </row>
    <row r="3213" spans="2:53" s="123" customFormat="1">
      <c r="B3213" s="125"/>
      <c r="D3213" s="125"/>
      <c r="I3213" s="125"/>
      <c r="Z3213" s="124"/>
      <c r="AA3213" s="74"/>
      <c r="AB3213" s="240"/>
      <c r="AD3213" s="124"/>
      <c r="AE3213" s="238"/>
      <c r="AF3213" s="239"/>
      <c r="AG3213" s="239"/>
      <c r="AH3213" s="124"/>
      <c r="AI3213" s="74"/>
      <c r="AJ3213" s="240"/>
      <c r="AL3213" s="124"/>
      <c r="AM3213" s="74"/>
      <c r="AP3213" s="125"/>
      <c r="AQ3213" s="241"/>
      <c r="AR3213" s="125"/>
      <c r="AS3213" s="125"/>
      <c r="AT3213" s="238"/>
      <c r="AU3213" s="125"/>
      <c r="AV3213" s="125"/>
      <c r="AW3213" s="125"/>
      <c r="AX3213" s="238"/>
      <c r="AY3213" s="125"/>
      <c r="AZ3213" s="125"/>
      <c r="BA3213" s="125"/>
    </row>
    <row r="3214" spans="2:53" s="123" customFormat="1">
      <c r="B3214" s="125"/>
      <c r="D3214" s="125"/>
      <c r="I3214" s="125"/>
      <c r="Z3214" s="124"/>
      <c r="AA3214" s="74"/>
      <c r="AB3214" s="240"/>
      <c r="AD3214" s="124"/>
      <c r="AE3214" s="238"/>
      <c r="AF3214" s="239"/>
      <c r="AG3214" s="239"/>
      <c r="AH3214" s="124"/>
      <c r="AI3214" s="74"/>
      <c r="AJ3214" s="240"/>
      <c r="AL3214" s="124"/>
      <c r="AM3214" s="74"/>
      <c r="AP3214" s="125"/>
      <c r="AQ3214" s="241"/>
      <c r="AR3214" s="125"/>
      <c r="AS3214" s="125"/>
      <c r="AT3214" s="238"/>
      <c r="AU3214" s="125"/>
      <c r="AV3214" s="125"/>
      <c r="AW3214" s="125"/>
      <c r="AX3214" s="238"/>
      <c r="AY3214" s="125"/>
      <c r="AZ3214" s="125"/>
      <c r="BA3214" s="125"/>
    </row>
    <row r="3215" spans="2:53" s="123" customFormat="1">
      <c r="B3215" s="125"/>
      <c r="D3215" s="125"/>
      <c r="I3215" s="125"/>
      <c r="Z3215" s="124"/>
      <c r="AA3215" s="74"/>
      <c r="AB3215" s="240"/>
      <c r="AD3215" s="124"/>
      <c r="AE3215" s="238"/>
      <c r="AF3215" s="239"/>
      <c r="AG3215" s="239"/>
      <c r="AH3215" s="124"/>
      <c r="AI3215" s="74"/>
      <c r="AJ3215" s="240"/>
      <c r="AL3215" s="124"/>
      <c r="AM3215" s="74"/>
      <c r="AP3215" s="125"/>
      <c r="AQ3215" s="241"/>
      <c r="AR3215" s="125"/>
      <c r="AS3215" s="125"/>
      <c r="AT3215" s="238"/>
      <c r="AU3215" s="125"/>
      <c r="AV3215" s="125"/>
      <c r="AW3215" s="125"/>
      <c r="AX3215" s="238"/>
      <c r="AY3215" s="125"/>
      <c r="AZ3215" s="125"/>
      <c r="BA3215" s="125"/>
    </row>
    <row r="3216" spans="2:53" s="123" customFormat="1">
      <c r="B3216" s="125"/>
      <c r="D3216" s="125"/>
      <c r="I3216" s="125"/>
      <c r="Z3216" s="124"/>
      <c r="AA3216" s="74"/>
      <c r="AB3216" s="240"/>
      <c r="AD3216" s="124"/>
      <c r="AE3216" s="238"/>
      <c r="AF3216" s="239"/>
      <c r="AG3216" s="239"/>
      <c r="AH3216" s="124"/>
      <c r="AI3216" s="74"/>
      <c r="AJ3216" s="240"/>
      <c r="AL3216" s="124"/>
      <c r="AM3216" s="74"/>
      <c r="AP3216" s="125"/>
      <c r="AQ3216" s="241"/>
      <c r="AR3216" s="125"/>
      <c r="AS3216" s="125"/>
      <c r="AT3216" s="238"/>
      <c r="AU3216" s="125"/>
      <c r="AV3216" s="125"/>
      <c r="AW3216" s="125"/>
      <c r="AX3216" s="238"/>
      <c r="AY3216" s="125"/>
      <c r="AZ3216" s="125"/>
      <c r="BA3216" s="125"/>
    </row>
    <row r="3217" spans="2:53" s="123" customFormat="1">
      <c r="B3217" s="125"/>
      <c r="D3217" s="125"/>
      <c r="I3217" s="125"/>
      <c r="Z3217" s="124"/>
      <c r="AA3217" s="74"/>
      <c r="AB3217" s="240"/>
      <c r="AD3217" s="124"/>
      <c r="AE3217" s="238"/>
      <c r="AF3217" s="239"/>
      <c r="AG3217" s="239"/>
      <c r="AH3217" s="124"/>
      <c r="AI3217" s="74"/>
      <c r="AJ3217" s="240"/>
      <c r="AL3217" s="124"/>
      <c r="AM3217" s="74"/>
      <c r="AP3217" s="125"/>
      <c r="AQ3217" s="241"/>
      <c r="AR3217" s="125"/>
      <c r="AS3217" s="125"/>
      <c r="AT3217" s="238"/>
      <c r="AU3217" s="125"/>
      <c r="AV3217" s="125"/>
      <c r="AW3217" s="125"/>
      <c r="AX3217" s="238"/>
      <c r="AY3217" s="125"/>
      <c r="AZ3217" s="125"/>
      <c r="BA3217" s="125"/>
    </row>
    <row r="3218" spans="2:53" s="123" customFormat="1">
      <c r="B3218" s="125"/>
      <c r="D3218" s="125"/>
      <c r="I3218" s="125"/>
      <c r="Z3218" s="124"/>
      <c r="AA3218" s="74"/>
      <c r="AB3218" s="240"/>
      <c r="AD3218" s="124"/>
      <c r="AE3218" s="238"/>
      <c r="AF3218" s="239"/>
      <c r="AG3218" s="239"/>
      <c r="AH3218" s="124"/>
      <c r="AI3218" s="74"/>
      <c r="AJ3218" s="240"/>
      <c r="AL3218" s="124"/>
      <c r="AM3218" s="74"/>
      <c r="AP3218" s="125"/>
      <c r="AQ3218" s="241"/>
      <c r="AR3218" s="125"/>
      <c r="AS3218" s="125"/>
      <c r="AT3218" s="238"/>
      <c r="AU3218" s="125"/>
      <c r="AV3218" s="125"/>
      <c r="AW3218" s="125"/>
      <c r="AX3218" s="238"/>
      <c r="AY3218" s="125"/>
      <c r="AZ3218" s="125"/>
      <c r="BA3218" s="125"/>
    </row>
    <row r="3219" spans="2:53" s="123" customFormat="1">
      <c r="B3219" s="125"/>
      <c r="D3219" s="125"/>
      <c r="I3219" s="125"/>
      <c r="Z3219" s="124"/>
      <c r="AA3219" s="74"/>
      <c r="AB3219" s="240"/>
      <c r="AD3219" s="124"/>
      <c r="AE3219" s="238"/>
      <c r="AF3219" s="239"/>
      <c r="AG3219" s="239"/>
      <c r="AH3219" s="124"/>
      <c r="AI3219" s="74"/>
      <c r="AJ3219" s="240"/>
      <c r="AL3219" s="124"/>
      <c r="AM3219" s="74"/>
      <c r="AP3219" s="125"/>
      <c r="AQ3219" s="241"/>
      <c r="AR3219" s="125"/>
      <c r="AS3219" s="125"/>
      <c r="AT3219" s="238"/>
      <c r="AU3219" s="125"/>
      <c r="AV3219" s="125"/>
      <c r="AW3219" s="125"/>
      <c r="AX3219" s="238"/>
      <c r="AY3219" s="125"/>
      <c r="AZ3219" s="125"/>
      <c r="BA3219" s="125"/>
    </row>
    <row r="3220" spans="2:53" s="123" customFormat="1">
      <c r="B3220" s="125"/>
      <c r="D3220" s="125"/>
      <c r="I3220" s="125"/>
      <c r="Z3220" s="124"/>
      <c r="AA3220" s="74"/>
      <c r="AB3220" s="240"/>
      <c r="AD3220" s="124"/>
      <c r="AE3220" s="238"/>
      <c r="AF3220" s="239"/>
      <c r="AG3220" s="239"/>
      <c r="AH3220" s="124"/>
      <c r="AI3220" s="74"/>
      <c r="AJ3220" s="240"/>
      <c r="AL3220" s="124"/>
      <c r="AM3220" s="74"/>
      <c r="AP3220" s="125"/>
      <c r="AQ3220" s="241"/>
      <c r="AR3220" s="125"/>
      <c r="AS3220" s="125"/>
      <c r="AT3220" s="238"/>
      <c r="AU3220" s="125"/>
      <c r="AV3220" s="125"/>
      <c r="AW3220" s="125"/>
      <c r="AX3220" s="238"/>
      <c r="AY3220" s="125"/>
      <c r="AZ3220" s="125"/>
      <c r="BA3220" s="125"/>
    </row>
    <row r="3221" spans="2:53" s="123" customFormat="1">
      <c r="B3221" s="125"/>
      <c r="D3221" s="125"/>
      <c r="I3221" s="125"/>
      <c r="Z3221" s="124"/>
      <c r="AA3221" s="74"/>
      <c r="AB3221" s="240"/>
      <c r="AD3221" s="124"/>
      <c r="AE3221" s="238"/>
      <c r="AF3221" s="239"/>
      <c r="AG3221" s="239"/>
      <c r="AH3221" s="124"/>
      <c r="AI3221" s="74"/>
      <c r="AJ3221" s="240"/>
      <c r="AL3221" s="124"/>
      <c r="AM3221" s="74"/>
      <c r="AP3221" s="125"/>
      <c r="AQ3221" s="241"/>
      <c r="AR3221" s="125"/>
      <c r="AS3221" s="125"/>
      <c r="AT3221" s="238"/>
      <c r="AU3221" s="125"/>
      <c r="AV3221" s="125"/>
      <c r="AW3221" s="125"/>
      <c r="AX3221" s="238"/>
      <c r="AY3221" s="125"/>
      <c r="AZ3221" s="125"/>
      <c r="BA3221" s="125"/>
    </row>
    <row r="3222" spans="2:53" s="123" customFormat="1">
      <c r="B3222" s="125"/>
      <c r="D3222" s="125"/>
      <c r="I3222" s="125"/>
      <c r="Z3222" s="124"/>
      <c r="AA3222" s="74"/>
      <c r="AB3222" s="240"/>
      <c r="AD3222" s="124"/>
      <c r="AE3222" s="238"/>
      <c r="AF3222" s="239"/>
      <c r="AG3222" s="239"/>
      <c r="AH3222" s="124"/>
      <c r="AI3222" s="74"/>
      <c r="AJ3222" s="240"/>
      <c r="AL3222" s="124"/>
      <c r="AM3222" s="74"/>
      <c r="AP3222" s="125"/>
      <c r="AQ3222" s="241"/>
      <c r="AR3222" s="125"/>
      <c r="AS3222" s="125"/>
      <c r="AT3222" s="238"/>
      <c r="AU3222" s="125"/>
      <c r="AV3222" s="125"/>
      <c r="AW3222" s="125"/>
      <c r="AX3222" s="238"/>
      <c r="AY3222" s="125"/>
      <c r="AZ3222" s="125"/>
      <c r="BA3222" s="125"/>
    </row>
    <row r="3223" spans="2:53" s="123" customFormat="1">
      <c r="B3223" s="125"/>
      <c r="D3223" s="125"/>
      <c r="I3223" s="125"/>
      <c r="Z3223" s="124"/>
      <c r="AA3223" s="74"/>
      <c r="AB3223" s="240"/>
      <c r="AD3223" s="124"/>
      <c r="AE3223" s="238"/>
      <c r="AF3223" s="239"/>
      <c r="AG3223" s="239"/>
      <c r="AH3223" s="124"/>
      <c r="AI3223" s="74"/>
      <c r="AJ3223" s="240"/>
      <c r="AL3223" s="124"/>
      <c r="AM3223" s="74"/>
      <c r="AP3223" s="125"/>
      <c r="AQ3223" s="241"/>
      <c r="AR3223" s="125"/>
      <c r="AS3223" s="125"/>
      <c r="AT3223" s="238"/>
      <c r="AU3223" s="125"/>
      <c r="AV3223" s="125"/>
      <c r="AW3223" s="125"/>
      <c r="AX3223" s="238"/>
      <c r="AY3223" s="125"/>
      <c r="AZ3223" s="125"/>
      <c r="BA3223" s="125"/>
    </row>
    <row r="3224" spans="2:53" s="123" customFormat="1">
      <c r="B3224" s="125"/>
      <c r="D3224" s="125"/>
      <c r="I3224" s="125"/>
      <c r="Z3224" s="124"/>
      <c r="AA3224" s="74"/>
      <c r="AB3224" s="240"/>
      <c r="AD3224" s="124"/>
      <c r="AE3224" s="238"/>
      <c r="AF3224" s="239"/>
      <c r="AG3224" s="239"/>
      <c r="AH3224" s="124"/>
      <c r="AI3224" s="74"/>
      <c r="AJ3224" s="240"/>
      <c r="AL3224" s="124"/>
      <c r="AM3224" s="74"/>
      <c r="AP3224" s="125"/>
      <c r="AQ3224" s="241"/>
      <c r="AR3224" s="125"/>
      <c r="AS3224" s="125"/>
      <c r="AT3224" s="238"/>
      <c r="AU3224" s="125"/>
      <c r="AV3224" s="125"/>
      <c r="AW3224" s="125"/>
      <c r="AX3224" s="238"/>
      <c r="AY3224" s="125"/>
      <c r="AZ3224" s="125"/>
      <c r="BA3224" s="125"/>
    </row>
    <row r="3225" spans="2:53" s="123" customFormat="1">
      <c r="B3225" s="125"/>
      <c r="D3225" s="125"/>
      <c r="I3225" s="125"/>
      <c r="Z3225" s="124"/>
      <c r="AA3225" s="74"/>
      <c r="AB3225" s="240"/>
      <c r="AD3225" s="124"/>
      <c r="AE3225" s="238"/>
      <c r="AF3225" s="239"/>
      <c r="AG3225" s="239"/>
      <c r="AH3225" s="124"/>
      <c r="AI3225" s="74"/>
      <c r="AJ3225" s="240"/>
      <c r="AL3225" s="124"/>
      <c r="AM3225" s="74"/>
      <c r="AP3225" s="125"/>
      <c r="AQ3225" s="241"/>
      <c r="AR3225" s="125"/>
      <c r="AS3225" s="125"/>
      <c r="AT3225" s="238"/>
      <c r="AU3225" s="125"/>
      <c r="AV3225" s="125"/>
      <c r="AW3225" s="125"/>
      <c r="AX3225" s="238"/>
      <c r="AY3225" s="125"/>
      <c r="AZ3225" s="125"/>
      <c r="BA3225" s="125"/>
    </row>
    <row r="3226" spans="2:53" s="123" customFormat="1">
      <c r="B3226" s="125"/>
      <c r="D3226" s="125"/>
      <c r="I3226" s="125"/>
      <c r="Z3226" s="124"/>
      <c r="AA3226" s="74"/>
      <c r="AB3226" s="240"/>
      <c r="AD3226" s="124"/>
      <c r="AE3226" s="238"/>
      <c r="AF3226" s="239"/>
      <c r="AG3226" s="239"/>
      <c r="AH3226" s="124"/>
      <c r="AI3226" s="74"/>
      <c r="AJ3226" s="240"/>
      <c r="AL3226" s="124"/>
      <c r="AM3226" s="74"/>
      <c r="AP3226" s="125"/>
      <c r="AQ3226" s="241"/>
      <c r="AR3226" s="125"/>
      <c r="AS3226" s="125"/>
      <c r="AT3226" s="238"/>
      <c r="AU3226" s="125"/>
      <c r="AV3226" s="125"/>
      <c r="AW3226" s="125"/>
      <c r="AX3226" s="238"/>
      <c r="AY3226" s="125"/>
      <c r="AZ3226" s="125"/>
      <c r="BA3226" s="125"/>
    </row>
    <row r="3227" spans="2:53" s="123" customFormat="1">
      <c r="B3227" s="125"/>
      <c r="D3227" s="125"/>
      <c r="I3227" s="125"/>
      <c r="Z3227" s="124"/>
      <c r="AA3227" s="74"/>
      <c r="AB3227" s="240"/>
      <c r="AD3227" s="124"/>
      <c r="AE3227" s="238"/>
      <c r="AF3227" s="239"/>
      <c r="AG3227" s="239"/>
      <c r="AH3227" s="124"/>
      <c r="AI3227" s="74"/>
      <c r="AJ3227" s="240"/>
      <c r="AL3227" s="124"/>
      <c r="AM3227" s="74"/>
      <c r="AP3227" s="125"/>
      <c r="AQ3227" s="241"/>
      <c r="AR3227" s="125"/>
      <c r="AS3227" s="125"/>
      <c r="AT3227" s="238"/>
      <c r="AU3227" s="125"/>
      <c r="AV3227" s="125"/>
      <c r="AW3227" s="125"/>
      <c r="AX3227" s="238"/>
      <c r="AY3227" s="125"/>
      <c r="AZ3227" s="125"/>
      <c r="BA3227" s="125"/>
    </row>
    <row r="3228" spans="2:53" s="123" customFormat="1">
      <c r="B3228" s="125"/>
      <c r="D3228" s="125"/>
      <c r="I3228" s="125"/>
      <c r="Z3228" s="124"/>
      <c r="AA3228" s="74"/>
      <c r="AB3228" s="240"/>
      <c r="AD3228" s="124"/>
      <c r="AE3228" s="238"/>
      <c r="AF3228" s="239"/>
      <c r="AG3228" s="239"/>
      <c r="AH3228" s="124"/>
      <c r="AI3228" s="74"/>
      <c r="AJ3228" s="240"/>
      <c r="AL3228" s="124"/>
      <c r="AM3228" s="74"/>
      <c r="AP3228" s="125"/>
      <c r="AQ3228" s="241"/>
      <c r="AR3228" s="125"/>
      <c r="AS3228" s="125"/>
      <c r="AT3228" s="238"/>
      <c r="AU3228" s="125"/>
      <c r="AV3228" s="125"/>
      <c r="AW3228" s="125"/>
      <c r="AX3228" s="238"/>
      <c r="AY3228" s="125"/>
      <c r="AZ3228" s="125"/>
      <c r="BA3228" s="125"/>
    </row>
    <row r="3229" spans="2:53" s="123" customFormat="1">
      <c r="B3229" s="125"/>
      <c r="D3229" s="125"/>
      <c r="I3229" s="125"/>
      <c r="Z3229" s="124"/>
      <c r="AA3229" s="74"/>
      <c r="AB3229" s="240"/>
      <c r="AD3229" s="124"/>
      <c r="AE3229" s="238"/>
      <c r="AF3229" s="239"/>
      <c r="AG3229" s="239"/>
      <c r="AH3229" s="124"/>
      <c r="AI3229" s="74"/>
      <c r="AJ3229" s="240"/>
      <c r="AL3229" s="124"/>
      <c r="AM3229" s="74"/>
      <c r="AP3229" s="125"/>
      <c r="AQ3229" s="241"/>
      <c r="AR3229" s="125"/>
      <c r="AS3229" s="125"/>
      <c r="AT3229" s="238"/>
      <c r="AU3229" s="125"/>
      <c r="AV3229" s="125"/>
      <c r="AW3229" s="125"/>
      <c r="AX3229" s="238"/>
      <c r="AY3229" s="125"/>
      <c r="AZ3229" s="125"/>
      <c r="BA3229" s="125"/>
    </row>
    <row r="3230" spans="2:53" s="123" customFormat="1">
      <c r="B3230" s="125"/>
      <c r="D3230" s="125"/>
      <c r="I3230" s="125"/>
      <c r="Z3230" s="124"/>
      <c r="AA3230" s="74"/>
      <c r="AB3230" s="240"/>
      <c r="AD3230" s="124"/>
      <c r="AE3230" s="238"/>
      <c r="AF3230" s="239"/>
      <c r="AG3230" s="239"/>
      <c r="AH3230" s="124"/>
      <c r="AI3230" s="74"/>
      <c r="AJ3230" s="240"/>
      <c r="AL3230" s="124"/>
      <c r="AM3230" s="74"/>
      <c r="AP3230" s="125"/>
      <c r="AQ3230" s="241"/>
      <c r="AR3230" s="125"/>
      <c r="AS3230" s="125"/>
      <c r="AT3230" s="238"/>
      <c r="AU3230" s="125"/>
      <c r="AV3230" s="125"/>
      <c r="AW3230" s="125"/>
      <c r="AX3230" s="238"/>
      <c r="AY3230" s="125"/>
      <c r="AZ3230" s="125"/>
      <c r="BA3230" s="125"/>
    </row>
    <row r="3231" spans="2:53" s="123" customFormat="1">
      <c r="B3231" s="125"/>
      <c r="D3231" s="125"/>
      <c r="I3231" s="125"/>
      <c r="Z3231" s="124"/>
      <c r="AA3231" s="74"/>
      <c r="AB3231" s="240"/>
      <c r="AD3231" s="124"/>
      <c r="AE3231" s="238"/>
      <c r="AF3231" s="239"/>
      <c r="AG3231" s="239"/>
      <c r="AH3231" s="124"/>
      <c r="AI3231" s="74"/>
      <c r="AJ3231" s="240"/>
      <c r="AL3231" s="124"/>
      <c r="AM3231" s="74"/>
      <c r="AP3231" s="125"/>
      <c r="AQ3231" s="241"/>
      <c r="AR3231" s="125"/>
      <c r="AS3231" s="125"/>
      <c r="AT3231" s="238"/>
      <c r="AU3231" s="125"/>
      <c r="AV3231" s="125"/>
      <c r="AW3231" s="125"/>
      <c r="AX3231" s="238"/>
      <c r="AY3231" s="125"/>
      <c r="AZ3231" s="125"/>
      <c r="BA3231" s="125"/>
    </row>
    <row r="3232" spans="2:53" s="123" customFormat="1">
      <c r="B3232" s="125"/>
      <c r="D3232" s="125"/>
      <c r="I3232" s="125"/>
      <c r="Z3232" s="124"/>
      <c r="AA3232" s="74"/>
      <c r="AB3232" s="240"/>
      <c r="AD3232" s="124"/>
      <c r="AE3232" s="238"/>
      <c r="AF3232" s="239"/>
      <c r="AG3232" s="239"/>
      <c r="AH3232" s="124"/>
      <c r="AI3232" s="74"/>
      <c r="AJ3232" s="240"/>
      <c r="AL3232" s="124"/>
      <c r="AM3232" s="74"/>
      <c r="AP3232" s="125"/>
      <c r="AQ3232" s="241"/>
      <c r="AR3232" s="125"/>
      <c r="AS3232" s="125"/>
      <c r="AT3232" s="238"/>
      <c r="AU3232" s="125"/>
      <c r="AV3232" s="125"/>
      <c r="AW3232" s="125"/>
      <c r="AX3232" s="238"/>
      <c r="AY3232" s="125"/>
      <c r="AZ3232" s="125"/>
      <c r="BA3232" s="125"/>
    </row>
    <row r="3233" spans="2:53" s="123" customFormat="1">
      <c r="B3233" s="125"/>
      <c r="D3233" s="125"/>
      <c r="I3233" s="125"/>
      <c r="Z3233" s="124"/>
      <c r="AA3233" s="74"/>
      <c r="AB3233" s="240"/>
      <c r="AD3233" s="124"/>
      <c r="AE3233" s="238"/>
      <c r="AF3233" s="239"/>
      <c r="AG3233" s="239"/>
      <c r="AH3233" s="124"/>
      <c r="AI3233" s="74"/>
      <c r="AJ3233" s="240"/>
      <c r="AL3233" s="124"/>
      <c r="AM3233" s="74"/>
      <c r="AP3233" s="125"/>
      <c r="AQ3233" s="241"/>
      <c r="AR3233" s="125"/>
      <c r="AS3233" s="125"/>
      <c r="AT3233" s="238"/>
      <c r="AU3233" s="125"/>
      <c r="AV3233" s="125"/>
      <c r="AW3233" s="125"/>
      <c r="AX3233" s="238"/>
      <c r="AY3233" s="125"/>
      <c r="AZ3233" s="125"/>
      <c r="BA3233" s="125"/>
    </row>
    <row r="3234" spans="2:53" s="123" customFormat="1">
      <c r="B3234" s="125"/>
      <c r="D3234" s="125"/>
      <c r="I3234" s="125"/>
      <c r="Z3234" s="124"/>
      <c r="AA3234" s="74"/>
      <c r="AB3234" s="240"/>
      <c r="AD3234" s="124"/>
      <c r="AE3234" s="238"/>
      <c r="AF3234" s="239"/>
      <c r="AG3234" s="239"/>
      <c r="AH3234" s="124"/>
      <c r="AI3234" s="74"/>
      <c r="AJ3234" s="240"/>
      <c r="AL3234" s="124"/>
      <c r="AM3234" s="74"/>
      <c r="AP3234" s="125"/>
      <c r="AQ3234" s="241"/>
      <c r="AR3234" s="125"/>
      <c r="AS3234" s="125"/>
      <c r="AT3234" s="238"/>
      <c r="AU3234" s="125"/>
      <c r="AV3234" s="125"/>
      <c r="AW3234" s="125"/>
      <c r="AX3234" s="238"/>
      <c r="AY3234" s="125"/>
      <c r="AZ3234" s="125"/>
      <c r="BA3234" s="125"/>
    </row>
    <row r="3235" spans="2:53" s="123" customFormat="1">
      <c r="B3235" s="125"/>
      <c r="D3235" s="125"/>
      <c r="I3235" s="125"/>
      <c r="Z3235" s="124"/>
      <c r="AA3235" s="74"/>
      <c r="AB3235" s="240"/>
      <c r="AD3235" s="124"/>
      <c r="AE3235" s="238"/>
      <c r="AF3235" s="239"/>
      <c r="AG3235" s="239"/>
      <c r="AH3235" s="124"/>
      <c r="AI3235" s="74"/>
      <c r="AJ3235" s="240"/>
      <c r="AL3235" s="124"/>
      <c r="AM3235" s="74"/>
      <c r="AP3235" s="125"/>
      <c r="AQ3235" s="241"/>
      <c r="AR3235" s="125"/>
      <c r="AS3235" s="125"/>
      <c r="AT3235" s="238"/>
      <c r="AU3235" s="125"/>
      <c r="AV3235" s="125"/>
      <c r="AW3235" s="125"/>
      <c r="AX3235" s="238"/>
      <c r="AY3235" s="125"/>
      <c r="AZ3235" s="125"/>
      <c r="BA3235" s="125"/>
    </row>
    <row r="3236" spans="2:53" s="123" customFormat="1">
      <c r="B3236" s="125"/>
      <c r="D3236" s="125"/>
      <c r="I3236" s="125"/>
      <c r="Z3236" s="124"/>
      <c r="AA3236" s="74"/>
      <c r="AB3236" s="240"/>
      <c r="AD3236" s="124"/>
      <c r="AE3236" s="238"/>
      <c r="AF3236" s="239"/>
      <c r="AG3236" s="239"/>
      <c r="AH3236" s="124"/>
      <c r="AI3236" s="74"/>
      <c r="AJ3236" s="240"/>
      <c r="AL3236" s="124"/>
      <c r="AM3236" s="74"/>
      <c r="AP3236" s="125"/>
      <c r="AQ3236" s="241"/>
      <c r="AR3236" s="125"/>
      <c r="AS3236" s="125"/>
      <c r="AT3236" s="238"/>
      <c r="AU3236" s="125"/>
      <c r="AV3236" s="125"/>
      <c r="AW3236" s="125"/>
      <c r="AX3236" s="238"/>
      <c r="AY3236" s="125"/>
      <c r="AZ3236" s="125"/>
      <c r="BA3236" s="125"/>
    </row>
    <row r="3237" spans="2:53" s="123" customFormat="1">
      <c r="B3237" s="125"/>
      <c r="D3237" s="125"/>
      <c r="I3237" s="125"/>
      <c r="Z3237" s="124"/>
      <c r="AA3237" s="74"/>
      <c r="AB3237" s="240"/>
      <c r="AD3237" s="124"/>
      <c r="AE3237" s="238"/>
      <c r="AF3237" s="239"/>
      <c r="AG3237" s="239"/>
      <c r="AH3237" s="124"/>
      <c r="AI3237" s="74"/>
      <c r="AJ3237" s="240"/>
      <c r="AL3237" s="124"/>
      <c r="AM3237" s="74"/>
      <c r="AP3237" s="125"/>
      <c r="AQ3237" s="241"/>
      <c r="AR3237" s="125"/>
      <c r="AS3237" s="125"/>
      <c r="AT3237" s="238"/>
      <c r="AU3237" s="125"/>
      <c r="AV3237" s="125"/>
      <c r="AW3237" s="125"/>
      <c r="AX3237" s="238"/>
      <c r="AY3237" s="125"/>
      <c r="AZ3237" s="125"/>
      <c r="BA3237" s="125"/>
    </row>
    <row r="3238" spans="2:53" s="123" customFormat="1">
      <c r="B3238" s="125"/>
      <c r="D3238" s="125"/>
      <c r="I3238" s="125"/>
      <c r="Z3238" s="124"/>
      <c r="AA3238" s="74"/>
      <c r="AB3238" s="240"/>
      <c r="AD3238" s="124"/>
      <c r="AE3238" s="238"/>
      <c r="AF3238" s="239"/>
      <c r="AG3238" s="239"/>
      <c r="AH3238" s="124"/>
      <c r="AI3238" s="74"/>
      <c r="AJ3238" s="240"/>
      <c r="AL3238" s="124"/>
      <c r="AM3238" s="74"/>
      <c r="AP3238" s="125"/>
      <c r="AQ3238" s="241"/>
      <c r="AR3238" s="125"/>
      <c r="AS3238" s="125"/>
      <c r="AT3238" s="238"/>
      <c r="AU3238" s="125"/>
      <c r="AV3238" s="125"/>
      <c r="AW3238" s="125"/>
      <c r="AX3238" s="238"/>
      <c r="AY3238" s="125"/>
      <c r="AZ3238" s="125"/>
      <c r="BA3238" s="125"/>
    </row>
    <row r="3239" spans="2:53" s="123" customFormat="1">
      <c r="B3239" s="125"/>
      <c r="D3239" s="125"/>
      <c r="I3239" s="125"/>
      <c r="Z3239" s="124"/>
      <c r="AA3239" s="74"/>
      <c r="AB3239" s="240"/>
      <c r="AD3239" s="124"/>
      <c r="AE3239" s="238"/>
      <c r="AF3239" s="239"/>
      <c r="AG3239" s="239"/>
      <c r="AH3239" s="124"/>
      <c r="AI3239" s="74"/>
      <c r="AJ3239" s="240"/>
      <c r="AL3239" s="124"/>
      <c r="AM3239" s="74"/>
      <c r="AP3239" s="125"/>
      <c r="AQ3239" s="241"/>
      <c r="AR3239" s="125"/>
      <c r="AS3239" s="125"/>
      <c r="AT3239" s="238"/>
      <c r="AU3239" s="125"/>
      <c r="AV3239" s="125"/>
      <c r="AW3239" s="125"/>
      <c r="AX3239" s="238"/>
      <c r="AY3239" s="125"/>
      <c r="AZ3239" s="125"/>
      <c r="BA3239" s="125"/>
    </row>
    <row r="3240" spans="2:53" s="123" customFormat="1">
      <c r="B3240" s="125"/>
      <c r="D3240" s="125"/>
      <c r="I3240" s="125"/>
      <c r="Z3240" s="124"/>
      <c r="AA3240" s="74"/>
      <c r="AB3240" s="240"/>
      <c r="AD3240" s="124"/>
      <c r="AE3240" s="238"/>
      <c r="AF3240" s="239"/>
      <c r="AG3240" s="239"/>
      <c r="AH3240" s="124"/>
      <c r="AI3240" s="74"/>
      <c r="AJ3240" s="240"/>
      <c r="AL3240" s="124"/>
      <c r="AM3240" s="74"/>
      <c r="AP3240" s="125"/>
      <c r="AQ3240" s="241"/>
      <c r="AR3240" s="125"/>
      <c r="AS3240" s="125"/>
      <c r="AT3240" s="238"/>
      <c r="AU3240" s="125"/>
      <c r="AV3240" s="125"/>
      <c r="AW3240" s="125"/>
      <c r="AX3240" s="238"/>
      <c r="AY3240" s="125"/>
      <c r="AZ3240" s="125"/>
      <c r="BA3240" s="125"/>
    </row>
    <row r="3241" spans="2:53" s="123" customFormat="1">
      <c r="B3241" s="125"/>
      <c r="D3241" s="125"/>
      <c r="I3241" s="125"/>
      <c r="Z3241" s="124"/>
      <c r="AA3241" s="74"/>
      <c r="AB3241" s="240"/>
      <c r="AD3241" s="124"/>
      <c r="AE3241" s="238"/>
      <c r="AF3241" s="239"/>
      <c r="AG3241" s="239"/>
      <c r="AH3241" s="124"/>
      <c r="AI3241" s="74"/>
      <c r="AJ3241" s="240"/>
      <c r="AL3241" s="124"/>
      <c r="AM3241" s="74"/>
      <c r="AP3241" s="125"/>
      <c r="AQ3241" s="241"/>
      <c r="AR3241" s="125"/>
      <c r="AS3241" s="125"/>
      <c r="AT3241" s="238"/>
      <c r="AU3241" s="125"/>
      <c r="AV3241" s="125"/>
      <c r="AW3241" s="125"/>
      <c r="AX3241" s="238"/>
      <c r="AY3241" s="125"/>
      <c r="AZ3241" s="125"/>
      <c r="BA3241" s="125"/>
    </row>
    <row r="3242" spans="2:53" s="123" customFormat="1">
      <c r="B3242" s="125"/>
      <c r="D3242" s="125"/>
      <c r="I3242" s="125"/>
      <c r="Z3242" s="124"/>
      <c r="AA3242" s="74"/>
      <c r="AB3242" s="240"/>
      <c r="AD3242" s="124"/>
      <c r="AE3242" s="238"/>
      <c r="AF3242" s="239"/>
      <c r="AG3242" s="239"/>
      <c r="AH3242" s="124"/>
      <c r="AI3242" s="74"/>
      <c r="AJ3242" s="240"/>
      <c r="AL3242" s="124"/>
      <c r="AM3242" s="74"/>
      <c r="AP3242" s="125"/>
      <c r="AQ3242" s="241"/>
      <c r="AR3242" s="125"/>
      <c r="AS3242" s="125"/>
      <c r="AT3242" s="238"/>
      <c r="AU3242" s="125"/>
      <c r="AV3242" s="125"/>
      <c r="AW3242" s="125"/>
      <c r="AX3242" s="238"/>
      <c r="AY3242" s="125"/>
      <c r="AZ3242" s="125"/>
      <c r="BA3242" s="125"/>
    </row>
    <row r="3243" spans="2:53" s="123" customFormat="1">
      <c r="B3243" s="125"/>
      <c r="D3243" s="125"/>
      <c r="I3243" s="125"/>
      <c r="Z3243" s="124"/>
      <c r="AA3243" s="74"/>
      <c r="AB3243" s="240"/>
      <c r="AD3243" s="124"/>
      <c r="AE3243" s="238"/>
      <c r="AF3243" s="239"/>
      <c r="AG3243" s="239"/>
      <c r="AH3243" s="124"/>
      <c r="AI3243" s="74"/>
      <c r="AJ3243" s="240"/>
      <c r="AL3243" s="124"/>
      <c r="AM3243" s="74"/>
      <c r="AP3243" s="125"/>
      <c r="AQ3243" s="241"/>
      <c r="AR3243" s="125"/>
      <c r="AS3243" s="125"/>
      <c r="AT3243" s="238"/>
      <c r="AU3243" s="125"/>
      <c r="AV3243" s="125"/>
      <c r="AW3243" s="125"/>
      <c r="AX3243" s="238"/>
      <c r="AY3243" s="125"/>
      <c r="AZ3243" s="125"/>
      <c r="BA3243" s="125"/>
    </row>
    <row r="3244" spans="2:53" s="123" customFormat="1">
      <c r="B3244" s="125"/>
      <c r="D3244" s="125"/>
      <c r="I3244" s="125"/>
      <c r="Z3244" s="124"/>
      <c r="AA3244" s="74"/>
      <c r="AB3244" s="240"/>
      <c r="AD3244" s="124"/>
      <c r="AE3244" s="238"/>
      <c r="AF3244" s="239"/>
      <c r="AG3244" s="239"/>
      <c r="AH3244" s="124"/>
      <c r="AI3244" s="74"/>
      <c r="AJ3244" s="240"/>
      <c r="AL3244" s="124"/>
      <c r="AM3244" s="74"/>
      <c r="AP3244" s="125"/>
      <c r="AQ3244" s="241"/>
      <c r="AR3244" s="125"/>
      <c r="AS3244" s="125"/>
      <c r="AT3244" s="238"/>
      <c r="AU3244" s="125"/>
      <c r="AV3244" s="125"/>
      <c r="AW3244" s="125"/>
      <c r="AX3244" s="238"/>
      <c r="AY3244" s="125"/>
      <c r="AZ3244" s="125"/>
      <c r="BA3244" s="125"/>
    </row>
    <row r="3245" spans="2:53" s="123" customFormat="1">
      <c r="B3245" s="125"/>
      <c r="D3245" s="125"/>
      <c r="I3245" s="125"/>
      <c r="Z3245" s="124"/>
      <c r="AA3245" s="74"/>
      <c r="AB3245" s="240"/>
      <c r="AD3245" s="124"/>
      <c r="AE3245" s="238"/>
      <c r="AF3245" s="239"/>
      <c r="AG3245" s="239"/>
      <c r="AH3245" s="124"/>
      <c r="AI3245" s="74"/>
      <c r="AJ3245" s="240"/>
      <c r="AL3245" s="124"/>
      <c r="AM3245" s="74"/>
      <c r="AP3245" s="125"/>
      <c r="AQ3245" s="241"/>
      <c r="AR3245" s="125"/>
      <c r="AS3245" s="125"/>
      <c r="AT3245" s="238"/>
      <c r="AU3245" s="125"/>
      <c r="AV3245" s="125"/>
      <c r="AW3245" s="125"/>
      <c r="AX3245" s="238"/>
      <c r="AY3245" s="125"/>
      <c r="AZ3245" s="125"/>
      <c r="BA3245" s="125"/>
    </row>
    <row r="3246" spans="2:53" s="123" customFormat="1">
      <c r="B3246" s="125"/>
      <c r="D3246" s="125"/>
      <c r="I3246" s="125"/>
      <c r="Z3246" s="124"/>
      <c r="AA3246" s="74"/>
      <c r="AB3246" s="240"/>
      <c r="AD3246" s="124"/>
      <c r="AE3246" s="238"/>
      <c r="AF3246" s="239"/>
      <c r="AG3246" s="239"/>
      <c r="AH3246" s="124"/>
      <c r="AI3246" s="74"/>
      <c r="AJ3246" s="240"/>
      <c r="AL3246" s="124"/>
      <c r="AM3246" s="74"/>
      <c r="AP3246" s="125"/>
      <c r="AQ3246" s="241"/>
      <c r="AR3246" s="125"/>
      <c r="AS3246" s="125"/>
      <c r="AT3246" s="238"/>
      <c r="AU3246" s="125"/>
      <c r="AV3246" s="125"/>
      <c r="AW3246" s="125"/>
      <c r="AX3246" s="238"/>
      <c r="AY3246" s="125"/>
      <c r="AZ3246" s="125"/>
      <c r="BA3246" s="125"/>
    </row>
    <row r="3247" spans="2:53" s="123" customFormat="1">
      <c r="B3247" s="125"/>
      <c r="D3247" s="125"/>
      <c r="I3247" s="125"/>
      <c r="Z3247" s="124"/>
      <c r="AA3247" s="74"/>
      <c r="AB3247" s="240"/>
      <c r="AD3247" s="124"/>
      <c r="AE3247" s="238"/>
      <c r="AF3247" s="239"/>
      <c r="AG3247" s="239"/>
      <c r="AH3247" s="124"/>
      <c r="AI3247" s="74"/>
      <c r="AJ3247" s="240"/>
      <c r="AL3247" s="124"/>
      <c r="AM3247" s="74"/>
      <c r="AP3247" s="125"/>
      <c r="AQ3247" s="241"/>
      <c r="AR3247" s="125"/>
      <c r="AS3247" s="125"/>
      <c r="AT3247" s="238"/>
      <c r="AU3247" s="125"/>
      <c r="AV3247" s="125"/>
      <c r="AW3247" s="125"/>
      <c r="AX3247" s="238"/>
      <c r="AY3247" s="125"/>
      <c r="AZ3247" s="125"/>
      <c r="BA3247" s="125"/>
    </row>
    <row r="3248" spans="2:53" s="123" customFormat="1">
      <c r="B3248" s="125"/>
      <c r="D3248" s="125"/>
      <c r="I3248" s="125"/>
      <c r="Z3248" s="124"/>
      <c r="AA3248" s="74"/>
      <c r="AB3248" s="240"/>
      <c r="AD3248" s="124"/>
      <c r="AE3248" s="238"/>
      <c r="AF3248" s="239"/>
      <c r="AG3248" s="239"/>
      <c r="AH3248" s="124"/>
      <c r="AI3248" s="74"/>
      <c r="AJ3248" s="240"/>
      <c r="AL3248" s="124"/>
      <c r="AM3248" s="74"/>
      <c r="AP3248" s="125"/>
      <c r="AQ3248" s="241"/>
      <c r="AR3248" s="125"/>
      <c r="AS3248" s="125"/>
      <c r="AT3248" s="238"/>
      <c r="AU3248" s="125"/>
      <c r="AV3248" s="125"/>
      <c r="AW3248" s="125"/>
      <c r="AX3248" s="238"/>
      <c r="AY3248" s="125"/>
      <c r="AZ3248" s="125"/>
      <c r="BA3248" s="125"/>
    </row>
    <row r="3249" spans="2:53" s="123" customFormat="1">
      <c r="B3249" s="125"/>
      <c r="D3249" s="125"/>
      <c r="I3249" s="125"/>
      <c r="Z3249" s="124"/>
      <c r="AA3249" s="74"/>
      <c r="AB3249" s="240"/>
      <c r="AD3249" s="124"/>
      <c r="AE3249" s="238"/>
      <c r="AF3249" s="239"/>
      <c r="AG3249" s="239"/>
      <c r="AH3249" s="124"/>
      <c r="AI3249" s="74"/>
      <c r="AJ3249" s="240"/>
      <c r="AL3249" s="124"/>
      <c r="AM3249" s="74"/>
      <c r="AP3249" s="125"/>
      <c r="AQ3249" s="241"/>
      <c r="AR3249" s="125"/>
      <c r="AS3249" s="125"/>
      <c r="AT3249" s="238"/>
      <c r="AU3249" s="125"/>
      <c r="AV3249" s="125"/>
      <c r="AW3249" s="125"/>
      <c r="AX3249" s="238"/>
      <c r="AY3249" s="125"/>
      <c r="AZ3249" s="125"/>
      <c r="BA3249" s="125"/>
    </row>
    <row r="3250" spans="2:53" s="123" customFormat="1">
      <c r="B3250" s="125"/>
      <c r="D3250" s="125"/>
      <c r="I3250" s="125"/>
      <c r="Z3250" s="124"/>
      <c r="AA3250" s="74"/>
      <c r="AB3250" s="240"/>
      <c r="AD3250" s="124"/>
      <c r="AE3250" s="238"/>
      <c r="AF3250" s="239"/>
      <c r="AG3250" s="239"/>
      <c r="AH3250" s="124"/>
      <c r="AI3250" s="74"/>
      <c r="AJ3250" s="240"/>
      <c r="AL3250" s="124"/>
      <c r="AM3250" s="74"/>
      <c r="AP3250" s="125"/>
      <c r="AQ3250" s="241"/>
      <c r="AR3250" s="125"/>
      <c r="AS3250" s="125"/>
      <c r="AT3250" s="238"/>
      <c r="AU3250" s="125"/>
      <c r="AV3250" s="125"/>
      <c r="AW3250" s="125"/>
      <c r="AX3250" s="238"/>
      <c r="AY3250" s="125"/>
      <c r="AZ3250" s="125"/>
      <c r="BA3250" s="125"/>
    </row>
    <row r="3251" spans="2:53" s="123" customFormat="1">
      <c r="B3251" s="125"/>
      <c r="D3251" s="125"/>
      <c r="I3251" s="125"/>
      <c r="Z3251" s="124"/>
      <c r="AA3251" s="74"/>
      <c r="AB3251" s="240"/>
      <c r="AD3251" s="124"/>
      <c r="AE3251" s="238"/>
      <c r="AF3251" s="239"/>
      <c r="AG3251" s="239"/>
      <c r="AH3251" s="124"/>
      <c r="AI3251" s="74"/>
      <c r="AJ3251" s="240"/>
      <c r="AL3251" s="124"/>
      <c r="AM3251" s="74"/>
      <c r="AP3251" s="125"/>
      <c r="AQ3251" s="241"/>
      <c r="AR3251" s="125"/>
      <c r="AS3251" s="125"/>
      <c r="AT3251" s="238"/>
      <c r="AU3251" s="125"/>
      <c r="AV3251" s="125"/>
      <c r="AW3251" s="125"/>
      <c r="AX3251" s="238"/>
      <c r="AY3251" s="125"/>
      <c r="AZ3251" s="125"/>
      <c r="BA3251" s="125"/>
    </row>
    <row r="3252" spans="2:53" s="123" customFormat="1">
      <c r="B3252" s="125"/>
      <c r="D3252" s="125"/>
      <c r="I3252" s="125"/>
      <c r="Z3252" s="124"/>
      <c r="AA3252" s="74"/>
      <c r="AB3252" s="240"/>
      <c r="AD3252" s="124"/>
      <c r="AE3252" s="238"/>
      <c r="AF3252" s="239"/>
      <c r="AG3252" s="239"/>
      <c r="AH3252" s="124"/>
      <c r="AI3252" s="74"/>
      <c r="AJ3252" s="240"/>
      <c r="AL3252" s="124"/>
      <c r="AM3252" s="74"/>
      <c r="AP3252" s="125"/>
      <c r="AQ3252" s="241"/>
      <c r="AR3252" s="125"/>
      <c r="AS3252" s="125"/>
      <c r="AT3252" s="238"/>
      <c r="AU3252" s="125"/>
      <c r="AV3252" s="125"/>
      <c r="AW3252" s="125"/>
      <c r="AX3252" s="238"/>
      <c r="AY3252" s="125"/>
      <c r="AZ3252" s="125"/>
      <c r="BA3252" s="125"/>
    </row>
    <row r="3253" spans="2:53" s="123" customFormat="1">
      <c r="B3253" s="125"/>
      <c r="D3253" s="125"/>
      <c r="I3253" s="125"/>
      <c r="Z3253" s="124"/>
      <c r="AA3253" s="74"/>
      <c r="AB3253" s="240"/>
      <c r="AD3253" s="124"/>
      <c r="AE3253" s="238"/>
      <c r="AF3253" s="239"/>
      <c r="AG3253" s="239"/>
      <c r="AH3253" s="124"/>
      <c r="AI3253" s="74"/>
      <c r="AJ3253" s="240"/>
      <c r="AL3253" s="124"/>
      <c r="AM3253" s="74"/>
      <c r="AP3253" s="125"/>
      <c r="AQ3253" s="241"/>
      <c r="AR3253" s="125"/>
      <c r="AS3253" s="125"/>
      <c r="AT3253" s="238"/>
      <c r="AU3253" s="125"/>
      <c r="AV3253" s="125"/>
      <c r="AW3253" s="125"/>
      <c r="AX3253" s="238"/>
      <c r="AY3253" s="125"/>
      <c r="AZ3253" s="125"/>
      <c r="BA3253" s="125"/>
    </row>
    <row r="3254" spans="2:53" s="123" customFormat="1">
      <c r="B3254" s="125"/>
      <c r="D3254" s="125"/>
      <c r="I3254" s="125"/>
      <c r="Z3254" s="124"/>
      <c r="AA3254" s="74"/>
      <c r="AB3254" s="240"/>
      <c r="AD3254" s="124"/>
      <c r="AE3254" s="238"/>
      <c r="AF3254" s="239"/>
      <c r="AG3254" s="239"/>
      <c r="AH3254" s="124"/>
      <c r="AI3254" s="74"/>
      <c r="AJ3254" s="240"/>
      <c r="AL3254" s="124"/>
      <c r="AM3254" s="74"/>
      <c r="AP3254" s="125"/>
      <c r="AQ3254" s="241"/>
      <c r="AR3254" s="125"/>
      <c r="AS3254" s="125"/>
      <c r="AT3254" s="238"/>
      <c r="AU3254" s="125"/>
      <c r="AV3254" s="125"/>
      <c r="AW3254" s="125"/>
      <c r="AX3254" s="238"/>
      <c r="AY3254" s="125"/>
      <c r="AZ3254" s="125"/>
      <c r="BA3254" s="125"/>
    </row>
    <row r="3255" spans="2:53" s="123" customFormat="1">
      <c r="B3255" s="125"/>
      <c r="D3255" s="125"/>
      <c r="I3255" s="125"/>
      <c r="Z3255" s="124"/>
      <c r="AA3255" s="74"/>
      <c r="AB3255" s="240"/>
      <c r="AD3255" s="124"/>
      <c r="AE3255" s="238"/>
      <c r="AF3255" s="239"/>
      <c r="AG3255" s="239"/>
      <c r="AH3255" s="124"/>
      <c r="AI3255" s="74"/>
      <c r="AJ3255" s="240"/>
      <c r="AL3255" s="124"/>
      <c r="AM3255" s="74"/>
      <c r="AP3255" s="125"/>
      <c r="AQ3255" s="241"/>
      <c r="AR3255" s="125"/>
      <c r="AS3255" s="125"/>
      <c r="AT3255" s="238"/>
      <c r="AU3255" s="125"/>
      <c r="AV3255" s="125"/>
      <c r="AW3255" s="125"/>
      <c r="AX3255" s="238"/>
      <c r="AY3255" s="125"/>
      <c r="AZ3255" s="125"/>
      <c r="BA3255" s="125"/>
    </row>
    <row r="3256" spans="2:53" s="123" customFormat="1">
      <c r="B3256" s="125"/>
      <c r="D3256" s="125"/>
      <c r="I3256" s="125"/>
      <c r="Z3256" s="124"/>
      <c r="AA3256" s="74"/>
      <c r="AB3256" s="240"/>
      <c r="AD3256" s="124"/>
      <c r="AE3256" s="238"/>
      <c r="AF3256" s="239"/>
      <c r="AG3256" s="239"/>
      <c r="AH3256" s="124"/>
      <c r="AI3256" s="74"/>
      <c r="AJ3256" s="240"/>
      <c r="AL3256" s="124"/>
      <c r="AM3256" s="74"/>
      <c r="AP3256" s="125"/>
      <c r="AQ3256" s="241"/>
      <c r="AR3256" s="125"/>
      <c r="AS3256" s="125"/>
      <c r="AT3256" s="238"/>
      <c r="AU3256" s="125"/>
      <c r="AV3256" s="125"/>
      <c r="AW3256" s="125"/>
      <c r="AX3256" s="238"/>
      <c r="AY3256" s="125"/>
      <c r="AZ3256" s="125"/>
      <c r="BA3256" s="125"/>
    </row>
    <row r="3257" spans="2:53" s="123" customFormat="1">
      <c r="B3257" s="125"/>
      <c r="D3257" s="125"/>
      <c r="I3257" s="125"/>
      <c r="Z3257" s="124"/>
      <c r="AA3257" s="74"/>
      <c r="AB3257" s="240"/>
      <c r="AD3257" s="124"/>
      <c r="AE3257" s="238"/>
      <c r="AF3257" s="239"/>
      <c r="AG3257" s="239"/>
      <c r="AH3257" s="124"/>
      <c r="AI3257" s="74"/>
      <c r="AJ3257" s="240"/>
      <c r="AL3257" s="124"/>
      <c r="AM3257" s="74"/>
      <c r="AP3257" s="125"/>
      <c r="AQ3257" s="241"/>
      <c r="AR3257" s="125"/>
      <c r="AS3257" s="125"/>
      <c r="AT3257" s="238"/>
      <c r="AU3257" s="125"/>
      <c r="AV3257" s="125"/>
      <c r="AW3257" s="125"/>
      <c r="AX3257" s="238"/>
      <c r="AY3257" s="125"/>
      <c r="AZ3257" s="125"/>
      <c r="BA3257" s="125"/>
    </row>
    <row r="3258" spans="2:53" s="123" customFormat="1">
      <c r="B3258" s="125"/>
      <c r="D3258" s="125"/>
      <c r="I3258" s="125"/>
      <c r="Z3258" s="124"/>
      <c r="AA3258" s="74"/>
      <c r="AB3258" s="240"/>
      <c r="AD3258" s="124"/>
      <c r="AE3258" s="238"/>
      <c r="AF3258" s="239"/>
      <c r="AG3258" s="239"/>
      <c r="AH3258" s="124"/>
      <c r="AI3258" s="74"/>
      <c r="AJ3258" s="240"/>
      <c r="AL3258" s="124"/>
      <c r="AM3258" s="74"/>
      <c r="AP3258" s="125"/>
      <c r="AQ3258" s="241"/>
      <c r="AR3258" s="125"/>
      <c r="AS3258" s="125"/>
      <c r="AT3258" s="238"/>
      <c r="AU3258" s="125"/>
      <c r="AV3258" s="125"/>
      <c r="AW3258" s="125"/>
      <c r="AX3258" s="238"/>
      <c r="AY3258" s="125"/>
      <c r="AZ3258" s="125"/>
      <c r="BA3258" s="125"/>
    </row>
    <row r="3259" spans="2:53" s="123" customFormat="1">
      <c r="B3259" s="125"/>
      <c r="D3259" s="125"/>
      <c r="I3259" s="125"/>
      <c r="Z3259" s="124"/>
      <c r="AA3259" s="74"/>
      <c r="AB3259" s="240"/>
      <c r="AD3259" s="124"/>
      <c r="AE3259" s="238"/>
      <c r="AF3259" s="239"/>
      <c r="AG3259" s="239"/>
      <c r="AH3259" s="124"/>
      <c r="AI3259" s="74"/>
      <c r="AJ3259" s="240"/>
      <c r="AL3259" s="124"/>
      <c r="AM3259" s="74"/>
      <c r="AP3259" s="125"/>
      <c r="AQ3259" s="241"/>
      <c r="AR3259" s="125"/>
      <c r="AS3259" s="125"/>
      <c r="AT3259" s="238"/>
      <c r="AU3259" s="125"/>
      <c r="AV3259" s="125"/>
      <c r="AW3259" s="125"/>
      <c r="AX3259" s="238"/>
      <c r="AY3259" s="125"/>
      <c r="AZ3259" s="125"/>
      <c r="BA3259" s="125"/>
    </row>
    <row r="3260" spans="2:53" s="123" customFormat="1">
      <c r="B3260" s="125"/>
      <c r="D3260" s="125"/>
      <c r="I3260" s="125"/>
      <c r="Z3260" s="124"/>
      <c r="AA3260" s="74"/>
      <c r="AB3260" s="240"/>
      <c r="AD3260" s="124"/>
      <c r="AE3260" s="238"/>
      <c r="AF3260" s="239"/>
      <c r="AG3260" s="239"/>
      <c r="AH3260" s="124"/>
      <c r="AI3260" s="74"/>
      <c r="AJ3260" s="240"/>
      <c r="AL3260" s="124"/>
      <c r="AM3260" s="74"/>
      <c r="AP3260" s="125"/>
      <c r="AQ3260" s="241"/>
      <c r="AR3260" s="125"/>
      <c r="AS3260" s="125"/>
      <c r="AT3260" s="238"/>
      <c r="AU3260" s="125"/>
      <c r="AV3260" s="125"/>
      <c r="AW3260" s="125"/>
      <c r="AX3260" s="238"/>
      <c r="AY3260" s="125"/>
      <c r="AZ3260" s="125"/>
      <c r="BA3260" s="125"/>
    </row>
    <row r="3261" spans="2:53" s="123" customFormat="1">
      <c r="B3261" s="125"/>
      <c r="D3261" s="125"/>
      <c r="I3261" s="125"/>
      <c r="Z3261" s="124"/>
      <c r="AA3261" s="74"/>
      <c r="AB3261" s="240"/>
      <c r="AD3261" s="124"/>
      <c r="AE3261" s="238"/>
      <c r="AF3261" s="239"/>
      <c r="AG3261" s="239"/>
      <c r="AH3261" s="124"/>
      <c r="AI3261" s="74"/>
      <c r="AJ3261" s="240"/>
      <c r="AL3261" s="124"/>
      <c r="AM3261" s="74"/>
      <c r="AP3261" s="125"/>
      <c r="AQ3261" s="241"/>
      <c r="AR3261" s="125"/>
      <c r="AS3261" s="125"/>
      <c r="AT3261" s="238"/>
      <c r="AU3261" s="125"/>
      <c r="AV3261" s="125"/>
      <c r="AW3261" s="125"/>
      <c r="AX3261" s="238"/>
      <c r="AY3261" s="125"/>
      <c r="AZ3261" s="125"/>
      <c r="BA3261" s="125"/>
    </row>
    <row r="3262" spans="2:53" s="123" customFormat="1">
      <c r="B3262" s="125"/>
      <c r="D3262" s="125"/>
      <c r="I3262" s="125"/>
      <c r="Z3262" s="124"/>
      <c r="AA3262" s="74"/>
      <c r="AB3262" s="240"/>
      <c r="AD3262" s="124"/>
      <c r="AE3262" s="238"/>
      <c r="AF3262" s="239"/>
      <c r="AG3262" s="239"/>
      <c r="AH3262" s="124"/>
      <c r="AI3262" s="74"/>
      <c r="AJ3262" s="240"/>
      <c r="AL3262" s="124"/>
      <c r="AM3262" s="74"/>
      <c r="AP3262" s="125"/>
      <c r="AQ3262" s="241"/>
      <c r="AR3262" s="125"/>
      <c r="AS3262" s="125"/>
      <c r="AT3262" s="238"/>
      <c r="AU3262" s="125"/>
      <c r="AV3262" s="125"/>
      <c r="AW3262" s="125"/>
      <c r="AX3262" s="238"/>
      <c r="AY3262" s="125"/>
      <c r="AZ3262" s="125"/>
      <c r="BA3262" s="125"/>
    </row>
    <row r="3263" spans="2:53" s="123" customFormat="1">
      <c r="B3263" s="125"/>
      <c r="D3263" s="125"/>
      <c r="I3263" s="125"/>
      <c r="Z3263" s="124"/>
      <c r="AA3263" s="74"/>
      <c r="AB3263" s="240"/>
      <c r="AD3263" s="124"/>
      <c r="AE3263" s="238"/>
      <c r="AF3263" s="239"/>
      <c r="AG3263" s="239"/>
      <c r="AH3263" s="124"/>
      <c r="AI3263" s="74"/>
      <c r="AJ3263" s="240"/>
      <c r="AL3263" s="124"/>
      <c r="AM3263" s="74"/>
      <c r="AP3263" s="125"/>
      <c r="AQ3263" s="241"/>
      <c r="AR3263" s="125"/>
      <c r="AS3263" s="125"/>
      <c r="AT3263" s="238"/>
      <c r="AU3263" s="125"/>
      <c r="AV3263" s="125"/>
      <c r="AW3263" s="125"/>
      <c r="AX3263" s="238"/>
      <c r="AY3263" s="125"/>
      <c r="AZ3263" s="125"/>
      <c r="BA3263" s="125"/>
    </row>
    <row r="3264" spans="2:53" s="123" customFormat="1">
      <c r="B3264" s="125"/>
      <c r="D3264" s="125"/>
      <c r="I3264" s="125"/>
      <c r="Z3264" s="124"/>
      <c r="AA3264" s="74"/>
      <c r="AB3264" s="240"/>
      <c r="AD3264" s="124"/>
      <c r="AE3264" s="238"/>
      <c r="AF3264" s="239"/>
      <c r="AG3264" s="239"/>
      <c r="AH3264" s="124"/>
      <c r="AI3264" s="74"/>
      <c r="AJ3264" s="240"/>
      <c r="AL3264" s="124"/>
      <c r="AM3264" s="74"/>
      <c r="AP3264" s="125"/>
      <c r="AQ3264" s="241"/>
      <c r="AR3264" s="125"/>
      <c r="AS3264" s="125"/>
      <c r="AT3264" s="238"/>
      <c r="AU3264" s="125"/>
      <c r="AV3264" s="125"/>
      <c r="AW3264" s="125"/>
      <c r="AX3264" s="238"/>
      <c r="AY3264" s="125"/>
      <c r="AZ3264" s="125"/>
      <c r="BA3264" s="125"/>
    </row>
    <row r="3265" spans="2:53" s="123" customFormat="1">
      <c r="B3265" s="125"/>
      <c r="D3265" s="125"/>
      <c r="I3265" s="125"/>
      <c r="Z3265" s="124"/>
      <c r="AA3265" s="74"/>
      <c r="AB3265" s="240"/>
      <c r="AD3265" s="124"/>
      <c r="AE3265" s="238"/>
      <c r="AF3265" s="239"/>
      <c r="AG3265" s="239"/>
      <c r="AH3265" s="124"/>
      <c r="AI3265" s="74"/>
      <c r="AJ3265" s="240"/>
      <c r="AL3265" s="124"/>
      <c r="AM3265" s="74"/>
      <c r="AP3265" s="125"/>
      <c r="AQ3265" s="241"/>
      <c r="AR3265" s="125"/>
      <c r="AS3265" s="125"/>
      <c r="AT3265" s="238"/>
      <c r="AU3265" s="125"/>
      <c r="AV3265" s="125"/>
      <c r="AW3265" s="125"/>
      <c r="AX3265" s="238"/>
      <c r="AY3265" s="125"/>
      <c r="AZ3265" s="125"/>
      <c r="BA3265" s="125"/>
    </row>
    <row r="3266" spans="2:53" s="123" customFormat="1">
      <c r="B3266" s="125"/>
      <c r="D3266" s="125"/>
      <c r="I3266" s="125"/>
      <c r="Z3266" s="124"/>
      <c r="AA3266" s="74"/>
      <c r="AB3266" s="240"/>
      <c r="AD3266" s="124"/>
      <c r="AE3266" s="238"/>
      <c r="AF3266" s="239"/>
      <c r="AG3266" s="239"/>
      <c r="AH3266" s="124"/>
      <c r="AI3266" s="74"/>
      <c r="AJ3266" s="240"/>
      <c r="AL3266" s="124"/>
      <c r="AM3266" s="74"/>
      <c r="AP3266" s="125"/>
      <c r="AQ3266" s="241"/>
      <c r="AR3266" s="125"/>
      <c r="AS3266" s="125"/>
      <c r="AT3266" s="238"/>
      <c r="AU3266" s="125"/>
      <c r="AV3266" s="125"/>
      <c r="AW3266" s="125"/>
      <c r="AX3266" s="238"/>
      <c r="AY3266" s="125"/>
      <c r="AZ3266" s="125"/>
      <c r="BA3266" s="125"/>
    </row>
    <row r="3267" spans="2:53" s="123" customFormat="1">
      <c r="B3267" s="125"/>
      <c r="D3267" s="125"/>
      <c r="I3267" s="125"/>
      <c r="Z3267" s="124"/>
      <c r="AA3267" s="74"/>
      <c r="AB3267" s="240"/>
      <c r="AD3267" s="124"/>
      <c r="AE3267" s="238"/>
      <c r="AF3267" s="239"/>
      <c r="AG3267" s="239"/>
      <c r="AH3267" s="124"/>
      <c r="AI3267" s="74"/>
      <c r="AJ3267" s="240"/>
      <c r="AL3267" s="124"/>
      <c r="AM3267" s="74"/>
      <c r="AP3267" s="125"/>
      <c r="AQ3267" s="241"/>
      <c r="AR3267" s="125"/>
      <c r="AS3267" s="125"/>
      <c r="AT3267" s="238"/>
      <c r="AU3267" s="125"/>
      <c r="AV3267" s="125"/>
      <c r="AW3267" s="125"/>
      <c r="AX3267" s="238"/>
      <c r="AY3267" s="125"/>
      <c r="AZ3267" s="125"/>
      <c r="BA3267" s="125"/>
    </row>
    <row r="3268" spans="2:53" s="123" customFormat="1">
      <c r="B3268" s="125"/>
      <c r="D3268" s="125"/>
      <c r="I3268" s="125"/>
      <c r="Z3268" s="124"/>
      <c r="AA3268" s="74"/>
      <c r="AB3268" s="240"/>
      <c r="AD3268" s="124"/>
      <c r="AE3268" s="238"/>
      <c r="AF3268" s="239"/>
      <c r="AG3268" s="239"/>
      <c r="AH3268" s="124"/>
      <c r="AI3268" s="74"/>
      <c r="AJ3268" s="240"/>
      <c r="AL3268" s="124"/>
      <c r="AM3268" s="74"/>
      <c r="AP3268" s="125"/>
      <c r="AQ3268" s="241"/>
      <c r="AR3268" s="125"/>
      <c r="AS3268" s="125"/>
      <c r="AT3268" s="238"/>
      <c r="AU3268" s="125"/>
      <c r="AV3268" s="125"/>
      <c r="AW3268" s="125"/>
      <c r="AX3268" s="238"/>
      <c r="AY3268" s="125"/>
      <c r="AZ3268" s="125"/>
      <c r="BA3268" s="125"/>
    </row>
    <row r="3269" spans="2:53" s="123" customFormat="1">
      <c r="B3269" s="125"/>
      <c r="D3269" s="125"/>
      <c r="I3269" s="125"/>
      <c r="Z3269" s="124"/>
      <c r="AA3269" s="74"/>
      <c r="AB3269" s="240"/>
      <c r="AD3269" s="124"/>
      <c r="AE3269" s="238"/>
      <c r="AF3269" s="239"/>
      <c r="AG3269" s="239"/>
      <c r="AH3269" s="124"/>
      <c r="AI3269" s="74"/>
      <c r="AJ3269" s="240"/>
      <c r="AL3269" s="124"/>
      <c r="AM3269" s="74"/>
      <c r="AP3269" s="125"/>
      <c r="AQ3269" s="241"/>
      <c r="AR3269" s="125"/>
      <c r="AS3269" s="125"/>
      <c r="AT3269" s="238"/>
      <c r="AU3269" s="125"/>
      <c r="AV3269" s="125"/>
      <c r="AW3269" s="125"/>
      <c r="AX3269" s="238"/>
      <c r="AY3269" s="125"/>
      <c r="AZ3269" s="125"/>
      <c r="BA3269" s="125"/>
    </row>
    <row r="3270" spans="2:53" s="123" customFormat="1">
      <c r="B3270" s="125"/>
      <c r="D3270" s="125"/>
      <c r="I3270" s="125"/>
      <c r="Z3270" s="124"/>
      <c r="AA3270" s="74"/>
      <c r="AB3270" s="240"/>
      <c r="AD3270" s="124"/>
      <c r="AE3270" s="238"/>
      <c r="AF3270" s="239"/>
      <c r="AG3270" s="239"/>
      <c r="AH3270" s="124"/>
      <c r="AI3270" s="74"/>
      <c r="AJ3270" s="240"/>
      <c r="AL3270" s="124"/>
      <c r="AM3270" s="74"/>
      <c r="AP3270" s="125"/>
      <c r="AQ3270" s="241"/>
      <c r="AR3270" s="125"/>
      <c r="AS3270" s="125"/>
      <c r="AT3270" s="238"/>
      <c r="AU3270" s="125"/>
      <c r="AV3270" s="125"/>
      <c r="AW3270" s="125"/>
      <c r="AX3270" s="238"/>
      <c r="AY3270" s="125"/>
      <c r="AZ3270" s="125"/>
      <c r="BA3270" s="125"/>
    </row>
    <row r="3271" spans="2:53" s="123" customFormat="1">
      <c r="B3271" s="125"/>
      <c r="D3271" s="125"/>
      <c r="I3271" s="125"/>
      <c r="Z3271" s="124"/>
      <c r="AA3271" s="74"/>
      <c r="AB3271" s="240"/>
      <c r="AD3271" s="124"/>
      <c r="AE3271" s="238"/>
      <c r="AF3271" s="239"/>
      <c r="AG3271" s="239"/>
      <c r="AH3271" s="124"/>
      <c r="AI3271" s="74"/>
      <c r="AJ3271" s="240"/>
      <c r="AL3271" s="124"/>
      <c r="AM3271" s="74"/>
      <c r="AP3271" s="125"/>
      <c r="AQ3271" s="241"/>
      <c r="AR3271" s="125"/>
      <c r="AS3271" s="125"/>
      <c r="AT3271" s="238"/>
      <c r="AU3271" s="125"/>
      <c r="AV3271" s="125"/>
      <c r="AW3271" s="125"/>
      <c r="AX3271" s="238"/>
      <c r="AY3271" s="125"/>
      <c r="AZ3271" s="125"/>
      <c r="BA3271" s="125"/>
    </row>
    <row r="3272" spans="2:53" s="123" customFormat="1">
      <c r="B3272" s="125"/>
      <c r="D3272" s="125"/>
      <c r="I3272" s="125"/>
      <c r="Z3272" s="124"/>
      <c r="AA3272" s="74"/>
      <c r="AB3272" s="240"/>
      <c r="AD3272" s="124"/>
      <c r="AE3272" s="238"/>
      <c r="AF3272" s="239"/>
      <c r="AG3272" s="239"/>
      <c r="AH3272" s="124"/>
      <c r="AI3272" s="74"/>
      <c r="AJ3272" s="240"/>
      <c r="AL3272" s="124"/>
      <c r="AM3272" s="74"/>
      <c r="AP3272" s="125"/>
      <c r="AQ3272" s="241"/>
      <c r="AR3272" s="125"/>
      <c r="AS3272" s="125"/>
      <c r="AT3272" s="238"/>
      <c r="AU3272" s="125"/>
      <c r="AV3272" s="125"/>
      <c r="AW3272" s="125"/>
      <c r="AX3272" s="238"/>
      <c r="AY3272" s="125"/>
      <c r="AZ3272" s="125"/>
      <c r="BA3272" s="125"/>
    </row>
    <row r="3273" spans="2:53" s="123" customFormat="1">
      <c r="B3273" s="125"/>
      <c r="D3273" s="125"/>
      <c r="I3273" s="125"/>
      <c r="Z3273" s="124"/>
      <c r="AA3273" s="74"/>
      <c r="AB3273" s="240"/>
      <c r="AD3273" s="124"/>
      <c r="AE3273" s="238"/>
      <c r="AF3273" s="239"/>
      <c r="AG3273" s="239"/>
      <c r="AH3273" s="124"/>
      <c r="AI3273" s="74"/>
      <c r="AJ3273" s="240"/>
      <c r="AL3273" s="124"/>
      <c r="AM3273" s="74"/>
      <c r="AP3273" s="125"/>
      <c r="AQ3273" s="241"/>
      <c r="AR3273" s="125"/>
      <c r="AS3273" s="125"/>
      <c r="AT3273" s="238"/>
      <c r="AU3273" s="125"/>
      <c r="AV3273" s="125"/>
      <c r="AW3273" s="125"/>
      <c r="AX3273" s="238"/>
      <c r="AY3273" s="125"/>
      <c r="AZ3273" s="125"/>
      <c r="BA3273" s="125"/>
    </row>
    <row r="3274" spans="2:53" s="123" customFormat="1">
      <c r="B3274" s="125"/>
      <c r="D3274" s="125"/>
      <c r="I3274" s="125"/>
      <c r="Z3274" s="124"/>
      <c r="AA3274" s="74"/>
      <c r="AB3274" s="240"/>
      <c r="AD3274" s="124"/>
      <c r="AE3274" s="238"/>
      <c r="AF3274" s="239"/>
      <c r="AG3274" s="239"/>
      <c r="AH3274" s="124"/>
      <c r="AI3274" s="74"/>
      <c r="AJ3274" s="240"/>
      <c r="AL3274" s="124"/>
      <c r="AM3274" s="74"/>
      <c r="AP3274" s="125"/>
      <c r="AQ3274" s="241"/>
      <c r="AR3274" s="125"/>
      <c r="AS3274" s="125"/>
      <c r="AT3274" s="238"/>
      <c r="AU3274" s="125"/>
      <c r="AV3274" s="125"/>
      <c r="AW3274" s="125"/>
      <c r="AX3274" s="238"/>
      <c r="AY3274" s="125"/>
      <c r="AZ3274" s="125"/>
      <c r="BA3274" s="125"/>
    </row>
    <row r="3275" spans="2:53" s="123" customFormat="1">
      <c r="B3275" s="125"/>
      <c r="D3275" s="125"/>
      <c r="I3275" s="125"/>
      <c r="Z3275" s="124"/>
      <c r="AA3275" s="74"/>
      <c r="AB3275" s="240"/>
      <c r="AD3275" s="124"/>
      <c r="AE3275" s="238"/>
      <c r="AF3275" s="239"/>
      <c r="AG3275" s="239"/>
      <c r="AH3275" s="124"/>
      <c r="AI3275" s="74"/>
      <c r="AJ3275" s="240"/>
      <c r="AL3275" s="124"/>
      <c r="AM3275" s="74"/>
      <c r="AP3275" s="125"/>
      <c r="AQ3275" s="241"/>
      <c r="AR3275" s="125"/>
      <c r="AS3275" s="125"/>
      <c r="AT3275" s="238"/>
      <c r="AU3275" s="125"/>
      <c r="AV3275" s="125"/>
      <c r="AW3275" s="125"/>
      <c r="AX3275" s="238"/>
      <c r="AY3275" s="125"/>
      <c r="AZ3275" s="125"/>
      <c r="BA3275" s="125"/>
    </row>
    <row r="3276" spans="2:53" s="123" customFormat="1">
      <c r="B3276" s="125"/>
      <c r="D3276" s="125"/>
      <c r="I3276" s="125"/>
      <c r="Z3276" s="124"/>
      <c r="AA3276" s="74"/>
      <c r="AB3276" s="240"/>
      <c r="AD3276" s="124"/>
      <c r="AE3276" s="238"/>
      <c r="AF3276" s="239"/>
      <c r="AG3276" s="239"/>
      <c r="AH3276" s="124"/>
      <c r="AI3276" s="74"/>
      <c r="AJ3276" s="240"/>
      <c r="AL3276" s="124"/>
      <c r="AM3276" s="74"/>
      <c r="AP3276" s="125"/>
      <c r="AQ3276" s="241"/>
      <c r="AR3276" s="125"/>
      <c r="AS3276" s="125"/>
      <c r="AT3276" s="238"/>
      <c r="AU3276" s="125"/>
      <c r="AV3276" s="125"/>
      <c r="AW3276" s="125"/>
      <c r="AX3276" s="238"/>
      <c r="AY3276" s="125"/>
      <c r="AZ3276" s="125"/>
      <c r="BA3276" s="125"/>
    </row>
    <row r="3277" spans="2:53" s="123" customFormat="1">
      <c r="B3277" s="125"/>
      <c r="D3277" s="125"/>
      <c r="I3277" s="125"/>
      <c r="Z3277" s="124"/>
      <c r="AA3277" s="74"/>
      <c r="AB3277" s="240"/>
      <c r="AD3277" s="124"/>
      <c r="AE3277" s="238"/>
      <c r="AF3277" s="239"/>
      <c r="AG3277" s="239"/>
      <c r="AH3277" s="124"/>
      <c r="AI3277" s="74"/>
      <c r="AJ3277" s="240"/>
      <c r="AL3277" s="124"/>
      <c r="AM3277" s="74"/>
      <c r="AP3277" s="125"/>
      <c r="AQ3277" s="241"/>
      <c r="AR3277" s="125"/>
      <c r="AS3277" s="125"/>
      <c r="AT3277" s="238"/>
      <c r="AU3277" s="125"/>
      <c r="AV3277" s="125"/>
      <c r="AW3277" s="125"/>
      <c r="AX3277" s="238"/>
      <c r="AY3277" s="125"/>
      <c r="AZ3277" s="125"/>
      <c r="BA3277" s="125"/>
    </row>
    <row r="3278" spans="2:53" s="123" customFormat="1">
      <c r="B3278" s="125"/>
      <c r="D3278" s="125"/>
      <c r="I3278" s="125"/>
      <c r="Z3278" s="124"/>
      <c r="AA3278" s="74"/>
      <c r="AB3278" s="240"/>
      <c r="AD3278" s="124"/>
      <c r="AE3278" s="238"/>
      <c r="AF3278" s="239"/>
      <c r="AG3278" s="239"/>
      <c r="AH3278" s="124"/>
      <c r="AI3278" s="74"/>
      <c r="AJ3278" s="240"/>
      <c r="AL3278" s="124"/>
      <c r="AM3278" s="74"/>
      <c r="AP3278" s="125"/>
      <c r="AQ3278" s="241"/>
      <c r="AR3278" s="125"/>
      <c r="AS3278" s="125"/>
      <c r="AT3278" s="238"/>
      <c r="AU3278" s="125"/>
      <c r="AV3278" s="125"/>
      <c r="AW3278" s="125"/>
      <c r="AX3278" s="238"/>
      <c r="AY3278" s="125"/>
      <c r="AZ3278" s="125"/>
      <c r="BA3278" s="125"/>
    </row>
    <row r="3279" spans="2:53" s="123" customFormat="1">
      <c r="B3279" s="125"/>
      <c r="D3279" s="125"/>
      <c r="I3279" s="125"/>
      <c r="Z3279" s="124"/>
      <c r="AA3279" s="74"/>
      <c r="AB3279" s="240"/>
      <c r="AD3279" s="124"/>
      <c r="AE3279" s="238"/>
      <c r="AF3279" s="239"/>
      <c r="AG3279" s="239"/>
      <c r="AH3279" s="124"/>
      <c r="AI3279" s="74"/>
      <c r="AJ3279" s="240"/>
      <c r="AL3279" s="124"/>
      <c r="AM3279" s="74"/>
      <c r="AP3279" s="125"/>
      <c r="AQ3279" s="241"/>
      <c r="AR3279" s="125"/>
      <c r="AS3279" s="125"/>
      <c r="AT3279" s="238"/>
      <c r="AU3279" s="125"/>
      <c r="AV3279" s="125"/>
      <c r="AW3279" s="125"/>
      <c r="AX3279" s="238"/>
      <c r="AY3279" s="125"/>
      <c r="AZ3279" s="125"/>
      <c r="BA3279" s="125"/>
    </row>
    <row r="3280" spans="2:53" s="123" customFormat="1">
      <c r="B3280" s="125"/>
      <c r="D3280" s="125"/>
      <c r="I3280" s="125"/>
      <c r="Z3280" s="124"/>
      <c r="AA3280" s="74"/>
      <c r="AB3280" s="240"/>
      <c r="AD3280" s="124"/>
      <c r="AE3280" s="238"/>
      <c r="AF3280" s="239"/>
      <c r="AG3280" s="239"/>
      <c r="AH3280" s="124"/>
      <c r="AI3280" s="74"/>
      <c r="AJ3280" s="240"/>
      <c r="AL3280" s="124"/>
      <c r="AM3280" s="74"/>
      <c r="AP3280" s="125"/>
      <c r="AQ3280" s="241"/>
      <c r="AR3280" s="125"/>
      <c r="AS3280" s="125"/>
      <c r="AT3280" s="238"/>
      <c r="AU3280" s="125"/>
      <c r="AV3280" s="125"/>
      <c r="AW3280" s="125"/>
      <c r="AX3280" s="238"/>
      <c r="AY3280" s="125"/>
      <c r="AZ3280" s="125"/>
      <c r="BA3280" s="125"/>
    </row>
    <row r="3281" spans="2:53" s="123" customFormat="1">
      <c r="B3281" s="125"/>
      <c r="D3281" s="125"/>
      <c r="I3281" s="125"/>
      <c r="Z3281" s="124"/>
      <c r="AA3281" s="74"/>
      <c r="AB3281" s="240"/>
      <c r="AD3281" s="124"/>
      <c r="AE3281" s="238"/>
      <c r="AF3281" s="239"/>
      <c r="AG3281" s="239"/>
      <c r="AH3281" s="124"/>
      <c r="AI3281" s="74"/>
      <c r="AJ3281" s="240"/>
      <c r="AL3281" s="124"/>
      <c r="AM3281" s="74"/>
      <c r="AP3281" s="125"/>
      <c r="AQ3281" s="241"/>
      <c r="AR3281" s="125"/>
      <c r="AS3281" s="125"/>
      <c r="AT3281" s="238"/>
      <c r="AU3281" s="125"/>
      <c r="AV3281" s="125"/>
      <c r="AW3281" s="125"/>
      <c r="AX3281" s="238"/>
      <c r="AY3281" s="125"/>
      <c r="AZ3281" s="125"/>
      <c r="BA3281" s="125"/>
    </row>
    <row r="3282" spans="2:53" s="123" customFormat="1">
      <c r="B3282" s="125"/>
      <c r="D3282" s="125"/>
      <c r="I3282" s="125"/>
      <c r="Z3282" s="124"/>
      <c r="AA3282" s="74"/>
      <c r="AB3282" s="240"/>
      <c r="AD3282" s="124"/>
      <c r="AE3282" s="238"/>
      <c r="AF3282" s="239"/>
      <c r="AG3282" s="239"/>
      <c r="AH3282" s="124"/>
      <c r="AI3282" s="74"/>
      <c r="AJ3282" s="240"/>
      <c r="AL3282" s="124"/>
      <c r="AM3282" s="74"/>
      <c r="AP3282" s="125"/>
      <c r="AQ3282" s="241"/>
      <c r="AR3282" s="125"/>
      <c r="AS3282" s="125"/>
      <c r="AT3282" s="238"/>
      <c r="AU3282" s="125"/>
      <c r="AV3282" s="125"/>
      <c r="AW3282" s="125"/>
      <c r="AX3282" s="238"/>
      <c r="AY3282" s="125"/>
      <c r="AZ3282" s="125"/>
      <c r="BA3282" s="125"/>
    </row>
    <row r="3283" spans="2:53" s="123" customFormat="1">
      <c r="B3283" s="125"/>
      <c r="D3283" s="125"/>
      <c r="I3283" s="125"/>
      <c r="Z3283" s="124"/>
      <c r="AA3283" s="74"/>
      <c r="AB3283" s="240"/>
      <c r="AD3283" s="124"/>
      <c r="AE3283" s="238"/>
      <c r="AF3283" s="239"/>
      <c r="AG3283" s="239"/>
      <c r="AH3283" s="124"/>
      <c r="AI3283" s="74"/>
      <c r="AJ3283" s="240"/>
      <c r="AL3283" s="124"/>
      <c r="AM3283" s="74"/>
      <c r="AP3283" s="125"/>
      <c r="AQ3283" s="241"/>
      <c r="AR3283" s="125"/>
      <c r="AS3283" s="125"/>
      <c r="AT3283" s="238"/>
      <c r="AU3283" s="125"/>
      <c r="AV3283" s="125"/>
      <c r="AW3283" s="125"/>
      <c r="AX3283" s="238"/>
      <c r="AY3283" s="125"/>
      <c r="AZ3283" s="125"/>
      <c r="BA3283" s="125"/>
    </row>
    <row r="3284" spans="2:53" s="123" customFormat="1">
      <c r="B3284" s="125"/>
      <c r="D3284" s="125"/>
      <c r="I3284" s="125"/>
      <c r="Z3284" s="124"/>
      <c r="AA3284" s="74"/>
      <c r="AB3284" s="240"/>
      <c r="AD3284" s="124"/>
      <c r="AE3284" s="238"/>
      <c r="AF3284" s="239"/>
      <c r="AG3284" s="239"/>
      <c r="AH3284" s="124"/>
      <c r="AI3284" s="74"/>
      <c r="AJ3284" s="240"/>
      <c r="AL3284" s="124"/>
      <c r="AM3284" s="74"/>
      <c r="AP3284" s="125"/>
      <c r="AQ3284" s="241"/>
      <c r="AR3284" s="125"/>
      <c r="AS3284" s="125"/>
      <c r="AT3284" s="238"/>
      <c r="AU3284" s="125"/>
      <c r="AV3284" s="125"/>
      <c r="AW3284" s="125"/>
      <c r="AX3284" s="238"/>
      <c r="AY3284" s="125"/>
      <c r="AZ3284" s="125"/>
      <c r="BA3284" s="125"/>
    </row>
    <row r="3285" spans="2:53" s="123" customFormat="1">
      <c r="B3285" s="125"/>
      <c r="D3285" s="125"/>
      <c r="I3285" s="125"/>
      <c r="Z3285" s="124"/>
      <c r="AA3285" s="74"/>
      <c r="AB3285" s="240"/>
      <c r="AD3285" s="124"/>
      <c r="AE3285" s="238"/>
      <c r="AF3285" s="239"/>
      <c r="AG3285" s="239"/>
      <c r="AH3285" s="124"/>
      <c r="AI3285" s="74"/>
      <c r="AJ3285" s="240"/>
      <c r="AL3285" s="124"/>
      <c r="AM3285" s="74"/>
      <c r="AP3285" s="125"/>
      <c r="AQ3285" s="241"/>
      <c r="AR3285" s="125"/>
      <c r="AS3285" s="125"/>
      <c r="AT3285" s="238"/>
      <c r="AU3285" s="125"/>
      <c r="AV3285" s="125"/>
      <c r="AW3285" s="125"/>
      <c r="AX3285" s="238"/>
      <c r="AY3285" s="125"/>
      <c r="AZ3285" s="125"/>
      <c r="BA3285" s="125"/>
    </row>
    <row r="3286" spans="2:53" s="123" customFormat="1">
      <c r="B3286" s="125"/>
      <c r="D3286" s="125"/>
      <c r="I3286" s="125"/>
      <c r="Z3286" s="124"/>
      <c r="AA3286" s="74"/>
      <c r="AB3286" s="240"/>
      <c r="AD3286" s="124"/>
      <c r="AE3286" s="238"/>
      <c r="AF3286" s="239"/>
      <c r="AG3286" s="239"/>
      <c r="AH3286" s="124"/>
      <c r="AI3286" s="74"/>
      <c r="AJ3286" s="240"/>
      <c r="AL3286" s="124"/>
      <c r="AM3286" s="74"/>
      <c r="AP3286" s="125"/>
      <c r="AQ3286" s="241"/>
      <c r="AR3286" s="125"/>
      <c r="AS3286" s="125"/>
      <c r="AT3286" s="238"/>
      <c r="AU3286" s="125"/>
      <c r="AV3286" s="125"/>
      <c r="AW3286" s="125"/>
      <c r="AX3286" s="238"/>
      <c r="AY3286" s="125"/>
      <c r="AZ3286" s="125"/>
      <c r="BA3286" s="125"/>
    </row>
    <row r="3287" spans="2:53" s="123" customFormat="1">
      <c r="B3287" s="125"/>
      <c r="D3287" s="125"/>
      <c r="I3287" s="125"/>
      <c r="Z3287" s="124"/>
      <c r="AA3287" s="74"/>
      <c r="AB3287" s="240"/>
      <c r="AD3287" s="124"/>
      <c r="AE3287" s="238"/>
      <c r="AF3287" s="239"/>
      <c r="AG3287" s="239"/>
      <c r="AH3287" s="124"/>
      <c r="AI3287" s="74"/>
      <c r="AJ3287" s="240"/>
      <c r="AL3287" s="124"/>
      <c r="AM3287" s="74"/>
      <c r="AP3287" s="125"/>
      <c r="AQ3287" s="241"/>
      <c r="AR3287" s="125"/>
      <c r="AS3287" s="125"/>
      <c r="AT3287" s="238"/>
      <c r="AU3287" s="125"/>
      <c r="AV3287" s="125"/>
      <c r="AW3287" s="125"/>
      <c r="AX3287" s="238"/>
      <c r="AY3287" s="125"/>
      <c r="AZ3287" s="125"/>
      <c r="BA3287" s="125"/>
    </row>
    <row r="3288" spans="2:53" s="123" customFormat="1">
      <c r="B3288" s="125"/>
      <c r="D3288" s="125"/>
      <c r="I3288" s="125"/>
      <c r="Z3288" s="124"/>
      <c r="AA3288" s="74"/>
      <c r="AB3288" s="240"/>
      <c r="AD3288" s="124"/>
      <c r="AE3288" s="238"/>
      <c r="AF3288" s="239"/>
      <c r="AG3288" s="239"/>
      <c r="AH3288" s="124"/>
      <c r="AI3288" s="74"/>
      <c r="AJ3288" s="240"/>
      <c r="AL3288" s="124"/>
      <c r="AM3288" s="74"/>
      <c r="AP3288" s="125"/>
      <c r="AQ3288" s="241"/>
      <c r="AR3288" s="125"/>
      <c r="AS3288" s="125"/>
      <c r="AT3288" s="238"/>
      <c r="AU3288" s="125"/>
      <c r="AV3288" s="125"/>
      <c r="AW3288" s="125"/>
      <c r="AX3288" s="238"/>
      <c r="AY3288" s="125"/>
      <c r="AZ3288" s="125"/>
      <c r="BA3288" s="125"/>
    </row>
    <row r="3289" spans="2:53" s="123" customFormat="1">
      <c r="B3289" s="125"/>
      <c r="D3289" s="125"/>
      <c r="I3289" s="125"/>
      <c r="Z3289" s="124"/>
      <c r="AA3289" s="74"/>
      <c r="AB3289" s="240"/>
      <c r="AD3289" s="124"/>
      <c r="AE3289" s="238"/>
      <c r="AF3289" s="239"/>
      <c r="AG3289" s="239"/>
      <c r="AH3289" s="124"/>
      <c r="AI3289" s="74"/>
      <c r="AJ3289" s="240"/>
      <c r="AL3289" s="124"/>
      <c r="AM3289" s="74"/>
      <c r="AP3289" s="125"/>
      <c r="AQ3289" s="241"/>
      <c r="AR3289" s="125"/>
      <c r="AS3289" s="125"/>
      <c r="AT3289" s="238"/>
      <c r="AU3289" s="125"/>
      <c r="AV3289" s="125"/>
      <c r="AW3289" s="125"/>
      <c r="AX3289" s="238"/>
      <c r="AY3289" s="125"/>
      <c r="AZ3289" s="125"/>
      <c r="BA3289" s="125"/>
    </row>
    <row r="3290" spans="2:53" s="123" customFormat="1">
      <c r="B3290" s="125"/>
      <c r="D3290" s="125"/>
      <c r="I3290" s="125"/>
      <c r="Z3290" s="124"/>
      <c r="AA3290" s="74"/>
      <c r="AB3290" s="240"/>
      <c r="AD3290" s="124"/>
      <c r="AE3290" s="238"/>
      <c r="AF3290" s="239"/>
      <c r="AG3290" s="239"/>
      <c r="AH3290" s="124"/>
      <c r="AI3290" s="74"/>
      <c r="AJ3290" s="240"/>
      <c r="AL3290" s="124"/>
      <c r="AM3290" s="74"/>
      <c r="AP3290" s="125"/>
      <c r="AQ3290" s="241"/>
      <c r="AR3290" s="125"/>
      <c r="AS3290" s="125"/>
      <c r="AT3290" s="238"/>
      <c r="AU3290" s="125"/>
      <c r="AV3290" s="125"/>
      <c r="AW3290" s="125"/>
      <c r="AX3290" s="238"/>
      <c r="AY3290" s="125"/>
      <c r="AZ3290" s="125"/>
      <c r="BA3290" s="125"/>
    </row>
    <row r="3291" spans="2:53" s="123" customFormat="1">
      <c r="B3291" s="125"/>
      <c r="D3291" s="125"/>
      <c r="I3291" s="125"/>
      <c r="Z3291" s="124"/>
      <c r="AA3291" s="74"/>
      <c r="AB3291" s="240"/>
      <c r="AD3291" s="124"/>
      <c r="AE3291" s="238"/>
      <c r="AF3291" s="239"/>
      <c r="AG3291" s="239"/>
      <c r="AH3291" s="124"/>
      <c r="AI3291" s="74"/>
      <c r="AJ3291" s="240"/>
      <c r="AL3291" s="124"/>
      <c r="AM3291" s="74"/>
      <c r="AP3291" s="125"/>
      <c r="AQ3291" s="241"/>
      <c r="AR3291" s="125"/>
      <c r="AS3291" s="125"/>
      <c r="AT3291" s="238"/>
      <c r="AU3291" s="125"/>
      <c r="AV3291" s="125"/>
      <c r="AW3291" s="125"/>
      <c r="AX3291" s="238"/>
      <c r="AY3291" s="125"/>
      <c r="AZ3291" s="125"/>
      <c r="BA3291" s="125"/>
    </row>
    <row r="3292" spans="2:53" s="123" customFormat="1">
      <c r="B3292" s="125"/>
      <c r="D3292" s="125"/>
      <c r="I3292" s="125"/>
      <c r="Z3292" s="124"/>
      <c r="AA3292" s="74"/>
      <c r="AB3292" s="240"/>
      <c r="AD3292" s="124"/>
      <c r="AE3292" s="238"/>
      <c r="AF3292" s="239"/>
      <c r="AG3292" s="239"/>
      <c r="AH3292" s="124"/>
      <c r="AI3292" s="74"/>
      <c r="AJ3292" s="240"/>
      <c r="AL3292" s="124"/>
      <c r="AM3292" s="74"/>
      <c r="AP3292" s="125"/>
      <c r="AQ3292" s="241"/>
      <c r="AR3292" s="125"/>
      <c r="AS3292" s="125"/>
      <c r="AT3292" s="238"/>
      <c r="AU3292" s="125"/>
      <c r="AV3292" s="125"/>
      <c r="AW3292" s="125"/>
      <c r="AX3292" s="238"/>
      <c r="AY3292" s="125"/>
      <c r="AZ3292" s="125"/>
      <c r="BA3292" s="125"/>
    </row>
    <row r="3293" spans="2:53" s="123" customFormat="1">
      <c r="B3293" s="125"/>
      <c r="D3293" s="125"/>
      <c r="I3293" s="125"/>
      <c r="Z3293" s="124"/>
      <c r="AA3293" s="74"/>
      <c r="AB3293" s="240"/>
      <c r="AD3293" s="124"/>
      <c r="AE3293" s="238"/>
      <c r="AF3293" s="239"/>
      <c r="AG3293" s="239"/>
      <c r="AH3293" s="124"/>
      <c r="AI3293" s="74"/>
      <c r="AJ3293" s="240"/>
      <c r="AL3293" s="124"/>
      <c r="AM3293" s="74"/>
      <c r="AP3293" s="125"/>
      <c r="AQ3293" s="241"/>
      <c r="AR3293" s="125"/>
      <c r="AS3293" s="125"/>
      <c r="AT3293" s="238"/>
      <c r="AU3293" s="125"/>
      <c r="AV3293" s="125"/>
      <c r="AW3293" s="125"/>
      <c r="AX3293" s="238"/>
      <c r="AY3293" s="125"/>
      <c r="AZ3293" s="125"/>
      <c r="BA3293" s="125"/>
    </row>
    <row r="3294" spans="2:53" s="123" customFormat="1">
      <c r="B3294" s="125"/>
      <c r="D3294" s="125"/>
      <c r="I3294" s="125"/>
      <c r="Z3294" s="124"/>
      <c r="AA3294" s="74"/>
      <c r="AB3294" s="240"/>
      <c r="AD3294" s="124"/>
      <c r="AE3294" s="238"/>
      <c r="AF3294" s="239"/>
      <c r="AG3294" s="239"/>
      <c r="AH3294" s="124"/>
      <c r="AI3294" s="74"/>
      <c r="AJ3294" s="240"/>
      <c r="AL3294" s="124"/>
      <c r="AM3294" s="74"/>
      <c r="AP3294" s="125"/>
      <c r="AQ3294" s="241"/>
      <c r="AR3294" s="125"/>
      <c r="AS3294" s="125"/>
      <c r="AT3294" s="238"/>
      <c r="AU3294" s="125"/>
      <c r="AV3294" s="125"/>
      <c r="AW3294" s="125"/>
      <c r="AX3294" s="238"/>
      <c r="AY3294" s="125"/>
      <c r="AZ3294" s="125"/>
      <c r="BA3294" s="125"/>
    </row>
    <row r="3295" spans="2:53" s="123" customFormat="1">
      <c r="B3295" s="125"/>
      <c r="D3295" s="125"/>
      <c r="I3295" s="125"/>
      <c r="Z3295" s="124"/>
      <c r="AA3295" s="74"/>
      <c r="AB3295" s="240"/>
      <c r="AD3295" s="124"/>
      <c r="AE3295" s="238"/>
      <c r="AF3295" s="239"/>
      <c r="AG3295" s="239"/>
      <c r="AH3295" s="124"/>
      <c r="AI3295" s="74"/>
      <c r="AJ3295" s="240"/>
      <c r="AL3295" s="124"/>
      <c r="AM3295" s="74"/>
      <c r="AP3295" s="125"/>
      <c r="AQ3295" s="241"/>
      <c r="AR3295" s="125"/>
      <c r="AS3295" s="125"/>
      <c r="AT3295" s="238"/>
      <c r="AU3295" s="125"/>
      <c r="AV3295" s="125"/>
      <c r="AW3295" s="125"/>
      <c r="AX3295" s="238"/>
      <c r="AY3295" s="125"/>
      <c r="AZ3295" s="125"/>
      <c r="BA3295" s="125"/>
    </row>
    <row r="3296" spans="2:53" s="123" customFormat="1">
      <c r="B3296" s="125"/>
      <c r="D3296" s="125"/>
      <c r="I3296" s="125"/>
      <c r="Z3296" s="124"/>
      <c r="AA3296" s="74"/>
      <c r="AB3296" s="240"/>
      <c r="AD3296" s="124"/>
      <c r="AE3296" s="238"/>
      <c r="AF3296" s="239"/>
      <c r="AG3296" s="239"/>
      <c r="AH3296" s="124"/>
      <c r="AI3296" s="74"/>
      <c r="AJ3296" s="240"/>
      <c r="AL3296" s="124"/>
      <c r="AM3296" s="74"/>
      <c r="AP3296" s="125"/>
      <c r="AQ3296" s="241"/>
      <c r="AR3296" s="125"/>
      <c r="AS3296" s="125"/>
      <c r="AT3296" s="238"/>
      <c r="AU3296" s="125"/>
      <c r="AV3296" s="125"/>
      <c r="AW3296" s="125"/>
      <c r="AX3296" s="238"/>
      <c r="AY3296" s="125"/>
      <c r="AZ3296" s="125"/>
      <c r="BA3296" s="125"/>
    </row>
    <row r="3297" spans="2:53" s="123" customFormat="1">
      <c r="B3297" s="125"/>
      <c r="D3297" s="125"/>
      <c r="I3297" s="125"/>
      <c r="Z3297" s="124"/>
      <c r="AA3297" s="74"/>
      <c r="AB3297" s="240"/>
      <c r="AD3297" s="124"/>
      <c r="AE3297" s="238"/>
      <c r="AF3297" s="239"/>
      <c r="AG3297" s="239"/>
      <c r="AH3297" s="124"/>
      <c r="AI3297" s="74"/>
      <c r="AJ3297" s="240"/>
      <c r="AL3297" s="124"/>
      <c r="AM3297" s="74"/>
      <c r="AP3297" s="125"/>
      <c r="AQ3297" s="241"/>
      <c r="AR3297" s="125"/>
      <c r="AS3297" s="125"/>
      <c r="AT3297" s="238"/>
      <c r="AU3297" s="125"/>
      <c r="AV3297" s="125"/>
      <c r="AW3297" s="125"/>
      <c r="AX3297" s="238"/>
      <c r="AY3297" s="125"/>
      <c r="AZ3297" s="125"/>
      <c r="BA3297" s="125"/>
    </row>
    <row r="3298" spans="2:53" s="123" customFormat="1">
      <c r="B3298" s="125"/>
      <c r="D3298" s="125"/>
      <c r="I3298" s="125"/>
      <c r="Z3298" s="124"/>
      <c r="AA3298" s="74"/>
      <c r="AB3298" s="240"/>
      <c r="AD3298" s="124"/>
      <c r="AE3298" s="238"/>
      <c r="AF3298" s="239"/>
      <c r="AG3298" s="239"/>
      <c r="AH3298" s="124"/>
      <c r="AI3298" s="74"/>
      <c r="AJ3298" s="240"/>
      <c r="AL3298" s="124"/>
      <c r="AM3298" s="74"/>
      <c r="AP3298" s="125"/>
      <c r="AQ3298" s="241"/>
      <c r="AR3298" s="125"/>
      <c r="AS3298" s="125"/>
      <c r="AT3298" s="238"/>
      <c r="AU3298" s="125"/>
      <c r="AV3298" s="125"/>
      <c r="AW3298" s="125"/>
      <c r="AX3298" s="238"/>
      <c r="AY3298" s="125"/>
      <c r="AZ3298" s="125"/>
      <c r="BA3298" s="125"/>
    </row>
    <row r="3299" spans="2:53" s="123" customFormat="1">
      <c r="B3299" s="125"/>
      <c r="D3299" s="125"/>
      <c r="I3299" s="125"/>
      <c r="Z3299" s="124"/>
      <c r="AA3299" s="74"/>
      <c r="AB3299" s="240"/>
      <c r="AD3299" s="124"/>
      <c r="AE3299" s="238"/>
      <c r="AF3299" s="239"/>
      <c r="AG3299" s="239"/>
      <c r="AH3299" s="124"/>
      <c r="AI3299" s="74"/>
      <c r="AJ3299" s="240"/>
      <c r="AL3299" s="124"/>
      <c r="AM3299" s="74"/>
      <c r="AP3299" s="125"/>
      <c r="AQ3299" s="241"/>
      <c r="AR3299" s="125"/>
      <c r="AS3299" s="125"/>
      <c r="AT3299" s="238"/>
      <c r="AU3299" s="125"/>
      <c r="AV3299" s="125"/>
      <c r="AW3299" s="125"/>
      <c r="AX3299" s="238"/>
      <c r="AY3299" s="125"/>
      <c r="AZ3299" s="125"/>
      <c r="BA3299" s="125"/>
    </row>
    <row r="3300" spans="2:53" s="123" customFormat="1">
      <c r="B3300" s="125"/>
      <c r="D3300" s="125"/>
      <c r="I3300" s="125"/>
      <c r="Z3300" s="124"/>
      <c r="AA3300" s="74"/>
      <c r="AB3300" s="240"/>
      <c r="AD3300" s="124"/>
      <c r="AE3300" s="238"/>
      <c r="AF3300" s="239"/>
      <c r="AG3300" s="239"/>
      <c r="AH3300" s="124"/>
      <c r="AI3300" s="74"/>
      <c r="AJ3300" s="240"/>
      <c r="AL3300" s="124"/>
      <c r="AM3300" s="74"/>
      <c r="AP3300" s="125"/>
      <c r="AQ3300" s="241"/>
      <c r="AR3300" s="125"/>
      <c r="AS3300" s="125"/>
      <c r="AT3300" s="238"/>
      <c r="AU3300" s="125"/>
      <c r="AV3300" s="125"/>
      <c r="AW3300" s="125"/>
      <c r="AX3300" s="238"/>
      <c r="AY3300" s="125"/>
      <c r="AZ3300" s="125"/>
      <c r="BA3300" s="125"/>
    </row>
    <row r="3301" spans="2:53" s="123" customFormat="1">
      <c r="B3301" s="125"/>
      <c r="D3301" s="125"/>
      <c r="I3301" s="125"/>
      <c r="Z3301" s="124"/>
      <c r="AA3301" s="74"/>
      <c r="AB3301" s="240"/>
      <c r="AD3301" s="124"/>
      <c r="AE3301" s="238"/>
      <c r="AF3301" s="239"/>
      <c r="AG3301" s="239"/>
      <c r="AH3301" s="124"/>
      <c r="AI3301" s="74"/>
      <c r="AJ3301" s="240"/>
      <c r="AL3301" s="124"/>
      <c r="AM3301" s="74"/>
      <c r="AP3301" s="125"/>
      <c r="AQ3301" s="241"/>
      <c r="AR3301" s="125"/>
      <c r="AS3301" s="125"/>
      <c r="AT3301" s="238"/>
      <c r="AU3301" s="125"/>
      <c r="AV3301" s="125"/>
      <c r="AW3301" s="125"/>
      <c r="AX3301" s="238"/>
      <c r="AY3301" s="125"/>
      <c r="AZ3301" s="125"/>
      <c r="BA3301" s="125"/>
    </row>
    <row r="3302" spans="2:53" s="123" customFormat="1">
      <c r="B3302" s="125"/>
      <c r="D3302" s="125"/>
      <c r="I3302" s="125"/>
      <c r="Z3302" s="124"/>
      <c r="AA3302" s="74"/>
      <c r="AB3302" s="240"/>
      <c r="AD3302" s="124"/>
      <c r="AE3302" s="238"/>
      <c r="AF3302" s="239"/>
      <c r="AG3302" s="239"/>
      <c r="AH3302" s="124"/>
      <c r="AI3302" s="74"/>
      <c r="AJ3302" s="240"/>
      <c r="AL3302" s="124"/>
      <c r="AM3302" s="74"/>
      <c r="AP3302" s="125"/>
      <c r="AQ3302" s="241"/>
      <c r="AR3302" s="125"/>
      <c r="AS3302" s="125"/>
      <c r="AT3302" s="238"/>
      <c r="AU3302" s="125"/>
      <c r="AV3302" s="125"/>
      <c r="AW3302" s="125"/>
      <c r="AX3302" s="238"/>
      <c r="AY3302" s="125"/>
      <c r="AZ3302" s="125"/>
      <c r="BA3302" s="125"/>
    </row>
    <row r="3303" spans="2:53" s="123" customFormat="1">
      <c r="B3303" s="125"/>
      <c r="D3303" s="125"/>
      <c r="I3303" s="125"/>
      <c r="Z3303" s="124"/>
      <c r="AA3303" s="74"/>
      <c r="AB3303" s="240"/>
      <c r="AD3303" s="124"/>
      <c r="AE3303" s="238"/>
      <c r="AF3303" s="239"/>
      <c r="AG3303" s="239"/>
      <c r="AH3303" s="124"/>
      <c r="AI3303" s="74"/>
      <c r="AJ3303" s="240"/>
      <c r="AL3303" s="124"/>
      <c r="AM3303" s="74"/>
      <c r="AP3303" s="125"/>
      <c r="AQ3303" s="241"/>
      <c r="AR3303" s="125"/>
      <c r="AS3303" s="125"/>
      <c r="AT3303" s="238"/>
      <c r="AU3303" s="125"/>
      <c r="AV3303" s="125"/>
      <c r="AW3303" s="125"/>
      <c r="AX3303" s="238"/>
      <c r="AY3303" s="125"/>
      <c r="AZ3303" s="125"/>
      <c r="BA3303" s="125"/>
    </row>
    <row r="3304" spans="2:53" s="123" customFormat="1">
      <c r="B3304" s="125"/>
      <c r="D3304" s="125"/>
      <c r="I3304" s="125"/>
      <c r="Z3304" s="124"/>
      <c r="AA3304" s="74"/>
      <c r="AB3304" s="240"/>
      <c r="AD3304" s="124"/>
      <c r="AE3304" s="238"/>
      <c r="AF3304" s="239"/>
      <c r="AG3304" s="239"/>
      <c r="AH3304" s="124"/>
      <c r="AI3304" s="74"/>
      <c r="AJ3304" s="240"/>
      <c r="AL3304" s="124"/>
      <c r="AM3304" s="74"/>
      <c r="AP3304" s="125"/>
      <c r="AQ3304" s="241"/>
      <c r="AR3304" s="125"/>
      <c r="AS3304" s="125"/>
      <c r="AT3304" s="238"/>
      <c r="AU3304" s="125"/>
      <c r="AV3304" s="125"/>
      <c r="AW3304" s="125"/>
      <c r="AX3304" s="238"/>
      <c r="AY3304" s="125"/>
      <c r="AZ3304" s="125"/>
      <c r="BA3304" s="125"/>
    </row>
    <row r="3305" spans="2:53" s="123" customFormat="1">
      <c r="B3305" s="125"/>
      <c r="D3305" s="125"/>
      <c r="I3305" s="125"/>
      <c r="Z3305" s="124"/>
      <c r="AA3305" s="74"/>
      <c r="AB3305" s="240"/>
      <c r="AD3305" s="124"/>
      <c r="AE3305" s="238"/>
      <c r="AF3305" s="239"/>
      <c r="AG3305" s="239"/>
      <c r="AH3305" s="124"/>
      <c r="AI3305" s="74"/>
      <c r="AJ3305" s="240"/>
      <c r="AL3305" s="124"/>
      <c r="AM3305" s="74"/>
      <c r="AP3305" s="125"/>
      <c r="AQ3305" s="241"/>
      <c r="AR3305" s="125"/>
      <c r="AS3305" s="125"/>
      <c r="AT3305" s="238"/>
      <c r="AU3305" s="125"/>
      <c r="AV3305" s="125"/>
      <c r="AW3305" s="125"/>
      <c r="AX3305" s="238"/>
      <c r="AY3305" s="125"/>
      <c r="AZ3305" s="125"/>
      <c r="BA3305" s="125"/>
    </row>
    <row r="3306" spans="2:53" s="123" customFormat="1">
      <c r="B3306" s="125"/>
      <c r="D3306" s="125"/>
      <c r="I3306" s="125"/>
      <c r="Z3306" s="124"/>
      <c r="AA3306" s="74"/>
      <c r="AB3306" s="240"/>
      <c r="AD3306" s="124"/>
      <c r="AE3306" s="238"/>
      <c r="AF3306" s="239"/>
      <c r="AG3306" s="239"/>
      <c r="AH3306" s="124"/>
      <c r="AI3306" s="74"/>
      <c r="AJ3306" s="240"/>
      <c r="AL3306" s="124"/>
      <c r="AM3306" s="74"/>
      <c r="AP3306" s="125"/>
      <c r="AQ3306" s="241"/>
      <c r="AR3306" s="125"/>
      <c r="AS3306" s="125"/>
      <c r="AT3306" s="238"/>
      <c r="AU3306" s="125"/>
      <c r="AV3306" s="125"/>
      <c r="AW3306" s="125"/>
      <c r="AX3306" s="238"/>
      <c r="AY3306" s="125"/>
      <c r="AZ3306" s="125"/>
      <c r="BA3306" s="125"/>
    </row>
    <row r="3307" spans="2:53" s="123" customFormat="1">
      <c r="B3307" s="125"/>
      <c r="D3307" s="125"/>
      <c r="I3307" s="125"/>
      <c r="Z3307" s="124"/>
      <c r="AA3307" s="74"/>
      <c r="AB3307" s="240"/>
      <c r="AD3307" s="124"/>
      <c r="AE3307" s="238"/>
      <c r="AF3307" s="239"/>
      <c r="AG3307" s="239"/>
      <c r="AH3307" s="124"/>
      <c r="AI3307" s="74"/>
      <c r="AJ3307" s="240"/>
      <c r="AL3307" s="124"/>
      <c r="AM3307" s="74"/>
      <c r="AP3307" s="125"/>
      <c r="AQ3307" s="241"/>
      <c r="AR3307" s="125"/>
      <c r="AS3307" s="125"/>
      <c r="AT3307" s="238"/>
      <c r="AU3307" s="125"/>
      <c r="AV3307" s="125"/>
      <c r="AW3307" s="125"/>
      <c r="AX3307" s="238"/>
      <c r="AY3307" s="125"/>
      <c r="AZ3307" s="125"/>
      <c r="BA3307" s="125"/>
    </row>
    <row r="3308" spans="2:53" s="123" customFormat="1">
      <c r="B3308" s="125"/>
      <c r="D3308" s="125"/>
      <c r="I3308" s="125"/>
      <c r="Z3308" s="124"/>
      <c r="AA3308" s="74"/>
      <c r="AB3308" s="240"/>
      <c r="AD3308" s="124"/>
      <c r="AE3308" s="238"/>
      <c r="AF3308" s="239"/>
      <c r="AG3308" s="239"/>
      <c r="AH3308" s="124"/>
      <c r="AI3308" s="74"/>
      <c r="AJ3308" s="240"/>
      <c r="AL3308" s="124"/>
      <c r="AM3308" s="74"/>
      <c r="AP3308" s="125"/>
      <c r="AQ3308" s="241"/>
      <c r="AR3308" s="125"/>
      <c r="AS3308" s="125"/>
      <c r="AT3308" s="238"/>
      <c r="AU3308" s="125"/>
      <c r="AV3308" s="125"/>
      <c r="AW3308" s="125"/>
      <c r="AX3308" s="238"/>
      <c r="AY3308" s="125"/>
      <c r="AZ3308" s="125"/>
      <c r="BA3308" s="125"/>
    </row>
    <row r="3309" spans="2:53" s="123" customFormat="1">
      <c r="B3309" s="125"/>
      <c r="D3309" s="125"/>
      <c r="I3309" s="125"/>
      <c r="Z3309" s="124"/>
      <c r="AA3309" s="74"/>
      <c r="AB3309" s="240"/>
      <c r="AD3309" s="124"/>
      <c r="AE3309" s="238"/>
      <c r="AF3309" s="239"/>
      <c r="AG3309" s="239"/>
      <c r="AH3309" s="124"/>
      <c r="AI3309" s="74"/>
      <c r="AJ3309" s="240"/>
      <c r="AL3309" s="124"/>
      <c r="AM3309" s="74"/>
      <c r="AP3309" s="125"/>
      <c r="AQ3309" s="241"/>
      <c r="AR3309" s="125"/>
      <c r="AS3309" s="125"/>
      <c r="AT3309" s="238"/>
      <c r="AU3309" s="125"/>
      <c r="AV3309" s="125"/>
      <c r="AW3309" s="125"/>
      <c r="AX3309" s="238"/>
      <c r="AY3309" s="125"/>
      <c r="AZ3309" s="125"/>
      <c r="BA3309" s="125"/>
    </row>
    <row r="3310" spans="2:53" s="123" customFormat="1">
      <c r="B3310" s="125"/>
      <c r="D3310" s="125"/>
      <c r="I3310" s="125"/>
      <c r="Z3310" s="124"/>
      <c r="AA3310" s="74"/>
      <c r="AB3310" s="240"/>
      <c r="AD3310" s="124"/>
      <c r="AE3310" s="238"/>
      <c r="AF3310" s="239"/>
      <c r="AG3310" s="239"/>
      <c r="AH3310" s="124"/>
      <c r="AI3310" s="74"/>
      <c r="AJ3310" s="240"/>
      <c r="AL3310" s="124"/>
      <c r="AM3310" s="74"/>
      <c r="AP3310" s="125"/>
      <c r="AQ3310" s="241"/>
      <c r="AR3310" s="125"/>
      <c r="AS3310" s="125"/>
      <c r="AT3310" s="238"/>
      <c r="AU3310" s="125"/>
      <c r="AV3310" s="125"/>
      <c r="AW3310" s="125"/>
      <c r="AX3310" s="238"/>
      <c r="AY3310" s="125"/>
      <c r="AZ3310" s="125"/>
      <c r="BA3310" s="125"/>
    </row>
    <row r="3311" spans="2:53" s="123" customFormat="1">
      <c r="B3311" s="125"/>
      <c r="D3311" s="125"/>
      <c r="I3311" s="125"/>
      <c r="Z3311" s="124"/>
      <c r="AA3311" s="74"/>
      <c r="AB3311" s="240"/>
      <c r="AD3311" s="124"/>
      <c r="AE3311" s="238"/>
      <c r="AF3311" s="239"/>
      <c r="AG3311" s="239"/>
      <c r="AH3311" s="124"/>
      <c r="AI3311" s="74"/>
      <c r="AJ3311" s="240"/>
      <c r="AL3311" s="124"/>
      <c r="AM3311" s="74"/>
      <c r="AP3311" s="125"/>
      <c r="AQ3311" s="241"/>
      <c r="AR3311" s="125"/>
      <c r="AS3311" s="125"/>
      <c r="AT3311" s="238"/>
      <c r="AU3311" s="125"/>
      <c r="AV3311" s="125"/>
      <c r="AW3311" s="125"/>
      <c r="AX3311" s="238"/>
      <c r="AY3311" s="125"/>
      <c r="AZ3311" s="125"/>
      <c r="BA3311" s="125"/>
    </row>
    <row r="3312" spans="2:53" s="123" customFormat="1">
      <c r="B3312" s="125"/>
      <c r="D3312" s="125"/>
      <c r="I3312" s="125"/>
      <c r="Z3312" s="124"/>
      <c r="AA3312" s="74"/>
      <c r="AB3312" s="240"/>
      <c r="AD3312" s="124"/>
      <c r="AE3312" s="238"/>
      <c r="AF3312" s="239"/>
      <c r="AG3312" s="239"/>
      <c r="AH3312" s="124"/>
      <c r="AI3312" s="74"/>
      <c r="AJ3312" s="240"/>
      <c r="AL3312" s="124"/>
      <c r="AM3312" s="74"/>
      <c r="AP3312" s="125"/>
      <c r="AQ3312" s="241"/>
      <c r="AR3312" s="125"/>
      <c r="AS3312" s="125"/>
      <c r="AT3312" s="238"/>
      <c r="AU3312" s="125"/>
      <c r="AV3312" s="125"/>
      <c r="AW3312" s="125"/>
      <c r="AX3312" s="238"/>
      <c r="AY3312" s="125"/>
      <c r="AZ3312" s="125"/>
      <c r="BA3312" s="125"/>
    </row>
    <row r="3313" spans="2:53" s="123" customFormat="1">
      <c r="B3313" s="125"/>
      <c r="D3313" s="125"/>
      <c r="I3313" s="125"/>
      <c r="Z3313" s="124"/>
      <c r="AA3313" s="74"/>
      <c r="AB3313" s="240"/>
      <c r="AD3313" s="124"/>
      <c r="AE3313" s="238"/>
      <c r="AF3313" s="239"/>
      <c r="AG3313" s="239"/>
      <c r="AH3313" s="124"/>
      <c r="AI3313" s="74"/>
      <c r="AJ3313" s="240"/>
      <c r="AL3313" s="124"/>
      <c r="AM3313" s="74"/>
      <c r="AP3313" s="125"/>
      <c r="AQ3313" s="241"/>
      <c r="AR3313" s="125"/>
      <c r="AS3313" s="125"/>
      <c r="AT3313" s="238"/>
      <c r="AU3313" s="125"/>
      <c r="AV3313" s="125"/>
      <c r="AW3313" s="125"/>
      <c r="AX3313" s="238"/>
      <c r="AY3313" s="125"/>
      <c r="AZ3313" s="125"/>
      <c r="BA3313" s="125"/>
    </row>
    <row r="3314" spans="2:53" s="123" customFormat="1">
      <c r="B3314" s="125"/>
      <c r="D3314" s="125"/>
      <c r="I3314" s="125"/>
      <c r="Z3314" s="124"/>
      <c r="AA3314" s="74"/>
      <c r="AB3314" s="240"/>
      <c r="AD3314" s="124"/>
      <c r="AE3314" s="238"/>
      <c r="AF3314" s="239"/>
      <c r="AG3314" s="239"/>
      <c r="AH3314" s="124"/>
      <c r="AI3314" s="74"/>
      <c r="AJ3314" s="240"/>
      <c r="AL3314" s="124"/>
      <c r="AM3314" s="74"/>
      <c r="AP3314" s="125"/>
      <c r="AQ3314" s="241"/>
      <c r="AR3314" s="125"/>
      <c r="AS3314" s="125"/>
      <c r="AT3314" s="238"/>
      <c r="AU3314" s="125"/>
      <c r="AV3314" s="125"/>
      <c r="AW3314" s="125"/>
      <c r="AX3314" s="238"/>
      <c r="AY3314" s="125"/>
      <c r="AZ3314" s="125"/>
      <c r="BA3314" s="125"/>
    </row>
    <row r="3315" spans="2:53" s="123" customFormat="1">
      <c r="B3315" s="125"/>
      <c r="D3315" s="125"/>
      <c r="I3315" s="125"/>
      <c r="Z3315" s="124"/>
      <c r="AA3315" s="74"/>
      <c r="AB3315" s="240"/>
      <c r="AD3315" s="124"/>
      <c r="AE3315" s="238"/>
      <c r="AF3315" s="239"/>
      <c r="AG3315" s="239"/>
      <c r="AH3315" s="124"/>
      <c r="AI3315" s="74"/>
      <c r="AJ3315" s="240"/>
      <c r="AL3315" s="124"/>
      <c r="AM3315" s="74"/>
      <c r="AP3315" s="125"/>
      <c r="AQ3315" s="241"/>
      <c r="AR3315" s="125"/>
      <c r="AS3315" s="125"/>
      <c r="AT3315" s="238"/>
      <c r="AU3315" s="125"/>
      <c r="AV3315" s="125"/>
      <c r="AW3315" s="125"/>
      <c r="AX3315" s="238"/>
      <c r="AY3315" s="125"/>
      <c r="AZ3315" s="125"/>
      <c r="BA3315" s="125"/>
    </row>
    <row r="3316" spans="2:53" s="123" customFormat="1">
      <c r="B3316" s="125"/>
      <c r="D3316" s="125"/>
      <c r="I3316" s="125"/>
      <c r="Z3316" s="124"/>
      <c r="AA3316" s="74"/>
      <c r="AB3316" s="240"/>
      <c r="AD3316" s="124"/>
      <c r="AE3316" s="238"/>
      <c r="AF3316" s="239"/>
      <c r="AG3316" s="239"/>
      <c r="AH3316" s="124"/>
      <c r="AI3316" s="74"/>
      <c r="AJ3316" s="240"/>
      <c r="AL3316" s="124"/>
      <c r="AM3316" s="74"/>
      <c r="AP3316" s="125"/>
      <c r="AQ3316" s="241"/>
      <c r="AR3316" s="125"/>
      <c r="AS3316" s="125"/>
      <c r="AT3316" s="238"/>
      <c r="AU3316" s="125"/>
      <c r="AV3316" s="125"/>
      <c r="AW3316" s="125"/>
      <c r="AX3316" s="238"/>
      <c r="AY3316" s="125"/>
      <c r="AZ3316" s="125"/>
      <c r="BA3316" s="125"/>
    </row>
    <row r="3317" spans="2:53" s="123" customFormat="1">
      <c r="B3317" s="125"/>
      <c r="D3317" s="125"/>
      <c r="I3317" s="125"/>
      <c r="Z3317" s="124"/>
      <c r="AA3317" s="74"/>
      <c r="AB3317" s="240"/>
      <c r="AD3317" s="124"/>
      <c r="AE3317" s="238"/>
      <c r="AF3317" s="239"/>
      <c r="AG3317" s="239"/>
      <c r="AH3317" s="124"/>
      <c r="AI3317" s="74"/>
      <c r="AJ3317" s="240"/>
      <c r="AL3317" s="124"/>
      <c r="AM3317" s="74"/>
      <c r="AP3317" s="125"/>
      <c r="AQ3317" s="241"/>
      <c r="AR3317" s="125"/>
      <c r="AS3317" s="125"/>
      <c r="AT3317" s="238"/>
      <c r="AU3317" s="125"/>
      <c r="AV3317" s="125"/>
      <c r="AW3317" s="125"/>
      <c r="AX3317" s="238"/>
      <c r="AY3317" s="125"/>
      <c r="AZ3317" s="125"/>
      <c r="BA3317" s="125"/>
    </row>
    <row r="3318" spans="2:53" s="123" customFormat="1">
      <c r="B3318" s="125"/>
      <c r="D3318" s="125"/>
      <c r="I3318" s="125"/>
      <c r="Z3318" s="124"/>
      <c r="AA3318" s="74"/>
      <c r="AB3318" s="240"/>
      <c r="AD3318" s="124"/>
      <c r="AE3318" s="238"/>
      <c r="AF3318" s="239"/>
      <c r="AG3318" s="239"/>
      <c r="AH3318" s="124"/>
      <c r="AI3318" s="74"/>
      <c r="AJ3318" s="240"/>
      <c r="AL3318" s="124"/>
      <c r="AM3318" s="74"/>
      <c r="AP3318" s="125"/>
      <c r="AQ3318" s="241"/>
      <c r="AR3318" s="125"/>
      <c r="AS3318" s="125"/>
      <c r="AT3318" s="238"/>
      <c r="AU3318" s="125"/>
      <c r="AV3318" s="125"/>
      <c r="AW3318" s="125"/>
      <c r="AX3318" s="238"/>
      <c r="AY3318" s="125"/>
      <c r="AZ3318" s="125"/>
      <c r="BA3318" s="125"/>
    </row>
    <row r="3319" spans="2:53" s="123" customFormat="1">
      <c r="B3319" s="125"/>
      <c r="D3319" s="125"/>
      <c r="I3319" s="125"/>
      <c r="Z3319" s="124"/>
      <c r="AA3319" s="74"/>
      <c r="AB3319" s="240"/>
      <c r="AD3319" s="124"/>
      <c r="AE3319" s="238"/>
      <c r="AF3319" s="239"/>
      <c r="AG3319" s="239"/>
      <c r="AH3319" s="124"/>
      <c r="AI3319" s="74"/>
      <c r="AJ3319" s="240"/>
      <c r="AL3319" s="124"/>
      <c r="AM3319" s="74"/>
      <c r="AP3319" s="125"/>
      <c r="AQ3319" s="241"/>
      <c r="AR3319" s="125"/>
      <c r="AS3319" s="125"/>
      <c r="AT3319" s="238"/>
      <c r="AU3319" s="125"/>
      <c r="AV3319" s="125"/>
      <c r="AW3319" s="125"/>
      <c r="AX3319" s="238"/>
      <c r="AY3319" s="125"/>
      <c r="AZ3319" s="125"/>
      <c r="BA3319" s="125"/>
    </row>
    <row r="3320" spans="2:53" s="123" customFormat="1">
      <c r="B3320" s="125"/>
      <c r="D3320" s="125"/>
      <c r="I3320" s="125"/>
      <c r="Z3320" s="124"/>
      <c r="AA3320" s="74"/>
      <c r="AB3320" s="240"/>
      <c r="AD3320" s="124"/>
      <c r="AE3320" s="238"/>
      <c r="AF3320" s="239"/>
      <c r="AG3320" s="239"/>
      <c r="AH3320" s="124"/>
      <c r="AI3320" s="74"/>
      <c r="AJ3320" s="240"/>
      <c r="AL3320" s="124"/>
      <c r="AM3320" s="74"/>
      <c r="AP3320" s="125"/>
      <c r="AQ3320" s="241"/>
      <c r="AR3320" s="125"/>
      <c r="AS3320" s="125"/>
      <c r="AT3320" s="238"/>
      <c r="AU3320" s="125"/>
      <c r="AV3320" s="125"/>
      <c r="AW3320" s="125"/>
      <c r="AX3320" s="238"/>
      <c r="AY3320" s="125"/>
      <c r="AZ3320" s="125"/>
      <c r="BA3320" s="125"/>
    </row>
    <row r="3321" spans="2:53" s="123" customFormat="1">
      <c r="B3321" s="125"/>
      <c r="D3321" s="125"/>
      <c r="I3321" s="125"/>
      <c r="Z3321" s="124"/>
      <c r="AA3321" s="74"/>
      <c r="AB3321" s="240"/>
      <c r="AD3321" s="124"/>
      <c r="AE3321" s="238"/>
      <c r="AF3321" s="239"/>
      <c r="AG3321" s="239"/>
      <c r="AH3321" s="124"/>
      <c r="AI3321" s="74"/>
      <c r="AJ3321" s="240"/>
      <c r="AL3321" s="124"/>
      <c r="AM3321" s="74"/>
      <c r="AP3321" s="125"/>
      <c r="AQ3321" s="241"/>
      <c r="AR3321" s="125"/>
      <c r="AS3321" s="125"/>
      <c r="AT3321" s="238"/>
      <c r="AU3321" s="125"/>
      <c r="AV3321" s="125"/>
      <c r="AW3321" s="125"/>
      <c r="AX3321" s="238"/>
      <c r="AY3321" s="125"/>
      <c r="AZ3321" s="125"/>
      <c r="BA3321" s="125"/>
    </row>
    <row r="3322" spans="2:53" s="123" customFormat="1">
      <c r="B3322" s="125"/>
      <c r="D3322" s="125"/>
      <c r="I3322" s="125"/>
      <c r="Z3322" s="124"/>
      <c r="AA3322" s="74"/>
      <c r="AB3322" s="240"/>
      <c r="AD3322" s="124"/>
      <c r="AE3322" s="238"/>
      <c r="AF3322" s="239"/>
      <c r="AG3322" s="239"/>
      <c r="AH3322" s="124"/>
      <c r="AI3322" s="74"/>
      <c r="AJ3322" s="240"/>
      <c r="AL3322" s="124"/>
      <c r="AM3322" s="74"/>
      <c r="AP3322" s="125"/>
      <c r="AQ3322" s="241"/>
      <c r="AR3322" s="125"/>
      <c r="AS3322" s="125"/>
      <c r="AT3322" s="238"/>
      <c r="AU3322" s="125"/>
      <c r="AV3322" s="125"/>
      <c r="AW3322" s="125"/>
      <c r="AX3322" s="238"/>
      <c r="AY3322" s="125"/>
      <c r="AZ3322" s="125"/>
      <c r="BA3322" s="125"/>
    </row>
    <row r="3323" spans="2:53" s="123" customFormat="1">
      <c r="B3323" s="125"/>
      <c r="D3323" s="125"/>
      <c r="I3323" s="125"/>
      <c r="Z3323" s="124"/>
      <c r="AA3323" s="74"/>
      <c r="AB3323" s="240"/>
      <c r="AD3323" s="124"/>
      <c r="AE3323" s="238"/>
      <c r="AF3323" s="239"/>
      <c r="AG3323" s="239"/>
      <c r="AH3323" s="124"/>
      <c r="AI3323" s="74"/>
      <c r="AJ3323" s="240"/>
      <c r="AL3323" s="124"/>
      <c r="AM3323" s="74"/>
      <c r="AP3323" s="125"/>
      <c r="AQ3323" s="241"/>
      <c r="AR3323" s="125"/>
      <c r="AS3323" s="125"/>
      <c r="AT3323" s="238"/>
      <c r="AU3323" s="125"/>
      <c r="AV3323" s="125"/>
      <c r="AW3323" s="125"/>
      <c r="AX3323" s="238"/>
      <c r="AY3323" s="125"/>
      <c r="AZ3323" s="125"/>
      <c r="BA3323" s="125"/>
    </row>
    <row r="3324" spans="2:53" s="123" customFormat="1">
      <c r="B3324" s="125"/>
      <c r="D3324" s="125"/>
      <c r="I3324" s="125"/>
      <c r="Z3324" s="124"/>
      <c r="AA3324" s="74"/>
      <c r="AB3324" s="240"/>
      <c r="AD3324" s="124"/>
      <c r="AE3324" s="238"/>
      <c r="AF3324" s="239"/>
      <c r="AG3324" s="239"/>
      <c r="AH3324" s="124"/>
      <c r="AI3324" s="74"/>
      <c r="AJ3324" s="240"/>
      <c r="AL3324" s="124"/>
      <c r="AM3324" s="74"/>
      <c r="AP3324" s="125"/>
      <c r="AQ3324" s="241"/>
      <c r="AR3324" s="125"/>
      <c r="AS3324" s="125"/>
      <c r="AT3324" s="238"/>
      <c r="AU3324" s="125"/>
      <c r="AV3324" s="125"/>
      <c r="AW3324" s="125"/>
      <c r="AX3324" s="238"/>
      <c r="AY3324" s="125"/>
      <c r="AZ3324" s="125"/>
      <c r="BA3324" s="125"/>
    </row>
    <row r="3325" spans="2:53" s="123" customFormat="1">
      <c r="B3325" s="125"/>
      <c r="D3325" s="125"/>
      <c r="I3325" s="125"/>
      <c r="Z3325" s="124"/>
      <c r="AA3325" s="74"/>
      <c r="AB3325" s="240"/>
      <c r="AD3325" s="124"/>
      <c r="AE3325" s="238"/>
      <c r="AF3325" s="239"/>
      <c r="AG3325" s="239"/>
      <c r="AH3325" s="124"/>
      <c r="AI3325" s="74"/>
      <c r="AJ3325" s="240"/>
      <c r="AL3325" s="124"/>
      <c r="AM3325" s="74"/>
      <c r="AP3325" s="125"/>
      <c r="AQ3325" s="241"/>
      <c r="AR3325" s="125"/>
      <c r="AS3325" s="125"/>
      <c r="AT3325" s="238"/>
      <c r="AU3325" s="125"/>
      <c r="AV3325" s="125"/>
      <c r="AW3325" s="125"/>
      <c r="AX3325" s="238"/>
      <c r="AY3325" s="125"/>
      <c r="AZ3325" s="125"/>
      <c r="BA3325" s="125"/>
    </row>
    <row r="3326" spans="2:53" s="123" customFormat="1">
      <c r="B3326" s="125"/>
      <c r="D3326" s="125"/>
      <c r="I3326" s="125"/>
      <c r="Z3326" s="124"/>
      <c r="AA3326" s="74"/>
      <c r="AB3326" s="240"/>
      <c r="AD3326" s="124"/>
      <c r="AE3326" s="238"/>
      <c r="AF3326" s="239"/>
      <c r="AG3326" s="239"/>
      <c r="AH3326" s="124"/>
      <c r="AI3326" s="74"/>
      <c r="AJ3326" s="240"/>
      <c r="AL3326" s="124"/>
      <c r="AM3326" s="74"/>
      <c r="AP3326" s="125"/>
      <c r="AQ3326" s="241"/>
      <c r="AR3326" s="125"/>
      <c r="AS3326" s="125"/>
      <c r="AT3326" s="238"/>
      <c r="AU3326" s="125"/>
      <c r="AV3326" s="125"/>
      <c r="AW3326" s="125"/>
      <c r="AX3326" s="238"/>
      <c r="AY3326" s="125"/>
      <c r="AZ3326" s="125"/>
      <c r="BA3326" s="125"/>
    </row>
    <row r="3327" spans="2:53" s="123" customFormat="1">
      <c r="B3327" s="125"/>
      <c r="D3327" s="125"/>
      <c r="I3327" s="125"/>
      <c r="Z3327" s="124"/>
      <c r="AA3327" s="74"/>
      <c r="AB3327" s="240"/>
      <c r="AD3327" s="124"/>
      <c r="AE3327" s="238"/>
      <c r="AF3327" s="239"/>
      <c r="AG3327" s="239"/>
      <c r="AH3327" s="124"/>
      <c r="AI3327" s="74"/>
      <c r="AJ3327" s="240"/>
      <c r="AL3327" s="124"/>
      <c r="AM3327" s="74"/>
      <c r="AP3327" s="125"/>
      <c r="AQ3327" s="241"/>
      <c r="AR3327" s="125"/>
      <c r="AS3327" s="125"/>
      <c r="AT3327" s="238"/>
      <c r="AU3327" s="125"/>
      <c r="AV3327" s="125"/>
      <c r="AW3327" s="125"/>
      <c r="AX3327" s="238"/>
      <c r="AY3327" s="125"/>
      <c r="AZ3327" s="125"/>
      <c r="BA3327" s="125"/>
    </row>
    <row r="3328" spans="2:53" s="123" customFormat="1">
      <c r="B3328" s="125"/>
      <c r="D3328" s="125"/>
      <c r="I3328" s="125"/>
      <c r="Z3328" s="124"/>
      <c r="AA3328" s="74"/>
      <c r="AB3328" s="240"/>
      <c r="AD3328" s="124"/>
      <c r="AE3328" s="238"/>
      <c r="AF3328" s="239"/>
      <c r="AG3328" s="239"/>
      <c r="AH3328" s="124"/>
      <c r="AI3328" s="74"/>
      <c r="AJ3328" s="240"/>
      <c r="AL3328" s="124"/>
      <c r="AM3328" s="74"/>
      <c r="AP3328" s="125"/>
      <c r="AQ3328" s="241"/>
      <c r="AR3328" s="125"/>
      <c r="AS3328" s="125"/>
      <c r="AT3328" s="238"/>
      <c r="AU3328" s="125"/>
      <c r="AV3328" s="125"/>
      <c r="AW3328" s="125"/>
      <c r="AX3328" s="238"/>
      <c r="AY3328" s="125"/>
      <c r="AZ3328" s="125"/>
      <c r="BA3328" s="125"/>
    </row>
    <row r="3329" spans="2:53" s="123" customFormat="1">
      <c r="B3329" s="125"/>
      <c r="D3329" s="125"/>
      <c r="I3329" s="125"/>
      <c r="Z3329" s="124"/>
      <c r="AA3329" s="74"/>
      <c r="AB3329" s="240"/>
      <c r="AD3329" s="124"/>
      <c r="AE3329" s="238"/>
      <c r="AF3329" s="239"/>
      <c r="AG3329" s="239"/>
      <c r="AH3329" s="124"/>
      <c r="AI3329" s="74"/>
      <c r="AJ3329" s="240"/>
      <c r="AL3329" s="124"/>
      <c r="AM3329" s="74"/>
      <c r="AP3329" s="125"/>
      <c r="AQ3329" s="241"/>
      <c r="AR3329" s="125"/>
      <c r="AS3329" s="125"/>
      <c r="AT3329" s="238"/>
      <c r="AU3329" s="125"/>
      <c r="AV3329" s="125"/>
      <c r="AW3329" s="125"/>
      <c r="AX3329" s="238"/>
      <c r="AY3329" s="125"/>
      <c r="AZ3329" s="125"/>
      <c r="BA3329" s="125"/>
    </row>
    <row r="3330" spans="2:53" s="123" customFormat="1">
      <c r="B3330" s="125"/>
      <c r="D3330" s="125"/>
      <c r="I3330" s="125"/>
      <c r="Z3330" s="124"/>
      <c r="AA3330" s="74"/>
      <c r="AB3330" s="240"/>
      <c r="AD3330" s="124"/>
      <c r="AE3330" s="238"/>
      <c r="AF3330" s="239"/>
      <c r="AG3330" s="239"/>
      <c r="AH3330" s="124"/>
      <c r="AI3330" s="74"/>
      <c r="AJ3330" s="240"/>
      <c r="AL3330" s="124"/>
      <c r="AM3330" s="74"/>
      <c r="AP3330" s="125"/>
      <c r="AQ3330" s="241"/>
      <c r="AR3330" s="125"/>
      <c r="AS3330" s="125"/>
      <c r="AT3330" s="238"/>
      <c r="AU3330" s="125"/>
      <c r="AV3330" s="125"/>
      <c r="AW3330" s="125"/>
      <c r="AX3330" s="238"/>
      <c r="AY3330" s="125"/>
      <c r="AZ3330" s="125"/>
      <c r="BA3330" s="125"/>
    </row>
    <row r="3331" spans="2:53" s="123" customFormat="1">
      <c r="B3331" s="125"/>
      <c r="D3331" s="125"/>
      <c r="I3331" s="125"/>
      <c r="Z3331" s="124"/>
      <c r="AA3331" s="74"/>
      <c r="AB3331" s="240"/>
      <c r="AD3331" s="124"/>
      <c r="AE3331" s="238"/>
      <c r="AF3331" s="239"/>
      <c r="AG3331" s="239"/>
      <c r="AH3331" s="124"/>
      <c r="AI3331" s="74"/>
      <c r="AJ3331" s="240"/>
      <c r="AL3331" s="124"/>
      <c r="AM3331" s="74"/>
      <c r="AP3331" s="125"/>
      <c r="AQ3331" s="241"/>
      <c r="AR3331" s="125"/>
      <c r="AS3331" s="125"/>
      <c r="AT3331" s="238"/>
      <c r="AU3331" s="125"/>
      <c r="AV3331" s="125"/>
      <c r="AW3331" s="125"/>
      <c r="AX3331" s="238"/>
      <c r="AY3331" s="125"/>
      <c r="AZ3331" s="125"/>
      <c r="BA3331" s="125"/>
    </row>
    <row r="3332" spans="2:53" s="123" customFormat="1">
      <c r="B3332" s="125"/>
      <c r="D3332" s="125"/>
      <c r="I3332" s="125"/>
      <c r="Z3332" s="124"/>
      <c r="AA3332" s="74"/>
      <c r="AB3332" s="240"/>
      <c r="AD3332" s="124"/>
      <c r="AE3332" s="238"/>
      <c r="AF3332" s="239"/>
      <c r="AG3332" s="239"/>
      <c r="AH3332" s="124"/>
      <c r="AI3332" s="74"/>
      <c r="AJ3332" s="240"/>
      <c r="AL3332" s="124"/>
      <c r="AM3332" s="74"/>
      <c r="AP3332" s="125"/>
      <c r="AQ3332" s="241"/>
      <c r="AR3332" s="125"/>
      <c r="AS3332" s="125"/>
      <c r="AT3332" s="238"/>
      <c r="AU3332" s="125"/>
      <c r="AV3332" s="125"/>
      <c r="AW3332" s="125"/>
      <c r="AX3332" s="238"/>
      <c r="AY3332" s="125"/>
      <c r="AZ3332" s="125"/>
      <c r="BA3332" s="125"/>
    </row>
    <row r="3333" spans="2:53" s="123" customFormat="1">
      <c r="B3333" s="125"/>
      <c r="D3333" s="125"/>
      <c r="I3333" s="125"/>
      <c r="Z3333" s="124"/>
      <c r="AA3333" s="74"/>
      <c r="AB3333" s="240"/>
      <c r="AD3333" s="124"/>
      <c r="AE3333" s="238"/>
      <c r="AF3333" s="239"/>
      <c r="AG3333" s="239"/>
      <c r="AH3333" s="124"/>
      <c r="AI3333" s="74"/>
      <c r="AJ3333" s="240"/>
      <c r="AL3333" s="124"/>
      <c r="AM3333" s="74"/>
      <c r="AP3333" s="125"/>
      <c r="AQ3333" s="241"/>
      <c r="AR3333" s="125"/>
      <c r="AS3333" s="125"/>
      <c r="AT3333" s="238"/>
      <c r="AU3333" s="125"/>
      <c r="AV3333" s="125"/>
      <c r="AW3333" s="125"/>
      <c r="AX3333" s="238"/>
      <c r="AY3333" s="125"/>
      <c r="AZ3333" s="125"/>
      <c r="BA3333" s="125"/>
    </row>
    <row r="3334" spans="2:53" s="123" customFormat="1">
      <c r="B3334" s="125"/>
      <c r="D3334" s="125"/>
      <c r="I3334" s="125"/>
      <c r="Z3334" s="124"/>
      <c r="AA3334" s="74"/>
      <c r="AB3334" s="240"/>
      <c r="AD3334" s="124"/>
      <c r="AE3334" s="238"/>
      <c r="AF3334" s="239"/>
      <c r="AG3334" s="239"/>
      <c r="AH3334" s="124"/>
      <c r="AI3334" s="74"/>
      <c r="AJ3334" s="240"/>
      <c r="AL3334" s="124"/>
      <c r="AM3334" s="74"/>
      <c r="AP3334" s="125"/>
      <c r="AQ3334" s="241"/>
      <c r="AR3334" s="125"/>
      <c r="AS3334" s="125"/>
      <c r="AT3334" s="238"/>
      <c r="AU3334" s="125"/>
      <c r="AV3334" s="125"/>
      <c r="AW3334" s="125"/>
      <c r="AX3334" s="238"/>
      <c r="AY3334" s="125"/>
      <c r="AZ3334" s="125"/>
      <c r="BA3334" s="125"/>
    </row>
    <row r="3335" spans="2:53" s="123" customFormat="1">
      <c r="B3335" s="125"/>
      <c r="D3335" s="125"/>
      <c r="I3335" s="125"/>
      <c r="Z3335" s="124"/>
      <c r="AA3335" s="74"/>
      <c r="AB3335" s="240"/>
      <c r="AD3335" s="124"/>
      <c r="AE3335" s="238"/>
      <c r="AF3335" s="239"/>
      <c r="AG3335" s="239"/>
      <c r="AH3335" s="124"/>
      <c r="AI3335" s="74"/>
      <c r="AJ3335" s="240"/>
      <c r="AL3335" s="124"/>
      <c r="AM3335" s="74"/>
      <c r="AP3335" s="125"/>
      <c r="AQ3335" s="241"/>
      <c r="AR3335" s="125"/>
      <c r="AS3335" s="125"/>
      <c r="AT3335" s="238"/>
      <c r="AU3335" s="125"/>
      <c r="AV3335" s="125"/>
      <c r="AW3335" s="125"/>
      <c r="AX3335" s="238"/>
      <c r="AY3335" s="125"/>
      <c r="AZ3335" s="125"/>
      <c r="BA3335" s="125"/>
    </row>
    <row r="3336" spans="2:53" s="123" customFormat="1">
      <c r="B3336" s="125"/>
      <c r="D3336" s="125"/>
      <c r="I3336" s="125"/>
      <c r="Z3336" s="124"/>
      <c r="AA3336" s="74"/>
      <c r="AB3336" s="240"/>
      <c r="AD3336" s="124"/>
      <c r="AE3336" s="238"/>
      <c r="AF3336" s="239"/>
      <c r="AG3336" s="239"/>
      <c r="AH3336" s="124"/>
      <c r="AI3336" s="74"/>
      <c r="AJ3336" s="240"/>
      <c r="AL3336" s="124"/>
      <c r="AM3336" s="74"/>
      <c r="AP3336" s="125"/>
      <c r="AQ3336" s="241"/>
      <c r="AR3336" s="125"/>
      <c r="AS3336" s="125"/>
      <c r="AT3336" s="238"/>
      <c r="AU3336" s="125"/>
      <c r="AV3336" s="125"/>
      <c r="AW3336" s="125"/>
      <c r="AX3336" s="238"/>
      <c r="AY3336" s="125"/>
      <c r="AZ3336" s="125"/>
      <c r="BA3336" s="125"/>
    </row>
    <row r="3337" spans="2:53" s="123" customFormat="1">
      <c r="B3337" s="125"/>
      <c r="D3337" s="125"/>
      <c r="I3337" s="125"/>
      <c r="Z3337" s="124"/>
      <c r="AA3337" s="74"/>
      <c r="AB3337" s="240"/>
      <c r="AD3337" s="124"/>
      <c r="AE3337" s="238"/>
      <c r="AF3337" s="239"/>
      <c r="AG3337" s="239"/>
      <c r="AH3337" s="124"/>
      <c r="AI3337" s="74"/>
      <c r="AJ3337" s="240"/>
      <c r="AL3337" s="124"/>
      <c r="AM3337" s="74"/>
      <c r="AP3337" s="125"/>
      <c r="AQ3337" s="241"/>
      <c r="AR3337" s="125"/>
      <c r="AS3337" s="125"/>
      <c r="AT3337" s="238"/>
      <c r="AU3337" s="125"/>
      <c r="AV3337" s="125"/>
      <c r="AW3337" s="125"/>
      <c r="AX3337" s="238"/>
      <c r="AY3337" s="125"/>
      <c r="AZ3337" s="125"/>
      <c r="BA3337" s="125"/>
    </row>
    <row r="3338" spans="2:53" s="123" customFormat="1">
      <c r="B3338" s="125"/>
      <c r="D3338" s="125"/>
      <c r="I3338" s="125"/>
      <c r="Z3338" s="124"/>
      <c r="AA3338" s="74"/>
      <c r="AB3338" s="240"/>
      <c r="AD3338" s="124"/>
      <c r="AE3338" s="238"/>
      <c r="AF3338" s="239"/>
      <c r="AG3338" s="239"/>
      <c r="AH3338" s="124"/>
      <c r="AI3338" s="74"/>
      <c r="AJ3338" s="240"/>
      <c r="AL3338" s="124"/>
      <c r="AM3338" s="74"/>
      <c r="AP3338" s="125"/>
      <c r="AQ3338" s="241"/>
      <c r="AR3338" s="125"/>
      <c r="AS3338" s="125"/>
      <c r="AT3338" s="238"/>
      <c r="AU3338" s="125"/>
      <c r="AV3338" s="125"/>
      <c r="AW3338" s="125"/>
      <c r="AX3338" s="238"/>
      <c r="AY3338" s="125"/>
      <c r="AZ3338" s="125"/>
      <c r="BA3338" s="125"/>
    </row>
    <row r="3339" spans="2:53" s="123" customFormat="1">
      <c r="B3339" s="125"/>
      <c r="D3339" s="125"/>
      <c r="I3339" s="125"/>
      <c r="Z3339" s="124"/>
      <c r="AA3339" s="74"/>
      <c r="AB3339" s="240"/>
      <c r="AD3339" s="124"/>
      <c r="AE3339" s="238"/>
      <c r="AF3339" s="239"/>
      <c r="AG3339" s="239"/>
      <c r="AH3339" s="124"/>
      <c r="AI3339" s="74"/>
      <c r="AJ3339" s="240"/>
      <c r="AL3339" s="124"/>
      <c r="AM3339" s="74"/>
      <c r="AP3339" s="125"/>
      <c r="AQ3339" s="241"/>
      <c r="AR3339" s="125"/>
      <c r="AS3339" s="125"/>
      <c r="AT3339" s="238"/>
      <c r="AU3339" s="125"/>
      <c r="AV3339" s="125"/>
      <c r="AW3339" s="125"/>
      <c r="AX3339" s="238"/>
      <c r="AY3339" s="125"/>
      <c r="AZ3339" s="125"/>
      <c r="BA3339" s="125"/>
    </row>
    <row r="3340" spans="2:53" s="123" customFormat="1">
      <c r="B3340" s="125"/>
      <c r="D3340" s="125"/>
      <c r="I3340" s="125"/>
      <c r="Z3340" s="124"/>
      <c r="AA3340" s="74"/>
      <c r="AB3340" s="240"/>
      <c r="AD3340" s="124"/>
      <c r="AE3340" s="238"/>
      <c r="AF3340" s="239"/>
      <c r="AG3340" s="239"/>
      <c r="AH3340" s="124"/>
      <c r="AI3340" s="74"/>
      <c r="AJ3340" s="240"/>
      <c r="AL3340" s="124"/>
      <c r="AM3340" s="74"/>
      <c r="AP3340" s="125"/>
      <c r="AQ3340" s="241"/>
      <c r="AR3340" s="125"/>
      <c r="AS3340" s="125"/>
      <c r="AT3340" s="238"/>
      <c r="AU3340" s="125"/>
      <c r="AV3340" s="125"/>
      <c r="AW3340" s="125"/>
      <c r="AX3340" s="238"/>
      <c r="AY3340" s="125"/>
      <c r="AZ3340" s="125"/>
      <c r="BA3340" s="125"/>
    </row>
    <row r="3341" spans="2:53" s="123" customFormat="1">
      <c r="B3341" s="125"/>
      <c r="D3341" s="125"/>
      <c r="I3341" s="125"/>
      <c r="Z3341" s="124"/>
      <c r="AA3341" s="74"/>
      <c r="AB3341" s="240"/>
      <c r="AD3341" s="124"/>
      <c r="AE3341" s="238"/>
      <c r="AF3341" s="239"/>
      <c r="AG3341" s="239"/>
      <c r="AH3341" s="124"/>
      <c r="AI3341" s="74"/>
      <c r="AJ3341" s="240"/>
      <c r="AL3341" s="124"/>
      <c r="AM3341" s="74"/>
      <c r="AP3341" s="125"/>
      <c r="AQ3341" s="241"/>
      <c r="AR3341" s="125"/>
      <c r="AS3341" s="125"/>
      <c r="AT3341" s="238"/>
      <c r="AU3341" s="125"/>
      <c r="AV3341" s="125"/>
      <c r="AW3341" s="125"/>
      <c r="AX3341" s="238"/>
      <c r="AY3341" s="125"/>
      <c r="AZ3341" s="125"/>
      <c r="BA3341" s="125"/>
    </row>
    <row r="3342" spans="2:53" s="123" customFormat="1">
      <c r="B3342" s="125"/>
      <c r="D3342" s="125"/>
      <c r="I3342" s="125"/>
      <c r="Z3342" s="124"/>
      <c r="AA3342" s="74"/>
      <c r="AB3342" s="240"/>
      <c r="AD3342" s="124"/>
      <c r="AE3342" s="238"/>
      <c r="AF3342" s="239"/>
      <c r="AG3342" s="239"/>
      <c r="AH3342" s="124"/>
      <c r="AI3342" s="74"/>
      <c r="AJ3342" s="240"/>
      <c r="AL3342" s="124"/>
      <c r="AM3342" s="74"/>
      <c r="AP3342" s="125"/>
      <c r="AQ3342" s="241"/>
      <c r="AR3342" s="125"/>
      <c r="AS3342" s="125"/>
      <c r="AT3342" s="238"/>
      <c r="AU3342" s="125"/>
      <c r="AV3342" s="125"/>
      <c r="AW3342" s="125"/>
      <c r="AX3342" s="238"/>
      <c r="AY3342" s="125"/>
      <c r="AZ3342" s="125"/>
      <c r="BA3342" s="125"/>
    </row>
    <row r="3343" spans="2:53" s="123" customFormat="1">
      <c r="B3343" s="125"/>
      <c r="D3343" s="125"/>
      <c r="I3343" s="125"/>
      <c r="Z3343" s="124"/>
      <c r="AA3343" s="74"/>
      <c r="AB3343" s="240"/>
      <c r="AD3343" s="124"/>
      <c r="AE3343" s="238"/>
      <c r="AF3343" s="239"/>
      <c r="AG3343" s="239"/>
      <c r="AH3343" s="124"/>
      <c r="AI3343" s="74"/>
      <c r="AJ3343" s="240"/>
      <c r="AL3343" s="124"/>
      <c r="AM3343" s="74"/>
      <c r="AP3343" s="125"/>
      <c r="AQ3343" s="241"/>
      <c r="AR3343" s="125"/>
      <c r="AS3343" s="125"/>
      <c r="AT3343" s="238"/>
      <c r="AU3343" s="125"/>
      <c r="AV3343" s="125"/>
      <c r="AW3343" s="125"/>
      <c r="AX3343" s="238"/>
      <c r="AY3343" s="125"/>
      <c r="AZ3343" s="125"/>
      <c r="BA3343" s="125"/>
    </row>
    <row r="3344" spans="2:53" s="123" customFormat="1">
      <c r="B3344" s="125"/>
      <c r="D3344" s="125"/>
      <c r="I3344" s="125"/>
      <c r="Z3344" s="124"/>
      <c r="AA3344" s="74"/>
      <c r="AB3344" s="240"/>
      <c r="AD3344" s="124"/>
      <c r="AE3344" s="238"/>
      <c r="AF3344" s="239"/>
      <c r="AG3344" s="239"/>
      <c r="AH3344" s="124"/>
      <c r="AI3344" s="74"/>
      <c r="AJ3344" s="240"/>
      <c r="AL3344" s="124"/>
      <c r="AM3344" s="74"/>
      <c r="AP3344" s="125"/>
      <c r="AQ3344" s="241"/>
      <c r="AR3344" s="125"/>
      <c r="AS3344" s="125"/>
      <c r="AT3344" s="238"/>
      <c r="AU3344" s="125"/>
      <c r="AV3344" s="125"/>
      <c r="AW3344" s="125"/>
      <c r="AX3344" s="238"/>
      <c r="AY3344" s="125"/>
      <c r="AZ3344" s="125"/>
      <c r="BA3344" s="125"/>
    </row>
    <row r="3345" spans="2:53" s="123" customFormat="1">
      <c r="B3345" s="125"/>
      <c r="D3345" s="125"/>
      <c r="I3345" s="125"/>
      <c r="Z3345" s="124"/>
      <c r="AA3345" s="74"/>
      <c r="AB3345" s="240"/>
      <c r="AD3345" s="124"/>
      <c r="AE3345" s="238"/>
      <c r="AF3345" s="239"/>
      <c r="AG3345" s="239"/>
      <c r="AH3345" s="124"/>
      <c r="AI3345" s="74"/>
      <c r="AJ3345" s="240"/>
      <c r="AL3345" s="124"/>
      <c r="AM3345" s="74"/>
      <c r="AP3345" s="125"/>
      <c r="AQ3345" s="241"/>
      <c r="AR3345" s="125"/>
      <c r="AS3345" s="125"/>
      <c r="AT3345" s="238"/>
      <c r="AU3345" s="125"/>
      <c r="AV3345" s="125"/>
      <c r="AW3345" s="125"/>
      <c r="AX3345" s="238"/>
      <c r="AY3345" s="125"/>
      <c r="AZ3345" s="125"/>
      <c r="BA3345" s="125"/>
    </row>
    <row r="3346" spans="2:53" s="123" customFormat="1">
      <c r="B3346" s="125"/>
      <c r="D3346" s="125"/>
      <c r="I3346" s="125"/>
      <c r="Z3346" s="124"/>
      <c r="AA3346" s="74"/>
      <c r="AB3346" s="240"/>
      <c r="AD3346" s="124"/>
      <c r="AE3346" s="238"/>
      <c r="AF3346" s="239"/>
      <c r="AG3346" s="239"/>
      <c r="AH3346" s="124"/>
      <c r="AI3346" s="74"/>
      <c r="AJ3346" s="240"/>
      <c r="AL3346" s="124"/>
      <c r="AM3346" s="74"/>
      <c r="AP3346" s="125"/>
      <c r="AQ3346" s="241"/>
      <c r="AR3346" s="125"/>
      <c r="AS3346" s="125"/>
      <c r="AT3346" s="238"/>
      <c r="AU3346" s="125"/>
      <c r="AV3346" s="125"/>
      <c r="AW3346" s="125"/>
      <c r="AX3346" s="238"/>
      <c r="AY3346" s="125"/>
      <c r="AZ3346" s="125"/>
      <c r="BA3346" s="125"/>
    </row>
    <row r="3347" spans="2:53" s="123" customFormat="1">
      <c r="B3347" s="125"/>
      <c r="D3347" s="125"/>
      <c r="I3347" s="125"/>
      <c r="Z3347" s="124"/>
      <c r="AA3347" s="74"/>
      <c r="AB3347" s="240"/>
      <c r="AD3347" s="124"/>
      <c r="AE3347" s="238"/>
      <c r="AF3347" s="239"/>
      <c r="AG3347" s="239"/>
      <c r="AH3347" s="124"/>
      <c r="AI3347" s="74"/>
      <c r="AJ3347" s="240"/>
      <c r="AL3347" s="124"/>
      <c r="AM3347" s="74"/>
      <c r="AP3347" s="125"/>
      <c r="AQ3347" s="241"/>
      <c r="AR3347" s="125"/>
      <c r="AS3347" s="125"/>
      <c r="AT3347" s="238"/>
      <c r="AU3347" s="125"/>
      <c r="AV3347" s="125"/>
      <c r="AW3347" s="125"/>
      <c r="AX3347" s="238"/>
      <c r="AY3347" s="125"/>
      <c r="AZ3347" s="125"/>
      <c r="BA3347" s="125"/>
    </row>
    <row r="3348" spans="2:53" s="123" customFormat="1">
      <c r="B3348" s="125"/>
      <c r="D3348" s="125"/>
      <c r="I3348" s="125"/>
      <c r="Z3348" s="124"/>
      <c r="AA3348" s="74"/>
      <c r="AB3348" s="240"/>
      <c r="AD3348" s="124"/>
      <c r="AE3348" s="238"/>
      <c r="AF3348" s="239"/>
      <c r="AG3348" s="239"/>
      <c r="AH3348" s="124"/>
      <c r="AI3348" s="74"/>
      <c r="AJ3348" s="240"/>
      <c r="AL3348" s="124"/>
      <c r="AM3348" s="74"/>
      <c r="AP3348" s="125"/>
      <c r="AQ3348" s="241"/>
      <c r="AR3348" s="125"/>
      <c r="AS3348" s="125"/>
      <c r="AT3348" s="238"/>
      <c r="AU3348" s="125"/>
      <c r="AV3348" s="125"/>
      <c r="AW3348" s="125"/>
      <c r="AX3348" s="238"/>
      <c r="AY3348" s="125"/>
      <c r="AZ3348" s="125"/>
      <c r="BA3348" s="125"/>
    </row>
    <row r="3349" spans="2:53" s="123" customFormat="1">
      <c r="B3349" s="125"/>
      <c r="D3349" s="125"/>
      <c r="I3349" s="125"/>
      <c r="Z3349" s="124"/>
      <c r="AA3349" s="74"/>
      <c r="AB3349" s="240"/>
      <c r="AD3349" s="124"/>
      <c r="AE3349" s="238"/>
      <c r="AF3349" s="239"/>
      <c r="AG3349" s="239"/>
      <c r="AH3349" s="124"/>
      <c r="AI3349" s="74"/>
      <c r="AJ3349" s="240"/>
      <c r="AL3349" s="124"/>
      <c r="AM3349" s="74"/>
      <c r="AP3349" s="125"/>
      <c r="AQ3349" s="241"/>
      <c r="AR3349" s="125"/>
      <c r="AS3349" s="125"/>
      <c r="AT3349" s="238"/>
      <c r="AU3349" s="125"/>
      <c r="AV3349" s="125"/>
      <c r="AW3349" s="125"/>
      <c r="AX3349" s="238"/>
      <c r="AY3349" s="125"/>
      <c r="AZ3349" s="125"/>
      <c r="BA3349" s="125"/>
    </row>
    <row r="3350" spans="2:53" s="123" customFormat="1">
      <c r="B3350" s="125"/>
      <c r="D3350" s="125"/>
      <c r="I3350" s="125"/>
      <c r="Z3350" s="124"/>
      <c r="AA3350" s="74"/>
      <c r="AB3350" s="240"/>
      <c r="AD3350" s="124"/>
      <c r="AE3350" s="238"/>
      <c r="AF3350" s="239"/>
      <c r="AG3350" s="239"/>
      <c r="AH3350" s="124"/>
      <c r="AI3350" s="74"/>
      <c r="AJ3350" s="240"/>
      <c r="AL3350" s="124"/>
      <c r="AM3350" s="74"/>
      <c r="AP3350" s="125"/>
      <c r="AQ3350" s="241"/>
      <c r="AR3350" s="125"/>
      <c r="AS3350" s="125"/>
      <c r="AT3350" s="238"/>
      <c r="AU3350" s="125"/>
      <c r="AV3350" s="125"/>
      <c r="AW3350" s="125"/>
      <c r="AX3350" s="238"/>
      <c r="AY3350" s="125"/>
      <c r="AZ3350" s="125"/>
      <c r="BA3350" s="125"/>
    </row>
    <row r="3351" spans="2:53" s="123" customFormat="1">
      <c r="B3351" s="125"/>
      <c r="D3351" s="125"/>
      <c r="I3351" s="125"/>
      <c r="Z3351" s="124"/>
      <c r="AA3351" s="74"/>
      <c r="AB3351" s="240"/>
      <c r="AD3351" s="124"/>
      <c r="AE3351" s="238"/>
      <c r="AF3351" s="239"/>
      <c r="AG3351" s="239"/>
      <c r="AH3351" s="124"/>
      <c r="AI3351" s="74"/>
      <c r="AJ3351" s="240"/>
      <c r="AL3351" s="124"/>
      <c r="AM3351" s="74"/>
      <c r="AP3351" s="125"/>
      <c r="AQ3351" s="241"/>
      <c r="AR3351" s="125"/>
      <c r="AS3351" s="125"/>
      <c r="AT3351" s="238"/>
      <c r="AU3351" s="125"/>
      <c r="AV3351" s="125"/>
      <c r="AW3351" s="125"/>
      <c r="AX3351" s="238"/>
      <c r="AY3351" s="125"/>
      <c r="AZ3351" s="125"/>
      <c r="BA3351" s="125"/>
    </row>
    <row r="3352" spans="2:53" s="123" customFormat="1">
      <c r="B3352" s="125"/>
      <c r="D3352" s="125"/>
      <c r="I3352" s="125"/>
      <c r="Z3352" s="124"/>
      <c r="AA3352" s="74"/>
      <c r="AB3352" s="240"/>
      <c r="AD3352" s="124"/>
      <c r="AE3352" s="238"/>
      <c r="AF3352" s="239"/>
      <c r="AG3352" s="239"/>
      <c r="AH3352" s="124"/>
      <c r="AI3352" s="74"/>
      <c r="AJ3352" s="240"/>
      <c r="AL3352" s="124"/>
      <c r="AM3352" s="74"/>
      <c r="AP3352" s="125"/>
      <c r="AQ3352" s="241"/>
      <c r="AR3352" s="125"/>
      <c r="AS3352" s="125"/>
      <c r="AT3352" s="238"/>
      <c r="AU3352" s="125"/>
      <c r="AV3352" s="125"/>
      <c r="AW3352" s="125"/>
      <c r="AX3352" s="238"/>
      <c r="AY3352" s="125"/>
      <c r="AZ3352" s="125"/>
      <c r="BA3352" s="125"/>
    </row>
    <row r="3353" spans="2:53" s="123" customFormat="1">
      <c r="B3353" s="125"/>
      <c r="D3353" s="125"/>
      <c r="I3353" s="125"/>
      <c r="Z3353" s="124"/>
      <c r="AA3353" s="74"/>
      <c r="AB3353" s="240"/>
      <c r="AD3353" s="124"/>
      <c r="AE3353" s="238"/>
      <c r="AF3353" s="239"/>
      <c r="AG3353" s="239"/>
      <c r="AH3353" s="124"/>
      <c r="AI3353" s="74"/>
      <c r="AJ3353" s="240"/>
      <c r="AL3353" s="124"/>
      <c r="AM3353" s="74"/>
      <c r="AP3353" s="125"/>
      <c r="AQ3353" s="241"/>
      <c r="AR3353" s="125"/>
      <c r="AS3353" s="125"/>
      <c r="AT3353" s="238"/>
      <c r="AU3353" s="125"/>
      <c r="AV3353" s="125"/>
      <c r="AW3353" s="125"/>
      <c r="AX3353" s="238"/>
      <c r="AY3353" s="125"/>
      <c r="AZ3353" s="125"/>
      <c r="BA3353" s="125"/>
    </row>
    <row r="3354" spans="2:53" s="123" customFormat="1">
      <c r="B3354" s="125"/>
      <c r="D3354" s="125"/>
      <c r="I3354" s="125"/>
      <c r="Z3354" s="124"/>
      <c r="AA3354" s="74"/>
      <c r="AB3354" s="240"/>
      <c r="AD3354" s="124"/>
      <c r="AE3354" s="238"/>
      <c r="AF3354" s="239"/>
      <c r="AG3354" s="239"/>
      <c r="AH3354" s="124"/>
      <c r="AI3354" s="74"/>
      <c r="AJ3354" s="240"/>
      <c r="AL3354" s="124"/>
      <c r="AM3354" s="74"/>
      <c r="AP3354" s="125"/>
      <c r="AQ3354" s="241"/>
      <c r="AR3354" s="125"/>
      <c r="AS3354" s="125"/>
      <c r="AT3354" s="238"/>
      <c r="AU3354" s="125"/>
      <c r="AV3354" s="125"/>
      <c r="AW3354" s="125"/>
      <c r="AX3354" s="238"/>
      <c r="AY3354" s="125"/>
      <c r="AZ3354" s="125"/>
      <c r="BA3354" s="125"/>
    </row>
    <row r="3355" spans="2:53" s="123" customFormat="1">
      <c r="B3355" s="125"/>
      <c r="D3355" s="125"/>
      <c r="I3355" s="125"/>
      <c r="Z3355" s="124"/>
      <c r="AA3355" s="74"/>
      <c r="AB3355" s="240"/>
      <c r="AD3355" s="124"/>
      <c r="AE3355" s="238"/>
      <c r="AF3355" s="239"/>
      <c r="AG3355" s="239"/>
      <c r="AH3355" s="124"/>
      <c r="AI3355" s="74"/>
      <c r="AJ3355" s="240"/>
      <c r="AL3355" s="124"/>
      <c r="AM3355" s="74"/>
      <c r="AP3355" s="125"/>
      <c r="AQ3355" s="241"/>
      <c r="AR3355" s="125"/>
      <c r="AS3355" s="125"/>
      <c r="AT3355" s="238"/>
      <c r="AU3355" s="125"/>
      <c r="AV3355" s="125"/>
      <c r="AW3355" s="125"/>
      <c r="AX3355" s="238"/>
      <c r="AY3355" s="125"/>
      <c r="AZ3355" s="125"/>
      <c r="BA3355" s="125"/>
    </row>
    <row r="3356" spans="2:53" s="123" customFormat="1">
      <c r="B3356" s="125"/>
      <c r="D3356" s="125"/>
      <c r="I3356" s="125"/>
      <c r="Z3356" s="124"/>
      <c r="AA3356" s="74"/>
      <c r="AB3356" s="240"/>
      <c r="AD3356" s="124"/>
      <c r="AE3356" s="238"/>
      <c r="AF3356" s="239"/>
      <c r="AG3356" s="239"/>
      <c r="AH3356" s="124"/>
      <c r="AI3356" s="74"/>
      <c r="AJ3356" s="240"/>
      <c r="AL3356" s="124"/>
      <c r="AM3356" s="74"/>
      <c r="AP3356" s="125"/>
      <c r="AQ3356" s="241"/>
      <c r="AR3356" s="125"/>
      <c r="AS3356" s="125"/>
      <c r="AT3356" s="238"/>
      <c r="AU3356" s="125"/>
      <c r="AV3356" s="125"/>
      <c r="AW3356" s="125"/>
      <c r="AX3356" s="238"/>
      <c r="AY3356" s="125"/>
      <c r="AZ3356" s="125"/>
      <c r="BA3356" s="125"/>
    </row>
    <row r="3357" spans="2:53" s="123" customFormat="1">
      <c r="B3357" s="125"/>
      <c r="D3357" s="125"/>
      <c r="I3357" s="125"/>
      <c r="Z3357" s="124"/>
      <c r="AA3357" s="74"/>
      <c r="AB3357" s="240"/>
      <c r="AD3357" s="124"/>
      <c r="AE3357" s="238"/>
      <c r="AF3357" s="239"/>
      <c r="AG3357" s="239"/>
      <c r="AH3357" s="124"/>
      <c r="AI3357" s="74"/>
      <c r="AJ3357" s="240"/>
      <c r="AL3357" s="124"/>
      <c r="AM3357" s="74"/>
      <c r="AP3357" s="125"/>
      <c r="AQ3357" s="241"/>
      <c r="AR3357" s="125"/>
      <c r="AS3357" s="125"/>
      <c r="AT3357" s="238"/>
      <c r="AU3357" s="125"/>
      <c r="AV3357" s="125"/>
      <c r="AW3357" s="125"/>
      <c r="AX3357" s="238"/>
      <c r="AY3357" s="125"/>
      <c r="AZ3357" s="125"/>
      <c r="BA3357" s="125"/>
    </row>
    <row r="3358" spans="2:53" s="123" customFormat="1">
      <c r="B3358" s="125"/>
      <c r="D3358" s="125"/>
      <c r="I3358" s="125"/>
      <c r="Z3358" s="124"/>
      <c r="AA3358" s="74"/>
      <c r="AB3358" s="240"/>
      <c r="AD3358" s="124"/>
      <c r="AE3358" s="238"/>
      <c r="AF3358" s="239"/>
      <c r="AG3358" s="239"/>
      <c r="AH3358" s="124"/>
      <c r="AI3358" s="74"/>
      <c r="AJ3358" s="240"/>
      <c r="AL3358" s="124"/>
      <c r="AM3358" s="74"/>
      <c r="AP3358" s="125"/>
      <c r="AQ3358" s="241"/>
      <c r="AR3358" s="125"/>
      <c r="AS3358" s="125"/>
      <c r="AT3358" s="238"/>
      <c r="AU3358" s="125"/>
      <c r="AV3358" s="125"/>
      <c r="AW3358" s="125"/>
      <c r="AX3358" s="238"/>
      <c r="AY3358" s="125"/>
      <c r="AZ3358" s="125"/>
      <c r="BA3358" s="125"/>
    </row>
    <row r="3359" spans="2:53" s="123" customFormat="1">
      <c r="B3359" s="125"/>
      <c r="D3359" s="125"/>
      <c r="I3359" s="125"/>
      <c r="Z3359" s="124"/>
      <c r="AA3359" s="74"/>
      <c r="AB3359" s="240"/>
      <c r="AD3359" s="124"/>
      <c r="AE3359" s="238"/>
      <c r="AF3359" s="239"/>
      <c r="AG3359" s="239"/>
      <c r="AH3359" s="124"/>
      <c r="AI3359" s="74"/>
      <c r="AJ3359" s="240"/>
      <c r="AL3359" s="124"/>
      <c r="AM3359" s="74"/>
      <c r="AP3359" s="125"/>
      <c r="AQ3359" s="241"/>
      <c r="AR3359" s="125"/>
      <c r="AS3359" s="125"/>
      <c r="AT3359" s="238"/>
      <c r="AU3359" s="125"/>
      <c r="AV3359" s="125"/>
      <c r="AW3359" s="125"/>
      <c r="AX3359" s="238"/>
      <c r="AY3359" s="125"/>
      <c r="AZ3359" s="125"/>
      <c r="BA3359" s="125"/>
    </row>
    <row r="3360" spans="2:53" s="123" customFormat="1">
      <c r="B3360" s="125"/>
      <c r="D3360" s="125"/>
      <c r="I3360" s="125"/>
      <c r="Z3360" s="124"/>
      <c r="AA3360" s="74"/>
      <c r="AB3360" s="240"/>
      <c r="AD3360" s="124"/>
      <c r="AE3360" s="238"/>
      <c r="AF3360" s="239"/>
      <c r="AG3360" s="239"/>
      <c r="AH3360" s="124"/>
      <c r="AI3360" s="74"/>
      <c r="AJ3360" s="240"/>
      <c r="AL3360" s="124"/>
      <c r="AM3360" s="74"/>
      <c r="AP3360" s="125"/>
      <c r="AQ3360" s="241"/>
      <c r="AR3360" s="125"/>
      <c r="AS3360" s="125"/>
      <c r="AT3360" s="238"/>
      <c r="AU3360" s="125"/>
      <c r="AV3360" s="125"/>
      <c r="AW3360" s="125"/>
      <c r="AX3360" s="238"/>
      <c r="AY3360" s="125"/>
      <c r="AZ3360" s="125"/>
      <c r="BA3360" s="125"/>
    </row>
    <row r="3361" spans="2:53" s="123" customFormat="1">
      <c r="B3361" s="125"/>
      <c r="D3361" s="125"/>
      <c r="I3361" s="125"/>
      <c r="Z3361" s="124"/>
      <c r="AA3361" s="74"/>
      <c r="AB3361" s="240"/>
      <c r="AD3361" s="124"/>
      <c r="AE3361" s="238"/>
      <c r="AF3361" s="239"/>
      <c r="AG3361" s="239"/>
      <c r="AH3361" s="124"/>
      <c r="AI3361" s="74"/>
      <c r="AJ3361" s="240"/>
      <c r="AL3361" s="124"/>
      <c r="AM3361" s="74"/>
      <c r="AP3361" s="125"/>
      <c r="AQ3361" s="241"/>
      <c r="AR3361" s="125"/>
      <c r="AS3361" s="125"/>
      <c r="AT3361" s="238"/>
      <c r="AU3361" s="125"/>
      <c r="AV3361" s="125"/>
      <c r="AW3361" s="125"/>
      <c r="AX3361" s="238"/>
      <c r="AY3361" s="125"/>
      <c r="AZ3361" s="125"/>
      <c r="BA3361" s="125"/>
    </row>
    <row r="3362" spans="2:53" s="123" customFormat="1">
      <c r="B3362" s="125"/>
      <c r="D3362" s="125"/>
      <c r="I3362" s="125"/>
      <c r="Z3362" s="124"/>
      <c r="AA3362" s="74"/>
      <c r="AB3362" s="240"/>
      <c r="AD3362" s="124"/>
      <c r="AE3362" s="238"/>
      <c r="AF3362" s="239"/>
      <c r="AG3362" s="239"/>
      <c r="AH3362" s="124"/>
      <c r="AI3362" s="74"/>
      <c r="AJ3362" s="240"/>
      <c r="AL3362" s="124"/>
      <c r="AM3362" s="74"/>
      <c r="AP3362" s="125"/>
      <c r="AQ3362" s="241"/>
      <c r="AR3362" s="125"/>
      <c r="AS3362" s="125"/>
      <c r="AT3362" s="238"/>
      <c r="AU3362" s="125"/>
      <c r="AV3362" s="125"/>
      <c r="AW3362" s="125"/>
      <c r="AX3362" s="238"/>
      <c r="AY3362" s="125"/>
      <c r="AZ3362" s="125"/>
      <c r="BA3362" s="125"/>
    </row>
    <row r="3363" spans="2:53" s="123" customFormat="1">
      <c r="B3363" s="125"/>
      <c r="D3363" s="125"/>
      <c r="I3363" s="125"/>
      <c r="Z3363" s="124"/>
      <c r="AA3363" s="74"/>
      <c r="AB3363" s="240"/>
      <c r="AD3363" s="124"/>
      <c r="AE3363" s="238"/>
      <c r="AF3363" s="239"/>
      <c r="AG3363" s="239"/>
      <c r="AH3363" s="124"/>
      <c r="AI3363" s="74"/>
      <c r="AJ3363" s="240"/>
      <c r="AL3363" s="124"/>
      <c r="AM3363" s="74"/>
      <c r="AP3363" s="125"/>
      <c r="AQ3363" s="241"/>
      <c r="AR3363" s="125"/>
      <c r="AS3363" s="125"/>
      <c r="AT3363" s="238"/>
      <c r="AU3363" s="125"/>
      <c r="AV3363" s="125"/>
      <c r="AW3363" s="125"/>
      <c r="AX3363" s="238"/>
      <c r="AY3363" s="125"/>
      <c r="AZ3363" s="125"/>
      <c r="BA3363" s="125"/>
    </row>
    <row r="3364" spans="2:53" s="123" customFormat="1">
      <c r="B3364" s="125"/>
      <c r="D3364" s="125"/>
      <c r="I3364" s="125"/>
      <c r="Z3364" s="124"/>
      <c r="AA3364" s="74"/>
      <c r="AB3364" s="240"/>
      <c r="AD3364" s="124"/>
      <c r="AE3364" s="238"/>
      <c r="AF3364" s="239"/>
      <c r="AG3364" s="239"/>
      <c r="AH3364" s="124"/>
      <c r="AI3364" s="74"/>
      <c r="AJ3364" s="240"/>
      <c r="AL3364" s="124"/>
      <c r="AM3364" s="74"/>
      <c r="AP3364" s="125"/>
      <c r="AQ3364" s="241"/>
      <c r="AR3364" s="125"/>
      <c r="AS3364" s="125"/>
      <c r="AT3364" s="238"/>
      <c r="AU3364" s="125"/>
      <c r="AV3364" s="125"/>
      <c r="AW3364" s="125"/>
      <c r="AX3364" s="238"/>
      <c r="AY3364" s="125"/>
      <c r="AZ3364" s="125"/>
      <c r="BA3364" s="125"/>
    </row>
    <row r="3365" spans="2:53" s="123" customFormat="1">
      <c r="B3365" s="125"/>
      <c r="D3365" s="125"/>
      <c r="I3365" s="125"/>
      <c r="Z3365" s="124"/>
      <c r="AA3365" s="74"/>
      <c r="AB3365" s="240"/>
      <c r="AD3365" s="124"/>
      <c r="AE3365" s="238"/>
      <c r="AF3365" s="239"/>
      <c r="AG3365" s="239"/>
      <c r="AH3365" s="124"/>
      <c r="AI3365" s="74"/>
      <c r="AJ3365" s="240"/>
      <c r="AL3365" s="124"/>
      <c r="AM3365" s="74"/>
      <c r="AP3365" s="125"/>
      <c r="AQ3365" s="241"/>
      <c r="AR3365" s="125"/>
      <c r="AS3365" s="125"/>
      <c r="AT3365" s="238"/>
      <c r="AU3365" s="125"/>
      <c r="AV3365" s="125"/>
      <c r="AW3365" s="125"/>
      <c r="AX3365" s="238"/>
      <c r="AY3365" s="125"/>
      <c r="AZ3365" s="125"/>
      <c r="BA3365" s="125"/>
    </row>
    <row r="3366" spans="2:53" s="123" customFormat="1">
      <c r="B3366" s="125"/>
      <c r="D3366" s="125"/>
      <c r="I3366" s="125"/>
      <c r="Z3366" s="124"/>
      <c r="AA3366" s="74"/>
      <c r="AB3366" s="240"/>
      <c r="AD3366" s="124"/>
      <c r="AE3366" s="238"/>
      <c r="AF3366" s="239"/>
      <c r="AG3366" s="239"/>
      <c r="AH3366" s="124"/>
      <c r="AI3366" s="74"/>
      <c r="AJ3366" s="240"/>
      <c r="AL3366" s="124"/>
      <c r="AM3366" s="74"/>
      <c r="AP3366" s="125"/>
      <c r="AQ3366" s="241"/>
      <c r="AR3366" s="125"/>
      <c r="AS3366" s="125"/>
      <c r="AT3366" s="238"/>
      <c r="AU3366" s="125"/>
      <c r="AV3366" s="125"/>
      <c r="AW3366" s="125"/>
      <c r="AX3366" s="238"/>
      <c r="AY3366" s="125"/>
      <c r="AZ3366" s="125"/>
      <c r="BA3366" s="125"/>
    </row>
    <row r="3367" spans="2:53" s="123" customFormat="1">
      <c r="B3367" s="125"/>
      <c r="D3367" s="125"/>
      <c r="I3367" s="125"/>
      <c r="Z3367" s="124"/>
      <c r="AA3367" s="74"/>
      <c r="AB3367" s="240"/>
      <c r="AD3367" s="124"/>
      <c r="AE3367" s="238"/>
      <c r="AF3367" s="239"/>
      <c r="AG3367" s="239"/>
      <c r="AH3367" s="124"/>
      <c r="AI3367" s="74"/>
      <c r="AJ3367" s="240"/>
      <c r="AL3367" s="124"/>
      <c r="AM3367" s="74"/>
      <c r="AP3367" s="125"/>
      <c r="AQ3367" s="241"/>
      <c r="AR3367" s="125"/>
      <c r="AS3367" s="125"/>
      <c r="AT3367" s="238"/>
      <c r="AU3367" s="125"/>
      <c r="AV3367" s="125"/>
      <c r="AW3367" s="125"/>
      <c r="AX3367" s="238"/>
      <c r="AY3367" s="125"/>
      <c r="AZ3367" s="125"/>
      <c r="BA3367" s="125"/>
    </row>
    <row r="3368" spans="2:53" s="123" customFormat="1">
      <c r="B3368" s="125"/>
      <c r="D3368" s="125"/>
      <c r="I3368" s="125"/>
      <c r="Z3368" s="124"/>
      <c r="AA3368" s="74"/>
      <c r="AB3368" s="240"/>
      <c r="AD3368" s="124"/>
      <c r="AE3368" s="238"/>
      <c r="AF3368" s="239"/>
      <c r="AG3368" s="239"/>
      <c r="AH3368" s="124"/>
      <c r="AI3368" s="74"/>
      <c r="AJ3368" s="240"/>
      <c r="AL3368" s="124"/>
      <c r="AM3368" s="74"/>
      <c r="AP3368" s="125"/>
      <c r="AQ3368" s="241"/>
      <c r="AR3368" s="125"/>
      <c r="AS3368" s="125"/>
      <c r="AT3368" s="238"/>
      <c r="AU3368" s="125"/>
      <c r="AV3368" s="125"/>
      <c r="AW3368" s="125"/>
      <c r="AX3368" s="238"/>
      <c r="AY3368" s="125"/>
      <c r="AZ3368" s="125"/>
      <c r="BA3368" s="125"/>
    </row>
    <row r="3369" spans="2:53" s="123" customFormat="1">
      <c r="B3369" s="125"/>
      <c r="D3369" s="125"/>
      <c r="I3369" s="125"/>
      <c r="Z3369" s="124"/>
      <c r="AA3369" s="74"/>
      <c r="AB3369" s="240"/>
      <c r="AD3369" s="124"/>
      <c r="AE3369" s="238"/>
      <c r="AF3369" s="239"/>
      <c r="AG3369" s="239"/>
      <c r="AH3369" s="124"/>
      <c r="AI3369" s="74"/>
      <c r="AJ3369" s="240"/>
      <c r="AL3369" s="124"/>
      <c r="AM3369" s="74"/>
      <c r="AP3369" s="125"/>
      <c r="AQ3369" s="241"/>
      <c r="AR3369" s="125"/>
      <c r="AS3369" s="125"/>
      <c r="AT3369" s="238"/>
      <c r="AU3369" s="125"/>
      <c r="AV3369" s="125"/>
      <c r="AW3369" s="125"/>
      <c r="AX3369" s="238"/>
      <c r="AY3369" s="125"/>
      <c r="AZ3369" s="125"/>
      <c r="BA3369" s="125"/>
    </row>
    <row r="3370" spans="2:53" s="123" customFormat="1">
      <c r="B3370" s="125"/>
      <c r="D3370" s="125"/>
      <c r="I3370" s="125"/>
      <c r="Z3370" s="124"/>
      <c r="AA3370" s="74"/>
      <c r="AB3370" s="240"/>
      <c r="AD3370" s="124"/>
      <c r="AE3370" s="238"/>
      <c r="AF3370" s="239"/>
      <c r="AG3370" s="239"/>
      <c r="AH3370" s="124"/>
      <c r="AI3370" s="74"/>
      <c r="AJ3370" s="240"/>
      <c r="AL3370" s="124"/>
      <c r="AM3370" s="74"/>
      <c r="AP3370" s="125"/>
      <c r="AQ3370" s="241"/>
      <c r="AR3370" s="125"/>
      <c r="AS3370" s="125"/>
      <c r="AT3370" s="238"/>
      <c r="AU3370" s="125"/>
      <c r="AV3370" s="125"/>
      <c r="AW3370" s="125"/>
      <c r="AX3370" s="238"/>
      <c r="AY3370" s="125"/>
      <c r="AZ3370" s="125"/>
      <c r="BA3370" s="125"/>
    </row>
    <row r="3371" spans="2:53" s="123" customFormat="1">
      <c r="B3371" s="125"/>
      <c r="D3371" s="125"/>
      <c r="I3371" s="125"/>
      <c r="Z3371" s="124"/>
      <c r="AA3371" s="74"/>
      <c r="AB3371" s="240"/>
      <c r="AD3371" s="124"/>
      <c r="AE3371" s="238"/>
      <c r="AF3371" s="239"/>
      <c r="AG3371" s="239"/>
      <c r="AH3371" s="124"/>
      <c r="AI3371" s="74"/>
      <c r="AJ3371" s="240"/>
      <c r="AL3371" s="124"/>
      <c r="AM3371" s="74"/>
      <c r="AP3371" s="125"/>
      <c r="AQ3371" s="241"/>
      <c r="AR3371" s="125"/>
      <c r="AS3371" s="125"/>
      <c r="AT3371" s="238"/>
      <c r="AU3371" s="125"/>
      <c r="AV3371" s="125"/>
      <c r="AW3371" s="125"/>
      <c r="AX3371" s="238"/>
      <c r="AY3371" s="125"/>
      <c r="AZ3371" s="125"/>
      <c r="BA3371" s="125"/>
    </row>
    <row r="3372" spans="2:53" s="123" customFormat="1">
      <c r="B3372" s="125"/>
      <c r="D3372" s="125"/>
      <c r="I3372" s="125"/>
      <c r="Z3372" s="124"/>
      <c r="AA3372" s="74"/>
      <c r="AB3372" s="240"/>
      <c r="AD3372" s="124"/>
      <c r="AE3372" s="238"/>
      <c r="AF3372" s="239"/>
      <c r="AG3372" s="239"/>
      <c r="AH3372" s="124"/>
      <c r="AI3372" s="74"/>
      <c r="AJ3372" s="240"/>
      <c r="AL3372" s="124"/>
      <c r="AM3372" s="74"/>
      <c r="AP3372" s="125"/>
      <c r="AQ3372" s="241"/>
      <c r="AR3372" s="125"/>
      <c r="AS3372" s="125"/>
      <c r="AT3372" s="238"/>
      <c r="AU3372" s="125"/>
      <c r="AV3372" s="125"/>
      <c r="AW3372" s="125"/>
      <c r="AX3372" s="238"/>
      <c r="AY3372" s="125"/>
      <c r="AZ3372" s="125"/>
      <c r="BA3372" s="125"/>
    </row>
    <row r="3373" spans="2:53" s="123" customFormat="1">
      <c r="B3373" s="125"/>
      <c r="D3373" s="125"/>
      <c r="I3373" s="125"/>
      <c r="Z3373" s="124"/>
      <c r="AA3373" s="74"/>
      <c r="AB3373" s="240"/>
      <c r="AD3373" s="124"/>
      <c r="AE3373" s="238"/>
      <c r="AF3373" s="239"/>
      <c r="AG3373" s="239"/>
      <c r="AH3373" s="124"/>
      <c r="AI3373" s="74"/>
      <c r="AJ3373" s="240"/>
      <c r="AL3373" s="124"/>
      <c r="AM3373" s="74"/>
      <c r="AP3373" s="125"/>
      <c r="AQ3373" s="241"/>
      <c r="AR3373" s="125"/>
      <c r="AS3373" s="125"/>
      <c r="AT3373" s="238"/>
      <c r="AU3373" s="125"/>
      <c r="AV3373" s="125"/>
      <c r="AW3373" s="125"/>
      <c r="AX3373" s="238"/>
      <c r="AY3373" s="125"/>
      <c r="AZ3373" s="125"/>
      <c r="BA3373" s="125"/>
    </row>
    <row r="3374" spans="2:53" s="123" customFormat="1">
      <c r="B3374" s="125"/>
      <c r="D3374" s="125"/>
      <c r="I3374" s="125"/>
      <c r="Z3374" s="124"/>
      <c r="AA3374" s="74"/>
      <c r="AB3374" s="240"/>
      <c r="AD3374" s="124"/>
      <c r="AE3374" s="238"/>
      <c r="AF3374" s="239"/>
      <c r="AG3374" s="239"/>
      <c r="AH3374" s="124"/>
      <c r="AI3374" s="74"/>
      <c r="AJ3374" s="240"/>
      <c r="AL3374" s="124"/>
      <c r="AM3374" s="74"/>
      <c r="AP3374" s="125"/>
      <c r="AQ3374" s="241"/>
      <c r="AR3374" s="125"/>
      <c r="AS3374" s="125"/>
      <c r="AT3374" s="238"/>
      <c r="AU3374" s="125"/>
      <c r="AV3374" s="125"/>
      <c r="AW3374" s="125"/>
      <c r="AX3374" s="238"/>
      <c r="AY3374" s="125"/>
      <c r="AZ3374" s="125"/>
      <c r="BA3374" s="125"/>
    </row>
    <row r="3375" spans="2:53" s="123" customFormat="1">
      <c r="B3375" s="125"/>
      <c r="D3375" s="125"/>
      <c r="I3375" s="125"/>
      <c r="Z3375" s="124"/>
      <c r="AA3375" s="74"/>
      <c r="AB3375" s="240"/>
      <c r="AD3375" s="124"/>
      <c r="AE3375" s="238"/>
      <c r="AF3375" s="239"/>
      <c r="AG3375" s="239"/>
      <c r="AH3375" s="124"/>
      <c r="AI3375" s="74"/>
      <c r="AJ3375" s="240"/>
      <c r="AL3375" s="124"/>
      <c r="AM3375" s="74"/>
      <c r="AP3375" s="125"/>
      <c r="AQ3375" s="241"/>
      <c r="AR3375" s="125"/>
      <c r="AS3375" s="125"/>
      <c r="AT3375" s="238"/>
      <c r="AU3375" s="125"/>
      <c r="AV3375" s="125"/>
      <c r="AW3375" s="125"/>
      <c r="AX3375" s="238"/>
      <c r="AY3375" s="125"/>
      <c r="AZ3375" s="125"/>
      <c r="BA3375" s="125"/>
    </row>
    <row r="3376" spans="2:53" s="123" customFormat="1">
      <c r="B3376" s="125"/>
      <c r="D3376" s="125"/>
      <c r="I3376" s="125"/>
      <c r="Z3376" s="124"/>
      <c r="AA3376" s="74"/>
      <c r="AB3376" s="240"/>
      <c r="AD3376" s="124"/>
      <c r="AE3376" s="238"/>
      <c r="AF3376" s="239"/>
      <c r="AG3376" s="239"/>
      <c r="AH3376" s="124"/>
      <c r="AI3376" s="74"/>
      <c r="AJ3376" s="240"/>
      <c r="AL3376" s="124"/>
      <c r="AM3376" s="74"/>
      <c r="AP3376" s="125"/>
      <c r="AQ3376" s="241"/>
      <c r="AR3376" s="125"/>
      <c r="AS3376" s="125"/>
      <c r="AT3376" s="238"/>
      <c r="AU3376" s="125"/>
      <c r="AV3376" s="125"/>
      <c r="AW3376" s="125"/>
      <c r="AX3376" s="238"/>
      <c r="AY3376" s="125"/>
      <c r="AZ3376" s="125"/>
      <c r="BA3376" s="125"/>
    </row>
    <row r="3377" spans="2:53" s="123" customFormat="1">
      <c r="B3377" s="125"/>
      <c r="D3377" s="125"/>
      <c r="I3377" s="125"/>
      <c r="Z3377" s="124"/>
      <c r="AA3377" s="74"/>
      <c r="AB3377" s="240"/>
      <c r="AD3377" s="124"/>
      <c r="AE3377" s="238"/>
      <c r="AF3377" s="239"/>
      <c r="AG3377" s="239"/>
      <c r="AH3377" s="124"/>
      <c r="AI3377" s="74"/>
      <c r="AJ3377" s="240"/>
      <c r="AL3377" s="124"/>
      <c r="AM3377" s="74"/>
      <c r="AP3377" s="125"/>
      <c r="AQ3377" s="241"/>
      <c r="AR3377" s="125"/>
      <c r="AS3377" s="125"/>
      <c r="AT3377" s="238"/>
      <c r="AU3377" s="125"/>
      <c r="AV3377" s="125"/>
      <c r="AW3377" s="125"/>
      <c r="AX3377" s="238"/>
      <c r="AY3377" s="125"/>
      <c r="AZ3377" s="125"/>
      <c r="BA3377" s="125"/>
    </row>
    <row r="3378" spans="2:53" s="123" customFormat="1">
      <c r="B3378" s="125"/>
      <c r="D3378" s="125"/>
      <c r="I3378" s="125"/>
      <c r="Z3378" s="124"/>
      <c r="AA3378" s="74"/>
      <c r="AB3378" s="240"/>
      <c r="AD3378" s="124"/>
      <c r="AE3378" s="238"/>
      <c r="AF3378" s="239"/>
      <c r="AG3378" s="239"/>
      <c r="AH3378" s="124"/>
      <c r="AI3378" s="74"/>
      <c r="AJ3378" s="240"/>
      <c r="AL3378" s="124"/>
      <c r="AM3378" s="74"/>
      <c r="AP3378" s="125"/>
      <c r="AQ3378" s="241"/>
      <c r="AR3378" s="125"/>
      <c r="AS3378" s="125"/>
      <c r="AT3378" s="238"/>
      <c r="AU3378" s="125"/>
      <c r="AV3378" s="125"/>
      <c r="AW3378" s="125"/>
      <c r="AX3378" s="238"/>
      <c r="AY3378" s="125"/>
      <c r="AZ3378" s="125"/>
      <c r="BA3378" s="125"/>
    </row>
    <row r="3379" spans="2:53" s="123" customFormat="1">
      <c r="B3379" s="125"/>
      <c r="D3379" s="125"/>
      <c r="I3379" s="125"/>
      <c r="Z3379" s="124"/>
      <c r="AA3379" s="74"/>
      <c r="AB3379" s="240"/>
      <c r="AD3379" s="124"/>
      <c r="AE3379" s="238"/>
      <c r="AF3379" s="239"/>
      <c r="AG3379" s="239"/>
      <c r="AH3379" s="124"/>
      <c r="AI3379" s="74"/>
      <c r="AJ3379" s="240"/>
      <c r="AL3379" s="124"/>
      <c r="AM3379" s="74"/>
      <c r="AP3379" s="125"/>
      <c r="AQ3379" s="241"/>
      <c r="AR3379" s="125"/>
      <c r="AS3379" s="125"/>
      <c r="AT3379" s="238"/>
      <c r="AU3379" s="125"/>
      <c r="AV3379" s="125"/>
      <c r="AW3379" s="125"/>
      <c r="AX3379" s="238"/>
      <c r="AY3379" s="125"/>
      <c r="AZ3379" s="125"/>
      <c r="BA3379" s="125"/>
    </row>
    <row r="3380" spans="2:53" s="123" customFormat="1">
      <c r="B3380" s="125"/>
      <c r="D3380" s="125"/>
      <c r="I3380" s="125"/>
      <c r="Z3380" s="124"/>
      <c r="AA3380" s="74"/>
      <c r="AB3380" s="240"/>
      <c r="AD3380" s="124"/>
      <c r="AE3380" s="238"/>
      <c r="AF3380" s="239"/>
      <c r="AG3380" s="239"/>
      <c r="AH3380" s="124"/>
      <c r="AI3380" s="74"/>
      <c r="AJ3380" s="240"/>
      <c r="AL3380" s="124"/>
      <c r="AM3380" s="74"/>
      <c r="AP3380" s="125"/>
      <c r="AQ3380" s="241"/>
      <c r="AR3380" s="125"/>
      <c r="AS3380" s="125"/>
      <c r="AT3380" s="238"/>
      <c r="AU3380" s="125"/>
      <c r="AV3380" s="125"/>
      <c r="AW3380" s="125"/>
      <c r="AX3380" s="238"/>
      <c r="AY3380" s="125"/>
      <c r="AZ3380" s="125"/>
      <c r="BA3380" s="125"/>
    </row>
    <row r="3381" spans="2:53" s="123" customFormat="1">
      <c r="B3381" s="125"/>
      <c r="D3381" s="125"/>
      <c r="I3381" s="125"/>
      <c r="Z3381" s="124"/>
      <c r="AA3381" s="74"/>
      <c r="AB3381" s="240"/>
      <c r="AD3381" s="124"/>
      <c r="AE3381" s="238"/>
      <c r="AF3381" s="239"/>
      <c r="AG3381" s="239"/>
      <c r="AH3381" s="124"/>
      <c r="AI3381" s="74"/>
      <c r="AJ3381" s="240"/>
      <c r="AL3381" s="124"/>
      <c r="AM3381" s="74"/>
      <c r="AP3381" s="125"/>
      <c r="AQ3381" s="241"/>
      <c r="AR3381" s="125"/>
      <c r="AS3381" s="125"/>
      <c r="AT3381" s="238"/>
      <c r="AU3381" s="125"/>
      <c r="AV3381" s="125"/>
      <c r="AW3381" s="125"/>
      <c r="AX3381" s="238"/>
      <c r="AY3381" s="125"/>
      <c r="AZ3381" s="125"/>
      <c r="BA3381" s="125"/>
    </row>
    <row r="3382" spans="2:53" s="123" customFormat="1">
      <c r="B3382" s="125"/>
      <c r="D3382" s="125"/>
      <c r="I3382" s="125"/>
      <c r="Z3382" s="124"/>
      <c r="AA3382" s="74"/>
      <c r="AB3382" s="240"/>
      <c r="AD3382" s="124"/>
      <c r="AE3382" s="238"/>
      <c r="AF3382" s="239"/>
      <c r="AG3382" s="239"/>
      <c r="AH3382" s="124"/>
      <c r="AI3382" s="74"/>
      <c r="AJ3382" s="240"/>
      <c r="AL3382" s="124"/>
      <c r="AM3382" s="74"/>
      <c r="AP3382" s="125"/>
      <c r="AQ3382" s="241"/>
      <c r="AR3382" s="125"/>
      <c r="AS3382" s="125"/>
      <c r="AT3382" s="238"/>
      <c r="AU3382" s="125"/>
      <c r="AV3382" s="125"/>
      <c r="AW3382" s="125"/>
      <c r="AX3382" s="238"/>
      <c r="AY3382" s="125"/>
      <c r="AZ3382" s="125"/>
      <c r="BA3382" s="125"/>
    </row>
    <row r="3383" spans="2:53" s="123" customFormat="1">
      <c r="B3383" s="125"/>
      <c r="D3383" s="125"/>
      <c r="I3383" s="125"/>
      <c r="Z3383" s="124"/>
      <c r="AA3383" s="74"/>
      <c r="AB3383" s="240"/>
      <c r="AD3383" s="124"/>
      <c r="AE3383" s="238"/>
      <c r="AF3383" s="239"/>
      <c r="AG3383" s="239"/>
      <c r="AH3383" s="124"/>
      <c r="AI3383" s="74"/>
      <c r="AJ3383" s="240"/>
      <c r="AL3383" s="124"/>
      <c r="AM3383" s="74"/>
      <c r="AP3383" s="125"/>
      <c r="AQ3383" s="241"/>
      <c r="AR3383" s="125"/>
      <c r="AS3383" s="125"/>
      <c r="AT3383" s="238"/>
      <c r="AU3383" s="125"/>
      <c r="AV3383" s="125"/>
      <c r="AW3383" s="125"/>
      <c r="AX3383" s="238"/>
      <c r="AY3383" s="125"/>
      <c r="AZ3383" s="125"/>
      <c r="BA3383" s="125"/>
    </row>
    <row r="3384" spans="2:53" s="123" customFormat="1">
      <c r="B3384" s="125"/>
      <c r="D3384" s="125"/>
      <c r="I3384" s="125"/>
      <c r="Z3384" s="124"/>
      <c r="AA3384" s="74"/>
      <c r="AB3384" s="240"/>
      <c r="AD3384" s="124"/>
      <c r="AE3384" s="238"/>
      <c r="AF3384" s="239"/>
      <c r="AG3384" s="239"/>
      <c r="AH3384" s="124"/>
      <c r="AI3384" s="74"/>
      <c r="AJ3384" s="240"/>
      <c r="AL3384" s="124"/>
      <c r="AM3384" s="74"/>
      <c r="AP3384" s="125"/>
      <c r="AQ3384" s="241"/>
      <c r="AR3384" s="125"/>
      <c r="AS3384" s="125"/>
      <c r="AT3384" s="238"/>
      <c r="AU3384" s="125"/>
      <c r="AV3384" s="125"/>
      <c r="AW3384" s="125"/>
      <c r="AX3384" s="238"/>
      <c r="AY3384" s="125"/>
      <c r="AZ3384" s="125"/>
      <c r="BA3384" s="125"/>
    </row>
    <row r="3385" spans="2:53" s="123" customFormat="1">
      <c r="B3385" s="125"/>
      <c r="D3385" s="125"/>
      <c r="I3385" s="125"/>
      <c r="Z3385" s="124"/>
      <c r="AA3385" s="74"/>
      <c r="AB3385" s="240"/>
      <c r="AD3385" s="124"/>
      <c r="AE3385" s="238"/>
      <c r="AF3385" s="239"/>
      <c r="AG3385" s="239"/>
      <c r="AH3385" s="124"/>
      <c r="AI3385" s="74"/>
      <c r="AJ3385" s="240"/>
      <c r="AL3385" s="124"/>
      <c r="AM3385" s="74"/>
      <c r="AP3385" s="125"/>
      <c r="AQ3385" s="241"/>
      <c r="AR3385" s="125"/>
      <c r="AS3385" s="125"/>
      <c r="AT3385" s="238"/>
      <c r="AU3385" s="125"/>
      <c r="AV3385" s="125"/>
      <c r="AW3385" s="125"/>
      <c r="AX3385" s="238"/>
      <c r="AY3385" s="125"/>
      <c r="AZ3385" s="125"/>
      <c r="BA3385" s="125"/>
    </row>
    <row r="3386" spans="2:53" s="123" customFormat="1">
      <c r="B3386" s="125"/>
      <c r="D3386" s="125"/>
      <c r="I3386" s="125"/>
      <c r="Z3386" s="124"/>
      <c r="AA3386" s="74"/>
      <c r="AB3386" s="240"/>
      <c r="AD3386" s="124"/>
      <c r="AE3386" s="238"/>
      <c r="AF3386" s="239"/>
      <c r="AG3386" s="239"/>
      <c r="AH3386" s="124"/>
      <c r="AI3386" s="74"/>
      <c r="AJ3386" s="240"/>
      <c r="AL3386" s="124"/>
      <c r="AM3386" s="74"/>
      <c r="AP3386" s="125"/>
      <c r="AQ3386" s="241"/>
      <c r="AR3386" s="125"/>
      <c r="AS3386" s="125"/>
      <c r="AT3386" s="238"/>
      <c r="AU3386" s="125"/>
      <c r="AV3386" s="125"/>
      <c r="AW3386" s="125"/>
      <c r="AX3386" s="238"/>
      <c r="AY3386" s="125"/>
      <c r="AZ3386" s="125"/>
      <c r="BA3386" s="125"/>
    </row>
    <row r="3387" spans="2:53" s="123" customFormat="1">
      <c r="B3387" s="125"/>
      <c r="D3387" s="125"/>
      <c r="I3387" s="125"/>
      <c r="Z3387" s="124"/>
      <c r="AA3387" s="74"/>
      <c r="AB3387" s="240"/>
      <c r="AD3387" s="124"/>
      <c r="AE3387" s="238"/>
      <c r="AF3387" s="239"/>
      <c r="AG3387" s="239"/>
      <c r="AH3387" s="124"/>
      <c r="AI3387" s="74"/>
      <c r="AJ3387" s="240"/>
      <c r="AL3387" s="124"/>
      <c r="AM3387" s="74"/>
      <c r="AP3387" s="125"/>
      <c r="AQ3387" s="241"/>
      <c r="AR3387" s="125"/>
      <c r="AS3387" s="125"/>
      <c r="AT3387" s="238"/>
      <c r="AU3387" s="125"/>
      <c r="AV3387" s="125"/>
      <c r="AW3387" s="125"/>
      <c r="AX3387" s="238"/>
      <c r="AY3387" s="125"/>
      <c r="AZ3387" s="125"/>
      <c r="BA3387" s="125"/>
    </row>
    <row r="3388" spans="2:53" s="123" customFormat="1">
      <c r="B3388" s="125"/>
      <c r="D3388" s="125"/>
      <c r="I3388" s="125"/>
      <c r="Z3388" s="124"/>
      <c r="AA3388" s="74"/>
      <c r="AB3388" s="240"/>
      <c r="AD3388" s="124"/>
      <c r="AE3388" s="238"/>
      <c r="AF3388" s="239"/>
      <c r="AG3388" s="239"/>
      <c r="AH3388" s="124"/>
      <c r="AI3388" s="74"/>
      <c r="AJ3388" s="240"/>
      <c r="AL3388" s="124"/>
      <c r="AM3388" s="74"/>
      <c r="AP3388" s="125"/>
      <c r="AQ3388" s="241"/>
      <c r="AR3388" s="125"/>
      <c r="AS3388" s="125"/>
      <c r="AT3388" s="238"/>
      <c r="AU3388" s="125"/>
      <c r="AV3388" s="125"/>
      <c r="AW3388" s="125"/>
      <c r="AX3388" s="238"/>
      <c r="AY3388" s="125"/>
      <c r="AZ3388" s="125"/>
      <c r="BA3388" s="125"/>
    </row>
    <row r="3389" spans="2:53" s="123" customFormat="1">
      <c r="B3389" s="125"/>
      <c r="D3389" s="125"/>
      <c r="I3389" s="125"/>
      <c r="Z3389" s="124"/>
      <c r="AA3389" s="74"/>
      <c r="AB3389" s="240"/>
      <c r="AD3389" s="124"/>
      <c r="AE3389" s="238"/>
      <c r="AF3389" s="239"/>
      <c r="AG3389" s="239"/>
      <c r="AH3389" s="124"/>
      <c r="AI3389" s="74"/>
      <c r="AJ3389" s="240"/>
      <c r="AL3389" s="124"/>
      <c r="AM3389" s="74"/>
      <c r="AP3389" s="125"/>
      <c r="AQ3389" s="241"/>
      <c r="AR3389" s="125"/>
      <c r="AS3389" s="125"/>
      <c r="AT3389" s="238"/>
      <c r="AU3389" s="125"/>
      <c r="AV3389" s="125"/>
      <c r="AW3389" s="125"/>
      <c r="AX3389" s="238"/>
      <c r="AY3389" s="125"/>
      <c r="AZ3389" s="125"/>
      <c r="BA3389" s="125"/>
    </row>
    <row r="3390" spans="2:53" s="123" customFormat="1">
      <c r="B3390" s="125"/>
      <c r="D3390" s="125"/>
      <c r="I3390" s="125"/>
      <c r="Z3390" s="124"/>
      <c r="AA3390" s="74"/>
      <c r="AB3390" s="240"/>
      <c r="AD3390" s="124"/>
      <c r="AE3390" s="238"/>
      <c r="AF3390" s="239"/>
      <c r="AG3390" s="239"/>
      <c r="AH3390" s="124"/>
      <c r="AI3390" s="74"/>
      <c r="AJ3390" s="240"/>
      <c r="AL3390" s="124"/>
      <c r="AM3390" s="74"/>
      <c r="AP3390" s="125"/>
      <c r="AQ3390" s="241"/>
      <c r="AR3390" s="125"/>
      <c r="AS3390" s="125"/>
      <c r="AT3390" s="238"/>
      <c r="AU3390" s="125"/>
      <c r="AV3390" s="125"/>
      <c r="AW3390" s="125"/>
      <c r="AX3390" s="238"/>
      <c r="AY3390" s="125"/>
      <c r="AZ3390" s="125"/>
      <c r="BA3390" s="125"/>
    </row>
    <row r="3391" spans="2:53" s="123" customFormat="1">
      <c r="B3391" s="125"/>
      <c r="D3391" s="125"/>
      <c r="I3391" s="125"/>
      <c r="Z3391" s="124"/>
      <c r="AA3391" s="74"/>
      <c r="AB3391" s="240"/>
      <c r="AD3391" s="124"/>
      <c r="AE3391" s="238"/>
      <c r="AF3391" s="239"/>
      <c r="AG3391" s="239"/>
      <c r="AH3391" s="124"/>
      <c r="AI3391" s="74"/>
      <c r="AJ3391" s="240"/>
      <c r="AL3391" s="124"/>
      <c r="AM3391" s="74"/>
      <c r="AP3391" s="125"/>
      <c r="AQ3391" s="241"/>
      <c r="AR3391" s="125"/>
      <c r="AS3391" s="125"/>
      <c r="AT3391" s="238"/>
      <c r="AU3391" s="125"/>
      <c r="AV3391" s="125"/>
      <c r="AW3391" s="125"/>
      <c r="AX3391" s="238"/>
      <c r="AY3391" s="125"/>
      <c r="AZ3391" s="125"/>
      <c r="BA3391" s="125"/>
    </row>
    <row r="3392" spans="2:53" s="123" customFormat="1">
      <c r="B3392" s="125"/>
      <c r="D3392" s="125"/>
      <c r="I3392" s="125"/>
      <c r="Z3392" s="124"/>
      <c r="AA3392" s="74"/>
      <c r="AB3392" s="240"/>
      <c r="AD3392" s="124"/>
      <c r="AE3392" s="238"/>
      <c r="AF3392" s="239"/>
      <c r="AG3392" s="239"/>
      <c r="AH3392" s="124"/>
      <c r="AI3392" s="74"/>
      <c r="AJ3392" s="240"/>
      <c r="AL3392" s="124"/>
      <c r="AM3392" s="74"/>
      <c r="AP3392" s="125"/>
      <c r="AQ3392" s="241"/>
      <c r="AR3392" s="125"/>
      <c r="AS3392" s="125"/>
      <c r="AT3392" s="238"/>
      <c r="AU3392" s="125"/>
      <c r="AV3392" s="125"/>
      <c r="AW3392" s="125"/>
      <c r="AX3392" s="238"/>
      <c r="AY3392" s="125"/>
      <c r="AZ3392" s="125"/>
      <c r="BA3392" s="125"/>
    </row>
    <row r="3393" spans="2:53" s="123" customFormat="1">
      <c r="B3393" s="125"/>
      <c r="D3393" s="125"/>
      <c r="I3393" s="125"/>
      <c r="Z3393" s="124"/>
      <c r="AA3393" s="74"/>
      <c r="AB3393" s="240"/>
      <c r="AD3393" s="124"/>
      <c r="AE3393" s="238"/>
      <c r="AF3393" s="239"/>
      <c r="AG3393" s="239"/>
      <c r="AH3393" s="124"/>
      <c r="AI3393" s="74"/>
      <c r="AJ3393" s="240"/>
      <c r="AL3393" s="124"/>
      <c r="AM3393" s="74"/>
      <c r="AP3393" s="125"/>
      <c r="AQ3393" s="241"/>
      <c r="AR3393" s="125"/>
      <c r="AS3393" s="125"/>
      <c r="AT3393" s="238"/>
      <c r="AU3393" s="125"/>
      <c r="AV3393" s="125"/>
      <c r="AW3393" s="125"/>
      <c r="AX3393" s="238"/>
      <c r="AY3393" s="125"/>
      <c r="AZ3393" s="125"/>
      <c r="BA3393" s="125"/>
    </row>
    <row r="3394" spans="2:53" s="123" customFormat="1">
      <c r="B3394" s="125"/>
      <c r="D3394" s="125"/>
      <c r="I3394" s="125"/>
      <c r="Z3394" s="124"/>
      <c r="AA3394" s="74"/>
      <c r="AB3394" s="240"/>
      <c r="AD3394" s="124"/>
      <c r="AE3394" s="238"/>
      <c r="AF3394" s="239"/>
      <c r="AG3394" s="239"/>
      <c r="AH3394" s="124"/>
      <c r="AI3394" s="74"/>
      <c r="AJ3394" s="240"/>
      <c r="AL3394" s="124"/>
      <c r="AM3394" s="74"/>
      <c r="AP3394" s="125"/>
      <c r="AQ3394" s="241"/>
      <c r="AR3394" s="125"/>
      <c r="AS3394" s="125"/>
      <c r="AT3394" s="238"/>
      <c r="AU3394" s="125"/>
      <c r="AV3394" s="125"/>
      <c r="AW3394" s="125"/>
      <c r="AX3394" s="238"/>
      <c r="AY3394" s="125"/>
      <c r="AZ3394" s="125"/>
      <c r="BA3394" s="125"/>
    </row>
    <row r="3395" spans="2:53" s="123" customFormat="1">
      <c r="B3395" s="125"/>
      <c r="D3395" s="125"/>
      <c r="I3395" s="125"/>
      <c r="Z3395" s="124"/>
      <c r="AA3395" s="74"/>
      <c r="AB3395" s="240"/>
      <c r="AD3395" s="124"/>
      <c r="AE3395" s="238"/>
      <c r="AF3395" s="239"/>
      <c r="AG3395" s="239"/>
      <c r="AH3395" s="124"/>
      <c r="AI3395" s="74"/>
      <c r="AJ3395" s="240"/>
      <c r="AL3395" s="124"/>
      <c r="AM3395" s="74"/>
      <c r="AP3395" s="125"/>
      <c r="AQ3395" s="241"/>
      <c r="AR3395" s="125"/>
      <c r="AS3395" s="125"/>
      <c r="AT3395" s="238"/>
      <c r="AU3395" s="125"/>
      <c r="AV3395" s="125"/>
      <c r="AW3395" s="125"/>
      <c r="AX3395" s="238"/>
      <c r="AY3395" s="125"/>
      <c r="AZ3395" s="125"/>
      <c r="BA3395" s="125"/>
    </row>
    <row r="3396" spans="2:53" s="123" customFormat="1">
      <c r="B3396" s="125"/>
      <c r="D3396" s="125"/>
      <c r="I3396" s="125"/>
      <c r="Z3396" s="124"/>
      <c r="AA3396" s="74"/>
      <c r="AB3396" s="240"/>
      <c r="AD3396" s="124"/>
      <c r="AE3396" s="238"/>
      <c r="AF3396" s="239"/>
      <c r="AG3396" s="239"/>
      <c r="AH3396" s="124"/>
      <c r="AI3396" s="74"/>
      <c r="AJ3396" s="240"/>
      <c r="AL3396" s="124"/>
      <c r="AM3396" s="74"/>
      <c r="AP3396" s="125"/>
      <c r="AQ3396" s="241"/>
      <c r="AR3396" s="125"/>
      <c r="AS3396" s="125"/>
      <c r="AT3396" s="238"/>
      <c r="AU3396" s="125"/>
      <c r="AV3396" s="125"/>
      <c r="AW3396" s="125"/>
      <c r="AX3396" s="238"/>
      <c r="AY3396" s="125"/>
      <c r="AZ3396" s="125"/>
      <c r="BA3396" s="125"/>
    </row>
    <row r="3397" spans="2:53" s="123" customFormat="1">
      <c r="B3397" s="125"/>
      <c r="D3397" s="125"/>
      <c r="I3397" s="125"/>
      <c r="Z3397" s="124"/>
      <c r="AA3397" s="74"/>
      <c r="AB3397" s="240"/>
      <c r="AD3397" s="124"/>
      <c r="AE3397" s="238"/>
      <c r="AF3397" s="239"/>
      <c r="AG3397" s="239"/>
      <c r="AH3397" s="124"/>
      <c r="AI3397" s="74"/>
      <c r="AJ3397" s="240"/>
      <c r="AL3397" s="124"/>
      <c r="AM3397" s="74"/>
      <c r="AP3397" s="125"/>
      <c r="AQ3397" s="241"/>
      <c r="AR3397" s="125"/>
      <c r="AS3397" s="125"/>
      <c r="AT3397" s="238"/>
      <c r="AU3397" s="125"/>
      <c r="AV3397" s="125"/>
      <c r="AW3397" s="125"/>
      <c r="AX3397" s="238"/>
      <c r="AY3397" s="125"/>
      <c r="AZ3397" s="125"/>
      <c r="BA3397" s="125"/>
    </row>
    <row r="3398" spans="2:53" s="123" customFormat="1">
      <c r="B3398" s="125"/>
      <c r="D3398" s="125"/>
      <c r="I3398" s="125"/>
      <c r="Z3398" s="124"/>
      <c r="AA3398" s="74"/>
      <c r="AB3398" s="240"/>
      <c r="AD3398" s="124"/>
      <c r="AE3398" s="238"/>
      <c r="AF3398" s="239"/>
      <c r="AG3398" s="239"/>
      <c r="AH3398" s="124"/>
      <c r="AI3398" s="74"/>
      <c r="AJ3398" s="240"/>
      <c r="AL3398" s="124"/>
      <c r="AM3398" s="74"/>
      <c r="AP3398" s="125"/>
      <c r="AQ3398" s="241"/>
      <c r="AR3398" s="125"/>
      <c r="AS3398" s="125"/>
      <c r="AT3398" s="238"/>
      <c r="AU3398" s="125"/>
      <c r="AV3398" s="125"/>
      <c r="AW3398" s="125"/>
      <c r="AX3398" s="238"/>
      <c r="AY3398" s="125"/>
      <c r="AZ3398" s="125"/>
      <c r="BA3398" s="125"/>
    </row>
    <row r="3399" spans="2:53" s="123" customFormat="1">
      <c r="B3399" s="125"/>
      <c r="D3399" s="125"/>
      <c r="I3399" s="125"/>
      <c r="Z3399" s="124"/>
      <c r="AA3399" s="74"/>
      <c r="AB3399" s="240"/>
      <c r="AD3399" s="124"/>
      <c r="AE3399" s="238"/>
      <c r="AF3399" s="239"/>
      <c r="AG3399" s="239"/>
      <c r="AH3399" s="124"/>
      <c r="AI3399" s="74"/>
      <c r="AJ3399" s="240"/>
      <c r="AL3399" s="124"/>
      <c r="AM3399" s="74"/>
      <c r="AP3399" s="125"/>
      <c r="AQ3399" s="241"/>
      <c r="AR3399" s="125"/>
      <c r="AS3399" s="125"/>
      <c r="AT3399" s="238"/>
      <c r="AU3399" s="125"/>
      <c r="AV3399" s="125"/>
      <c r="AW3399" s="125"/>
      <c r="AX3399" s="238"/>
      <c r="AY3399" s="125"/>
      <c r="AZ3399" s="125"/>
      <c r="BA3399" s="125"/>
    </row>
    <row r="3400" spans="2:53" s="123" customFormat="1">
      <c r="B3400" s="125"/>
      <c r="D3400" s="125"/>
      <c r="I3400" s="125"/>
      <c r="Z3400" s="124"/>
      <c r="AA3400" s="74"/>
      <c r="AB3400" s="240"/>
      <c r="AD3400" s="124"/>
      <c r="AE3400" s="238"/>
      <c r="AF3400" s="239"/>
      <c r="AG3400" s="239"/>
      <c r="AH3400" s="124"/>
      <c r="AI3400" s="74"/>
      <c r="AJ3400" s="240"/>
      <c r="AL3400" s="124"/>
      <c r="AM3400" s="74"/>
      <c r="AP3400" s="125"/>
      <c r="AQ3400" s="241"/>
      <c r="AR3400" s="125"/>
      <c r="AS3400" s="125"/>
      <c r="AT3400" s="238"/>
      <c r="AU3400" s="125"/>
      <c r="AV3400" s="125"/>
      <c r="AW3400" s="125"/>
      <c r="AX3400" s="238"/>
      <c r="AY3400" s="125"/>
      <c r="AZ3400" s="125"/>
      <c r="BA3400" s="125"/>
    </row>
    <row r="3401" spans="2:53" s="123" customFormat="1">
      <c r="B3401" s="125"/>
      <c r="D3401" s="125"/>
      <c r="I3401" s="125"/>
      <c r="Z3401" s="124"/>
      <c r="AA3401" s="74"/>
      <c r="AB3401" s="240"/>
      <c r="AD3401" s="124"/>
      <c r="AE3401" s="238"/>
      <c r="AF3401" s="239"/>
      <c r="AG3401" s="239"/>
      <c r="AH3401" s="124"/>
      <c r="AI3401" s="74"/>
      <c r="AJ3401" s="240"/>
      <c r="AL3401" s="124"/>
      <c r="AM3401" s="74"/>
      <c r="AP3401" s="125"/>
      <c r="AQ3401" s="241"/>
      <c r="AR3401" s="125"/>
      <c r="AS3401" s="125"/>
      <c r="AT3401" s="238"/>
      <c r="AU3401" s="125"/>
      <c r="AV3401" s="125"/>
      <c r="AW3401" s="125"/>
      <c r="AX3401" s="238"/>
      <c r="AY3401" s="125"/>
      <c r="AZ3401" s="125"/>
      <c r="BA3401" s="125"/>
    </row>
    <row r="3402" spans="2:53" s="123" customFormat="1">
      <c r="B3402" s="125"/>
      <c r="D3402" s="125"/>
      <c r="I3402" s="125"/>
      <c r="Z3402" s="124"/>
      <c r="AA3402" s="74"/>
      <c r="AB3402" s="240"/>
      <c r="AD3402" s="124"/>
      <c r="AE3402" s="238"/>
      <c r="AF3402" s="239"/>
      <c r="AG3402" s="239"/>
      <c r="AH3402" s="124"/>
      <c r="AI3402" s="74"/>
      <c r="AJ3402" s="240"/>
      <c r="AL3402" s="124"/>
      <c r="AM3402" s="74"/>
      <c r="AP3402" s="125"/>
      <c r="AQ3402" s="241"/>
      <c r="AR3402" s="125"/>
      <c r="AS3402" s="125"/>
      <c r="AT3402" s="238"/>
      <c r="AU3402" s="125"/>
      <c r="AV3402" s="125"/>
      <c r="AW3402" s="125"/>
      <c r="AX3402" s="238"/>
      <c r="AY3402" s="125"/>
      <c r="AZ3402" s="125"/>
      <c r="BA3402" s="125"/>
    </row>
    <row r="3403" spans="2:53" s="123" customFormat="1">
      <c r="B3403" s="125"/>
      <c r="D3403" s="125"/>
      <c r="I3403" s="125"/>
      <c r="Z3403" s="124"/>
      <c r="AA3403" s="74"/>
      <c r="AB3403" s="240"/>
      <c r="AD3403" s="124"/>
      <c r="AE3403" s="238"/>
      <c r="AF3403" s="239"/>
      <c r="AG3403" s="239"/>
      <c r="AH3403" s="124"/>
      <c r="AI3403" s="74"/>
      <c r="AJ3403" s="240"/>
      <c r="AL3403" s="124"/>
      <c r="AM3403" s="74"/>
      <c r="AP3403" s="125"/>
      <c r="AQ3403" s="241"/>
      <c r="AR3403" s="125"/>
      <c r="AS3403" s="125"/>
      <c r="AT3403" s="238"/>
      <c r="AU3403" s="125"/>
      <c r="AV3403" s="125"/>
      <c r="AW3403" s="125"/>
      <c r="AX3403" s="238"/>
      <c r="AY3403" s="125"/>
      <c r="AZ3403" s="125"/>
      <c r="BA3403" s="125"/>
    </row>
    <row r="3404" spans="2:53" s="123" customFormat="1">
      <c r="B3404" s="125"/>
      <c r="D3404" s="125"/>
      <c r="I3404" s="125"/>
      <c r="Z3404" s="124"/>
      <c r="AA3404" s="74"/>
      <c r="AB3404" s="240"/>
      <c r="AD3404" s="124"/>
      <c r="AE3404" s="238"/>
      <c r="AF3404" s="239"/>
      <c r="AG3404" s="239"/>
      <c r="AH3404" s="124"/>
      <c r="AI3404" s="74"/>
      <c r="AJ3404" s="240"/>
      <c r="AL3404" s="124"/>
      <c r="AM3404" s="74"/>
      <c r="AP3404" s="125"/>
      <c r="AQ3404" s="241"/>
      <c r="AR3404" s="125"/>
      <c r="AS3404" s="125"/>
      <c r="AT3404" s="238"/>
      <c r="AU3404" s="125"/>
      <c r="AV3404" s="125"/>
      <c r="AW3404" s="125"/>
      <c r="AX3404" s="238"/>
      <c r="AY3404" s="125"/>
      <c r="AZ3404" s="125"/>
      <c r="BA3404" s="125"/>
    </row>
    <row r="3405" spans="2:53" s="123" customFormat="1">
      <c r="B3405" s="125"/>
      <c r="D3405" s="125"/>
      <c r="I3405" s="125"/>
      <c r="Z3405" s="124"/>
      <c r="AA3405" s="74"/>
      <c r="AB3405" s="240"/>
      <c r="AD3405" s="124"/>
      <c r="AE3405" s="238"/>
      <c r="AF3405" s="239"/>
      <c r="AG3405" s="239"/>
      <c r="AH3405" s="124"/>
      <c r="AI3405" s="74"/>
      <c r="AJ3405" s="240"/>
      <c r="AL3405" s="124"/>
      <c r="AM3405" s="74"/>
      <c r="AP3405" s="125"/>
      <c r="AQ3405" s="241"/>
      <c r="AR3405" s="125"/>
      <c r="AS3405" s="125"/>
      <c r="AT3405" s="238"/>
      <c r="AU3405" s="125"/>
      <c r="AV3405" s="125"/>
      <c r="AW3405" s="125"/>
      <c r="AX3405" s="238"/>
      <c r="AY3405" s="125"/>
      <c r="AZ3405" s="125"/>
      <c r="BA3405" s="125"/>
    </row>
    <row r="3406" spans="2:53" s="123" customFormat="1">
      <c r="B3406" s="125"/>
      <c r="D3406" s="125"/>
      <c r="I3406" s="125"/>
      <c r="Z3406" s="124"/>
      <c r="AA3406" s="74"/>
      <c r="AB3406" s="240"/>
      <c r="AD3406" s="124"/>
      <c r="AE3406" s="238"/>
      <c r="AF3406" s="239"/>
      <c r="AG3406" s="239"/>
      <c r="AH3406" s="124"/>
      <c r="AI3406" s="74"/>
      <c r="AJ3406" s="240"/>
      <c r="AL3406" s="124"/>
      <c r="AM3406" s="74"/>
      <c r="AP3406" s="125"/>
      <c r="AQ3406" s="241"/>
      <c r="AR3406" s="125"/>
      <c r="AS3406" s="125"/>
      <c r="AT3406" s="238"/>
      <c r="AU3406" s="125"/>
      <c r="AV3406" s="125"/>
      <c r="AW3406" s="125"/>
      <c r="AX3406" s="238"/>
      <c r="AY3406" s="125"/>
      <c r="AZ3406" s="125"/>
      <c r="BA3406" s="125"/>
    </row>
    <row r="3407" spans="2:53" s="123" customFormat="1">
      <c r="B3407" s="125"/>
      <c r="D3407" s="125"/>
      <c r="I3407" s="125"/>
      <c r="Z3407" s="124"/>
      <c r="AA3407" s="74"/>
      <c r="AB3407" s="240"/>
      <c r="AD3407" s="124"/>
      <c r="AE3407" s="238"/>
      <c r="AF3407" s="239"/>
      <c r="AG3407" s="239"/>
      <c r="AH3407" s="124"/>
      <c r="AI3407" s="74"/>
      <c r="AJ3407" s="240"/>
      <c r="AL3407" s="124"/>
      <c r="AM3407" s="74"/>
      <c r="AP3407" s="125"/>
      <c r="AQ3407" s="241"/>
      <c r="AR3407" s="125"/>
      <c r="AS3407" s="125"/>
      <c r="AT3407" s="238"/>
      <c r="AU3407" s="125"/>
      <c r="AV3407" s="125"/>
      <c r="AW3407" s="125"/>
      <c r="AX3407" s="238"/>
      <c r="AY3407" s="125"/>
      <c r="AZ3407" s="125"/>
      <c r="BA3407" s="125"/>
    </row>
    <row r="3408" spans="2:53" s="123" customFormat="1">
      <c r="B3408" s="125"/>
      <c r="D3408" s="125"/>
      <c r="I3408" s="125"/>
      <c r="Z3408" s="124"/>
      <c r="AA3408" s="74"/>
      <c r="AB3408" s="240"/>
      <c r="AD3408" s="124"/>
      <c r="AE3408" s="238"/>
      <c r="AF3408" s="239"/>
      <c r="AG3408" s="239"/>
      <c r="AH3408" s="124"/>
      <c r="AI3408" s="74"/>
      <c r="AJ3408" s="240"/>
      <c r="AL3408" s="124"/>
      <c r="AM3408" s="74"/>
      <c r="AP3408" s="125"/>
      <c r="AQ3408" s="241"/>
      <c r="AR3408" s="125"/>
      <c r="AS3408" s="125"/>
      <c r="AT3408" s="238"/>
      <c r="AU3408" s="125"/>
      <c r="AV3408" s="125"/>
      <c r="AW3408" s="125"/>
      <c r="AX3408" s="238"/>
      <c r="AY3408" s="125"/>
      <c r="AZ3408" s="125"/>
      <c r="BA3408" s="125"/>
    </row>
    <row r="3409" spans="2:53" s="123" customFormat="1">
      <c r="B3409" s="125"/>
      <c r="D3409" s="125"/>
      <c r="I3409" s="125"/>
      <c r="Z3409" s="124"/>
      <c r="AA3409" s="74"/>
      <c r="AB3409" s="240"/>
      <c r="AD3409" s="124"/>
      <c r="AE3409" s="238"/>
      <c r="AF3409" s="239"/>
      <c r="AG3409" s="239"/>
      <c r="AH3409" s="124"/>
      <c r="AI3409" s="74"/>
      <c r="AJ3409" s="240"/>
      <c r="AL3409" s="124"/>
      <c r="AM3409" s="74"/>
      <c r="AP3409" s="125"/>
      <c r="AQ3409" s="241"/>
      <c r="AR3409" s="125"/>
      <c r="AS3409" s="125"/>
      <c r="AT3409" s="238"/>
      <c r="AU3409" s="125"/>
      <c r="AV3409" s="125"/>
      <c r="AW3409" s="125"/>
      <c r="AX3409" s="238"/>
      <c r="AY3409" s="125"/>
      <c r="AZ3409" s="125"/>
      <c r="BA3409" s="125"/>
    </row>
    <row r="3410" spans="2:53" s="123" customFormat="1">
      <c r="B3410" s="125"/>
      <c r="D3410" s="125"/>
      <c r="I3410" s="125"/>
      <c r="Z3410" s="124"/>
      <c r="AA3410" s="74"/>
      <c r="AB3410" s="240"/>
      <c r="AD3410" s="124"/>
      <c r="AE3410" s="238"/>
      <c r="AF3410" s="239"/>
      <c r="AG3410" s="239"/>
      <c r="AH3410" s="124"/>
      <c r="AI3410" s="74"/>
      <c r="AJ3410" s="240"/>
      <c r="AL3410" s="124"/>
      <c r="AM3410" s="74"/>
      <c r="AP3410" s="125"/>
      <c r="AQ3410" s="241"/>
      <c r="AR3410" s="125"/>
      <c r="AS3410" s="125"/>
      <c r="AT3410" s="238"/>
      <c r="AU3410" s="125"/>
      <c r="AV3410" s="125"/>
      <c r="AW3410" s="125"/>
      <c r="AX3410" s="238"/>
      <c r="AY3410" s="125"/>
      <c r="AZ3410" s="125"/>
      <c r="BA3410" s="125"/>
    </row>
    <row r="3411" spans="2:53" s="123" customFormat="1">
      <c r="B3411" s="125"/>
      <c r="D3411" s="125"/>
      <c r="I3411" s="125"/>
      <c r="Z3411" s="124"/>
      <c r="AA3411" s="74"/>
      <c r="AB3411" s="240"/>
      <c r="AD3411" s="124"/>
      <c r="AE3411" s="238"/>
      <c r="AF3411" s="239"/>
      <c r="AG3411" s="239"/>
      <c r="AH3411" s="124"/>
      <c r="AI3411" s="74"/>
      <c r="AJ3411" s="240"/>
      <c r="AL3411" s="124"/>
      <c r="AM3411" s="74"/>
      <c r="AP3411" s="125"/>
      <c r="AQ3411" s="241"/>
      <c r="AR3411" s="125"/>
      <c r="AS3411" s="125"/>
      <c r="AT3411" s="238"/>
      <c r="AU3411" s="125"/>
      <c r="AV3411" s="125"/>
      <c r="AW3411" s="125"/>
      <c r="AX3411" s="238"/>
      <c r="AY3411" s="125"/>
      <c r="AZ3411" s="125"/>
      <c r="BA3411" s="125"/>
    </row>
    <row r="3412" spans="2:53" s="123" customFormat="1">
      <c r="B3412" s="125"/>
      <c r="D3412" s="125"/>
      <c r="I3412" s="125"/>
      <c r="Z3412" s="124"/>
      <c r="AA3412" s="74"/>
      <c r="AB3412" s="240"/>
      <c r="AD3412" s="124"/>
      <c r="AE3412" s="238"/>
      <c r="AF3412" s="239"/>
      <c r="AG3412" s="239"/>
      <c r="AH3412" s="124"/>
      <c r="AI3412" s="74"/>
      <c r="AJ3412" s="240"/>
      <c r="AL3412" s="124"/>
      <c r="AM3412" s="74"/>
      <c r="AP3412" s="125"/>
      <c r="AQ3412" s="241"/>
      <c r="AR3412" s="125"/>
      <c r="AS3412" s="125"/>
      <c r="AT3412" s="238"/>
      <c r="AU3412" s="125"/>
      <c r="AV3412" s="125"/>
      <c r="AW3412" s="125"/>
      <c r="AX3412" s="238"/>
      <c r="AY3412" s="125"/>
      <c r="AZ3412" s="125"/>
      <c r="BA3412" s="125"/>
    </row>
    <row r="3413" spans="2:53" s="123" customFormat="1">
      <c r="B3413" s="125"/>
      <c r="D3413" s="125"/>
      <c r="I3413" s="125"/>
      <c r="Z3413" s="124"/>
      <c r="AA3413" s="74"/>
      <c r="AB3413" s="240"/>
      <c r="AD3413" s="124"/>
      <c r="AE3413" s="238"/>
      <c r="AF3413" s="239"/>
      <c r="AG3413" s="239"/>
      <c r="AH3413" s="124"/>
      <c r="AI3413" s="74"/>
      <c r="AJ3413" s="240"/>
      <c r="AL3413" s="124"/>
      <c r="AM3413" s="74"/>
      <c r="AP3413" s="125"/>
      <c r="AQ3413" s="241"/>
      <c r="AR3413" s="125"/>
      <c r="AS3413" s="125"/>
      <c r="AT3413" s="238"/>
      <c r="AU3413" s="125"/>
      <c r="AV3413" s="125"/>
      <c r="AW3413" s="125"/>
      <c r="AX3413" s="238"/>
      <c r="AY3413" s="125"/>
      <c r="AZ3413" s="125"/>
      <c r="BA3413" s="125"/>
    </row>
    <row r="3414" spans="2:53" s="123" customFormat="1">
      <c r="B3414" s="125"/>
      <c r="D3414" s="125"/>
      <c r="I3414" s="125"/>
      <c r="Z3414" s="124"/>
      <c r="AA3414" s="74"/>
      <c r="AB3414" s="240"/>
      <c r="AD3414" s="124"/>
      <c r="AE3414" s="238"/>
      <c r="AF3414" s="239"/>
      <c r="AG3414" s="239"/>
      <c r="AH3414" s="124"/>
      <c r="AI3414" s="74"/>
      <c r="AJ3414" s="240"/>
      <c r="AL3414" s="124"/>
      <c r="AM3414" s="74"/>
      <c r="AP3414" s="125"/>
      <c r="AQ3414" s="241"/>
      <c r="AR3414" s="125"/>
      <c r="AS3414" s="125"/>
      <c r="AT3414" s="238"/>
      <c r="AU3414" s="125"/>
      <c r="AV3414" s="125"/>
      <c r="AW3414" s="125"/>
      <c r="AX3414" s="238"/>
      <c r="AY3414" s="125"/>
      <c r="AZ3414" s="125"/>
      <c r="BA3414" s="125"/>
    </row>
    <row r="3415" spans="2:53" s="123" customFormat="1">
      <c r="B3415" s="125"/>
      <c r="D3415" s="125"/>
      <c r="I3415" s="125"/>
      <c r="Z3415" s="124"/>
      <c r="AA3415" s="74"/>
      <c r="AB3415" s="240"/>
      <c r="AD3415" s="124"/>
      <c r="AE3415" s="238"/>
      <c r="AF3415" s="239"/>
      <c r="AG3415" s="239"/>
      <c r="AH3415" s="124"/>
      <c r="AI3415" s="74"/>
      <c r="AJ3415" s="240"/>
      <c r="AL3415" s="124"/>
      <c r="AM3415" s="74"/>
      <c r="AP3415" s="125"/>
      <c r="AQ3415" s="241"/>
      <c r="AR3415" s="125"/>
      <c r="AS3415" s="125"/>
      <c r="AT3415" s="238"/>
      <c r="AU3415" s="125"/>
      <c r="AV3415" s="125"/>
      <c r="AW3415" s="125"/>
      <c r="AX3415" s="238"/>
      <c r="AY3415" s="125"/>
      <c r="AZ3415" s="125"/>
      <c r="BA3415" s="125"/>
    </row>
    <row r="3416" spans="2:53" s="123" customFormat="1">
      <c r="B3416" s="125"/>
      <c r="D3416" s="125"/>
      <c r="I3416" s="125"/>
      <c r="Z3416" s="124"/>
      <c r="AA3416" s="74"/>
      <c r="AB3416" s="240"/>
      <c r="AD3416" s="124"/>
      <c r="AE3416" s="238"/>
      <c r="AF3416" s="239"/>
      <c r="AG3416" s="239"/>
      <c r="AH3416" s="124"/>
      <c r="AI3416" s="74"/>
      <c r="AJ3416" s="240"/>
      <c r="AL3416" s="124"/>
      <c r="AM3416" s="74"/>
      <c r="AP3416" s="125"/>
      <c r="AQ3416" s="241"/>
      <c r="AR3416" s="125"/>
      <c r="AS3416" s="125"/>
      <c r="AT3416" s="238"/>
      <c r="AU3416" s="125"/>
      <c r="AV3416" s="125"/>
      <c r="AW3416" s="125"/>
      <c r="AX3416" s="238"/>
      <c r="AY3416" s="125"/>
      <c r="AZ3416" s="125"/>
      <c r="BA3416" s="125"/>
    </row>
    <row r="3417" spans="2:53" s="123" customFormat="1">
      <c r="B3417" s="125"/>
      <c r="D3417" s="125"/>
      <c r="I3417" s="125"/>
      <c r="Z3417" s="124"/>
      <c r="AA3417" s="74"/>
      <c r="AB3417" s="240"/>
      <c r="AD3417" s="124"/>
      <c r="AE3417" s="238"/>
      <c r="AF3417" s="239"/>
      <c r="AG3417" s="239"/>
      <c r="AH3417" s="124"/>
      <c r="AI3417" s="74"/>
      <c r="AJ3417" s="240"/>
      <c r="AL3417" s="124"/>
      <c r="AM3417" s="74"/>
      <c r="AP3417" s="125"/>
      <c r="AQ3417" s="241"/>
      <c r="AR3417" s="125"/>
      <c r="AS3417" s="125"/>
      <c r="AT3417" s="238"/>
      <c r="AU3417" s="125"/>
      <c r="AV3417" s="125"/>
      <c r="AW3417" s="125"/>
      <c r="AX3417" s="238"/>
      <c r="AY3417" s="125"/>
      <c r="AZ3417" s="125"/>
      <c r="BA3417" s="125"/>
    </row>
    <row r="3418" spans="2:53" s="123" customFormat="1">
      <c r="B3418" s="125"/>
      <c r="D3418" s="125"/>
      <c r="I3418" s="125"/>
      <c r="Z3418" s="124"/>
      <c r="AA3418" s="74"/>
      <c r="AB3418" s="240"/>
      <c r="AD3418" s="124"/>
      <c r="AE3418" s="238"/>
      <c r="AF3418" s="239"/>
      <c r="AG3418" s="239"/>
      <c r="AH3418" s="124"/>
      <c r="AI3418" s="74"/>
      <c r="AJ3418" s="240"/>
      <c r="AL3418" s="124"/>
      <c r="AM3418" s="74"/>
      <c r="AP3418" s="125"/>
      <c r="AQ3418" s="241"/>
      <c r="AR3418" s="125"/>
      <c r="AS3418" s="125"/>
      <c r="AT3418" s="238"/>
      <c r="AU3418" s="125"/>
      <c r="AV3418" s="125"/>
      <c r="AW3418" s="125"/>
      <c r="AX3418" s="238"/>
      <c r="AY3418" s="125"/>
      <c r="AZ3418" s="125"/>
      <c r="BA3418" s="125"/>
    </row>
    <row r="3419" spans="2:53" s="123" customFormat="1">
      <c r="B3419" s="125"/>
      <c r="D3419" s="125"/>
      <c r="I3419" s="125"/>
      <c r="Z3419" s="124"/>
      <c r="AA3419" s="74"/>
      <c r="AB3419" s="240"/>
      <c r="AD3419" s="124"/>
      <c r="AE3419" s="238"/>
      <c r="AF3419" s="239"/>
      <c r="AG3419" s="239"/>
      <c r="AH3419" s="124"/>
      <c r="AI3419" s="74"/>
      <c r="AJ3419" s="240"/>
      <c r="AL3419" s="124"/>
      <c r="AM3419" s="74"/>
      <c r="AP3419" s="125"/>
      <c r="AQ3419" s="241"/>
      <c r="AR3419" s="125"/>
      <c r="AS3419" s="125"/>
      <c r="AT3419" s="238"/>
      <c r="AU3419" s="125"/>
      <c r="AV3419" s="125"/>
      <c r="AW3419" s="125"/>
      <c r="AX3419" s="238"/>
      <c r="AY3419" s="125"/>
      <c r="AZ3419" s="125"/>
      <c r="BA3419" s="125"/>
    </row>
    <row r="3420" spans="2:53" s="123" customFormat="1">
      <c r="B3420" s="125"/>
      <c r="D3420" s="125"/>
      <c r="I3420" s="125"/>
      <c r="Z3420" s="124"/>
      <c r="AA3420" s="74"/>
      <c r="AB3420" s="240"/>
      <c r="AD3420" s="124"/>
      <c r="AE3420" s="238"/>
      <c r="AF3420" s="239"/>
      <c r="AG3420" s="239"/>
      <c r="AH3420" s="124"/>
      <c r="AI3420" s="74"/>
      <c r="AJ3420" s="240"/>
      <c r="AL3420" s="124"/>
      <c r="AM3420" s="74"/>
      <c r="AP3420" s="125"/>
      <c r="AQ3420" s="241"/>
      <c r="AR3420" s="125"/>
      <c r="AS3420" s="125"/>
      <c r="AT3420" s="238"/>
      <c r="AU3420" s="125"/>
      <c r="AV3420" s="125"/>
      <c r="AW3420" s="125"/>
      <c r="AX3420" s="238"/>
      <c r="AY3420" s="125"/>
      <c r="AZ3420" s="125"/>
      <c r="BA3420" s="125"/>
    </row>
    <row r="3421" spans="2:53" s="123" customFormat="1">
      <c r="B3421" s="125"/>
      <c r="D3421" s="125"/>
      <c r="I3421" s="125"/>
      <c r="Z3421" s="124"/>
      <c r="AA3421" s="74"/>
      <c r="AB3421" s="240"/>
      <c r="AD3421" s="124"/>
      <c r="AE3421" s="238"/>
      <c r="AF3421" s="239"/>
      <c r="AG3421" s="239"/>
      <c r="AH3421" s="124"/>
      <c r="AI3421" s="74"/>
      <c r="AJ3421" s="240"/>
      <c r="AL3421" s="124"/>
      <c r="AM3421" s="74"/>
      <c r="AP3421" s="125"/>
      <c r="AQ3421" s="241"/>
      <c r="AR3421" s="125"/>
      <c r="AS3421" s="125"/>
      <c r="AT3421" s="238"/>
      <c r="AU3421" s="125"/>
      <c r="AV3421" s="125"/>
      <c r="AW3421" s="125"/>
      <c r="AX3421" s="238"/>
      <c r="AY3421" s="125"/>
      <c r="AZ3421" s="125"/>
      <c r="BA3421" s="125"/>
    </row>
    <row r="3422" spans="2:53" s="123" customFormat="1">
      <c r="B3422" s="125"/>
      <c r="D3422" s="125"/>
      <c r="I3422" s="125"/>
      <c r="Z3422" s="124"/>
      <c r="AA3422" s="74"/>
      <c r="AB3422" s="240"/>
      <c r="AD3422" s="124"/>
      <c r="AE3422" s="238"/>
      <c r="AF3422" s="239"/>
      <c r="AG3422" s="239"/>
      <c r="AH3422" s="124"/>
      <c r="AI3422" s="74"/>
      <c r="AJ3422" s="240"/>
      <c r="AL3422" s="124"/>
      <c r="AM3422" s="74"/>
      <c r="AP3422" s="125"/>
      <c r="AQ3422" s="241"/>
      <c r="AR3422" s="125"/>
      <c r="AS3422" s="125"/>
      <c r="AT3422" s="238"/>
      <c r="AU3422" s="125"/>
      <c r="AV3422" s="125"/>
      <c r="AW3422" s="125"/>
      <c r="AX3422" s="238"/>
      <c r="AY3422" s="125"/>
      <c r="AZ3422" s="125"/>
      <c r="BA3422" s="125"/>
    </row>
    <row r="3423" spans="2:53" s="123" customFormat="1">
      <c r="B3423" s="125"/>
      <c r="D3423" s="125"/>
      <c r="I3423" s="125"/>
      <c r="Z3423" s="124"/>
      <c r="AA3423" s="74"/>
      <c r="AB3423" s="240"/>
      <c r="AD3423" s="124"/>
      <c r="AE3423" s="238"/>
      <c r="AF3423" s="239"/>
      <c r="AG3423" s="239"/>
      <c r="AH3423" s="124"/>
      <c r="AI3423" s="74"/>
      <c r="AJ3423" s="240"/>
      <c r="AL3423" s="124"/>
      <c r="AM3423" s="74"/>
      <c r="AP3423" s="125"/>
      <c r="AQ3423" s="241"/>
      <c r="AR3423" s="125"/>
      <c r="AS3423" s="125"/>
      <c r="AT3423" s="238"/>
      <c r="AU3423" s="125"/>
      <c r="AV3423" s="125"/>
      <c r="AW3423" s="125"/>
      <c r="AX3423" s="238"/>
      <c r="AY3423" s="125"/>
      <c r="AZ3423" s="125"/>
      <c r="BA3423" s="125"/>
    </row>
    <row r="3424" spans="2:53" s="123" customFormat="1">
      <c r="B3424" s="125"/>
      <c r="D3424" s="125"/>
      <c r="I3424" s="125"/>
      <c r="Z3424" s="124"/>
      <c r="AA3424" s="74"/>
      <c r="AB3424" s="240"/>
      <c r="AD3424" s="124"/>
      <c r="AE3424" s="238"/>
      <c r="AF3424" s="239"/>
      <c r="AG3424" s="239"/>
      <c r="AH3424" s="124"/>
      <c r="AI3424" s="74"/>
      <c r="AJ3424" s="240"/>
      <c r="AL3424" s="124"/>
      <c r="AM3424" s="74"/>
      <c r="AP3424" s="125"/>
      <c r="AQ3424" s="241"/>
      <c r="AR3424" s="125"/>
      <c r="AS3424" s="125"/>
      <c r="AT3424" s="238"/>
      <c r="AU3424" s="125"/>
      <c r="AV3424" s="125"/>
      <c r="AW3424" s="125"/>
      <c r="AX3424" s="238"/>
      <c r="AY3424" s="125"/>
      <c r="AZ3424" s="125"/>
      <c r="BA3424" s="125"/>
    </row>
    <row r="3425" spans="2:53" s="123" customFormat="1">
      <c r="B3425" s="125"/>
      <c r="D3425" s="125"/>
      <c r="I3425" s="125"/>
      <c r="Z3425" s="124"/>
      <c r="AA3425" s="74"/>
      <c r="AB3425" s="240"/>
      <c r="AD3425" s="124"/>
      <c r="AE3425" s="238"/>
      <c r="AF3425" s="239"/>
      <c r="AG3425" s="239"/>
      <c r="AH3425" s="124"/>
      <c r="AI3425" s="74"/>
      <c r="AJ3425" s="240"/>
      <c r="AL3425" s="124"/>
      <c r="AM3425" s="74"/>
      <c r="AP3425" s="125"/>
      <c r="AQ3425" s="241"/>
      <c r="AR3425" s="125"/>
      <c r="AS3425" s="125"/>
      <c r="AT3425" s="238"/>
      <c r="AU3425" s="125"/>
      <c r="AV3425" s="125"/>
      <c r="AW3425" s="125"/>
      <c r="AX3425" s="238"/>
      <c r="AY3425" s="125"/>
      <c r="AZ3425" s="125"/>
      <c r="BA3425" s="125"/>
    </row>
    <row r="3426" spans="2:53" s="123" customFormat="1">
      <c r="B3426" s="125"/>
      <c r="D3426" s="125"/>
      <c r="I3426" s="125"/>
      <c r="Z3426" s="124"/>
      <c r="AA3426" s="74"/>
      <c r="AB3426" s="240"/>
      <c r="AD3426" s="124"/>
      <c r="AE3426" s="238"/>
      <c r="AF3426" s="239"/>
      <c r="AG3426" s="239"/>
      <c r="AH3426" s="124"/>
      <c r="AI3426" s="74"/>
      <c r="AJ3426" s="240"/>
      <c r="AL3426" s="124"/>
      <c r="AM3426" s="74"/>
      <c r="AP3426" s="125"/>
      <c r="AQ3426" s="241"/>
      <c r="AR3426" s="125"/>
      <c r="AS3426" s="125"/>
      <c r="AT3426" s="238"/>
      <c r="AU3426" s="125"/>
      <c r="AV3426" s="125"/>
      <c r="AW3426" s="125"/>
      <c r="AX3426" s="238"/>
      <c r="AY3426" s="125"/>
      <c r="AZ3426" s="125"/>
      <c r="BA3426" s="125"/>
    </row>
    <row r="3427" spans="2:53" s="123" customFormat="1">
      <c r="B3427" s="125"/>
      <c r="D3427" s="125"/>
      <c r="I3427" s="125"/>
      <c r="Z3427" s="124"/>
      <c r="AA3427" s="74"/>
      <c r="AB3427" s="240"/>
      <c r="AD3427" s="124"/>
      <c r="AE3427" s="238"/>
      <c r="AF3427" s="239"/>
      <c r="AG3427" s="239"/>
      <c r="AH3427" s="124"/>
      <c r="AI3427" s="74"/>
      <c r="AJ3427" s="240"/>
      <c r="AL3427" s="124"/>
      <c r="AM3427" s="74"/>
      <c r="AP3427" s="125"/>
      <c r="AQ3427" s="241"/>
      <c r="AR3427" s="125"/>
      <c r="AS3427" s="125"/>
      <c r="AT3427" s="238"/>
      <c r="AU3427" s="125"/>
      <c r="AV3427" s="125"/>
      <c r="AW3427" s="125"/>
      <c r="AX3427" s="238"/>
      <c r="AY3427" s="125"/>
      <c r="AZ3427" s="125"/>
      <c r="BA3427" s="125"/>
    </row>
    <row r="3428" spans="2:53" s="123" customFormat="1">
      <c r="B3428" s="125"/>
      <c r="D3428" s="125"/>
      <c r="I3428" s="125"/>
      <c r="Z3428" s="124"/>
      <c r="AA3428" s="74"/>
      <c r="AB3428" s="240"/>
      <c r="AD3428" s="124"/>
      <c r="AE3428" s="238"/>
      <c r="AF3428" s="239"/>
      <c r="AG3428" s="239"/>
      <c r="AH3428" s="124"/>
      <c r="AI3428" s="74"/>
      <c r="AJ3428" s="240"/>
      <c r="AL3428" s="124"/>
      <c r="AM3428" s="74"/>
      <c r="AP3428" s="125"/>
      <c r="AQ3428" s="241"/>
      <c r="AR3428" s="125"/>
      <c r="AS3428" s="125"/>
      <c r="AT3428" s="238"/>
      <c r="AU3428" s="125"/>
      <c r="AV3428" s="125"/>
      <c r="AW3428" s="125"/>
      <c r="AX3428" s="238"/>
      <c r="AY3428" s="125"/>
      <c r="AZ3428" s="125"/>
      <c r="BA3428" s="125"/>
    </row>
    <row r="3429" spans="2:53" s="123" customFormat="1">
      <c r="B3429" s="125"/>
      <c r="D3429" s="125"/>
      <c r="I3429" s="125"/>
      <c r="Z3429" s="124"/>
      <c r="AA3429" s="74"/>
      <c r="AB3429" s="240"/>
      <c r="AD3429" s="124"/>
      <c r="AE3429" s="238"/>
      <c r="AF3429" s="239"/>
      <c r="AG3429" s="239"/>
      <c r="AH3429" s="124"/>
      <c r="AI3429" s="74"/>
      <c r="AJ3429" s="240"/>
      <c r="AL3429" s="124"/>
      <c r="AM3429" s="74"/>
      <c r="AP3429" s="125"/>
      <c r="AQ3429" s="241"/>
      <c r="AR3429" s="125"/>
      <c r="AS3429" s="125"/>
      <c r="AT3429" s="238"/>
      <c r="AU3429" s="125"/>
      <c r="AV3429" s="125"/>
      <c r="AW3429" s="125"/>
      <c r="AX3429" s="238"/>
      <c r="AY3429" s="125"/>
      <c r="AZ3429" s="125"/>
      <c r="BA3429" s="125"/>
    </row>
    <row r="3430" spans="2:53" s="123" customFormat="1">
      <c r="B3430" s="125"/>
      <c r="D3430" s="125"/>
      <c r="I3430" s="125"/>
      <c r="Z3430" s="124"/>
      <c r="AA3430" s="74"/>
      <c r="AB3430" s="240"/>
      <c r="AD3430" s="124"/>
      <c r="AE3430" s="238"/>
      <c r="AF3430" s="239"/>
      <c r="AG3430" s="239"/>
      <c r="AH3430" s="124"/>
      <c r="AI3430" s="74"/>
      <c r="AJ3430" s="240"/>
      <c r="AL3430" s="124"/>
      <c r="AM3430" s="74"/>
      <c r="AP3430" s="125"/>
      <c r="AQ3430" s="241"/>
      <c r="AR3430" s="125"/>
      <c r="AS3430" s="125"/>
      <c r="AT3430" s="238"/>
      <c r="AU3430" s="125"/>
      <c r="AV3430" s="125"/>
      <c r="AW3430" s="125"/>
      <c r="AX3430" s="238"/>
      <c r="AY3430" s="125"/>
      <c r="AZ3430" s="125"/>
      <c r="BA3430" s="125"/>
    </row>
    <row r="3431" spans="2:53" s="123" customFormat="1">
      <c r="B3431" s="125"/>
      <c r="D3431" s="125"/>
      <c r="I3431" s="125"/>
      <c r="Z3431" s="124"/>
      <c r="AA3431" s="74"/>
      <c r="AB3431" s="240"/>
      <c r="AD3431" s="124"/>
      <c r="AE3431" s="238"/>
      <c r="AF3431" s="239"/>
      <c r="AG3431" s="239"/>
      <c r="AH3431" s="124"/>
      <c r="AI3431" s="74"/>
      <c r="AJ3431" s="240"/>
      <c r="AL3431" s="124"/>
      <c r="AM3431" s="74"/>
      <c r="AP3431" s="125"/>
      <c r="AQ3431" s="241"/>
      <c r="AR3431" s="125"/>
      <c r="AS3431" s="125"/>
      <c r="AT3431" s="238"/>
      <c r="AU3431" s="125"/>
      <c r="AV3431" s="125"/>
      <c r="AW3431" s="125"/>
      <c r="AX3431" s="238"/>
      <c r="AY3431" s="125"/>
      <c r="AZ3431" s="125"/>
      <c r="BA3431" s="125"/>
    </row>
    <row r="3432" spans="2:53" s="123" customFormat="1">
      <c r="B3432" s="125"/>
      <c r="D3432" s="125"/>
      <c r="I3432" s="125"/>
      <c r="Z3432" s="124"/>
      <c r="AA3432" s="74"/>
      <c r="AB3432" s="240"/>
      <c r="AD3432" s="124"/>
      <c r="AE3432" s="238"/>
      <c r="AF3432" s="239"/>
      <c r="AG3432" s="239"/>
      <c r="AH3432" s="124"/>
      <c r="AI3432" s="74"/>
      <c r="AJ3432" s="240"/>
      <c r="AL3432" s="124"/>
      <c r="AM3432" s="74"/>
      <c r="AP3432" s="125"/>
      <c r="AQ3432" s="241"/>
      <c r="AR3432" s="125"/>
      <c r="AS3432" s="125"/>
      <c r="AT3432" s="238"/>
      <c r="AU3432" s="125"/>
      <c r="AV3432" s="125"/>
      <c r="AW3432" s="125"/>
      <c r="AX3432" s="238"/>
      <c r="AY3432" s="125"/>
      <c r="AZ3432" s="125"/>
      <c r="BA3432" s="125"/>
    </row>
    <row r="3433" spans="2:53" s="123" customFormat="1">
      <c r="B3433" s="125"/>
      <c r="D3433" s="125"/>
      <c r="I3433" s="125"/>
      <c r="Z3433" s="124"/>
      <c r="AA3433" s="74"/>
      <c r="AB3433" s="240"/>
      <c r="AD3433" s="124"/>
      <c r="AE3433" s="238"/>
      <c r="AF3433" s="239"/>
      <c r="AG3433" s="239"/>
      <c r="AH3433" s="124"/>
      <c r="AI3433" s="74"/>
      <c r="AJ3433" s="240"/>
      <c r="AL3433" s="124"/>
      <c r="AM3433" s="74"/>
      <c r="AP3433" s="125"/>
      <c r="AQ3433" s="241"/>
      <c r="AR3433" s="125"/>
      <c r="AS3433" s="125"/>
      <c r="AT3433" s="238"/>
      <c r="AU3433" s="125"/>
      <c r="AV3433" s="125"/>
      <c r="AW3433" s="125"/>
      <c r="AX3433" s="238"/>
      <c r="AY3433" s="125"/>
      <c r="AZ3433" s="125"/>
      <c r="BA3433" s="125"/>
    </row>
    <row r="3434" spans="2:53" s="123" customFormat="1">
      <c r="B3434" s="125"/>
      <c r="D3434" s="125"/>
      <c r="I3434" s="125"/>
      <c r="Z3434" s="124"/>
      <c r="AA3434" s="74"/>
      <c r="AB3434" s="240"/>
      <c r="AD3434" s="124"/>
      <c r="AE3434" s="238"/>
      <c r="AF3434" s="239"/>
      <c r="AG3434" s="239"/>
      <c r="AH3434" s="124"/>
      <c r="AI3434" s="74"/>
      <c r="AJ3434" s="240"/>
      <c r="AL3434" s="124"/>
      <c r="AM3434" s="74"/>
      <c r="AP3434" s="125"/>
      <c r="AQ3434" s="241"/>
      <c r="AR3434" s="125"/>
      <c r="AS3434" s="125"/>
      <c r="AT3434" s="238"/>
      <c r="AU3434" s="125"/>
      <c r="AV3434" s="125"/>
      <c r="AW3434" s="125"/>
      <c r="AX3434" s="238"/>
      <c r="AY3434" s="125"/>
      <c r="AZ3434" s="125"/>
      <c r="BA3434" s="125"/>
    </row>
    <row r="3435" spans="2:53" s="123" customFormat="1">
      <c r="B3435" s="125"/>
      <c r="D3435" s="125"/>
      <c r="I3435" s="125"/>
      <c r="Z3435" s="124"/>
      <c r="AA3435" s="74"/>
      <c r="AB3435" s="240"/>
      <c r="AD3435" s="124"/>
      <c r="AE3435" s="238"/>
      <c r="AF3435" s="239"/>
      <c r="AG3435" s="239"/>
      <c r="AH3435" s="124"/>
      <c r="AI3435" s="74"/>
      <c r="AJ3435" s="240"/>
      <c r="AL3435" s="124"/>
      <c r="AM3435" s="74"/>
      <c r="AP3435" s="125"/>
      <c r="AQ3435" s="241"/>
      <c r="AR3435" s="125"/>
      <c r="AS3435" s="125"/>
      <c r="AT3435" s="238"/>
      <c r="AU3435" s="125"/>
      <c r="AV3435" s="125"/>
      <c r="AW3435" s="125"/>
      <c r="AX3435" s="238"/>
      <c r="AY3435" s="125"/>
      <c r="AZ3435" s="125"/>
      <c r="BA3435" s="125"/>
    </row>
    <row r="3436" spans="2:53" s="123" customFormat="1">
      <c r="B3436" s="125"/>
      <c r="D3436" s="125"/>
      <c r="I3436" s="125"/>
      <c r="Z3436" s="124"/>
      <c r="AA3436" s="74"/>
      <c r="AB3436" s="240"/>
      <c r="AD3436" s="124"/>
      <c r="AE3436" s="238"/>
      <c r="AF3436" s="239"/>
      <c r="AG3436" s="239"/>
      <c r="AH3436" s="124"/>
      <c r="AI3436" s="74"/>
      <c r="AJ3436" s="240"/>
      <c r="AL3436" s="124"/>
      <c r="AM3436" s="74"/>
      <c r="AP3436" s="125"/>
      <c r="AQ3436" s="241"/>
      <c r="AR3436" s="125"/>
      <c r="AS3436" s="125"/>
      <c r="AT3436" s="238"/>
      <c r="AU3436" s="125"/>
      <c r="AV3436" s="125"/>
      <c r="AW3436" s="125"/>
      <c r="AX3436" s="238"/>
      <c r="AY3436" s="125"/>
      <c r="AZ3436" s="125"/>
      <c r="BA3436" s="125"/>
    </row>
    <row r="3437" spans="2:53" s="123" customFormat="1">
      <c r="B3437" s="125"/>
      <c r="D3437" s="125"/>
      <c r="I3437" s="125"/>
      <c r="Z3437" s="124"/>
      <c r="AA3437" s="74"/>
      <c r="AB3437" s="240"/>
      <c r="AD3437" s="124"/>
      <c r="AE3437" s="238"/>
      <c r="AF3437" s="239"/>
      <c r="AG3437" s="239"/>
      <c r="AH3437" s="124"/>
      <c r="AI3437" s="74"/>
      <c r="AJ3437" s="240"/>
      <c r="AL3437" s="124"/>
      <c r="AM3437" s="74"/>
      <c r="AP3437" s="125"/>
      <c r="AQ3437" s="241"/>
      <c r="AR3437" s="125"/>
      <c r="AS3437" s="125"/>
      <c r="AT3437" s="238"/>
      <c r="AU3437" s="125"/>
      <c r="AV3437" s="125"/>
      <c r="AW3437" s="125"/>
      <c r="AX3437" s="238"/>
      <c r="AY3437" s="125"/>
      <c r="AZ3437" s="125"/>
      <c r="BA3437" s="125"/>
    </row>
    <row r="3438" spans="2:53" s="123" customFormat="1">
      <c r="B3438" s="125"/>
      <c r="D3438" s="125"/>
      <c r="I3438" s="125"/>
      <c r="Z3438" s="124"/>
      <c r="AA3438" s="74"/>
      <c r="AB3438" s="240"/>
      <c r="AD3438" s="124"/>
      <c r="AE3438" s="238"/>
      <c r="AF3438" s="239"/>
      <c r="AG3438" s="239"/>
      <c r="AH3438" s="124"/>
      <c r="AI3438" s="74"/>
      <c r="AJ3438" s="240"/>
      <c r="AL3438" s="124"/>
      <c r="AM3438" s="74"/>
      <c r="AP3438" s="125"/>
      <c r="AQ3438" s="241"/>
      <c r="AR3438" s="125"/>
      <c r="AS3438" s="125"/>
      <c r="AT3438" s="238"/>
      <c r="AU3438" s="125"/>
      <c r="AV3438" s="125"/>
      <c r="AW3438" s="125"/>
      <c r="AX3438" s="238"/>
      <c r="AY3438" s="125"/>
      <c r="AZ3438" s="125"/>
      <c r="BA3438" s="125"/>
    </row>
    <row r="3439" spans="2:53" s="123" customFormat="1">
      <c r="B3439" s="125"/>
      <c r="D3439" s="125"/>
      <c r="I3439" s="125"/>
      <c r="Z3439" s="124"/>
      <c r="AA3439" s="74"/>
      <c r="AB3439" s="240"/>
      <c r="AD3439" s="124"/>
      <c r="AE3439" s="238"/>
      <c r="AF3439" s="239"/>
      <c r="AG3439" s="239"/>
      <c r="AH3439" s="124"/>
      <c r="AI3439" s="74"/>
      <c r="AJ3439" s="240"/>
      <c r="AL3439" s="124"/>
      <c r="AM3439" s="74"/>
      <c r="AP3439" s="125"/>
      <c r="AQ3439" s="241"/>
      <c r="AR3439" s="125"/>
      <c r="AS3439" s="125"/>
      <c r="AT3439" s="238"/>
      <c r="AU3439" s="125"/>
      <c r="AV3439" s="125"/>
      <c r="AW3439" s="125"/>
      <c r="AX3439" s="238"/>
      <c r="AY3439" s="125"/>
      <c r="AZ3439" s="125"/>
      <c r="BA3439" s="125"/>
    </row>
    <row r="3440" spans="2:53" s="123" customFormat="1">
      <c r="B3440" s="125"/>
      <c r="D3440" s="125"/>
      <c r="I3440" s="125"/>
      <c r="Z3440" s="124"/>
      <c r="AA3440" s="74"/>
      <c r="AB3440" s="240"/>
      <c r="AD3440" s="124"/>
      <c r="AE3440" s="238"/>
      <c r="AF3440" s="239"/>
      <c r="AG3440" s="239"/>
      <c r="AH3440" s="124"/>
      <c r="AI3440" s="74"/>
      <c r="AJ3440" s="240"/>
      <c r="AL3440" s="124"/>
      <c r="AM3440" s="74"/>
      <c r="AP3440" s="125"/>
      <c r="AQ3440" s="241"/>
      <c r="AR3440" s="125"/>
      <c r="AS3440" s="125"/>
      <c r="AT3440" s="238"/>
      <c r="AU3440" s="125"/>
      <c r="AV3440" s="125"/>
      <c r="AW3440" s="125"/>
      <c r="AX3440" s="238"/>
      <c r="AY3440" s="125"/>
      <c r="AZ3440" s="125"/>
      <c r="BA3440" s="125"/>
    </row>
    <row r="3441" spans="2:53" s="123" customFormat="1">
      <c r="B3441" s="125"/>
      <c r="D3441" s="125"/>
      <c r="I3441" s="125"/>
      <c r="Z3441" s="124"/>
      <c r="AA3441" s="74"/>
      <c r="AB3441" s="240"/>
      <c r="AD3441" s="124"/>
      <c r="AE3441" s="238"/>
      <c r="AF3441" s="239"/>
      <c r="AG3441" s="239"/>
      <c r="AH3441" s="124"/>
      <c r="AI3441" s="74"/>
      <c r="AJ3441" s="240"/>
      <c r="AL3441" s="124"/>
      <c r="AM3441" s="74"/>
      <c r="AP3441" s="125"/>
      <c r="AQ3441" s="241"/>
      <c r="AR3441" s="125"/>
      <c r="AS3441" s="125"/>
      <c r="AT3441" s="238"/>
      <c r="AU3441" s="125"/>
      <c r="AV3441" s="125"/>
      <c r="AW3441" s="125"/>
      <c r="AX3441" s="238"/>
      <c r="AY3441" s="125"/>
      <c r="AZ3441" s="125"/>
      <c r="BA3441" s="125"/>
    </row>
    <row r="3442" spans="2:53" s="123" customFormat="1">
      <c r="B3442" s="125"/>
      <c r="D3442" s="125"/>
      <c r="I3442" s="125"/>
      <c r="Z3442" s="124"/>
      <c r="AA3442" s="74"/>
      <c r="AB3442" s="240"/>
      <c r="AD3442" s="124"/>
      <c r="AE3442" s="238"/>
      <c r="AF3442" s="239"/>
      <c r="AG3442" s="239"/>
      <c r="AH3442" s="124"/>
      <c r="AI3442" s="74"/>
      <c r="AJ3442" s="240"/>
      <c r="AL3442" s="124"/>
      <c r="AM3442" s="74"/>
      <c r="AP3442" s="125"/>
      <c r="AQ3442" s="241"/>
      <c r="AR3442" s="125"/>
      <c r="AS3442" s="125"/>
      <c r="AT3442" s="238"/>
      <c r="AU3442" s="125"/>
      <c r="AV3442" s="125"/>
      <c r="AW3442" s="125"/>
      <c r="AX3442" s="238"/>
      <c r="AY3442" s="125"/>
      <c r="AZ3442" s="125"/>
      <c r="BA3442" s="125"/>
    </row>
    <row r="3443" spans="2:53" s="123" customFormat="1">
      <c r="B3443" s="125"/>
      <c r="D3443" s="125"/>
      <c r="I3443" s="125"/>
      <c r="Z3443" s="124"/>
      <c r="AA3443" s="74"/>
      <c r="AB3443" s="240"/>
      <c r="AD3443" s="124"/>
      <c r="AE3443" s="238"/>
      <c r="AF3443" s="239"/>
      <c r="AG3443" s="239"/>
      <c r="AH3443" s="124"/>
      <c r="AI3443" s="74"/>
      <c r="AJ3443" s="240"/>
      <c r="AL3443" s="124"/>
      <c r="AM3443" s="74"/>
      <c r="AP3443" s="125"/>
      <c r="AQ3443" s="241"/>
      <c r="AR3443" s="125"/>
      <c r="AS3443" s="125"/>
      <c r="AT3443" s="238"/>
      <c r="AU3443" s="125"/>
      <c r="AV3443" s="125"/>
      <c r="AW3443" s="125"/>
      <c r="AX3443" s="238"/>
      <c r="AY3443" s="125"/>
      <c r="AZ3443" s="125"/>
      <c r="BA3443" s="125"/>
    </row>
    <row r="3444" spans="2:53" s="123" customFormat="1">
      <c r="B3444" s="125"/>
      <c r="D3444" s="125"/>
      <c r="I3444" s="125"/>
      <c r="Z3444" s="124"/>
      <c r="AA3444" s="74"/>
      <c r="AB3444" s="240"/>
      <c r="AD3444" s="124"/>
      <c r="AE3444" s="238"/>
      <c r="AF3444" s="239"/>
      <c r="AG3444" s="239"/>
      <c r="AH3444" s="124"/>
      <c r="AI3444" s="74"/>
      <c r="AJ3444" s="240"/>
      <c r="AL3444" s="124"/>
      <c r="AM3444" s="74"/>
      <c r="AP3444" s="125"/>
      <c r="AQ3444" s="241"/>
      <c r="AR3444" s="125"/>
      <c r="AS3444" s="125"/>
      <c r="AT3444" s="238"/>
      <c r="AU3444" s="125"/>
      <c r="AV3444" s="125"/>
      <c r="AW3444" s="125"/>
      <c r="AX3444" s="238"/>
      <c r="AY3444" s="125"/>
      <c r="AZ3444" s="125"/>
      <c r="BA3444" s="125"/>
    </row>
    <row r="3445" spans="2:53" s="123" customFormat="1">
      <c r="B3445" s="125"/>
      <c r="D3445" s="125"/>
      <c r="I3445" s="125"/>
      <c r="Z3445" s="124"/>
      <c r="AA3445" s="74"/>
      <c r="AB3445" s="240"/>
      <c r="AD3445" s="124"/>
      <c r="AE3445" s="238"/>
      <c r="AF3445" s="239"/>
      <c r="AG3445" s="239"/>
      <c r="AH3445" s="124"/>
      <c r="AI3445" s="74"/>
      <c r="AJ3445" s="240"/>
      <c r="AL3445" s="124"/>
      <c r="AM3445" s="74"/>
      <c r="AP3445" s="125"/>
      <c r="AQ3445" s="241"/>
      <c r="AR3445" s="125"/>
      <c r="AS3445" s="125"/>
      <c r="AT3445" s="238"/>
      <c r="AU3445" s="125"/>
      <c r="AV3445" s="125"/>
      <c r="AW3445" s="125"/>
      <c r="AX3445" s="238"/>
      <c r="AY3445" s="125"/>
      <c r="AZ3445" s="125"/>
      <c r="BA3445" s="125"/>
    </row>
    <row r="3446" spans="2:53" s="123" customFormat="1">
      <c r="B3446" s="125"/>
      <c r="D3446" s="125"/>
      <c r="I3446" s="125"/>
      <c r="Z3446" s="124"/>
      <c r="AA3446" s="74"/>
      <c r="AB3446" s="240"/>
      <c r="AD3446" s="124"/>
      <c r="AE3446" s="238"/>
      <c r="AF3446" s="239"/>
      <c r="AG3446" s="239"/>
      <c r="AH3446" s="124"/>
      <c r="AI3446" s="74"/>
      <c r="AJ3446" s="240"/>
      <c r="AL3446" s="124"/>
      <c r="AM3446" s="74"/>
      <c r="AP3446" s="125"/>
      <c r="AQ3446" s="241"/>
      <c r="AR3446" s="125"/>
      <c r="AS3446" s="125"/>
      <c r="AT3446" s="238"/>
      <c r="AU3446" s="125"/>
      <c r="AV3446" s="125"/>
      <c r="AW3446" s="125"/>
      <c r="AX3446" s="238"/>
      <c r="AY3446" s="125"/>
      <c r="AZ3446" s="125"/>
      <c r="BA3446" s="125"/>
    </row>
    <row r="3447" spans="2:53" s="123" customFormat="1">
      <c r="B3447" s="125"/>
      <c r="D3447" s="125"/>
      <c r="I3447" s="125"/>
      <c r="Z3447" s="124"/>
      <c r="AA3447" s="74"/>
      <c r="AB3447" s="240"/>
      <c r="AD3447" s="124"/>
      <c r="AE3447" s="238"/>
      <c r="AF3447" s="239"/>
      <c r="AG3447" s="239"/>
      <c r="AH3447" s="124"/>
      <c r="AI3447" s="74"/>
      <c r="AJ3447" s="240"/>
      <c r="AL3447" s="124"/>
      <c r="AM3447" s="74"/>
      <c r="AP3447" s="125"/>
      <c r="AQ3447" s="241"/>
      <c r="AR3447" s="125"/>
      <c r="AS3447" s="125"/>
      <c r="AT3447" s="238"/>
      <c r="AU3447" s="125"/>
      <c r="AV3447" s="125"/>
      <c r="AW3447" s="125"/>
      <c r="AX3447" s="238"/>
      <c r="AY3447" s="125"/>
      <c r="AZ3447" s="125"/>
      <c r="BA3447" s="125"/>
    </row>
    <row r="3448" spans="2:53" s="123" customFormat="1">
      <c r="B3448" s="125"/>
      <c r="D3448" s="125"/>
      <c r="I3448" s="125"/>
      <c r="Z3448" s="124"/>
      <c r="AA3448" s="74"/>
      <c r="AB3448" s="240"/>
      <c r="AD3448" s="124"/>
      <c r="AE3448" s="238"/>
      <c r="AF3448" s="239"/>
      <c r="AG3448" s="239"/>
      <c r="AH3448" s="124"/>
      <c r="AI3448" s="74"/>
      <c r="AJ3448" s="240"/>
      <c r="AL3448" s="124"/>
      <c r="AM3448" s="74"/>
      <c r="AP3448" s="125"/>
      <c r="AQ3448" s="241"/>
      <c r="AR3448" s="125"/>
      <c r="AS3448" s="125"/>
      <c r="AT3448" s="238"/>
      <c r="AU3448" s="125"/>
      <c r="AV3448" s="125"/>
      <c r="AW3448" s="125"/>
      <c r="AX3448" s="238"/>
      <c r="AY3448" s="125"/>
      <c r="AZ3448" s="125"/>
      <c r="BA3448" s="125"/>
    </row>
    <row r="3449" spans="2:53" s="123" customFormat="1">
      <c r="B3449" s="125"/>
      <c r="D3449" s="125"/>
      <c r="I3449" s="125"/>
      <c r="Z3449" s="124"/>
      <c r="AA3449" s="74"/>
      <c r="AB3449" s="240"/>
      <c r="AD3449" s="124"/>
      <c r="AE3449" s="238"/>
      <c r="AF3449" s="239"/>
      <c r="AG3449" s="239"/>
      <c r="AH3449" s="124"/>
      <c r="AI3449" s="74"/>
      <c r="AJ3449" s="240"/>
      <c r="AL3449" s="124"/>
      <c r="AM3449" s="74"/>
      <c r="AP3449" s="125"/>
      <c r="AQ3449" s="241"/>
      <c r="AR3449" s="125"/>
      <c r="AS3449" s="125"/>
      <c r="AT3449" s="238"/>
      <c r="AU3449" s="125"/>
      <c r="AV3449" s="125"/>
      <c r="AW3449" s="125"/>
      <c r="AX3449" s="238"/>
      <c r="AY3449" s="125"/>
      <c r="AZ3449" s="125"/>
      <c r="BA3449" s="125"/>
    </row>
    <row r="3450" spans="2:53" s="123" customFormat="1">
      <c r="B3450" s="125"/>
      <c r="D3450" s="125"/>
      <c r="I3450" s="125"/>
      <c r="Z3450" s="124"/>
      <c r="AA3450" s="74"/>
      <c r="AB3450" s="240"/>
      <c r="AD3450" s="124"/>
      <c r="AE3450" s="238"/>
      <c r="AF3450" s="239"/>
      <c r="AG3450" s="239"/>
      <c r="AH3450" s="124"/>
      <c r="AI3450" s="74"/>
      <c r="AJ3450" s="240"/>
      <c r="AL3450" s="124"/>
      <c r="AM3450" s="74"/>
      <c r="AP3450" s="125"/>
      <c r="AQ3450" s="241"/>
      <c r="AR3450" s="125"/>
      <c r="AS3450" s="125"/>
      <c r="AT3450" s="238"/>
      <c r="AU3450" s="125"/>
      <c r="AV3450" s="125"/>
      <c r="AW3450" s="125"/>
      <c r="AX3450" s="238"/>
      <c r="AY3450" s="125"/>
      <c r="AZ3450" s="125"/>
      <c r="BA3450" s="125"/>
    </row>
    <row r="3451" spans="2:53" s="123" customFormat="1">
      <c r="B3451" s="125"/>
      <c r="D3451" s="125"/>
      <c r="I3451" s="125"/>
      <c r="Z3451" s="124"/>
      <c r="AA3451" s="74"/>
      <c r="AB3451" s="240"/>
      <c r="AD3451" s="124"/>
      <c r="AE3451" s="238"/>
      <c r="AF3451" s="239"/>
      <c r="AG3451" s="239"/>
      <c r="AH3451" s="124"/>
      <c r="AI3451" s="74"/>
      <c r="AJ3451" s="240"/>
      <c r="AL3451" s="124"/>
      <c r="AM3451" s="74"/>
      <c r="AP3451" s="125"/>
      <c r="AQ3451" s="241"/>
      <c r="AR3451" s="125"/>
      <c r="AS3451" s="125"/>
      <c r="AT3451" s="238"/>
      <c r="AU3451" s="125"/>
      <c r="AV3451" s="125"/>
      <c r="AW3451" s="125"/>
      <c r="AX3451" s="238"/>
      <c r="AY3451" s="125"/>
      <c r="AZ3451" s="125"/>
      <c r="BA3451" s="125"/>
    </row>
    <row r="3452" spans="2:53" s="123" customFormat="1">
      <c r="B3452" s="125"/>
      <c r="D3452" s="125"/>
      <c r="I3452" s="125"/>
      <c r="Z3452" s="124"/>
      <c r="AA3452" s="74"/>
      <c r="AB3452" s="240"/>
      <c r="AD3452" s="124"/>
      <c r="AE3452" s="238"/>
      <c r="AF3452" s="239"/>
      <c r="AG3452" s="239"/>
      <c r="AH3452" s="124"/>
      <c r="AI3452" s="74"/>
      <c r="AJ3452" s="240"/>
      <c r="AL3452" s="124"/>
      <c r="AM3452" s="74"/>
      <c r="AP3452" s="125"/>
      <c r="AQ3452" s="241"/>
      <c r="AR3452" s="125"/>
      <c r="AS3452" s="125"/>
      <c r="AT3452" s="238"/>
      <c r="AU3452" s="125"/>
      <c r="AV3452" s="125"/>
      <c r="AW3452" s="125"/>
      <c r="AX3452" s="238"/>
      <c r="AY3452" s="125"/>
      <c r="AZ3452" s="125"/>
      <c r="BA3452" s="125"/>
    </row>
    <row r="3453" spans="2:53" s="123" customFormat="1">
      <c r="B3453" s="125"/>
      <c r="D3453" s="125"/>
      <c r="I3453" s="125"/>
      <c r="Z3453" s="124"/>
      <c r="AA3453" s="74"/>
      <c r="AB3453" s="240"/>
      <c r="AD3453" s="124"/>
      <c r="AE3453" s="238"/>
      <c r="AF3453" s="239"/>
      <c r="AG3453" s="239"/>
      <c r="AH3453" s="124"/>
      <c r="AI3453" s="74"/>
      <c r="AJ3453" s="240"/>
      <c r="AL3453" s="124"/>
      <c r="AM3453" s="74"/>
      <c r="AP3453" s="125"/>
      <c r="AQ3453" s="241"/>
      <c r="AR3453" s="125"/>
      <c r="AS3453" s="125"/>
      <c r="AT3453" s="238"/>
      <c r="AU3453" s="125"/>
      <c r="AV3453" s="125"/>
      <c r="AW3453" s="125"/>
      <c r="AX3453" s="238"/>
      <c r="AY3453" s="125"/>
      <c r="AZ3453" s="125"/>
      <c r="BA3453" s="125"/>
    </row>
    <row r="3454" spans="2:53" s="123" customFormat="1">
      <c r="B3454" s="125"/>
      <c r="D3454" s="125"/>
      <c r="I3454" s="125"/>
      <c r="Z3454" s="124"/>
      <c r="AA3454" s="74"/>
      <c r="AB3454" s="240"/>
      <c r="AD3454" s="124"/>
      <c r="AE3454" s="238"/>
      <c r="AF3454" s="239"/>
      <c r="AG3454" s="239"/>
      <c r="AH3454" s="124"/>
      <c r="AI3454" s="74"/>
      <c r="AJ3454" s="240"/>
      <c r="AL3454" s="124"/>
      <c r="AM3454" s="74"/>
      <c r="AP3454" s="125"/>
      <c r="AQ3454" s="241"/>
      <c r="AR3454" s="125"/>
      <c r="AS3454" s="125"/>
      <c r="AT3454" s="238"/>
      <c r="AU3454" s="125"/>
      <c r="AV3454" s="125"/>
      <c r="AW3454" s="125"/>
      <c r="AX3454" s="238"/>
      <c r="AY3454" s="125"/>
      <c r="AZ3454" s="125"/>
      <c r="BA3454" s="125"/>
    </row>
    <row r="3455" spans="2:53" s="123" customFormat="1">
      <c r="B3455" s="125"/>
      <c r="D3455" s="125"/>
      <c r="I3455" s="125"/>
      <c r="Z3455" s="124"/>
      <c r="AA3455" s="74"/>
      <c r="AB3455" s="240"/>
      <c r="AD3455" s="124"/>
      <c r="AE3455" s="238"/>
      <c r="AF3455" s="239"/>
      <c r="AG3455" s="239"/>
      <c r="AH3455" s="124"/>
      <c r="AI3455" s="74"/>
      <c r="AJ3455" s="240"/>
      <c r="AL3455" s="124"/>
      <c r="AM3455" s="74"/>
      <c r="AP3455" s="125"/>
      <c r="AQ3455" s="241"/>
      <c r="AR3455" s="125"/>
      <c r="AS3455" s="125"/>
      <c r="AT3455" s="238"/>
      <c r="AU3455" s="125"/>
      <c r="AV3455" s="125"/>
      <c r="AW3455" s="125"/>
      <c r="AX3455" s="238"/>
      <c r="AY3455" s="125"/>
      <c r="AZ3455" s="125"/>
      <c r="BA3455" s="125"/>
    </row>
    <row r="3456" spans="2:53" s="123" customFormat="1">
      <c r="B3456" s="125"/>
      <c r="D3456" s="125"/>
      <c r="I3456" s="125"/>
      <c r="Z3456" s="124"/>
      <c r="AA3456" s="74"/>
      <c r="AB3456" s="240"/>
      <c r="AD3456" s="124"/>
      <c r="AE3456" s="238"/>
      <c r="AF3456" s="239"/>
      <c r="AG3456" s="239"/>
      <c r="AH3456" s="124"/>
      <c r="AI3456" s="74"/>
      <c r="AJ3456" s="240"/>
      <c r="AL3456" s="124"/>
      <c r="AM3456" s="74"/>
      <c r="AP3456" s="125"/>
      <c r="AQ3456" s="241"/>
      <c r="AR3456" s="125"/>
      <c r="AS3456" s="125"/>
      <c r="AT3456" s="238"/>
      <c r="AU3456" s="125"/>
      <c r="AV3456" s="125"/>
      <c r="AW3456" s="125"/>
      <c r="AX3456" s="238"/>
      <c r="AY3456" s="125"/>
      <c r="AZ3456" s="125"/>
      <c r="BA3456" s="125"/>
    </row>
    <row r="3457" spans="2:53" s="123" customFormat="1">
      <c r="B3457" s="125"/>
      <c r="D3457" s="125"/>
      <c r="I3457" s="125"/>
      <c r="Z3457" s="124"/>
      <c r="AA3457" s="74"/>
      <c r="AB3457" s="240"/>
      <c r="AD3457" s="124"/>
      <c r="AE3457" s="238"/>
      <c r="AF3457" s="239"/>
      <c r="AG3457" s="239"/>
      <c r="AH3457" s="124"/>
      <c r="AI3457" s="74"/>
      <c r="AJ3457" s="240"/>
      <c r="AL3457" s="124"/>
      <c r="AM3457" s="74"/>
      <c r="AP3457" s="125"/>
      <c r="AQ3457" s="241"/>
      <c r="AR3457" s="125"/>
      <c r="AS3457" s="125"/>
      <c r="AT3457" s="238"/>
      <c r="AU3457" s="125"/>
      <c r="AV3457" s="125"/>
      <c r="AW3457" s="125"/>
      <c r="AX3457" s="238"/>
      <c r="AY3457" s="125"/>
      <c r="AZ3457" s="125"/>
      <c r="BA3457" s="125"/>
    </row>
    <row r="3458" spans="2:53" s="123" customFormat="1">
      <c r="B3458" s="125"/>
      <c r="D3458" s="125"/>
      <c r="I3458" s="125"/>
      <c r="Z3458" s="124"/>
      <c r="AA3458" s="74"/>
      <c r="AB3458" s="240"/>
      <c r="AD3458" s="124"/>
      <c r="AE3458" s="238"/>
      <c r="AF3458" s="239"/>
      <c r="AG3458" s="239"/>
      <c r="AH3458" s="124"/>
      <c r="AI3458" s="74"/>
      <c r="AJ3458" s="240"/>
      <c r="AL3458" s="124"/>
      <c r="AM3458" s="74"/>
      <c r="AP3458" s="125"/>
      <c r="AQ3458" s="241"/>
      <c r="AR3458" s="125"/>
      <c r="AS3458" s="125"/>
      <c r="AT3458" s="238"/>
      <c r="AU3458" s="125"/>
      <c r="AV3458" s="125"/>
      <c r="AW3458" s="125"/>
      <c r="AX3458" s="238"/>
      <c r="AY3458" s="125"/>
      <c r="AZ3458" s="125"/>
      <c r="BA3458" s="125"/>
    </row>
    <row r="3459" spans="2:53" s="123" customFormat="1">
      <c r="B3459" s="125"/>
      <c r="D3459" s="125"/>
      <c r="I3459" s="125"/>
      <c r="Z3459" s="124"/>
      <c r="AA3459" s="74"/>
      <c r="AB3459" s="240"/>
      <c r="AD3459" s="124"/>
      <c r="AE3459" s="238"/>
      <c r="AF3459" s="239"/>
      <c r="AG3459" s="239"/>
      <c r="AH3459" s="124"/>
      <c r="AI3459" s="74"/>
      <c r="AJ3459" s="240"/>
      <c r="AL3459" s="124"/>
      <c r="AM3459" s="74"/>
      <c r="AP3459" s="125"/>
      <c r="AQ3459" s="241"/>
      <c r="AR3459" s="125"/>
      <c r="AS3459" s="125"/>
      <c r="AT3459" s="238"/>
      <c r="AU3459" s="125"/>
      <c r="AV3459" s="125"/>
      <c r="AW3459" s="125"/>
      <c r="AX3459" s="238"/>
      <c r="AY3459" s="125"/>
      <c r="AZ3459" s="125"/>
      <c r="BA3459" s="125"/>
    </row>
    <row r="3460" spans="2:53" s="123" customFormat="1">
      <c r="B3460" s="125"/>
      <c r="D3460" s="125"/>
      <c r="I3460" s="125"/>
      <c r="Z3460" s="124"/>
      <c r="AA3460" s="74"/>
      <c r="AB3460" s="240"/>
      <c r="AD3460" s="124"/>
      <c r="AE3460" s="238"/>
      <c r="AF3460" s="239"/>
      <c r="AG3460" s="239"/>
      <c r="AH3460" s="124"/>
      <c r="AI3460" s="74"/>
      <c r="AJ3460" s="240"/>
      <c r="AL3460" s="124"/>
      <c r="AM3460" s="74"/>
      <c r="AP3460" s="125"/>
      <c r="AQ3460" s="241"/>
      <c r="AR3460" s="125"/>
      <c r="AS3460" s="125"/>
      <c r="AT3460" s="238"/>
      <c r="AU3460" s="125"/>
      <c r="AV3460" s="125"/>
      <c r="AW3460" s="125"/>
      <c r="AX3460" s="238"/>
      <c r="AY3460" s="125"/>
      <c r="AZ3460" s="125"/>
      <c r="BA3460" s="125"/>
    </row>
    <row r="3461" spans="2:53" s="123" customFormat="1">
      <c r="B3461" s="125"/>
      <c r="D3461" s="125"/>
      <c r="I3461" s="125"/>
      <c r="Z3461" s="124"/>
      <c r="AA3461" s="74"/>
      <c r="AB3461" s="240"/>
      <c r="AD3461" s="124"/>
      <c r="AE3461" s="238"/>
      <c r="AF3461" s="239"/>
      <c r="AG3461" s="239"/>
      <c r="AH3461" s="124"/>
      <c r="AI3461" s="74"/>
      <c r="AJ3461" s="240"/>
      <c r="AL3461" s="124"/>
      <c r="AM3461" s="74"/>
      <c r="AP3461" s="125"/>
      <c r="AQ3461" s="241"/>
      <c r="AR3461" s="125"/>
      <c r="AS3461" s="125"/>
      <c r="AT3461" s="238"/>
      <c r="AU3461" s="125"/>
      <c r="AV3461" s="125"/>
      <c r="AW3461" s="125"/>
      <c r="AX3461" s="238"/>
      <c r="AY3461" s="125"/>
      <c r="AZ3461" s="125"/>
      <c r="BA3461" s="125"/>
    </row>
    <row r="3462" spans="2:53" s="123" customFormat="1">
      <c r="B3462" s="125"/>
      <c r="D3462" s="125"/>
      <c r="I3462" s="125"/>
      <c r="Z3462" s="124"/>
      <c r="AA3462" s="74"/>
      <c r="AB3462" s="240"/>
      <c r="AD3462" s="124"/>
      <c r="AE3462" s="238"/>
      <c r="AF3462" s="239"/>
      <c r="AG3462" s="239"/>
      <c r="AH3462" s="124"/>
      <c r="AI3462" s="74"/>
      <c r="AJ3462" s="240"/>
      <c r="AL3462" s="124"/>
      <c r="AM3462" s="74"/>
      <c r="AP3462" s="125"/>
      <c r="AQ3462" s="241"/>
      <c r="AR3462" s="125"/>
      <c r="AS3462" s="125"/>
      <c r="AT3462" s="238"/>
      <c r="AU3462" s="125"/>
      <c r="AV3462" s="125"/>
      <c r="AW3462" s="125"/>
      <c r="AX3462" s="238"/>
      <c r="AY3462" s="125"/>
      <c r="AZ3462" s="125"/>
      <c r="BA3462" s="125"/>
    </row>
    <row r="3463" spans="2:53" s="123" customFormat="1">
      <c r="B3463" s="125"/>
      <c r="D3463" s="125"/>
      <c r="I3463" s="125"/>
      <c r="Z3463" s="124"/>
      <c r="AA3463" s="74"/>
      <c r="AB3463" s="240"/>
      <c r="AD3463" s="124"/>
      <c r="AE3463" s="238"/>
      <c r="AF3463" s="239"/>
      <c r="AG3463" s="239"/>
      <c r="AH3463" s="124"/>
      <c r="AI3463" s="74"/>
      <c r="AJ3463" s="240"/>
      <c r="AL3463" s="124"/>
      <c r="AM3463" s="74"/>
      <c r="AP3463" s="125"/>
      <c r="AQ3463" s="241"/>
      <c r="AR3463" s="125"/>
      <c r="AS3463" s="125"/>
      <c r="AT3463" s="238"/>
      <c r="AU3463" s="125"/>
      <c r="AV3463" s="125"/>
      <c r="AW3463" s="125"/>
      <c r="AX3463" s="238"/>
      <c r="AY3463" s="125"/>
      <c r="AZ3463" s="125"/>
      <c r="BA3463" s="125"/>
    </row>
    <row r="3464" spans="2:53" s="123" customFormat="1">
      <c r="B3464" s="125"/>
      <c r="D3464" s="125"/>
      <c r="I3464" s="125"/>
      <c r="Z3464" s="124"/>
      <c r="AA3464" s="74"/>
      <c r="AB3464" s="240"/>
      <c r="AD3464" s="124"/>
      <c r="AE3464" s="238"/>
      <c r="AF3464" s="239"/>
      <c r="AG3464" s="239"/>
      <c r="AH3464" s="124"/>
      <c r="AI3464" s="74"/>
      <c r="AJ3464" s="240"/>
      <c r="AL3464" s="124"/>
      <c r="AM3464" s="74"/>
      <c r="AP3464" s="125"/>
      <c r="AQ3464" s="241"/>
      <c r="AR3464" s="125"/>
      <c r="AS3464" s="125"/>
      <c r="AT3464" s="238"/>
      <c r="AU3464" s="125"/>
      <c r="AV3464" s="125"/>
      <c r="AW3464" s="125"/>
      <c r="AX3464" s="238"/>
      <c r="AY3464" s="125"/>
      <c r="AZ3464" s="125"/>
      <c r="BA3464" s="125"/>
    </row>
    <row r="3465" spans="2:53" s="123" customFormat="1">
      <c r="B3465" s="125"/>
      <c r="D3465" s="125"/>
      <c r="I3465" s="125"/>
      <c r="Z3465" s="124"/>
      <c r="AA3465" s="74"/>
      <c r="AB3465" s="240"/>
      <c r="AD3465" s="124"/>
      <c r="AE3465" s="238"/>
      <c r="AF3465" s="239"/>
      <c r="AG3465" s="239"/>
      <c r="AH3465" s="124"/>
      <c r="AI3465" s="74"/>
      <c r="AJ3465" s="240"/>
      <c r="AL3465" s="124"/>
      <c r="AM3465" s="74"/>
      <c r="AP3465" s="125"/>
      <c r="AQ3465" s="241"/>
      <c r="AR3465" s="125"/>
      <c r="AS3465" s="125"/>
      <c r="AT3465" s="238"/>
      <c r="AU3465" s="125"/>
      <c r="AV3465" s="125"/>
      <c r="AW3465" s="125"/>
      <c r="AX3465" s="238"/>
      <c r="AY3465" s="125"/>
      <c r="AZ3465" s="125"/>
      <c r="BA3465" s="125"/>
    </row>
    <row r="3466" spans="2:53" s="123" customFormat="1">
      <c r="B3466" s="125"/>
      <c r="D3466" s="125"/>
      <c r="I3466" s="125"/>
      <c r="Z3466" s="124"/>
      <c r="AA3466" s="74"/>
      <c r="AB3466" s="240"/>
      <c r="AD3466" s="124"/>
      <c r="AE3466" s="238"/>
      <c r="AF3466" s="239"/>
      <c r="AG3466" s="239"/>
      <c r="AH3466" s="124"/>
      <c r="AI3466" s="74"/>
      <c r="AJ3466" s="240"/>
      <c r="AL3466" s="124"/>
      <c r="AM3466" s="74"/>
      <c r="AP3466" s="125"/>
      <c r="AQ3466" s="241"/>
      <c r="AR3466" s="125"/>
      <c r="AS3466" s="125"/>
      <c r="AT3466" s="238"/>
      <c r="AU3466" s="125"/>
      <c r="AV3466" s="125"/>
      <c r="AW3466" s="125"/>
      <c r="AX3466" s="238"/>
      <c r="AY3466" s="125"/>
      <c r="AZ3466" s="125"/>
      <c r="BA3466" s="125"/>
    </row>
    <row r="3467" spans="2:53" s="123" customFormat="1">
      <c r="B3467" s="125"/>
      <c r="D3467" s="125"/>
      <c r="I3467" s="125"/>
      <c r="Z3467" s="124"/>
      <c r="AA3467" s="74"/>
      <c r="AB3467" s="240"/>
      <c r="AD3467" s="124"/>
      <c r="AE3467" s="238"/>
      <c r="AF3467" s="239"/>
      <c r="AG3467" s="239"/>
      <c r="AH3467" s="124"/>
      <c r="AI3467" s="74"/>
      <c r="AJ3467" s="240"/>
      <c r="AL3467" s="124"/>
      <c r="AM3467" s="74"/>
      <c r="AP3467" s="125"/>
      <c r="AQ3467" s="241"/>
      <c r="AR3467" s="125"/>
      <c r="AS3467" s="125"/>
      <c r="AT3467" s="238"/>
      <c r="AU3467" s="125"/>
      <c r="AV3467" s="125"/>
      <c r="AW3467" s="125"/>
      <c r="AX3467" s="238"/>
      <c r="AY3467" s="125"/>
      <c r="AZ3467" s="125"/>
      <c r="BA3467" s="125"/>
    </row>
    <row r="3468" spans="2:53" s="123" customFormat="1">
      <c r="B3468" s="125"/>
      <c r="D3468" s="125"/>
      <c r="I3468" s="125"/>
      <c r="Z3468" s="124"/>
      <c r="AA3468" s="74"/>
      <c r="AB3468" s="240"/>
      <c r="AD3468" s="124"/>
      <c r="AE3468" s="238"/>
      <c r="AF3468" s="239"/>
      <c r="AG3468" s="239"/>
      <c r="AH3468" s="124"/>
      <c r="AI3468" s="74"/>
      <c r="AJ3468" s="240"/>
      <c r="AL3468" s="124"/>
      <c r="AM3468" s="74"/>
      <c r="AP3468" s="125"/>
      <c r="AQ3468" s="241"/>
      <c r="AR3468" s="125"/>
      <c r="AS3468" s="125"/>
      <c r="AT3468" s="238"/>
      <c r="AU3468" s="125"/>
      <c r="AV3468" s="125"/>
      <c r="AW3468" s="125"/>
      <c r="AX3468" s="238"/>
      <c r="AY3468" s="125"/>
      <c r="AZ3468" s="125"/>
      <c r="BA3468" s="125"/>
    </row>
    <row r="3469" spans="2:53" s="123" customFormat="1">
      <c r="B3469" s="125"/>
      <c r="D3469" s="125"/>
      <c r="I3469" s="125"/>
      <c r="Z3469" s="124"/>
      <c r="AA3469" s="74"/>
      <c r="AB3469" s="240"/>
      <c r="AD3469" s="124"/>
      <c r="AE3469" s="238"/>
      <c r="AF3469" s="239"/>
      <c r="AG3469" s="239"/>
      <c r="AH3469" s="124"/>
      <c r="AI3469" s="74"/>
      <c r="AJ3469" s="240"/>
      <c r="AL3469" s="124"/>
      <c r="AM3469" s="74"/>
      <c r="AP3469" s="125"/>
      <c r="AQ3469" s="241"/>
      <c r="AR3469" s="125"/>
      <c r="AS3469" s="125"/>
      <c r="AT3469" s="238"/>
      <c r="AU3469" s="125"/>
      <c r="AV3469" s="125"/>
      <c r="AW3469" s="125"/>
      <c r="AX3469" s="238"/>
      <c r="AY3469" s="125"/>
      <c r="AZ3469" s="125"/>
      <c r="BA3469" s="125"/>
    </row>
    <row r="3470" spans="2:53" s="123" customFormat="1">
      <c r="B3470" s="125"/>
      <c r="D3470" s="125"/>
      <c r="I3470" s="125"/>
      <c r="Z3470" s="124"/>
      <c r="AA3470" s="74"/>
      <c r="AB3470" s="240"/>
      <c r="AD3470" s="124"/>
      <c r="AE3470" s="238"/>
      <c r="AF3470" s="239"/>
      <c r="AG3470" s="239"/>
      <c r="AH3470" s="124"/>
      <c r="AI3470" s="74"/>
      <c r="AJ3470" s="240"/>
      <c r="AL3470" s="124"/>
      <c r="AM3470" s="74"/>
      <c r="AP3470" s="125"/>
      <c r="AQ3470" s="241"/>
      <c r="AR3470" s="125"/>
      <c r="AS3470" s="125"/>
      <c r="AT3470" s="238"/>
      <c r="AU3470" s="125"/>
      <c r="AV3470" s="125"/>
      <c r="AW3470" s="125"/>
      <c r="AX3470" s="238"/>
      <c r="AY3470" s="125"/>
      <c r="AZ3470" s="125"/>
      <c r="BA3470" s="125"/>
    </row>
    <row r="3471" spans="2:53" s="123" customFormat="1">
      <c r="B3471" s="125"/>
      <c r="D3471" s="125"/>
      <c r="I3471" s="125"/>
      <c r="Z3471" s="124"/>
      <c r="AA3471" s="74"/>
      <c r="AB3471" s="240"/>
      <c r="AD3471" s="124"/>
      <c r="AE3471" s="238"/>
      <c r="AF3471" s="239"/>
      <c r="AG3471" s="239"/>
      <c r="AH3471" s="124"/>
      <c r="AI3471" s="74"/>
      <c r="AJ3471" s="240"/>
      <c r="AL3471" s="124"/>
      <c r="AM3471" s="74"/>
      <c r="AP3471" s="125"/>
      <c r="AQ3471" s="241"/>
      <c r="AR3471" s="125"/>
      <c r="AS3471" s="125"/>
      <c r="AT3471" s="238"/>
      <c r="AU3471" s="125"/>
      <c r="AV3471" s="125"/>
      <c r="AW3471" s="125"/>
      <c r="AX3471" s="238"/>
      <c r="AY3471" s="125"/>
      <c r="AZ3471" s="125"/>
      <c r="BA3471" s="125"/>
    </row>
    <row r="3472" spans="2:53" s="123" customFormat="1">
      <c r="B3472" s="125"/>
      <c r="D3472" s="125"/>
      <c r="I3472" s="125"/>
      <c r="Z3472" s="124"/>
      <c r="AA3472" s="74"/>
      <c r="AB3472" s="240"/>
      <c r="AD3472" s="124"/>
      <c r="AE3472" s="238"/>
      <c r="AF3472" s="239"/>
      <c r="AG3472" s="239"/>
      <c r="AH3472" s="124"/>
      <c r="AI3472" s="74"/>
      <c r="AJ3472" s="240"/>
      <c r="AL3472" s="124"/>
      <c r="AM3472" s="74"/>
      <c r="AP3472" s="125"/>
      <c r="AQ3472" s="241"/>
      <c r="AR3472" s="125"/>
      <c r="AS3472" s="125"/>
      <c r="AT3472" s="238"/>
      <c r="AU3472" s="125"/>
      <c r="AV3472" s="125"/>
      <c r="AW3472" s="125"/>
      <c r="AX3472" s="238"/>
      <c r="AY3472" s="125"/>
      <c r="AZ3472" s="125"/>
      <c r="BA3472" s="125"/>
    </row>
    <row r="3473" spans="2:53" s="123" customFormat="1">
      <c r="B3473" s="125"/>
      <c r="D3473" s="125"/>
      <c r="I3473" s="125"/>
      <c r="Z3473" s="124"/>
      <c r="AA3473" s="74"/>
      <c r="AB3473" s="240"/>
      <c r="AD3473" s="124"/>
      <c r="AE3473" s="238"/>
      <c r="AF3473" s="239"/>
      <c r="AG3473" s="239"/>
      <c r="AH3473" s="124"/>
      <c r="AI3473" s="74"/>
      <c r="AJ3473" s="240"/>
      <c r="AL3473" s="124"/>
      <c r="AM3473" s="74"/>
      <c r="AP3473" s="125"/>
      <c r="AQ3473" s="241"/>
      <c r="AR3473" s="125"/>
      <c r="AS3473" s="125"/>
      <c r="AT3473" s="238"/>
      <c r="AU3473" s="125"/>
      <c r="AV3473" s="125"/>
      <c r="AW3473" s="125"/>
      <c r="AX3473" s="238"/>
      <c r="AY3473" s="125"/>
      <c r="AZ3473" s="125"/>
      <c r="BA3473" s="125"/>
    </row>
    <row r="3474" spans="2:53" s="123" customFormat="1">
      <c r="B3474" s="125"/>
      <c r="D3474" s="125"/>
      <c r="I3474" s="125"/>
      <c r="Z3474" s="124"/>
      <c r="AA3474" s="74"/>
      <c r="AB3474" s="240"/>
      <c r="AD3474" s="124"/>
      <c r="AE3474" s="238"/>
      <c r="AF3474" s="239"/>
      <c r="AG3474" s="239"/>
      <c r="AH3474" s="124"/>
      <c r="AI3474" s="74"/>
      <c r="AJ3474" s="240"/>
      <c r="AL3474" s="124"/>
      <c r="AM3474" s="74"/>
      <c r="AP3474" s="125"/>
      <c r="AQ3474" s="241"/>
      <c r="AR3474" s="125"/>
      <c r="AS3474" s="125"/>
      <c r="AT3474" s="238"/>
      <c r="AU3474" s="125"/>
      <c r="AV3474" s="125"/>
      <c r="AW3474" s="125"/>
      <c r="AX3474" s="238"/>
      <c r="AY3474" s="125"/>
      <c r="AZ3474" s="125"/>
      <c r="BA3474" s="125"/>
    </row>
    <row r="3475" spans="2:53" s="123" customFormat="1">
      <c r="B3475" s="125"/>
      <c r="D3475" s="125"/>
      <c r="I3475" s="125"/>
      <c r="Z3475" s="124"/>
      <c r="AA3475" s="74"/>
      <c r="AB3475" s="240"/>
      <c r="AD3475" s="124"/>
      <c r="AE3475" s="238"/>
      <c r="AF3475" s="239"/>
      <c r="AG3475" s="239"/>
      <c r="AH3475" s="124"/>
      <c r="AI3475" s="74"/>
      <c r="AJ3475" s="240"/>
      <c r="AL3475" s="124"/>
      <c r="AM3475" s="74"/>
      <c r="AP3475" s="125"/>
      <c r="AQ3475" s="241"/>
      <c r="AR3475" s="125"/>
      <c r="AS3475" s="125"/>
      <c r="AT3475" s="238"/>
      <c r="AU3475" s="125"/>
      <c r="AV3475" s="125"/>
      <c r="AW3475" s="125"/>
      <c r="AX3475" s="238"/>
      <c r="AY3475" s="125"/>
      <c r="AZ3475" s="125"/>
      <c r="BA3475" s="125"/>
    </row>
    <row r="3476" spans="2:53" s="123" customFormat="1">
      <c r="B3476" s="125"/>
      <c r="D3476" s="125"/>
      <c r="I3476" s="125"/>
      <c r="Z3476" s="124"/>
      <c r="AA3476" s="74"/>
      <c r="AB3476" s="240"/>
      <c r="AD3476" s="124"/>
      <c r="AE3476" s="238"/>
      <c r="AF3476" s="239"/>
      <c r="AG3476" s="239"/>
      <c r="AH3476" s="124"/>
      <c r="AI3476" s="74"/>
      <c r="AJ3476" s="240"/>
      <c r="AL3476" s="124"/>
      <c r="AM3476" s="74"/>
      <c r="AP3476" s="125"/>
      <c r="AQ3476" s="241"/>
      <c r="AR3476" s="125"/>
      <c r="AS3476" s="125"/>
      <c r="AT3476" s="238"/>
      <c r="AU3476" s="125"/>
      <c r="AV3476" s="125"/>
      <c r="AW3476" s="125"/>
      <c r="AX3476" s="238"/>
      <c r="AY3476" s="125"/>
      <c r="AZ3476" s="125"/>
      <c r="BA3476" s="125"/>
    </row>
    <row r="3477" spans="2:53" s="123" customFormat="1">
      <c r="B3477" s="125"/>
      <c r="D3477" s="125"/>
      <c r="I3477" s="125"/>
      <c r="Z3477" s="124"/>
      <c r="AA3477" s="74"/>
      <c r="AB3477" s="240"/>
      <c r="AD3477" s="124"/>
      <c r="AE3477" s="238"/>
      <c r="AF3477" s="239"/>
      <c r="AG3477" s="239"/>
      <c r="AH3477" s="124"/>
      <c r="AI3477" s="74"/>
      <c r="AJ3477" s="240"/>
      <c r="AL3477" s="124"/>
      <c r="AM3477" s="74"/>
      <c r="AP3477" s="125"/>
      <c r="AQ3477" s="241"/>
      <c r="AR3477" s="125"/>
      <c r="AS3477" s="125"/>
      <c r="AT3477" s="238"/>
      <c r="AU3477" s="125"/>
      <c r="AV3477" s="125"/>
      <c r="AW3477" s="125"/>
      <c r="AX3477" s="238"/>
      <c r="AY3477" s="125"/>
      <c r="AZ3477" s="125"/>
      <c r="BA3477" s="125"/>
    </row>
    <row r="3478" spans="2:53" s="123" customFormat="1">
      <c r="B3478" s="125"/>
      <c r="D3478" s="125"/>
      <c r="I3478" s="125"/>
      <c r="Z3478" s="124"/>
      <c r="AA3478" s="74"/>
      <c r="AB3478" s="240"/>
      <c r="AD3478" s="124"/>
      <c r="AE3478" s="238"/>
      <c r="AF3478" s="239"/>
      <c r="AG3478" s="239"/>
      <c r="AH3478" s="124"/>
      <c r="AI3478" s="74"/>
      <c r="AJ3478" s="240"/>
      <c r="AL3478" s="124"/>
      <c r="AM3478" s="74"/>
      <c r="AP3478" s="125"/>
      <c r="AQ3478" s="241"/>
      <c r="AR3478" s="125"/>
      <c r="AS3478" s="125"/>
      <c r="AT3478" s="238"/>
      <c r="AU3478" s="125"/>
      <c r="AV3478" s="125"/>
      <c r="AW3478" s="125"/>
      <c r="AX3478" s="238"/>
      <c r="AY3478" s="125"/>
      <c r="AZ3478" s="125"/>
      <c r="BA3478" s="125"/>
    </row>
    <row r="3479" spans="2:53" s="123" customFormat="1">
      <c r="B3479" s="125"/>
      <c r="D3479" s="125"/>
      <c r="I3479" s="125"/>
      <c r="Z3479" s="124"/>
      <c r="AA3479" s="74"/>
      <c r="AB3479" s="240"/>
      <c r="AD3479" s="124"/>
      <c r="AE3479" s="238"/>
      <c r="AF3479" s="239"/>
      <c r="AG3479" s="239"/>
      <c r="AH3479" s="124"/>
      <c r="AI3479" s="74"/>
      <c r="AJ3479" s="240"/>
      <c r="AL3479" s="124"/>
      <c r="AM3479" s="74"/>
      <c r="AP3479" s="125"/>
      <c r="AQ3479" s="241"/>
      <c r="AR3479" s="125"/>
      <c r="AS3479" s="125"/>
      <c r="AT3479" s="238"/>
      <c r="AU3479" s="125"/>
      <c r="AV3479" s="125"/>
      <c r="AW3479" s="125"/>
      <c r="AX3479" s="238"/>
      <c r="AY3479" s="125"/>
      <c r="AZ3479" s="125"/>
      <c r="BA3479" s="125"/>
    </row>
    <row r="3480" spans="2:53" s="123" customFormat="1">
      <c r="B3480" s="125"/>
      <c r="D3480" s="125"/>
      <c r="I3480" s="125"/>
      <c r="Z3480" s="124"/>
      <c r="AA3480" s="74"/>
      <c r="AB3480" s="240"/>
      <c r="AD3480" s="124"/>
      <c r="AE3480" s="238"/>
      <c r="AF3480" s="239"/>
      <c r="AG3480" s="239"/>
      <c r="AH3480" s="124"/>
      <c r="AI3480" s="74"/>
      <c r="AJ3480" s="240"/>
      <c r="AL3480" s="124"/>
      <c r="AM3480" s="74"/>
      <c r="AP3480" s="125"/>
      <c r="AQ3480" s="241"/>
      <c r="AR3480" s="125"/>
      <c r="AS3480" s="125"/>
      <c r="AT3480" s="238"/>
      <c r="AU3480" s="125"/>
      <c r="AV3480" s="125"/>
      <c r="AW3480" s="125"/>
      <c r="AX3480" s="238"/>
      <c r="AY3480" s="125"/>
      <c r="AZ3480" s="125"/>
      <c r="BA3480" s="125"/>
    </row>
    <row r="3481" spans="2:53" s="123" customFormat="1">
      <c r="B3481" s="125"/>
      <c r="D3481" s="125"/>
      <c r="I3481" s="125"/>
      <c r="Z3481" s="124"/>
      <c r="AA3481" s="74"/>
      <c r="AB3481" s="240"/>
      <c r="AD3481" s="124"/>
      <c r="AE3481" s="238"/>
      <c r="AF3481" s="239"/>
      <c r="AG3481" s="239"/>
      <c r="AH3481" s="124"/>
      <c r="AI3481" s="74"/>
      <c r="AJ3481" s="240"/>
      <c r="AL3481" s="124"/>
      <c r="AM3481" s="74"/>
      <c r="AP3481" s="125"/>
      <c r="AQ3481" s="241"/>
      <c r="AR3481" s="125"/>
      <c r="AS3481" s="125"/>
      <c r="AT3481" s="238"/>
      <c r="AU3481" s="125"/>
      <c r="AV3481" s="125"/>
      <c r="AW3481" s="125"/>
      <c r="AX3481" s="238"/>
      <c r="AY3481" s="125"/>
      <c r="AZ3481" s="125"/>
      <c r="BA3481" s="125"/>
    </row>
    <row r="3482" spans="2:53" s="123" customFormat="1">
      <c r="B3482" s="125"/>
      <c r="D3482" s="125"/>
      <c r="I3482" s="125"/>
      <c r="Z3482" s="124"/>
      <c r="AA3482" s="74"/>
      <c r="AB3482" s="240"/>
      <c r="AD3482" s="124"/>
      <c r="AE3482" s="238"/>
      <c r="AF3482" s="239"/>
      <c r="AG3482" s="239"/>
      <c r="AH3482" s="124"/>
      <c r="AI3482" s="74"/>
      <c r="AJ3482" s="240"/>
      <c r="AL3482" s="124"/>
      <c r="AM3482" s="74"/>
      <c r="AP3482" s="125"/>
      <c r="AQ3482" s="241"/>
      <c r="AR3482" s="125"/>
      <c r="AS3482" s="125"/>
      <c r="AT3482" s="238"/>
      <c r="AU3482" s="125"/>
      <c r="AV3482" s="125"/>
      <c r="AW3482" s="125"/>
      <c r="AX3482" s="238"/>
      <c r="AY3482" s="125"/>
      <c r="AZ3482" s="125"/>
      <c r="BA3482" s="125"/>
    </row>
    <row r="3483" spans="2:53" s="123" customFormat="1">
      <c r="B3483" s="125"/>
      <c r="D3483" s="125"/>
      <c r="I3483" s="125"/>
      <c r="Z3483" s="124"/>
      <c r="AA3483" s="74"/>
      <c r="AB3483" s="240"/>
      <c r="AD3483" s="124"/>
      <c r="AE3483" s="238"/>
      <c r="AF3483" s="239"/>
      <c r="AG3483" s="239"/>
      <c r="AH3483" s="124"/>
      <c r="AI3483" s="74"/>
      <c r="AJ3483" s="240"/>
      <c r="AL3483" s="124"/>
      <c r="AM3483" s="74"/>
      <c r="AP3483" s="125"/>
      <c r="AQ3483" s="241"/>
      <c r="AR3483" s="125"/>
      <c r="AS3483" s="125"/>
      <c r="AT3483" s="238"/>
      <c r="AU3483" s="125"/>
      <c r="AV3483" s="125"/>
      <c r="AW3483" s="125"/>
      <c r="AX3483" s="238"/>
      <c r="AY3483" s="125"/>
      <c r="AZ3483" s="125"/>
      <c r="BA3483" s="125"/>
    </row>
    <row r="3484" spans="2:53" s="123" customFormat="1">
      <c r="B3484" s="125"/>
      <c r="D3484" s="125"/>
      <c r="I3484" s="125"/>
      <c r="Z3484" s="124"/>
      <c r="AA3484" s="74"/>
      <c r="AB3484" s="240"/>
      <c r="AD3484" s="124"/>
      <c r="AE3484" s="238"/>
      <c r="AF3484" s="239"/>
      <c r="AG3484" s="239"/>
      <c r="AH3484" s="124"/>
      <c r="AI3484" s="74"/>
      <c r="AJ3484" s="240"/>
      <c r="AL3484" s="124"/>
      <c r="AM3484" s="74"/>
      <c r="AP3484" s="125"/>
      <c r="AQ3484" s="241"/>
      <c r="AR3484" s="125"/>
      <c r="AS3484" s="125"/>
      <c r="AT3484" s="238"/>
      <c r="AU3484" s="125"/>
      <c r="AV3484" s="125"/>
      <c r="AW3484" s="125"/>
      <c r="AX3484" s="238"/>
      <c r="AY3484" s="125"/>
      <c r="AZ3484" s="125"/>
      <c r="BA3484" s="125"/>
    </row>
    <row r="3485" spans="2:53" s="123" customFormat="1">
      <c r="B3485" s="125"/>
      <c r="D3485" s="125"/>
      <c r="I3485" s="125"/>
      <c r="Z3485" s="124"/>
      <c r="AA3485" s="74"/>
      <c r="AB3485" s="240"/>
      <c r="AD3485" s="124"/>
      <c r="AE3485" s="238"/>
      <c r="AF3485" s="239"/>
      <c r="AG3485" s="239"/>
      <c r="AH3485" s="124"/>
      <c r="AI3485" s="74"/>
      <c r="AJ3485" s="240"/>
      <c r="AL3485" s="124"/>
      <c r="AM3485" s="74"/>
      <c r="AP3485" s="125"/>
      <c r="AQ3485" s="241"/>
      <c r="AR3485" s="125"/>
      <c r="AS3485" s="125"/>
      <c r="AT3485" s="238"/>
      <c r="AU3485" s="125"/>
      <c r="AV3485" s="125"/>
      <c r="AW3485" s="125"/>
      <c r="AX3485" s="238"/>
      <c r="AY3485" s="125"/>
      <c r="AZ3485" s="125"/>
      <c r="BA3485" s="125"/>
    </row>
    <row r="3486" spans="2:53" s="123" customFormat="1">
      <c r="B3486" s="125"/>
      <c r="D3486" s="125"/>
      <c r="I3486" s="125"/>
      <c r="Z3486" s="124"/>
      <c r="AA3486" s="74"/>
      <c r="AB3486" s="240"/>
      <c r="AD3486" s="124"/>
      <c r="AE3486" s="238"/>
      <c r="AF3486" s="239"/>
      <c r="AG3486" s="239"/>
      <c r="AH3486" s="124"/>
      <c r="AI3486" s="74"/>
      <c r="AJ3486" s="240"/>
      <c r="AL3486" s="124"/>
      <c r="AM3486" s="74"/>
      <c r="AP3486" s="125"/>
      <c r="AQ3486" s="241"/>
      <c r="AR3486" s="125"/>
      <c r="AS3486" s="125"/>
      <c r="AT3486" s="238"/>
      <c r="AU3486" s="125"/>
      <c r="AV3486" s="125"/>
      <c r="AW3486" s="125"/>
      <c r="AX3486" s="238"/>
      <c r="AY3486" s="125"/>
      <c r="AZ3486" s="125"/>
      <c r="BA3486" s="125"/>
    </row>
    <row r="3487" spans="2:53" s="123" customFormat="1">
      <c r="B3487" s="125"/>
      <c r="D3487" s="125"/>
      <c r="I3487" s="125"/>
      <c r="Z3487" s="124"/>
      <c r="AA3487" s="74"/>
      <c r="AB3487" s="240"/>
      <c r="AD3487" s="124"/>
      <c r="AE3487" s="238"/>
      <c r="AF3487" s="239"/>
      <c r="AG3487" s="239"/>
      <c r="AH3487" s="124"/>
      <c r="AI3487" s="74"/>
      <c r="AJ3487" s="240"/>
      <c r="AL3487" s="124"/>
      <c r="AM3487" s="74"/>
      <c r="AP3487" s="125"/>
      <c r="AQ3487" s="241"/>
      <c r="AR3487" s="125"/>
      <c r="AS3487" s="125"/>
      <c r="AT3487" s="238"/>
      <c r="AU3487" s="125"/>
      <c r="AV3487" s="125"/>
      <c r="AW3487" s="125"/>
      <c r="AX3487" s="238"/>
      <c r="AY3487" s="125"/>
      <c r="AZ3487" s="125"/>
      <c r="BA3487" s="125"/>
    </row>
    <row r="3488" spans="2:53" s="123" customFormat="1">
      <c r="B3488" s="125"/>
      <c r="D3488" s="125"/>
      <c r="I3488" s="125"/>
      <c r="Z3488" s="124"/>
      <c r="AA3488" s="74"/>
      <c r="AB3488" s="240"/>
      <c r="AD3488" s="124"/>
      <c r="AE3488" s="238"/>
      <c r="AF3488" s="239"/>
      <c r="AG3488" s="239"/>
      <c r="AH3488" s="124"/>
      <c r="AI3488" s="74"/>
      <c r="AJ3488" s="240"/>
      <c r="AL3488" s="124"/>
      <c r="AM3488" s="74"/>
      <c r="AP3488" s="125"/>
      <c r="AQ3488" s="241"/>
      <c r="AR3488" s="125"/>
      <c r="AS3488" s="125"/>
      <c r="AT3488" s="238"/>
      <c r="AU3488" s="125"/>
      <c r="AV3488" s="125"/>
      <c r="AW3488" s="125"/>
      <c r="AX3488" s="238"/>
      <c r="AY3488" s="125"/>
      <c r="AZ3488" s="125"/>
      <c r="BA3488" s="125"/>
    </row>
    <row r="3489" spans="2:53" s="123" customFormat="1">
      <c r="B3489" s="125"/>
      <c r="D3489" s="125"/>
      <c r="I3489" s="125"/>
      <c r="Z3489" s="124"/>
      <c r="AA3489" s="74"/>
      <c r="AB3489" s="240"/>
      <c r="AD3489" s="124"/>
      <c r="AE3489" s="238"/>
      <c r="AF3489" s="239"/>
      <c r="AG3489" s="239"/>
      <c r="AH3489" s="124"/>
      <c r="AI3489" s="74"/>
      <c r="AJ3489" s="240"/>
      <c r="AL3489" s="124"/>
      <c r="AM3489" s="74"/>
      <c r="AP3489" s="125"/>
      <c r="AQ3489" s="241"/>
      <c r="AR3489" s="125"/>
      <c r="AS3489" s="125"/>
      <c r="AT3489" s="238"/>
      <c r="AU3489" s="125"/>
      <c r="AV3489" s="125"/>
      <c r="AW3489" s="125"/>
      <c r="AX3489" s="238"/>
      <c r="AY3489" s="125"/>
      <c r="AZ3489" s="125"/>
      <c r="BA3489" s="125"/>
    </row>
    <row r="3490" spans="2:53" s="123" customFormat="1">
      <c r="B3490" s="125"/>
      <c r="D3490" s="125"/>
      <c r="I3490" s="125"/>
      <c r="Z3490" s="124"/>
      <c r="AA3490" s="74"/>
      <c r="AB3490" s="240"/>
      <c r="AD3490" s="124"/>
      <c r="AE3490" s="238"/>
      <c r="AF3490" s="239"/>
      <c r="AG3490" s="239"/>
      <c r="AH3490" s="124"/>
      <c r="AI3490" s="74"/>
      <c r="AJ3490" s="240"/>
      <c r="AL3490" s="124"/>
      <c r="AM3490" s="74"/>
      <c r="AP3490" s="125"/>
      <c r="AQ3490" s="241"/>
      <c r="AR3490" s="125"/>
      <c r="AS3490" s="125"/>
      <c r="AT3490" s="238"/>
      <c r="AU3490" s="125"/>
      <c r="AV3490" s="125"/>
      <c r="AW3490" s="125"/>
      <c r="AX3490" s="238"/>
      <c r="AY3490" s="125"/>
      <c r="AZ3490" s="125"/>
      <c r="BA3490" s="125"/>
    </row>
    <row r="3491" spans="2:53" s="123" customFormat="1">
      <c r="B3491" s="125"/>
      <c r="D3491" s="125"/>
      <c r="I3491" s="125"/>
      <c r="Z3491" s="124"/>
      <c r="AA3491" s="74"/>
      <c r="AB3491" s="240"/>
      <c r="AD3491" s="124"/>
      <c r="AE3491" s="238"/>
      <c r="AF3491" s="239"/>
      <c r="AG3491" s="239"/>
      <c r="AH3491" s="124"/>
      <c r="AI3491" s="74"/>
      <c r="AJ3491" s="240"/>
      <c r="AL3491" s="124"/>
      <c r="AM3491" s="74"/>
      <c r="AP3491" s="125"/>
      <c r="AQ3491" s="241"/>
      <c r="AR3491" s="125"/>
      <c r="AS3491" s="125"/>
      <c r="AT3491" s="238"/>
      <c r="AU3491" s="125"/>
      <c r="AV3491" s="125"/>
      <c r="AW3491" s="125"/>
      <c r="AX3491" s="238"/>
      <c r="AY3491" s="125"/>
      <c r="AZ3491" s="125"/>
      <c r="BA3491" s="125"/>
    </row>
    <row r="3492" spans="2:53" s="123" customFormat="1">
      <c r="B3492" s="125"/>
      <c r="D3492" s="125"/>
      <c r="I3492" s="125"/>
      <c r="Z3492" s="124"/>
      <c r="AA3492" s="74"/>
      <c r="AB3492" s="240"/>
      <c r="AD3492" s="124"/>
      <c r="AE3492" s="238"/>
      <c r="AF3492" s="239"/>
      <c r="AG3492" s="239"/>
      <c r="AH3492" s="124"/>
      <c r="AI3492" s="74"/>
      <c r="AJ3492" s="240"/>
      <c r="AL3492" s="124"/>
      <c r="AM3492" s="74"/>
      <c r="AP3492" s="125"/>
      <c r="AQ3492" s="241"/>
      <c r="AR3492" s="125"/>
      <c r="AS3492" s="125"/>
      <c r="AT3492" s="238"/>
      <c r="AU3492" s="125"/>
      <c r="AV3492" s="125"/>
      <c r="AW3492" s="125"/>
      <c r="AX3492" s="238"/>
      <c r="AY3492" s="125"/>
      <c r="AZ3492" s="125"/>
      <c r="BA3492" s="125"/>
    </row>
    <row r="3493" spans="2:53" s="123" customFormat="1">
      <c r="B3493" s="125"/>
      <c r="D3493" s="125"/>
      <c r="I3493" s="125"/>
      <c r="Z3493" s="124"/>
      <c r="AA3493" s="74"/>
      <c r="AB3493" s="240"/>
      <c r="AD3493" s="124"/>
      <c r="AE3493" s="238"/>
      <c r="AF3493" s="239"/>
      <c r="AG3493" s="239"/>
      <c r="AH3493" s="124"/>
      <c r="AI3493" s="74"/>
      <c r="AJ3493" s="240"/>
      <c r="AL3493" s="124"/>
      <c r="AM3493" s="74"/>
      <c r="AP3493" s="125"/>
      <c r="AQ3493" s="241"/>
      <c r="AR3493" s="125"/>
      <c r="AS3493" s="125"/>
      <c r="AT3493" s="238"/>
      <c r="AU3493" s="125"/>
      <c r="AV3493" s="125"/>
      <c r="AW3493" s="125"/>
      <c r="AX3493" s="238"/>
      <c r="AY3493" s="125"/>
      <c r="AZ3493" s="125"/>
      <c r="BA3493" s="125"/>
    </row>
    <row r="3494" spans="2:53" s="123" customFormat="1">
      <c r="B3494" s="125"/>
      <c r="D3494" s="125"/>
      <c r="I3494" s="125"/>
      <c r="Z3494" s="124"/>
      <c r="AA3494" s="74"/>
      <c r="AB3494" s="240"/>
      <c r="AD3494" s="124"/>
      <c r="AE3494" s="238"/>
      <c r="AF3494" s="239"/>
      <c r="AG3494" s="239"/>
      <c r="AH3494" s="124"/>
      <c r="AI3494" s="74"/>
      <c r="AJ3494" s="240"/>
      <c r="AL3494" s="124"/>
      <c r="AM3494" s="74"/>
      <c r="AP3494" s="125"/>
      <c r="AQ3494" s="241"/>
      <c r="AR3494" s="125"/>
      <c r="AS3494" s="125"/>
      <c r="AT3494" s="238"/>
      <c r="AU3494" s="125"/>
      <c r="AV3494" s="125"/>
      <c r="AW3494" s="125"/>
      <c r="AX3494" s="238"/>
      <c r="AY3494" s="125"/>
      <c r="AZ3494" s="125"/>
      <c r="BA3494" s="125"/>
    </row>
    <row r="3495" spans="2:53" s="123" customFormat="1">
      <c r="B3495" s="125"/>
      <c r="D3495" s="125"/>
      <c r="I3495" s="125"/>
      <c r="Z3495" s="124"/>
      <c r="AA3495" s="74"/>
      <c r="AB3495" s="240"/>
      <c r="AD3495" s="124"/>
      <c r="AE3495" s="238"/>
      <c r="AF3495" s="239"/>
      <c r="AG3495" s="239"/>
      <c r="AH3495" s="124"/>
      <c r="AI3495" s="74"/>
      <c r="AJ3495" s="240"/>
      <c r="AL3495" s="124"/>
      <c r="AM3495" s="74"/>
      <c r="AP3495" s="125"/>
      <c r="AQ3495" s="241"/>
      <c r="AR3495" s="125"/>
      <c r="AS3495" s="125"/>
      <c r="AT3495" s="238"/>
      <c r="AU3495" s="125"/>
      <c r="AV3495" s="125"/>
      <c r="AW3495" s="125"/>
      <c r="AX3495" s="238"/>
      <c r="AY3495" s="125"/>
      <c r="AZ3495" s="125"/>
      <c r="BA3495" s="125"/>
    </row>
    <row r="3496" spans="2:53" s="123" customFormat="1">
      <c r="B3496" s="125"/>
      <c r="D3496" s="125"/>
      <c r="I3496" s="125"/>
      <c r="Z3496" s="124"/>
      <c r="AA3496" s="74"/>
      <c r="AB3496" s="240"/>
      <c r="AD3496" s="124"/>
      <c r="AE3496" s="238"/>
      <c r="AF3496" s="239"/>
      <c r="AG3496" s="239"/>
      <c r="AH3496" s="124"/>
      <c r="AI3496" s="74"/>
      <c r="AJ3496" s="240"/>
      <c r="AL3496" s="124"/>
      <c r="AM3496" s="74"/>
      <c r="AP3496" s="125"/>
      <c r="AQ3496" s="241"/>
      <c r="AR3496" s="125"/>
      <c r="AS3496" s="125"/>
      <c r="AT3496" s="238"/>
      <c r="AU3496" s="125"/>
      <c r="AV3496" s="125"/>
      <c r="AW3496" s="125"/>
      <c r="AX3496" s="238"/>
      <c r="AY3496" s="125"/>
      <c r="AZ3496" s="125"/>
      <c r="BA3496" s="125"/>
    </row>
    <row r="3497" spans="2:53" s="123" customFormat="1">
      <c r="B3497" s="125"/>
      <c r="D3497" s="125"/>
      <c r="I3497" s="125"/>
      <c r="Z3497" s="124"/>
      <c r="AA3497" s="74"/>
      <c r="AB3497" s="240"/>
      <c r="AD3497" s="124"/>
      <c r="AE3497" s="238"/>
      <c r="AF3497" s="239"/>
      <c r="AG3497" s="239"/>
      <c r="AH3497" s="124"/>
      <c r="AI3497" s="74"/>
      <c r="AJ3497" s="240"/>
      <c r="AL3497" s="124"/>
      <c r="AM3497" s="74"/>
      <c r="AP3497" s="125"/>
      <c r="AQ3497" s="241"/>
      <c r="AR3497" s="125"/>
      <c r="AS3497" s="125"/>
      <c r="AT3497" s="238"/>
      <c r="AU3497" s="125"/>
      <c r="AV3497" s="125"/>
      <c r="AW3497" s="125"/>
      <c r="AX3497" s="238"/>
      <c r="AY3497" s="125"/>
      <c r="AZ3497" s="125"/>
      <c r="BA3497" s="125"/>
    </row>
    <row r="3498" spans="2:53" s="123" customFormat="1">
      <c r="B3498" s="125"/>
      <c r="D3498" s="125"/>
      <c r="I3498" s="125"/>
      <c r="Z3498" s="124"/>
      <c r="AA3498" s="74"/>
      <c r="AB3498" s="240"/>
      <c r="AD3498" s="124"/>
      <c r="AE3498" s="238"/>
      <c r="AF3498" s="239"/>
      <c r="AG3498" s="239"/>
      <c r="AH3498" s="124"/>
      <c r="AI3498" s="74"/>
      <c r="AJ3498" s="240"/>
      <c r="AL3498" s="124"/>
      <c r="AM3498" s="74"/>
      <c r="AP3498" s="125"/>
      <c r="AQ3498" s="241"/>
      <c r="AR3498" s="125"/>
      <c r="AS3498" s="125"/>
      <c r="AT3498" s="238"/>
      <c r="AU3498" s="125"/>
      <c r="AV3498" s="125"/>
      <c r="AW3498" s="125"/>
      <c r="AX3498" s="238"/>
      <c r="AY3498" s="125"/>
      <c r="AZ3498" s="125"/>
      <c r="BA3498" s="125"/>
    </row>
    <row r="3499" spans="2:53" s="123" customFormat="1">
      <c r="B3499" s="125"/>
      <c r="D3499" s="125"/>
      <c r="I3499" s="125"/>
      <c r="Z3499" s="124"/>
      <c r="AA3499" s="74"/>
      <c r="AB3499" s="240"/>
      <c r="AD3499" s="124"/>
      <c r="AE3499" s="238"/>
      <c r="AF3499" s="239"/>
      <c r="AG3499" s="239"/>
      <c r="AH3499" s="124"/>
      <c r="AI3499" s="74"/>
      <c r="AJ3499" s="240"/>
      <c r="AL3499" s="124"/>
      <c r="AM3499" s="74"/>
      <c r="AP3499" s="125"/>
      <c r="AQ3499" s="241"/>
      <c r="AR3499" s="125"/>
      <c r="AS3499" s="125"/>
      <c r="AT3499" s="238"/>
      <c r="AU3499" s="125"/>
      <c r="AV3499" s="125"/>
      <c r="AW3499" s="125"/>
      <c r="AX3499" s="238"/>
      <c r="AY3499" s="125"/>
      <c r="AZ3499" s="125"/>
      <c r="BA3499" s="125"/>
    </row>
    <row r="3500" spans="2:53" s="123" customFormat="1">
      <c r="B3500" s="125"/>
      <c r="D3500" s="125"/>
      <c r="I3500" s="125"/>
      <c r="Z3500" s="124"/>
      <c r="AA3500" s="74"/>
      <c r="AB3500" s="240"/>
      <c r="AD3500" s="124"/>
      <c r="AE3500" s="238"/>
      <c r="AF3500" s="239"/>
      <c r="AG3500" s="239"/>
      <c r="AH3500" s="124"/>
      <c r="AI3500" s="74"/>
      <c r="AJ3500" s="240"/>
      <c r="AL3500" s="124"/>
      <c r="AM3500" s="74"/>
      <c r="AP3500" s="125"/>
      <c r="AQ3500" s="241"/>
      <c r="AR3500" s="125"/>
      <c r="AS3500" s="125"/>
      <c r="AT3500" s="238"/>
      <c r="AU3500" s="125"/>
      <c r="AV3500" s="125"/>
      <c r="AW3500" s="125"/>
      <c r="AX3500" s="238"/>
      <c r="AY3500" s="125"/>
      <c r="AZ3500" s="125"/>
      <c r="BA3500" s="125"/>
    </row>
    <row r="3501" spans="2:53" s="123" customFormat="1">
      <c r="B3501" s="125"/>
      <c r="D3501" s="125"/>
      <c r="I3501" s="125"/>
      <c r="Z3501" s="124"/>
      <c r="AA3501" s="74"/>
      <c r="AB3501" s="240"/>
      <c r="AD3501" s="124"/>
      <c r="AE3501" s="238"/>
      <c r="AF3501" s="239"/>
      <c r="AG3501" s="239"/>
      <c r="AH3501" s="124"/>
      <c r="AI3501" s="74"/>
      <c r="AJ3501" s="240"/>
      <c r="AL3501" s="124"/>
      <c r="AM3501" s="74"/>
      <c r="AP3501" s="125"/>
      <c r="AQ3501" s="241"/>
      <c r="AR3501" s="125"/>
      <c r="AS3501" s="125"/>
      <c r="AT3501" s="238"/>
      <c r="AU3501" s="125"/>
      <c r="AV3501" s="125"/>
      <c r="AW3501" s="125"/>
      <c r="AX3501" s="238"/>
      <c r="AY3501" s="125"/>
      <c r="AZ3501" s="125"/>
      <c r="BA3501" s="125"/>
    </row>
    <row r="3502" spans="2:53" s="123" customFormat="1">
      <c r="B3502" s="125"/>
      <c r="D3502" s="125"/>
      <c r="I3502" s="125"/>
      <c r="Z3502" s="124"/>
      <c r="AA3502" s="74"/>
      <c r="AB3502" s="240"/>
      <c r="AD3502" s="124"/>
      <c r="AE3502" s="238"/>
      <c r="AF3502" s="239"/>
      <c r="AG3502" s="239"/>
      <c r="AH3502" s="124"/>
      <c r="AI3502" s="74"/>
      <c r="AJ3502" s="240"/>
      <c r="AL3502" s="124"/>
      <c r="AM3502" s="74"/>
      <c r="AP3502" s="125"/>
      <c r="AQ3502" s="241"/>
      <c r="AR3502" s="125"/>
      <c r="AS3502" s="125"/>
      <c r="AT3502" s="238"/>
      <c r="AU3502" s="125"/>
      <c r="AV3502" s="125"/>
      <c r="AW3502" s="125"/>
      <c r="AX3502" s="238"/>
      <c r="AY3502" s="125"/>
      <c r="AZ3502" s="125"/>
      <c r="BA3502" s="125"/>
    </row>
    <row r="3503" spans="2:53" s="123" customFormat="1">
      <c r="B3503" s="125"/>
      <c r="D3503" s="125"/>
      <c r="I3503" s="125"/>
      <c r="Z3503" s="124"/>
      <c r="AA3503" s="74"/>
      <c r="AB3503" s="240"/>
      <c r="AD3503" s="124"/>
      <c r="AE3503" s="238"/>
      <c r="AF3503" s="239"/>
      <c r="AG3503" s="239"/>
      <c r="AH3503" s="124"/>
      <c r="AI3503" s="74"/>
      <c r="AJ3503" s="240"/>
      <c r="AL3503" s="124"/>
      <c r="AM3503" s="74"/>
      <c r="AP3503" s="125"/>
      <c r="AQ3503" s="241"/>
      <c r="AR3503" s="125"/>
      <c r="AS3503" s="125"/>
      <c r="AT3503" s="238"/>
      <c r="AU3503" s="125"/>
      <c r="AV3503" s="125"/>
      <c r="AW3503" s="125"/>
      <c r="AX3503" s="238"/>
      <c r="AY3503" s="125"/>
      <c r="AZ3503" s="125"/>
      <c r="BA3503" s="125"/>
    </row>
    <row r="3504" spans="2:53" s="123" customFormat="1">
      <c r="B3504" s="125"/>
      <c r="D3504" s="125"/>
      <c r="I3504" s="125"/>
      <c r="Z3504" s="124"/>
      <c r="AA3504" s="74"/>
      <c r="AB3504" s="240"/>
      <c r="AD3504" s="124"/>
      <c r="AE3504" s="238"/>
      <c r="AF3504" s="239"/>
      <c r="AG3504" s="239"/>
      <c r="AH3504" s="124"/>
      <c r="AI3504" s="74"/>
      <c r="AJ3504" s="240"/>
      <c r="AL3504" s="124"/>
      <c r="AM3504" s="74"/>
      <c r="AP3504" s="125"/>
      <c r="AQ3504" s="241"/>
      <c r="AR3504" s="125"/>
      <c r="AS3504" s="125"/>
      <c r="AT3504" s="238"/>
      <c r="AU3504" s="125"/>
      <c r="AV3504" s="125"/>
      <c r="AW3504" s="125"/>
      <c r="AX3504" s="238"/>
      <c r="AY3504" s="125"/>
      <c r="AZ3504" s="125"/>
      <c r="BA3504" s="125"/>
    </row>
    <row r="3505" spans="2:53" s="123" customFormat="1">
      <c r="B3505" s="125"/>
      <c r="D3505" s="125"/>
      <c r="I3505" s="125"/>
      <c r="Z3505" s="124"/>
      <c r="AA3505" s="74"/>
      <c r="AB3505" s="240"/>
      <c r="AD3505" s="124"/>
      <c r="AE3505" s="238"/>
      <c r="AF3505" s="239"/>
      <c r="AG3505" s="239"/>
      <c r="AH3505" s="124"/>
      <c r="AI3505" s="74"/>
      <c r="AJ3505" s="240"/>
      <c r="AL3505" s="124"/>
      <c r="AM3505" s="74"/>
      <c r="AP3505" s="125"/>
      <c r="AQ3505" s="241"/>
      <c r="AR3505" s="125"/>
      <c r="AS3505" s="125"/>
      <c r="AT3505" s="238"/>
      <c r="AU3505" s="125"/>
      <c r="AV3505" s="125"/>
      <c r="AW3505" s="125"/>
      <c r="AX3505" s="238"/>
      <c r="AY3505" s="125"/>
      <c r="AZ3505" s="125"/>
      <c r="BA3505" s="125"/>
    </row>
    <row r="3506" spans="2:53" s="123" customFormat="1">
      <c r="B3506" s="125"/>
      <c r="D3506" s="125"/>
      <c r="I3506" s="125"/>
      <c r="Z3506" s="124"/>
      <c r="AA3506" s="74"/>
      <c r="AB3506" s="240"/>
      <c r="AD3506" s="124"/>
      <c r="AE3506" s="238"/>
      <c r="AF3506" s="239"/>
      <c r="AG3506" s="239"/>
      <c r="AH3506" s="124"/>
      <c r="AI3506" s="74"/>
      <c r="AJ3506" s="240"/>
      <c r="AL3506" s="124"/>
      <c r="AM3506" s="74"/>
      <c r="AP3506" s="125"/>
      <c r="AQ3506" s="241"/>
      <c r="AR3506" s="125"/>
      <c r="AS3506" s="125"/>
      <c r="AT3506" s="238"/>
      <c r="AU3506" s="125"/>
      <c r="AV3506" s="125"/>
      <c r="AW3506" s="125"/>
      <c r="AX3506" s="238"/>
      <c r="AY3506" s="125"/>
      <c r="AZ3506" s="125"/>
      <c r="BA3506" s="125"/>
    </row>
    <row r="3507" spans="2:53" s="123" customFormat="1">
      <c r="B3507" s="125"/>
      <c r="D3507" s="125"/>
      <c r="I3507" s="125"/>
      <c r="Z3507" s="124"/>
      <c r="AA3507" s="74"/>
      <c r="AB3507" s="240"/>
      <c r="AD3507" s="124"/>
      <c r="AE3507" s="238"/>
      <c r="AF3507" s="239"/>
      <c r="AG3507" s="239"/>
      <c r="AH3507" s="124"/>
      <c r="AI3507" s="74"/>
      <c r="AJ3507" s="240"/>
      <c r="AL3507" s="124"/>
      <c r="AM3507" s="74"/>
      <c r="AP3507" s="125"/>
      <c r="AQ3507" s="241"/>
      <c r="AR3507" s="125"/>
      <c r="AS3507" s="125"/>
      <c r="AT3507" s="238"/>
      <c r="AU3507" s="125"/>
      <c r="AV3507" s="125"/>
      <c r="AW3507" s="125"/>
      <c r="AX3507" s="238"/>
      <c r="AY3507" s="125"/>
      <c r="AZ3507" s="125"/>
      <c r="BA3507" s="125"/>
    </row>
    <row r="3508" spans="2:53" s="123" customFormat="1">
      <c r="B3508" s="125"/>
      <c r="D3508" s="125"/>
      <c r="I3508" s="125"/>
      <c r="Z3508" s="124"/>
      <c r="AA3508" s="74"/>
      <c r="AB3508" s="240"/>
      <c r="AD3508" s="124"/>
      <c r="AE3508" s="238"/>
      <c r="AF3508" s="239"/>
      <c r="AG3508" s="239"/>
      <c r="AH3508" s="124"/>
      <c r="AI3508" s="74"/>
      <c r="AJ3508" s="240"/>
      <c r="AL3508" s="124"/>
      <c r="AM3508" s="74"/>
      <c r="AP3508" s="125"/>
      <c r="AQ3508" s="241"/>
      <c r="AR3508" s="125"/>
      <c r="AS3508" s="125"/>
      <c r="AT3508" s="238"/>
      <c r="AU3508" s="125"/>
      <c r="AV3508" s="125"/>
      <c r="AW3508" s="125"/>
      <c r="AX3508" s="238"/>
      <c r="AY3508" s="125"/>
      <c r="AZ3508" s="125"/>
      <c r="BA3508" s="125"/>
    </row>
    <row r="3509" spans="2:53" s="123" customFormat="1">
      <c r="B3509" s="125"/>
      <c r="D3509" s="125"/>
      <c r="I3509" s="125"/>
      <c r="Z3509" s="124"/>
      <c r="AA3509" s="74"/>
      <c r="AB3509" s="240"/>
      <c r="AD3509" s="124"/>
      <c r="AE3509" s="238"/>
      <c r="AF3509" s="239"/>
      <c r="AG3509" s="239"/>
      <c r="AH3509" s="124"/>
      <c r="AI3509" s="74"/>
      <c r="AJ3509" s="240"/>
      <c r="AL3509" s="124"/>
      <c r="AM3509" s="74"/>
      <c r="AP3509" s="125"/>
      <c r="AQ3509" s="241"/>
      <c r="AR3509" s="125"/>
      <c r="AS3509" s="125"/>
      <c r="AT3509" s="238"/>
      <c r="AU3509" s="125"/>
      <c r="AV3509" s="125"/>
      <c r="AW3509" s="125"/>
      <c r="AX3509" s="238"/>
      <c r="AY3509" s="125"/>
      <c r="AZ3509" s="125"/>
      <c r="BA3509" s="125"/>
    </row>
    <row r="3510" spans="2:53" s="123" customFormat="1">
      <c r="B3510" s="125"/>
      <c r="D3510" s="125"/>
      <c r="I3510" s="125"/>
      <c r="Z3510" s="124"/>
      <c r="AA3510" s="74"/>
      <c r="AB3510" s="240"/>
      <c r="AD3510" s="124"/>
      <c r="AE3510" s="238"/>
      <c r="AF3510" s="239"/>
      <c r="AG3510" s="239"/>
      <c r="AH3510" s="124"/>
      <c r="AI3510" s="74"/>
      <c r="AJ3510" s="240"/>
      <c r="AL3510" s="124"/>
      <c r="AM3510" s="74"/>
      <c r="AP3510" s="125"/>
      <c r="AQ3510" s="241"/>
      <c r="AR3510" s="125"/>
      <c r="AS3510" s="125"/>
      <c r="AT3510" s="238"/>
      <c r="AU3510" s="125"/>
      <c r="AV3510" s="125"/>
      <c r="AW3510" s="125"/>
      <c r="AX3510" s="238"/>
      <c r="AY3510" s="125"/>
      <c r="AZ3510" s="125"/>
      <c r="BA3510" s="125"/>
    </row>
    <row r="3511" spans="2:53" s="123" customFormat="1">
      <c r="B3511" s="125"/>
      <c r="D3511" s="125"/>
      <c r="I3511" s="125"/>
      <c r="Z3511" s="124"/>
      <c r="AA3511" s="74"/>
      <c r="AB3511" s="240"/>
      <c r="AD3511" s="124"/>
      <c r="AE3511" s="238"/>
      <c r="AF3511" s="239"/>
      <c r="AG3511" s="239"/>
      <c r="AH3511" s="124"/>
      <c r="AI3511" s="74"/>
      <c r="AJ3511" s="240"/>
      <c r="AL3511" s="124"/>
      <c r="AM3511" s="74"/>
      <c r="AP3511" s="125"/>
      <c r="AQ3511" s="241"/>
      <c r="AR3511" s="125"/>
      <c r="AS3511" s="125"/>
      <c r="AT3511" s="238"/>
      <c r="AU3511" s="125"/>
      <c r="AV3511" s="125"/>
      <c r="AW3511" s="125"/>
      <c r="AX3511" s="238"/>
      <c r="AY3511" s="125"/>
      <c r="AZ3511" s="125"/>
      <c r="BA3511" s="125"/>
    </row>
    <row r="3512" spans="2:53" s="123" customFormat="1">
      <c r="B3512" s="125"/>
      <c r="D3512" s="125"/>
      <c r="I3512" s="125"/>
      <c r="Z3512" s="124"/>
      <c r="AA3512" s="74"/>
      <c r="AB3512" s="240"/>
      <c r="AD3512" s="124"/>
      <c r="AE3512" s="238"/>
      <c r="AF3512" s="239"/>
      <c r="AG3512" s="239"/>
      <c r="AH3512" s="124"/>
      <c r="AI3512" s="74"/>
      <c r="AJ3512" s="240"/>
      <c r="AL3512" s="124"/>
      <c r="AM3512" s="74"/>
      <c r="AP3512" s="125"/>
      <c r="AQ3512" s="241"/>
      <c r="AR3512" s="125"/>
      <c r="AS3512" s="125"/>
      <c r="AT3512" s="238"/>
      <c r="AU3512" s="125"/>
      <c r="AV3512" s="125"/>
      <c r="AW3512" s="125"/>
      <c r="AX3512" s="238"/>
      <c r="AY3512" s="125"/>
      <c r="AZ3512" s="125"/>
      <c r="BA3512" s="125"/>
    </row>
    <row r="3513" spans="2:53" s="123" customFormat="1">
      <c r="B3513" s="125"/>
      <c r="D3513" s="125"/>
      <c r="I3513" s="125"/>
      <c r="Z3513" s="124"/>
      <c r="AA3513" s="74"/>
      <c r="AB3513" s="240"/>
      <c r="AD3513" s="124"/>
      <c r="AE3513" s="238"/>
      <c r="AF3513" s="239"/>
      <c r="AG3513" s="239"/>
      <c r="AH3513" s="124"/>
      <c r="AI3513" s="74"/>
      <c r="AJ3513" s="240"/>
      <c r="AL3513" s="124"/>
      <c r="AM3513" s="74"/>
      <c r="AP3513" s="125"/>
      <c r="AQ3513" s="241"/>
      <c r="AR3513" s="125"/>
      <c r="AS3513" s="125"/>
      <c r="AT3513" s="238"/>
      <c r="AU3513" s="125"/>
      <c r="AV3513" s="125"/>
      <c r="AW3513" s="125"/>
      <c r="AX3513" s="238"/>
      <c r="AY3513" s="125"/>
      <c r="AZ3513" s="125"/>
      <c r="BA3513" s="125"/>
    </row>
    <row r="3514" spans="2:53" s="123" customFormat="1">
      <c r="B3514" s="125"/>
      <c r="D3514" s="125"/>
      <c r="I3514" s="125"/>
      <c r="Z3514" s="124"/>
      <c r="AA3514" s="74"/>
      <c r="AB3514" s="240"/>
      <c r="AD3514" s="124"/>
      <c r="AE3514" s="238"/>
      <c r="AF3514" s="239"/>
      <c r="AG3514" s="239"/>
      <c r="AH3514" s="124"/>
      <c r="AI3514" s="74"/>
      <c r="AJ3514" s="240"/>
      <c r="AL3514" s="124"/>
      <c r="AM3514" s="74"/>
      <c r="AP3514" s="125"/>
      <c r="AQ3514" s="241"/>
      <c r="AR3514" s="125"/>
      <c r="AS3514" s="125"/>
      <c r="AT3514" s="238"/>
      <c r="AU3514" s="125"/>
      <c r="AV3514" s="125"/>
      <c r="AW3514" s="125"/>
      <c r="AX3514" s="238"/>
      <c r="AY3514" s="125"/>
      <c r="AZ3514" s="125"/>
      <c r="BA3514" s="125"/>
    </row>
    <row r="3515" spans="2:53" s="123" customFormat="1">
      <c r="B3515" s="125"/>
      <c r="D3515" s="125"/>
      <c r="I3515" s="125"/>
      <c r="Z3515" s="124"/>
      <c r="AA3515" s="74"/>
      <c r="AB3515" s="240"/>
      <c r="AD3515" s="124"/>
      <c r="AE3515" s="238"/>
      <c r="AF3515" s="239"/>
      <c r="AG3515" s="239"/>
      <c r="AH3515" s="124"/>
      <c r="AI3515" s="74"/>
      <c r="AJ3515" s="240"/>
      <c r="AL3515" s="124"/>
      <c r="AM3515" s="74"/>
      <c r="AP3515" s="125"/>
      <c r="AQ3515" s="241"/>
      <c r="AR3515" s="125"/>
      <c r="AS3515" s="125"/>
      <c r="AT3515" s="238"/>
      <c r="AU3515" s="125"/>
      <c r="AV3515" s="125"/>
      <c r="AW3515" s="125"/>
      <c r="AX3515" s="238"/>
      <c r="AY3515" s="125"/>
      <c r="AZ3515" s="125"/>
      <c r="BA3515" s="125"/>
    </row>
    <row r="3516" spans="2:53" s="123" customFormat="1">
      <c r="B3516" s="125"/>
      <c r="D3516" s="125"/>
      <c r="I3516" s="125"/>
      <c r="Z3516" s="124"/>
      <c r="AA3516" s="74"/>
      <c r="AB3516" s="240"/>
      <c r="AD3516" s="124"/>
      <c r="AE3516" s="238"/>
      <c r="AF3516" s="239"/>
      <c r="AG3516" s="239"/>
      <c r="AH3516" s="124"/>
      <c r="AI3516" s="74"/>
      <c r="AJ3516" s="240"/>
      <c r="AL3516" s="124"/>
      <c r="AM3516" s="74"/>
      <c r="AP3516" s="125"/>
      <c r="AQ3516" s="241"/>
      <c r="AR3516" s="125"/>
      <c r="AS3516" s="125"/>
      <c r="AT3516" s="238"/>
      <c r="AU3516" s="125"/>
      <c r="AV3516" s="125"/>
      <c r="AW3516" s="125"/>
      <c r="AX3516" s="238"/>
      <c r="AY3516" s="125"/>
      <c r="AZ3516" s="125"/>
      <c r="BA3516" s="125"/>
    </row>
    <row r="3517" spans="2:53" s="123" customFormat="1">
      <c r="B3517" s="125"/>
      <c r="D3517" s="125"/>
      <c r="I3517" s="125"/>
      <c r="Z3517" s="124"/>
      <c r="AA3517" s="74"/>
      <c r="AB3517" s="240"/>
      <c r="AD3517" s="124"/>
      <c r="AE3517" s="238"/>
      <c r="AF3517" s="239"/>
      <c r="AG3517" s="239"/>
      <c r="AH3517" s="124"/>
      <c r="AI3517" s="74"/>
      <c r="AJ3517" s="240"/>
      <c r="AL3517" s="124"/>
      <c r="AM3517" s="74"/>
      <c r="AP3517" s="125"/>
      <c r="AQ3517" s="241"/>
      <c r="AR3517" s="125"/>
      <c r="AS3517" s="125"/>
      <c r="AT3517" s="238"/>
      <c r="AU3517" s="125"/>
      <c r="AV3517" s="125"/>
      <c r="AW3517" s="125"/>
      <c r="AX3517" s="238"/>
      <c r="AY3517" s="125"/>
      <c r="AZ3517" s="125"/>
      <c r="BA3517" s="125"/>
    </row>
    <row r="3518" spans="2:53" s="123" customFormat="1">
      <c r="B3518" s="125"/>
      <c r="D3518" s="125"/>
      <c r="I3518" s="125"/>
      <c r="Z3518" s="124"/>
      <c r="AA3518" s="74"/>
      <c r="AB3518" s="240"/>
      <c r="AD3518" s="124"/>
      <c r="AE3518" s="238"/>
      <c r="AF3518" s="239"/>
      <c r="AG3518" s="239"/>
      <c r="AH3518" s="124"/>
      <c r="AI3518" s="74"/>
      <c r="AJ3518" s="240"/>
      <c r="AL3518" s="124"/>
      <c r="AM3518" s="74"/>
      <c r="AP3518" s="125"/>
      <c r="AQ3518" s="241"/>
      <c r="AR3518" s="125"/>
      <c r="AS3518" s="125"/>
      <c r="AT3518" s="238"/>
      <c r="AU3518" s="125"/>
      <c r="AV3518" s="125"/>
      <c r="AW3518" s="125"/>
      <c r="AX3518" s="238"/>
      <c r="AY3518" s="125"/>
      <c r="AZ3518" s="125"/>
      <c r="BA3518" s="125"/>
    </row>
    <row r="3519" spans="2:53" s="123" customFormat="1">
      <c r="B3519" s="125"/>
      <c r="D3519" s="125"/>
      <c r="I3519" s="125"/>
      <c r="Z3519" s="124"/>
      <c r="AA3519" s="74"/>
      <c r="AB3519" s="240"/>
      <c r="AD3519" s="124"/>
      <c r="AE3519" s="238"/>
      <c r="AF3519" s="239"/>
      <c r="AG3519" s="239"/>
      <c r="AH3519" s="124"/>
      <c r="AI3519" s="74"/>
      <c r="AJ3519" s="240"/>
      <c r="AL3519" s="124"/>
      <c r="AM3519" s="74"/>
      <c r="AP3519" s="125"/>
      <c r="AQ3519" s="241"/>
      <c r="AR3519" s="125"/>
      <c r="AS3519" s="125"/>
      <c r="AT3519" s="238"/>
      <c r="AU3519" s="125"/>
      <c r="AV3519" s="125"/>
      <c r="AW3519" s="125"/>
      <c r="AX3519" s="238"/>
      <c r="AY3519" s="125"/>
      <c r="AZ3519" s="125"/>
      <c r="BA3519" s="125"/>
    </row>
    <row r="3520" spans="2:53" s="123" customFormat="1">
      <c r="B3520" s="125"/>
      <c r="D3520" s="125"/>
      <c r="I3520" s="125"/>
      <c r="Z3520" s="124"/>
      <c r="AA3520" s="74"/>
      <c r="AB3520" s="240"/>
      <c r="AD3520" s="124"/>
      <c r="AE3520" s="238"/>
      <c r="AF3520" s="239"/>
      <c r="AG3520" s="239"/>
      <c r="AH3520" s="124"/>
      <c r="AI3520" s="74"/>
      <c r="AJ3520" s="240"/>
      <c r="AL3520" s="124"/>
      <c r="AM3520" s="74"/>
      <c r="AP3520" s="125"/>
      <c r="AQ3520" s="241"/>
      <c r="AR3520" s="125"/>
      <c r="AS3520" s="125"/>
      <c r="AT3520" s="238"/>
      <c r="AU3520" s="125"/>
      <c r="AV3520" s="125"/>
      <c r="AW3520" s="125"/>
      <c r="AX3520" s="238"/>
      <c r="AY3520" s="125"/>
      <c r="AZ3520" s="125"/>
      <c r="BA3520" s="125"/>
    </row>
    <row r="3521" spans="2:53" s="123" customFormat="1">
      <c r="B3521" s="125"/>
      <c r="D3521" s="125"/>
      <c r="I3521" s="125"/>
      <c r="Z3521" s="124"/>
      <c r="AA3521" s="74"/>
      <c r="AB3521" s="240"/>
      <c r="AD3521" s="124"/>
      <c r="AE3521" s="238"/>
      <c r="AF3521" s="239"/>
      <c r="AG3521" s="239"/>
      <c r="AH3521" s="124"/>
      <c r="AI3521" s="74"/>
      <c r="AJ3521" s="240"/>
      <c r="AL3521" s="124"/>
      <c r="AM3521" s="74"/>
      <c r="AP3521" s="125"/>
      <c r="AQ3521" s="241"/>
      <c r="AR3521" s="125"/>
      <c r="AS3521" s="125"/>
      <c r="AT3521" s="238"/>
      <c r="AU3521" s="125"/>
      <c r="AV3521" s="125"/>
      <c r="AW3521" s="125"/>
      <c r="AX3521" s="238"/>
      <c r="AY3521" s="125"/>
      <c r="AZ3521" s="125"/>
      <c r="BA3521" s="125"/>
    </row>
    <row r="3522" spans="2:53" s="123" customFormat="1">
      <c r="B3522" s="125"/>
      <c r="D3522" s="125"/>
      <c r="I3522" s="125"/>
      <c r="Z3522" s="124"/>
      <c r="AA3522" s="74"/>
      <c r="AB3522" s="240"/>
      <c r="AD3522" s="124"/>
      <c r="AE3522" s="238"/>
      <c r="AF3522" s="239"/>
      <c r="AG3522" s="239"/>
      <c r="AH3522" s="124"/>
      <c r="AI3522" s="74"/>
      <c r="AJ3522" s="240"/>
      <c r="AL3522" s="124"/>
      <c r="AM3522" s="74"/>
      <c r="AP3522" s="125"/>
      <c r="AQ3522" s="241"/>
      <c r="AR3522" s="125"/>
      <c r="AS3522" s="125"/>
      <c r="AT3522" s="238"/>
      <c r="AU3522" s="125"/>
      <c r="AV3522" s="125"/>
      <c r="AW3522" s="125"/>
      <c r="AX3522" s="238"/>
      <c r="AY3522" s="125"/>
      <c r="AZ3522" s="125"/>
      <c r="BA3522" s="125"/>
    </row>
    <row r="3523" spans="2:53" s="123" customFormat="1">
      <c r="B3523" s="125"/>
      <c r="D3523" s="125"/>
      <c r="I3523" s="125"/>
      <c r="Z3523" s="124"/>
      <c r="AA3523" s="74"/>
      <c r="AB3523" s="240"/>
      <c r="AD3523" s="124"/>
      <c r="AE3523" s="238"/>
      <c r="AF3523" s="239"/>
      <c r="AG3523" s="239"/>
      <c r="AH3523" s="124"/>
      <c r="AI3523" s="74"/>
      <c r="AJ3523" s="240"/>
      <c r="AL3523" s="124"/>
      <c r="AM3523" s="74"/>
      <c r="AP3523" s="125"/>
      <c r="AQ3523" s="241"/>
      <c r="AR3523" s="125"/>
      <c r="AS3523" s="125"/>
      <c r="AT3523" s="238"/>
      <c r="AU3523" s="125"/>
      <c r="AV3523" s="125"/>
      <c r="AW3523" s="125"/>
      <c r="AX3523" s="238"/>
      <c r="AY3523" s="125"/>
      <c r="AZ3523" s="125"/>
      <c r="BA3523" s="125"/>
    </row>
    <row r="3524" spans="2:53" s="123" customFormat="1">
      <c r="B3524" s="125"/>
      <c r="D3524" s="125"/>
      <c r="I3524" s="125"/>
      <c r="Z3524" s="124"/>
      <c r="AA3524" s="74"/>
      <c r="AB3524" s="240"/>
      <c r="AD3524" s="124"/>
      <c r="AE3524" s="238"/>
      <c r="AF3524" s="239"/>
      <c r="AG3524" s="239"/>
      <c r="AH3524" s="124"/>
      <c r="AI3524" s="74"/>
      <c r="AJ3524" s="240"/>
      <c r="AL3524" s="124"/>
      <c r="AM3524" s="74"/>
      <c r="AP3524" s="125"/>
      <c r="AQ3524" s="241"/>
      <c r="AR3524" s="125"/>
      <c r="AS3524" s="125"/>
      <c r="AT3524" s="238"/>
      <c r="AU3524" s="125"/>
      <c r="AV3524" s="125"/>
      <c r="AW3524" s="125"/>
      <c r="AX3524" s="238"/>
      <c r="AY3524" s="125"/>
      <c r="AZ3524" s="125"/>
      <c r="BA3524" s="125"/>
    </row>
    <row r="3525" spans="2:53" s="123" customFormat="1">
      <c r="B3525" s="125"/>
      <c r="D3525" s="125"/>
      <c r="I3525" s="125"/>
      <c r="Z3525" s="124"/>
      <c r="AA3525" s="74"/>
      <c r="AB3525" s="240"/>
      <c r="AD3525" s="124"/>
      <c r="AE3525" s="238"/>
      <c r="AF3525" s="239"/>
      <c r="AG3525" s="239"/>
      <c r="AH3525" s="124"/>
      <c r="AI3525" s="74"/>
      <c r="AJ3525" s="240"/>
      <c r="AL3525" s="124"/>
      <c r="AM3525" s="74"/>
      <c r="AP3525" s="125"/>
      <c r="AQ3525" s="241"/>
      <c r="AR3525" s="125"/>
      <c r="AS3525" s="125"/>
      <c r="AT3525" s="238"/>
      <c r="AU3525" s="125"/>
      <c r="AV3525" s="125"/>
      <c r="AW3525" s="125"/>
      <c r="AX3525" s="238"/>
      <c r="AY3525" s="125"/>
      <c r="AZ3525" s="125"/>
      <c r="BA3525" s="125"/>
    </row>
    <row r="3526" spans="2:53" s="123" customFormat="1">
      <c r="B3526" s="125"/>
      <c r="D3526" s="125"/>
      <c r="I3526" s="125"/>
      <c r="Z3526" s="124"/>
      <c r="AA3526" s="74"/>
      <c r="AB3526" s="240"/>
      <c r="AD3526" s="124"/>
      <c r="AE3526" s="238"/>
      <c r="AF3526" s="239"/>
      <c r="AG3526" s="239"/>
      <c r="AH3526" s="124"/>
      <c r="AI3526" s="74"/>
      <c r="AJ3526" s="240"/>
      <c r="AL3526" s="124"/>
      <c r="AM3526" s="74"/>
      <c r="AP3526" s="125"/>
      <c r="AQ3526" s="241"/>
      <c r="AR3526" s="125"/>
      <c r="AS3526" s="125"/>
      <c r="AT3526" s="238"/>
      <c r="AU3526" s="125"/>
      <c r="AV3526" s="125"/>
      <c r="AW3526" s="125"/>
      <c r="AX3526" s="238"/>
      <c r="AY3526" s="125"/>
      <c r="AZ3526" s="125"/>
      <c r="BA3526" s="125"/>
    </row>
    <row r="3527" spans="2:53" s="123" customFormat="1">
      <c r="B3527" s="125"/>
      <c r="D3527" s="125"/>
      <c r="I3527" s="125"/>
      <c r="Z3527" s="124"/>
      <c r="AA3527" s="74"/>
      <c r="AB3527" s="240"/>
      <c r="AD3527" s="124"/>
      <c r="AE3527" s="238"/>
      <c r="AF3527" s="239"/>
      <c r="AG3527" s="239"/>
      <c r="AH3527" s="124"/>
      <c r="AI3527" s="74"/>
      <c r="AJ3527" s="240"/>
      <c r="AL3527" s="124"/>
      <c r="AM3527" s="74"/>
      <c r="AP3527" s="125"/>
      <c r="AQ3527" s="241"/>
      <c r="AR3527" s="125"/>
      <c r="AS3527" s="125"/>
      <c r="AT3527" s="238"/>
      <c r="AU3527" s="125"/>
      <c r="AV3527" s="125"/>
      <c r="AW3527" s="125"/>
      <c r="AX3527" s="238"/>
      <c r="AY3527" s="125"/>
      <c r="AZ3527" s="125"/>
      <c r="BA3527" s="125"/>
    </row>
    <row r="3528" spans="2:53" s="123" customFormat="1">
      <c r="B3528" s="125"/>
      <c r="D3528" s="125"/>
      <c r="I3528" s="125"/>
      <c r="Z3528" s="124"/>
      <c r="AA3528" s="74"/>
      <c r="AB3528" s="240"/>
      <c r="AD3528" s="124"/>
      <c r="AE3528" s="238"/>
      <c r="AF3528" s="239"/>
      <c r="AG3528" s="239"/>
      <c r="AH3528" s="124"/>
      <c r="AI3528" s="74"/>
      <c r="AJ3528" s="240"/>
      <c r="AL3528" s="124"/>
      <c r="AM3528" s="74"/>
      <c r="AP3528" s="125"/>
      <c r="AQ3528" s="241"/>
      <c r="AR3528" s="125"/>
      <c r="AS3528" s="125"/>
      <c r="AT3528" s="238"/>
      <c r="AU3528" s="125"/>
      <c r="AV3528" s="125"/>
      <c r="AW3528" s="125"/>
      <c r="AX3528" s="238"/>
      <c r="AY3528" s="125"/>
      <c r="AZ3528" s="125"/>
      <c r="BA3528" s="125"/>
    </row>
    <row r="3529" spans="2:53" s="123" customFormat="1">
      <c r="B3529" s="125"/>
      <c r="D3529" s="125"/>
      <c r="I3529" s="125"/>
      <c r="Z3529" s="124"/>
      <c r="AA3529" s="74"/>
      <c r="AB3529" s="240"/>
      <c r="AD3529" s="124"/>
      <c r="AE3529" s="238"/>
      <c r="AF3529" s="239"/>
      <c r="AG3529" s="239"/>
      <c r="AH3529" s="124"/>
      <c r="AI3529" s="74"/>
      <c r="AJ3529" s="240"/>
      <c r="AL3529" s="124"/>
      <c r="AM3529" s="74"/>
      <c r="AP3529" s="125"/>
      <c r="AQ3529" s="241"/>
      <c r="AR3529" s="125"/>
      <c r="AS3529" s="125"/>
      <c r="AT3529" s="238"/>
      <c r="AU3529" s="125"/>
      <c r="AV3529" s="125"/>
      <c r="AW3529" s="125"/>
      <c r="AX3529" s="238"/>
      <c r="AY3529" s="125"/>
      <c r="AZ3529" s="125"/>
      <c r="BA3529" s="125"/>
    </row>
    <row r="3530" spans="2:53" s="123" customFormat="1">
      <c r="B3530" s="125"/>
      <c r="D3530" s="125"/>
      <c r="I3530" s="125"/>
      <c r="Z3530" s="124"/>
      <c r="AA3530" s="74"/>
      <c r="AB3530" s="240"/>
      <c r="AD3530" s="124"/>
      <c r="AE3530" s="238"/>
      <c r="AF3530" s="239"/>
      <c r="AG3530" s="239"/>
      <c r="AH3530" s="124"/>
      <c r="AI3530" s="74"/>
      <c r="AJ3530" s="240"/>
      <c r="AL3530" s="124"/>
      <c r="AM3530" s="74"/>
      <c r="AP3530" s="125"/>
      <c r="AQ3530" s="241"/>
      <c r="AR3530" s="125"/>
      <c r="AS3530" s="125"/>
      <c r="AT3530" s="238"/>
      <c r="AU3530" s="125"/>
      <c r="AV3530" s="125"/>
      <c r="AW3530" s="125"/>
      <c r="AX3530" s="238"/>
      <c r="AY3530" s="125"/>
      <c r="AZ3530" s="125"/>
      <c r="BA3530" s="125"/>
    </row>
    <row r="3531" spans="2:53" s="123" customFormat="1">
      <c r="B3531" s="125"/>
      <c r="D3531" s="125"/>
      <c r="I3531" s="125"/>
      <c r="Z3531" s="124"/>
      <c r="AA3531" s="74"/>
      <c r="AB3531" s="240"/>
      <c r="AD3531" s="124"/>
      <c r="AE3531" s="238"/>
      <c r="AF3531" s="239"/>
      <c r="AG3531" s="239"/>
      <c r="AH3531" s="124"/>
      <c r="AI3531" s="74"/>
      <c r="AJ3531" s="240"/>
      <c r="AL3531" s="124"/>
      <c r="AM3531" s="74"/>
      <c r="AP3531" s="125"/>
      <c r="AQ3531" s="241"/>
      <c r="AR3531" s="125"/>
      <c r="AS3531" s="125"/>
      <c r="AT3531" s="238"/>
      <c r="AU3531" s="125"/>
      <c r="AV3531" s="125"/>
      <c r="AW3531" s="125"/>
      <c r="AX3531" s="238"/>
      <c r="AY3531" s="125"/>
      <c r="AZ3531" s="125"/>
      <c r="BA3531" s="125"/>
    </row>
  </sheetData>
  <mergeCells count="19">
    <mergeCell ref="B8:AC8"/>
    <mergeCell ref="B1:AC2"/>
    <mergeCell ref="B3:AC4"/>
    <mergeCell ref="B5:AC5"/>
    <mergeCell ref="B6:AC6"/>
    <mergeCell ref="B7:AC7"/>
    <mergeCell ref="B9:AC10"/>
    <mergeCell ref="B11:AC11"/>
    <mergeCell ref="Z15:AC15"/>
    <mergeCell ref="AD15:AG15"/>
    <mergeCell ref="AH15:AK15"/>
    <mergeCell ref="B365:AC365"/>
    <mergeCell ref="AP15:AS15"/>
    <mergeCell ref="AT15:AW15"/>
    <mergeCell ref="AX15:BA15"/>
    <mergeCell ref="BB15:BC15"/>
    <mergeCell ref="B363:I363"/>
    <mergeCell ref="B364:E364"/>
    <mergeCell ref="AL15:AO15"/>
  </mergeCells>
  <conditionalFormatting sqref="J17:R17 V17:X17 Z17:BA17">
    <cfRule type="duplicateValues" dxfId="129" priority="6"/>
  </conditionalFormatting>
  <conditionalFormatting sqref="D17:D93 D217:D294">
    <cfRule type="duplicateValues" dxfId="128" priority="7"/>
  </conditionalFormatting>
  <conditionalFormatting sqref="M17">
    <cfRule type="duplicateValues" dxfId="127" priority="8"/>
  </conditionalFormatting>
  <conditionalFormatting sqref="D297:D304">
    <cfRule type="duplicateValues" dxfId="126" priority="5"/>
  </conditionalFormatting>
  <conditionalFormatting sqref="D295:D296">
    <cfRule type="duplicateValues" dxfId="125" priority="4"/>
  </conditionalFormatting>
  <conditionalFormatting sqref="D320">
    <cfRule type="duplicateValues" dxfId="124" priority="3"/>
  </conditionalFormatting>
  <conditionalFormatting sqref="D305:D319 D321:D333">
    <cfRule type="duplicateValues" dxfId="123" priority="9"/>
  </conditionalFormatting>
  <conditionalFormatting sqref="B362:E362 D334:D348 D350:D361">
    <cfRule type="duplicateValues" dxfId="122" priority="2"/>
  </conditionalFormatting>
  <conditionalFormatting sqref="D349">
    <cfRule type="duplicateValues" dxfId="12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80"/>
  <sheetViews>
    <sheetView topLeftCell="A9" workbookViewId="0">
      <selection activeCell="B9" sqref="B9:AC10"/>
    </sheetView>
  </sheetViews>
  <sheetFormatPr baseColWidth="10" defaultRowHeight="11.25"/>
  <cols>
    <col min="1" max="1" width="5" style="123" customWidth="1"/>
    <col min="2" max="2" width="10.140625" style="86" customWidth="1"/>
    <col min="3" max="3" width="9.85546875" style="83" customWidth="1"/>
    <col min="4" max="4" width="11.42578125" style="86" customWidth="1"/>
    <col min="5" max="5" width="37" style="83" customWidth="1"/>
    <col min="6" max="6" width="13.140625" style="83" customWidth="1"/>
    <col min="7" max="7" width="11.28515625" style="83" customWidth="1"/>
    <col min="8" max="8" width="18.85546875" style="83" customWidth="1"/>
    <col min="9" max="9" width="9.7109375" style="83" customWidth="1"/>
    <col min="10" max="10" width="11.5703125" style="83" customWidth="1"/>
    <col min="11" max="26" width="12" style="83" customWidth="1"/>
    <col min="27" max="27" width="10.140625" style="83" customWidth="1"/>
    <col min="28" max="28" width="10.140625" style="60" customWidth="1"/>
    <col min="29" max="30" width="10.140625" style="83" customWidth="1"/>
    <col min="31" max="31" width="11.7109375" style="83" customWidth="1"/>
    <col min="32" max="32" width="10.140625" style="84" customWidth="1"/>
    <col min="33" max="35" width="10.140625" style="83" customWidth="1"/>
    <col min="36" max="36" width="10.140625" style="60" customWidth="1"/>
    <col min="37" max="39" width="10.140625" style="83" customWidth="1"/>
    <col min="40" max="40" width="10.140625" style="60" customWidth="1"/>
    <col min="41" max="43" width="10.140625" style="83" customWidth="1"/>
    <col min="44" max="44" width="10.140625" style="60" customWidth="1"/>
    <col min="45" max="46" width="10.140625" style="83" customWidth="1"/>
    <col min="47" max="48" width="11.42578125" style="83"/>
    <col min="49" max="96" width="11.42578125" style="123"/>
    <col min="97" max="16384" width="11.42578125" style="83"/>
  </cols>
  <sheetData>
    <row r="1" spans="1:96" hidden="1">
      <c r="B1" s="738"/>
      <c r="C1" s="738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739"/>
      <c r="AB1" s="739"/>
      <c r="AC1" s="739"/>
      <c r="AD1" s="739"/>
      <c r="AE1" s="80"/>
      <c r="AF1" s="81"/>
      <c r="AG1" s="80"/>
      <c r="AH1" s="80"/>
      <c r="AI1" s="80"/>
      <c r="AJ1" s="82"/>
      <c r="AK1" s="80"/>
      <c r="AL1" s="80"/>
      <c r="AM1" s="80"/>
      <c r="AN1" s="82"/>
      <c r="AO1" s="80"/>
      <c r="AP1" s="80"/>
      <c r="AQ1" s="80"/>
      <c r="AR1" s="82"/>
      <c r="AS1" s="80"/>
      <c r="AT1" s="80"/>
    </row>
    <row r="2" spans="1:96" hidden="1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739"/>
      <c r="AE2" s="80"/>
      <c r="AF2" s="81"/>
      <c r="AG2" s="80"/>
      <c r="AH2" s="80"/>
      <c r="AI2" s="80"/>
      <c r="AJ2" s="82"/>
      <c r="AK2" s="80"/>
      <c r="AL2" s="80"/>
      <c r="AM2" s="80"/>
      <c r="AN2" s="82"/>
      <c r="AO2" s="80"/>
      <c r="AP2" s="80"/>
      <c r="AQ2" s="80"/>
      <c r="AR2" s="82"/>
      <c r="AS2" s="80"/>
      <c r="AT2" s="80"/>
    </row>
    <row r="3" spans="1:96" ht="12.75" hidden="1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1"/>
      <c r="AF3" s="2"/>
      <c r="AG3" s="1"/>
      <c r="AH3" s="1"/>
      <c r="AI3" s="1"/>
      <c r="AJ3" s="3"/>
      <c r="AK3" s="1"/>
      <c r="AL3" s="1"/>
      <c r="AM3" s="1"/>
      <c r="AN3" s="3"/>
      <c r="AO3" s="1"/>
      <c r="AP3" s="1"/>
      <c r="AQ3" s="1"/>
      <c r="AR3" s="3"/>
      <c r="AS3" s="1"/>
      <c r="AT3" s="1"/>
    </row>
    <row r="4" spans="1:96" ht="21.75" hidden="1" customHeight="1"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740"/>
      <c r="AE4" s="1"/>
      <c r="AF4" s="2"/>
      <c r="AG4" s="1"/>
      <c r="AH4" s="1"/>
      <c r="AI4" s="1"/>
      <c r="AJ4" s="3"/>
      <c r="AK4" s="1"/>
      <c r="AL4" s="1"/>
      <c r="AM4" s="1"/>
      <c r="AN4" s="3"/>
      <c r="AO4" s="1"/>
      <c r="AP4" s="1"/>
      <c r="AQ4" s="1"/>
      <c r="AR4" s="3"/>
      <c r="AS4" s="1"/>
      <c r="AT4" s="1"/>
    </row>
    <row r="5" spans="1:96" ht="11.25" hidden="1" customHeight="1"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740"/>
      <c r="AE5" s="1"/>
      <c r="AF5" s="2"/>
      <c r="AG5" s="1"/>
      <c r="AH5" s="1"/>
      <c r="AI5" s="1"/>
      <c r="AJ5" s="3"/>
      <c r="AK5" s="1"/>
      <c r="AL5" s="1"/>
      <c r="AM5" s="1"/>
      <c r="AN5" s="3"/>
      <c r="AO5" s="1"/>
      <c r="AP5" s="1"/>
      <c r="AQ5" s="1"/>
      <c r="AR5" s="3"/>
      <c r="AS5" s="1"/>
      <c r="AT5" s="1"/>
    </row>
    <row r="6" spans="1:96" ht="15" hidden="1" customHeight="1"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740"/>
      <c r="AE6" s="1"/>
      <c r="AF6" s="2"/>
      <c r="AG6" s="1"/>
      <c r="AH6" s="1"/>
      <c r="AI6" s="1"/>
      <c r="AJ6" s="3"/>
      <c r="AK6" s="1"/>
      <c r="AL6" s="1"/>
      <c r="AM6" s="1"/>
      <c r="AN6" s="3"/>
      <c r="AO6" s="1"/>
      <c r="AP6" s="1"/>
      <c r="AQ6" s="1"/>
      <c r="AR6" s="3"/>
      <c r="AS6" s="1"/>
      <c r="AT6" s="1"/>
    </row>
    <row r="7" spans="1:96" ht="21" hidden="1" customHeight="1"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740"/>
      <c r="AE7" s="1"/>
      <c r="AF7" s="2"/>
      <c r="AG7" s="1"/>
      <c r="AH7" s="1"/>
      <c r="AI7" s="1"/>
      <c r="AJ7" s="3"/>
      <c r="AK7" s="1"/>
      <c r="AL7" s="1"/>
      <c r="AM7" s="1"/>
      <c r="AN7" s="3"/>
      <c r="AO7" s="1"/>
      <c r="AP7" s="1"/>
      <c r="AQ7" s="1"/>
      <c r="AR7" s="3"/>
      <c r="AS7" s="1"/>
      <c r="AT7" s="1"/>
    </row>
    <row r="8" spans="1:96" ht="16.5" hidden="1" customHeight="1"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740"/>
      <c r="AE8" s="1"/>
      <c r="AF8" s="2"/>
      <c r="AG8" s="1"/>
      <c r="AH8" s="1"/>
      <c r="AI8" s="1"/>
      <c r="AJ8" s="3"/>
      <c r="AK8" s="1"/>
      <c r="AL8" s="1"/>
      <c r="AM8" s="1"/>
      <c r="AN8" s="3"/>
      <c r="AO8" s="1"/>
      <c r="AP8" s="1"/>
      <c r="AQ8" s="1"/>
      <c r="AR8" s="3"/>
      <c r="AS8" s="1"/>
      <c r="AT8" s="1"/>
    </row>
    <row r="9" spans="1:96" s="123" customFormat="1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64"/>
      <c r="AE9" s="61"/>
      <c r="AF9" s="62"/>
      <c r="AG9" s="61"/>
      <c r="AH9" s="61"/>
      <c r="AI9" s="61"/>
      <c r="AJ9" s="63"/>
      <c r="AK9" s="61"/>
      <c r="AL9" s="61"/>
      <c r="AM9" s="61"/>
      <c r="AN9" s="63"/>
      <c r="AO9" s="61"/>
      <c r="AP9" s="61"/>
      <c r="AQ9" s="61"/>
      <c r="AR9" s="63"/>
      <c r="AS9" s="61"/>
      <c r="AT9" s="61"/>
    </row>
    <row r="10" spans="1:96" s="123" customFormat="1" ht="11.25" customHeight="1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D10" s="64"/>
      <c r="AF10" s="124"/>
      <c r="AJ10" s="74"/>
      <c r="AN10" s="74"/>
      <c r="AR10" s="74"/>
    </row>
    <row r="11" spans="1:96" ht="18.75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123"/>
      <c r="AF11" s="124"/>
      <c r="AG11" s="123"/>
      <c r="AH11" s="123"/>
      <c r="AI11" s="123"/>
      <c r="AJ11" s="74"/>
      <c r="AK11" s="123"/>
      <c r="AL11" s="123"/>
      <c r="AM11" s="123"/>
      <c r="AN11" s="74"/>
      <c r="AO11" s="123"/>
      <c r="AP11" s="123"/>
      <c r="AQ11" s="123"/>
      <c r="AR11" s="74"/>
      <c r="AS11" s="123"/>
      <c r="AT11" s="123"/>
      <c r="AU11" s="123"/>
      <c r="AV11" s="123"/>
    </row>
    <row r="12" spans="1:96" ht="22.5">
      <c r="B12" s="4" t="s">
        <v>1</v>
      </c>
      <c r="C12" s="4" t="s">
        <v>2</v>
      </c>
      <c r="D12" s="5" t="s">
        <v>3</v>
      </c>
      <c r="E12" s="6" t="s">
        <v>4</v>
      </c>
      <c r="F12" s="7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123"/>
      <c r="AF12" s="124"/>
      <c r="AG12" s="123"/>
      <c r="AH12" s="123"/>
      <c r="AI12" s="123"/>
      <c r="AJ12" s="74"/>
      <c r="AK12" s="123"/>
      <c r="AL12" s="123"/>
      <c r="AM12" s="123"/>
      <c r="AN12" s="74"/>
      <c r="AO12" s="123"/>
      <c r="AP12" s="123"/>
      <c r="AQ12" s="123"/>
      <c r="AR12" s="74"/>
      <c r="AS12" s="123"/>
      <c r="AT12" s="123"/>
      <c r="AU12" s="123"/>
      <c r="AV12" s="123"/>
    </row>
    <row r="13" spans="1:96" ht="18.75">
      <c r="B13" s="8">
        <v>30425612</v>
      </c>
      <c r="C13" s="8">
        <v>30425612</v>
      </c>
      <c r="D13" s="8">
        <v>30425612</v>
      </c>
      <c r="E13" s="8">
        <f>+Z145</f>
        <v>15636825.761999998</v>
      </c>
      <c r="F13" s="67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123"/>
      <c r="AF13" s="124"/>
      <c r="AG13" s="123"/>
      <c r="AH13" s="123"/>
      <c r="AI13" s="123"/>
      <c r="AJ13" s="74"/>
      <c r="AK13" s="123"/>
      <c r="AL13" s="123"/>
      <c r="AM13" s="123"/>
      <c r="AN13" s="74"/>
      <c r="AO13" s="123"/>
      <c r="AP13" s="123"/>
      <c r="AQ13" s="123"/>
      <c r="AR13" s="74"/>
      <c r="AS13" s="123"/>
      <c r="AT13" s="123"/>
      <c r="AU13" s="123"/>
      <c r="AV13" s="123"/>
    </row>
    <row r="14" spans="1:96" ht="15" customHeight="1">
      <c r="C14" s="9"/>
      <c r="D14" s="10"/>
      <c r="E14" s="9"/>
      <c r="F14" s="68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736" t="s">
        <v>5</v>
      </c>
      <c r="AB14" s="737"/>
      <c r="AC14" s="737"/>
      <c r="AD14" s="737"/>
      <c r="AE14" s="728" t="s">
        <v>6</v>
      </c>
      <c r="AF14" s="729"/>
      <c r="AG14" s="729"/>
      <c r="AH14" s="729"/>
      <c r="AI14" s="728" t="s">
        <v>6</v>
      </c>
      <c r="AJ14" s="729"/>
      <c r="AK14" s="729"/>
      <c r="AL14" s="729"/>
      <c r="AM14" s="728" t="s">
        <v>6</v>
      </c>
      <c r="AN14" s="729"/>
      <c r="AO14" s="729"/>
      <c r="AP14" s="729"/>
      <c r="AQ14" s="728" t="s">
        <v>6</v>
      </c>
      <c r="AR14" s="729"/>
      <c r="AS14" s="729"/>
      <c r="AT14" s="729"/>
      <c r="AU14" s="729" t="s">
        <v>7</v>
      </c>
      <c r="AV14" s="729"/>
    </row>
    <row r="15" spans="1:96" s="96" customFormat="1" ht="55.5" customHeight="1">
      <c r="A15" s="39"/>
      <c r="B15" s="87" t="s">
        <v>8</v>
      </c>
      <c r="C15" s="87" t="s">
        <v>9</v>
      </c>
      <c r="D15" s="87" t="s">
        <v>10</v>
      </c>
      <c r="E15" s="6" t="s">
        <v>11</v>
      </c>
      <c r="F15" s="6" t="s">
        <v>12</v>
      </c>
      <c r="G15" s="6" t="s">
        <v>13</v>
      </c>
      <c r="H15" s="6" t="s">
        <v>14</v>
      </c>
      <c r="I15" s="6" t="s">
        <v>15</v>
      </c>
      <c r="J15" s="6" t="s">
        <v>16</v>
      </c>
      <c r="K15" s="6" t="s">
        <v>17</v>
      </c>
      <c r="L15" s="6" t="s">
        <v>1057</v>
      </c>
      <c r="M15" s="6" t="s">
        <v>18</v>
      </c>
      <c r="N15" s="88" t="s">
        <v>19</v>
      </c>
      <c r="O15" s="88" t="s">
        <v>20</v>
      </c>
      <c r="P15" s="88" t="s">
        <v>21</v>
      </c>
      <c r="Q15" s="88" t="s">
        <v>22</v>
      </c>
      <c r="R15" s="88" t="s">
        <v>23</v>
      </c>
      <c r="S15" s="89" t="s">
        <v>24</v>
      </c>
      <c r="T15" s="89" t="s">
        <v>25</v>
      </c>
      <c r="U15" s="89" t="s">
        <v>26</v>
      </c>
      <c r="V15" s="89" t="s">
        <v>27</v>
      </c>
      <c r="W15" s="89" t="s">
        <v>28</v>
      </c>
      <c r="X15" s="89" t="s">
        <v>29</v>
      </c>
      <c r="Y15" s="89" t="s">
        <v>30</v>
      </c>
      <c r="Z15" s="90" t="s">
        <v>31</v>
      </c>
      <c r="AA15" s="92" t="s">
        <v>32</v>
      </c>
      <c r="AB15" s="91" t="s">
        <v>33</v>
      </c>
      <c r="AC15" s="92" t="s">
        <v>34</v>
      </c>
      <c r="AD15" s="92" t="s">
        <v>35</v>
      </c>
      <c r="AE15" s="94" t="s">
        <v>36</v>
      </c>
      <c r="AF15" s="93" t="s">
        <v>33</v>
      </c>
      <c r="AG15" s="94" t="s">
        <v>34</v>
      </c>
      <c r="AH15" s="94" t="s">
        <v>35</v>
      </c>
      <c r="AI15" s="94" t="s">
        <v>36</v>
      </c>
      <c r="AJ15" s="93" t="s">
        <v>33</v>
      </c>
      <c r="AK15" s="94" t="s">
        <v>34</v>
      </c>
      <c r="AL15" s="94" t="s">
        <v>35</v>
      </c>
      <c r="AM15" s="94" t="s">
        <v>36</v>
      </c>
      <c r="AN15" s="93" t="s">
        <v>33</v>
      </c>
      <c r="AO15" s="94" t="s">
        <v>34</v>
      </c>
      <c r="AP15" s="94" t="s">
        <v>35</v>
      </c>
      <c r="AQ15" s="94" t="s">
        <v>36</v>
      </c>
      <c r="AR15" s="93" t="s">
        <v>33</v>
      </c>
      <c r="AS15" s="94" t="s">
        <v>34</v>
      </c>
      <c r="AT15" s="94" t="s">
        <v>35</v>
      </c>
      <c r="AU15" s="95" t="s">
        <v>37</v>
      </c>
      <c r="AV15" s="95" t="s">
        <v>38</v>
      </c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</row>
    <row r="16" spans="1:96" s="39" customFormat="1" ht="22.5">
      <c r="B16" s="97">
        <v>1</v>
      </c>
      <c r="C16" s="97" t="s">
        <v>65</v>
      </c>
      <c r="D16" s="23">
        <v>30125606</v>
      </c>
      <c r="E16" s="48" t="s">
        <v>1058</v>
      </c>
      <c r="F16" s="48" t="s">
        <v>317</v>
      </c>
      <c r="G16" s="26" t="s">
        <v>1059</v>
      </c>
      <c r="H16" s="26" t="s">
        <v>1060</v>
      </c>
      <c r="I16" s="49" t="s">
        <v>44</v>
      </c>
      <c r="J16" s="34">
        <v>41497</v>
      </c>
      <c r="K16" s="34">
        <v>34497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4000</v>
      </c>
      <c r="W16" s="34"/>
      <c r="X16" s="34"/>
      <c r="Y16" s="34"/>
      <c r="Z16" s="31">
        <f>SUM(N16:Y16)</f>
        <v>4000</v>
      </c>
      <c r="AA16" s="34">
        <v>7000</v>
      </c>
      <c r="AB16" s="32">
        <v>2</v>
      </c>
      <c r="AC16" s="33">
        <v>44209</v>
      </c>
      <c r="AD16" s="36">
        <v>44249</v>
      </c>
      <c r="AE16" s="34"/>
      <c r="AF16" s="35"/>
      <c r="AG16" s="33"/>
      <c r="AH16" s="36"/>
      <c r="AI16" s="34"/>
      <c r="AJ16" s="32"/>
      <c r="AK16" s="27"/>
      <c r="AL16" s="36"/>
      <c r="AM16" s="34"/>
      <c r="AN16" s="32"/>
      <c r="AO16" s="27"/>
      <c r="AP16" s="36"/>
      <c r="AQ16" s="34"/>
      <c r="AR16" s="32"/>
      <c r="AS16" s="27"/>
      <c r="AT16" s="36"/>
      <c r="AU16" s="37">
        <f t="shared" ref="AU16:AU122" si="0">+AA16+AE16+AI16+AM16+AQ16</f>
        <v>7000</v>
      </c>
      <c r="AV16" s="38">
        <f t="shared" ref="AV16:AV122" si="1">+AU16-Z16</f>
        <v>3000</v>
      </c>
    </row>
    <row r="17" spans="2:48" s="39" customFormat="1" ht="22.5">
      <c r="B17" s="97">
        <v>2</v>
      </c>
      <c r="C17" s="97" t="s">
        <v>65</v>
      </c>
      <c r="D17" s="23">
        <v>40013851</v>
      </c>
      <c r="E17" s="48" t="s">
        <v>1061</v>
      </c>
      <c r="F17" s="48" t="s">
        <v>317</v>
      </c>
      <c r="G17" s="26" t="s">
        <v>1059</v>
      </c>
      <c r="H17" s="26" t="s">
        <v>342</v>
      </c>
      <c r="I17" s="49" t="s">
        <v>52</v>
      </c>
      <c r="J17" s="34">
        <v>241500</v>
      </c>
      <c r="K17" s="34">
        <v>0</v>
      </c>
      <c r="L17" s="34">
        <v>170529</v>
      </c>
      <c r="M17" s="34">
        <v>65775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/>
      <c r="X17" s="34"/>
      <c r="Y17" s="34"/>
      <c r="Z17" s="31">
        <f t="shared" ref="Z17:Z80" si="2">SUM(N17:Y17)</f>
        <v>0</v>
      </c>
      <c r="AA17" s="34">
        <v>1</v>
      </c>
      <c r="AB17" s="32">
        <v>2</v>
      </c>
      <c r="AC17" s="33">
        <v>44209</v>
      </c>
      <c r="AD17" s="36">
        <v>44249</v>
      </c>
      <c r="AE17" s="34">
        <v>70970</v>
      </c>
      <c r="AF17" s="35">
        <v>27</v>
      </c>
      <c r="AG17" s="33">
        <v>44421</v>
      </c>
      <c r="AH17" s="36">
        <v>44438</v>
      </c>
      <c r="AI17" s="34"/>
      <c r="AJ17" s="32"/>
      <c r="AK17" s="27"/>
      <c r="AL17" s="36"/>
      <c r="AM17" s="34"/>
      <c r="AN17" s="32"/>
      <c r="AO17" s="27"/>
      <c r="AP17" s="36"/>
      <c r="AQ17" s="34"/>
      <c r="AR17" s="32"/>
      <c r="AS17" s="27"/>
      <c r="AT17" s="36"/>
      <c r="AU17" s="37">
        <f t="shared" si="0"/>
        <v>70971</v>
      </c>
      <c r="AV17" s="38">
        <f t="shared" si="1"/>
        <v>70971</v>
      </c>
    </row>
    <row r="18" spans="2:48" s="39" customFormat="1" ht="22.5">
      <c r="B18" s="97">
        <v>3</v>
      </c>
      <c r="C18" s="97" t="s">
        <v>39</v>
      </c>
      <c r="D18" s="23">
        <v>30062671</v>
      </c>
      <c r="E18" s="48" t="s">
        <v>1062</v>
      </c>
      <c r="F18" s="48" t="s">
        <v>51</v>
      </c>
      <c r="G18" s="26" t="s">
        <v>1059</v>
      </c>
      <c r="H18" s="26" t="s">
        <v>1063</v>
      </c>
      <c r="I18" s="49" t="s">
        <v>44</v>
      </c>
      <c r="J18" s="34">
        <v>1777543</v>
      </c>
      <c r="K18" s="34">
        <v>1761742</v>
      </c>
      <c r="L18" s="34">
        <v>236524</v>
      </c>
      <c r="M18" s="34">
        <v>0</v>
      </c>
      <c r="N18" s="34">
        <v>5078.34</v>
      </c>
      <c r="O18" s="34">
        <v>9407.2279999999992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4">
        <v>0</v>
      </c>
      <c r="W18" s="34"/>
      <c r="X18" s="34"/>
      <c r="Y18" s="34"/>
      <c r="Z18" s="31">
        <f t="shared" si="2"/>
        <v>14485.567999999999</v>
      </c>
      <c r="AA18" s="34">
        <v>16156</v>
      </c>
      <c r="AB18" s="32">
        <v>1</v>
      </c>
      <c r="AC18" s="33">
        <v>44201</v>
      </c>
      <c r="AD18" s="36">
        <v>44229</v>
      </c>
      <c r="AE18" s="214"/>
      <c r="AF18" s="35"/>
      <c r="AG18" s="33"/>
      <c r="AH18" s="36"/>
      <c r="AI18" s="214"/>
      <c r="AJ18" s="32"/>
      <c r="AK18" s="33"/>
      <c r="AL18" s="36"/>
      <c r="AM18" s="214"/>
      <c r="AN18" s="32"/>
      <c r="AO18" s="33"/>
      <c r="AP18" s="36"/>
      <c r="AQ18" s="214"/>
      <c r="AR18" s="32"/>
      <c r="AS18" s="33"/>
      <c r="AT18" s="36"/>
      <c r="AU18" s="37">
        <f t="shared" si="0"/>
        <v>16156</v>
      </c>
      <c r="AV18" s="38">
        <f t="shared" si="1"/>
        <v>1670.4320000000007</v>
      </c>
    </row>
    <row r="19" spans="2:48" s="39" customFormat="1" ht="22.5">
      <c r="B19" s="97">
        <v>4</v>
      </c>
      <c r="C19" s="97" t="s">
        <v>39</v>
      </c>
      <c r="D19" s="23">
        <v>30110114</v>
      </c>
      <c r="E19" s="48" t="s">
        <v>1064</v>
      </c>
      <c r="F19" s="48" t="s">
        <v>51</v>
      </c>
      <c r="G19" s="26" t="s">
        <v>1059</v>
      </c>
      <c r="H19" s="26" t="s">
        <v>1065</v>
      </c>
      <c r="I19" s="49" t="s">
        <v>44</v>
      </c>
      <c r="J19" s="34">
        <v>573836</v>
      </c>
      <c r="K19" s="34">
        <v>573264</v>
      </c>
      <c r="L19" s="34">
        <v>0</v>
      </c>
      <c r="M19" s="34">
        <v>1</v>
      </c>
      <c r="N19" s="34">
        <v>556.53099999999995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/>
      <c r="X19" s="34"/>
      <c r="Y19" s="34"/>
      <c r="Z19" s="31">
        <f t="shared" si="2"/>
        <v>556.53099999999995</v>
      </c>
      <c r="AA19" s="34">
        <v>570</v>
      </c>
      <c r="AB19" s="32">
        <v>1</v>
      </c>
      <c r="AC19" s="33">
        <v>44201</v>
      </c>
      <c r="AD19" s="36">
        <v>44229</v>
      </c>
      <c r="AE19" s="34"/>
      <c r="AF19" s="35"/>
      <c r="AG19" s="33"/>
      <c r="AH19" s="36"/>
      <c r="AI19" s="34"/>
      <c r="AJ19" s="32"/>
      <c r="AK19" s="33"/>
      <c r="AL19" s="36"/>
      <c r="AM19" s="34"/>
      <c r="AN19" s="32"/>
      <c r="AO19" s="33"/>
      <c r="AP19" s="36"/>
      <c r="AQ19" s="34"/>
      <c r="AR19" s="32"/>
      <c r="AS19" s="33"/>
      <c r="AT19" s="36"/>
      <c r="AU19" s="37">
        <f t="shared" si="0"/>
        <v>570</v>
      </c>
      <c r="AV19" s="38">
        <f t="shared" si="1"/>
        <v>13.469000000000051</v>
      </c>
    </row>
    <row r="20" spans="2:48" s="39" customFormat="1" ht="22.5">
      <c r="B20" s="97">
        <v>5</v>
      </c>
      <c r="C20" s="97" t="s">
        <v>39</v>
      </c>
      <c r="D20" s="23">
        <v>30110282</v>
      </c>
      <c r="E20" s="48" t="s">
        <v>1066</v>
      </c>
      <c r="F20" s="48" t="s">
        <v>51</v>
      </c>
      <c r="G20" s="26" t="s">
        <v>1059</v>
      </c>
      <c r="H20" s="26" t="s">
        <v>1067</v>
      </c>
      <c r="I20" s="49" t="s">
        <v>44</v>
      </c>
      <c r="J20" s="34">
        <v>1534732</v>
      </c>
      <c r="K20" s="34">
        <v>1259453</v>
      </c>
      <c r="L20" s="34">
        <v>0</v>
      </c>
      <c r="M20" s="34">
        <v>1</v>
      </c>
      <c r="N20" s="34">
        <v>336.29399999999998</v>
      </c>
      <c r="O20" s="34">
        <v>0</v>
      </c>
      <c r="P20" s="34">
        <v>0</v>
      </c>
      <c r="Q20" s="34">
        <f>618633/1000</f>
        <v>618.63300000000004</v>
      </c>
      <c r="R20" s="34">
        <f>938910/1000</f>
        <v>938.91</v>
      </c>
      <c r="S20" s="34">
        <v>0</v>
      </c>
      <c r="T20" s="34">
        <v>0</v>
      </c>
      <c r="U20" s="34">
        <v>0</v>
      </c>
      <c r="V20" s="34">
        <v>0</v>
      </c>
      <c r="W20" s="34"/>
      <c r="X20" s="34"/>
      <c r="Y20" s="34"/>
      <c r="Z20" s="31">
        <f t="shared" si="2"/>
        <v>1893.837</v>
      </c>
      <c r="AA20" s="34">
        <v>14507</v>
      </c>
      <c r="AB20" s="32">
        <v>1</v>
      </c>
      <c r="AC20" s="33">
        <v>44201</v>
      </c>
      <c r="AD20" s="36">
        <v>44229</v>
      </c>
      <c r="AE20" s="34"/>
      <c r="AF20" s="35"/>
      <c r="AG20" s="33"/>
      <c r="AH20" s="36"/>
      <c r="AI20" s="34"/>
      <c r="AJ20" s="32"/>
      <c r="AK20" s="33"/>
      <c r="AL20" s="36"/>
      <c r="AM20" s="34"/>
      <c r="AN20" s="32"/>
      <c r="AO20" s="33"/>
      <c r="AP20" s="36"/>
      <c r="AQ20" s="34"/>
      <c r="AR20" s="32"/>
      <c r="AS20" s="33"/>
      <c r="AT20" s="36"/>
      <c r="AU20" s="37">
        <f t="shared" si="0"/>
        <v>14507</v>
      </c>
      <c r="AV20" s="38">
        <f t="shared" si="1"/>
        <v>12613.163</v>
      </c>
    </row>
    <row r="21" spans="2:48" s="39" customFormat="1" ht="22.5">
      <c r="B21" s="97">
        <v>6</v>
      </c>
      <c r="C21" s="97" t="s">
        <v>39</v>
      </c>
      <c r="D21" s="23">
        <v>30123681</v>
      </c>
      <c r="E21" s="48" t="s">
        <v>1068</v>
      </c>
      <c r="F21" s="48" t="s">
        <v>51</v>
      </c>
      <c r="G21" s="26" t="s">
        <v>1059</v>
      </c>
      <c r="H21" s="26" t="s">
        <v>1060</v>
      </c>
      <c r="I21" s="49" t="s">
        <v>44</v>
      </c>
      <c r="J21" s="34">
        <v>685600</v>
      </c>
      <c r="K21" s="34">
        <v>475180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f>102843608/1000</f>
        <v>102843.60799999999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/>
      <c r="X21" s="34"/>
      <c r="Y21" s="34"/>
      <c r="Z21" s="31">
        <f t="shared" si="2"/>
        <v>102843.60799999999</v>
      </c>
      <c r="AA21" s="34">
        <v>210420</v>
      </c>
      <c r="AB21" s="32">
        <v>1</v>
      </c>
      <c r="AC21" s="33">
        <v>44201</v>
      </c>
      <c r="AD21" s="36">
        <v>44229</v>
      </c>
      <c r="AE21" s="34"/>
      <c r="AF21" s="35"/>
      <c r="AG21" s="33"/>
      <c r="AH21" s="36"/>
      <c r="AI21" s="34"/>
      <c r="AJ21" s="32"/>
      <c r="AK21" s="33"/>
      <c r="AL21" s="36"/>
      <c r="AM21" s="34"/>
      <c r="AN21" s="32"/>
      <c r="AO21" s="33"/>
      <c r="AP21" s="36"/>
      <c r="AQ21" s="34"/>
      <c r="AR21" s="32"/>
      <c r="AS21" s="33"/>
      <c r="AT21" s="36"/>
      <c r="AU21" s="37">
        <f t="shared" si="0"/>
        <v>210420</v>
      </c>
      <c r="AV21" s="38">
        <f t="shared" si="1"/>
        <v>107576.39200000001</v>
      </c>
    </row>
    <row r="22" spans="2:48" s="39" customFormat="1" ht="22.5">
      <c r="B22" s="97">
        <v>7</v>
      </c>
      <c r="C22" s="97" t="s">
        <v>39</v>
      </c>
      <c r="D22" s="23">
        <v>30132810</v>
      </c>
      <c r="E22" s="48" t="s">
        <v>1069</v>
      </c>
      <c r="F22" s="48" t="s">
        <v>47</v>
      </c>
      <c r="G22" s="26" t="s">
        <v>1059</v>
      </c>
      <c r="H22" s="26" t="s">
        <v>1070</v>
      </c>
      <c r="I22" s="49" t="s">
        <v>44</v>
      </c>
      <c r="J22" s="34">
        <v>251889</v>
      </c>
      <c r="K22" s="34">
        <v>101385</v>
      </c>
      <c r="L22" s="34">
        <v>0</v>
      </c>
      <c r="M22" s="34">
        <v>0</v>
      </c>
      <c r="N22" s="34">
        <v>49063.89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/>
      <c r="X22" s="34"/>
      <c r="Y22" s="34"/>
      <c r="Z22" s="31">
        <f t="shared" si="2"/>
        <v>49063.89</v>
      </c>
      <c r="AA22" s="34">
        <v>150504</v>
      </c>
      <c r="AB22" s="32">
        <v>1</v>
      </c>
      <c r="AC22" s="33">
        <v>44201</v>
      </c>
      <c r="AD22" s="36">
        <v>44229</v>
      </c>
      <c r="AE22" s="34"/>
      <c r="AF22" s="35"/>
      <c r="AG22" s="27"/>
      <c r="AH22" s="36"/>
      <c r="AI22" s="34"/>
      <c r="AJ22" s="32"/>
      <c r="AK22" s="27"/>
      <c r="AL22" s="36"/>
      <c r="AM22" s="34"/>
      <c r="AN22" s="32"/>
      <c r="AO22" s="27"/>
      <c r="AP22" s="36"/>
      <c r="AQ22" s="34"/>
      <c r="AR22" s="32"/>
      <c r="AS22" s="27"/>
      <c r="AT22" s="36"/>
      <c r="AU22" s="37">
        <f t="shared" si="0"/>
        <v>150504</v>
      </c>
      <c r="AV22" s="38">
        <f t="shared" si="1"/>
        <v>101440.11</v>
      </c>
    </row>
    <row r="23" spans="2:48" s="39" customFormat="1" ht="22.5">
      <c r="B23" s="97">
        <v>30</v>
      </c>
      <c r="C23" s="97" t="s">
        <v>39</v>
      </c>
      <c r="D23" s="23">
        <v>30100763</v>
      </c>
      <c r="E23" s="48" t="s">
        <v>1071</v>
      </c>
      <c r="F23" s="48" t="s">
        <v>51</v>
      </c>
      <c r="G23" s="26" t="s">
        <v>1059</v>
      </c>
      <c r="H23" s="26" t="s">
        <v>1072</v>
      </c>
      <c r="I23" s="49" t="s">
        <v>44</v>
      </c>
      <c r="J23" s="34">
        <v>812062</v>
      </c>
      <c r="K23" s="34">
        <v>625461</v>
      </c>
      <c r="L23" s="34">
        <v>0</v>
      </c>
      <c r="M23" s="34">
        <v>6424</v>
      </c>
      <c r="N23" s="34">
        <v>0</v>
      </c>
      <c r="O23" s="34">
        <v>39980.881000000001</v>
      </c>
      <c r="P23" s="34">
        <v>32400.802</v>
      </c>
      <c r="Q23" s="34">
        <f>28813501/1000</f>
        <v>28813.501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/>
      <c r="X23" s="34"/>
      <c r="Y23" s="34"/>
      <c r="Z23" s="31">
        <f t="shared" si="2"/>
        <v>101195.18400000001</v>
      </c>
      <c r="AA23" s="228">
        <v>180175</v>
      </c>
      <c r="AB23" s="32">
        <v>2</v>
      </c>
      <c r="AC23" s="33">
        <v>44209</v>
      </c>
      <c r="AD23" s="36">
        <v>44249</v>
      </c>
      <c r="AE23" s="34">
        <v>3536</v>
      </c>
      <c r="AF23" s="35">
        <v>11</v>
      </c>
      <c r="AG23" s="33">
        <v>44307</v>
      </c>
      <c r="AH23" s="36">
        <v>44328</v>
      </c>
      <c r="AI23" s="34"/>
      <c r="AJ23" s="32"/>
      <c r="AK23" s="27"/>
      <c r="AL23" s="36"/>
      <c r="AM23" s="34"/>
      <c r="AN23" s="32"/>
      <c r="AO23" s="27"/>
      <c r="AP23" s="36"/>
      <c r="AQ23" s="34"/>
      <c r="AR23" s="32"/>
      <c r="AS23" s="27"/>
      <c r="AT23" s="36"/>
      <c r="AU23" s="37">
        <f t="shared" si="0"/>
        <v>183711</v>
      </c>
      <c r="AV23" s="38">
        <f t="shared" si="1"/>
        <v>82515.815999999992</v>
      </c>
    </row>
    <row r="24" spans="2:48" s="39" customFormat="1" ht="23.25" customHeight="1">
      <c r="B24" s="97">
        <v>8</v>
      </c>
      <c r="C24" s="97" t="s">
        <v>39</v>
      </c>
      <c r="D24" s="23">
        <v>30134179</v>
      </c>
      <c r="E24" s="48" t="s">
        <v>1073</v>
      </c>
      <c r="F24" s="48" t="s">
        <v>51</v>
      </c>
      <c r="G24" s="26" t="s">
        <v>1059</v>
      </c>
      <c r="H24" s="26" t="s">
        <v>1070</v>
      </c>
      <c r="I24" s="49" t="s">
        <v>44</v>
      </c>
      <c r="J24" s="34">
        <v>4306344</v>
      </c>
      <c r="K24" s="34">
        <v>3716715</v>
      </c>
      <c r="L24" s="34">
        <v>247254</v>
      </c>
      <c r="M24" s="34">
        <v>0</v>
      </c>
      <c r="N24" s="34">
        <v>375112.84399999998</v>
      </c>
      <c r="O24" s="34">
        <v>0</v>
      </c>
      <c r="P24" s="34">
        <v>0</v>
      </c>
      <c r="Q24" s="34">
        <f>194833267/1000</f>
        <v>194833.26699999999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/>
      <c r="X24" s="34"/>
      <c r="Y24" s="34"/>
      <c r="Z24" s="31">
        <f t="shared" si="2"/>
        <v>569946.11100000003</v>
      </c>
      <c r="AA24" s="34">
        <v>589629</v>
      </c>
      <c r="AB24" s="32">
        <v>1</v>
      </c>
      <c r="AC24" s="33">
        <v>44201</v>
      </c>
      <c r="AD24" s="36">
        <v>44229</v>
      </c>
      <c r="AE24" s="34">
        <v>4547</v>
      </c>
      <c r="AF24" s="35">
        <v>11</v>
      </c>
      <c r="AG24" s="33">
        <v>44307</v>
      </c>
      <c r="AH24" s="36">
        <v>44328</v>
      </c>
      <c r="AI24" s="34">
        <v>-24229</v>
      </c>
      <c r="AJ24" s="32">
        <v>26</v>
      </c>
      <c r="AK24" s="33">
        <v>44396</v>
      </c>
      <c r="AL24" s="36">
        <v>44420</v>
      </c>
      <c r="AM24" s="34"/>
      <c r="AN24" s="32"/>
      <c r="AO24" s="27"/>
      <c r="AP24" s="36"/>
      <c r="AQ24" s="34"/>
      <c r="AR24" s="32"/>
      <c r="AS24" s="27"/>
      <c r="AT24" s="36"/>
      <c r="AU24" s="37">
        <f t="shared" si="0"/>
        <v>569947</v>
      </c>
      <c r="AV24" s="38">
        <f t="shared" si="1"/>
        <v>0.88899999996647239</v>
      </c>
    </row>
    <row r="25" spans="2:48" s="39" customFormat="1" ht="22.5">
      <c r="B25" s="97">
        <v>56</v>
      </c>
      <c r="C25" s="97" t="s">
        <v>39</v>
      </c>
      <c r="D25" s="23">
        <v>30210123</v>
      </c>
      <c r="E25" s="48" t="s">
        <v>1074</v>
      </c>
      <c r="F25" s="48" t="s">
        <v>51</v>
      </c>
      <c r="G25" s="26" t="s">
        <v>1059</v>
      </c>
      <c r="H25" s="26" t="s">
        <v>1075</v>
      </c>
      <c r="I25" s="49" t="s">
        <v>52</v>
      </c>
      <c r="J25" s="34">
        <v>1246724</v>
      </c>
      <c r="K25" s="34">
        <v>0</v>
      </c>
      <c r="L25" s="34">
        <v>532504</v>
      </c>
      <c r="M25" s="34">
        <v>548080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5466</v>
      </c>
      <c r="U25" s="34">
        <v>139428</v>
      </c>
      <c r="V25" s="34">
        <v>94303</v>
      </c>
      <c r="W25" s="34"/>
      <c r="X25" s="34"/>
      <c r="Y25" s="34"/>
      <c r="Z25" s="31">
        <f t="shared" si="2"/>
        <v>239197</v>
      </c>
      <c r="AA25" s="228">
        <v>1</v>
      </c>
      <c r="AB25" s="32">
        <v>3</v>
      </c>
      <c r="AC25" s="33">
        <v>44210</v>
      </c>
      <c r="AD25" s="36">
        <v>44237</v>
      </c>
      <c r="AE25" s="34">
        <v>165000</v>
      </c>
      <c r="AF25" s="35">
        <v>11</v>
      </c>
      <c r="AG25" s="33">
        <v>44307</v>
      </c>
      <c r="AH25" s="36">
        <v>44328</v>
      </c>
      <c r="AI25" s="34">
        <v>521696</v>
      </c>
      <c r="AJ25" s="32">
        <v>27</v>
      </c>
      <c r="AK25" s="33">
        <v>44421</v>
      </c>
      <c r="AL25" s="36">
        <v>44438</v>
      </c>
      <c r="AM25" s="34"/>
      <c r="AN25" s="32"/>
      <c r="AO25" s="27"/>
      <c r="AP25" s="36"/>
      <c r="AQ25" s="34"/>
      <c r="AR25" s="32"/>
      <c r="AS25" s="27"/>
      <c r="AT25" s="36"/>
      <c r="AU25" s="37">
        <f t="shared" si="0"/>
        <v>686697</v>
      </c>
      <c r="AV25" s="38">
        <f t="shared" si="1"/>
        <v>447500</v>
      </c>
    </row>
    <row r="26" spans="2:48" s="39" customFormat="1" ht="22.5">
      <c r="B26" s="97">
        <v>11</v>
      </c>
      <c r="C26" s="97" t="s">
        <v>39</v>
      </c>
      <c r="D26" s="23">
        <v>30388625</v>
      </c>
      <c r="E26" s="48" t="s">
        <v>1076</v>
      </c>
      <c r="F26" s="48" t="s">
        <v>51</v>
      </c>
      <c r="G26" s="26" t="s">
        <v>1059</v>
      </c>
      <c r="H26" s="26" t="s">
        <v>1077</v>
      </c>
      <c r="I26" s="49" t="s">
        <v>44</v>
      </c>
      <c r="J26" s="34">
        <v>541101</v>
      </c>
      <c r="K26" s="34">
        <v>488324</v>
      </c>
      <c r="L26" s="34">
        <v>28938</v>
      </c>
      <c r="M26" s="34">
        <v>75</v>
      </c>
      <c r="N26" s="34">
        <v>40227.160000000003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/>
      <c r="X26" s="34"/>
      <c r="Y26" s="34"/>
      <c r="Z26" s="31">
        <f t="shared" si="2"/>
        <v>40227.160000000003</v>
      </c>
      <c r="AA26" s="34">
        <v>53607</v>
      </c>
      <c r="AB26" s="32">
        <v>1</v>
      </c>
      <c r="AC26" s="33">
        <v>44201</v>
      </c>
      <c r="AD26" s="36">
        <v>44229</v>
      </c>
      <c r="AE26" s="34"/>
      <c r="AF26" s="35"/>
      <c r="AG26" s="27"/>
      <c r="AH26" s="36"/>
      <c r="AI26" s="34"/>
      <c r="AJ26" s="32"/>
      <c r="AK26" s="27"/>
      <c r="AL26" s="36"/>
      <c r="AM26" s="34"/>
      <c r="AN26" s="32"/>
      <c r="AO26" s="27"/>
      <c r="AP26" s="36"/>
      <c r="AQ26" s="34"/>
      <c r="AR26" s="32"/>
      <c r="AS26" s="27"/>
      <c r="AT26" s="36"/>
      <c r="AU26" s="37">
        <f t="shared" si="0"/>
        <v>53607</v>
      </c>
      <c r="AV26" s="38">
        <f t="shared" si="1"/>
        <v>13379.839999999997</v>
      </c>
    </row>
    <row r="27" spans="2:48" s="39" customFormat="1" ht="22.5">
      <c r="B27" s="97">
        <v>12</v>
      </c>
      <c r="C27" s="97" t="s">
        <v>39</v>
      </c>
      <c r="D27" s="23">
        <v>30482642</v>
      </c>
      <c r="E27" s="48" t="s">
        <v>1078</v>
      </c>
      <c r="F27" s="48" t="s">
        <v>51</v>
      </c>
      <c r="G27" s="26" t="s">
        <v>1059</v>
      </c>
      <c r="H27" s="26" t="s">
        <v>1079</v>
      </c>
      <c r="I27" s="49" t="s">
        <v>44</v>
      </c>
      <c r="J27" s="34">
        <v>1025021</v>
      </c>
      <c r="K27" s="34">
        <v>257574</v>
      </c>
      <c r="L27" s="34">
        <v>0</v>
      </c>
      <c r="M27" s="34">
        <v>0</v>
      </c>
      <c r="N27" s="34">
        <v>75698.111999999994</v>
      </c>
      <c r="O27" s="34">
        <v>72306.267000000007</v>
      </c>
      <c r="P27" s="34">
        <v>51809.983999999997</v>
      </c>
      <c r="Q27" s="34">
        <f>46171457/1000</f>
        <v>46171.457000000002</v>
      </c>
      <c r="R27" s="34">
        <f>25024316/1000</f>
        <v>25024.315999999999</v>
      </c>
      <c r="S27" s="34">
        <f>27938820/1000</f>
        <v>27938.82</v>
      </c>
      <c r="T27" s="34">
        <v>28178</v>
      </c>
      <c r="U27" s="34">
        <v>0</v>
      </c>
      <c r="V27" s="34">
        <v>30370</v>
      </c>
      <c r="W27" s="34"/>
      <c r="X27" s="34"/>
      <c r="Y27" s="34"/>
      <c r="Z27" s="31">
        <f t="shared" si="2"/>
        <v>357496.95600000001</v>
      </c>
      <c r="AA27" s="34">
        <v>679545</v>
      </c>
      <c r="AB27" s="32">
        <v>1</v>
      </c>
      <c r="AC27" s="33">
        <v>44201</v>
      </c>
      <c r="AD27" s="36">
        <v>44229</v>
      </c>
      <c r="AE27" s="34"/>
      <c r="AF27" s="35"/>
      <c r="AG27" s="27"/>
      <c r="AH27" s="36"/>
      <c r="AI27" s="34"/>
      <c r="AJ27" s="32"/>
      <c r="AK27" s="27"/>
      <c r="AL27" s="36"/>
      <c r="AM27" s="34"/>
      <c r="AN27" s="32"/>
      <c r="AO27" s="27"/>
      <c r="AP27" s="36"/>
      <c r="AQ27" s="34"/>
      <c r="AR27" s="32"/>
      <c r="AS27" s="27"/>
      <c r="AT27" s="36"/>
      <c r="AU27" s="37">
        <f t="shared" si="0"/>
        <v>679545</v>
      </c>
      <c r="AV27" s="38">
        <f t="shared" si="1"/>
        <v>322048.04399999999</v>
      </c>
    </row>
    <row r="28" spans="2:48" s="39" customFormat="1" ht="22.5">
      <c r="B28" s="97">
        <v>9</v>
      </c>
      <c r="C28" s="97" t="s">
        <v>39</v>
      </c>
      <c r="D28" s="23">
        <v>30352123</v>
      </c>
      <c r="E28" s="48" t="s">
        <v>1080</v>
      </c>
      <c r="F28" s="48" t="s">
        <v>51</v>
      </c>
      <c r="G28" s="26" t="s">
        <v>1059</v>
      </c>
      <c r="H28" s="26" t="s">
        <v>1081</v>
      </c>
      <c r="I28" s="49" t="s">
        <v>44</v>
      </c>
      <c r="J28" s="34">
        <v>1284130</v>
      </c>
      <c r="K28" s="34">
        <v>902622</v>
      </c>
      <c r="L28" s="34">
        <v>0</v>
      </c>
      <c r="M28" s="34">
        <v>0</v>
      </c>
      <c r="N28" s="34">
        <v>143017.95699999999</v>
      </c>
      <c r="O28" s="34">
        <v>32782.601000000002</v>
      </c>
      <c r="P28" s="34">
        <v>0</v>
      </c>
      <c r="Q28" s="34">
        <v>0</v>
      </c>
      <c r="R28" s="34">
        <v>0</v>
      </c>
      <c r="S28" s="34">
        <v>0</v>
      </c>
      <c r="T28" s="34">
        <v>173526</v>
      </c>
      <c r="U28" s="34">
        <v>0</v>
      </c>
      <c r="V28" s="34">
        <v>11958</v>
      </c>
      <c r="W28" s="34"/>
      <c r="X28" s="34"/>
      <c r="Y28" s="34"/>
      <c r="Z28" s="31">
        <f t="shared" si="2"/>
        <v>361284.55799999996</v>
      </c>
      <c r="AA28" s="34">
        <v>515487</v>
      </c>
      <c r="AB28" s="32">
        <v>1</v>
      </c>
      <c r="AC28" s="33">
        <v>44201</v>
      </c>
      <c r="AD28" s="36">
        <v>44229</v>
      </c>
      <c r="AE28" s="34">
        <v>-250849</v>
      </c>
      <c r="AF28" s="35">
        <v>11</v>
      </c>
      <c r="AG28" s="33">
        <v>44307</v>
      </c>
      <c r="AH28" s="36">
        <v>44328</v>
      </c>
      <c r="AI28" s="34">
        <v>122237</v>
      </c>
      <c r="AJ28" s="32">
        <v>15</v>
      </c>
      <c r="AK28" s="33">
        <v>44333</v>
      </c>
      <c r="AL28" s="36">
        <v>44355</v>
      </c>
      <c r="AM28" s="34"/>
      <c r="AN28" s="32"/>
      <c r="AO28" s="27"/>
      <c r="AP28" s="36"/>
      <c r="AQ28" s="34"/>
      <c r="AR28" s="32"/>
      <c r="AS28" s="27"/>
      <c r="AT28" s="36"/>
      <c r="AU28" s="37">
        <f t="shared" si="0"/>
        <v>386875</v>
      </c>
      <c r="AV28" s="38">
        <f t="shared" si="1"/>
        <v>25590.442000000039</v>
      </c>
    </row>
    <row r="29" spans="2:48" s="39" customFormat="1" ht="22.5">
      <c r="B29" s="97">
        <v>10</v>
      </c>
      <c r="C29" s="97" t="s">
        <v>39</v>
      </c>
      <c r="D29" s="23">
        <v>30374724</v>
      </c>
      <c r="E29" s="48" t="s">
        <v>1082</v>
      </c>
      <c r="F29" s="48" t="s">
        <v>51</v>
      </c>
      <c r="G29" s="26" t="s">
        <v>1059</v>
      </c>
      <c r="H29" s="26" t="s">
        <v>1063</v>
      </c>
      <c r="I29" s="49" t="s">
        <v>44</v>
      </c>
      <c r="J29" s="34">
        <v>2270852</v>
      </c>
      <c r="K29" s="34">
        <v>628864</v>
      </c>
      <c r="L29" s="34">
        <v>0</v>
      </c>
      <c r="M29" s="34">
        <v>2</v>
      </c>
      <c r="N29" s="34">
        <v>669365.99300000002</v>
      </c>
      <c r="O29" s="34">
        <v>14000</v>
      </c>
      <c r="P29" s="34">
        <v>525303.6</v>
      </c>
      <c r="Q29" s="34">
        <f>174046516/1000</f>
        <v>174046.516</v>
      </c>
      <c r="R29" s="34">
        <f>70097933/1000</f>
        <v>70097.933000000005</v>
      </c>
      <c r="S29" s="34">
        <v>0</v>
      </c>
      <c r="T29" s="34">
        <v>0</v>
      </c>
      <c r="U29" s="34">
        <v>0</v>
      </c>
      <c r="V29" s="34">
        <v>0</v>
      </c>
      <c r="W29" s="34"/>
      <c r="X29" s="34"/>
      <c r="Y29" s="34"/>
      <c r="Z29" s="31">
        <f t="shared" si="2"/>
        <v>1452814.0419999999</v>
      </c>
      <c r="AA29" s="34">
        <v>1641440</v>
      </c>
      <c r="AB29" s="32">
        <v>1</v>
      </c>
      <c r="AC29" s="33">
        <v>44201</v>
      </c>
      <c r="AD29" s="36">
        <v>44229</v>
      </c>
      <c r="AE29" s="34">
        <v>-90365</v>
      </c>
      <c r="AF29" s="35">
        <v>11</v>
      </c>
      <c r="AG29" s="33">
        <v>44307</v>
      </c>
      <c r="AH29" s="36">
        <v>44328</v>
      </c>
      <c r="AI29" s="34"/>
      <c r="AJ29" s="32"/>
      <c r="AK29" s="27"/>
      <c r="AL29" s="36"/>
      <c r="AM29" s="34"/>
      <c r="AN29" s="32"/>
      <c r="AO29" s="27"/>
      <c r="AP29" s="36"/>
      <c r="AQ29" s="34"/>
      <c r="AR29" s="32"/>
      <c r="AS29" s="27"/>
      <c r="AT29" s="36"/>
      <c r="AU29" s="37">
        <f t="shared" si="0"/>
        <v>1551075</v>
      </c>
      <c r="AV29" s="38">
        <f t="shared" si="1"/>
        <v>98260.958000000101</v>
      </c>
    </row>
    <row r="30" spans="2:48" s="39" customFormat="1" ht="22.5">
      <c r="B30" s="97">
        <v>15</v>
      </c>
      <c r="C30" s="97" t="s">
        <v>39</v>
      </c>
      <c r="D30" s="23">
        <v>30486833</v>
      </c>
      <c r="E30" s="48" t="s">
        <v>1083</v>
      </c>
      <c r="F30" s="48" t="s">
        <v>51</v>
      </c>
      <c r="G30" s="26" t="s">
        <v>1059</v>
      </c>
      <c r="H30" s="26" t="s">
        <v>1079</v>
      </c>
      <c r="I30" s="49" t="s">
        <v>44</v>
      </c>
      <c r="J30" s="34">
        <v>232035</v>
      </c>
      <c r="K30" s="34">
        <v>201537</v>
      </c>
      <c r="L30" s="34">
        <v>1358</v>
      </c>
      <c r="M30" s="34">
        <v>0</v>
      </c>
      <c r="N30" s="34">
        <v>0</v>
      </c>
      <c r="O30" s="34">
        <v>9556.33</v>
      </c>
      <c r="P30" s="34">
        <v>0</v>
      </c>
      <c r="Q30" s="34">
        <f>9317626/1000</f>
        <v>9317.6260000000002</v>
      </c>
      <c r="R30" s="34">
        <v>0</v>
      </c>
      <c r="S30" s="34">
        <v>0</v>
      </c>
      <c r="T30" s="34">
        <v>0</v>
      </c>
      <c r="U30" s="34">
        <v>7482</v>
      </c>
      <c r="V30" s="34">
        <v>0</v>
      </c>
      <c r="W30" s="34"/>
      <c r="X30" s="34"/>
      <c r="Y30" s="34"/>
      <c r="Z30" s="31">
        <f t="shared" si="2"/>
        <v>26355.955999999998</v>
      </c>
      <c r="AA30" s="34">
        <v>30498</v>
      </c>
      <c r="AB30" s="32">
        <v>1</v>
      </c>
      <c r="AC30" s="33">
        <v>44201</v>
      </c>
      <c r="AD30" s="36">
        <v>44229</v>
      </c>
      <c r="AE30" s="34"/>
      <c r="AF30" s="35"/>
      <c r="AG30" s="27"/>
      <c r="AH30" s="36"/>
      <c r="AI30" s="34"/>
      <c r="AJ30" s="32"/>
      <c r="AK30" s="27"/>
      <c r="AL30" s="36"/>
      <c r="AM30" s="34"/>
      <c r="AN30" s="32"/>
      <c r="AO30" s="27"/>
      <c r="AP30" s="36"/>
      <c r="AQ30" s="34"/>
      <c r="AR30" s="32"/>
      <c r="AS30" s="27"/>
      <c r="AT30" s="36"/>
      <c r="AU30" s="37">
        <f t="shared" si="0"/>
        <v>30498</v>
      </c>
      <c r="AV30" s="38">
        <f t="shared" si="1"/>
        <v>4142.0440000000017</v>
      </c>
    </row>
    <row r="31" spans="2:48" s="39" customFormat="1" ht="22.5">
      <c r="B31" s="97">
        <v>16</v>
      </c>
      <c r="C31" s="97" t="s">
        <v>39</v>
      </c>
      <c r="D31" s="23">
        <v>30486989</v>
      </c>
      <c r="E31" s="48" t="s">
        <v>1084</v>
      </c>
      <c r="F31" s="48" t="s">
        <v>51</v>
      </c>
      <c r="G31" s="26" t="s">
        <v>1059</v>
      </c>
      <c r="H31" s="26" t="s">
        <v>1085</v>
      </c>
      <c r="I31" s="49" t="s">
        <v>44</v>
      </c>
      <c r="J31" s="34">
        <v>240159</v>
      </c>
      <c r="K31" s="34">
        <v>209450</v>
      </c>
      <c r="L31" s="34">
        <v>0</v>
      </c>
      <c r="M31" s="34">
        <v>0</v>
      </c>
      <c r="N31" s="34">
        <v>982.13400000000001</v>
      </c>
      <c r="O31" s="34">
        <v>23859.981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0</v>
      </c>
      <c r="W31" s="34"/>
      <c r="X31" s="34"/>
      <c r="Y31" s="34"/>
      <c r="Z31" s="31">
        <f t="shared" si="2"/>
        <v>24842.114999999998</v>
      </c>
      <c r="AA31" s="34">
        <v>30709</v>
      </c>
      <c r="AB31" s="32">
        <v>1</v>
      </c>
      <c r="AC31" s="33">
        <v>44201</v>
      </c>
      <c r="AD31" s="36">
        <v>44229</v>
      </c>
      <c r="AE31" s="34"/>
      <c r="AF31" s="35"/>
      <c r="AG31" s="27"/>
      <c r="AH31" s="36"/>
      <c r="AI31" s="34"/>
      <c r="AJ31" s="32"/>
      <c r="AK31" s="27"/>
      <c r="AL31" s="36"/>
      <c r="AM31" s="34"/>
      <c r="AN31" s="32"/>
      <c r="AO31" s="27"/>
      <c r="AP31" s="36"/>
      <c r="AQ31" s="34"/>
      <c r="AR31" s="32"/>
      <c r="AS31" s="27"/>
      <c r="AT31" s="36"/>
      <c r="AU31" s="37">
        <f t="shared" si="0"/>
        <v>30709</v>
      </c>
      <c r="AV31" s="38">
        <f t="shared" si="1"/>
        <v>5866.885000000002</v>
      </c>
    </row>
    <row r="32" spans="2:48" s="39" customFormat="1" ht="22.5">
      <c r="B32" s="97">
        <v>13</v>
      </c>
      <c r="C32" s="97" t="s">
        <v>39</v>
      </c>
      <c r="D32" s="23">
        <v>30482664</v>
      </c>
      <c r="E32" s="48" t="s">
        <v>1086</v>
      </c>
      <c r="F32" s="48" t="s">
        <v>51</v>
      </c>
      <c r="G32" s="26" t="s">
        <v>1059</v>
      </c>
      <c r="H32" s="26" t="s">
        <v>1075</v>
      </c>
      <c r="I32" s="49" t="s">
        <v>44</v>
      </c>
      <c r="J32" s="34">
        <v>899034</v>
      </c>
      <c r="K32" s="34">
        <v>701247</v>
      </c>
      <c r="L32" s="34">
        <v>0</v>
      </c>
      <c r="M32" s="34">
        <v>0</v>
      </c>
      <c r="N32" s="34">
        <v>154625.68299999999</v>
      </c>
      <c r="O32" s="34">
        <v>1403.7650000000001</v>
      </c>
      <c r="P32" s="34">
        <v>40259.131000000001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/>
      <c r="X32" s="34"/>
      <c r="Y32" s="34"/>
      <c r="Z32" s="31">
        <f t="shared" si="2"/>
        <v>196288.579</v>
      </c>
      <c r="AA32" s="34">
        <v>329910</v>
      </c>
      <c r="AB32" s="32">
        <v>1</v>
      </c>
      <c r="AC32" s="33">
        <v>44201</v>
      </c>
      <c r="AD32" s="36">
        <v>44229</v>
      </c>
      <c r="AE32" s="34">
        <v>-128307</v>
      </c>
      <c r="AF32" s="35">
        <v>11</v>
      </c>
      <c r="AG32" s="33">
        <v>44307</v>
      </c>
      <c r="AH32" s="36">
        <v>44328</v>
      </c>
      <c r="AI32" s="34"/>
      <c r="AJ32" s="32"/>
      <c r="AK32" s="27"/>
      <c r="AL32" s="36"/>
      <c r="AM32" s="34"/>
      <c r="AN32" s="32"/>
      <c r="AO32" s="27"/>
      <c r="AP32" s="36"/>
      <c r="AQ32" s="34"/>
      <c r="AR32" s="32"/>
      <c r="AS32" s="27"/>
      <c r="AT32" s="36"/>
      <c r="AU32" s="37">
        <f t="shared" si="0"/>
        <v>201603</v>
      </c>
      <c r="AV32" s="38">
        <f t="shared" si="1"/>
        <v>5314.4210000000021</v>
      </c>
    </row>
    <row r="33" spans="2:48" s="39" customFormat="1" ht="22.5">
      <c r="B33" s="97">
        <v>18</v>
      </c>
      <c r="C33" s="97" t="s">
        <v>39</v>
      </c>
      <c r="D33" s="23">
        <v>30487301</v>
      </c>
      <c r="E33" s="48" t="s">
        <v>1087</v>
      </c>
      <c r="F33" s="48" t="s">
        <v>47</v>
      </c>
      <c r="G33" s="26" t="s">
        <v>1059</v>
      </c>
      <c r="H33" s="26" t="s">
        <v>1070</v>
      </c>
      <c r="I33" s="49" t="s">
        <v>44</v>
      </c>
      <c r="J33" s="34">
        <v>243038</v>
      </c>
      <c r="K33" s="34">
        <v>209296</v>
      </c>
      <c r="L33" s="34">
        <v>334585</v>
      </c>
      <c r="M33" s="34">
        <v>0</v>
      </c>
      <c r="N33" s="34">
        <v>0</v>
      </c>
      <c r="O33" s="34">
        <v>32988.756000000001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/>
      <c r="X33" s="34"/>
      <c r="Y33" s="34"/>
      <c r="Z33" s="31">
        <f t="shared" si="2"/>
        <v>32988.756000000001</v>
      </c>
      <c r="AA33" s="34">
        <v>33742</v>
      </c>
      <c r="AB33" s="32">
        <v>1</v>
      </c>
      <c r="AC33" s="33">
        <v>44201</v>
      </c>
      <c r="AD33" s="36">
        <v>44229</v>
      </c>
      <c r="AE33" s="34"/>
      <c r="AF33" s="35"/>
      <c r="AG33" s="27"/>
      <c r="AH33" s="36"/>
      <c r="AI33" s="34"/>
      <c r="AJ33" s="32"/>
      <c r="AK33" s="27"/>
      <c r="AL33" s="36"/>
      <c r="AM33" s="34"/>
      <c r="AN33" s="32"/>
      <c r="AO33" s="27"/>
      <c r="AP33" s="36"/>
      <c r="AQ33" s="34"/>
      <c r="AR33" s="32"/>
      <c r="AS33" s="27"/>
      <c r="AT33" s="36"/>
      <c r="AU33" s="37">
        <f t="shared" si="0"/>
        <v>33742</v>
      </c>
      <c r="AV33" s="38">
        <f t="shared" si="1"/>
        <v>753.24399999999878</v>
      </c>
    </row>
    <row r="34" spans="2:48" s="39" customFormat="1" ht="22.5">
      <c r="B34" s="97">
        <v>19</v>
      </c>
      <c r="C34" s="97" t="s">
        <v>39</v>
      </c>
      <c r="D34" s="23">
        <v>40000311</v>
      </c>
      <c r="E34" s="48" t="s">
        <v>1088</v>
      </c>
      <c r="F34" s="48" t="s">
        <v>51</v>
      </c>
      <c r="G34" s="26" t="s">
        <v>1059</v>
      </c>
      <c r="H34" s="26" t="s">
        <v>1077</v>
      </c>
      <c r="I34" s="49" t="s">
        <v>44</v>
      </c>
      <c r="J34" s="34">
        <v>241080</v>
      </c>
      <c r="K34" s="34">
        <v>191264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>
        <v>0</v>
      </c>
      <c r="W34" s="34"/>
      <c r="X34" s="34"/>
      <c r="Y34" s="34"/>
      <c r="Z34" s="31">
        <f t="shared" si="2"/>
        <v>0</v>
      </c>
      <c r="AA34" s="34">
        <v>49816</v>
      </c>
      <c r="AB34" s="32">
        <v>1</v>
      </c>
      <c r="AC34" s="33">
        <v>44201</v>
      </c>
      <c r="AD34" s="36">
        <v>44229</v>
      </c>
      <c r="AE34" s="34"/>
      <c r="AF34" s="35"/>
      <c r="AG34" s="27"/>
      <c r="AH34" s="36"/>
      <c r="AI34" s="34"/>
      <c r="AJ34" s="32"/>
      <c r="AK34" s="27"/>
      <c r="AL34" s="36"/>
      <c r="AM34" s="34"/>
      <c r="AN34" s="32"/>
      <c r="AO34" s="27"/>
      <c r="AP34" s="36"/>
      <c r="AQ34" s="34"/>
      <c r="AR34" s="32"/>
      <c r="AS34" s="27"/>
      <c r="AT34" s="36"/>
      <c r="AU34" s="37">
        <f t="shared" si="0"/>
        <v>49816</v>
      </c>
      <c r="AV34" s="38">
        <f t="shared" si="1"/>
        <v>49816</v>
      </c>
    </row>
    <row r="35" spans="2:48" s="39" customFormat="1" ht="22.5">
      <c r="B35" s="97">
        <v>14</v>
      </c>
      <c r="C35" s="97" t="s">
        <v>39</v>
      </c>
      <c r="D35" s="23">
        <v>30484745</v>
      </c>
      <c r="E35" s="48" t="s">
        <v>1089</v>
      </c>
      <c r="F35" s="48" t="s">
        <v>51</v>
      </c>
      <c r="G35" s="26" t="s">
        <v>1059</v>
      </c>
      <c r="H35" s="26" t="s">
        <v>150</v>
      </c>
      <c r="I35" s="49" t="s">
        <v>44</v>
      </c>
      <c r="J35" s="34">
        <v>3235355</v>
      </c>
      <c r="K35" s="34">
        <v>1700616</v>
      </c>
      <c r="L35" s="34">
        <v>0</v>
      </c>
      <c r="M35" s="34">
        <v>0</v>
      </c>
      <c r="N35" s="34">
        <v>283257.66899999999</v>
      </c>
      <c r="O35" s="34">
        <v>102907.836</v>
      </c>
      <c r="P35" s="34">
        <v>74733.342000000004</v>
      </c>
      <c r="Q35" s="34">
        <v>0</v>
      </c>
      <c r="R35" s="34">
        <v>0</v>
      </c>
      <c r="S35" s="34">
        <f>35528844/1000</f>
        <v>35528.843999999997</v>
      </c>
      <c r="T35" s="34">
        <v>0</v>
      </c>
      <c r="U35" s="34">
        <v>106750</v>
      </c>
      <c r="V35" s="34">
        <v>0</v>
      </c>
      <c r="W35" s="34"/>
      <c r="X35" s="34"/>
      <c r="Y35" s="34"/>
      <c r="Z35" s="31">
        <f t="shared" si="2"/>
        <v>603177.69099999999</v>
      </c>
      <c r="AA35" s="34">
        <v>1534739</v>
      </c>
      <c r="AB35" s="32">
        <v>1</v>
      </c>
      <c r="AC35" s="33">
        <v>44201</v>
      </c>
      <c r="AD35" s="36">
        <v>44229</v>
      </c>
      <c r="AE35" s="34">
        <v>-231194</v>
      </c>
      <c r="AF35" s="35">
        <v>11</v>
      </c>
      <c r="AG35" s="33">
        <v>44307</v>
      </c>
      <c r="AH35" s="36">
        <v>44328</v>
      </c>
      <c r="AI35" s="34"/>
      <c r="AJ35" s="32"/>
      <c r="AK35" s="27"/>
      <c r="AL35" s="36"/>
      <c r="AM35" s="34"/>
      <c r="AN35" s="32"/>
      <c r="AO35" s="27"/>
      <c r="AP35" s="36"/>
      <c r="AQ35" s="34"/>
      <c r="AR35" s="32"/>
      <c r="AS35" s="27"/>
      <c r="AT35" s="36"/>
      <c r="AU35" s="37">
        <f t="shared" si="0"/>
        <v>1303545</v>
      </c>
      <c r="AV35" s="38">
        <f t="shared" si="1"/>
        <v>700367.30900000001</v>
      </c>
    </row>
    <row r="36" spans="2:48" s="39" customFormat="1" ht="22.5">
      <c r="B36" s="97">
        <v>78</v>
      </c>
      <c r="C36" s="97" t="s">
        <v>39</v>
      </c>
      <c r="D36" s="23">
        <v>30485225</v>
      </c>
      <c r="E36" s="48" t="s">
        <v>1090</v>
      </c>
      <c r="F36" s="48" t="s">
        <v>51</v>
      </c>
      <c r="G36" s="26" t="s">
        <v>1059</v>
      </c>
      <c r="H36" s="26" t="s">
        <v>1091</v>
      </c>
      <c r="I36" s="49" t="s">
        <v>52</v>
      </c>
      <c r="J36" s="34">
        <v>1899207</v>
      </c>
      <c r="K36" s="34">
        <v>3325</v>
      </c>
      <c r="L36" s="34">
        <v>1850764</v>
      </c>
      <c r="M36" s="34">
        <v>1639882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/>
      <c r="X36" s="34"/>
      <c r="Y36" s="34"/>
      <c r="Z36" s="31">
        <f t="shared" si="2"/>
        <v>0</v>
      </c>
      <c r="AA36" s="34">
        <v>3325</v>
      </c>
      <c r="AB36" s="32">
        <v>4</v>
      </c>
      <c r="AC36" s="33">
        <v>44232</v>
      </c>
      <c r="AD36" s="36">
        <v>44252</v>
      </c>
      <c r="AE36" s="34">
        <v>6000</v>
      </c>
      <c r="AF36" s="35">
        <v>11</v>
      </c>
      <c r="AG36" s="33">
        <v>44307</v>
      </c>
      <c r="AH36" s="36">
        <v>44328</v>
      </c>
      <c r="AI36" s="34"/>
      <c r="AJ36" s="32"/>
      <c r="AK36" s="27"/>
      <c r="AL36" s="36"/>
      <c r="AM36" s="34"/>
      <c r="AN36" s="32"/>
      <c r="AO36" s="27"/>
      <c r="AP36" s="36"/>
      <c r="AQ36" s="34"/>
      <c r="AR36" s="32"/>
      <c r="AS36" s="27"/>
      <c r="AT36" s="36"/>
      <c r="AU36" s="37">
        <f t="shared" si="0"/>
        <v>9325</v>
      </c>
      <c r="AV36" s="38">
        <f t="shared" si="1"/>
        <v>9325</v>
      </c>
    </row>
    <row r="37" spans="2:48" s="39" customFormat="1" ht="22.5">
      <c r="B37" s="97">
        <v>22</v>
      </c>
      <c r="C37" s="97" t="s">
        <v>39</v>
      </c>
      <c r="D37" s="23">
        <v>40002924</v>
      </c>
      <c r="E37" s="48" t="s">
        <v>1092</v>
      </c>
      <c r="F37" s="48" t="s">
        <v>51</v>
      </c>
      <c r="G37" s="26" t="s">
        <v>1059</v>
      </c>
      <c r="H37" s="26" t="s">
        <v>1093</v>
      </c>
      <c r="I37" s="49" t="s">
        <v>44</v>
      </c>
      <c r="J37" s="34">
        <v>622421</v>
      </c>
      <c r="K37" s="34">
        <v>225988</v>
      </c>
      <c r="L37" s="34">
        <v>0</v>
      </c>
      <c r="M37" s="34">
        <v>0</v>
      </c>
      <c r="N37" s="34">
        <v>131168.109</v>
      </c>
      <c r="O37" s="34">
        <v>83594.175000000003</v>
      </c>
      <c r="P37" s="34">
        <v>91092.346000000005</v>
      </c>
      <c r="Q37" s="34">
        <f>20922822/1000</f>
        <v>20922.822</v>
      </c>
      <c r="R37" s="34">
        <v>0</v>
      </c>
      <c r="S37" s="34">
        <v>0</v>
      </c>
      <c r="T37" s="34">
        <v>38583</v>
      </c>
      <c r="U37" s="34">
        <v>53</v>
      </c>
      <c r="V37" s="34">
        <v>0</v>
      </c>
      <c r="W37" s="34"/>
      <c r="X37" s="34"/>
      <c r="Y37" s="34"/>
      <c r="Z37" s="31">
        <f t="shared" si="2"/>
        <v>365413.45199999999</v>
      </c>
      <c r="AA37" s="34">
        <v>396433</v>
      </c>
      <c r="AB37" s="32">
        <v>1</v>
      </c>
      <c r="AC37" s="33">
        <v>44201</v>
      </c>
      <c r="AD37" s="36">
        <v>44229</v>
      </c>
      <c r="AE37" s="34"/>
      <c r="AF37" s="35"/>
      <c r="AG37" s="27"/>
      <c r="AH37" s="36"/>
      <c r="AI37" s="34"/>
      <c r="AJ37" s="32"/>
      <c r="AK37" s="27"/>
      <c r="AL37" s="36"/>
      <c r="AM37" s="34"/>
      <c r="AN37" s="32"/>
      <c r="AO37" s="27"/>
      <c r="AP37" s="36"/>
      <c r="AQ37" s="34"/>
      <c r="AR37" s="32"/>
      <c r="AS37" s="27"/>
      <c r="AT37" s="36"/>
      <c r="AU37" s="37">
        <f t="shared" si="0"/>
        <v>396433</v>
      </c>
      <c r="AV37" s="38">
        <f t="shared" si="1"/>
        <v>31019.54800000001</v>
      </c>
    </row>
    <row r="38" spans="2:48" s="39" customFormat="1" ht="22.5">
      <c r="B38" s="97">
        <v>23</v>
      </c>
      <c r="C38" s="97" t="s">
        <v>39</v>
      </c>
      <c r="D38" s="23">
        <v>40002930</v>
      </c>
      <c r="E38" s="48" t="s">
        <v>1094</v>
      </c>
      <c r="F38" s="48" t="s">
        <v>1095</v>
      </c>
      <c r="G38" s="26" t="s">
        <v>1059</v>
      </c>
      <c r="H38" s="26" t="s">
        <v>1091</v>
      </c>
      <c r="I38" s="49" t="s">
        <v>44</v>
      </c>
      <c r="J38" s="34">
        <v>1388232</v>
      </c>
      <c r="K38" s="34">
        <v>470065</v>
      </c>
      <c r="L38" s="34">
        <v>0</v>
      </c>
      <c r="M38" s="34">
        <v>0</v>
      </c>
      <c r="N38" s="34">
        <v>30000</v>
      </c>
      <c r="O38" s="34">
        <v>0</v>
      </c>
      <c r="P38" s="34">
        <v>264236</v>
      </c>
      <c r="Q38" s="34">
        <v>0</v>
      </c>
      <c r="R38" s="34">
        <v>187500</v>
      </c>
      <c r="S38" s="34">
        <v>0</v>
      </c>
      <c r="T38" s="34">
        <v>245362</v>
      </c>
      <c r="U38" s="34">
        <v>0</v>
      </c>
      <c r="V38" s="34">
        <v>0</v>
      </c>
      <c r="W38" s="34"/>
      <c r="X38" s="34"/>
      <c r="Y38" s="34"/>
      <c r="Z38" s="31">
        <f t="shared" si="2"/>
        <v>727098</v>
      </c>
      <c r="AA38" s="34">
        <v>918167</v>
      </c>
      <c r="AB38" s="32">
        <v>1</v>
      </c>
      <c r="AC38" s="33">
        <v>44201</v>
      </c>
      <c r="AD38" s="36">
        <v>44229</v>
      </c>
      <c r="AE38" s="34"/>
      <c r="AF38" s="35"/>
      <c r="AG38" s="27"/>
      <c r="AH38" s="36"/>
      <c r="AI38" s="34"/>
      <c r="AJ38" s="32"/>
      <c r="AK38" s="27"/>
      <c r="AL38" s="36"/>
      <c r="AM38" s="34"/>
      <c r="AN38" s="32"/>
      <c r="AO38" s="27"/>
      <c r="AP38" s="36"/>
      <c r="AQ38" s="34"/>
      <c r="AR38" s="32"/>
      <c r="AS38" s="27"/>
      <c r="AT38" s="36"/>
      <c r="AU38" s="37">
        <f t="shared" si="0"/>
        <v>918167</v>
      </c>
      <c r="AV38" s="38">
        <f t="shared" si="1"/>
        <v>191069</v>
      </c>
    </row>
    <row r="39" spans="2:48" s="39" customFormat="1" ht="22.5">
      <c r="B39" s="97">
        <v>24</v>
      </c>
      <c r="C39" s="97" t="s">
        <v>39</v>
      </c>
      <c r="D39" s="23">
        <v>40003248</v>
      </c>
      <c r="E39" s="48" t="s">
        <v>1096</v>
      </c>
      <c r="F39" s="48" t="s">
        <v>51</v>
      </c>
      <c r="G39" s="26" t="s">
        <v>1059</v>
      </c>
      <c r="H39" s="26" t="s">
        <v>1097</v>
      </c>
      <c r="I39" s="49" t="s">
        <v>44</v>
      </c>
      <c r="J39" s="34">
        <v>1215651</v>
      </c>
      <c r="K39" s="34">
        <v>589320</v>
      </c>
      <c r="L39" s="34">
        <v>103963</v>
      </c>
      <c r="M39" s="34">
        <v>0</v>
      </c>
      <c r="N39" s="34">
        <v>319510.94900000002</v>
      </c>
      <c r="O39" s="34">
        <v>64189.851999999999</v>
      </c>
      <c r="P39" s="34">
        <v>0</v>
      </c>
      <c r="Q39" s="34">
        <f>88884104/1000</f>
        <v>88884.104000000007</v>
      </c>
      <c r="R39" s="34">
        <v>0</v>
      </c>
      <c r="S39" s="34">
        <f>22777134/1000</f>
        <v>22777.133999999998</v>
      </c>
      <c r="T39" s="34">
        <v>0</v>
      </c>
      <c r="U39" s="34">
        <v>0</v>
      </c>
      <c r="V39" s="34">
        <v>0</v>
      </c>
      <c r="W39" s="34"/>
      <c r="X39" s="34"/>
      <c r="Y39" s="34"/>
      <c r="Z39" s="31">
        <f t="shared" si="2"/>
        <v>495362.03900000005</v>
      </c>
      <c r="AA39" s="34">
        <v>626331</v>
      </c>
      <c r="AB39" s="32">
        <v>1</v>
      </c>
      <c r="AC39" s="33">
        <v>44201</v>
      </c>
      <c r="AD39" s="36">
        <v>44229</v>
      </c>
      <c r="AE39" s="34">
        <v>-130968</v>
      </c>
      <c r="AF39" s="35">
        <v>27</v>
      </c>
      <c r="AG39" s="33">
        <v>44421</v>
      </c>
      <c r="AH39" s="36">
        <v>44438</v>
      </c>
      <c r="AI39" s="34"/>
      <c r="AJ39" s="32"/>
      <c r="AK39" s="27"/>
      <c r="AL39" s="36"/>
      <c r="AM39" s="34"/>
      <c r="AN39" s="32"/>
      <c r="AO39" s="27"/>
      <c r="AP39" s="36"/>
      <c r="AQ39" s="34"/>
      <c r="AR39" s="32"/>
      <c r="AS39" s="27"/>
      <c r="AT39" s="36"/>
      <c r="AU39" s="37">
        <f t="shared" si="0"/>
        <v>495363</v>
      </c>
      <c r="AV39" s="38">
        <f t="shared" si="1"/>
        <v>0.96099999995203689</v>
      </c>
    </row>
    <row r="40" spans="2:48" s="39" customFormat="1" ht="22.5">
      <c r="B40" s="97">
        <v>25</v>
      </c>
      <c r="C40" s="97" t="s">
        <v>39</v>
      </c>
      <c r="D40" s="23">
        <v>40003439</v>
      </c>
      <c r="E40" s="48" t="s">
        <v>1098</v>
      </c>
      <c r="F40" s="48" t="s">
        <v>51</v>
      </c>
      <c r="G40" s="26" t="s">
        <v>1059</v>
      </c>
      <c r="H40" s="26" t="s">
        <v>1099</v>
      </c>
      <c r="I40" s="49" t="s">
        <v>44</v>
      </c>
      <c r="J40" s="34">
        <v>812682</v>
      </c>
      <c r="K40" s="34">
        <v>103908</v>
      </c>
      <c r="L40" s="34">
        <v>0</v>
      </c>
      <c r="M40" s="34">
        <v>69550</v>
      </c>
      <c r="N40" s="34">
        <v>108743.94899999999</v>
      </c>
      <c r="O40" s="34">
        <v>47562.239000000001</v>
      </c>
      <c r="P40" s="34">
        <v>34398.311000000002</v>
      </c>
      <c r="Q40" s="34">
        <f>17248894/1000</f>
        <v>17248.894</v>
      </c>
      <c r="R40" s="34">
        <f>25978864/1000</f>
        <v>25978.864000000001</v>
      </c>
      <c r="S40" s="34">
        <f>30891837/1000</f>
        <v>30891.837</v>
      </c>
      <c r="T40" s="34">
        <v>60256</v>
      </c>
      <c r="U40" s="34">
        <v>0</v>
      </c>
      <c r="V40" s="34">
        <v>28241</v>
      </c>
      <c r="W40" s="34"/>
      <c r="X40" s="34"/>
      <c r="Y40" s="34"/>
      <c r="Z40" s="31">
        <f t="shared" si="2"/>
        <v>353321.09400000004</v>
      </c>
      <c r="AA40" s="34">
        <v>623178</v>
      </c>
      <c r="AB40" s="32">
        <v>1</v>
      </c>
      <c r="AC40" s="33">
        <v>44201</v>
      </c>
      <c r="AD40" s="36">
        <v>44229</v>
      </c>
      <c r="AE40" s="34"/>
      <c r="AF40" s="35"/>
      <c r="AG40" s="27"/>
      <c r="AH40" s="36"/>
      <c r="AI40" s="34"/>
      <c r="AJ40" s="32"/>
      <c r="AK40" s="27"/>
      <c r="AL40" s="36"/>
      <c r="AM40" s="34"/>
      <c r="AN40" s="32"/>
      <c r="AO40" s="27"/>
      <c r="AP40" s="36"/>
      <c r="AQ40" s="34"/>
      <c r="AR40" s="32"/>
      <c r="AS40" s="27"/>
      <c r="AT40" s="36"/>
      <c r="AU40" s="37">
        <f t="shared" si="0"/>
        <v>623178</v>
      </c>
      <c r="AV40" s="38">
        <f t="shared" si="1"/>
        <v>269856.90599999996</v>
      </c>
    </row>
    <row r="41" spans="2:48" s="39" customFormat="1" ht="22.5">
      <c r="B41" s="97">
        <v>26</v>
      </c>
      <c r="C41" s="97" t="s">
        <v>39</v>
      </c>
      <c r="D41" s="23">
        <v>40005548</v>
      </c>
      <c r="E41" s="48" t="s">
        <v>1100</v>
      </c>
      <c r="F41" s="48" t="s">
        <v>51</v>
      </c>
      <c r="G41" s="26" t="s">
        <v>1059</v>
      </c>
      <c r="H41" s="26" t="s">
        <v>1101</v>
      </c>
      <c r="I41" s="49" t="s">
        <v>44</v>
      </c>
      <c r="J41" s="34">
        <v>500068</v>
      </c>
      <c r="K41" s="34">
        <v>130891</v>
      </c>
      <c r="L41" s="34">
        <v>0</v>
      </c>
      <c r="M41" s="34">
        <v>0</v>
      </c>
      <c r="N41" s="34">
        <v>106807.96799999999</v>
      </c>
      <c r="O41" s="34">
        <v>44048.565000000002</v>
      </c>
      <c r="P41" s="34">
        <v>29181.713</v>
      </c>
      <c r="Q41" s="34">
        <f>65341323/1000</f>
        <v>65341.322999999997</v>
      </c>
      <c r="R41" s="34">
        <f>51108502/1000</f>
        <v>51108.502</v>
      </c>
      <c r="S41" s="34">
        <f>38264462/1000</f>
        <v>38264.462</v>
      </c>
      <c r="T41" s="34">
        <v>0</v>
      </c>
      <c r="U41" s="34">
        <v>0</v>
      </c>
      <c r="V41" s="34">
        <v>0</v>
      </c>
      <c r="W41" s="34"/>
      <c r="X41" s="34"/>
      <c r="Y41" s="34"/>
      <c r="Z41" s="31">
        <f t="shared" si="2"/>
        <v>334752.533</v>
      </c>
      <c r="AA41" s="34">
        <v>377217</v>
      </c>
      <c r="AB41" s="32">
        <v>1</v>
      </c>
      <c r="AC41" s="33">
        <v>44201</v>
      </c>
      <c r="AD41" s="36">
        <v>44229</v>
      </c>
      <c r="AE41" s="34"/>
      <c r="AF41" s="35"/>
      <c r="AG41" s="27"/>
      <c r="AH41" s="36"/>
      <c r="AI41" s="34"/>
      <c r="AJ41" s="32"/>
      <c r="AK41" s="27"/>
      <c r="AL41" s="36"/>
      <c r="AM41" s="34"/>
      <c r="AN41" s="32"/>
      <c r="AO41" s="27"/>
      <c r="AP41" s="36"/>
      <c r="AQ41" s="34"/>
      <c r="AR41" s="32"/>
      <c r="AS41" s="27"/>
      <c r="AT41" s="36"/>
      <c r="AU41" s="37">
        <f t="shared" si="0"/>
        <v>377217</v>
      </c>
      <c r="AV41" s="38">
        <f t="shared" si="1"/>
        <v>42464.467000000004</v>
      </c>
    </row>
    <row r="42" spans="2:48" s="39" customFormat="1" ht="22.5">
      <c r="B42" s="97">
        <v>27</v>
      </c>
      <c r="C42" s="97" t="s">
        <v>39</v>
      </c>
      <c r="D42" s="23">
        <v>40005659</v>
      </c>
      <c r="E42" s="48" t="s">
        <v>1102</v>
      </c>
      <c r="F42" s="48" t="s">
        <v>51</v>
      </c>
      <c r="G42" s="26" t="s">
        <v>1059</v>
      </c>
      <c r="H42" s="26" t="s">
        <v>1103</v>
      </c>
      <c r="I42" s="49" t="s">
        <v>44</v>
      </c>
      <c r="J42" s="34">
        <v>601046</v>
      </c>
      <c r="K42" s="34">
        <v>421833</v>
      </c>
      <c r="L42" s="34">
        <v>0</v>
      </c>
      <c r="M42" s="34">
        <v>0</v>
      </c>
      <c r="N42" s="34">
        <v>0</v>
      </c>
      <c r="O42" s="34">
        <v>135114.80100000001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/>
      <c r="X42" s="34"/>
      <c r="Y42" s="34"/>
      <c r="Z42" s="31">
        <f t="shared" si="2"/>
        <v>135114.80100000001</v>
      </c>
      <c r="AA42" s="34">
        <v>179213</v>
      </c>
      <c r="AB42" s="32">
        <v>1</v>
      </c>
      <c r="AC42" s="33">
        <v>44201</v>
      </c>
      <c r="AD42" s="36">
        <v>44229</v>
      </c>
      <c r="AE42" s="34"/>
      <c r="AF42" s="35"/>
      <c r="AG42" s="27"/>
      <c r="AH42" s="36"/>
      <c r="AI42" s="34"/>
      <c r="AJ42" s="32"/>
      <c r="AK42" s="27"/>
      <c r="AL42" s="36"/>
      <c r="AM42" s="34"/>
      <c r="AN42" s="32"/>
      <c r="AO42" s="27"/>
      <c r="AP42" s="36"/>
      <c r="AQ42" s="34"/>
      <c r="AR42" s="32"/>
      <c r="AS42" s="27"/>
      <c r="AT42" s="36"/>
      <c r="AU42" s="37">
        <f t="shared" si="0"/>
        <v>179213</v>
      </c>
      <c r="AV42" s="38">
        <f t="shared" si="1"/>
        <v>44098.198999999993</v>
      </c>
    </row>
    <row r="43" spans="2:48" s="39" customFormat="1" ht="22.5">
      <c r="B43" s="97">
        <v>28</v>
      </c>
      <c r="C43" s="97" t="s">
        <v>39</v>
      </c>
      <c r="D43" s="23">
        <v>40009251</v>
      </c>
      <c r="E43" s="48" t="s">
        <v>1104</v>
      </c>
      <c r="F43" s="48" t="s">
        <v>47</v>
      </c>
      <c r="G43" s="26" t="s">
        <v>1059</v>
      </c>
      <c r="H43" s="26" t="s">
        <v>1105</v>
      </c>
      <c r="I43" s="49" t="s">
        <v>44</v>
      </c>
      <c r="J43" s="34">
        <v>80780</v>
      </c>
      <c r="K43" s="34">
        <v>10225</v>
      </c>
      <c r="L43" s="34">
        <v>0</v>
      </c>
      <c r="M43" s="34">
        <v>0</v>
      </c>
      <c r="N43" s="34">
        <v>0</v>
      </c>
      <c r="O43" s="34">
        <v>2000</v>
      </c>
      <c r="P43" s="34">
        <v>27080</v>
      </c>
      <c r="Q43" s="34">
        <v>9720</v>
      </c>
      <c r="R43" s="34">
        <v>2000</v>
      </c>
      <c r="S43" s="34">
        <v>2000</v>
      </c>
      <c r="T43" s="34">
        <v>12000</v>
      </c>
      <c r="U43" s="34">
        <v>0</v>
      </c>
      <c r="V43" s="34">
        <v>0</v>
      </c>
      <c r="W43" s="34"/>
      <c r="X43" s="34"/>
      <c r="Y43" s="34"/>
      <c r="Z43" s="31">
        <f t="shared" si="2"/>
        <v>54800</v>
      </c>
      <c r="AA43" s="34">
        <v>70555</v>
      </c>
      <c r="AB43" s="32">
        <v>1</v>
      </c>
      <c r="AC43" s="33">
        <v>44201</v>
      </c>
      <c r="AD43" s="36">
        <v>44229</v>
      </c>
      <c r="AE43" s="34"/>
      <c r="AF43" s="35"/>
      <c r="AG43" s="27"/>
      <c r="AH43" s="36"/>
      <c r="AI43" s="34"/>
      <c r="AJ43" s="32"/>
      <c r="AK43" s="27"/>
      <c r="AL43" s="36"/>
      <c r="AM43" s="34"/>
      <c r="AN43" s="32"/>
      <c r="AO43" s="27"/>
      <c r="AP43" s="36"/>
      <c r="AQ43" s="34"/>
      <c r="AR43" s="32"/>
      <c r="AS43" s="27"/>
      <c r="AT43" s="36"/>
      <c r="AU43" s="37">
        <f t="shared" si="0"/>
        <v>70555</v>
      </c>
      <c r="AV43" s="38">
        <f t="shared" si="1"/>
        <v>15755</v>
      </c>
    </row>
    <row r="44" spans="2:48" s="39" customFormat="1" ht="22.5">
      <c r="B44" s="97">
        <v>29</v>
      </c>
      <c r="C44" s="97" t="s">
        <v>39</v>
      </c>
      <c r="D44" s="23">
        <v>30091783</v>
      </c>
      <c r="E44" s="48" t="s">
        <v>1106</v>
      </c>
      <c r="F44" s="48" t="s">
        <v>47</v>
      </c>
      <c r="G44" s="26" t="s">
        <v>1059</v>
      </c>
      <c r="H44" s="26" t="s">
        <v>1107</v>
      </c>
      <c r="I44" s="49" t="s">
        <v>44</v>
      </c>
      <c r="J44" s="34">
        <v>151123</v>
      </c>
      <c r="K44" s="34">
        <v>24045</v>
      </c>
      <c r="L44" s="34">
        <v>36396</v>
      </c>
      <c r="M44" s="34">
        <v>0</v>
      </c>
      <c r="N44" s="34">
        <v>0</v>
      </c>
      <c r="O44" s="34">
        <v>21932.1</v>
      </c>
      <c r="P44" s="34">
        <v>0</v>
      </c>
      <c r="Q44" s="34">
        <v>0</v>
      </c>
      <c r="R44" s="34">
        <v>0</v>
      </c>
      <c r="S44" s="34">
        <f>36553500/1000</f>
        <v>36553.5</v>
      </c>
      <c r="T44" s="34">
        <v>0</v>
      </c>
      <c r="U44" s="34">
        <v>0</v>
      </c>
      <c r="V44" s="34">
        <v>0</v>
      </c>
      <c r="W44" s="34"/>
      <c r="X44" s="34"/>
      <c r="Y44" s="34"/>
      <c r="Z44" s="31">
        <f t="shared" si="2"/>
        <v>58485.599999999999</v>
      </c>
      <c r="AA44" s="228">
        <v>124282</v>
      </c>
      <c r="AB44" s="32">
        <v>2</v>
      </c>
      <c r="AC44" s="33">
        <v>44209</v>
      </c>
      <c r="AD44" s="36">
        <v>44249</v>
      </c>
      <c r="AE44" s="34"/>
      <c r="AF44" s="35"/>
      <c r="AG44" s="27"/>
      <c r="AH44" s="36"/>
      <c r="AI44" s="34"/>
      <c r="AJ44" s="32"/>
      <c r="AK44" s="27"/>
      <c r="AL44" s="36"/>
      <c r="AM44" s="34"/>
      <c r="AN44" s="32"/>
      <c r="AO44" s="27"/>
      <c r="AP44" s="36"/>
      <c r="AQ44" s="34"/>
      <c r="AR44" s="32"/>
      <c r="AS44" s="27"/>
      <c r="AT44" s="36"/>
      <c r="AU44" s="37">
        <f t="shared" si="0"/>
        <v>124282</v>
      </c>
      <c r="AV44" s="38">
        <f t="shared" si="1"/>
        <v>65796.399999999994</v>
      </c>
    </row>
    <row r="45" spans="2:48" s="39" customFormat="1" ht="33.75">
      <c r="B45" s="97">
        <v>17</v>
      </c>
      <c r="C45" s="97" t="s">
        <v>39</v>
      </c>
      <c r="D45" s="23">
        <v>30487109</v>
      </c>
      <c r="E45" s="48" t="s">
        <v>1108</v>
      </c>
      <c r="F45" s="48" t="s">
        <v>51</v>
      </c>
      <c r="G45" s="26" t="s">
        <v>1059</v>
      </c>
      <c r="H45" s="26" t="s">
        <v>1070</v>
      </c>
      <c r="I45" s="49" t="s">
        <v>44</v>
      </c>
      <c r="J45" s="34">
        <v>2991366</v>
      </c>
      <c r="K45" s="34">
        <v>1234884</v>
      </c>
      <c r="L45" s="34">
        <v>313346</v>
      </c>
      <c r="M45" s="34">
        <v>0</v>
      </c>
      <c r="N45" s="34">
        <v>1063502.9950000001</v>
      </c>
      <c r="O45" s="34">
        <v>242724.07399999999</v>
      </c>
      <c r="P45" s="34">
        <v>84989.61</v>
      </c>
      <c r="Q45" s="34">
        <f>149284285/1000</f>
        <v>149284.285</v>
      </c>
      <c r="R45" s="34">
        <v>0</v>
      </c>
      <c r="S45" s="34">
        <f>215981083/1000</f>
        <v>215981.08300000001</v>
      </c>
      <c r="T45" s="34">
        <v>0</v>
      </c>
      <c r="U45" s="34">
        <v>0</v>
      </c>
      <c r="V45" s="34">
        <v>0</v>
      </c>
      <c r="W45" s="34"/>
      <c r="X45" s="34"/>
      <c r="Y45" s="34"/>
      <c r="Z45" s="31">
        <f t="shared" si="2"/>
        <v>1756482.0470000003</v>
      </c>
      <c r="AA45" s="34">
        <v>1743874</v>
      </c>
      <c r="AB45" s="32">
        <v>1</v>
      </c>
      <c r="AC45" s="33">
        <v>44201</v>
      </c>
      <c r="AD45" s="36">
        <v>44229</v>
      </c>
      <c r="AE45" s="34">
        <v>12609</v>
      </c>
      <c r="AF45" s="35">
        <v>11</v>
      </c>
      <c r="AG45" s="33">
        <v>44307</v>
      </c>
      <c r="AH45" s="36">
        <v>44328</v>
      </c>
      <c r="AI45" s="34"/>
      <c r="AJ45" s="32"/>
      <c r="AK45" s="27"/>
      <c r="AL45" s="36"/>
      <c r="AM45" s="34"/>
      <c r="AN45" s="32"/>
      <c r="AO45" s="27"/>
      <c r="AP45" s="36"/>
      <c r="AQ45" s="34"/>
      <c r="AR45" s="32"/>
      <c r="AS45" s="27"/>
      <c r="AT45" s="36"/>
      <c r="AU45" s="37">
        <f t="shared" si="0"/>
        <v>1756483</v>
      </c>
      <c r="AV45" s="38">
        <f t="shared" si="1"/>
        <v>0.95299999974668026</v>
      </c>
    </row>
    <row r="46" spans="2:48" s="39" customFormat="1" ht="22.5">
      <c r="B46" s="97">
        <v>31</v>
      </c>
      <c r="C46" s="97" t="s">
        <v>39</v>
      </c>
      <c r="D46" s="23">
        <v>30110324</v>
      </c>
      <c r="E46" s="48" t="s">
        <v>1109</v>
      </c>
      <c r="F46" s="48" t="s">
        <v>51</v>
      </c>
      <c r="G46" s="26" t="s">
        <v>1059</v>
      </c>
      <c r="H46" s="26" t="s">
        <v>1091</v>
      </c>
      <c r="I46" s="49" t="s">
        <v>44</v>
      </c>
      <c r="J46" s="34">
        <v>5623750</v>
      </c>
      <c r="K46" s="34">
        <v>0</v>
      </c>
      <c r="L46" s="34">
        <v>5642983</v>
      </c>
      <c r="M46" s="34">
        <v>4345625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/>
      <c r="X46" s="34"/>
      <c r="Y46" s="34"/>
      <c r="Z46" s="31">
        <f t="shared" si="2"/>
        <v>0</v>
      </c>
      <c r="AA46" s="228">
        <v>1</v>
      </c>
      <c r="AB46" s="32">
        <v>2</v>
      </c>
      <c r="AC46" s="33">
        <v>44209</v>
      </c>
      <c r="AD46" s="36">
        <v>44249</v>
      </c>
      <c r="AE46" s="34"/>
      <c r="AF46" s="35"/>
      <c r="AG46" s="27"/>
      <c r="AH46" s="36"/>
      <c r="AI46" s="34"/>
      <c r="AJ46" s="32"/>
      <c r="AK46" s="27"/>
      <c r="AL46" s="36"/>
      <c r="AM46" s="34"/>
      <c r="AN46" s="32"/>
      <c r="AO46" s="27"/>
      <c r="AP46" s="36"/>
      <c r="AQ46" s="34"/>
      <c r="AR46" s="32"/>
      <c r="AS46" s="27"/>
      <c r="AT46" s="36"/>
      <c r="AU46" s="37">
        <f t="shared" si="0"/>
        <v>1</v>
      </c>
      <c r="AV46" s="38">
        <f t="shared" si="1"/>
        <v>1</v>
      </c>
    </row>
    <row r="47" spans="2:48" s="39" customFormat="1" ht="22.5">
      <c r="B47" s="97">
        <v>32</v>
      </c>
      <c r="C47" s="97" t="s">
        <v>39</v>
      </c>
      <c r="D47" s="23">
        <v>30123960</v>
      </c>
      <c r="E47" s="48" t="s">
        <v>1110</v>
      </c>
      <c r="F47" s="48" t="s">
        <v>51</v>
      </c>
      <c r="G47" s="26" t="s">
        <v>1059</v>
      </c>
      <c r="H47" s="26" t="s">
        <v>1111</v>
      </c>
      <c r="I47" s="49" t="s">
        <v>52</v>
      </c>
      <c r="J47" s="34">
        <v>977413</v>
      </c>
      <c r="K47" s="34">
        <v>1907</v>
      </c>
      <c r="L47" s="34">
        <v>823559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/>
      <c r="X47" s="34"/>
      <c r="Y47" s="34"/>
      <c r="Z47" s="31">
        <f t="shared" si="2"/>
        <v>0</v>
      </c>
      <c r="AA47" s="228">
        <v>86140</v>
      </c>
      <c r="AB47" s="32">
        <v>2</v>
      </c>
      <c r="AC47" s="33">
        <v>44209</v>
      </c>
      <c r="AD47" s="36">
        <v>44249</v>
      </c>
      <c r="AE47" s="34"/>
      <c r="AF47" s="35"/>
      <c r="AG47" s="27"/>
      <c r="AH47" s="36"/>
      <c r="AI47" s="34"/>
      <c r="AJ47" s="32"/>
      <c r="AK47" s="27"/>
      <c r="AL47" s="36"/>
      <c r="AM47" s="34"/>
      <c r="AN47" s="32"/>
      <c r="AO47" s="27"/>
      <c r="AP47" s="36"/>
      <c r="AQ47" s="34"/>
      <c r="AR47" s="32"/>
      <c r="AS47" s="27"/>
      <c r="AT47" s="36"/>
      <c r="AU47" s="37">
        <f t="shared" si="0"/>
        <v>86140</v>
      </c>
      <c r="AV47" s="38">
        <f t="shared" si="1"/>
        <v>86140</v>
      </c>
    </row>
    <row r="48" spans="2:48" s="39" customFormat="1" ht="22.5">
      <c r="B48" s="97">
        <v>33</v>
      </c>
      <c r="C48" s="97" t="s">
        <v>39</v>
      </c>
      <c r="D48" s="23">
        <v>30126944</v>
      </c>
      <c r="E48" s="48" t="s">
        <v>1112</v>
      </c>
      <c r="F48" s="48" t="s">
        <v>51</v>
      </c>
      <c r="G48" s="26" t="s">
        <v>1059</v>
      </c>
      <c r="H48" s="26" t="s">
        <v>1113</v>
      </c>
      <c r="I48" s="49" t="s">
        <v>52</v>
      </c>
      <c r="J48" s="34">
        <v>603229</v>
      </c>
      <c r="K48" s="34">
        <v>0</v>
      </c>
      <c r="L48" s="34">
        <v>557745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1500</v>
      </c>
      <c r="U48" s="34">
        <v>0</v>
      </c>
      <c r="V48" s="34">
        <v>0</v>
      </c>
      <c r="W48" s="34"/>
      <c r="X48" s="34"/>
      <c r="Y48" s="34"/>
      <c r="Z48" s="31">
        <f t="shared" si="2"/>
        <v>1500</v>
      </c>
      <c r="AA48" s="228">
        <v>32210</v>
      </c>
      <c r="AB48" s="32">
        <v>2</v>
      </c>
      <c r="AC48" s="33">
        <v>44209</v>
      </c>
      <c r="AD48" s="36">
        <v>44249</v>
      </c>
      <c r="AE48" s="34"/>
      <c r="AF48" s="35"/>
      <c r="AG48" s="27"/>
      <c r="AH48" s="36"/>
      <c r="AI48" s="34"/>
      <c r="AJ48" s="32"/>
      <c r="AK48" s="27"/>
      <c r="AL48" s="36"/>
      <c r="AM48" s="34"/>
      <c r="AN48" s="32"/>
      <c r="AO48" s="27"/>
      <c r="AP48" s="36"/>
      <c r="AQ48" s="34"/>
      <c r="AR48" s="32"/>
      <c r="AS48" s="27"/>
      <c r="AT48" s="36"/>
      <c r="AU48" s="37">
        <f t="shared" si="0"/>
        <v>32210</v>
      </c>
      <c r="AV48" s="38">
        <f t="shared" si="1"/>
        <v>30710</v>
      </c>
    </row>
    <row r="49" spans="2:48" s="39" customFormat="1">
      <c r="B49" s="97">
        <v>34</v>
      </c>
      <c r="C49" s="97" t="s">
        <v>39</v>
      </c>
      <c r="D49" s="23">
        <v>30133146</v>
      </c>
      <c r="E49" s="48" t="s">
        <v>1114</v>
      </c>
      <c r="F49" s="48" t="s">
        <v>51</v>
      </c>
      <c r="G49" s="26" t="s">
        <v>1059</v>
      </c>
      <c r="H49" s="26" t="s">
        <v>1115</v>
      </c>
      <c r="I49" s="49" t="s">
        <v>52</v>
      </c>
      <c r="J49" s="34">
        <v>1250263</v>
      </c>
      <c r="K49" s="34">
        <v>3878</v>
      </c>
      <c r="L49" s="34">
        <v>46388</v>
      </c>
      <c r="M49" s="34">
        <v>287307</v>
      </c>
      <c r="N49" s="34">
        <v>0</v>
      </c>
      <c r="O49" s="34">
        <v>10659.281999999999</v>
      </c>
      <c r="P49" s="34">
        <v>106592.823</v>
      </c>
      <c r="Q49" s="34">
        <v>0</v>
      </c>
      <c r="R49" s="34">
        <f>159889234/1000</f>
        <v>159889.234</v>
      </c>
      <c r="S49" s="34">
        <v>0</v>
      </c>
      <c r="T49" s="34">
        <v>0</v>
      </c>
      <c r="U49" s="34">
        <v>0</v>
      </c>
      <c r="V49" s="34">
        <v>213186</v>
      </c>
      <c r="W49" s="34"/>
      <c r="X49" s="34"/>
      <c r="Y49" s="34"/>
      <c r="Z49" s="31">
        <f t="shared" si="2"/>
        <v>490327.33900000004</v>
      </c>
      <c r="AA49" s="228">
        <v>291442</v>
      </c>
      <c r="AB49" s="32">
        <v>2</v>
      </c>
      <c r="AC49" s="33">
        <v>44209</v>
      </c>
      <c r="AD49" s="36">
        <v>44249</v>
      </c>
      <c r="AE49" s="34">
        <v>615380</v>
      </c>
      <c r="AF49" s="35">
        <v>27</v>
      </c>
      <c r="AG49" s="33">
        <v>44421</v>
      </c>
      <c r="AH49" s="36">
        <v>44438</v>
      </c>
      <c r="AI49" s="34"/>
      <c r="AJ49" s="32"/>
      <c r="AK49" s="27"/>
      <c r="AL49" s="36"/>
      <c r="AM49" s="34"/>
      <c r="AN49" s="32"/>
      <c r="AO49" s="27"/>
      <c r="AP49" s="36"/>
      <c r="AQ49" s="34"/>
      <c r="AR49" s="32"/>
      <c r="AS49" s="27"/>
      <c r="AT49" s="36"/>
      <c r="AU49" s="37">
        <f t="shared" si="0"/>
        <v>906822</v>
      </c>
      <c r="AV49" s="38">
        <f t="shared" si="1"/>
        <v>416494.66099999996</v>
      </c>
    </row>
    <row r="50" spans="2:48" s="39" customFormat="1" ht="22.5">
      <c r="B50" s="97">
        <v>35</v>
      </c>
      <c r="C50" s="97" t="s">
        <v>39</v>
      </c>
      <c r="D50" s="23">
        <v>30135425</v>
      </c>
      <c r="E50" s="48" t="s">
        <v>1116</v>
      </c>
      <c r="F50" s="48" t="s">
        <v>51</v>
      </c>
      <c r="G50" s="26" t="s">
        <v>1059</v>
      </c>
      <c r="H50" s="26" t="s">
        <v>1117</v>
      </c>
      <c r="I50" s="49" t="s">
        <v>44</v>
      </c>
      <c r="J50" s="34">
        <v>823828</v>
      </c>
      <c r="K50" s="34">
        <v>33244</v>
      </c>
      <c r="L50" s="34">
        <v>593635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/>
      <c r="X50" s="34"/>
      <c r="Y50" s="34"/>
      <c r="Z50" s="31">
        <f t="shared" si="2"/>
        <v>0</v>
      </c>
      <c r="AA50" s="228">
        <v>661260</v>
      </c>
      <c r="AB50" s="32">
        <v>2</v>
      </c>
      <c r="AC50" s="33">
        <v>44209</v>
      </c>
      <c r="AD50" s="36">
        <v>44249</v>
      </c>
      <c r="AE50" s="34">
        <v>-500000</v>
      </c>
      <c r="AF50" s="35">
        <v>27</v>
      </c>
      <c r="AG50" s="33">
        <v>44421</v>
      </c>
      <c r="AH50" s="36">
        <v>44438</v>
      </c>
      <c r="AI50" s="34"/>
      <c r="AJ50" s="32"/>
      <c r="AK50" s="27"/>
      <c r="AL50" s="36"/>
      <c r="AM50" s="34"/>
      <c r="AN50" s="32"/>
      <c r="AO50" s="27"/>
      <c r="AP50" s="36"/>
      <c r="AQ50" s="34"/>
      <c r="AR50" s="32"/>
      <c r="AS50" s="27"/>
      <c r="AT50" s="36"/>
      <c r="AU50" s="37">
        <f t="shared" si="0"/>
        <v>161260</v>
      </c>
      <c r="AV50" s="38">
        <f t="shared" si="1"/>
        <v>161260</v>
      </c>
    </row>
    <row r="51" spans="2:48" s="39" customFormat="1" ht="22.5">
      <c r="B51" s="97">
        <v>36</v>
      </c>
      <c r="C51" s="97" t="s">
        <v>39</v>
      </c>
      <c r="D51" s="23">
        <v>30135429</v>
      </c>
      <c r="E51" s="48" t="s">
        <v>1118</v>
      </c>
      <c r="F51" s="48" t="s">
        <v>51</v>
      </c>
      <c r="G51" s="26" t="s">
        <v>1059</v>
      </c>
      <c r="H51" s="26" t="s">
        <v>1060</v>
      </c>
      <c r="I51" s="49" t="s">
        <v>52</v>
      </c>
      <c r="J51" s="34">
        <v>719930</v>
      </c>
      <c r="K51" s="34">
        <v>1081</v>
      </c>
      <c r="L51" s="34">
        <v>515415</v>
      </c>
      <c r="M51" s="34">
        <v>100000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6744</v>
      </c>
      <c r="U51" s="34">
        <v>0</v>
      </c>
      <c r="V51" s="34">
        <v>0</v>
      </c>
      <c r="W51" s="34"/>
      <c r="X51" s="34"/>
      <c r="Y51" s="34"/>
      <c r="Z51" s="31">
        <f t="shared" si="2"/>
        <v>6744</v>
      </c>
      <c r="AA51" s="228">
        <v>152792</v>
      </c>
      <c r="AB51" s="32">
        <v>2</v>
      </c>
      <c r="AC51" s="33">
        <v>44209</v>
      </c>
      <c r="AD51" s="36">
        <v>44249</v>
      </c>
      <c r="AE51" s="34"/>
      <c r="AF51" s="35"/>
      <c r="AG51" s="27"/>
      <c r="AH51" s="36"/>
      <c r="AI51" s="34"/>
      <c r="AJ51" s="32"/>
      <c r="AK51" s="27"/>
      <c r="AL51" s="36"/>
      <c r="AM51" s="34"/>
      <c r="AN51" s="32"/>
      <c r="AO51" s="27"/>
      <c r="AP51" s="36"/>
      <c r="AQ51" s="34"/>
      <c r="AR51" s="32"/>
      <c r="AS51" s="27"/>
      <c r="AT51" s="36"/>
      <c r="AU51" s="37">
        <f t="shared" si="0"/>
        <v>152792</v>
      </c>
      <c r="AV51" s="38">
        <f t="shared" si="1"/>
        <v>146048</v>
      </c>
    </row>
    <row r="52" spans="2:48" s="39" customFormat="1">
      <c r="B52" s="97">
        <v>37</v>
      </c>
      <c r="C52" s="97" t="s">
        <v>39</v>
      </c>
      <c r="D52" s="23">
        <v>30298074</v>
      </c>
      <c r="E52" s="48" t="s">
        <v>1119</v>
      </c>
      <c r="F52" s="48" t="s">
        <v>51</v>
      </c>
      <c r="G52" s="26" t="s">
        <v>1059</v>
      </c>
      <c r="H52" s="26" t="s">
        <v>1081</v>
      </c>
      <c r="I52" s="49" t="s">
        <v>44</v>
      </c>
      <c r="J52" s="34">
        <v>1244131</v>
      </c>
      <c r="K52" s="34">
        <v>73149</v>
      </c>
      <c r="L52" s="34">
        <v>0</v>
      </c>
      <c r="M52" s="34">
        <v>0</v>
      </c>
      <c r="N52" s="34">
        <v>0</v>
      </c>
      <c r="O52" s="34">
        <v>229378.87400000001</v>
      </c>
      <c r="P52" s="34">
        <v>210497.51199999999</v>
      </c>
      <c r="Q52" s="34">
        <f>45230612/1000</f>
        <v>45230.612000000001</v>
      </c>
      <c r="R52" s="34">
        <f>87110498/1000</f>
        <v>87110.498000000007</v>
      </c>
      <c r="S52" s="34">
        <f>51416615/1000</f>
        <v>51416.614999999998</v>
      </c>
      <c r="T52" s="34">
        <v>69353</v>
      </c>
      <c r="U52" s="34">
        <v>46380</v>
      </c>
      <c r="V52" s="34">
        <v>25506</v>
      </c>
      <c r="W52" s="34"/>
      <c r="X52" s="34"/>
      <c r="Y52" s="34"/>
      <c r="Z52" s="31">
        <f t="shared" si="2"/>
        <v>764873.11100000003</v>
      </c>
      <c r="AA52" s="228">
        <v>700000</v>
      </c>
      <c r="AB52" s="32">
        <v>2</v>
      </c>
      <c r="AC52" s="33">
        <v>44209</v>
      </c>
      <c r="AD52" s="36">
        <v>44249</v>
      </c>
      <c r="AE52" s="34">
        <v>373683</v>
      </c>
      <c r="AF52" s="35">
        <v>27</v>
      </c>
      <c r="AG52" s="33">
        <v>44421</v>
      </c>
      <c r="AH52" s="36">
        <v>44438</v>
      </c>
      <c r="AI52" s="34"/>
      <c r="AJ52" s="32"/>
      <c r="AK52" s="27"/>
      <c r="AL52" s="36"/>
      <c r="AM52" s="34"/>
      <c r="AN52" s="32"/>
      <c r="AO52" s="27"/>
      <c r="AP52" s="36"/>
      <c r="AQ52" s="34"/>
      <c r="AR52" s="32"/>
      <c r="AS52" s="27"/>
      <c r="AT52" s="36"/>
      <c r="AU52" s="37">
        <f t="shared" si="0"/>
        <v>1073683</v>
      </c>
      <c r="AV52" s="38">
        <f t="shared" si="1"/>
        <v>308809.88899999997</v>
      </c>
    </row>
    <row r="53" spans="2:48" s="39" customFormat="1" ht="22.5">
      <c r="B53" s="97">
        <v>38</v>
      </c>
      <c r="C53" s="97" t="s">
        <v>39</v>
      </c>
      <c r="D53" s="23">
        <v>30395225</v>
      </c>
      <c r="E53" s="48" t="s">
        <v>1120</v>
      </c>
      <c r="F53" s="48" t="s">
        <v>47</v>
      </c>
      <c r="G53" s="26" t="s">
        <v>1059</v>
      </c>
      <c r="H53" s="26" t="s">
        <v>1111</v>
      </c>
      <c r="I53" s="49" t="s">
        <v>52</v>
      </c>
      <c r="J53" s="34">
        <v>164476</v>
      </c>
      <c r="K53" s="34">
        <v>5746</v>
      </c>
      <c r="L53" s="34">
        <v>108036</v>
      </c>
      <c r="M53" s="34">
        <v>76782</v>
      </c>
      <c r="N53" s="34">
        <v>0</v>
      </c>
      <c r="O53" s="34">
        <v>14300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/>
      <c r="X53" s="34"/>
      <c r="Y53" s="34"/>
      <c r="Z53" s="31">
        <f t="shared" si="2"/>
        <v>14300</v>
      </c>
      <c r="AA53" s="228">
        <v>43000</v>
      </c>
      <c r="AB53" s="32">
        <v>2</v>
      </c>
      <c r="AC53" s="33">
        <v>44209</v>
      </c>
      <c r="AD53" s="36">
        <v>44249</v>
      </c>
      <c r="AE53" s="34"/>
      <c r="AF53" s="35"/>
      <c r="AG53" s="27"/>
      <c r="AH53" s="36"/>
      <c r="AI53" s="34"/>
      <c r="AJ53" s="32"/>
      <c r="AK53" s="27"/>
      <c r="AL53" s="36"/>
      <c r="AM53" s="34"/>
      <c r="AN53" s="32"/>
      <c r="AO53" s="27"/>
      <c r="AP53" s="36"/>
      <c r="AQ53" s="34"/>
      <c r="AR53" s="32"/>
      <c r="AS53" s="27"/>
      <c r="AT53" s="36"/>
      <c r="AU53" s="37">
        <f t="shared" si="0"/>
        <v>43000</v>
      </c>
      <c r="AV53" s="38">
        <f t="shared" si="1"/>
        <v>28700</v>
      </c>
    </row>
    <row r="54" spans="2:48" s="39" customFormat="1" ht="22.5">
      <c r="B54" s="97">
        <v>39</v>
      </c>
      <c r="C54" s="97" t="s">
        <v>39</v>
      </c>
      <c r="D54" s="23">
        <v>30396674</v>
      </c>
      <c r="E54" s="48" t="s">
        <v>1121</v>
      </c>
      <c r="F54" s="48" t="s">
        <v>47</v>
      </c>
      <c r="G54" s="26" t="s">
        <v>1059</v>
      </c>
      <c r="H54" s="26" t="s">
        <v>1099</v>
      </c>
      <c r="I54" s="49" t="s">
        <v>44</v>
      </c>
      <c r="J54" s="34">
        <v>288882</v>
      </c>
      <c r="K54" s="34">
        <v>248513</v>
      </c>
      <c r="L54" s="34">
        <v>31559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f>40368960/1000</f>
        <v>40368.959999999999</v>
      </c>
      <c r="T54" s="34">
        <v>0</v>
      </c>
      <c r="U54" s="34">
        <v>0</v>
      </c>
      <c r="V54" s="34">
        <v>0</v>
      </c>
      <c r="W54" s="34"/>
      <c r="X54" s="34"/>
      <c r="Y54" s="34"/>
      <c r="Z54" s="31">
        <f t="shared" si="2"/>
        <v>40368.959999999999</v>
      </c>
      <c r="AA54" s="228">
        <v>40369</v>
      </c>
      <c r="AB54" s="32">
        <v>2</v>
      </c>
      <c r="AC54" s="33">
        <v>44209</v>
      </c>
      <c r="AD54" s="36">
        <v>44249</v>
      </c>
      <c r="AE54" s="34"/>
      <c r="AF54" s="35"/>
      <c r="AG54" s="27"/>
      <c r="AH54" s="36"/>
      <c r="AI54" s="34"/>
      <c r="AJ54" s="32"/>
      <c r="AK54" s="27"/>
      <c r="AL54" s="36"/>
      <c r="AM54" s="34"/>
      <c r="AN54" s="32"/>
      <c r="AO54" s="27"/>
      <c r="AP54" s="36"/>
      <c r="AQ54" s="34"/>
      <c r="AR54" s="32"/>
      <c r="AS54" s="27"/>
      <c r="AT54" s="36"/>
      <c r="AU54" s="37">
        <f t="shared" si="0"/>
        <v>40369</v>
      </c>
      <c r="AV54" s="38">
        <f t="shared" si="1"/>
        <v>4.0000000000873115E-2</v>
      </c>
    </row>
    <row r="55" spans="2:48" s="39" customFormat="1" ht="22.5">
      <c r="B55" s="97">
        <v>40</v>
      </c>
      <c r="C55" s="97" t="s">
        <v>39</v>
      </c>
      <c r="D55" s="23">
        <v>30434978</v>
      </c>
      <c r="E55" s="48" t="s">
        <v>1122</v>
      </c>
      <c r="F55" s="48" t="s">
        <v>51</v>
      </c>
      <c r="G55" s="26" t="s">
        <v>1059</v>
      </c>
      <c r="H55" s="26" t="s">
        <v>1075</v>
      </c>
      <c r="I55" s="49" t="s">
        <v>44</v>
      </c>
      <c r="J55" s="34">
        <v>1519025</v>
      </c>
      <c r="K55" s="34">
        <v>1173316</v>
      </c>
      <c r="L55" s="34">
        <v>0</v>
      </c>
      <c r="M55" s="34">
        <v>0</v>
      </c>
      <c r="N55" s="34">
        <v>0</v>
      </c>
      <c r="O55" s="34">
        <v>144470.71799999999</v>
      </c>
      <c r="P55" s="34">
        <v>0</v>
      </c>
      <c r="Q55" s="34">
        <v>0</v>
      </c>
      <c r="R55" s="34">
        <v>0</v>
      </c>
      <c r="S55" s="34">
        <v>0</v>
      </c>
      <c r="T55" s="34">
        <v>34298</v>
      </c>
      <c r="U55" s="34">
        <v>0</v>
      </c>
      <c r="V55" s="34">
        <v>0</v>
      </c>
      <c r="W55" s="34"/>
      <c r="X55" s="34"/>
      <c r="Y55" s="34"/>
      <c r="Z55" s="31">
        <f t="shared" si="2"/>
        <v>178768.71799999999</v>
      </c>
      <c r="AA55" s="228">
        <v>345709</v>
      </c>
      <c r="AB55" s="32">
        <v>2</v>
      </c>
      <c r="AC55" s="33">
        <v>44209</v>
      </c>
      <c r="AD55" s="36">
        <v>44249</v>
      </c>
      <c r="AE55" s="34">
        <v>-44009</v>
      </c>
      <c r="AF55" s="32">
        <v>26</v>
      </c>
      <c r="AG55" s="33">
        <v>44396</v>
      </c>
      <c r="AH55" s="36">
        <v>44420</v>
      </c>
      <c r="AI55" s="34"/>
      <c r="AJ55" s="32"/>
      <c r="AK55" s="27"/>
      <c r="AL55" s="36"/>
      <c r="AM55" s="34"/>
      <c r="AN55" s="32"/>
      <c r="AO55" s="27"/>
      <c r="AP55" s="36"/>
      <c r="AQ55" s="34"/>
      <c r="AR55" s="32"/>
      <c r="AS55" s="27"/>
      <c r="AT55" s="36"/>
      <c r="AU55" s="37">
        <f t="shared" si="0"/>
        <v>301700</v>
      </c>
      <c r="AV55" s="38">
        <f t="shared" si="1"/>
        <v>122931.28200000001</v>
      </c>
    </row>
    <row r="56" spans="2:48" s="39" customFormat="1" ht="22.5">
      <c r="B56" s="97">
        <v>41</v>
      </c>
      <c r="C56" s="97" t="s">
        <v>39</v>
      </c>
      <c r="D56" s="23">
        <v>30436222</v>
      </c>
      <c r="E56" s="48" t="s">
        <v>1123</v>
      </c>
      <c r="F56" s="48" t="s">
        <v>51</v>
      </c>
      <c r="G56" s="26" t="s">
        <v>1059</v>
      </c>
      <c r="H56" s="26" t="s">
        <v>1070</v>
      </c>
      <c r="I56" s="49" t="s">
        <v>52</v>
      </c>
      <c r="J56" s="34">
        <v>1179549</v>
      </c>
      <c r="K56" s="34">
        <v>0</v>
      </c>
      <c r="L56" s="34">
        <v>409000</v>
      </c>
      <c r="M56" s="34">
        <v>520520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/>
      <c r="X56" s="34"/>
      <c r="Y56" s="34"/>
      <c r="Z56" s="31">
        <f t="shared" si="2"/>
        <v>0</v>
      </c>
      <c r="AA56" s="228">
        <v>190000</v>
      </c>
      <c r="AB56" s="32">
        <v>2</v>
      </c>
      <c r="AC56" s="33">
        <v>44209</v>
      </c>
      <c r="AD56" s="36">
        <v>44249</v>
      </c>
      <c r="AE56" s="34"/>
      <c r="AF56" s="35"/>
      <c r="AG56" s="27"/>
      <c r="AH56" s="36"/>
      <c r="AI56" s="34"/>
      <c r="AJ56" s="32"/>
      <c r="AK56" s="27"/>
      <c r="AL56" s="36"/>
      <c r="AM56" s="34"/>
      <c r="AN56" s="32"/>
      <c r="AO56" s="27"/>
      <c r="AP56" s="36"/>
      <c r="AQ56" s="34"/>
      <c r="AR56" s="32"/>
      <c r="AS56" s="27"/>
      <c r="AT56" s="36"/>
      <c r="AU56" s="37">
        <f t="shared" si="0"/>
        <v>190000</v>
      </c>
      <c r="AV56" s="38">
        <f t="shared" si="1"/>
        <v>190000</v>
      </c>
    </row>
    <row r="57" spans="2:48" s="39" customFormat="1" ht="22.5">
      <c r="B57" s="97">
        <v>42</v>
      </c>
      <c r="C57" s="97" t="s">
        <v>39</v>
      </c>
      <c r="D57" s="23">
        <v>30437973</v>
      </c>
      <c r="E57" s="48" t="s">
        <v>1124</v>
      </c>
      <c r="F57" s="48" t="s">
        <v>47</v>
      </c>
      <c r="G57" s="26" t="s">
        <v>1059</v>
      </c>
      <c r="H57" s="26" t="s">
        <v>1125</v>
      </c>
      <c r="I57" s="49" t="s">
        <v>44</v>
      </c>
      <c r="J57" s="34">
        <v>84358</v>
      </c>
      <c r="K57" s="34">
        <v>12167</v>
      </c>
      <c r="L57" s="34">
        <v>0</v>
      </c>
      <c r="M57" s="34">
        <v>3600</v>
      </c>
      <c r="N57" s="34">
        <v>0</v>
      </c>
      <c r="O57" s="34">
        <v>0</v>
      </c>
      <c r="P57" s="34">
        <v>0</v>
      </c>
      <c r="Q57" s="34">
        <f>15242360/1000</f>
        <v>15242.36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/>
      <c r="X57" s="34"/>
      <c r="Y57" s="34"/>
      <c r="Z57" s="31">
        <f t="shared" si="2"/>
        <v>15242.36</v>
      </c>
      <c r="AA57" s="228">
        <v>68591</v>
      </c>
      <c r="AB57" s="32">
        <v>2</v>
      </c>
      <c r="AC57" s="33">
        <v>44209</v>
      </c>
      <c r="AD57" s="36">
        <v>44249</v>
      </c>
      <c r="AE57" s="34"/>
      <c r="AF57" s="35"/>
      <c r="AG57" s="27"/>
      <c r="AH57" s="36"/>
      <c r="AI57" s="34"/>
      <c r="AJ57" s="32"/>
      <c r="AK57" s="27"/>
      <c r="AL57" s="36"/>
      <c r="AM57" s="34"/>
      <c r="AN57" s="32"/>
      <c r="AO57" s="27"/>
      <c r="AP57" s="36"/>
      <c r="AQ57" s="34"/>
      <c r="AR57" s="32"/>
      <c r="AS57" s="27"/>
      <c r="AT57" s="36"/>
      <c r="AU57" s="37">
        <f t="shared" si="0"/>
        <v>68591</v>
      </c>
      <c r="AV57" s="38">
        <f t="shared" si="1"/>
        <v>53348.639999999999</v>
      </c>
    </row>
    <row r="58" spans="2:48" s="39" customFormat="1" ht="22.5">
      <c r="B58" s="97">
        <v>43</v>
      </c>
      <c r="C58" s="97" t="s">
        <v>39</v>
      </c>
      <c r="D58" s="23">
        <v>30460086</v>
      </c>
      <c r="E58" s="48" t="s">
        <v>1126</v>
      </c>
      <c r="F58" s="48" t="s">
        <v>51</v>
      </c>
      <c r="G58" s="26" t="s">
        <v>1059</v>
      </c>
      <c r="H58" s="26" t="s">
        <v>1127</v>
      </c>
      <c r="I58" s="49" t="s">
        <v>44</v>
      </c>
      <c r="J58" s="34">
        <v>1281879</v>
      </c>
      <c r="K58" s="34">
        <v>1223644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/>
      <c r="X58" s="34"/>
      <c r="Y58" s="34"/>
      <c r="Z58" s="31">
        <f t="shared" si="2"/>
        <v>0</v>
      </c>
      <c r="AA58" s="228">
        <v>25000</v>
      </c>
      <c r="AB58" s="32">
        <v>2</v>
      </c>
      <c r="AC58" s="33">
        <v>44209</v>
      </c>
      <c r="AD58" s="36">
        <v>44249</v>
      </c>
      <c r="AE58" s="34">
        <v>41000</v>
      </c>
      <c r="AF58" s="35">
        <v>7</v>
      </c>
      <c r="AG58" s="33">
        <v>44260</v>
      </c>
      <c r="AH58" s="36">
        <v>44287</v>
      </c>
      <c r="AI58" s="34"/>
      <c r="AJ58" s="32"/>
      <c r="AK58" s="27"/>
      <c r="AL58" s="36"/>
      <c r="AM58" s="34"/>
      <c r="AN58" s="32"/>
      <c r="AO58" s="27"/>
      <c r="AP58" s="36"/>
      <c r="AQ58" s="34"/>
      <c r="AR58" s="32"/>
      <c r="AS58" s="27"/>
      <c r="AT58" s="36"/>
      <c r="AU58" s="37">
        <f t="shared" si="0"/>
        <v>66000</v>
      </c>
      <c r="AV58" s="38">
        <f t="shared" si="1"/>
        <v>66000</v>
      </c>
    </row>
    <row r="59" spans="2:48" s="39" customFormat="1" ht="22.5">
      <c r="B59" s="97">
        <v>44</v>
      </c>
      <c r="C59" s="97" t="s">
        <v>39</v>
      </c>
      <c r="D59" s="23">
        <v>30461624</v>
      </c>
      <c r="E59" s="48" t="s">
        <v>1128</v>
      </c>
      <c r="F59" s="48" t="s">
        <v>47</v>
      </c>
      <c r="G59" s="26" t="s">
        <v>1059</v>
      </c>
      <c r="H59" s="26" t="s">
        <v>1129</v>
      </c>
      <c r="I59" s="49" t="s">
        <v>44</v>
      </c>
      <c r="J59" s="34">
        <v>43590</v>
      </c>
      <c r="K59" s="34">
        <v>12866</v>
      </c>
      <c r="L59" s="34">
        <v>3483</v>
      </c>
      <c r="M59" s="34">
        <v>0</v>
      </c>
      <c r="N59" s="34">
        <v>0</v>
      </c>
      <c r="O59" s="34">
        <v>0</v>
      </c>
      <c r="P59" s="34">
        <v>10800</v>
      </c>
      <c r="Q59" s="34">
        <v>0</v>
      </c>
      <c r="R59" s="34">
        <v>0</v>
      </c>
      <c r="S59" s="34">
        <v>7200</v>
      </c>
      <c r="T59" s="34">
        <v>0</v>
      </c>
      <c r="U59" s="34">
        <v>0</v>
      </c>
      <c r="V59" s="34">
        <v>7200</v>
      </c>
      <c r="W59" s="34"/>
      <c r="X59" s="34"/>
      <c r="Y59" s="34"/>
      <c r="Z59" s="31">
        <f t="shared" si="2"/>
        <v>25200</v>
      </c>
      <c r="AA59" s="228">
        <v>25200</v>
      </c>
      <c r="AB59" s="32">
        <v>2</v>
      </c>
      <c r="AC59" s="33">
        <v>44209</v>
      </c>
      <c r="AD59" s="36">
        <v>44249</v>
      </c>
      <c r="AE59" s="34"/>
      <c r="AF59" s="35"/>
      <c r="AG59" s="27"/>
      <c r="AH59" s="36"/>
      <c r="AI59" s="34"/>
      <c r="AJ59" s="32"/>
      <c r="AK59" s="27"/>
      <c r="AL59" s="36"/>
      <c r="AM59" s="34"/>
      <c r="AN59" s="32"/>
      <c r="AO59" s="27"/>
      <c r="AP59" s="36"/>
      <c r="AQ59" s="34"/>
      <c r="AR59" s="32"/>
      <c r="AS59" s="27"/>
      <c r="AT59" s="36"/>
      <c r="AU59" s="37">
        <f t="shared" si="0"/>
        <v>25200</v>
      </c>
      <c r="AV59" s="38">
        <f t="shared" si="1"/>
        <v>0</v>
      </c>
    </row>
    <row r="60" spans="2:48" s="39" customFormat="1" ht="33.75">
      <c r="B60" s="97">
        <v>45</v>
      </c>
      <c r="C60" s="97" t="s">
        <v>39</v>
      </c>
      <c r="D60" s="23">
        <v>30462076</v>
      </c>
      <c r="E60" s="48" t="s">
        <v>1130</v>
      </c>
      <c r="F60" s="48" t="s">
        <v>47</v>
      </c>
      <c r="G60" s="26" t="s">
        <v>1059</v>
      </c>
      <c r="H60" s="26" t="s">
        <v>1125</v>
      </c>
      <c r="I60" s="49" t="s">
        <v>44</v>
      </c>
      <c r="J60" s="34">
        <v>47975</v>
      </c>
      <c r="K60" s="34">
        <v>15086</v>
      </c>
      <c r="L60" s="34">
        <v>0</v>
      </c>
      <c r="M60" s="34">
        <v>0</v>
      </c>
      <c r="N60" s="34">
        <v>0</v>
      </c>
      <c r="O60" s="34">
        <v>0</v>
      </c>
      <c r="P60" s="34">
        <v>13170</v>
      </c>
      <c r="Q60" s="34">
        <v>0</v>
      </c>
      <c r="R60" s="34">
        <v>0</v>
      </c>
      <c r="S60" s="34">
        <v>0</v>
      </c>
      <c r="T60" s="34">
        <v>8780</v>
      </c>
      <c r="U60" s="34">
        <v>0</v>
      </c>
      <c r="V60" s="34">
        <v>0</v>
      </c>
      <c r="W60" s="34"/>
      <c r="X60" s="34"/>
      <c r="Y60" s="34"/>
      <c r="Z60" s="31">
        <f t="shared" si="2"/>
        <v>21950</v>
      </c>
      <c r="AA60" s="228">
        <v>32889</v>
      </c>
      <c r="AB60" s="32">
        <v>2</v>
      </c>
      <c r="AC60" s="33">
        <v>44209</v>
      </c>
      <c r="AD60" s="36">
        <v>44249</v>
      </c>
      <c r="AE60" s="34"/>
      <c r="AF60" s="35"/>
      <c r="AG60" s="27"/>
      <c r="AH60" s="36"/>
      <c r="AI60" s="34"/>
      <c r="AJ60" s="32"/>
      <c r="AK60" s="27"/>
      <c r="AL60" s="36"/>
      <c r="AM60" s="34"/>
      <c r="AN60" s="32"/>
      <c r="AO60" s="27"/>
      <c r="AP60" s="36"/>
      <c r="AQ60" s="34"/>
      <c r="AR60" s="32"/>
      <c r="AS60" s="27"/>
      <c r="AT60" s="36"/>
      <c r="AU60" s="37">
        <f t="shared" si="0"/>
        <v>32889</v>
      </c>
      <c r="AV60" s="38">
        <f t="shared" si="1"/>
        <v>10939</v>
      </c>
    </row>
    <row r="61" spans="2:48" s="39" customFormat="1" ht="22.5">
      <c r="B61" s="97">
        <v>46</v>
      </c>
      <c r="C61" s="97" t="s">
        <v>39</v>
      </c>
      <c r="D61" s="23">
        <v>30462674</v>
      </c>
      <c r="E61" s="48" t="s">
        <v>1131</v>
      </c>
      <c r="F61" s="48" t="s">
        <v>47</v>
      </c>
      <c r="G61" s="26" t="s">
        <v>1059</v>
      </c>
      <c r="H61" s="26" t="s">
        <v>1113</v>
      </c>
      <c r="I61" s="49" t="s">
        <v>44</v>
      </c>
      <c r="J61" s="34">
        <v>512298</v>
      </c>
      <c r="K61" s="34">
        <v>421731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17200</v>
      </c>
      <c r="W61" s="34"/>
      <c r="X61" s="34"/>
      <c r="Y61" s="34"/>
      <c r="Z61" s="31">
        <f t="shared" si="2"/>
        <v>17200</v>
      </c>
      <c r="AA61" s="228">
        <v>90567</v>
      </c>
      <c r="AB61" s="32">
        <v>2</v>
      </c>
      <c r="AC61" s="33">
        <v>44209</v>
      </c>
      <c r="AD61" s="36">
        <v>44249</v>
      </c>
      <c r="AE61" s="34"/>
      <c r="AF61" s="35"/>
      <c r="AG61" s="27"/>
      <c r="AH61" s="36"/>
      <c r="AI61" s="34"/>
      <c r="AJ61" s="32"/>
      <c r="AK61" s="27"/>
      <c r="AL61" s="36"/>
      <c r="AM61" s="34"/>
      <c r="AN61" s="32"/>
      <c r="AO61" s="27"/>
      <c r="AP61" s="36"/>
      <c r="AQ61" s="34"/>
      <c r="AR61" s="32"/>
      <c r="AS61" s="27"/>
      <c r="AT61" s="36"/>
      <c r="AU61" s="37">
        <f t="shared" si="0"/>
        <v>90567</v>
      </c>
      <c r="AV61" s="38">
        <f t="shared" si="1"/>
        <v>73367</v>
      </c>
    </row>
    <row r="62" spans="2:48" s="39" customFormat="1" ht="22.5">
      <c r="B62" s="97">
        <v>47</v>
      </c>
      <c r="C62" s="97" t="s">
        <v>39</v>
      </c>
      <c r="D62" s="23">
        <v>30475641</v>
      </c>
      <c r="E62" s="48" t="s">
        <v>1132</v>
      </c>
      <c r="F62" s="48" t="s">
        <v>47</v>
      </c>
      <c r="G62" s="26" t="s">
        <v>1059</v>
      </c>
      <c r="H62" s="26" t="s">
        <v>1133</v>
      </c>
      <c r="I62" s="49" t="s">
        <v>52</v>
      </c>
      <c r="J62" s="34">
        <v>105095</v>
      </c>
      <c r="K62" s="34">
        <v>1621</v>
      </c>
      <c r="L62" s="34">
        <v>58555</v>
      </c>
      <c r="M62" s="34">
        <v>1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4"/>
      <c r="X62" s="34"/>
      <c r="Y62" s="34"/>
      <c r="Z62" s="31">
        <f t="shared" si="2"/>
        <v>0</v>
      </c>
      <c r="AA62" s="228">
        <v>40000</v>
      </c>
      <c r="AB62" s="32">
        <v>2</v>
      </c>
      <c r="AC62" s="33">
        <v>44209</v>
      </c>
      <c r="AD62" s="36">
        <v>44249</v>
      </c>
      <c r="AE62" s="34"/>
      <c r="AF62" s="35"/>
      <c r="AG62" s="27"/>
      <c r="AH62" s="36"/>
      <c r="AI62" s="34"/>
      <c r="AJ62" s="32"/>
      <c r="AK62" s="27"/>
      <c r="AL62" s="36"/>
      <c r="AM62" s="34"/>
      <c r="AN62" s="32"/>
      <c r="AO62" s="27"/>
      <c r="AP62" s="36"/>
      <c r="AQ62" s="34"/>
      <c r="AR62" s="32"/>
      <c r="AS62" s="27"/>
      <c r="AT62" s="36"/>
      <c r="AU62" s="37">
        <f t="shared" si="0"/>
        <v>40000</v>
      </c>
      <c r="AV62" s="38">
        <f t="shared" si="1"/>
        <v>40000</v>
      </c>
    </row>
    <row r="63" spans="2:48" s="39" customFormat="1" ht="22.5">
      <c r="B63" s="97">
        <v>48</v>
      </c>
      <c r="C63" s="97" t="s">
        <v>39</v>
      </c>
      <c r="D63" s="23">
        <v>30485165</v>
      </c>
      <c r="E63" s="48" t="s">
        <v>1134</v>
      </c>
      <c r="F63" s="48" t="s">
        <v>51</v>
      </c>
      <c r="G63" s="26" t="s">
        <v>1059</v>
      </c>
      <c r="H63" s="26" t="s">
        <v>1093</v>
      </c>
      <c r="I63" s="49" t="s">
        <v>52</v>
      </c>
      <c r="J63" s="34">
        <v>896775</v>
      </c>
      <c r="K63" s="34">
        <v>6421</v>
      </c>
      <c r="L63" s="34">
        <v>827340</v>
      </c>
      <c r="M63" s="34">
        <v>374128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/>
      <c r="X63" s="34"/>
      <c r="Y63" s="34"/>
      <c r="Z63" s="31">
        <f t="shared" si="2"/>
        <v>0</v>
      </c>
      <c r="AA63" s="228">
        <v>266226</v>
      </c>
      <c r="AB63" s="32">
        <v>2</v>
      </c>
      <c r="AC63" s="33">
        <v>44209</v>
      </c>
      <c r="AD63" s="36">
        <v>44249</v>
      </c>
      <c r="AE63" s="34">
        <v>-250000</v>
      </c>
      <c r="AF63" s="35">
        <v>27</v>
      </c>
      <c r="AG63" s="33">
        <v>44421</v>
      </c>
      <c r="AH63" s="36">
        <v>44438</v>
      </c>
      <c r="AI63" s="34"/>
      <c r="AJ63" s="32"/>
      <c r="AK63" s="27"/>
      <c r="AL63" s="36"/>
      <c r="AM63" s="34"/>
      <c r="AN63" s="32"/>
      <c r="AO63" s="27"/>
      <c r="AP63" s="36"/>
      <c r="AQ63" s="34"/>
      <c r="AR63" s="32"/>
      <c r="AS63" s="27"/>
      <c r="AT63" s="36"/>
      <c r="AU63" s="37">
        <f t="shared" si="0"/>
        <v>16226</v>
      </c>
      <c r="AV63" s="38">
        <f t="shared" si="1"/>
        <v>16226</v>
      </c>
    </row>
    <row r="64" spans="2:48" s="39" customFormat="1" ht="33.75">
      <c r="B64" s="97">
        <v>49</v>
      </c>
      <c r="C64" s="97" t="s">
        <v>39</v>
      </c>
      <c r="D64" s="23">
        <v>30485246</v>
      </c>
      <c r="E64" s="48" t="s">
        <v>1135</v>
      </c>
      <c r="F64" s="48" t="s">
        <v>47</v>
      </c>
      <c r="G64" s="26" t="s">
        <v>1059</v>
      </c>
      <c r="H64" s="26" t="s">
        <v>1136</v>
      </c>
      <c r="I64" s="49" t="s">
        <v>52</v>
      </c>
      <c r="J64" s="34">
        <v>735100</v>
      </c>
      <c r="K64" s="34">
        <v>0</v>
      </c>
      <c r="L64" s="34">
        <v>700243</v>
      </c>
      <c r="M64" s="34">
        <v>408839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4458</v>
      </c>
      <c r="U64" s="34">
        <v>2000</v>
      </c>
      <c r="V64" s="34">
        <v>0</v>
      </c>
      <c r="W64" s="34"/>
      <c r="X64" s="34"/>
      <c r="Y64" s="34"/>
      <c r="Z64" s="31">
        <f t="shared" si="2"/>
        <v>6458</v>
      </c>
      <c r="AA64" s="228">
        <v>326261</v>
      </c>
      <c r="AB64" s="32">
        <v>2</v>
      </c>
      <c r="AC64" s="33">
        <v>44209</v>
      </c>
      <c r="AD64" s="36">
        <v>44249</v>
      </c>
      <c r="AE64" s="34">
        <v>-290750</v>
      </c>
      <c r="AF64" s="32">
        <v>26</v>
      </c>
      <c r="AG64" s="33">
        <v>44396</v>
      </c>
      <c r="AH64" s="36">
        <v>44420</v>
      </c>
      <c r="AI64" s="34"/>
      <c r="AJ64" s="32"/>
      <c r="AK64" s="27"/>
      <c r="AL64" s="36"/>
      <c r="AM64" s="34"/>
      <c r="AN64" s="32"/>
      <c r="AO64" s="27"/>
      <c r="AP64" s="36"/>
      <c r="AQ64" s="34"/>
      <c r="AR64" s="32"/>
      <c r="AS64" s="27"/>
      <c r="AT64" s="36"/>
      <c r="AU64" s="37">
        <f t="shared" si="0"/>
        <v>35511</v>
      </c>
      <c r="AV64" s="38">
        <f t="shared" si="1"/>
        <v>29053</v>
      </c>
    </row>
    <row r="65" spans="2:48" s="39" customFormat="1" ht="22.5">
      <c r="B65" s="97">
        <v>50</v>
      </c>
      <c r="C65" s="97" t="s">
        <v>39</v>
      </c>
      <c r="D65" s="23">
        <v>30485723</v>
      </c>
      <c r="E65" s="48" t="s">
        <v>1137</v>
      </c>
      <c r="F65" s="48" t="s">
        <v>51</v>
      </c>
      <c r="G65" s="26" t="s">
        <v>1059</v>
      </c>
      <c r="H65" s="26" t="s">
        <v>1099</v>
      </c>
      <c r="I65" s="49" t="s">
        <v>44</v>
      </c>
      <c r="J65" s="34">
        <v>153288</v>
      </c>
      <c r="K65" s="34">
        <v>96507</v>
      </c>
      <c r="L65" s="34">
        <v>0</v>
      </c>
      <c r="M65" s="34">
        <v>0</v>
      </c>
      <c r="N65" s="34">
        <v>0</v>
      </c>
      <c r="O65" s="34">
        <v>32227.534</v>
      </c>
      <c r="P65" s="34">
        <v>11627.496999999999</v>
      </c>
      <c r="Q65" s="34">
        <v>0</v>
      </c>
      <c r="R65" s="34">
        <f>7390334/1000</f>
        <v>7390.3339999999998</v>
      </c>
      <c r="S65" s="34">
        <v>0</v>
      </c>
      <c r="T65" s="34">
        <v>0</v>
      </c>
      <c r="U65" s="34">
        <v>0</v>
      </c>
      <c r="V65" s="34">
        <v>0</v>
      </c>
      <c r="W65" s="34"/>
      <c r="X65" s="34"/>
      <c r="Y65" s="34"/>
      <c r="Z65" s="31">
        <f t="shared" si="2"/>
        <v>51245.365000000005</v>
      </c>
      <c r="AA65" s="228">
        <v>56781</v>
      </c>
      <c r="AB65" s="32">
        <v>2</v>
      </c>
      <c r="AC65" s="33">
        <v>44209</v>
      </c>
      <c r="AD65" s="36">
        <v>44249</v>
      </c>
      <c r="AE65" s="34"/>
      <c r="AF65" s="35"/>
      <c r="AG65" s="27"/>
      <c r="AH65" s="36"/>
      <c r="AI65" s="34"/>
      <c r="AJ65" s="32"/>
      <c r="AK65" s="27"/>
      <c r="AL65" s="36"/>
      <c r="AM65" s="34"/>
      <c r="AN65" s="32"/>
      <c r="AO65" s="27"/>
      <c r="AP65" s="36"/>
      <c r="AQ65" s="34"/>
      <c r="AR65" s="32"/>
      <c r="AS65" s="27"/>
      <c r="AT65" s="36"/>
      <c r="AU65" s="37">
        <f t="shared" si="0"/>
        <v>56781</v>
      </c>
      <c r="AV65" s="38">
        <f t="shared" si="1"/>
        <v>5535.6349999999948</v>
      </c>
    </row>
    <row r="66" spans="2:48" s="39" customFormat="1" ht="22.5">
      <c r="B66" s="97">
        <v>51</v>
      </c>
      <c r="C66" s="97" t="s">
        <v>39</v>
      </c>
      <c r="D66" s="23">
        <v>40000189</v>
      </c>
      <c r="E66" s="48" t="s">
        <v>1138</v>
      </c>
      <c r="F66" s="48" t="s">
        <v>51</v>
      </c>
      <c r="G66" s="26" t="s">
        <v>1059</v>
      </c>
      <c r="H66" s="26" t="s">
        <v>1139</v>
      </c>
      <c r="I66" s="49" t="s">
        <v>44</v>
      </c>
      <c r="J66" s="34">
        <v>272856</v>
      </c>
      <c r="K66" s="34">
        <v>252623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34">
        <v>0</v>
      </c>
      <c r="W66" s="34"/>
      <c r="X66" s="34"/>
      <c r="Y66" s="34"/>
      <c r="Z66" s="31">
        <f t="shared" si="2"/>
        <v>0</v>
      </c>
      <c r="AA66" s="228">
        <v>10000</v>
      </c>
      <c r="AB66" s="32">
        <v>2</v>
      </c>
      <c r="AC66" s="33">
        <v>44209</v>
      </c>
      <c r="AD66" s="36">
        <v>44249</v>
      </c>
      <c r="AE66" s="34"/>
      <c r="AF66" s="35"/>
      <c r="AG66" s="27"/>
      <c r="AH66" s="36"/>
      <c r="AI66" s="34"/>
      <c r="AJ66" s="32"/>
      <c r="AK66" s="27"/>
      <c r="AL66" s="36"/>
      <c r="AM66" s="34"/>
      <c r="AN66" s="32"/>
      <c r="AO66" s="27"/>
      <c r="AP66" s="36"/>
      <c r="AQ66" s="34"/>
      <c r="AR66" s="32"/>
      <c r="AS66" s="27"/>
      <c r="AT66" s="36"/>
      <c r="AU66" s="37">
        <f t="shared" si="0"/>
        <v>10000</v>
      </c>
      <c r="AV66" s="38">
        <f t="shared" si="1"/>
        <v>10000</v>
      </c>
    </row>
    <row r="67" spans="2:48" s="39" customFormat="1" ht="22.5">
      <c r="B67" s="97">
        <v>52</v>
      </c>
      <c r="C67" s="97" t="s">
        <v>39</v>
      </c>
      <c r="D67" s="23">
        <v>40001803</v>
      </c>
      <c r="E67" s="48" t="s">
        <v>1140</v>
      </c>
      <c r="F67" s="48" t="s">
        <v>51</v>
      </c>
      <c r="G67" s="26" t="s">
        <v>1059</v>
      </c>
      <c r="H67" s="26" t="s">
        <v>1141</v>
      </c>
      <c r="I67" s="49" t="s">
        <v>44</v>
      </c>
      <c r="J67" s="34">
        <v>3973887</v>
      </c>
      <c r="K67" s="34">
        <v>16953</v>
      </c>
      <c r="L67" s="34">
        <v>3100226</v>
      </c>
      <c r="M67" s="34">
        <v>2102655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f>20287471/1000</f>
        <v>20287.471000000001</v>
      </c>
      <c r="T67" s="34">
        <v>108494</v>
      </c>
      <c r="U67" s="34">
        <v>143653</v>
      </c>
      <c r="V67" s="34">
        <v>132241</v>
      </c>
      <c r="W67" s="34"/>
      <c r="X67" s="34"/>
      <c r="Y67" s="34"/>
      <c r="Z67" s="31">
        <f t="shared" si="2"/>
        <v>404675.47100000002</v>
      </c>
      <c r="AA67" s="228">
        <v>800000</v>
      </c>
      <c r="AB67" s="32">
        <v>2</v>
      </c>
      <c r="AC67" s="33">
        <v>44209</v>
      </c>
      <c r="AD67" s="36">
        <v>44249</v>
      </c>
      <c r="AE67" s="34"/>
      <c r="AF67" s="35"/>
      <c r="AG67" s="27"/>
      <c r="AH67" s="36"/>
      <c r="AI67" s="34"/>
      <c r="AJ67" s="32"/>
      <c r="AK67" s="27"/>
      <c r="AL67" s="36"/>
      <c r="AM67" s="34"/>
      <c r="AN67" s="32"/>
      <c r="AO67" s="27"/>
      <c r="AP67" s="36"/>
      <c r="AQ67" s="34"/>
      <c r="AR67" s="32"/>
      <c r="AS67" s="27"/>
      <c r="AT67" s="36"/>
      <c r="AU67" s="37">
        <f t="shared" si="0"/>
        <v>800000</v>
      </c>
      <c r="AV67" s="38">
        <f t="shared" si="1"/>
        <v>395324.52899999998</v>
      </c>
    </row>
    <row r="68" spans="2:48" s="39" customFormat="1" ht="22.5">
      <c r="B68" s="97">
        <v>53</v>
      </c>
      <c r="C68" s="97" t="s">
        <v>39</v>
      </c>
      <c r="D68" s="23">
        <v>30078105</v>
      </c>
      <c r="E68" s="48" t="s">
        <v>1142</v>
      </c>
      <c r="F68" s="48" t="s">
        <v>51</v>
      </c>
      <c r="G68" s="26" t="s">
        <v>1059</v>
      </c>
      <c r="H68" s="26" t="s">
        <v>1075</v>
      </c>
      <c r="I68" s="49" t="s">
        <v>52</v>
      </c>
      <c r="J68" s="34">
        <v>2696505</v>
      </c>
      <c r="K68" s="34">
        <v>14348</v>
      </c>
      <c r="L68" s="34">
        <v>2613512</v>
      </c>
      <c r="M68" s="34">
        <v>2146110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/>
      <c r="X68" s="34"/>
      <c r="Y68" s="34"/>
      <c r="Z68" s="31">
        <f t="shared" si="2"/>
        <v>0</v>
      </c>
      <c r="AA68" s="228">
        <v>1</v>
      </c>
      <c r="AB68" s="32">
        <v>3</v>
      </c>
      <c r="AC68" s="33">
        <v>44210</v>
      </c>
      <c r="AD68" s="36">
        <v>44237</v>
      </c>
      <c r="AE68" s="34"/>
      <c r="AF68" s="35"/>
      <c r="AG68" s="27"/>
      <c r="AH68" s="36"/>
      <c r="AI68" s="34"/>
      <c r="AJ68" s="32"/>
      <c r="AK68" s="27"/>
      <c r="AL68" s="36"/>
      <c r="AM68" s="34"/>
      <c r="AN68" s="32"/>
      <c r="AO68" s="27"/>
      <c r="AP68" s="36"/>
      <c r="AQ68" s="34"/>
      <c r="AR68" s="32"/>
      <c r="AS68" s="27"/>
      <c r="AT68" s="36"/>
      <c r="AU68" s="37">
        <f t="shared" si="0"/>
        <v>1</v>
      </c>
      <c r="AV68" s="38">
        <f t="shared" si="1"/>
        <v>1</v>
      </c>
    </row>
    <row r="69" spans="2:48" s="39" customFormat="1">
      <c r="B69" s="97">
        <v>54</v>
      </c>
      <c r="C69" s="97" t="s">
        <v>39</v>
      </c>
      <c r="D69" s="23">
        <v>30110287</v>
      </c>
      <c r="E69" s="48" t="s">
        <v>1143</v>
      </c>
      <c r="F69" s="48" t="s">
        <v>47</v>
      </c>
      <c r="G69" s="26" t="s">
        <v>1059</v>
      </c>
      <c r="H69" s="26" t="s">
        <v>1067</v>
      </c>
      <c r="I69" s="49" t="s">
        <v>44</v>
      </c>
      <c r="J69" s="34">
        <v>998073</v>
      </c>
      <c r="K69" s="34">
        <v>738359</v>
      </c>
      <c r="L69" s="34">
        <v>91812</v>
      </c>
      <c r="M69" s="34">
        <v>59714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/>
      <c r="X69" s="34"/>
      <c r="Y69" s="34"/>
      <c r="Z69" s="31">
        <f t="shared" si="2"/>
        <v>0</v>
      </c>
      <c r="AA69" s="228">
        <v>10000</v>
      </c>
      <c r="AB69" s="32">
        <v>3</v>
      </c>
      <c r="AC69" s="33">
        <v>44210</v>
      </c>
      <c r="AD69" s="36">
        <v>44237</v>
      </c>
      <c r="AE69" s="34"/>
      <c r="AF69" s="35"/>
      <c r="AG69" s="27"/>
      <c r="AH69" s="36"/>
      <c r="AI69" s="34"/>
      <c r="AJ69" s="32"/>
      <c r="AK69" s="27"/>
      <c r="AL69" s="36"/>
      <c r="AM69" s="34"/>
      <c r="AN69" s="32"/>
      <c r="AO69" s="27"/>
      <c r="AP69" s="36"/>
      <c r="AQ69" s="34"/>
      <c r="AR69" s="32"/>
      <c r="AS69" s="27"/>
      <c r="AT69" s="36"/>
      <c r="AU69" s="37">
        <f t="shared" si="0"/>
        <v>10000</v>
      </c>
      <c r="AV69" s="38">
        <f t="shared" si="1"/>
        <v>10000</v>
      </c>
    </row>
    <row r="70" spans="2:48" s="39" customFormat="1" ht="22.5">
      <c r="B70" s="97">
        <v>55</v>
      </c>
      <c r="C70" s="97" t="s">
        <v>39</v>
      </c>
      <c r="D70" s="23">
        <v>30130356</v>
      </c>
      <c r="E70" s="48" t="s">
        <v>1144</v>
      </c>
      <c r="F70" s="48" t="s">
        <v>47</v>
      </c>
      <c r="G70" s="26" t="s">
        <v>1059</v>
      </c>
      <c r="H70" s="26" t="s">
        <v>1145</v>
      </c>
      <c r="I70" s="49" t="s">
        <v>52</v>
      </c>
      <c r="J70" s="34">
        <v>145139</v>
      </c>
      <c r="K70" s="34">
        <v>1573</v>
      </c>
      <c r="L70" s="34">
        <v>111372</v>
      </c>
      <c r="M70" s="34">
        <v>63566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28040</v>
      </c>
      <c r="U70" s="34">
        <v>0</v>
      </c>
      <c r="V70" s="34">
        <v>0</v>
      </c>
      <c r="W70" s="34"/>
      <c r="X70" s="34"/>
      <c r="Y70" s="34"/>
      <c r="Z70" s="31">
        <f t="shared" si="2"/>
        <v>28040</v>
      </c>
      <c r="AA70" s="228">
        <v>29000</v>
      </c>
      <c r="AB70" s="32">
        <v>3</v>
      </c>
      <c r="AC70" s="33">
        <v>44210</v>
      </c>
      <c r="AD70" s="36">
        <v>44237</v>
      </c>
      <c r="AE70" s="34"/>
      <c r="AF70" s="35"/>
      <c r="AG70" s="27"/>
      <c r="AH70" s="36"/>
      <c r="AI70" s="34"/>
      <c r="AJ70" s="32"/>
      <c r="AK70" s="27"/>
      <c r="AL70" s="36"/>
      <c r="AM70" s="34"/>
      <c r="AN70" s="32"/>
      <c r="AO70" s="27"/>
      <c r="AP70" s="36"/>
      <c r="AQ70" s="34"/>
      <c r="AR70" s="32"/>
      <c r="AS70" s="27"/>
      <c r="AT70" s="36"/>
      <c r="AU70" s="37">
        <f t="shared" si="0"/>
        <v>29000</v>
      </c>
      <c r="AV70" s="38">
        <f t="shared" si="1"/>
        <v>960</v>
      </c>
    </row>
    <row r="71" spans="2:48" s="39" customFormat="1" ht="33.75">
      <c r="B71" s="97">
        <v>20</v>
      </c>
      <c r="C71" s="97" t="s">
        <v>39</v>
      </c>
      <c r="D71" s="23">
        <v>40002328</v>
      </c>
      <c r="E71" s="48" t="s">
        <v>1146</v>
      </c>
      <c r="F71" s="48" t="s">
        <v>51</v>
      </c>
      <c r="G71" s="26" t="s">
        <v>1059</v>
      </c>
      <c r="H71" s="26" t="s">
        <v>1147</v>
      </c>
      <c r="I71" s="49" t="s">
        <v>44</v>
      </c>
      <c r="J71" s="34">
        <v>1782095</v>
      </c>
      <c r="K71" s="34">
        <v>1165828</v>
      </c>
      <c r="L71" s="34">
        <v>0</v>
      </c>
      <c r="M71" s="34">
        <v>0</v>
      </c>
      <c r="N71" s="34">
        <v>162011.29399999999</v>
      </c>
      <c r="O71" s="34">
        <v>305641.06599999999</v>
      </c>
      <c r="P71" s="34">
        <v>13624.324000000001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/>
      <c r="X71" s="34"/>
      <c r="Y71" s="34"/>
      <c r="Z71" s="31">
        <f t="shared" si="2"/>
        <v>481276.68400000001</v>
      </c>
      <c r="AA71" s="34">
        <v>616267</v>
      </c>
      <c r="AB71" s="32">
        <v>1</v>
      </c>
      <c r="AC71" s="33">
        <v>44201</v>
      </c>
      <c r="AD71" s="36">
        <v>44229</v>
      </c>
      <c r="AE71" s="34">
        <v>-134989</v>
      </c>
      <c r="AF71" s="35">
        <v>11</v>
      </c>
      <c r="AG71" s="33">
        <v>44307</v>
      </c>
      <c r="AH71" s="36">
        <v>44328</v>
      </c>
      <c r="AI71" s="34"/>
      <c r="AJ71" s="32"/>
      <c r="AK71" s="27"/>
      <c r="AL71" s="36"/>
      <c r="AM71" s="34"/>
      <c r="AN71" s="32"/>
      <c r="AO71" s="27"/>
      <c r="AP71" s="36"/>
      <c r="AQ71" s="34"/>
      <c r="AR71" s="32"/>
      <c r="AS71" s="27"/>
      <c r="AT71" s="36"/>
      <c r="AU71" s="37">
        <f t="shared" si="0"/>
        <v>481278</v>
      </c>
      <c r="AV71" s="38">
        <f t="shared" si="1"/>
        <v>1.3159999999916181</v>
      </c>
    </row>
    <row r="72" spans="2:48" s="39" customFormat="1" ht="22.5">
      <c r="B72" s="97">
        <v>57</v>
      </c>
      <c r="C72" s="97" t="s">
        <v>39</v>
      </c>
      <c r="D72" s="23">
        <v>30277573</v>
      </c>
      <c r="E72" s="48" t="s">
        <v>1148</v>
      </c>
      <c r="F72" s="48" t="s">
        <v>51</v>
      </c>
      <c r="G72" s="26" t="s">
        <v>1059</v>
      </c>
      <c r="H72" s="26" t="s">
        <v>1149</v>
      </c>
      <c r="I72" s="49" t="s">
        <v>52</v>
      </c>
      <c r="J72" s="34">
        <v>1307477</v>
      </c>
      <c r="K72" s="34">
        <v>0</v>
      </c>
      <c r="L72" s="34">
        <v>1232395</v>
      </c>
      <c r="M72" s="34">
        <v>1079115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/>
      <c r="X72" s="34"/>
      <c r="Y72" s="34"/>
      <c r="Z72" s="31">
        <f t="shared" si="2"/>
        <v>0</v>
      </c>
      <c r="AA72" s="228">
        <v>8056</v>
      </c>
      <c r="AB72" s="32">
        <v>3</v>
      </c>
      <c r="AC72" s="33">
        <v>44210</v>
      </c>
      <c r="AD72" s="36">
        <v>44237</v>
      </c>
      <c r="AE72" s="34"/>
      <c r="AF72" s="35"/>
      <c r="AG72" s="27"/>
      <c r="AH72" s="36"/>
      <c r="AI72" s="34"/>
      <c r="AJ72" s="32"/>
      <c r="AK72" s="27"/>
      <c r="AL72" s="36"/>
      <c r="AM72" s="34"/>
      <c r="AN72" s="32"/>
      <c r="AO72" s="27"/>
      <c r="AP72" s="36"/>
      <c r="AQ72" s="34"/>
      <c r="AR72" s="32"/>
      <c r="AS72" s="27"/>
      <c r="AT72" s="36"/>
      <c r="AU72" s="37">
        <f t="shared" si="0"/>
        <v>8056</v>
      </c>
      <c r="AV72" s="38">
        <f t="shared" si="1"/>
        <v>8056</v>
      </c>
    </row>
    <row r="73" spans="2:48" s="39" customFormat="1" ht="22.5">
      <c r="B73" s="97">
        <v>58</v>
      </c>
      <c r="C73" s="97" t="s">
        <v>39</v>
      </c>
      <c r="D73" s="23">
        <v>30474255</v>
      </c>
      <c r="E73" s="48" t="s">
        <v>1150</v>
      </c>
      <c r="F73" s="48" t="s">
        <v>47</v>
      </c>
      <c r="G73" s="26" t="s">
        <v>1059</v>
      </c>
      <c r="H73" s="26" t="s">
        <v>1139</v>
      </c>
      <c r="I73" s="49" t="s">
        <v>52</v>
      </c>
      <c r="J73" s="34">
        <v>84867</v>
      </c>
      <c r="K73" s="34">
        <v>0</v>
      </c>
      <c r="L73" s="34">
        <v>66799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/>
      <c r="X73" s="34"/>
      <c r="Y73" s="34"/>
      <c r="Z73" s="31">
        <f t="shared" si="2"/>
        <v>0</v>
      </c>
      <c r="AA73" s="228">
        <v>16200</v>
      </c>
      <c r="AB73" s="32">
        <v>3</v>
      </c>
      <c r="AC73" s="33">
        <v>44210</v>
      </c>
      <c r="AD73" s="36">
        <v>44237</v>
      </c>
      <c r="AE73" s="34"/>
      <c r="AF73" s="35"/>
      <c r="AG73" s="27"/>
      <c r="AH73" s="36"/>
      <c r="AI73" s="34"/>
      <c r="AJ73" s="32"/>
      <c r="AK73" s="27"/>
      <c r="AL73" s="36"/>
      <c r="AM73" s="34"/>
      <c r="AN73" s="32"/>
      <c r="AO73" s="27"/>
      <c r="AP73" s="36"/>
      <c r="AQ73" s="34"/>
      <c r="AR73" s="32"/>
      <c r="AS73" s="27"/>
      <c r="AT73" s="36"/>
      <c r="AU73" s="37">
        <f t="shared" si="0"/>
        <v>16200</v>
      </c>
      <c r="AV73" s="38">
        <f t="shared" si="1"/>
        <v>16200</v>
      </c>
    </row>
    <row r="74" spans="2:48" s="39" customFormat="1" ht="33.75">
      <c r="B74" s="97">
        <v>59</v>
      </c>
      <c r="C74" s="97" t="s">
        <v>39</v>
      </c>
      <c r="D74" s="23">
        <v>40002317</v>
      </c>
      <c r="E74" s="48" t="s">
        <v>1151</v>
      </c>
      <c r="F74" s="48" t="s">
        <v>51</v>
      </c>
      <c r="G74" s="26" t="s">
        <v>1059</v>
      </c>
      <c r="H74" s="26" t="s">
        <v>1152</v>
      </c>
      <c r="I74" s="49" t="s">
        <v>44</v>
      </c>
      <c r="J74" s="34">
        <v>1728887</v>
      </c>
      <c r="K74" s="34">
        <v>1384141</v>
      </c>
      <c r="L74" s="34">
        <v>208629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304880</v>
      </c>
      <c r="W74" s="34"/>
      <c r="X74" s="34"/>
      <c r="Y74" s="34"/>
      <c r="Z74" s="31">
        <f t="shared" si="2"/>
        <v>304880</v>
      </c>
      <c r="AA74" s="228">
        <v>305000</v>
      </c>
      <c r="AB74" s="32">
        <v>3</v>
      </c>
      <c r="AC74" s="33">
        <v>44210</v>
      </c>
      <c r="AD74" s="36">
        <v>44237</v>
      </c>
      <c r="AE74" s="34"/>
      <c r="AF74" s="35"/>
      <c r="AG74" s="27"/>
      <c r="AH74" s="36"/>
      <c r="AI74" s="34"/>
      <c r="AJ74" s="32"/>
      <c r="AK74" s="27"/>
      <c r="AL74" s="36"/>
      <c r="AM74" s="34"/>
      <c r="AN74" s="32"/>
      <c r="AO74" s="27"/>
      <c r="AP74" s="36"/>
      <c r="AQ74" s="34"/>
      <c r="AR74" s="32"/>
      <c r="AS74" s="27"/>
      <c r="AT74" s="36"/>
      <c r="AU74" s="37">
        <f t="shared" si="0"/>
        <v>305000</v>
      </c>
      <c r="AV74" s="38">
        <f t="shared" si="1"/>
        <v>120</v>
      </c>
    </row>
    <row r="75" spans="2:48" s="39" customFormat="1" ht="33.75">
      <c r="B75" s="97">
        <v>60</v>
      </c>
      <c r="C75" s="97" t="s">
        <v>39</v>
      </c>
      <c r="D75" s="23">
        <v>40002326</v>
      </c>
      <c r="E75" s="48" t="s">
        <v>1153</v>
      </c>
      <c r="F75" s="48" t="s">
        <v>51</v>
      </c>
      <c r="G75" s="26" t="s">
        <v>1059</v>
      </c>
      <c r="H75" s="26" t="s">
        <v>1097</v>
      </c>
      <c r="I75" s="49" t="s">
        <v>44</v>
      </c>
      <c r="J75" s="34">
        <v>1586569</v>
      </c>
      <c r="K75" s="34">
        <v>1101875</v>
      </c>
      <c r="L75" s="34">
        <v>164271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/>
      <c r="X75" s="34"/>
      <c r="Y75" s="34"/>
      <c r="Z75" s="31">
        <f t="shared" si="2"/>
        <v>0</v>
      </c>
      <c r="AA75" s="228">
        <v>444000</v>
      </c>
      <c r="AB75" s="32">
        <v>3</v>
      </c>
      <c r="AC75" s="33">
        <v>44210</v>
      </c>
      <c r="AD75" s="36">
        <v>44237</v>
      </c>
      <c r="AE75" s="34"/>
      <c r="AF75" s="35"/>
      <c r="AG75" s="27"/>
      <c r="AH75" s="36"/>
      <c r="AI75" s="34"/>
      <c r="AJ75" s="32"/>
      <c r="AK75" s="27"/>
      <c r="AL75" s="36"/>
      <c r="AM75" s="34"/>
      <c r="AN75" s="32"/>
      <c r="AO75" s="27"/>
      <c r="AP75" s="36"/>
      <c r="AQ75" s="34"/>
      <c r="AR75" s="32"/>
      <c r="AS75" s="27"/>
      <c r="AT75" s="36"/>
      <c r="AU75" s="37">
        <f t="shared" si="0"/>
        <v>444000</v>
      </c>
      <c r="AV75" s="38">
        <f t="shared" si="1"/>
        <v>444000</v>
      </c>
    </row>
    <row r="76" spans="2:48" s="39" customFormat="1" ht="22.5">
      <c r="B76" s="97">
        <v>61</v>
      </c>
      <c r="C76" s="97" t="s">
        <v>39</v>
      </c>
      <c r="D76" s="23">
        <v>40002337</v>
      </c>
      <c r="E76" s="48" t="s">
        <v>1154</v>
      </c>
      <c r="F76" s="48" t="s">
        <v>51</v>
      </c>
      <c r="G76" s="26" t="s">
        <v>1059</v>
      </c>
      <c r="H76" s="26" t="s">
        <v>1152</v>
      </c>
      <c r="I76" s="49" t="s">
        <v>52</v>
      </c>
      <c r="J76" s="34">
        <v>705752</v>
      </c>
      <c r="K76" s="34">
        <v>4721</v>
      </c>
      <c r="L76" s="34">
        <v>38557</v>
      </c>
      <c r="M76" s="34">
        <v>1031</v>
      </c>
      <c r="N76" s="34">
        <v>0</v>
      </c>
      <c r="O76" s="34">
        <v>450489.75199999998</v>
      </c>
      <c r="P76" s="34">
        <v>160710.97399999999</v>
      </c>
      <c r="Q76" s="34">
        <v>0</v>
      </c>
      <c r="R76" s="34">
        <f>137484577/1000</f>
        <v>137484.57699999999</v>
      </c>
      <c r="S76" s="34">
        <v>0</v>
      </c>
      <c r="T76" s="34">
        <v>0</v>
      </c>
      <c r="U76" s="34">
        <v>4845</v>
      </c>
      <c r="V76" s="34">
        <v>0</v>
      </c>
      <c r="W76" s="34"/>
      <c r="X76" s="34"/>
      <c r="Y76" s="34"/>
      <c r="Z76" s="31">
        <f t="shared" si="2"/>
        <v>753530.30300000007</v>
      </c>
      <c r="AA76" s="228">
        <v>542000</v>
      </c>
      <c r="AB76" s="32">
        <v>3</v>
      </c>
      <c r="AC76" s="33">
        <v>44210</v>
      </c>
      <c r="AD76" s="36">
        <v>44237</v>
      </c>
      <c r="AE76" s="34">
        <v>143858</v>
      </c>
      <c r="AF76" s="35">
        <v>7</v>
      </c>
      <c r="AG76" s="33">
        <v>44260</v>
      </c>
      <c r="AH76" s="36">
        <v>44287</v>
      </c>
      <c r="AI76" s="34">
        <v>69277</v>
      </c>
      <c r="AJ76" s="32">
        <v>14</v>
      </c>
      <c r="AK76" s="33">
        <v>44321</v>
      </c>
      <c r="AL76" s="36">
        <v>44340</v>
      </c>
      <c r="AM76" s="34"/>
      <c r="AN76" s="32"/>
      <c r="AO76" s="27"/>
      <c r="AP76" s="36"/>
      <c r="AQ76" s="34"/>
      <c r="AR76" s="32"/>
      <c r="AS76" s="27"/>
      <c r="AT76" s="36"/>
      <c r="AU76" s="37">
        <f t="shared" si="0"/>
        <v>755135</v>
      </c>
      <c r="AV76" s="38">
        <f t="shared" si="1"/>
        <v>1604.6969999999274</v>
      </c>
    </row>
    <row r="77" spans="2:48" s="39" customFormat="1" ht="33.75">
      <c r="B77" s="97">
        <v>62</v>
      </c>
      <c r="C77" s="97" t="s">
        <v>39</v>
      </c>
      <c r="D77" s="23">
        <v>40002339</v>
      </c>
      <c r="E77" s="48" t="s">
        <v>1155</v>
      </c>
      <c r="F77" s="48" t="s">
        <v>51</v>
      </c>
      <c r="G77" s="26" t="s">
        <v>1059</v>
      </c>
      <c r="H77" s="26" t="s">
        <v>1147</v>
      </c>
      <c r="I77" s="49" t="s">
        <v>44</v>
      </c>
      <c r="J77" s="34">
        <v>956569</v>
      </c>
      <c r="K77" s="34">
        <v>518506</v>
      </c>
      <c r="L77" s="34">
        <v>0</v>
      </c>
      <c r="M77" s="34">
        <v>0</v>
      </c>
      <c r="N77" s="34">
        <v>0</v>
      </c>
      <c r="O77" s="34">
        <v>256658.299</v>
      </c>
      <c r="P77" s="34">
        <v>163871.88399999999</v>
      </c>
      <c r="Q77" s="34">
        <v>0</v>
      </c>
      <c r="R77" s="34">
        <v>0</v>
      </c>
      <c r="S77" s="34">
        <v>0</v>
      </c>
      <c r="T77" s="34">
        <v>0</v>
      </c>
      <c r="U77" s="34">
        <v>8000</v>
      </c>
      <c r="V77" s="34">
        <v>0</v>
      </c>
      <c r="W77" s="34"/>
      <c r="X77" s="34"/>
      <c r="Y77" s="34"/>
      <c r="Z77" s="31">
        <f t="shared" si="2"/>
        <v>428530.18299999996</v>
      </c>
      <c r="AA77" s="228">
        <v>357068</v>
      </c>
      <c r="AB77" s="32">
        <v>3</v>
      </c>
      <c r="AC77" s="33">
        <v>44210</v>
      </c>
      <c r="AD77" s="36">
        <v>44237</v>
      </c>
      <c r="AE77" s="34">
        <v>71473</v>
      </c>
      <c r="AF77" s="35">
        <v>7</v>
      </c>
      <c r="AG77" s="33">
        <v>44260</v>
      </c>
      <c r="AH77" s="36">
        <v>44287</v>
      </c>
      <c r="AI77" s="34"/>
      <c r="AJ77" s="32"/>
      <c r="AK77" s="27"/>
      <c r="AL77" s="36"/>
      <c r="AM77" s="34"/>
      <c r="AN77" s="32"/>
      <c r="AO77" s="27"/>
      <c r="AP77" s="36"/>
      <c r="AQ77" s="34"/>
      <c r="AR77" s="32"/>
      <c r="AS77" s="27"/>
      <c r="AT77" s="36"/>
      <c r="AU77" s="37">
        <f t="shared" si="0"/>
        <v>428541</v>
      </c>
      <c r="AV77" s="38">
        <f t="shared" si="1"/>
        <v>10.817000000039116</v>
      </c>
    </row>
    <row r="78" spans="2:48" s="39" customFormat="1" ht="22.5">
      <c r="B78" s="97">
        <v>63</v>
      </c>
      <c r="C78" s="97" t="s">
        <v>39</v>
      </c>
      <c r="D78" s="23">
        <v>40003112</v>
      </c>
      <c r="E78" s="48" t="s">
        <v>1156</v>
      </c>
      <c r="F78" s="48" t="s">
        <v>51</v>
      </c>
      <c r="G78" s="26" t="s">
        <v>1059</v>
      </c>
      <c r="H78" s="26" t="s">
        <v>1157</v>
      </c>
      <c r="I78" s="49" t="s">
        <v>52</v>
      </c>
      <c r="J78" s="34">
        <v>877271</v>
      </c>
      <c r="K78" s="34">
        <v>18873</v>
      </c>
      <c r="L78" s="34">
        <v>347096</v>
      </c>
      <c r="M78" s="34">
        <v>347997</v>
      </c>
      <c r="N78" s="34">
        <v>0</v>
      </c>
      <c r="O78" s="34">
        <v>40904.504999999997</v>
      </c>
      <c r="P78" s="34">
        <v>81809.009999999995</v>
      </c>
      <c r="Q78" s="34">
        <v>0</v>
      </c>
      <c r="R78" s="34">
        <f>122713515/1000</f>
        <v>122713.515</v>
      </c>
      <c r="S78" s="34">
        <v>0</v>
      </c>
      <c r="T78" s="34">
        <v>0</v>
      </c>
      <c r="U78" s="34">
        <v>122714</v>
      </c>
      <c r="V78" s="34">
        <v>0</v>
      </c>
      <c r="W78" s="34"/>
      <c r="X78" s="34"/>
      <c r="Y78" s="34"/>
      <c r="Z78" s="31">
        <f t="shared" si="2"/>
        <v>368141.02999999997</v>
      </c>
      <c r="AA78" s="228">
        <v>246000</v>
      </c>
      <c r="AB78" s="32">
        <v>3</v>
      </c>
      <c r="AC78" s="33">
        <v>44210</v>
      </c>
      <c r="AD78" s="36">
        <v>44237</v>
      </c>
      <c r="AE78" s="34">
        <v>246001</v>
      </c>
      <c r="AF78" s="32">
        <v>26</v>
      </c>
      <c r="AG78" s="33">
        <v>44396</v>
      </c>
      <c r="AH78" s="36">
        <v>44420</v>
      </c>
      <c r="AI78" s="34"/>
      <c r="AJ78" s="32"/>
      <c r="AK78" s="27"/>
      <c r="AL78" s="36"/>
      <c r="AM78" s="34"/>
      <c r="AN78" s="32"/>
      <c r="AO78" s="27"/>
      <c r="AP78" s="36"/>
      <c r="AQ78" s="34"/>
      <c r="AR78" s="32"/>
      <c r="AS78" s="27"/>
      <c r="AT78" s="36"/>
      <c r="AU78" s="37">
        <f t="shared" si="0"/>
        <v>492001</v>
      </c>
      <c r="AV78" s="38">
        <f t="shared" si="1"/>
        <v>123859.97000000003</v>
      </c>
    </row>
    <row r="79" spans="2:48" s="39" customFormat="1" ht="33.75">
      <c r="B79" s="97">
        <v>21</v>
      </c>
      <c r="C79" s="97" t="s">
        <v>39</v>
      </c>
      <c r="D79" s="23">
        <v>40002338</v>
      </c>
      <c r="E79" s="48" t="s">
        <v>1158</v>
      </c>
      <c r="F79" s="48" t="s">
        <v>51</v>
      </c>
      <c r="G79" s="26" t="s">
        <v>1059</v>
      </c>
      <c r="H79" s="26" t="s">
        <v>1097</v>
      </c>
      <c r="I79" s="49" t="s">
        <v>44</v>
      </c>
      <c r="J79" s="34">
        <v>738545</v>
      </c>
      <c r="K79" s="34">
        <v>544637</v>
      </c>
      <c r="L79" s="34">
        <v>0</v>
      </c>
      <c r="M79" s="34">
        <v>0</v>
      </c>
      <c r="N79" s="34">
        <v>29986.504000000001</v>
      </c>
      <c r="O79" s="34">
        <v>0</v>
      </c>
      <c r="P79" s="34">
        <v>0</v>
      </c>
      <c r="Q79" s="34">
        <f>73459023/1000</f>
        <v>73459.023000000001</v>
      </c>
      <c r="R79" s="34">
        <v>0</v>
      </c>
      <c r="S79" s="34">
        <f>52525185/1000</f>
        <v>52525.184999999998</v>
      </c>
      <c r="T79" s="34">
        <v>0</v>
      </c>
      <c r="U79" s="34">
        <v>0</v>
      </c>
      <c r="V79" s="34">
        <v>0</v>
      </c>
      <c r="W79" s="34"/>
      <c r="X79" s="34"/>
      <c r="Y79" s="34"/>
      <c r="Z79" s="31">
        <f t="shared" si="2"/>
        <v>155970.712</v>
      </c>
      <c r="AA79" s="34">
        <v>131745</v>
      </c>
      <c r="AB79" s="32">
        <v>1</v>
      </c>
      <c r="AC79" s="33">
        <v>44201</v>
      </c>
      <c r="AD79" s="36">
        <v>44229</v>
      </c>
      <c r="AE79" s="34">
        <v>24227</v>
      </c>
      <c r="AF79" s="35">
        <v>11</v>
      </c>
      <c r="AG79" s="33">
        <v>44307</v>
      </c>
      <c r="AH79" s="36">
        <v>44328</v>
      </c>
      <c r="AI79" s="34"/>
      <c r="AJ79" s="32"/>
      <c r="AK79" s="27"/>
      <c r="AL79" s="36"/>
      <c r="AM79" s="34"/>
      <c r="AN79" s="32"/>
      <c r="AO79" s="27"/>
      <c r="AP79" s="36"/>
      <c r="AQ79" s="34"/>
      <c r="AR79" s="32"/>
      <c r="AS79" s="27"/>
      <c r="AT79" s="36"/>
      <c r="AU79" s="37">
        <f t="shared" si="0"/>
        <v>155972</v>
      </c>
      <c r="AV79" s="38">
        <f t="shared" si="1"/>
        <v>1.2880000000004657</v>
      </c>
    </row>
    <row r="80" spans="2:48" s="39" customFormat="1">
      <c r="B80" s="97">
        <v>65</v>
      </c>
      <c r="C80" s="97" t="s">
        <v>39</v>
      </c>
      <c r="D80" s="23">
        <v>40005541</v>
      </c>
      <c r="E80" s="48" t="s">
        <v>1159</v>
      </c>
      <c r="F80" s="48" t="s">
        <v>47</v>
      </c>
      <c r="G80" s="26" t="s">
        <v>1059</v>
      </c>
      <c r="H80" s="26" t="s">
        <v>1101</v>
      </c>
      <c r="I80" s="49" t="s">
        <v>44</v>
      </c>
      <c r="J80" s="34">
        <v>322712</v>
      </c>
      <c r="K80" s="34">
        <v>228027</v>
      </c>
      <c r="L80" s="34">
        <v>66528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/>
      <c r="X80" s="34"/>
      <c r="Y80" s="34"/>
      <c r="Z80" s="31">
        <f t="shared" si="2"/>
        <v>0</v>
      </c>
      <c r="AA80" s="228">
        <v>17700</v>
      </c>
      <c r="AB80" s="32">
        <v>3</v>
      </c>
      <c r="AC80" s="33">
        <v>44210</v>
      </c>
      <c r="AD80" s="36">
        <v>44237</v>
      </c>
      <c r="AE80" s="34"/>
      <c r="AF80" s="35"/>
      <c r="AG80" s="27"/>
      <c r="AH80" s="36"/>
      <c r="AI80" s="34"/>
      <c r="AJ80" s="32"/>
      <c r="AK80" s="27"/>
      <c r="AL80" s="36"/>
      <c r="AM80" s="34"/>
      <c r="AN80" s="32"/>
      <c r="AO80" s="27"/>
      <c r="AP80" s="36"/>
      <c r="AQ80" s="34"/>
      <c r="AR80" s="32"/>
      <c r="AS80" s="27"/>
      <c r="AT80" s="36"/>
      <c r="AU80" s="37">
        <f t="shared" si="0"/>
        <v>17700</v>
      </c>
      <c r="AV80" s="38">
        <f t="shared" si="1"/>
        <v>17700</v>
      </c>
    </row>
    <row r="81" spans="2:48" s="39" customFormat="1" ht="22.5">
      <c r="B81" s="97">
        <v>66</v>
      </c>
      <c r="C81" s="97" t="s">
        <v>39</v>
      </c>
      <c r="D81" s="23">
        <v>40005672</v>
      </c>
      <c r="E81" s="48" t="s">
        <v>1160</v>
      </c>
      <c r="F81" s="48" t="s">
        <v>47</v>
      </c>
      <c r="G81" s="26" t="s">
        <v>1059</v>
      </c>
      <c r="H81" s="26" t="s">
        <v>1103</v>
      </c>
      <c r="I81" s="49" t="s">
        <v>44</v>
      </c>
      <c r="J81" s="34">
        <v>42249</v>
      </c>
      <c r="K81" s="34">
        <v>30249</v>
      </c>
      <c r="L81" s="34">
        <v>1401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f>11447280/1000</f>
        <v>11447.28</v>
      </c>
      <c r="T81" s="34">
        <v>0</v>
      </c>
      <c r="U81" s="34">
        <v>0</v>
      </c>
      <c r="V81" s="34">
        <v>0</v>
      </c>
      <c r="W81" s="34"/>
      <c r="X81" s="34"/>
      <c r="Y81" s="34"/>
      <c r="Z81" s="31">
        <f t="shared" ref="Z81:Z144" si="3">SUM(N81:Y81)</f>
        <v>11447.28</v>
      </c>
      <c r="AA81" s="228">
        <v>12000</v>
      </c>
      <c r="AB81" s="32">
        <v>3</v>
      </c>
      <c r="AC81" s="33">
        <v>44210</v>
      </c>
      <c r="AD81" s="36">
        <v>44237</v>
      </c>
      <c r="AE81" s="34"/>
      <c r="AF81" s="35"/>
      <c r="AG81" s="27"/>
      <c r="AH81" s="36"/>
      <c r="AI81" s="34"/>
      <c r="AJ81" s="32"/>
      <c r="AK81" s="27"/>
      <c r="AL81" s="36"/>
      <c r="AM81" s="34"/>
      <c r="AN81" s="32"/>
      <c r="AO81" s="27"/>
      <c r="AP81" s="36"/>
      <c r="AQ81" s="34"/>
      <c r="AR81" s="32"/>
      <c r="AS81" s="27"/>
      <c r="AT81" s="36"/>
      <c r="AU81" s="37">
        <f t="shared" si="0"/>
        <v>12000</v>
      </c>
      <c r="AV81" s="38">
        <f t="shared" si="1"/>
        <v>552.71999999999935</v>
      </c>
    </row>
    <row r="82" spans="2:48" s="39" customFormat="1" ht="22.5">
      <c r="B82" s="97">
        <v>64</v>
      </c>
      <c r="C82" s="97" t="s">
        <v>39</v>
      </c>
      <c r="D82" s="23">
        <v>40003261</v>
      </c>
      <c r="E82" s="48" t="s">
        <v>1161</v>
      </c>
      <c r="F82" s="48" t="s">
        <v>51</v>
      </c>
      <c r="G82" s="26" t="s">
        <v>1059</v>
      </c>
      <c r="H82" s="26" t="s">
        <v>1152</v>
      </c>
      <c r="I82" s="49" t="s">
        <v>52</v>
      </c>
      <c r="J82" s="34">
        <v>1385144</v>
      </c>
      <c r="K82" s="34">
        <v>4721</v>
      </c>
      <c r="L82" s="34">
        <v>633689</v>
      </c>
      <c r="M82" s="34">
        <v>283</v>
      </c>
      <c r="N82" s="34">
        <v>0</v>
      </c>
      <c r="O82" s="34">
        <v>341776.85399999999</v>
      </c>
      <c r="P82" s="34">
        <v>285063.005</v>
      </c>
      <c r="Q82" s="34">
        <v>0</v>
      </c>
      <c r="R82" s="34">
        <f>161227944/1000</f>
        <v>161227.94399999999</v>
      </c>
      <c r="S82" s="34">
        <f>111400442/1000</f>
        <v>111400.442</v>
      </c>
      <c r="T82" s="34">
        <v>122828</v>
      </c>
      <c r="U82" s="34">
        <v>39674</v>
      </c>
      <c r="V82" s="34">
        <v>47435</v>
      </c>
      <c r="W82" s="34"/>
      <c r="X82" s="34"/>
      <c r="Y82" s="34"/>
      <c r="Z82" s="31">
        <f t="shared" si="3"/>
        <v>1109405.2450000001</v>
      </c>
      <c r="AA82" s="228">
        <v>716000</v>
      </c>
      <c r="AB82" s="32">
        <v>3</v>
      </c>
      <c r="AC82" s="33">
        <v>44210</v>
      </c>
      <c r="AD82" s="36">
        <v>44237</v>
      </c>
      <c r="AE82" s="34">
        <v>501504</v>
      </c>
      <c r="AF82" s="35">
        <v>11</v>
      </c>
      <c r="AG82" s="33">
        <v>44307</v>
      </c>
      <c r="AH82" s="36">
        <v>44328</v>
      </c>
      <c r="AI82" s="34"/>
      <c r="AJ82" s="32"/>
      <c r="AK82" s="27"/>
      <c r="AL82" s="36"/>
      <c r="AM82" s="34"/>
      <c r="AN82" s="32"/>
      <c r="AO82" s="27"/>
      <c r="AP82" s="36"/>
      <c r="AQ82" s="34"/>
      <c r="AR82" s="32"/>
      <c r="AS82" s="27"/>
      <c r="AT82" s="36"/>
      <c r="AU82" s="37">
        <f t="shared" si="0"/>
        <v>1217504</v>
      </c>
      <c r="AV82" s="38">
        <f t="shared" si="1"/>
        <v>108098.75499999989</v>
      </c>
    </row>
    <row r="83" spans="2:48" s="39" customFormat="1" ht="22.5">
      <c r="B83" s="97">
        <v>68</v>
      </c>
      <c r="C83" s="97" t="s">
        <v>39</v>
      </c>
      <c r="D83" s="23">
        <v>40012170</v>
      </c>
      <c r="E83" s="48" t="s">
        <v>1162</v>
      </c>
      <c r="F83" s="48" t="s">
        <v>51</v>
      </c>
      <c r="G83" s="26" t="s">
        <v>1059</v>
      </c>
      <c r="H83" s="26" t="s">
        <v>1081</v>
      </c>
      <c r="I83" s="49" t="s">
        <v>52</v>
      </c>
      <c r="J83" s="34">
        <v>1938043</v>
      </c>
      <c r="K83" s="34">
        <v>921111</v>
      </c>
      <c r="L83" s="34">
        <v>1890406</v>
      </c>
      <c r="M83" s="34">
        <v>1016932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34"/>
      <c r="X83" s="34"/>
      <c r="Y83" s="34"/>
      <c r="Z83" s="31">
        <f t="shared" si="3"/>
        <v>0</v>
      </c>
      <c r="AA83" s="228">
        <v>1</v>
      </c>
      <c r="AB83" s="32">
        <v>3</v>
      </c>
      <c r="AC83" s="33">
        <v>44210</v>
      </c>
      <c r="AD83" s="36">
        <v>44237</v>
      </c>
      <c r="AE83" s="34"/>
      <c r="AF83" s="35"/>
      <c r="AG83" s="27"/>
      <c r="AH83" s="36"/>
      <c r="AI83" s="34"/>
      <c r="AJ83" s="32"/>
      <c r="AK83" s="27"/>
      <c r="AL83" s="36"/>
      <c r="AM83" s="34"/>
      <c r="AN83" s="32"/>
      <c r="AO83" s="27"/>
      <c r="AP83" s="36"/>
      <c r="AQ83" s="34"/>
      <c r="AR83" s="32"/>
      <c r="AS83" s="27"/>
      <c r="AT83" s="36"/>
      <c r="AU83" s="37">
        <f t="shared" si="0"/>
        <v>1</v>
      </c>
      <c r="AV83" s="38">
        <f t="shared" si="1"/>
        <v>1</v>
      </c>
    </row>
    <row r="84" spans="2:48" s="39" customFormat="1" ht="22.5">
      <c r="B84" s="97">
        <v>69</v>
      </c>
      <c r="C84" s="97" t="s">
        <v>39</v>
      </c>
      <c r="D84" s="23">
        <v>40017211</v>
      </c>
      <c r="E84" s="48" t="s">
        <v>1163</v>
      </c>
      <c r="F84" s="48" t="s">
        <v>51</v>
      </c>
      <c r="G84" s="26" t="s">
        <v>1059</v>
      </c>
      <c r="H84" s="26" t="s">
        <v>1111</v>
      </c>
      <c r="I84" s="49" t="s">
        <v>52</v>
      </c>
      <c r="J84" s="34">
        <v>3386067</v>
      </c>
      <c r="K84" s="34">
        <v>10842</v>
      </c>
      <c r="L84" s="34">
        <v>3300719</v>
      </c>
      <c r="M84" s="34">
        <v>2714986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34">
        <v>0</v>
      </c>
      <c r="W84" s="34"/>
      <c r="X84" s="34"/>
      <c r="Y84" s="34"/>
      <c r="Z84" s="31">
        <f t="shared" si="3"/>
        <v>0</v>
      </c>
      <c r="AA84" s="228">
        <v>1</v>
      </c>
      <c r="AB84" s="32">
        <v>3</v>
      </c>
      <c r="AC84" s="33">
        <v>44210</v>
      </c>
      <c r="AD84" s="36">
        <v>44237</v>
      </c>
      <c r="AE84" s="34">
        <v>162186</v>
      </c>
      <c r="AF84" s="35">
        <v>15</v>
      </c>
      <c r="AG84" s="33">
        <v>44333</v>
      </c>
      <c r="AH84" s="36">
        <v>44355</v>
      </c>
      <c r="AI84" s="34"/>
      <c r="AJ84" s="32"/>
      <c r="AK84" s="27"/>
      <c r="AL84" s="36"/>
      <c r="AM84" s="34"/>
      <c r="AN84" s="32"/>
      <c r="AO84" s="27"/>
      <c r="AP84" s="36"/>
      <c r="AQ84" s="34"/>
      <c r="AR84" s="32"/>
      <c r="AS84" s="27"/>
      <c r="AT84" s="36"/>
      <c r="AU84" s="37">
        <f t="shared" si="0"/>
        <v>162187</v>
      </c>
      <c r="AV84" s="38">
        <f t="shared" si="1"/>
        <v>162187</v>
      </c>
    </row>
    <row r="85" spans="2:48" s="39" customFormat="1" ht="22.5">
      <c r="B85" s="97">
        <v>70</v>
      </c>
      <c r="C85" s="97" t="s">
        <v>39</v>
      </c>
      <c r="D85" s="23">
        <v>40018315</v>
      </c>
      <c r="E85" s="48" t="s">
        <v>1164</v>
      </c>
      <c r="F85" s="48" t="s">
        <v>51</v>
      </c>
      <c r="G85" s="26" t="s">
        <v>1059</v>
      </c>
      <c r="H85" s="26" t="s">
        <v>1063</v>
      </c>
      <c r="I85" s="49" t="s">
        <v>52</v>
      </c>
      <c r="J85" s="34">
        <v>531126</v>
      </c>
      <c r="K85" s="34">
        <v>0</v>
      </c>
      <c r="L85" s="34">
        <v>517938</v>
      </c>
      <c r="M85" s="34">
        <v>323090</v>
      </c>
      <c r="N85" s="34">
        <v>0</v>
      </c>
      <c r="O85" s="34">
        <v>0</v>
      </c>
      <c r="P85" s="34">
        <v>0</v>
      </c>
      <c r="Q85" s="34">
        <v>1500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/>
      <c r="X85" s="34"/>
      <c r="Y85" s="34"/>
      <c r="Z85" s="31">
        <f t="shared" si="3"/>
        <v>1500</v>
      </c>
      <c r="AA85" s="228">
        <v>1500</v>
      </c>
      <c r="AB85" s="32">
        <v>3</v>
      </c>
      <c r="AC85" s="33">
        <v>44210</v>
      </c>
      <c r="AD85" s="36">
        <v>44237</v>
      </c>
      <c r="AE85" s="34">
        <v>34</v>
      </c>
      <c r="AF85" s="35">
        <v>13</v>
      </c>
      <c r="AG85" s="33">
        <v>44314</v>
      </c>
      <c r="AH85" s="36">
        <v>44340</v>
      </c>
      <c r="AI85" s="34"/>
      <c r="AJ85" s="32"/>
      <c r="AK85" s="27"/>
      <c r="AL85" s="36"/>
      <c r="AM85" s="34"/>
      <c r="AN85" s="32"/>
      <c r="AO85" s="27"/>
      <c r="AP85" s="36"/>
      <c r="AQ85" s="34"/>
      <c r="AR85" s="32"/>
      <c r="AS85" s="27"/>
      <c r="AT85" s="36"/>
      <c r="AU85" s="37">
        <f t="shared" si="0"/>
        <v>1534</v>
      </c>
      <c r="AV85" s="38">
        <f t="shared" si="1"/>
        <v>34</v>
      </c>
    </row>
    <row r="86" spans="2:48" s="39" customFormat="1" ht="22.5">
      <c r="B86" s="97">
        <v>71</v>
      </c>
      <c r="C86" s="97" t="s">
        <v>39</v>
      </c>
      <c r="D86" s="23">
        <v>30091584</v>
      </c>
      <c r="E86" s="48" t="s">
        <v>1165</v>
      </c>
      <c r="F86" s="48" t="s">
        <v>51</v>
      </c>
      <c r="G86" s="26" t="s">
        <v>1059</v>
      </c>
      <c r="H86" s="26" t="s">
        <v>1136</v>
      </c>
      <c r="I86" s="49" t="s">
        <v>52</v>
      </c>
      <c r="J86" s="34">
        <v>2919589</v>
      </c>
      <c r="K86" s="34">
        <v>0</v>
      </c>
      <c r="L86" s="34">
        <v>2890581</v>
      </c>
      <c r="M86" s="34">
        <v>2819588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4">
        <v>0</v>
      </c>
      <c r="V86" s="34">
        <v>0</v>
      </c>
      <c r="W86" s="34"/>
      <c r="X86" s="34"/>
      <c r="Y86" s="34"/>
      <c r="Z86" s="31">
        <f t="shared" si="3"/>
        <v>0</v>
      </c>
      <c r="AA86" s="34">
        <v>104908</v>
      </c>
      <c r="AB86" s="32">
        <v>4</v>
      </c>
      <c r="AC86" s="33">
        <v>44232</v>
      </c>
      <c r="AD86" s="36">
        <v>44252</v>
      </c>
      <c r="AE86" s="34"/>
      <c r="AF86" s="35"/>
      <c r="AG86" s="27"/>
      <c r="AH86" s="36"/>
      <c r="AI86" s="34"/>
      <c r="AJ86" s="32"/>
      <c r="AK86" s="27"/>
      <c r="AL86" s="36"/>
      <c r="AM86" s="34"/>
      <c r="AN86" s="32"/>
      <c r="AO86" s="27"/>
      <c r="AP86" s="36"/>
      <c r="AQ86" s="34"/>
      <c r="AR86" s="32"/>
      <c r="AS86" s="27"/>
      <c r="AT86" s="36"/>
      <c r="AU86" s="37">
        <f t="shared" si="0"/>
        <v>104908</v>
      </c>
      <c r="AV86" s="38">
        <f t="shared" si="1"/>
        <v>104908</v>
      </c>
    </row>
    <row r="87" spans="2:48" s="39" customFormat="1" ht="22.5">
      <c r="B87" s="97">
        <v>72</v>
      </c>
      <c r="C87" s="97" t="s">
        <v>39</v>
      </c>
      <c r="D87" s="23">
        <v>30110361</v>
      </c>
      <c r="E87" s="48" t="s">
        <v>1166</v>
      </c>
      <c r="F87" s="48" t="s">
        <v>51</v>
      </c>
      <c r="G87" s="26" t="s">
        <v>1059</v>
      </c>
      <c r="H87" s="26" t="s">
        <v>1111</v>
      </c>
      <c r="I87" s="49" t="s">
        <v>52</v>
      </c>
      <c r="J87" s="34">
        <v>1208181</v>
      </c>
      <c r="K87" s="34">
        <v>0</v>
      </c>
      <c r="L87" s="34">
        <v>1172761</v>
      </c>
      <c r="M87" s="34">
        <v>18405</v>
      </c>
      <c r="N87" s="34">
        <v>0</v>
      </c>
      <c r="O87" s="34">
        <v>0</v>
      </c>
      <c r="P87" s="34">
        <v>0</v>
      </c>
      <c r="Q87" s="34">
        <v>2641</v>
      </c>
      <c r="R87" s="34">
        <v>0</v>
      </c>
      <c r="S87" s="34">
        <v>0</v>
      </c>
      <c r="T87" s="34">
        <v>0</v>
      </c>
      <c r="U87" s="34">
        <v>4000</v>
      </c>
      <c r="V87" s="34">
        <v>0</v>
      </c>
      <c r="W87" s="34"/>
      <c r="X87" s="34"/>
      <c r="Y87" s="34"/>
      <c r="Z87" s="31">
        <f t="shared" si="3"/>
        <v>6641</v>
      </c>
      <c r="AA87" s="34">
        <v>8835</v>
      </c>
      <c r="AB87" s="32">
        <v>4</v>
      </c>
      <c r="AC87" s="33">
        <v>44232</v>
      </c>
      <c r="AD87" s="36">
        <v>44252</v>
      </c>
      <c r="AE87" s="34"/>
      <c r="AF87" s="35"/>
      <c r="AG87" s="27"/>
      <c r="AH87" s="36"/>
      <c r="AI87" s="34"/>
      <c r="AJ87" s="32"/>
      <c r="AK87" s="27"/>
      <c r="AL87" s="36"/>
      <c r="AM87" s="34"/>
      <c r="AN87" s="32"/>
      <c r="AO87" s="27"/>
      <c r="AP87" s="36"/>
      <c r="AQ87" s="34"/>
      <c r="AR87" s="32"/>
      <c r="AS87" s="27"/>
      <c r="AT87" s="36"/>
      <c r="AU87" s="37">
        <f t="shared" si="0"/>
        <v>8835</v>
      </c>
      <c r="AV87" s="38">
        <f t="shared" si="1"/>
        <v>2194</v>
      </c>
    </row>
    <row r="88" spans="2:48" s="39" customFormat="1" ht="22.5">
      <c r="B88" s="97">
        <v>73</v>
      </c>
      <c r="C88" s="97" t="s">
        <v>39</v>
      </c>
      <c r="D88" s="23">
        <v>30133777</v>
      </c>
      <c r="E88" s="48" t="s">
        <v>1167</v>
      </c>
      <c r="F88" s="48" t="s">
        <v>51</v>
      </c>
      <c r="G88" s="26" t="s">
        <v>1059</v>
      </c>
      <c r="H88" s="26" t="s">
        <v>1067</v>
      </c>
      <c r="I88" s="49" t="s">
        <v>52</v>
      </c>
      <c r="J88" s="34">
        <v>924536</v>
      </c>
      <c r="K88" s="34">
        <v>0</v>
      </c>
      <c r="L88" s="34">
        <v>895729</v>
      </c>
      <c r="M88" s="34">
        <v>516073</v>
      </c>
      <c r="N88" s="34">
        <v>0</v>
      </c>
      <c r="O88" s="34">
        <v>0</v>
      </c>
      <c r="P88" s="34">
        <v>0</v>
      </c>
      <c r="Q88" s="34">
        <v>8463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/>
      <c r="X88" s="34"/>
      <c r="Y88" s="34"/>
      <c r="Z88" s="31">
        <f t="shared" si="3"/>
        <v>8463</v>
      </c>
      <c r="AA88" s="34">
        <v>8463</v>
      </c>
      <c r="AB88" s="32">
        <v>4</v>
      </c>
      <c r="AC88" s="33">
        <v>44232</v>
      </c>
      <c r="AD88" s="36">
        <v>44252</v>
      </c>
      <c r="AE88" s="34"/>
      <c r="AF88" s="35"/>
      <c r="AG88" s="27"/>
      <c r="AH88" s="36"/>
      <c r="AI88" s="34"/>
      <c r="AJ88" s="32"/>
      <c r="AK88" s="27"/>
      <c r="AL88" s="36"/>
      <c r="AM88" s="34"/>
      <c r="AN88" s="32"/>
      <c r="AO88" s="27"/>
      <c r="AP88" s="36"/>
      <c r="AQ88" s="34"/>
      <c r="AR88" s="32"/>
      <c r="AS88" s="27"/>
      <c r="AT88" s="36"/>
      <c r="AU88" s="37">
        <f t="shared" si="0"/>
        <v>8463</v>
      </c>
      <c r="AV88" s="38">
        <f t="shared" si="1"/>
        <v>0</v>
      </c>
    </row>
    <row r="89" spans="2:48" s="39" customFormat="1" ht="22.5">
      <c r="B89" s="97">
        <v>74</v>
      </c>
      <c r="C89" s="97" t="s">
        <v>39</v>
      </c>
      <c r="D89" s="23">
        <v>30135452</v>
      </c>
      <c r="E89" s="48" t="s">
        <v>1168</v>
      </c>
      <c r="F89" s="48" t="s">
        <v>51</v>
      </c>
      <c r="G89" s="26" t="s">
        <v>1059</v>
      </c>
      <c r="H89" s="26" t="s">
        <v>1157</v>
      </c>
      <c r="I89" s="49" t="s">
        <v>52</v>
      </c>
      <c r="J89" s="34">
        <v>930401</v>
      </c>
      <c r="K89" s="34">
        <v>0</v>
      </c>
      <c r="L89" s="34">
        <v>908395</v>
      </c>
      <c r="M89" s="34">
        <v>245192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2143</v>
      </c>
      <c r="V89" s="34">
        <v>2143</v>
      </c>
      <c r="W89" s="34"/>
      <c r="X89" s="34"/>
      <c r="Y89" s="34"/>
      <c r="Z89" s="31">
        <f t="shared" si="3"/>
        <v>4286</v>
      </c>
      <c r="AA89" s="34">
        <v>1534</v>
      </c>
      <c r="AB89" s="32">
        <v>4</v>
      </c>
      <c r="AC89" s="33">
        <v>44232</v>
      </c>
      <c r="AD89" s="36">
        <v>44252</v>
      </c>
      <c r="AE89" s="34">
        <v>292000</v>
      </c>
      <c r="AF89" s="32">
        <v>26</v>
      </c>
      <c r="AG89" s="33">
        <v>44396</v>
      </c>
      <c r="AH89" s="36">
        <v>44420</v>
      </c>
      <c r="AI89" s="34"/>
      <c r="AJ89" s="32"/>
      <c r="AK89" s="27"/>
      <c r="AL89" s="36"/>
      <c r="AM89" s="34"/>
      <c r="AN89" s="32"/>
      <c r="AO89" s="27"/>
      <c r="AP89" s="36"/>
      <c r="AQ89" s="34"/>
      <c r="AR89" s="32"/>
      <c r="AS89" s="27"/>
      <c r="AT89" s="36"/>
      <c r="AU89" s="37">
        <f t="shared" si="0"/>
        <v>293534</v>
      </c>
      <c r="AV89" s="38">
        <f t="shared" si="1"/>
        <v>289248</v>
      </c>
    </row>
    <row r="90" spans="2:48" s="39" customFormat="1" ht="22.5">
      <c r="B90" s="97">
        <v>75</v>
      </c>
      <c r="C90" s="97" t="s">
        <v>39</v>
      </c>
      <c r="D90" s="23">
        <v>30396472</v>
      </c>
      <c r="E90" s="48" t="s">
        <v>1169</v>
      </c>
      <c r="F90" s="48" t="s">
        <v>51</v>
      </c>
      <c r="G90" s="26" t="s">
        <v>1059</v>
      </c>
      <c r="H90" s="26" t="s">
        <v>1170</v>
      </c>
      <c r="I90" s="49" t="s">
        <v>52</v>
      </c>
      <c r="J90" s="34">
        <v>1003995</v>
      </c>
      <c r="K90" s="34">
        <v>0</v>
      </c>
      <c r="L90" s="34">
        <v>817255</v>
      </c>
      <c r="M90" s="34">
        <v>385861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/>
      <c r="X90" s="34"/>
      <c r="Y90" s="34"/>
      <c r="Z90" s="31">
        <f t="shared" si="3"/>
        <v>0</v>
      </c>
      <c r="AA90" s="34">
        <v>10122</v>
      </c>
      <c r="AB90" s="32">
        <v>4</v>
      </c>
      <c r="AC90" s="33">
        <v>44232</v>
      </c>
      <c r="AD90" s="36">
        <v>44252</v>
      </c>
      <c r="AE90" s="34">
        <v>1</v>
      </c>
      <c r="AF90" s="35">
        <v>13</v>
      </c>
      <c r="AG90" s="33">
        <v>44314</v>
      </c>
      <c r="AH90" s="36">
        <v>44340</v>
      </c>
      <c r="AI90" s="34">
        <v>65973</v>
      </c>
      <c r="AJ90" s="32">
        <v>15</v>
      </c>
      <c r="AK90" s="33">
        <v>44333</v>
      </c>
      <c r="AL90" s="36">
        <v>44355</v>
      </c>
      <c r="AM90" s="34"/>
      <c r="AN90" s="32"/>
      <c r="AO90" s="27"/>
      <c r="AP90" s="36"/>
      <c r="AQ90" s="34"/>
      <c r="AR90" s="32"/>
      <c r="AS90" s="27"/>
      <c r="AT90" s="36"/>
      <c r="AU90" s="37">
        <f t="shared" si="0"/>
        <v>76096</v>
      </c>
      <c r="AV90" s="38">
        <f t="shared" si="1"/>
        <v>76096</v>
      </c>
    </row>
    <row r="91" spans="2:48" s="39" customFormat="1" ht="22.5">
      <c r="B91" s="97">
        <v>76</v>
      </c>
      <c r="C91" s="97" t="s">
        <v>39</v>
      </c>
      <c r="D91" s="23">
        <v>30397143</v>
      </c>
      <c r="E91" s="48" t="s">
        <v>1171</v>
      </c>
      <c r="F91" s="48" t="s">
        <v>51</v>
      </c>
      <c r="G91" s="26" t="s">
        <v>1059</v>
      </c>
      <c r="H91" s="26" t="s">
        <v>1141</v>
      </c>
      <c r="I91" s="49" t="s">
        <v>44</v>
      </c>
      <c r="J91" s="34">
        <v>1644754</v>
      </c>
      <c r="K91" s="34">
        <v>1074044</v>
      </c>
      <c r="L91" s="34">
        <v>191157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0</v>
      </c>
      <c r="W91" s="34"/>
      <c r="X91" s="34"/>
      <c r="Y91" s="34"/>
      <c r="Z91" s="31">
        <f t="shared" si="3"/>
        <v>0</v>
      </c>
      <c r="AA91" s="34">
        <v>83181</v>
      </c>
      <c r="AB91" s="32">
        <v>4</v>
      </c>
      <c r="AC91" s="33">
        <v>44232</v>
      </c>
      <c r="AD91" s="36">
        <v>44252</v>
      </c>
      <c r="AE91" s="34"/>
      <c r="AF91" s="35"/>
      <c r="AG91" s="27"/>
      <c r="AH91" s="36"/>
      <c r="AI91" s="34"/>
      <c r="AJ91" s="32"/>
      <c r="AK91" s="27"/>
      <c r="AL91" s="36"/>
      <c r="AM91" s="34"/>
      <c r="AN91" s="32"/>
      <c r="AO91" s="27"/>
      <c r="AP91" s="36"/>
      <c r="AQ91" s="34"/>
      <c r="AR91" s="32"/>
      <c r="AS91" s="27"/>
      <c r="AT91" s="36"/>
      <c r="AU91" s="37">
        <f t="shared" si="0"/>
        <v>83181</v>
      </c>
      <c r="AV91" s="38">
        <f t="shared" si="1"/>
        <v>83181</v>
      </c>
    </row>
    <row r="92" spans="2:48" s="39" customFormat="1" ht="22.5">
      <c r="B92" s="97">
        <v>77</v>
      </c>
      <c r="C92" s="97" t="s">
        <v>39</v>
      </c>
      <c r="D92" s="23">
        <v>30485089</v>
      </c>
      <c r="E92" s="48" t="s">
        <v>1172</v>
      </c>
      <c r="F92" s="48" t="s">
        <v>47</v>
      </c>
      <c r="G92" s="26" t="s">
        <v>1059</v>
      </c>
      <c r="H92" s="26" t="s">
        <v>1139</v>
      </c>
      <c r="I92" s="49" t="s">
        <v>44</v>
      </c>
      <c r="J92" s="34">
        <v>19768</v>
      </c>
      <c r="K92" s="34">
        <v>13687</v>
      </c>
      <c r="L92" s="34">
        <v>3079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/>
      <c r="X92" s="34"/>
      <c r="Y92" s="34"/>
      <c r="Z92" s="31">
        <f t="shared" si="3"/>
        <v>0</v>
      </c>
      <c r="AA92" s="34">
        <v>6080</v>
      </c>
      <c r="AB92" s="32">
        <v>4</v>
      </c>
      <c r="AC92" s="33">
        <v>44232</v>
      </c>
      <c r="AD92" s="36">
        <v>44252</v>
      </c>
      <c r="AE92" s="34"/>
      <c r="AF92" s="35"/>
      <c r="AG92" s="27"/>
      <c r="AH92" s="36"/>
      <c r="AI92" s="34"/>
      <c r="AJ92" s="32"/>
      <c r="AK92" s="27"/>
      <c r="AL92" s="36"/>
      <c r="AM92" s="34"/>
      <c r="AN92" s="32"/>
      <c r="AO92" s="27"/>
      <c r="AP92" s="36"/>
      <c r="AQ92" s="34"/>
      <c r="AR92" s="32"/>
      <c r="AS92" s="27"/>
      <c r="AT92" s="36"/>
      <c r="AU92" s="37">
        <f t="shared" si="0"/>
        <v>6080</v>
      </c>
      <c r="AV92" s="38">
        <f t="shared" si="1"/>
        <v>6080</v>
      </c>
    </row>
    <row r="93" spans="2:48" s="39" customFormat="1" ht="22.5">
      <c r="B93" s="97">
        <v>67</v>
      </c>
      <c r="C93" s="97" t="s">
        <v>39</v>
      </c>
      <c r="D93" s="23">
        <v>40006830</v>
      </c>
      <c r="E93" s="48" t="s">
        <v>1173</v>
      </c>
      <c r="F93" s="48" t="s">
        <v>51</v>
      </c>
      <c r="G93" s="26" t="s">
        <v>1059</v>
      </c>
      <c r="H93" s="26" t="s">
        <v>1060</v>
      </c>
      <c r="I93" s="49" t="s">
        <v>44</v>
      </c>
      <c r="J93" s="34">
        <v>139481</v>
      </c>
      <c r="K93" s="34">
        <v>0</v>
      </c>
      <c r="L93" s="34">
        <v>132956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10088</v>
      </c>
      <c r="U93" s="34">
        <v>52008</v>
      </c>
      <c r="V93" s="34">
        <v>0</v>
      </c>
      <c r="W93" s="34"/>
      <c r="X93" s="34"/>
      <c r="Y93" s="34"/>
      <c r="Z93" s="31">
        <f t="shared" si="3"/>
        <v>62096</v>
      </c>
      <c r="AA93" s="228">
        <v>1</v>
      </c>
      <c r="AB93" s="32">
        <v>3</v>
      </c>
      <c r="AC93" s="33">
        <v>44210</v>
      </c>
      <c r="AD93" s="36">
        <v>44237</v>
      </c>
      <c r="AE93" s="34">
        <v>118505</v>
      </c>
      <c r="AF93" s="35">
        <v>11</v>
      </c>
      <c r="AG93" s="33">
        <v>44307</v>
      </c>
      <c r="AH93" s="36">
        <v>44328</v>
      </c>
      <c r="AI93" s="34"/>
      <c r="AJ93" s="32"/>
      <c r="AK93" s="27"/>
      <c r="AL93" s="36"/>
      <c r="AM93" s="34"/>
      <c r="AN93" s="32"/>
      <c r="AO93" s="27"/>
      <c r="AP93" s="36"/>
      <c r="AQ93" s="34"/>
      <c r="AR93" s="32"/>
      <c r="AS93" s="27"/>
      <c r="AT93" s="36"/>
      <c r="AU93" s="37">
        <f t="shared" si="0"/>
        <v>118506</v>
      </c>
      <c r="AV93" s="38">
        <f t="shared" si="1"/>
        <v>56410</v>
      </c>
    </row>
    <row r="94" spans="2:48" s="39" customFormat="1" ht="22.5">
      <c r="B94" s="97">
        <v>79</v>
      </c>
      <c r="C94" s="97" t="s">
        <v>39</v>
      </c>
      <c r="D94" s="23">
        <v>40009195</v>
      </c>
      <c r="E94" s="48" t="s">
        <v>1174</v>
      </c>
      <c r="F94" s="48" t="s">
        <v>51</v>
      </c>
      <c r="G94" s="26" t="s">
        <v>1059</v>
      </c>
      <c r="H94" s="26" t="s">
        <v>1157</v>
      </c>
      <c r="I94" s="49" t="s">
        <v>52</v>
      </c>
      <c r="J94" s="34">
        <v>630924</v>
      </c>
      <c r="K94" s="34">
        <v>1080</v>
      </c>
      <c r="L94" s="34">
        <v>615958</v>
      </c>
      <c r="M94" s="34">
        <v>44660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f>329087893/1000</f>
        <v>329087.89299999998</v>
      </c>
      <c r="T94" s="34">
        <v>0</v>
      </c>
      <c r="U94" s="34">
        <v>231780</v>
      </c>
      <c r="V94" s="34">
        <v>0</v>
      </c>
      <c r="W94" s="34"/>
      <c r="X94" s="34"/>
      <c r="Y94" s="34"/>
      <c r="Z94" s="31">
        <f t="shared" si="3"/>
        <v>560867.89299999992</v>
      </c>
      <c r="AA94" s="34">
        <v>1080</v>
      </c>
      <c r="AB94" s="32">
        <v>4</v>
      </c>
      <c r="AC94" s="33">
        <v>44232</v>
      </c>
      <c r="AD94" s="36">
        <v>44252</v>
      </c>
      <c r="AE94" s="34">
        <v>585183</v>
      </c>
      <c r="AF94" s="35">
        <v>7</v>
      </c>
      <c r="AG94" s="33">
        <v>44260</v>
      </c>
      <c r="AH94" s="36">
        <v>44287</v>
      </c>
      <c r="AI94" s="34"/>
      <c r="AJ94" s="32"/>
      <c r="AK94" s="27"/>
      <c r="AL94" s="36"/>
      <c r="AM94" s="34"/>
      <c r="AN94" s="32"/>
      <c r="AO94" s="27"/>
      <c r="AP94" s="36"/>
      <c r="AQ94" s="34"/>
      <c r="AR94" s="32"/>
      <c r="AS94" s="27"/>
      <c r="AT94" s="36"/>
      <c r="AU94" s="37">
        <f t="shared" si="0"/>
        <v>586263</v>
      </c>
      <c r="AV94" s="38">
        <f t="shared" si="1"/>
        <v>25395.107000000076</v>
      </c>
    </row>
    <row r="95" spans="2:48" s="39" customFormat="1" ht="22.5">
      <c r="B95" s="97">
        <v>80</v>
      </c>
      <c r="C95" s="97" t="s">
        <v>39</v>
      </c>
      <c r="D95" s="23">
        <v>40015372</v>
      </c>
      <c r="E95" s="48" t="s">
        <v>1175</v>
      </c>
      <c r="F95" s="48" t="s">
        <v>51</v>
      </c>
      <c r="G95" s="26" t="s">
        <v>1059</v>
      </c>
      <c r="H95" s="26" t="s">
        <v>1070</v>
      </c>
      <c r="I95" s="49" t="s">
        <v>52</v>
      </c>
      <c r="J95" s="34">
        <v>1207428</v>
      </c>
      <c r="K95" s="34">
        <v>0</v>
      </c>
      <c r="L95" s="34">
        <v>1157669</v>
      </c>
      <c r="M95" s="34">
        <v>641019</v>
      </c>
      <c r="N95" s="34">
        <v>0</v>
      </c>
      <c r="O95" s="34">
        <v>0</v>
      </c>
      <c r="P95" s="34">
        <v>0</v>
      </c>
      <c r="Q95" s="34">
        <v>2098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/>
      <c r="X95" s="34"/>
      <c r="Y95" s="34"/>
      <c r="Z95" s="31">
        <f t="shared" si="3"/>
        <v>2098</v>
      </c>
      <c r="AA95" s="34">
        <v>2098</v>
      </c>
      <c r="AB95" s="32">
        <v>4</v>
      </c>
      <c r="AC95" s="33">
        <v>44232</v>
      </c>
      <c r="AD95" s="36">
        <v>44252</v>
      </c>
      <c r="AE95" s="34"/>
      <c r="AF95" s="35"/>
      <c r="AG95" s="27"/>
      <c r="AH95" s="36"/>
      <c r="AI95" s="34"/>
      <c r="AJ95" s="32"/>
      <c r="AK95" s="27"/>
      <c r="AL95" s="36"/>
      <c r="AM95" s="34"/>
      <c r="AN95" s="32"/>
      <c r="AO95" s="27"/>
      <c r="AP95" s="36"/>
      <c r="AQ95" s="34"/>
      <c r="AR95" s="32"/>
      <c r="AS95" s="27"/>
      <c r="AT95" s="36"/>
      <c r="AU95" s="37">
        <f t="shared" si="0"/>
        <v>2098</v>
      </c>
      <c r="AV95" s="38">
        <f t="shared" si="1"/>
        <v>0</v>
      </c>
    </row>
    <row r="96" spans="2:48" s="39" customFormat="1" ht="22.5">
      <c r="B96" s="97">
        <v>81</v>
      </c>
      <c r="C96" s="97" t="s">
        <v>39</v>
      </c>
      <c r="D96" s="23">
        <v>40015433</v>
      </c>
      <c r="E96" s="48" t="s">
        <v>1176</v>
      </c>
      <c r="F96" s="48" t="s">
        <v>51</v>
      </c>
      <c r="G96" s="26" t="s">
        <v>1059</v>
      </c>
      <c r="H96" s="26" t="s">
        <v>1091</v>
      </c>
      <c r="I96" s="49" t="s">
        <v>52</v>
      </c>
      <c r="J96" s="34">
        <v>1055611</v>
      </c>
      <c r="K96" s="34">
        <v>0</v>
      </c>
      <c r="L96" s="34">
        <v>1012256</v>
      </c>
      <c r="M96" s="34">
        <v>522091</v>
      </c>
      <c r="N96" s="34">
        <v>0</v>
      </c>
      <c r="O96" s="34">
        <v>0</v>
      </c>
      <c r="P96" s="34">
        <v>0</v>
      </c>
      <c r="Q96" s="34">
        <v>2623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/>
      <c r="X96" s="34"/>
      <c r="Y96" s="34"/>
      <c r="Z96" s="31">
        <f t="shared" si="3"/>
        <v>2623</v>
      </c>
      <c r="AA96" s="34">
        <v>2623</v>
      </c>
      <c r="AB96" s="32">
        <v>4</v>
      </c>
      <c r="AC96" s="33">
        <v>44232</v>
      </c>
      <c r="AD96" s="36">
        <v>44252</v>
      </c>
      <c r="AE96" s="34"/>
      <c r="AF96" s="35"/>
      <c r="AG96" s="27"/>
      <c r="AH96" s="36"/>
      <c r="AI96" s="34"/>
      <c r="AJ96" s="32"/>
      <c r="AK96" s="27"/>
      <c r="AL96" s="36"/>
      <c r="AM96" s="34"/>
      <c r="AN96" s="32"/>
      <c r="AO96" s="27"/>
      <c r="AP96" s="36"/>
      <c r="AQ96" s="34"/>
      <c r="AR96" s="32"/>
      <c r="AS96" s="27"/>
      <c r="AT96" s="36"/>
      <c r="AU96" s="37">
        <f t="shared" si="0"/>
        <v>2623</v>
      </c>
      <c r="AV96" s="38">
        <f t="shared" si="1"/>
        <v>0</v>
      </c>
    </row>
    <row r="97" spans="2:48" s="39" customFormat="1" ht="22.5">
      <c r="B97" s="97">
        <v>82</v>
      </c>
      <c r="C97" s="97" t="s">
        <v>39</v>
      </c>
      <c r="D97" s="23">
        <v>40015818</v>
      </c>
      <c r="E97" s="48" t="s">
        <v>1177</v>
      </c>
      <c r="F97" s="48" t="s">
        <v>51</v>
      </c>
      <c r="G97" s="26" t="s">
        <v>1059</v>
      </c>
      <c r="H97" s="26" t="s">
        <v>150</v>
      </c>
      <c r="I97" s="49" t="s">
        <v>52</v>
      </c>
      <c r="J97" s="34">
        <v>3149706</v>
      </c>
      <c r="K97" s="34">
        <v>3067</v>
      </c>
      <c r="L97" s="34">
        <v>3065061</v>
      </c>
      <c r="M97" s="34">
        <v>1067908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12000</v>
      </c>
      <c r="U97" s="34">
        <v>0</v>
      </c>
      <c r="V97" s="34">
        <v>0</v>
      </c>
      <c r="W97" s="34"/>
      <c r="X97" s="34"/>
      <c r="Y97" s="34"/>
      <c r="Z97" s="31">
        <f t="shared" si="3"/>
        <v>12000</v>
      </c>
      <c r="AA97" s="34">
        <v>12270</v>
      </c>
      <c r="AB97" s="32">
        <v>4</v>
      </c>
      <c r="AC97" s="33">
        <v>44232</v>
      </c>
      <c r="AD97" s="36">
        <v>44252</v>
      </c>
      <c r="AE97" s="34"/>
      <c r="AF97" s="35"/>
      <c r="AG97" s="27"/>
      <c r="AH97" s="36"/>
      <c r="AI97" s="34"/>
      <c r="AJ97" s="32"/>
      <c r="AK97" s="27"/>
      <c r="AL97" s="36"/>
      <c r="AM97" s="34"/>
      <c r="AN97" s="32"/>
      <c r="AO97" s="27"/>
      <c r="AP97" s="36"/>
      <c r="AQ97" s="34"/>
      <c r="AR97" s="32"/>
      <c r="AS97" s="27"/>
      <c r="AT97" s="36"/>
      <c r="AU97" s="37">
        <f t="shared" si="0"/>
        <v>12270</v>
      </c>
      <c r="AV97" s="38">
        <f t="shared" si="1"/>
        <v>270</v>
      </c>
    </row>
    <row r="98" spans="2:48" s="39" customFormat="1" ht="22.5">
      <c r="B98" s="97">
        <v>83</v>
      </c>
      <c r="C98" s="97" t="s">
        <v>39</v>
      </c>
      <c r="D98" s="23">
        <v>40019595</v>
      </c>
      <c r="E98" s="48" t="s">
        <v>1178</v>
      </c>
      <c r="F98" s="48" t="s">
        <v>51</v>
      </c>
      <c r="G98" s="26" t="s">
        <v>1059</v>
      </c>
      <c r="H98" s="26" t="s">
        <v>1141</v>
      </c>
      <c r="I98" s="49" t="s">
        <v>52</v>
      </c>
      <c r="J98" s="34">
        <v>1739031</v>
      </c>
      <c r="K98" s="34">
        <v>0</v>
      </c>
      <c r="L98" s="34">
        <v>42943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1350</v>
      </c>
      <c r="S98" s="34">
        <v>0</v>
      </c>
      <c r="T98" s="34">
        <v>381523</v>
      </c>
      <c r="U98" s="34">
        <v>194393</v>
      </c>
      <c r="V98" s="34">
        <v>218408</v>
      </c>
      <c r="W98" s="34"/>
      <c r="X98" s="34"/>
      <c r="Y98" s="34"/>
      <c r="Z98" s="31">
        <f t="shared" si="3"/>
        <v>795674</v>
      </c>
      <c r="AA98" s="34">
        <v>27336</v>
      </c>
      <c r="AB98" s="32">
        <v>4</v>
      </c>
      <c r="AC98" s="33">
        <v>44232</v>
      </c>
      <c r="AD98" s="36">
        <v>44252</v>
      </c>
      <c r="AE98" s="34">
        <v>400000</v>
      </c>
      <c r="AF98" s="35">
        <v>15</v>
      </c>
      <c r="AG98" s="33">
        <v>44333</v>
      </c>
      <c r="AH98" s="36">
        <v>44355</v>
      </c>
      <c r="AI98" s="34">
        <v>1230484</v>
      </c>
      <c r="AJ98" s="32">
        <v>27</v>
      </c>
      <c r="AK98" s="33">
        <v>44421</v>
      </c>
      <c r="AL98" s="36">
        <v>44438</v>
      </c>
      <c r="AM98" s="34"/>
      <c r="AN98" s="32"/>
      <c r="AO98" s="27"/>
      <c r="AP98" s="36"/>
      <c r="AQ98" s="34"/>
      <c r="AR98" s="32"/>
      <c r="AS98" s="27"/>
      <c r="AT98" s="36"/>
      <c r="AU98" s="37">
        <f t="shared" si="0"/>
        <v>1657820</v>
      </c>
      <c r="AV98" s="38">
        <f t="shared" si="1"/>
        <v>862146</v>
      </c>
    </row>
    <row r="99" spans="2:48" s="39" customFormat="1" ht="22.5">
      <c r="B99" s="97">
        <v>84</v>
      </c>
      <c r="C99" s="97" t="s">
        <v>39</v>
      </c>
      <c r="D99" s="23">
        <v>40024085</v>
      </c>
      <c r="E99" s="48" t="s">
        <v>1179</v>
      </c>
      <c r="F99" s="48" t="s">
        <v>51</v>
      </c>
      <c r="G99" s="26" t="s">
        <v>1059</v>
      </c>
      <c r="H99" s="26" t="s">
        <v>1070</v>
      </c>
      <c r="I99" s="49" t="s">
        <v>52</v>
      </c>
      <c r="J99" s="34">
        <v>2471575</v>
      </c>
      <c r="K99" s="34">
        <v>0</v>
      </c>
      <c r="L99" s="34">
        <v>2471574</v>
      </c>
      <c r="M99" s="34">
        <v>2461575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/>
      <c r="X99" s="34"/>
      <c r="Y99" s="34"/>
      <c r="Z99" s="31">
        <f t="shared" si="3"/>
        <v>0</v>
      </c>
      <c r="AA99" s="34">
        <v>1</v>
      </c>
      <c r="AB99" s="32">
        <v>4</v>
      </c>
      <c r="AC99" s="33">
        <v>44232</v>
      </c>
      <c r="AD99" s="36">
        <v>44252</v>
      </c>
      <c r="AE99" s="34"/>
      <c r="AF99" s="35"/>
      <c r="AG99" s="27"/>
      <c r="AH99" s="36"/>
      <c r="AI99" s="34"/>
      <c r="AJ99" s="32"/>
      <c r="AK99" s="27"/>
      <c r="AL99" s="36"/>
      <c r="AM99" s="34"/>
      <c r="AN99" s="32"/>
      <c r="AO99" s="27"/>
      <c r="AP99" s="36"/>
      <c r="AQ99" s="34"/>
      <c r="AR99" s="32"/>
      <c r="AS99" s="27"/>
      <c r="AT99" s="36"/>
      <c r="AU99" s="37">
        <f t="shared" si="0"/>
        <v>1</v>
      </c>
      <c r="AV99" s="38">
        <f t="shared" si="1"/>
        <v>1</v>
      </c>
    </row>
    <row r="100" spans="2:48" s="39" customFormat="1" ht="22.5">
      <c r="B100" s="97">
        <v>85</v>
      </c>
      <c r="C100" s="97" t="s">
        <v>39</v>
      </c>
      <c r="D100" s="23">
        <v>40024088</v>
      </c>
      <c r="E100" s="48" t="s">
        <v>1180</v>
      </c>
      <c r="F100" s="48" t="s">
        <v>51</v>
      </c>
      <c r="G100" s="26" t="s">
        <v>1059</v>
      </c>
      <c r="H100" s="26" t="s">
        <v>1077</v>
      </c>
      <c r="I100" s="49" t="s">
        <v>52</v>
      </c>
      <c r="J100" s="34">
        <v>2171507</v>
      </c>
      <c r="K100" s="34">
        <v>0</v>
      </c>
      <c r="L100" s="34">
        <v>2171506</v>
      </c>
      <c r="M100" s="34">
        <v>2161507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34">
        <v>0</v>
      </c>
      <c r="W100" s="34"/>
      <c r="X100" s="34"/>
      <c r="Y100" s="34"/>
      <c r="Z100" s="31">
        <f t="shared" si="3"/>
        <v>0</v>
      </c>
      <c r="AA100" s="34">
        <v>1</v>
      </c>
      <c r="AB100" s="32">
        <v>4</v>
      </c>
      <c r="AC100" s="33">
        <v>44232</v>
      </c>
      <c r="AD100" s="36">
        <v>44252</v>
      </c>
      <c r="AE100" s="34"/>
      <c r="AF100" s="35"/>
      <c r="AG100" s="27"/>
      <c r="AH100" s="36"/>
      <c r="AI100" s="34"/>
      <c r="AJ100" s="32"/>
      <c r="AK100" s="27"/>
      <c r="AL100" s="36"/>
      <c r="AM100" s="34"/>
      <c r="AN100" s="32"/>
      <c r="AO100" s="27"/>
      <c r="AP100" s="36"/>
      <c r="AQ100" s="34"/>
      <c r="AR100" s="32"/>
      <c r="AS100" s="27"/>
      <c r="AT100" s="36"/>
      <c r="AU100" s="37">
        <f t="shared" si="0"/>
        <v>1</v>
      </c>
      <c r="AV100" s="38">
        <f t="shared" si="1"/>
        <v>1</v>
      </c>
    </row>
    <row r="101" spans="2:48" s="39" customFormat="1" ht="22.5">
      <c r="B101" s="97">
        <v>86</v>
      </c>
      <c r="C101" s="97" t="s">
        <v>39</v>
      </c>
      <c r="D101" s="23">
        <v>20141752</v>
      </c>
      <c r="E101" s="48" t="s">
        <v>1181</v>
      </c>
      <c r="F101" s="48" t="s">
        <v>51</v>
      </c>
      <c r="G101" s="26" t="s">
        <v>1059</v>
      </c>
      <c r="H101" s="26" t="s">
        <v>1070</v>
      </c>
      <c r="I101" s="49" t="s">
        <v>44</v>
      </c>
      <c r="J101" s="273">
        <v>751844</v>
      </c>
      <c r="K101" s="34">
        <v>4518</v>
      </c>
      <c r="L101" s="34">
        <v>4757896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34">
        <v>0</v>
      </c>
      <c r="W101" s="34"/>
      <c r="X101" s="34"/>
      <c r="Y101" s="34"/>
      <c r="Z101" s="31">
        <f t="shared" si="3"/>
        <v>0</v>
      </c>
      <c r="AA101" s="34">
        <v>1</v>
      </c>
      <c r="AB101" s="32">
        <v>7</v>
      </c>
      <c r="AC101" s="33">
        <v>44260</v>
      </c>
      <c r="AD101" s="36">
        <v>44287</v>
      </c>
      <c r="AE101" s="34"/>
      <c r="AF101" s="35"/>
      <c r="AG101" s="27"/>
      <c r="AH101" s="36"/>
      <c r="AI101" s="34"/>
      <c r="AJ101" s="32"/>
      <c r="AK101" s="27"/>
      <c r="AL101" s="36"/>
      <c r="AM101" s="34"/>
      <c r="AN101" s="32"/>
      <c r="AO101" s="27"/>
      <c r="AP101" s="36"/>
      <c r="AQ101" s="34"/>
      <c r="AR101" s="32"/>
      <c r="AS101" s="27"/>
      <c r="AT101" s="36"/>
      <c r="AU101" s="37">
        <f t="shared" si="0"/>
        <v>1</v>
      </c>
      <c r="AV101" s="38">
        <f t="shared" si="1"/>
        <v>1</v>
      </c>
    </row>
    <row r="102" spans="2:48" s="39" customFormat="1" ht="22.5">
      <c r="B102" s="97">
        <v>87</v>
      </c>
      <c r="C102" s="97" t="s">
        <v>39</v>
      </c>
      <c r="D102" s="23">
        <v>30127021</v>
      </c>
      <c r="E102" s="48" t="s">
        <v>1182</v>
      </c>
      <c r="F102" s="48" t="s">
        <v>47</v>
      </c>
      <c r="G102" s="26" t="s">
        <v>1059</v>
      </c>
      <c r="H102" s="26" t="s">
        <v>1070</v>
      </c>
      <c r="I102" s="49" t="s">
        <v>52</v>
      </c>
      <c r="J102" s="273">
        <v>287628</v>
      </c>
      <c r="K102" s="34">
        <v>0</v>
      </c>
      <c r="L102" s="34">
        <v>277926</v>
      </c>
      <c r="M102" s="34">
        <v>198978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/>
      <c r="X102" s="34"/>
      <c r="Y102" s="34"/>
      <c r="Z102" s="31">
        <f t="shared" si="3"/>
        <v>0</v>
      </c>
      <c r="AA102" s="34">
        <v>3374</v>
      </c>
      <c r="AB102" s="32">
        <v>7</v>
      </c>
      <c r="AC102" s="33">
        <v>44260</v>
      </c>
      <c r="AD102" s="36">
        <v>44287</v>
      </c>
      <c r="AE102" s="34"/>
      <c r="AF102" s="35"/>
      <c r="AG102" s="27"/>
      <c r="AH102" s="36"/>
      <c r="AI102" s="34"/>
      <c r="AJ102" s="32"/>
      <c r="AK102" s="27"/>
      <c r="AL102" s="36"/>
      <c r="AM102" s="34"/>
      <c r="AN102" s="32"/>
      <c r="AO102" s="27"/>
      <c r="AP102" s="36"/>
      <c r="AQ102" s="34"/>
      <c r="AR102" s="32"/>
      <c r="AS102" s="27"/>
      <c r="AT102" s="36"/>
      <c r="AU102" s="37">
        <f t="shared" si="0"/>
        <v>3374</v>
      </c>
      <c r="AV102" s="38">
        <f t="shared" si="1"/>
        <v>3374</v>
      </c>
    </row>
    <row r="103" spans="2:48" s="39" customFormat="1" ht="22.5">
      <c r="B103" s="97">
        <v>88</v>
      </c>
      <c r="C103" s="97" t="s">
        <v>39</v>
      </c>
      <c r="D103" s="23">
        <v>30135456</v>
      </c>
      <c r="E103" s="48" t="s">
        <v>1183</v>
      </c>
      <c r="F103" s="48" t="s">
        <v>47</v>
      </c>
      <c r="G103" s="26" t="s">
        <v>1059</v>
      </c>
      <c r="H103" s="26" t="s">
        <v>1075</v>
      </c>
      <c r="I103" s="49" t="s">
        <v>52</v>
      </c>
      <c r="J103" s="273">
        <v>102613</v>
      </c>
      <c r="K103" s="34">
        <v>1878</v>
      </c>
      <c r="L103" s="34">
        <v>56000</v>
      </c>
      <c r="M103" s="34">
        <v>50368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/>
      <c r="X103" s="34"/>
      <c r="Y103" s="34"/>
      <c r="Z103" s="31">
        <f t="shared" si="3"/>
        <v>0</v>
      </c>
      <c r="AA103" s="34">
        <v>1</v>
      </c>
      <c r="AB103" s="32">
        <v>7</v>
      </c>
      <c r="AC103" s="33">
        <v>44260</v>
      </c>
      <c r="AD103" s="36">
        <v>44287</v>
      </c>
      <c r="AE103" s="34"/>
      <c r="AF103" s="35"/>
      <c r="AG103" s="27"/>
      <c r="AH103" s="36"/>
      <c r="AI103" s="34"/>
      <c r="AJ103" s="32"/>
      <c r="AK103" s="27"/>
      <c r="AL103" s="36"/>
      <c r="AM103" s="34"/>
      <c r="AN103" s="32"/>
      <c r="AO103" s="27"/>
      <c r="AP103" s="36"/>
      <c r="AQ103" s="34"/>
      <c r="AR103" s="32"/>
      <c r="AS103" s="27"/>
      <c r="AT103" s="36"/>
      <c r="AU103" s="37">
        <f t="shared" si="0"/>
        <v>1</v>
      </c>
      <c r="AV103" s="38">
        <f t="shared" si="1"/>
        <v>1</v>
      </c>
    </row>
    <row r="104" spans="2:48" s="39" customFormat="1" ht="22.5">
      <c r="B104" s="97">
        <v>89</v>
      </c>
      <c r="C104" s="97" t="s">
        <v>39</v>
      </c>
      <c r="D104" s="23">
        <v>30361824</v>
      </c>
      <c r="E104" s="48" t="s">
        <v>1184</v>
      </c>
      <c r="F104" s="48" t="s">
        <v>51</v>
      </c>
      <c r="G104" s="26" t="s">
        <v>1059</v>
      </c>
      <c r="H104" s="26" t="s">
        <v>1063</v>
      </c>
      <c r="I104" s="49" t="s">
        <v>52</v>
      </c>
      <c r="J104" s="273">
        <v>668004</v>
      </c>
      <c r="K104" s="34">
        <v>0</v>
      </c>
      <c r="L104" s="34">
        <v>347670</v>
      </c>
      <c r="M104" s="34">
        <v>408004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1000</v>
      </c>
      <c r="V104" s="34">
        <v>1000</v>
      </c>
      <c r="W104" s="34"/>
      <c r="X104" s="34"/>
      <c r="Y104" s="34"/>
      <c r="Z104" s="31">
        <f t="shared" si="3"/>
        <v>2000</v>
      </c>
      <c r="AA104" s="34">
        <v>260000</v>
      </c>
      <c r="AB104" s="32">
        <v>7</v>
      </c>
      <c r="AC104" s="33">
        <v>44260</v>
      </c>
      <c r="AD104" s="36">
        <v>44287</v>
      </c>
      <c r="AE104" s="34"/>
      <c r="AF104" s="35"/>
      <c r="AG104" s="27"/>
      <c r="AH104" s="36"/>
      <c r="AI104" s="34"/>
      <c r="AJ104" s="32"/>
      <c r="AK104" s="27"/>
      <c r="AL104" s="36"/>
      <c r="AM104" s="34"/>
      <c r="AN104" s="32"/>
      <c r="AO104" s="27"/>
      <c r="AP104" s="36"/>
      <c r="AQ104" s="34"/>
      <c r="AR104" s="32"/>
      <c r="AS104" s="27"/>
      <c r="AT104" s="36"/>
      <c r="AU104" s="37">
        <f t="shared" si="0"/>
        <v>260000</v>
      </c>
      <c r="AV104" s="38">
        <f t="shared" si="1"/>
        <v>258000</v>
      </c>
    </row>
    <row r="105" spans="2:48" s="39" customFormat="1" ht="22.5">
      <c r="B105" s="97">
        <v>90</v>
      </c>
      <c r="C105" s="97" t="s">
        <v>39</v>
      </c>
      <c r="D105" s="23">
        <v>30419226</v>
      </c>
      <c r="E105" s="48" t="s">
        <v>1185</v>
      </c>
      <c r="F105" s="48" t="s">
        <v>51</v>
      </c>
      <c r="G105" s="26" t="s">
        <v>1059</v>
      </c>
      <c r="H105" s="26" t="s">
        <v>1136</v>
      </c>
      <c r="I105" s="49" t="s">
        <v>44</v>
      </c>
      <c r="J105" s="273">
        <v>1901740</v>
      </c>
      <c r="K105" s="34">
        <v>136018</v>
      </c>
      <c r="L105" s="34">
        <v>1398935</v>
      </c>
      <c r="M105" s="34">
        <v>1142798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/>
      <c r="X105" s="34"/>
      <c r="Y105" s="34"/>
      <c r="Z105" s="31">
        <f t="shared" si="3"/>
        <v>0</v>
      </c>
      <c r="AA105" s="34">
        <v>36394</v>
      </c>
      <c r="AB105" s="32">
        <v>7</v>
      </c>
      <c r="AC105" s="33">
        <v>44260</v>
      </c>
      <c r="AD105" s="36">
        <v>44287</v>
      </c>
      <c r="AE105" s="34"/>
      <c r="AF105" s="35"/>
      <c r="AG105" s="27"/>
      <c r="AH105" s="36"/>
      <c r="AI105" s="34"/>
      <c r="AJ105" s="32"/>
      <c r="AK105" s="27"/>
      <c r="AL105" s="36"/>
      <c r="AM105" s="34"/>
      <c r="AN105" s="32"/>
      <c r="AO105" s="27"/>
      <c r="AP105" s="36"/>
      <c r="AQ105" s="34"/>
      <c r="AR105" s="32"/>
      <c r="AS105" s="27"/>
      <c r="AT105" s="36"/>
      <c r="AU105" s="37">
        <f t="shared" si="0"/>
        <v>36394</v>
      </c>
      <c r="AV105" s="38">
        <f t="shared" si="1"/>
        <v>36394</v>
      </c>
    </row>
    <row r="106" spans="2:48" s="39" customFormat="1" ht="33.75">
      <c r="B106" s="97">
        <v>91</v>
      </c>
      <c r="C106" s="97" t="s">
        <v>39</v>
      </c>
      <c r="D106" s="23">
        <v>30460850</v>
      </c>
      <c r="E106" s="48" t="s">
        <v>1186</v>
      </c>
      <c r="F106" s="48" t="s">
        <v>51</v>
      </c>
      <c r="G106" s="26" t="s">
        <v>1059</v>
      </c>
      <c r="H106" s="26" t="s">
        <v>1105</v>
      </c>
      <c r="I106" s="49" t="s">
        <v>52</v>
      </c>
      <c r="J106" s="273">
        <v>473666</v>
      </c>
      <c r="K106" s="34">
        <v>0</v>
      </c>
      <c r="L106" s="34">
        <v>181102</v>
      </c>
      <c r="M106" s="34">
        <v>0</v>
      </c>
      <c r="N106" s="34">
        <v>0</v>
      </c>
      <c r="O106" s="34">
        <v>0</v>
      </c>
      <c r="P106" s="34">
        <v>0</v>
      </c>
      <c r="Q106" s="34">
        <v>4104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/>
      <c r="X106" s="34"/>
      <c r="Y106" s="34"/>
      <c r="Z106" s="31">
        <f t="shared" si="3"/>
        <v>4104</v>
      </c>
      <c r="AA106" s="34">
        <v>4196</v>
      </c>
      <c r="AB106" s="32">
        <v>7</v>
      </c>
      <c r="AC106" s="33">
        <v>44260</v>
      </c>
      <c r="AD106" s="36">
        <v>44287</v>
      </c>
      <c r="AE106" s="34">
        <v>63458</v>
      </c>
      <c r="AF106" s="35">
        <v>15</v>
      </c>
      <c r="AG106" s="33">
        <v>44333</v>
      </c>
      <c r="AH106" s="36">
        <v>44355</v>
      </c>
      <c r="AI106" s="34"/>
      <c r="AJ106" s="32"/>
      <c r="AK106" s="27"/>
      <c r="AL106" s="36"/>
      <c r="AM106" s="34"/>
      <c r="AN106" s="32"/>
      <c r="AO106" s="27"/>
      <c r="AP106" s="36"/>
      <c r="AQ106" s="34"/>
      <c r="AR106" s="32"/>
      <c r="AS106" s="27"/>
      <c r="AT106" s="36"/>
      <c r="AU106" s="37">
        <f t="shared" si="0"/>
        <v>67654</v>
      </c>
      <c r="AV106" s="38">
        <f t="shared" si="1"/>
        <v>63550</v>
      </c>
    </row>
    <row r="107" spans="2:48" s="39" customFormat="1" ht="22.5">
      <c r="B107" s="97">
        <v>92</v>
      </c>
      <c r="C107" s="97" t="s">
        <v>39</v>
      </c>
      <c r="D107" s="23">
        <v>40007853</v>
      </c>
      <c r="E107" s="48" t="s">
        <v>1187</v>
      </c>
      <c r="F107" s="48" t="s">
        <v>51</v>
      </c>
      <c r="G107" s="26" t="s">
        <v>1059</v>
      </c>
      <c r="H107" s="26" t="s">
        <v>1077</v>
      </c>
      <c r="I107" s="49" t="s">
        <v>52</v>
      </c>
      <c r="J107" s="273">
        <v>1699616</v>
      </c>
      <c r="K107" s="34">
        <v>1080</v>
      </c>
      <c r="L107" s="34">
        <v>1660604</v>
      </c>
      <c r="M107" s="34">
        <v>1601103</v>
      </c>
      <c r="N107" s="34">
        <v>0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/>
      <c r="X107" s="34"/>
      <c r="Y107" s="34"/>
      <c r="Z107" s="31">
        <f t="shared" si="3"/>
        <v>0</v>
      </c>
      <c r="AA107" s="34">
        <v>527</v>
      </c>
      <c r="AB107" s="32">
        <v>7</v>
      </c>
      <c r="AC107" s="33">
        <v>44260</v>
      </c>
      <c r="AD107" s="36">
        <v>44287</v>
      </c>
      <c r="AE107" s="34">
        <v>12000</v>
      </c>
      <c r="AF107" s="35">
        <v>15</v>
      </c>
      <c r="AG107" s="33">
        <v>44333</v>
      </c>
      <c r="AH107" s="36">
        <v>44355</v>
      </c>
      <c r="AI107" s="34"/>
      <c r="AJ107" s="32"/>
      <c r="AK107" s="27"/>
      <c r="AL107" s="36"/>
      <c r="AM107" s="34"/>
      <c r="AN107" s="32"/>
      <c r="AO107" s="27"/>
      <c r="AP107" s="36"/>
      <c r="AQ107" s="34"/>
      <c r="AR107" s="32"/>
      <c r="AS107" s="27"/>
      <c r="AT107" s="36"/>
      <c r="AU107" s="37">
        <f t="shared" si="0"/>
        <v>12527</v>
      </c>
      <c r="AV107" s="38">
        <f t="shared" si="1"/>
        <v>12527</v>
      </c>
    </row>
    <row r="108" spans="2:48" s="39" customFormat="1" ht="22.5">
      <c r="B108" s="97">
        <v>93</v>
      </c>
      <c r="C108" s="97" t="s">
        <v>39</v>
      </c>
      <c r="D108" s="23">
        <v>30108960</v>
      </c>
      <c r="E108" s="48" t="s">
        <v>1188</v>
      </c>
      <c r="F108" s="48" t="s">
        <v>317</v>
      </c>
      <c r="G108" s="26" t="s">
        <v>1059</v>
      </c>
      <c r="H108" s="26" t="s">
        <v>1189</v>
      </c>
      <c r="I108" s="49" t="s">
        <v>44</v>
      </c>
      <c r="J108" s="281">
        <v>18000000</v>
      </c>
      <c r="K108" s="34">
        <v>0</v>
      </c>
      <c r="L108" s="34">
        <v>17728000</v>
      </c>
      <c r="M108" s="34">
        <v>17700000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/>
      <c r="X108" s="34"/>
      <c r="Y108" s="34"/>
      <c r="Z108" s="31">
        <f t="shared" si="3"/>
        <v>0</v>
      </c>
      <c r="AA108" s="34">
        <v>200000</v>
      </c>
      <c r="AB108" s="32">
        <v>11</v>
      </c>
      <c r="AC108" s="33">
        <v>44307</v>
      </c>
      <c r="AD108" s="36">
        <v>44328</v>
      </c>
      <c r="AE108" s="34">
        <v>72000</v>
      </c>
      <c r="AF108" s="35">
        <v>26</v>
      </c>
      <c r="AG108" s="33">
        <v>44396</v>
      </c>
      <c r="AH108" s="36">
        <v>44420</v>
      </c>
      <c r="AI108" s="34"/>
      <c r="AJ108" s="32"/>
      <c r="AK108" s="27"/>
      <c r="AL108" s="36"/>
      <c r="AM108" s="34"/>
      <c r="AN108" s="32"/>
      <c r="AO108" s="27"/>
      <c r="AP108" s="36"/>
      <c r="AQ108" s="34"/>
      <c r="AR108" s="32"/>
      <c r="AS108" s="27"/>
      <c r="AT108" s="36"/>
      <c r="AU108" s="37">
        <f t="shared" si="0"/>
        <v>272000</v>
      </c>
      <c r="AV108" s="38">
        <f t="shared" si="1"/>
        <v>272000</v>
      </c>
    </row>
    <row r="109" spans="2:48" s="39" customFormat="1" ht="22.5">
      <c r="B109" s="97">
        <v>94</v>
      </c>
      <c r="C109" s="97" t="s">
        <v>39</v>
      </c>
      <c r="D109" s="23">
        <v>30396076</v>
      </c>
      <c r="E109" s="48" t="s">
        <v>1190</v>
      </c>
      <c r="F109" s="48" t="s">
        <v>317</v>
      </c>
      <c r="G109" s="26" t="s">
        <v>1059</v>
      </c>
      <c r="H109" s="26" t="s">
        <v>1060</v>
      </c>
      <c r="I109" s="49" t="s">
        <v>52</v>
      </c>
      <c r="J109" s="273">
        <v>1682162</v>
      </c>
      <c r="K109" s="34">
        <v>2449</v>
      </c>
      <c r="L109" s="34">
        <v>1243514</v>
      </c>
      <c r="M109" s="34">
        <v>949001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0</v>
      </c>
      <c r="V109" s="34">
        <v>0</v>
      </c>
      <c r="W109" s="34"/>
      <c r="X109" s="34"/>
      <c r="Y109" s="34"/>
      <c r="Z109" s="31">
        <f t="shared" si="3"/>
        <v>0</v>
      </c>
      <c r="AA109" s="34">
        <v>95060</v>
      </c>
      <c r="AB109" s="32">
        <v>11</v>
      </c>
      <c r="AC109" s="33">
        <v>44307</v>
      </c>
      <c r="AD109" s="36">
        <v>44328</v>
      </c>
      <c r="AE109" s="34">
        <v>1</v>
      </c>
      <c r="AF109" s="32">
        <v>15</v>
      </c>
      <c r="AG109" s="33">
        <v>44333</v>
      </c>
      <c r="AH109" s="36">
        <v>44355</v>
      </c>
      <c r="AI109" s="34"/>
      <c r="AJ109" s="32"/>
      <c r="AK109" s="27"/>
      <c r="AL109" s="36"/>
      <c r="AM109" s="34"/>
      <c r="AN109" s="32"/>
      <c r="AO109" s="27"/>
      <c r="AP109" s="36"/>
      <c r="AQ109" s="34"/>
      <c r="AR109" s="32"/>
      <c r="AS109" s="27"/>
      <c r="AT109" s="36"/>
      <c r="AU109" s="37">
        <f t="shared" si="0"/>
        <v>95061</v>
      </c>
      <c r="AV109" s="38">
        <f t="shared" si="1"/>
        <v>95061</v>
      </c>
    </row>
    <row r="110" spans="2:48" s="39" customFormat="1" ht="22.5">
      <c r="B110" s="97">
        <v>95</v>
      </c>
      <c r="C110" s="97" t="s">
        <v>39</v>
      </c>
      <c r="D110" s="23">
        <v>30485940</v>
      </c>
      <c r="E110" s="48" t="s">
        <v>1191</v>
      </c>
      <c r="F110" s="48" t="s">
        <v>47</v>
      </c>
      <c r="G110" s="26" t="s">
        <v>1059</v>
      </c>
      <c r="H110" s="26" t="s">
        <v>1170</v>
      </c>
      <c r="I110" s="49" t="s">
        <v>52</v>
      </c>
      <c r="J110" s="273">
        <v>65403</v>
      </c>
      <c r="K110" s="34">
        <v>1663</v>
      </c>
      <c r="L110" s="34">
        <v>33572</v>
      </c>
      <c r="M110" s="34">
        <v>31870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12748</v>
      </c>
      <c r="V110" s="34">
        <v>0</v>
      </c>
      <c r="W110" s="34"/>
      <c r="X110" s="34"/>
      <c r="Y110" s="34"/>
      <c r="Z110" s="31">
        <f t="shared" si="3"/>
        <v>12748</v>
      </c>
      <c r="AA110" s="34">
        <v>31870</v>
      </c>
      <c r="AB110" s="32">
        <v>11</v>
      </c>
      <c r="AC110" s="33">
        <v>44307</v>
      </c>
      <c r="AD110" s="36">
        <v>44328</v>
      </c>
      <c r="AE110" s="34"/>
      <c r="AF110" s="35"/>
      <c r="AG110" s="27"/>
      <c r="AH110" s="36"/>
      <c r="AI110" s="34"/>
      <c r="AJ110" s="32"/>
      <c r="AK110" s="27"/>
      <c r="AL110" s="36"/>
      <c r="AM110" s="34"/>
      <c r="AN110" s="32"/>
      <c r="AO110" s="27"/>
      <c r="AP110" s="36"/>
      <c r="AQ110" s="34"/>
      <c r="AR110" s="32"/>
      <c r="AS110" s="27"/>
      <c r="AT110" s="36"/>
      <c r="AU110" s="37">
        <f t="shared" si="0"/>
        <v>31870</v>
      </c>
      <c r="AV110" s="38">
        <f t="shared" si="1"/>
        <v>19122</v>
      </c>
    </row>
    <row r="111" spans="2:48" s="39" customFormat="1" ht="22.5">
      <c r="B111" s="97">
        <v>96</v>
      </c>
      <c r="C111" s="97" t="s">
        <v>39</v>
      </c>
      <c r="D111" s="23">
        <v>40013093</v>
      </c>
      <c r="E111" s="48" t="s">
        <v>1192</v>
      </c>
      <c r="F111" s="48" t="s">
        <v>317</v>
      </c>
      <c r="G111" s="26" t="s">
        <v>1059</v>
      </c>
      <c r="H111" s="26" t="s">
        <v>1193</v>
      </c>
      <c r="I111" s="49" t="s">
        <v>52</v>
      </c>
      <c r="J111" s="273">
        <v>689873</v>
      </c>
      <c r="K111" s="34">
        <v>0</v>
      </c>
      <c r="L111" s="34">
        <v>669693</v>
      </c>
      <c r="M111" s="34">
        <v>633748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34">
        <v>0</v>
      </c>
      <c r="W111" s="34"/>
      <c r="X111" s="34"/>
      <c r="Y111" s="34"/>
      <c r="Z111" s="31">
        <f t="shared" si="3"/>
        <v>0</v>
      </c>
      <c r="AA111" s="34">
        <v>5000</v>
      </c>
      <c r="AB111" s="32">
        <v>11</v>
      </c>
      <c r="AC111" s="33">
        <v>44307</v>
      </c>
      <c r="AD111" s="36">
        <v>44328</v>
      </c>
      <c r="AE111" s="34"/>
      <c r="AF111" s="35"/>
      <c r="AG111" s="27"/>
      <c r="AH111" s="36"/>
      <c r="AI111" s="34"/>
      <c r="AJ111" s="32"/>
      <c r="AK111" s="27"/>
      <c r="AL111" s="36"/>
      <c r="AM111" s="34"/>
      <c r="AN111" s="32"/>
      <c r="AO111" s="27"/>
      <c r="AP111" s="36"/>
      <c r="AQ111" s="34"/>
      <c r="AR111" s="32"/>
      <c r="AS111" s="27"/>
      <c r="AT111" s="36"/>
      <c r="AU111" s="37">
        <f t="shared" si="0"/>
        <v>5000</v>
      </c>
      <c r="AV111" s="38">
        <f t="shared" si="1"/>
        <v>5000</v>
      </c>
    </row>
    <row r="112" spans="2:48" s="39" customFormat="1" ht="22.5">
      <c r="B112" s="97">
        <v>97</v>
      </c>
      <c r="C112" s="97" t="s">
        <v>39</v>
      </c>
      <c r="D112" s="23">
        <v>40018429</v>
      </c>
      <c r="E112" s="48" t="s">
        <v>1194</v>
      </c>
      <c r="F112" s="48" t="s">
        <v>317</v>
      </c>
      <c r="G112" s="26" t="s">
        <v>1059</v>
      </c>
      <c r="H112" s="26" t="s">
        <v>1129</v>
      </c>
      <c r="I112" s="49" t="s">
        <v>52</v>
      </c>
      <c r="J112" s="273">
        <v>1940166</v>
      </c>
      <c r="K112" s="34">
        <v>0</v>
      </c>
      <c r="L112" s="34">
        <v>1896299</v>
      </c>
      <c r="M112" s="34">
        <v>1753469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1150</v>
      </c>
      <c r="V112" s="34">
        <v>0</v>
      </c>
      <c r="W112" s="34"/>
      <c r="X112" s="34"/>
      <c r="Y112" s="34"/>
      <c r="Z112" s="31">
        <f t="shared" si="3"/>
        <v>1150</v>
      </c>
      <c r="AA112" s="34">
        <v>1175</v>
      </c>
      <c r="AB112" s="32">
        <v>11</v>
      </c>
      <c r="AC112" s="33">
        <v>44307</v>
      </c>
      <c r="AD112" s="36">
        <v>44328</v>
      </c>
      <c r="AE112" s="34"/>
      <c r="AF112" s="35"/>
      <c r="AG112" s="27"/>
      <c r="AH112" s="36"/>
      <c r="AI112" s="34"/>
      <c r="AJ112" s="32"/>
      <c r="AK112" s="27"/>
      <c r="AL112" s="36"/>
      <c r="AM112" s="34"/>
      <c r="AN112" s="32"/>
      <c r="AO112" s="27"/>
      <c r="AP112" s="36"/>
      <c r="AQ112" s="34"/>
      <c r="AR112" s="32"/>
      <c r="AS112" s="27"/>
      <c r="AT112" s="36"/>
      <c r="AU112" s="37">
        <f t="shared" si="0"/>
        <v>1175</v>
      </c>
      <c r="AV112" s="38">
        <f t="shared" si="1"/>
        <v>25</v>
      </c>
    </row>
    <row r="113" spans="2:48" s="39" customFormat="1" ht="17.25" customHeight="1">
      <c r="B113" s="97">
        <v>98</v>
      </c>
      <c r="C113" s="97" t="s">
        <v>39</v>
      </c>
      <c r="D113" s="23">
        <v>20159649</v>
      </c>
      <c r="E113" s="48" t="s">
        <v>1195</v>
      </c>
      <c r="F113" s="48" t="s">
        <v>47</v>
      </c>
      <c r="G113" s="26" t="s">
        <v>1059</v>
      </c>
      <c r="H113" s="26" t="s">
        <v>1063</v>
      </c>
      <c r="I113" s="49" t="s">
        <v>52</v>
      </c>
      <c r="J113" s="273">
        <v>882053</v>
      </c>
      <c r="K113" s="34">
        <v>0</v>
      </c>
      <c r="L113" s="34">
        <v>385144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/>
      <c r="X113" s="34"/>
      <c r="Y113" s="34"/>
      <c r="Z113" s="31">
        <f t="shared" si="3"/>
        <v>0</v>
      </c>
      <c r="AA113" s="34">
        <v>9000</v>
      </c>
      <c r="AB113" s="32">
        <v>13</v>
      </c>
      <c r="AC113" s="33">
        <v>44314</v>
      </c>
      <c r="AD113" s="36">
        <v>44340</v>
      </c>
      <c r="AE113" s="34"/>
      <c r="AF113" s="35"/>
      <c r="AG113" s="27"/>
      <c r="AH113" s="36"/>
      <c r="AI113" s="34"/>
      <c r="AJ113" s="32"/>
      <c r="AK113" s="27"/>
      <c r="AL113" s="36"/>
      <c r="AM113" s="34"/>
      <c r="AN113" s="32"/>
      <c r="AO113" s="27"/>
      <c r="AP113" s="36"/>
      <c r="AQ113" s="34"/>
      <c r="AR113" s="32"/>
      <c r="AS113" s="27"/>
      <c r="AT113" s="36"/>
      <c r="AU113" s="37">
        <f t="shared" si="0"/>
        <v>9000</v>
      </c>
      <c r="AV113" s="38">
        <f t="shared" si="1"/>
        <v>9000</v>
      </c>
    </row>
    <row r="114" spans="2:48" s="39" customFormat="1" ht="22.5">
      <c r="B114" s="97">
        <v>99</v>
      </c>
      <c r="C114" s="97" t="s">
        <v>39</v>
      </c>
      <c r="D114" s="23">
        <v>30126910</v>
      </c>
      <c r="E114" s="48" t="s">
        <v>1196</v>
      </c>
      <c r="F114" s="48" t="s">
        <v>317</v>
      </c>
      <c r="G114" s="26" t="s">
        <v>1059</v>
      </c>
      <c r="H114" s="26" t="s">
        <v>1170</v>
      </c>
      <c r="I114" s="49" t="s">
        <v>44</v>
      </c>
      <c r="J114" s="273">
        <v>736454</v>
      </c>
      <c r="K114" s="34">
        <v>701454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0</v>
      </c>
      <c r="V114" s="34">
        <v>0</v>
      </c>
      <c r="W114" s="34"/>
      <c r="X114" s="34"/>
      <c r="Y114" s="34"/>
      <c r="Z114" s="31">
        <f t="shared" si="3"/>
        <v>0</v>
      </c>
      <c r="AA114" s="34">
        <v>35000</v>
      </c>
      <c r="AB114" s="32">
        <v>13</v>
      </c>
      <c r="AC114" s="33">
        <v>44314</v>
      </c>
      <c r="AD114" s="36">
        <v>44340</v>
      </c>
      <c r="AE114" s="34"/>
      <c r="AF114" s="35"/>
      <c r="AG114" s="27"/>
      <c r="AH114" s="36"/>
      <c r="AI114" s="34"/>
      <c r="AJ114" s="32"/>
      <c r="AK114" s="27"/>
      <c r="AL114" s="36"/>
      <c r="AM114" s="34"/>
      <c r="AN114" s="32"/>
      <c r="AO114" s="27"/>
      <c r="AP114" s="36"/>
      <c r="AQ114" s="34"/>
      <c r="AR114" s="32"/>
      <c r="AS114" s="27"/>
      <c r="AT114" s="36"/>
      <c r="AU114" s="37">
        <f t="shared" si="0"/>
        <v>35000</v>
      </c>
      <c r="AV114" s="38">
        <f t="shared" si="1"/>
        <v>35000</v>
      </c>
    </row>
    <row r="115" spans="2:48" s="39" customFormat="1" ht="22.5">
      <c r="B115" s="97">
        <v>100</v>
      </c>
      <c r="C115" s="97" t="s">
        <v>39</v>
      </c>
      <c r="D115" s="23">
        <v>30460853</v>
      </c>
      <c r="E115" s="48" t="s">
        <v>1197</v>
      </c>
      <c r="F115" s="48" t="s">
        <v>317</v>
      </c>
      <c r="G115" s="26" t="s">
        <v>1059</v>
      </c>
      <c r="H115" s="26" t="s">
        <v>1105</v>
      </c>
      <c r="I115" s="49" t="s">
        <v>52</v>
      </c>
      <c r="J115" s="273">
        <v>540721</v>
      </c>
      <c r="K115" s="34">
        <v>0</v>
      </c>
      <c r="L115" s="34">
        <v>539721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/>
      <c r="X115" s="34"/>
      <c r="Y115" s="34"/>
      <c r="Z115" s="31">
        <f t="shared" si="3"/>
        <v>0</v>
      </c>
      <c r="AA115" s="34">
        <v>1000</v>
      </c>
      <c r="AB115" s="32">
        <v>13</v>
      </c>
      <c r="AC115" s="33">
        <v>44314</v>
      </c>
      <c r="AD115" s="36">
        <v>44340</v>
      </c>
      <c r="AE115" s="34"/>
      <c r="AF115" s="35"/>
      <c r="AG115" s="27"/>
      <c r="AH115" s="36"/>
      <c r="AI115" s="34"/>
      <c r="AJ115" s="32"/>
      <c r="AK115" s="27"/>
      <c r="AL115" s="36"/>
      <c r="AM115" s="34"/>
      <c r="AN115" s="32"/>
      <c r="AO115" s="27"/>
      <c r="AP115" s="36"/>
      <c r="AQ115" s="34"/>
      <c r="AR115" s="32"/>
      <c r="AS115" s="27"/>
      <c r="AT115" s="36"/>
      <c r="AU115" s="37">
        <f t="shared" si="0"/>
        <v>1000</v>
      </c>
      <c r="AV115" s="38">
        <f t="shared" si="1"/>
        <v>1000</v>
      </c>
    </row>
    <row r="116" spans="2:48" s="39" customFormat="1" ht="22.5">
      <c r="B116" s="97">
        <v>101</v>
      </c>
      <c r="C116" s="97" t="s">
        <v>39</v>
      </c>
      <c r="D116" s="23">
        <v>30484425</v>
      </c>
      <c r="E116" s="48" t="s">
        <v>1198</v>
      </c>
      <c r="F116" s="48" t="s">
        <v>317</v>
      </c>
      <c r="G116" s="26" t="s">
        <v>1059</v>
      </c>
      <c r="H116" s="26" t="s">
        <v>1129</v>
      </c>
      <c r="I116" s="49" t="s">
        <v>52</v>
      </c>
      <c r="J116" s="273">
        <v>715804</v>
      </c>
      <c r="K116" s="34">
        <v>0</v>
      </c>
      <c r="L116" s="34">
        <v>709149</v>
      </c>
      <c r="M116" s="34">
        <v>242769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4"/>
      <c r="X116" s="34"/>
      <c r="Y116" s="34"/>
      <c r="Z116" s="31">
        <f t="shared" si="3"/>
        <v>0</v>
      </c>
      <c r="AA116" s="34">
        <v>6654</v>
      </c>
      <c r="AB116" s="32">
        <v>13</v>
      </c>
      <c r="AC116" s="33">
        <v>44314</v>
      </c>
      <c r="AD116" s="36">
        <v>44340</v>
      </c>
      <c r="AE116" s="34"/>
      <c r="AF116" s="35"/>
      <c r="AG116" s="27"/>
      <c r="AH116" s="36"/>
      <c r="AI116" s="34"/>
      <c r="AJ116" s="32"/>
      <c r="AK116" s="27"/>
      <c r="AL116" s="36"/>
      <c r="AM116" s="34"/>
      <c r="AN116" s="32"/>
      <c r="AO116" s="27"/>
      <c r="AP116" s="36"/>
      <c r="AQ116" s="34"/>
      <c r="AR116" s="32"/>
      <c r="AS116" s="27"/>
      <c r="AT116" s="36"/>
      <c r="AU116" s="37">
        <f t="shared" si="0"/>
        <v>6654</v>
      </c>
      <c r="AV116" s="38">
        <f t="shared" si="1"/>
        <v>6654</v>
      </c>
    </row>
    <row r="117" spans="2:48" s="39" customFormat="1" ht="22.5">
      <c r="B117" s="97">
        <v>102</v>
      </c>
      <c r="C117" s="97" t="s">
        <v>39</v>
      </c>
      <c r="D117" s="23">
        <v>40015363</v>
      </c>
      <c r="E117" s="48" t="s">
        <v>1199</v>
      </c>
      <c r="F117" s="48" t="s">
        <v>317</v>
      </c>
      <c r="G117" s="26" t="s">
        <v>1059</v>
      </c>
      <c r="H117" s="26" t="s">
        <v>1101</v>
      </c>
      <c r="I117" s="49" t="s">
        <v>52</v>
      </c>
      <c r="J117" s="273">
        <v>1020403</v>
      </c>
      <c r="K117" s="34">
        <v>0</v>
      </c>
      <c r="L117" s="34">
        <v>1008745</v>
      </c>
      <c r="M117" s="34">
        <v>763428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34">
        <v>0</v>
      </c>
      <c r="W117" s="34"/>
      <c r="X117" s="34"/>
      <c r="Y117" s="34"/>
      <c r="Z117" s="31">
        <f t="shared" si="3"/>
        <v>0</v>
      </c>
      <c r="AA117" s="34">
        <v>1</v>
      </c>
      <c r="AB117" s="32">
        <v>13</v>
      </c>
      <c r="AC117" s="33">
        <v>44314</v>
      </c>
      <c r="AD117" s="36">
        <v>44340</v>
      </c>
      <c r="AE117" s="34">
        <v>11654</v>
      </c>
      <c r="AF117" s="32">
        <v>26</v>
      </c>
      <c r="AG117" s="33">
        <v>44396</v>
      </c>
      <c r="AH117" s="36">
        <v>44420</v>
      </c>
      <c r="AI117" s="34"/>
      <c r="AJ117" s="32"/>
      <c r="AK117" s="27"/>
      <c r="AL117" s="36"/>
      <c r="AM117" s="34"/>
      <c r="AN117" s="32"/>
      <c r="AO117" s="27"/>
      <c r="AP117" s="36"/>
      <c r="AQ117" s="34"/>
      <c r="AR117" s="32"/>
      <c r="AS117" s="27"/>
      <c r="AT117" s="36"/>
      <c r="AU117" s="37">
        <f t="shared" si="0"/>
        <v>11655</v>
      </c>
      <c r="AV117" s="38">
        <f t="shared" si="1"/>
        <v>11655</v>
      </c>
    </row>
    <row r="118" spans="2:48" s="39" customFormat="1" ht="17.25" customHeight="1">
      <c r="B118" s="97">
        <v>103</v>
      </c>
      <c r="C118" s="97" t="s">
        <v>39</v>
      </c>
      <c r="D118" s="23">
        <v>40018695</v>
      </c>
      <c r="E118" s="48" t="s">
        <v>1200</v>
      </c>
      <c r="F118" s="48" t="s">
        <v>317</v>
      </c>
      <c r="G118" s="26" t="s">
        <v>1059</v>
      </c>
      <c r="H118" s="26" t="s">
        <v>1136</v>
      </c>
      <c r="I118" s="49" t="s">
        <v>52</v>
      </c>
      <c r="J118" s="273">
        <v>271011</v>
      </c>
      <c r="K118" s="34">
        <v>0</v>
      </c>
      <c r="L118" s="34">
        <v>271010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/>
      <c r="X118" s="34"/>
      <c r="Y118" s="34"/>
      <c r="Z118" s="31">
        <f t="shared" si="3"/>
        <v>0</v>
      </c>
      <c r="AA118" s="34">
        <v>1</v>
      </c>
      <c r="AB118" s="32">
        <v>13</v>
      </c>
      <c r="AC118" s="33">
        <v>44314</v>
      </c>
      <c r="AD118" s="36">
        <v>44340</v>
      </c>
      <c r="AE118" s="34"/>
      <c r="AF118" s="35"/>
      <c r="AG118" s="27"/>
      <c r="AH118" s="36"/>
      <c r="AI118" s="34"/>
      <c r="AJ118" s="32"/>
      <c r="AK118" s="27"/>
      <c r="AL118" s="36"/>
      <c r="AM118" s="34"/>
      <c r="AN118" s="32"/>
      <c r="AO118" s="27"/>
      <c r="AP118" s="36"/>
      <c r="AQ118" s="34"/>
      <c r="AR118" s="32"/>
      <c r="AS118" s="27"/>
      <c r="AT118" s="36"/>
      <c r="AU118" s="37">
        <f t="shared" si="0"/>
        <v>1</v>
      </c>
      <c r="AV118" s="38">
        <f t="shared" si="1"/>
        <v>1</v>
      </c>
    </row>
    <row r="119" spans="2:48" s="39" customFormat="1" ht="22.5">
      <c r="B119" s="97">
        <v>104</v>
      </c>
      <c r="C119" s="97" t="s">
        <v>65</v>
      </c>
      <c r="D119" s="23">
        <v>40008261</v>
      </c>
      <c r="E119" s="48" t="s">
        <v>1201</v>
      </c>
      <c r="F119" s="48" t="s">
        <v>51</v>
      </c>
      <c r="G119" s="26" t="s">
        <v>1059</v>
      </c>
      <c r="H119" s="26" t="s">
        <v>1193</v>
      </c>
      <c r="I119" s="49" t="s">
        <v>44</v>
      </c>
      <c r="J119" s="273">
        <v>129667</v>
      </c>
      <c r="K119" s="34">
        <v>16891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13500</v>
      </c>
      <c r="U119" s="34">
        <v>0</v>
      </c>
      <c r="V119" s="34">
        <v>7513</v>
      </c>
      <c r="W119" s="34"/>
      <c r="X119" s="34"/>
      <c r="Y119" s="34"/>
      <c r="Z119" s="31">
        <f t="shared" si="3"/>
        <v>21013</v>
      </c>
      <c r="AA119" s="34">
        <v>13500</v>
      </c>
      <c r="AB119" s="32">
        <v>14</v>
      </c>
      <c r="AC119" s="33">
        <v>44321</v>
      </c>
      <c r="AD119" s="36">
        <v>44340</v>
      </c>
      <c r="AE119" s="34">
        <v>19534</v>
      </c>
      <c r="AF119" s="35">
        <v>27</v>
      </c>
      <c r="AG119" s="33">
        <v>44421</v>
      </c>
      <c r="AH119" s="36">
        <v>44438</v>
      </c>
      <c r="AI119" s="34"/>
      <c r="AJ119" s="32"/>
      <c r="AK119" s="27"/>
      <c r="AL119" s="36"/>
      <c r="AM119" s="34"/>
      <c r="AN119" s="32"/>
      <c r="AO119" s="27"/>
      <c r="AP119" s="36"/>
      <c r="AQ119" s="34"/>
      <c r="AR119" s="32"/>
      <c r="AS119" s="27"/>
      <c r="AT119" s="36"/>
      <c r="AU119" s="37">
        <f t="shared" si="0"/>
        <v>33034</v>
      </c>
      <c r="AV119" s="38">
        <f t="shared" si="1"/>
        <v>12021</v>
      </c>
    </row>
    <row r="120" spans="2:48" s="39" customFormat="1" ht="22.5">
      <c r="B120" s="97">
        <v>105</v>
      </c>
      <c r="C120" s="97" t="s">
        <v>65</v>
      </c>
      <c r="D120" s="23">
        <v>40026969</v>
      </c>
      <c r="E120" s="48" t="s">
        <v>1202</v>
      </c>
      <c r="F120" s="48" t="s">
        <v>51</v>
      </c>
      <c r="G120" s="26" t="s">
        <v>1059</v>
      </c>
      <c r="H120" s="26" t="s">
        <v>1193</v>
      </c>
      <c r="I120" s="49" t="s">
        <v>52</v>
      </c>
      <c r="J120" s="273">
        <v>425357</v>
      </c>
      <c r="K120" s="34">
        <v>0</v>
      </c>
      <c r="L120" s="34">
        <v>415356</v>
      </c>
      <c r="M120" s="34">
        <v>275357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/>
      <c r="X120" s="34"/>
      <c r="Y120" s="34"/>
      <c r="Z120" s="31">
        <f t="shared" si="3"/>
        <v>0</v>
      </c>
      <c r="AA120" s="34">
        <v>1</v>
      </c>
      <c r="AB120" s="32">
        <v>14</v>
      </c>
      <c r="AC120" s="33">
        <v>44321</v>
      </c>
      <c r="AD120" s="36">
        <v>44340</v>
      </c>
      <c r="AE120" s="34">
        <v>10000</v>
      </c>
      <c r="AF120" s="35">
        <v>27</v>
      </c>
      <c r="AG120" s="33">
        <v>44421</v>
      </c>
      <c r="AH120" s="36">
        <v>44438</v>
      </c>
      <c r="AI120" s="34"/>
      <c r="AJ120" s="32"/>
      <c r="AK120" s="27"/>
      <c r="AL120" s="36"/>
      <c r="AM120" s="34"/>
      <c r="AN120" s="32"/>
      <c r="AO120" s="27"/>
      <c r="AP120" s="36"/>
      <c r="AQ120" s="34"/>
      <c r="AR120" s="32"/>
      <c r="AS120" s="27"/>
      <c r="AT120" s="36"/>
      <c r="AU120" s="37">
        <f t="shared" si="0"/>
        <v>10001</v>
      </c>
      <c r="AV120" s="38">
        <f t="shared" si="1"/>
        <v>10001</v>
      </c>
    </row>
    <row r="121" spans="2:48" s="39" customFormat="1" ht="22.5">
      <c r="B121" s="97">
        <v>106</v>
      </c>
      <c r="C121" s="97" t="s">
        <v>39</v>
      </c>
      <c r="D121" s="23">
        <v>40010448</v>
      </c>
      <c r="E121" s="48" t="s">
        <v>1203</v>
      </c>
      <c r="F121" s="48" t="s">
        <v>51</v>
      </c>
      <c r="G121" s="26" t="s">
        <v>1059</v>
      </c>
      <c r="H121" s="26" t="s">
        <v>1067</v>
      </c>
      <c r="I121" s="49" t="s">
        <v>52</v>
      </c>
      <c r="J121" s="273">
        <v>1219988</v>
      </c>
      <c r="K121" s="34">
        <v>0</v>
      </c>
      <c r="L121" s="34">
        <v>1218908</v>
      </c>
      <c r="M121" s="34">
        <v>698988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/>
      <c r="X121" s="34"/>
      <c r="Y121" s="34"/>
      <c r="Z121" s="31">
        <f t="shared" si="3"/>
        <v>0</v>
      </c>
      <c r="AA121" s="34">
        <v>1080</v>
      </c>
      <c r="AB121" s="32">
        <v>15</v>
      </c>
      <c r="AC121" s="33">
        <v>44333</v>
      </c>
      <c r="AD121" s="36">
        <v>44355</v>
      </c>
      <c r="AE121" s="34"/>
      <c r="AF121" s="35"/>
      <c r="AG121" s="27"/>
      <c r="AH121" s="36"/>
      <c r="AI121" s="34"/>
      <c r="AJ121" s="32"/>
      <c r="AK121" s="27"/>
      <c r="AL121" s="36"/>
      <c r="AM121" s="34"/>
      <c r="AN121" s="32"/>
      <c r="AO121" s="27"/>
      <c r="AP121" s="36"/>
      <c r="AQ121" s="34"/>
      <c r="AR121" s="32"/>
      <c r="AS121" s="27"/>
      <c r="AT121" s="36"/>
      <c r="AU121" s="37">
        <f t="shared" si="0"/>
        <v>1080</v>
      </c>
      <c r="AV121" s="38">
        <f t="shared" si="1"/>
        <v>1080</v>
      </c>
    </row>
    <row r="122" spans="2:48" s="39" customFormat="1">
      <c r="B122" s="97">
        <v>107</v>
      </c>
      <c r="C122" s="97" t="s">
        <v>39</v>
      </c>
      <c r="D122" s="23">
        <v>40018464</v>
      </c>
      <c r="E122" s="48" t="s">
        <v>1204</v>
      </c>
      <c r="F122" s="48" t="s">
        <v>51</v>
      </c>
      <c r="G122" s="26" t="s">
        <v>1059</v>
      </c>
      <c r="H122" s="26" t="s">
        <v>1193</v>
      </c>
      <c r="I122" s="49" t="s">
        <v>52</v>
      </c>
      <c r="J122" s="273">
        <v>31527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0</v>
      </c>
      <c r="V122" s="34">
        <v>0</v>
      </c>
      <c r="W122" s="34"/>
      <c r="X122" s="34"/>
      <c r="Y122" s="34"/>
      <c r="Z122" s="31">
        <f t="shared" si="3"/>
        <v>0</v>
      </c>
      <c r="AA122" s="34">
        <v>31527</v>
      </c>
      <c r="AB122" s="32">
        <v>15</v>
      </c>
      <c r="AC122" s="33">
        <v>44333</v>
      </c>
      <c r="AD122" s="36">
        <v>44355</v>
      </c>
      <c r="AE122" s="34"/>
      <c r="AF122" s="35"/>
      <c r="AG122" s="27"/>
      <c r="AH122" s="36"/>
      <c r="AI122" s="34"/>
      <c r="AJ122" s="32"/>
      <c r="AK122" s="27"/>
      <c r="AL122" s="36"/>
      <c r="AM122" s="34"/>
      <c r="AN122" s="32"/>
      <c r="AO122" s="27"/>
      <c r="AP122" s="36"/>
      <c r="AQ122" s="34"/>
      <c r="AR122" s="32"/>
      <c r="AS122" s="27"/>
      <c r="AT122" s="36"/>
      <c r="AU122" s="37">
        <f t="shared" si="0"/>
        <v>31527</v>
      </c>
      <c r="AV122" s="38">
        <f t="shared" si="1"/>
        <v>31527</v>
      </c>
    </row>
    <row r="123" spans="2:48" s="39" customFormat="1" ht="22.5">
      <c r="B123" s="97">
        <v>108</v>
      </c>
      <c r="C123" s="97" t="s">
        <v>65</v>
      </c>
      <c r="D123" s="23">
        <v>30124352</v>
      </c>
      <c r="E123" s="48" t="s">
        <v>1205</v>
      </c>
      <c r="F123" s="48" t="s">
        <v>51</v>
      </c>
      <c r="G123" s="26" t="s">
        <v>1059</v>
      </c>
      <c r="H123" s="26" t="s">
        <v>1193</v>
      </c>
      <c r="I123" s="49" t="s">
        <v>44</v>
      </c>
      <c r="J123" s="281">
        <v>168821</v>
      </c>
      <c r="K123" s="34">
        <v>156821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/>
      <c r="X123" s="34"/>
      <c r="Y123" s="34"/>
      <c r="Z123" s="31">
        <f t="shared" si="3"/>
        <v>0</v>
      </c>
      <c r="AA123" s="34">
        <v>12000</v>
      </c>
      <c r="AB123" s="32">
        <v>26</v>
      </c>
      <c r="AC123" s="33">
        <v>44396</v>
      </c>
      <c r="AD123" s="36">
        <v>44420</v>
      </c>
      <c r="AE123" s="34"/>
      <c r="AF123" s="35"/>
      <c r="AG123" s="27"/>
      <c r="AH123" s="36"/>
      <c r="AI123" s="34"/>
      <c r="AJ123" s="32"/>
      <c r="AK123" s="27"/>
      <c r="AL123" s="36"/>
      <c r="AM123" s="34"/>
      <c r="AN123" s="32"/>
      <c r="AO123" s="27"/>
      <c r="AP123" s="36"/>
      <c r="AQ123" s="34"/>
      <c r="AR123" s="32"/>
      <c r="AS123" s="27"/>
      <c r="AT123" s="36"/>
      <c r="AU123" s="37">
        <f t="shared" ref="AU123:AU144" si="4">+AA123+AE123+AI123+AM123+AQ123</f>
        <v>12000</v>
      </c>
      <c r="AV123" s="38">
        <f t="shared" ref="AV123:AV144" si="5">+AU123-Z123</f>
        <v>12000</v>
      </c>
    </row>
    <row r="124" spans="2:48" s="39" customFormat="1" ht="22.5">
      <c r="B124" s="97">
        <v>109</v>
      </c>
      <c r="C124" s="97" t="s">
        <v>39</v>
      </c>
      <c r="D124" s="23">
        <v>40023345</v>
      </c>
      <c r="E124" s="48" t="s">
        <v>1206</v>
      </c>
      <c r="F124" s="48" t="s">
        <v>47</v>
      </c>
      <c r="G124" s="26" t="s">
        <v>1059</v>
      </c>
      <c r="H124" s="26" t="s">
        <v>1079</v>
      </c>
      <c r="I124" s="49" t="s">
        <v>52</v>
      </c>
      <c r="J124" s="281">
        <v>26601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0</v>
      </c>
      <c r="W124" s="34"/>
      <c r="X124" s="34"/>
      <c r="Y124" s="34"/>
      <c r="Z124" s="31">
        <f t="shared" si="3"/>
        <v>0</v>
      </c>
      <c r="AA124" s="34">
        <v>26601</v>
      </c>
      <c r="AB124" s="32">
        <v>26</v>
      </c>
      <c r="AC124" s="33">
        <v>44396</v>
      </c>
      <c r="AD124" s="36">
        <v>44420</v>
      </c>
      <c r="AE124" s="34"/>
      <c r="AF124" s="35"/>
      <c r="AG124" s="27"/>
      <c r="AH124" s="36"/>
      <c r="AI124" s="34"/>
      <c r="AJ124" s="32"/>
      <c r="AK124" s="27"/>
      <c r="AL124" s="36"/>
      <c r="AM124" s="34"/>
      <c r="AN124" s="32"/>
      <c r="AO124" s="27"/>
      <c r="AP124" s="36"/>
      <c r="AQ124" s="34"/>
      <c r="AR124" s="32"/>
      <c r="AS124" s="27"/>
      <c r="AT124" s="36"/>
      <c r="AU124" s="37">
        <f t="shared" si="4"/>
        <v>26601</v>
      </c>
      <c r="AV124" s="38">
        <f t="shared" si="5"/>
        <v>26601</v>
      </c>
    </row>
    <row r="125" spans="2:48" s="39" customFormat="1" ht="22.5">
      <c r="B125" s="97">
        <v>110</v>
      </c>
      <c r="C125" s="97" t="s">
        <v>39</v>
      </c>
      <c r="D125" s="23">
        <v>40030461</v>
      </c>
      <c r="E125" s="48" t="s">
        <v>1207</v>
      </c>
      <c r="F125" s="48" t="s">
        <v>51</v>
      </c>
      <c r="G125" s="26" t="s">
        <v>1059</v>
      </c>
      <c r="H125" s="26" t="s">
        <v>1077</v>
      </c>
      <c r="I125" s="49" t="s">
        <v>52</v>
      </c>
      <c r="J125" s="281">
        <v>142000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34">
        <v>0</v>
      </c>
      <c r="W125" s="34"/>
      <c r="X125" s="34"/>
      <c r="Y125" s="34"/>
      <c r="Z125" s="31">
        <f t="shared" si="3"/>
        <v>0</v>
      </c>
      <c r="AA125" s="34">
        <v>2000</v>
      </c>
      <c r="AB125" s="32">
        <v>26</v>
      </c>
      <c r="AC125" s="33">
        <v>44396</v>
      </c>
      <c r="AD125" s="36">
        <v>44420</v>
      </c>
      <c r="AE125" s="34">
        <v>138976</v>
      </c>
      <c r="AF125" s="35">
        <v>34</v>
      </c>
      <c r="AG125" s="33">
        <v>44446</v>
      </c>
      <c r="AH125" s="36">
        <v>44460</v>
      </c>
      <c r="AI125" s="34"/>
      <c r="AJ125" s="32"/>
      <c r="AK125" s="27"/>
      <c r="AL125" s="36"/>
      <c r="AM125" s="34"/>
      <c r="AN125" s="32"/>
      <c r="AO125" s="27"/>
      <c r="AP125" s="36"/>
      <c r="AQ125" s="34"/>
      <c r="AR125" s="32"/>
      <c r="AS125" s="27"/>
      <c r="AT125" s="36"/>
      <c r="AU125" s="37">
        <f t="shared" si="4"/>
        <v>140976</v>
      </c>
      <c r="AV125" s="38">
        <f t="shared" si="5"/>
        <v>140976</v>
      </c>
    </row>
    <row r="126" spans="2:48" s="39" customFormat="1" ht="22.5">
      <c r="B126" s="97">
        <v>111</v>
      </c>
      <c r="C126" s="97" t="s">
        <v>39</v>
      </c>
      <c r="D126" s="23">
        <v>40009709</v>
      </c>
      <c r="E126" s="48" t="s">
        <v>1208</v>
      </c>
      <c r="F126" s="48" t="s">
        <v>317</v>
      </c>
      <c r="G126" s="26" t="s">
        <v>1059</v>
      </c>
      <c r="H126" s="26" t="s">
        <v>1077</v>
      </c>
      <c r="I126" s="49" t="s">
        <v>52</v>
      </c>
      <c r="J126" s="281">
        <v>1109793</v>
      </c>
      <c r="K126" s="34">
        <v>0</v>
      </c>
      <c r="L126" s="34">
        <v>1108260</v>
      </c>
      <c r="M126" s="34">
        <v>1109793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/>
      <c r="X126" s="34"/>
      <c r="Y126" s="34"/>
      <c r="Z126" s="31">
        <f t="shared" si="3"/>
        <v>0</v>
      </c>
      <c r="AA126" s="34">
        <v>1533</v>
      </c>
      <c r="AB126" s="32">
        <v>27</v>
      </c>
      <c r="AC126" s="33">
        <v>44421</v>
      </c>
      <c r="AD126" s="36">
        <v>44438</v>
      </c>
      <c r="AE126" s="34"/>
      <c r="AF126" s="35"/>
      <c r="AG126" s="27"/>
      <c r="AH126" s="36"/>
      <c r="AI126" s="34"/>
      <c r="AJ126" s="32"/>
      <c r="AK126" s="27"/>
      <c r="AL126" s="36"/>
      <c r="AM126" s="34"/>
      <c r="AN126" s="32"/>
      <c r="AO126" s="27"/>
      <c r="AP126" s="36"/>
      <c r="AQ126" s="34"/>
      <c r="AR126" s="32"/>
      <c r="AS126" s="27"/>
      <c r="AT126" s="36"/>
      <c r="AU126" s="37">
        <f t="shared" si="4"/>
        <v>1533</v>
      </c>
      <c r="AV126" s="38">
        <f t="shared" si="5"/>
        <v>1533</v>
      </c>
    </row>
    <row r="127" spans="2:48" s="39" customFormat="1" ht="22.5">
      <c r="B127" s="97">
        <v>112</v>
      </c>
      <c r="C127" s="97" t="s">
        <v>39</v>
      </c>
      <c r="D127" s="23">
        <v>40014546</v>
      </c>
      <c r="E127" s="48" t="s">
        <v>1209</v>
      </c>
      <c r="F127" s="48" t="s">
        <v>317</v>
      </c>
      <c r="G127" s="26" t="s">
        <v>1059</v>
      </c>
      <c r="H127" s="26" t="s">
        <v>1129</v>
      </c>
      <c r="I127" s="49" t="s">
        <v>52</v>
      </c>
      <c r="J127" s="281">
        <v>2354242</v>
      </c>
      <c r="K127" s="34">
        <v>0</v>
      </c>
      <c r="L127" s="34">
        <v>2352708</v>
      </c>
      <c r="M127" s="34">
        <v>1737862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0</v>
      </c>
      <c r="V127" s="34">
        <v>0</v>
      </c>
      <c r="W127" s="34"/>
      <c r="X127" s="34"/>
      <c r="Y127" s="34"/>
      <c r="Z127" s="31">
        <f t="shared" si="3"/>
        <v>0</v>
      </c>
      <c r="AA127" s="34">
        <v>1534</v>
      </c>
      <c r="AB127" s="32">
        <v>27</v>
      </c>
      <c r="AC127" s="33">
        <v>44421</v>
      </c>
      <c r="AD127" s="36">
        <v>44438</v>
      </c>
      <c r="AE127" s="34"/>
      <c r="AF127" s="35"/>
      <c r="AG127" s="27"/>
      <c r="AH127" s="36"/>
      <c r="AI127" s="34"/>
      <c r="AJ127" s="32"/>
      <c r="AK127" s="27"/>
      <c r="AL127" s="36"/>
      <c r="AM127" s="34"/>
      <c r="AN127" s="32"/>
      <c r="AO127" s="27"/>
      <c r="AP127" s="36"/>
      <c r="AQ127" s="34"/>
      <c r="AR127" s="32"/>
      <c r="AS127" s="27"/>
      <c r="AT127" s="36"/>
      <c r="AU127" s="37">
        <f t="shared" si="4"/>
        <v>1534</v>
      </c>
      <c r="AV127" s="38">
        <f t="shared" si="5"/>
        <v>1534</v>
      </c>
    </row>
    <row r="128" spans="2:48" s="39" customFormat="1" ht="22.5">
      <c r="B128" s="97">
        <v>113</v>
      </c>
      <c r="C128" s="97" t="s">
        <v>39</v>
      </c>
      <c r="D128" s="23">
        <v>40023311</v>
      </c>
      <c r="E128" s="48" t="s">
        <v>1210</v>
      </c>
      <c r="F128" s="48" t="s">
        <v>47</v>
      </c>
      <c r="G128" s="26" t="s">
        <v>1059</v>
      </c>
      <c r="H128" s="26" t="s">
        <v>1113</v>
      </c>
      <c r="I128" s="49" t="s">
        <v>52</v>
      </c>
      <c r="J128" s="281">
        <v>149532</v>
      </c>
      <c r="K128" s="34">
        <v>0</v>
      </c>
      <c r="L128" s="34">
        <v>147960</v>
      </c>
      <c r="M128" s="34">
        <v>88776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34">
        <v>0</v>
      </c>
      <c r="W128" s="34"/>
      <c r="X128" s="34"/>
      <c r="Y128" s="34"/>
      <c r="Z128" s="31">
        <f t="shared" si="3"/>
        <v>0</v>
      </c>
      <c r="AA128" s="34">
        <v>1572</v>
      </c>
      <c r="AB128" s="32">
        <v>27</v>
      </c>
      <c r="AC128" s="33">
        <v>44421</v>
      </c>
      <c r="AD128" s="36">
        <v>44438</v>
      </c>
      <c r="AE128" s="34"/>
      <c r="AF128" s="35"/>
      <c r="AG128" s="27"/>
      <c r="AH128" s="36"/>
      <c r="AI128" s="34"/>
      <c r="AJ128" s="32"/>
      <c r="AK128" s="27"/>
      <c r="AL128" s="36"/>
      <c r="AM128" s="34"/>
      <c r="AN128" s="32"/>
      <c r="AO128" s="27"/>
      <c r="AP128" s="36"/>
      <c r="AQ128" s="34"/>
      <c r="AR128" s="32"/>
      <c r="AS128" s="27"/>
      <c r="AT128" s="36"/>
      <c r="AU128" s="37">
        <f t="shared" si="4"/>
        <v>1572</v>
      </c>
      <c r="AV128" s="38">
        <f t="shared" si="5"/>
        <v>1572</v>
      </c>
    </row>
    <row r="129" spans="2:48" s="39" customFormat="1" ht="22.5">
      <c r="B129" s="97">
        <v>114</v>
      </c>
      <c r="C129" s="97" t="s">
        <v>39</v>
      </c>
      <c r="D129" s="23">
        <v>30133463</v>
      </c>
      <c r="E129" s="48" t="s">
        <v>1211</v>
      </c>
      <c r="F129" s="48" t="s">
        <v>47</v>
      </c>
      <c r="G129" s="26" t="s">
        <v>1059</v>
      </c>
      <c r="H129" s="26" t="s">
        <v>1125</v>
      </c>
      <c r="I129" s="49" t="s">
        <v>52</v>
      </c>
      <c r="J129" s="281">
        <v>140854</v>
      </c>
      <c r="K129" s="34">
        <v>0</v>
      </c>
      <c r="L129" s="34">
        <v>140853</v>
      </c>
      <c r="M129" s="34">
        <v>140853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/>
      <c r="X129" s="34"/>
      <c r="Y129" s="34"/>
      <c r="Z129" s="31">
        <f t="shared" si="3"/>
        <v>0</v>
      </c>
      <c r="AA129" s="34">
        <v>1</v>
      </c>
      <c r="AB129" s="32">
        <v>29</v>
      </c>
      <c r="AC129" s="33">
        <v>44427</v>
      </c>
      <c r="AD129" s="36">
        <v>44454</v>
      </c>
      <c r="AE129" s="34"/>
      <c r="AF129" s="35"/>
      <c r="AG129" s="27"/>
      <c r="AH129" s="36"/>
      <c r="AI129" s="34"/>
      <c r="AJ129" s="32"/>
      <c r="AK129" s="27"/>
      <c r="AL129" s="36"/>
      <c r="AM129" s="34"/>
      <c r="AN129" s="32"/>
      <c r="AO129" s="27"/>
      <c r="AP129" s="36"/>
      <c r="AQ129" s="34"/>
      <c r="AR129" s="32"/>
      <c r="AS129" s="27"/>
      <c r="AT129" s="36"/>
      <c r="AU129" s="37">
        <f t="shared" si="4"/>
        <v>1</v>
      </c>
      <c r="AV129" s="38">
        <f t="shared" si="5"/>
        <v>1</v>
      </c>
    </row>
    <row r="130" spans="2:48" s="39" customFormat="1" ht="22.5">
      <c r="B130" s="97">
        <v>115</v>
      </c>
      <c r="C130" s="97" t="s">
        <v>39</v>
      </c>
      <c r="D130" s="23">
        <v>40000897</v>
      </c>
      <c r="E130" s="48" t="s">
        <v>1212</v>
      </c>
      <c r="F130" s="48" t="s">
        <v>47</v>
      </c>
      <c r="G130" s="26" t="s">
        <v>1059</v>
      </c>
      <c r="H130" s="26" t="s">
        <v>1091</v>
      </c>
      <c r="I130" s="49" t="s">
        <v>52</v>
      </c>
      <c r="J130" s="281">
        <v>177581</v>
      </c>
      <c r="K130" s="34">
        <v>0</v>
      </c>
      <c r="L130" s="34">
        <v>177580</v>
      </c>
      <c r="M130" s="34">
        <v>29190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34">
        <v>0</v>
      </c>
      <c r="W130" s="34"/>
      <c r="X130" s="34"/>
      <c r="Y130" s="34"/>
      <c r="Z130" s="31">
        <f t="shared" si="3"/>
        <v>0</v>
      </c>
      <c r="AA130" s="34">
        <v>1</v>
      </c>
      <c r="AB130" s="32">
        <v>29</v>
      </c>
      <c r="AC130" s="33">
        <v>44427</v>
      </c>
      <c r="AD130" s="36">
        <v>44454</v>
      </c>
      <c r="AE130" s="34"/>
      <c r="AF130" s="35"/>
      <c r="AG130" s="27"/>
      <c r="AH130" s="36"/>
      <c r="AI130" s="34"/>
      <c r="AJ130" s="32"/>
      <c r="AK130" s="27"/>
      <c r="AL130" s="36"/>
      <c r="AM130" s="34"/>
      <c r="AN130" s="32"/>
      <c r="AO130" s="27"/>
      <c r="AP130" s="36"/>
      <c r="AQ130" s="34"/>
      <c r="AR130" s="32"/>
      <c r="AS130" s="27"/>
      <c r="AT130" s="36"/>
      <c r="AU130" s="37">
        <f t="shared" si="4"/>
        <v>1</v>
      </c>
      <c r="AV130" s="38">
        <f t="shared" si="5"/>
        <v>1</v>
      </c>
    </row>
    <row r="131" spans="2:48" s="39" customFormat="1">
      <c r="B131" s="97">
        <v>116</v>
      </c>
      <c r="C131" s="97"/>
      <c r="D131" s="23"/>
      <c r="E131" s="48"/>
      <c r="F131" s="48"/>
      <c r="G131" s="26"/>
      <c r="H131" s="26"/>
      <c r="I131" s="49"/>
      <c r="J131" s="281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1">
        <f t="shared" si="3"/>
        <v>0</v>
      </c>
      <c r="AA131" s="34"/>
      <c r="AB131" s="32"/>
      <c r="AC131" s="33"/>
      <c r="AD131" s="36"/>
      <c r="AE131" s="34"/>
      <c r="AF131" s="35"/>
      <c r="AG131" s="27"/>
      <c r="AH131" s="36"/>
      <c r="AI131" s="34"/>
      <c r="AJ131" s="32"/>
      <c r="AK131" s="27"/>
      <c r="AL131" s="36"/>
      <c r="AM131" s="34"/>
      <c r="AN131" s="32"/>
      <c r="AO131" s="27"/>
      <c r="AP131" s="36"/>
      <c r="AQ131" s="34"/>
      <c r="AR131" s="32"/>
      <c r="AS131" s="27"/>
      <c r="AT131" s="36"/>
      <c r="AU131" s="37">
        <f t="shared" si="4"/>
        <v>0</v>
      </c>
      <c r="AV131" s="38">
        <f t="shared" si="5"/>
        <v>0</v>
      </c>
    </row>
    <row r="132" spans="2:48" s="39" customFormat="1">
      <c r="B132" s="97">
        <v>117</v>
      </c>
      <c r="C132" s="97"/>
      <c r="D132" s="23"/>
      <c r="E132" s="48"/>
      <c r="F132" s="48"/>
      <c r="G132" s="26"/>
      <c r="H132" s="26"/>
      <c r="I132" s="49"/>
      <c r="J132" s="281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1">
        <f t="shared" si="3"/>
        <v>0</v>
      </c>
      <c r="AA132" s="34"/>
      <c r="AB132" s="32"/>
      <c r="AC132" s="33"/>
      <c r="AD132" s="36"/>
      <c r="AE132" s="34"/>
      <c r="AF132" s="35"/>
      <c r="AG132" s="27"/>
      <c r="AH132" s="36"/>
      <c r="AI132" s="34"/>
      <c r="AJ132" s="32"/>
      <c r="AK132" s="27"/>
      <c r="AL132" s="36"/>
      <c r="AM132" s="34"/>
      <c r="AN132" s="32"/>
      <c r="AO132" s="27"/>
      <c r="AP132" s="36"/>
      <c r="AQ132" s="34"/>
      <c r="AR132" s="32"/>
      <c r="AS132" s="27"/>
      <c r="AT132" s="36"/>
      <c r="AU132" s="37">
        <f t="shared" si="4"/>
        <v>0</v>
      </c>
      <c r="AV132" s="38">
        <f t="shared" si="5"/>
        <v>0</v>
      </c>
    </row>
    <row r="133" spans="2:48" s="39" customFormat="1">
      <c r="B133" s="97">
        <v>118</v>
      </c>
      <c r="C133" s="97"/>
      <c r="D133" s="23"/>
      <c r="E133" s="48"/>
      <c r="F133" s="48"/>
      <c r="G133" s="26"/>
      <c r="H133" s="26"/>
      <c r="I133" s="49"/>
      <c r="J133" s="281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1">
        <f t="shared" si="3"/>
        <v>0</v>
      </c>
      <c r="AA133" s="34"/>
      <c r="AB133" s="32"/>
      <c r="AC133" s="33"/>
      <c r="AD133" s="36"/>
      <c r="AE133" s="34"/>
      <c r="AF133" s="35"/>
      <c r="AG133" s="27"/>
      <c r="AH133" s="36"/>
      <c r="AI133" s="34"/>
      <c r="AJ133" s="32"/>
      <c r="AK133" s="27"/>
      <c r="AL133" s="36"/>
      <c r="AM133" s="34"/>
      <c r="AN133" s="32"/>
      <c r="AO133" s="27"/>
      <c r="AP133" s="36"/>
      <c r="AQ133" s="34"/>
      <c r="AR133" s="32"/>
      <c r="AS133" s="27"/>
      <c r="AT133" s="36"/>
      <c r="AU133" s="37">
        <f t="shared" si="4"/>
        <v>0</v>
      </c>
      <c r="AV133" s="38">
        <f t="shared" si="5"/>
        <v>0</v>
      </c>
    </row>
    <row r="134" spans="2:48" s="39" customFormat="1">
      <c r="B134" s="97">
        <v>119</v>
      </c>
      <c r="C134" s="97"/>
      <c r="D134" s="23"/>
      <c r="E134" s="48"/>
      <c r="F134" s="48"/>
      <c r="G134" s="26"/>
      <c r="H134" s="26"/>
      <c r="I134" s="49"/>
      <c r="J134" s="281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1">
        <f t="shared" si="3"/>
        <v>0</v>
      </c>
      <c r="AA134" s="34"/>
      <c r="AB134" s="32"/>
      <c r="AC134" s="27"/>
      <c r="AD134" s="36"/>
      <c r="AE134" s="34"/>
      <c r="AF134" s="35"/>
      <c r="AG134" s="27"/>
      <c r="AH134" s="36"/>
      <c r="AI134" s="34"/>
      <c r="AJ134" s="32"/>
      <c r="AK134" s="27"/>
      <c r="AL134" s="36"/>
      <c r="AM134" s="34"/>
      <c r="AN134" s="32"/>
      <c r="AO134" s="27"/>
      <c r="AP134" s="36"/>
      <c r="AQ134" s="34"/>
      <c r="AR134" s="32"/>
      <c r="AS134" s="27"/>
      <c r="AT134" s="36"/>
      <c r="AU134" s="37">
        <f t="shared" si="4"/>
        <v>0</v>
      </c>
      <c r="AV134" s="38">
        <f t="shared" si="5"/>
        <v>0</v>
      </c>
    </row>
    <row r="135" spans="2:48" s="39" customFormat="1">
      <c r="B135" s="97">
        <v>120</v>
      </c>
      <c r="C135" s="97"/>
      <c r="D135" s="23"/>
      <c r="E135" s="48"/>
      <c r="F135" s="48"/>
      <c r="G135" s="26"/>
      <c r="H135" s="26"/>
      <c r="I135" s="49"/>
      <c r="J135" s="281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1">
        <f t="shared" si="3"/>
        <v>0</v>
      </c>
      <c r="AA135" s="34"/>
      <c r="AB135" s="32"/>
      <c r="AC135" s="27"/>
      <c r="AD135" s="36"/>
      <c r="AE135" s="34"/>
      <c r="AF135" s="35"/>
      <c r="AG135" s="27"/>
      <c r="AH135" s="36"/>
      <c r="AI135" s="34"/>
      <c r="AJ135" s="32"/>
      <c r="AK135" s="27"/>
      <c r="AL135" s="36"/>
      <c r="AM135" s="34"/>
      <c r="AN135" s="32"/>
      <c r="AO135" s="27"/>
      <c r="AP135" s="36"/>
      <c r="AQ135" s="34"/>
      <c r="AR135" s="32"/>
      <c r="AS135" s="27"/>
      <c r="AT135" s="36"/>
      <c r="AU135" s="37">
        <f t="shared" si="4"/>
        <v>0</v>
      </c>
      <c r="AV135" s="38">
        <f t="shared" si="5"/>
        <v>0</v>
      </c>
    </row>
    <row r="136" spans="2:48" s="39" customFormat="1">
      <c r="B136" s="97">
        <v>121</v>
      </c>
      <c r="C136" s="97"/>
      <c r="D136" s="23"/>
      <c r="E136" s="48"/>
      <c r="F136" s="48"/>
      <c r="G136" s="26"/>
      <c r="H136" s="26"/>
      <c r="I136" s="49"/>
      <c r="J136" s="281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1">
        <f t="shared" si="3"/>
        <v>0</v>
      </c>
      <c r="AA136" s="34"/>
      <c r="AB136" s="32"/>
      <c r="AC136" s="27"/>
      <c r="AD136" s="36"/>
      <c r="AE136" s="34"/>
      <c r="AF136" s="35"/>
      <c r="AG136" s="27"/>
      <c r="AH136" s="36"/>
      <c r="AI136" s="34"/>
      <c r="AJ136" s="32"/>
      <c r="AK136" s="27"/>
      <c r="AL136" s="36"/>
      <c r="AM136" s="34"/>
      <c r="AN136" s="32"/>
      <c r="AO136" s="27"/>
      <c r="AP136" s="36"/>
      <c r="AQ136" s="34"/>
      <c r="AR136" s="32"/>
      <c r="AS136" s="27"/>
      <c r="AT136" s="36"/>
      <c r="AU136" s="37">
        <f t="shared" si="4"/>
        <v>0</v>
      </c>
      <c r="AV136" s="38">
        <f t="shared" si="5"/>
        <v>0</v>
      </c>
    </row>
    <row r="137" spans="2:48" s="39" customFormat="1">
      <c r="B137" s="97">
        <v>122</v>
      </c>
      <c r="C137" s="97"/>
      <c r="D137" s="23"/>
      <c r="E137" s="48"/>
      <c r="F137" s="48"/>
      <c r="G137" s="26"/>
      <c r="H137" s="26"/>
      <c r="I137" s="49"/>
      <c r="J137" s="281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1">
        <f t="shared" si="3"/>
        <v>0</v>
      </c>
      <c r="AA137" s="34"/>
      <c r="AB137" s="32"/>
      <c r="AC137" s="27"/>
      <c r="AD137" s="36"/>
      <c r="AE137" s="34"/>
      <c r="AF137" s="35"/>
      <c r="AG137" s="27"/>
      <c r="AH137" s="36"/>
      <c r="AI137" s="34"/>
      <c r="AJ137" s="32"/>
      <c r="AK137" s="27"/>
      <c r="AL137" s="36"/>
      <c r="AM137" s="34"/>
      <c r="AN137" s="32"/>
      <c r="AO137" s="27"/>
      <c r="AP137" s="36"/>
      <c r="AQ137" s="34"/>
      <c r="AR137" s="32"/>
      <c r="AS137" s="27"/>
      <c r="AT137" s="36"/>
      <c r="AU137" s="37">
        <f t="shared" si="4"/>
        <v>0</v>
      </c>
      <c r="AV137" s="38">
        <f t="shared" si="5"/>
        <v>0</v>
      </c>
    </row>
    <row r="138" spans="2:48" s="39" customFormat="1">
      <c r="B138" s="97">
        <v>123</v>
      </c>
      <c r="C138" s="97"/>
      <c r="D138" s="23"/>
      <c r="E138" s="48"/>
      <c r="F138" s="48"/>
      <c r="G138" s="26"/>
      <c r="H138" s="26"/>
      <c r="I138" s="49"/>
      <c r="J138" s="281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1">
        <f t="shared" si="3"/>
        <v>0</v>
      </c>
      <c r="AA138" s="34"/>
      <c r="AB138" s="32"/>
      <c r="AC138" s="27"/>
      <c r="AD138" s="36"/>
      <c r="AE138" s="34"/>
      <c r="AF138" s="35"/>
      <c r="AG138" s="27"/>
      <c r="AH138" s="36"/>
      <c r="AI138" s="34"/>
      <c r="AJ138" s="32"/>
      <c r="AK138" s="27"/>
      <c r="AL138" s="36"/>
      <c r="AM138" s="34"/>
      <c r="AN138" s="32"/>
      <c r="AO138" s="27"/>
      <c r="AP138" s="36"/>
      <c r="AQ138" s="34"/>
      <c r="AR138" s="32"/>
      <c r="AS138" s="27"/>
      <c r="AT138" s="36"/>
      <c r="AU138" s="37">
        <f t="shared" si="4"/>
        <v>0</v>
      </c>
      <c r="AV138" s="38">
        <f t="shared" si="5"/>
        <v>0</v>
      </c>
    </row>
    <row r="139" spans="2:48" s="39" customFormat="1">
      <c r="B139" s="97">
        <v>124</v>
      </c>
      <c r="C139" s="97"/>
      <c r="D139" s="23"/>
      <c r="E139" s="48"/>
      <c r="F139" s="48"/>
      <c r="G139" s="26"/>
      <c r="H139" s="26"/>
      <c r="I139" s="49"/>
      <c r="J139" s="281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1">
        <f t="shared" si="3"/>
        <v>0</v>
      </c>
      <c r="AA139" s="34"/>
      <c r="AB139" s="32"/>
      <c r="AC139" s="27"/>
      <c r="AD139" s="36"/>
      <c r="AE139" s="34"/>
      <c r="AF139" s="35"/>
      <c r="AG139" s="27"/>
      <c r="AH139" s="36"/>
      <c r="AI139" s="34"/>
      <c r="AJ139" s="32"/>
      <c r="AK139" s="27"/>
      <c r="AL139" s="36"/>
      <c r="AM139" s="34"/>
      <c r="AN139" s="32"/>
      <c r="AO139" s="27"/>
      <c r="AP139" s="36"/>
      <c r="AQ139" s="34"/>
      <c r="AR139" s="32"/>
      <c r="AS139" s="27"/>
      <c r="AT139" s="36"/>
      <c r="AU139" s="37">
        <f t="shared" si="4"/>
        <v>0</v>
      </c>
      <c r="AV139" s="38">
        <f t="shared" si="5"/>
        <v>0</v>
      </c>
    </row>
    <row r="140" spans="2:48" s="39" customFormat="1">
      <c r="B140" s="97">
        <v>125</v>
      </c>
      <c r="C140" s="97"/>
      <c r="D140" s="23"/>
      <c r="E140" s="48"/>
      <c r="F140" s="48"/>
      <c r="G140" s="26"/>
      <c r="H140" s="26"/>
      <c r="I140" s="49"/>
      <c r="J140" s="281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1">
        <f t="shared" si="3"/>
        <v>0</v>
      </c>
      <c r="AA140" s="34"/>
      <c r="AB140" s="32"/>
      <c r="AC140" s="27"/>
      <c r="AD140" s="36"/>
      <c r="AE140" s="34"/>
      <c r="AF140" s="35"/>
      <c r="AG140" s="27"/>
      <c r="AH140" s="36"/>
      <c r="AI140" s="34"/>
      <c r="AJ140" s="32"/>
      <c r="AK140" s="27"/>
      <c r="AL140" s="36"/>
      <c r="AM140" s="34"/>
      <c r="AN140" s="32"/>
      <c r="AO140" s="27"/>
      <c r="AP140" s="36"/>
      <c r="AQ140" s="34"/>
      <c r="AR140" s="32"/>
      <c r="AS140" s="27"/>
      <c r="AT140" s="36"/>
      <c r="AU140" s="37">
        <f t="shared" si="4"/>
        <v>0</v>
      </c>
      <c r="AV140" s="38">
        <f t="shared" si="5"/>
        <v>0</v>
      </c>
    </row>
    <row r="141" spans="2:48" s="39" customFormat="1">
      <c r="B141" s="97">
        <v>126</v>
      </c>
      <c r="C141" s="97"/>
      <c r="D141" s="23"/>
      <c r="E141" s="48"/>
      <c r="F141" s="48"/>
      <c r="G141" s="26"/>
      <c r="H141" s="26"/>
      <c r="I141" s="49"/>
      <c r="J141" s="281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1">
        <f t="shared" si="3"/>
        <v>0</v>
      </c>
      <c r="AA141" s="34"/>
      <c r="AB141" s="32"/>
      <c r="AC141" s="27"/>
      <c r="AD141" s="36"/>
      <c r="AE141" s="34"/>
      <c r="AF141" s="35"/>
      <c r="AG141" s="27"/>
      <c r="AH141" s="36"/>
      <c r="AI141" s="34"/>
      <c r="AJ141" s="32"/>
      <c r="AK141" s="27"/>
      <c r="AL141" s="36"/>
      <c r="AM141" s="34"/>
      <c r="AN141" s="32"/>
      <c r="AO141" s="27"/>
      <c r="AP141" s="36"/>
      <c r="AQ141" s="34"/>
      <c r="AR141" s="32"/>
      <c r="AS141" s="27"/>
      <c r="AT141" s="36"/>
      <c r="AU141" s="37">
        <f t="shared" si="4"/>
        <v>0</v>
      </c>
      <c r="AV141" s="38">
        <f t="shared" si="5"/>
        <v>0</v>
      </c>
    </row>
    <row r="142" spans="2:48" s="39" customFormat="1">
      <c r="B142" s="97">
        <v>127</v>
      </c>
      <c r="C142" s="97"/>
      <c r="D142" s="23"/>
      <c r="E142" s="48"/>
      <c r="F142" s="48"/>
      <c r="G142" s="26"/>
      <c r="H142" s="26"/>
      <c r="I142" s="49"/>
      <c r="J142" s="281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1">
        <f t="shared" si="3"/>
        <v>0</v>
      </c>
      <c r="AA142" s="34"/>
      <c r="AB142" s="32"/>
      <c r="AC142" s="27"/>
      <c r="AD142" s="36"/>
      <c r="AE142" s="34"/>
      <c r="AF142" s="35"/>
      <c r="AG142" s="27"/>
      <c r="AH142" s="36"/>
      <c r="AI142" s="34"/>
      <c r="AJ142" s="32"/>
      <c r="AK142" s="27"/>
      <c r="AL142" s="36"/>
      <c r="AM142" s="34"/>
      <c r="AN142" s="32"/>
      <c r="AO142" s="27"/>
      <c r="AP142" s="36"/>
      <c r="AQ142" s="34"/>
      <c r="AR142" s="32"/>
      <c r="AS142" s="27"/>
      <c r="AT142" s="36"/>
      <c r="AU142" s="37">
        <f t="shared" si="4"/>
        <v>0</v>
      </c>
      <c r="AV142" s="38">
        <f t="shared" si="5"/>
        <v>0</v>
      </c>
    </row>
    <row r="143" spans="2:48" s="39" customFormat="1">
      <c r="B143" s="97">
        <v>128</v>
      </c>
      <c r="C143" s="97"/>
      <c r="D143" s="23"/>
      <c r="E143" s="48"/>
      <c r="F143" s="48"/>
      <c r="G143" s="26"/>
      <c r="H143" s="26"/>
      <c r="I143" s="49"/>
      <c r="J143" s="281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1">
        <f t="shared" si="3"/>
        <v>0</v>
      </c>
      <c r="AA143" s="34"/>
      <c r="AB143" s="32"/>
      <c r="AC143" s="27"/>
      <c r="AD143" s="36"/>
      <c r="AE143" s="34"/>
      <c r="AF143" s="35"/>
      <c r="AG143" s="27"/>
      <c r="AH143" s="36"/>
      <c r="AI143" s="34"/>
      <c r="AJ143" s="32"/>
      <c r="AK143" s="27"/>
      <c r="AL143" s="36"/>
      <c r="AM143" s="34"/>
      <c r="AN143" s="32"/>
      <c r="AO143" s="27"/>
      <c r="AP143" s="36"/>
      <c r="AQ143" s="34"/>
      <c r="AR143" s="32"/>
      <c r="AS143" s="27"/>
      <c r="AT143" s="36"/>
      <c r="AU143" s="37">
        <f t="shared" si="4"/>
        <v>0</v>
      </c>
      <c r="AV143" s="38">
        <f t="shared" si="5"/>
        <v>0</v>
      </c>
    </row>
    <row r="144" spans="2:48" s="39" customFormat="1">
      <c r="B144" s="97">
        <v>129</v>
      </c>
      <c r="C144" s="97"/>
      <c r="D144" s="23"/>
      <c r="E144" s="48"/>
      <c r="F144" s="48"/>
      <c r="G144" s="26"/>
      <c r="H144" s="26"/>
      <c r="I144" s="217"/>
      <c r="J144" s="281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1">
        <f t="shared" si="3"/>
        <v>0</v>
      </c>
      <c r="AA144" s="34"/>
      <c r="AB144" s="32"/>
      <c r="AC144" s="27"/>
      <c r="AD144" s="36"/>
      <c r="AE144" s="34"/>
      <c r="AF144" s="35"/>
      <c r="AG144" s="27"/>
      <c r="AH144" s="36"/>
      <c r="AI144" s="34"/>
      <c r="AJ144" s="32"/>
      <c r="AK144" s="27"/>
      <c r="AL144" s="36"/>
      <c r="AM144" s="34"/>
      <c r="AN144" s="32"/>
      <c r="AO144" s="27"/>
      <c r="AP144" s="36"/>
      <c r="AQ144" s="34"/>
      <c r="AR144" s="32"/>
      <c r="AS144" s="27"/>
      <c r="AT144" s="36"/>
      <c r="AU144" s="37">
        <f t="shared" si="4"/>
        <v>0</v>
      </c>
      <c r="AV144" s="38">
        <f t="shared" si="5"/>
        <v>0</v>
      </c>
    </row>
    <row r="145" spans="2:48" ht="15" customHeight="1">
      <c r="B145" s="732" t="s">
        <v>134</v>
      </c>
      <c r="C145" s="732"/>
      <c r="D145" s="732"/>
      <c r="E145" s="732"/>
      <c r="F145" s="732"/>
      <c r="G145" s="732"/>
      <c r="H145" s="732"/>
      <c r="I145" s="732"/>
      <c r="J145" s="59">
        <f>SUBTOTAL(9,J16:J144)</f>
        <v>135382386</v>
      </c>
      <c r="K145" s="59">
        <f t="shared" ref="K145:P145" si="6">SUBTOTAL(9,K16:K144)</f>
        <v>29655889</v>
      </c>
      <c r="L145" s="59">
        <f t="shared" si="6"/>
        <v>84834937</v>
      </c>
      <c r="M145" s="59">
        <f t="shared" si="6"/>
        <v>58742305</v>
      </c>
      <c r="N145" s="59">
        <f t="shared" si="6"/>
        <v>3749054.3750000005</v>
      </c>
      <c r="O145" s="59">
        <f t="shared" si="6"/>
        <v>2806866.335</v>
      </c>
      <c r="P145" s="59">
        <f t="shared" si="6"/>
        <v>2313251.8680000002</v>
      </c>
      <c r="Q145" s="59">
        <f>SUBTOTAL(9,Q16:Q142)</f>
        <v>1063407.031</v>
      </c>
      <c r="R145" s="59">
        <f t="shared" ref="R145:Z145" si="7">SUBTOTAL(9,R16:R142)</f>
        <v>1039814.6270000001</v>
      </c>
      <c r="S145" s="59">
        <f t="shared" si="7"/>
        <v>1033669.5260000001</v>
      </c>
      <c r="T145" s="59">
        <f t="shared" si="7"/>
        <v>1364977</v>
      </c>
      <c r="U145" s="59">
        <f t="shared" si="7"/>
        <v>1120201</v>
      </c>
      <c r="V145" s="59">
        <f t="shared" si="7"/>
        <v>1145584</v>
      </c>
      <c r="W145" s="59">
        <f t="shared" si="7"/>
        <v>0</v>
      </c>
      <c r="X145" s="59">
        <f t="shared" si="7"/>
        <v>0</v>
      </c>
      <c r="Y145" s="59">
        <f t="shared" si="7"/>
        <v>0</v>
      </c>
      <c r="Z145" s="59">
        <f t="shared" si="7"/>
        <v>15636825.761999998</v>
      </c>
      <c r="AA145" s="59">
        <f>SUBTOTAL(9,AA16:AA142)</f>
        <v>19917145</v>
      </c>
      <c r="AB145" s="59"/>
      <c r="AC145" s="59"/>
      <c r="AD145" s="59"/>
      <c r="AE145" s="59">
        <f>SUBTOTAL(9,AE16:AE142)</f>
        <v>2113889</v>
      </c>
      <c r="AF145" s="59"/>
      <c r="AG145" s="59"/>
      <c r="AH145" s="59"/>
      <c r="AI145" s="59">
        <f>SUBTOTAL(9,AI16:AI142)</f>
        <v>1985438</v>
      </c>
      <c r="AJ145" s="59"/>
      <c r="AK145" s="59"/>
      <c r="AL145" s="59"/>
      <c r="AM145" s="59">
        <f>SUBTOTAL(9,AM16:AM142)</f>
        <v>0</v>
      </c>
      <c r="AN145" s="59"/>
      <c r="AO145" s="59"/>
      <c r="AP145" s="59"/>
      <c r="AQ145" s="59">
        <f>SUBTOTAL(9,AQ16:AQ142)</f>
        <v>0</v>
      </c>
      <c r="AR145" s="59"/>
      <c r="AS145" s="59"/>
      <c r="AT145" s="59"/>
      <c r="AU145" s="59">
        <f>SUBTOTAL(9,AU16:AU142)</f>
        <v>24016472</v>
      </c>
      <c r="AV145" s="59">
        <f>SUBTOTAL(9,AV16:AV142)</f>
        <v>8379646.237999998</v>
      </c>
    </row>
    <row r="146" spans="2:48" ht="20.25" customHeight="1">
      <c r="B146" s="758"/>
      <c r="C146" s="758"/>
      <c r="D146" s="758"/>
      <c r="E146" s="758"/>
      <c r="F146" s="204"/>
      <c r="G146" s="86"/>
      <c r="H146" s="86"/>
      <c r="Z146" s="84">
        <v>15636824</v>
      </c>
    </row>
    <row r="147" spans="2:48">
      <c r="B147" s="759" t="s">
        <v>1213</v>
      </c>
      <c r="C147" s="759"/>
      <c r="D147" s="759"/>
      <c r="E147" s="759"/>
      <c r="F147" s="759"/>
      <c r="G147" s="759"/>
      <c r="H147" s="759"/>
      <c r="I147" s="759"/>
      <c r="J147" s="759"/>
      <c r="K147" s="759"/>
      <c r="L147" s="759"/>
      <c r="M147" s="759"/>
      <c r="N147" s="759"/>
      <c r="O147" s="759"/>
      <c r="P147" s="759"/>
      <c r="Q147" s="759"/>
      <c r="R147" s="759"/>
      <c r="S147" s="759"/>
      <c r="T147" s="759"/>
      <c r="U147" s="759"/>
      <c r="V147" s="759"/>
      <c r="W147" s="759"/>
      <c r="X147" s="759"/>
      <c r="Y147" s="759"/>
      <c r="Z147" s="759"/>
      <c r="AA147" s="759"/>
      <c r="AB147" s="759"/>
      <c r="AC147" s="759"/>
      <c r="AD147" s="759"/>
      <c r="AE147" s="206"/>
      <c r="AF147" s="205"/>
      <c r="AG147" s="206"/>
      <c r="AH147" s="206"/>
      <c r="AI147" s="206"/>
      <c r="AJ147" s="207"/>
      <c r="AK147" s="206"/>
      <c r="AL147" s="206"/>
      <c r="AM147" s="206"/>
      <c r="AN147" s="207"/>
      <c r="AO147" s="206"/>
      <c r="AP147" s="206"/>
      <c r="AQ147" s="206"/>
      <c r="AR147" s="207"/>
      <c r="AS147" s="206"/>
      <c r="AT147" s="206"/>
    </row>
    <row r="148" spans="2:48">
      <c r="V148" s="84"/>
      <c r="Z148" s="84">
        <f>+Z146-Z145</f>
        <v>-1.761999998241663</v>
      </c>
      <c r="AA148" s="84">
        <f>+AA145+AE145+AI145+AM145+AQ145</f>
        <v>24016472</v>
      </c>
    </row>
    <row r="149" spans="2:48">
      <c r="AU149" s="84">
        <f>+[2]Resoluciones!$O$9113+[2]Resoluciones!$P$9113+'[7]INVERSIÓN 31'!$O$11+'[7]INVERSIÓN 31'!$P$11</f>
        <v>138978</v>
      </c>
    </row>
    <row r="150" spans="2:48">
      <c r="X150" s="83" t="s">
        <v>1214</v>
      </c>
      <c r="Y150" s="274"/>
      <c r="AU150" s="84">
        <f>+AU145-AU149</f>
        <v>23877494</v>
      </c>
    </row>
    <row r="151" spans="2:48">
      <c r="X151" s="83" t="s">
        <v>1215</v>
      </c>
      <c r="Y151" s="274">
        <v>15331944</v>
      </c>
      <c r="AC151" s="86" t="s">
        <v>135</v>
      </c>
      <c r="AD151" s="86" t="s">
        <v>136</v>
      </c>
      <c r="AE151" s="83" t="s">
        <v>137</v>
      </c>
    </row>
    <row r="152" spans="2:48">
      <c r="X152" s="83" t="s">
        <v>1216</v>
      </c>
      <c r="Y152" s="275">
        <f>+Z145-Y151</f>
        <v>304881.76199999824</v>
      </c>
      <c r="AA152" s="83" t="s">
        <v>315</v>
      </c>
      <c r="AC152" s="276">
        <v>11564259</v>
      </c>
      <c r="AD152" s="276">
        <v>11564259</v>
      </c>
      <c r="AE152" s="276">
        <f>+AC152-AD152</f>
        <v>0</v>
      </c>
      <c r="AF152" s="274"/>
    </row>
    <row r="153" spans="2:48">
      <c r="AA153" s="83" t="s">
        <v>1217</v>
      </c>
      <c r="AC153" s="276">
        <v>4595896</v>
      </c>
      <c r="AD153" s="276">
        <v>4595896</v>
      </c>
      <c r="AE153" s="276">
        <f t="shared" ref="AE153:AE164" si="8">+AC153-AD153</f>
        <v>0</v>
      </c>
      <c r="AF153" s="274"/>
    </row>
    <row r="154" spans="2:48">
      <c r="AA154" s="83" t="s">
        <v>1218</v>
      </c>
      <c r="AC154" s="276">
        <v>2704530</v>
      </c>
      <c r="AD154" s="276">
        <v>2704529</v>
      </c>
      <c r="AE154" s="276">
        <f t="shared" si="8"/>
        <v>1</v>
      </c>
      <c r="AF154" s="274"/>
    </row>
    <row r="155" spans="2:48">
      <c r="AA155" s="83" t="s">
        <v>1219</v>
      </c>
      <c r="AC155" s="276">
        <v>271857</v>
      </c>
      <c r="AD155" s="276">
        <v>271857</v>
      </c>
      <c r="AE155" s="276">
        <f t="shared" si="8"/>
        <v>0</v>
      </c>
      <c r="AF155" s="274"/>
    </row>
    <row r="156" spans="2:48">
      <c r="AA156" s="83" t="s">
        <v>138</v>
      </c>
      <c r="AC156" s="276">
        <v>1146007</v>
      </c>
      <c r="AD156" s="276">
        <f>304493+841514</f>
        <v>1146007</v>
      </c>
      <c r="AE156" s="276">
        <f t="shared" si="8"/>
        <v>0</v>
      </c>
      <c r="AF156" s="274"/>
    </row>
    <row r="157" spans="2:48">
      <c r="AA157" s="83" t="s">
        <v>139</v>
      </c>
      <c r="AC157" s="276">
        <v>333329</v>
      </c>
      <c r="AD157" s="276">
        <f>333105+224</f>
        <v>333329</v>
      </c>
      <c r="AE157" s="276">
        <f t="shared" si="8"/>
        <v>0</v>
      </c>
      <c r="AF157" s="274"/>
    </row>
    <row r="158" spans="2:48">
      <c r="AA158" s="83" t="s">
        <v>140</v>
      </c>
      <c r="AC158" s="276">
        <v>51691</v>
      </c>
      <c r="AD158" s="276">
        <f>51656+35</f>
        <v>51691</v>
      </c>
      <c r="AE158" s="277">
        <f t="shared" si="8"/>
        <v>0</v>
      </c>
      <c r="AF158" s="274"/>
    </row>
    <row r="159" spans="2:48">
      <c r="AA159" s="83" t="s">
        <v>141</v>
      </c>
      <c r="AC159" s="276">
        <v>82777</v>
      </c>
      <c r="AD159" s="276">
        <f>13501+69277</f>
        <v>82778</v>
      </c>
      <c r="AE159" s="277">
        <f t="shared" si="8"/>
        <v>-1</v>
      </c>
      <c r="AF159" s="274"/>
    </row>
    <row r="160" spans="2:48">
      <c r="AA160" s="83" t="s">
        <v>142</v>
      </c>
      <c r="AC160" s="276">
        <v>858462</v>
      </c>
      <c r="AD160" s="276">
        <f>32607+637645+188210</f>
        <v>858462</v>
      </c>
      <c r="AE160" s="277">
        <f t="shared" si="8"/>
        <v>0</v>
      </c>
      <c r="AF160" s="274"/>
    </row>
    <row r="161" spans="27:32">
      <c r="AA161" s="278" t="s">
        <v>1220</v>
      </c>
      <c r="AB161" s="279"/>
      <c r="AC161" s="280">
        <v>303268</v>
      </c>
      <c r="AD161" s="280">
        <f>40601+286896-24229</f>
        <v>303268</v>
      </c>
      <c r="AE161" s="280">
        <f t="shared" si="8"/>
        <v>0</v>
      </c>
      <c r="AF161" s="274"/>
    </row>
    <row r="162" spans="27:32">
      <c r="AA162" s="278" t="s">
        <v>143</v>
      </c>
      <c r="AB162" s="279"/>
      <c r="AC162" s="280">
        <v>1965418</v>
      </c>
      <c r="AD162" s="280">
        <f>4639+208599+1752180</f>
        <v>1965418</v>
      </c>
      <c r="AE162" s="280">
        <f t="shared" si="8"/>
        <v>0</v>
      </c>
      <c r="AF162" s="274"/>
    </row>
    <row r="163" spans="27:32">
      <c r="AA163" s="278" t="s">
        <v>144</v>
      </c>
      <c r="AB163" s="279"/>
      <c r="AC163" s="280">
        <v>2</v>
      </c>
      <c r="AD163" s="280">
        <v>2</v>
      </c>
      <c r="AE163" s="280">
        <f t="shared" si="8"/>
        <v>0</v>
      </c>
      <c r="AF163" s="274"/>
    </row>
    <row r="164" spans="27:32">
      <c r="AA164" s="278" t="s">
        <v>1221</v>
      </c>
      <c r="AB164" s="279"/>
      <c r="AC164" s="280">
        <v>138976</v>
      </c>
      <c r="AD164" s="280">
        <v>138976</v>
      </c>
      <c r="AE164" s="280">
        <f t="shared" si="8"/>
        <v>0</v>
      </c>
      <c r="AF164" s="274"/>
    </row>
    <row r="165" spans="27:32">
      <c r="AE165" s="274"/>
      <c r="AF165" s="274"/>
    </row>
    <row r="166" spans="27:32">
      <c r="AC166" s="274">
        <f>SUM(AC152:AC164)</f>
        <v>24016472</v>
      </c>
      <c r="AD166" s="274">
        <f>SUM(AD152:AD164)</f>
        <v>24016472</v>
      </c>
      <c r="AE166" s="274"/>
      <c r="AF166" s="274"/>
    </row>
    <row r="167" spans="27:32">
      <c r="AC167" s="274"/>
      <c r="AD167" s="274"/>
      <c r="AE167" s="274"/>
      <c r="AF167" s="274"/>
    </row>
    <row r="168" spans="27:32">
      <c r="AC168" s="274"/>
      <c r="AD168" s="274"/>
      <c r="AE168" s="274"/>
      <c r="AF168" s="274"/>
    </row>
    <row r="169" spans="27:32">
      <c r="AC169" s="274"/>
      <c r="AD169" s="274"/>
      <c r="AE169" s="274"/>
      <c r="AF169" s="274"/>
    </row>
    <row r="170" spans="27:32">
      <c r="AC170" s="274"/>
      <c r="AD170" s="274"/>
      <c r="AE170" s="274"/>
      <c r="AF170" s="274"/>
    </row>
    <row r="171" spans="27:32">
      <c r="AC171" s="274"/>
      <c r="AD171" s="274"/>
      <c r="AE171" s="274"/>
      <c r="AF171" s="274"/>
    </row>
    <row r="172" spans="27:32">
      <c r="AC172" s="274"/>
      <c r="AD172" s="274"/>
      <c r="AE172" s="274"/>
      <c r="AF172" s="274"/>
    </row>
    <row r="173" spans="27:32">
      <c r="AC173" s="274"/>
      <c r="AD173" s="274"/>
      <c r="AE173" s="274"/>
      <c r="AF173" s="274"/>
    </row>
    <row r="174" spans="27:32">
      <c r="AC174" s="274"/>
      <c r="AD174" s="274"/>
      <c r="AE174" s="274"/>
      <c r="AF174" s="274"/>
    </row>
    <row r="175" spans="27:32">
      <c r="AC175" s="274"/>
      <c r="AD175" s="274"/>
      <c r="AE175" s="274"/>
      <c r="AF175" s="274"/>
    </row>
    <row r="176" spans="27:32">
      <c r="AC176" s="274"/>
      <c r="AD176" s="274"/>
      <c r="AE176" s="274"/>
      <c r="AF176" s="274"/>
    </row>
    <row r="177" spans="29:32">
      <c r="AC177" s="274"/>
      <c r="AD177" s="274"/>
      <c r="AE177" s="274"/>
      <c r="AF177" s="274"/>
    </row>
    <row r="178" spans="29:32">
      <c r="AC178" s="274"/>
      <c r="AD178" s="274"/>
      <c r="AE178" s="274"/>
      <c r="AF178" s="274"/>
    </row>
    <row r="179" spans="29:32">
      <c r="AC179" s="274"/>
      <c r="AD179" s="274"/>
      <c r="AE179" s="274"/>
      <c r="AF179" s="274"/>
    </row>
    <row r="180" spans="29:32">
      <c r="AC180" s="274"/>
      <c r="AD180" s="274"/>
      <c r="AE180" s="274"/>
      <c r="AF180" s="274"/>
    </row>
  </sheetData>
  <mergeCells count="16">
    <mergeCell ref="B8:AD8"/>
    <mergeCell ref="B1:AD2"/>
    <mergeCell ref="B3:AD4"/>
    <mergeCell ref="B5:AD5"/>
    <mergeCell ref="B6:AD6"/>
    <mergeCell ref="B7:AD7"/>
    <mergeCell ref="AU14:AV14"/>
    <mergeCell ref="B145:I145"/>
    <mergeCell ref="B146:E146"/>
    <mergeCell ref="B147:AD147"/>
    <mergeCell ref="B9:AC10"/>
    <mergeCell ref="AA14:AD14"/>
    <mergeCell ref="AE14:AH14"/>
    <mergeCell ref="AI14:AL14"/>
    <mergeCell ref="AM14:AP14"/>
    <mergeCell ref="AQ14:AT14"/>
  </mergeCells>
  <conditionalFormatting sqref="D123 D132:D143">
    <cfRule type="duplicateValues" dxfId="120" priority="5"/>
  </conditionalFormatting>
  <conditionalFormatting sqref="D144">
    <cfRule type="duplicateValues" dxfId="119" priority="6"/>
  </conditionalFormatting>
  <conditionalFormatting sqref="D16:D37">
    <cfRule type="duplicateValues" dxfId="118" priority="2"/>
  </conditionalFormatting>
  <conditionalFormatting sqref="D16:D37">
    <cfRule type="duplicateValues" dxfId="117" priority="3"/>
  </conditionalFormatting>
  <conditionalFormatting sqref="D38:D122">
    <cfRule type="duplicateValues" dxfId="116" priority="4"/>
  </conditionalFormatting>
  <conditionalFormatting sqref="D124:D131">
    <cfRule type="duplicateValues" dxfId="115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356"/>
  <sheetViews>
    <sheetView topLeftCell="A9" workbookViewId="0">
      <selection activeCell="B9" sqref="B9:AC10"/>
    </sheetView>
  </sheetViews>
  <sheetFormatPr baseColWidth="10" defaultRowHeight="11.25"/>
  <cols>
    <col min="1" max="1" width="5" style="123" customWidth="1"/>
    <col min="2" max="2" width="12" style="86" customWidth="1"/>
    <col min="3" max="3" width="14.85546875" style="83" customWidth="1"/>
    <col min="4" max="4" width="13.28515625" style="268" customWidth="1"/>
    <col min="5" max="5" width="37" style="83" customWidth="1"/>
    <col min="6" max="6" width="11.42578125" style="83" customWidth="1"/>
    <col min="7" max="7" width="11.28515625" style="83" customWidth="1"/>
    <col min="8" max="8" width="15.5703125" style="83" customWidth="1"/>
    <col min="9" max="9" width="9.7109375" style="83" customWidth="1"/>
    <col min="10" max="10" width="16.42578125" style="84" customWidth="1"/>
    <col min="11" max="11" width="12" style="84" customWidth="1"/>
    <col min="12" max="12" width="13.28515625" style="84" customWidth="1"/>
    <col min="13" max="24" width="12" style="84" customWidth="1"/>
    <col min="25" max="25" width="13.7109375" style="84" customWidth="1"/>
    <col min="26" max="26" width="11.85546875" style="84" customWidth="1"/>
    <col min="27" max="27" width="10.140625" style="60" customWidth="1"/>
    <col min="28" max="29" width="10.140625" style="83" customWidth="1"/>
    <col min="30" max="30" width="13.140625" style="83" customWidth="1"/>
    <col min="31" max="31" width="10.140625" style="84" customWidth="1"/>
    <col min="32" max="34" width="10.140625" style="83" customWidth="1"/>
    <col min="35" max="35" width="10.140625" style="60" customWidth="1"/>
    <col min="36" max="38" width="10.140625" style="83" customWidth="1"/>
    <col min="39" max="39" width="10.140625" style="60" customWidth="1"/>
    <col min="40" max="42" width="10.140625" style="83" customWidth="1"/>
    <col min="43" max="43" width="10.140625" style="60" customWidth="1"/>
    <col min="44" max="45" width="10.140625" style="83" customWidth="1"/>
    <col min="46" max="47" width="11.42578125" style="84" customWidth="1"/>
    <col min="48" max="100" width="11.42578125" style="123"/>
    <col min="101" max="16384" width="11.42578125" style="83"/>
  </cols>
  <sheetData>
    <row r="1" spans="1:100" hidden="1">
      <c r="B1" s="738"/>
      <c r="C1" s="738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739"/>
      <c r="AB1" s="739"/>
      <c r="AC1" s="739"/>
      <c r="AD1" s="80"/>
      <c r="AE1" s="81"/>
      <c r="AF1" s="80"/>
      <c r="AG1" s="80"/>
      <c r="AH1" s="80"/>
      <c r="AI1" s="82"/>
      <c r="AJ1" s="80"/>
      <c r="AK1" s="80"/>
      <c r="AL1" s="80"/>
      <c r="AM1" s="82"/>
      <c r="AN1" s="80"/>
      <c r="AO1" s="80"/>
      <c r="AP1" s="80"/>
      <c r="AQ1" s="82"/>
      <c r="AR1" s="80"/>
      <c r="AS1" s="80"/>
    </row>
    <row r="2" spans="1:100" hidden="1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80"/>
      <c r="AE2" s="81"/>
      <c r="AF2" s="80"/>
      <c r="AG2" s="80"/>
      <c r="AH2" s="80"/>
      <c r="AI2" s="82"/>
      <c r="AJ2" s="80"/>
      <c r="AK2" s="80"/>
      <c r="AL2" s="80"/>
      <c r="AM2" s="82"/>
      <c r="AN2" s="80"/>
      <c r="AO2" s="80"/>
      <c r="AP2" s="80"/>
      <c r="AQ2" s="82"/>
      <c r="AR2" s="80"/>
      <c r="AS2" s="80"/>
    </row>
    <row r="3" spans="1:100" hidden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1"/>
      <c r="AE3" s="2"/>
      <c r="AF3" s="1"/>
      <c r="AG3" s="1"/>
      <c r="AH3" s="1"/>
      <c r="AI3" s="3"/>
      <c r="AJ3" s="1"/>
      <c r="AK3" s="1"/>
      <c r="AL3" s="1"/>
      <c r="AM3" s="3"/>
      <c r="AN3" s="1"/>
      <c r="AO3" s="1"/>
      <c r="AP3" s="1"/>
      <c r="AQ3" s="3"/>
      <c r="AR3" s="1"/>
      <c r="AS3" s="1"/>
    </row>
    <row r="4" spans="1:100" hidden="1"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1"/>
      <c r="AE4" s="2"/>
      <c r="AF4" s="1"/>
      <c r="AG4" s="1"/>
      <c r="AH4" s="1"/>
      <c r="AI4" s="3"/>
      <c r="AJ4" s="1"/>
      <c r="AK4" s="1"/>
      <c r="AL4" s="1"/>
      <c r="AM4" s="3"/>
      <c r="AN4" s="1"/>
      <c r="AO4" s="1"/>
      <c r="AP4" s="1"/>
      <c r="AQ4" s="3"/>
      <c r="AR4" s="1"/>
      <c r="AS4" s="1"/>
    </row>
    <row r="5" spans="1:100" hidden="1"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1"/>
      <c r="AE5" s="2"/>
      <c r="AF5" s="1"/>
      <c r="AG5" s="1"/>
      <c r="AH5" s="1"/>
      <c r="AI5" s="3"/>
      <c r="AJ5" s="1"/>
      <c r="AK5" s="1"/>
      <c r="AL5" s="1"/>
      <c r="AM5" s="3"/>
      <c r="AN5" s="1"/>
      <c r="AO5" s="1"/>
      <c r="AP5" s="1"/>
      <c r="AQ5" s="3"/>
      <c r="AR5" s="1"/>
      <c r="AS5" s="1"/>
    </row>
    <row r="6" spans="1:100" hidden="1"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1"/>
      <c r="AE6" s="2"/>
      <c r="AF6" s="1"/>
      <c r="AG6" s="1"/>
      <c r="AH6" s="1"/>
      <c r="AI6" s="3"/>
      <c r="AJ6" s="1"/>
      <c r="AK6" s="1"/>
      <c r="AL6" s="1"/>
      <c r="AM6" s="3"/>
      <c r="AN6" s="1"/>
      <c r="AO6" s="1"/>
      <c r="AP6" s="1"/>
      <c r="AQ6" s="3"/>
      <c r="AR6" s="1"/>
      <c r="AS6" s="1"/>
    </row>
    <row r="7" spans="1:100" hidden="1"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1"/>
      <c r="AE7" s="2"/>
      <c r="AF7" s="1"/>
      <c r="AG7" s="1"/>
      <c r="AH7" s="1"/>
      <c r="AI7" s="3"/>
      <c r="AJ7" s="1"/>
      <c r="AK7" s="1"/>
      <c r="AL7" s="1"/>
      <c r="AM7" s="3"/>
      <c r="AN7" s="1"/>
      <c r="AO7" s="1"/>
      <c r="AP7" s="1"/>
      <c r="AQ7" s="3"/>
      <c r="AR7" s="1"/>
      <c r="AS7" s="1"/>
    </row>
    <row r="8" spans="1:100" hidden="1"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1"/>
      <c r="AE8" s="2"/>
      <c r="AF8" s="1"/>
      <c r="AG8" s="1"/>
      <c r="AH8" s="1"/>
      <c r="AI8" s="3"/>
      <c r="AJ8" s="1"/>
      <c r="AK8" s="1"/>
      <c r="AL8" s="1"/>
      <c r="AM8" s="3"/>
      <c r="AN8" s="1"/>
      <c r="AO8" s="1"/>
      <c r="AP8" s="1"/>
      <c r="AQ8" s="3"/>
      <c r="AR8" s="1"/>
      <c r="AS8" s="1"/>
    </row>
    <row r="9" spans="1:100" s="123" customFormat="1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61"/>
      <c r="AE9" s="62"/>
      <c r="AF9" s="61"/>
      <c r="AG9" s="61"/>
      <c r="AH9" s="61"/>
      <c r="AI9" s="63"/>
      <c r="AJ9" s="61"/>
      <c r="AK9" s="61"/>
      <c r="AL9" s="61"/>
      <c r="AM9" s="63"/>
      <c r="AN9" s="61"/>
      <c r="AO9" s="61"/>
      <c r="AP9" s="61"/>
      <c r="AQ9" s="63"/>
      <c r="AR9" s="61"/>
      <c r="AS9" s="61"/>
      <c r="AT9" s="124"/>
      <c r="AU9" s="124"/>
    </row>
    <row r="10" spans="1:100" s="123" customFormat="1" ht="11.25" customHeight="1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E10" s="124"/>
      <c r="AI10" s="74"/>
      <c r="AM10" s="74"/>
      <c r="AQ10" s="74"/>
      <c r="AT10" s="124"/>
      <c r="AU10" s="124"/>
    </row>
    <row r="11" spans="1:100" s="123" customFormat="1" ht="18.75">
      <c r="B11" s="65"/>
      <c r="C11" s="65"/>
      <c r="D11" s="122"/>
      <c r="E11" s="65"/>
      <c r="F11" s="65"/>
      <c r="G11" s="65"/>
      <c r="H11" s="65"/>
      <c r="I11" s="65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65"/>
      <c r="AB11" s="65"/>
      <c r="AC11" s="65"/>
      <c r="AE11" s="124"/>
      <c r="AI11" s="74"/>
      <c r="AM11" s="74"/>
      <c r="AQ11" s="74"/>
      <c r="AT11" s="124"/>
      <c r="AU11" s="124"/>
    </row>
    <row r="12" spans="1:100" ht="32.25" customHeight="1">
      <c r="B12" s="4" t="s">
        <v>1</v>
      </c>
      <c r="C12" s="4" t="s">
        <v>2</v>
      </c>
      <c r="D12" s="283" t="s">
        <v>3</v>
      </c>
      <c r="E12" s="6" t="s">
        <v>4</v>
      </c>
      <c r="F12" s="7"/>
      <c r="G12" s="65"/>
      <c r="H12" s="65"/>
      <c r="I12" s="65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65"/>
      <c r="AB12" s="65"/>
      <c r="AC12" s="65"/>
      <c r="AD12" s="123"/>
      <c r="AE12" s="124"/>
      <c r="AF12" s="123"/>
      <c r="AG12" s="123"/>
      <c r="AH12" s="123"/>
      <c r="AI12" s="74"/>
      <c r="AJ12" s="123"/>
      <c r="AK12" s="123"/>
      <c r="AL12" s="123"/>
      <c r="AM12" s="74"/>
      <c r="AN12" s="123"/>
      <c r="AO12" s="123"/>
      <c r="AP12" s="123"/>
      <c r="AQ12" s="74"/>
      <c r="AR12" s="123"/>
      <c r="AS12" s="123"/>
      <c r="AT12" s="124"/>
      <c r="AU12" s="124"/>
    </row>
    <row r="13" spans="1:100" ht="18.75">
      <c r="B13" s="8">
        <v>50173861</v>
      </c>
      <c r="C13" s="8">
        <v>30593116</v>
      </c>
      <c r="D13" s="8">
        <v>30593116</v>
      </c>
      <c r="E13" s="8">
        <f>+Y143</f>
        <v>19679691</v>
      </c>
      <c r="F13" s="67"/>
      <c r="G13" s="65"/>
      <c r="H13" s="65"/>
      <c r="I13" s="65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65"/>
      <c r="AB13" s="65"/>
      <c r="AC13" s="65"/>
      <c r="AD13" s="123"/>
      <c r="AE13" s="124"/>
      <c r="AF13" s="123"/>
      <c r="AG13" s="123"/>
      <c r="AH13" s="123"/>
      <c r="AI13" s="74"/>
      <c r="AJ13" s="123"/>
      <c r="AK13" s="123"/>
      <c r="AL13" s="123"/>
      <c r="AM13" s="74"/>
      <c r="AN13" s="123"/>
      <c r="AO13" s="123"/>
      <c r="AP13" s="123"/>
      <c r="AQ13" s="74"/>
      <c r="AR13" s="123"/>
      <c r="AS13" s="123"/>
      <c r="AT13" s="124"/>
      <c r="AU13" s="124"/>
    </row>
    <row r="14" spans="1:100" ht="15" customHeight="1">
      <c r="C14" s="9"/>
      <c r="D14" s="284"/>
      <c r="E14" s="9"/>
      <c r="F14" s="68"/>
      <c r="G14" s="123"/>
      <c r="H14" s="123"/>
      <c r="I14" s="123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742" t="s">
        <v>5</v>
      </c>
      <c r="AA14" s="743"/>
      <c r="AB14" s="743"/>
      <c r="AC14" s="744"/>
      <c r="AD14" s="745" t="s">
        <v>6</v>
      </c>
      <c r="AE14" s="746"/>
      <c r="AF14" s="746"/>
      <c r="AG14" s="747"/>
      <c r="AH14" s="745" t="s">
        <v>6</v>
      </c>
      <c r="AI14" s="746"/>
      <c r="AJ14" s="746"/>
      <c r="AK14" s="747"/>
      <c r="AL14" s="745" t="s">
        <v>6</v>
      </c>
      <c r="AM14" s="746"/>
      <c r="AN14" s="746"/>
      <c r="AO14" s="747"/>
      <c r="AP14" s="745" t="s">
        <v>6</v>
      </c>
      <c r="AQ14" s="746"/>
      <c r="AR14" s="746"/>
      <c r="AS14" s="747"/>
      <c r="AT14" s="760" t="s">
        <v>7</v>
      </c>
      <c r="AU14" s="760"/>
    </row>
    <row r="15" spans="1:100" s="96" customFormat="1" ht="55.5" customHeight="1">
      <c r="A15" s="39"/>
      <c r="B15" s="11" t="s">
        <v>8</v>
      </c>
      <c r="C15" s="11" t="s">
        <v>9</v>
      </c>
      <c r="D15" s="285" t="s">
        <v>10</v>
      </c>
      <c r="E15" s="12" t="s">
        <v>11</v>
      </c>
      <c r="F15" s="12" t="s">
        <v>12</v>
      </c>
      <c r="G15" s="12" t="s">
        <v>13</v>
      </c>
      <c r="H15" s="12" t="s">
        <v>14</v>
      </c>
      <c r="I15" s="12" t="s">
        <v>15</v>
      </c>
      <c r="J15" s="219" t="s">
        <v>16</v>
      </c>
      <c r="K15" s="219" t="s">
        <v>17</v>
      </c>
      <c r="L15" s="219" t="s">
        <v>18</v>
      </c>
      <c r="M15" s="286" t="s">
        <v>19</v>
      </c>
      <c r="N15" s="286" t="s">
        <v>20</v>
      </c>
      <c r="O15" s="286" t="s">
        <v>21</v>
      </c>
      <c r="P15" s="286" t="s">
        <v>22</v>
      </c>
      <c r="Q15" s="286" t="s">
        <v>23</v>
      </c>
      <c r="R15" s="287" t="s">
        <v>24</v>
      </c>
      <c r="S15" s="287" t="s">
        <v>25</v>
      </c>
      <c r="T15" s="287" t="s">
        <v>26</v>
      </c>
      <c r="U15" s="287" t="s">
        <v>27</v>
      </c>
      <c r="V15" s="287" t="s">
        <v>28</v>
      </c>
      <c r="W15" s="287" t="s">
        <v>29</v>
      </c>
      <c r="X15" s="287" t="s">
        <v>30</v>
      </c>
      <c r="Y15" s="288" t="s">
        <v>31</v>
      </c>
      <c r="Z15" s="243" t="s">
        <v>32</v>
      </c>
      <c r="AA15" s="17" t="s">
        <v>33</v>
      </c>
      <c r="AB15" s="16" t="s">
        <v>34</v>
      </c>
      <c r="AC15" s="16" t="s">
        <v>35</v>
      </c>
      <c r="AD15" s="18" t="s">
        <v>36</v>
      </c>
      <c r="AE15" s="19" t="s">
        <v>33</v>
      </c>
      <c r="AF15" s="18" t="s">
        <v>34</v>
      </c>
      <c r="AG15" s="18" t="s">
        <v>35</v>
      </c>
      <c r="AH15" s="18" t="s">
        <v>36</v>
      </c>
      <c r="AI15" s="19" t="s">
        <v>33</v>
      </c>
      <c r="AJ15" s="18" t="s">
        <v>34</v>
      </c>
      <c r="AK15" s="18" t="s">
        <v>35</v>
      </c>
      <c r="AL15" s="18" t="s">
        <v>36</v>
      </c>
      <c r="AM15" s="19" t="s">
        <v>33</v>
      </c>
      <c r="AN15" s="18" t="s">
        <v>34</v>
      </c>
      <c r="AO15" s="18" t="s">
        <v>35</v>
      </c>
      <c r="AP15" s="18" t="s">
        <v>36</v>
      </c>
      <c r="AQ15" s="19" t="s">
        <v>33</v>
      </c>
      <c r="AR15" s="18" t="s">
        <v>34</v>
      </c>
      <c r="AS15" s="18" t="s">
        <v>35</v>
      </c>
      <c r="AT15" s="289" t="s">
        <v>37</v>
      </c>
      <c r="AU15" s="289" t="s">
        <v>38</v>
      </c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</row>
    <row r="16" spans="1:100" s="39" customFormat="1" ht="22.5">
      <c r="B16" s="22">
        <v>1</v>
      </c>
      <c r="C16" s="22" t="s">
        <v>1222</v>
      </c>
      <c r="D16" s="290">
        <v>30381475</v>
      </c>
      <c r="E16" s="48" t="s">
        <v>1223</v>
      </c>
      <c r="F16" s="48" t="s">
        <v>317</v>
      </c>
      <c r="G16" s="26" t="s">
        <v>1224</v>
      </c>
      <c r="H16" s="73" t="s">
        <v>1225</v>
      </c>
      <c r="I16" s="49" t="s">
        <v>44</v>
      </c>
      <c r="J16" s="291">
        <v>48000</v>
      </c>
      <c r="K16" s="34">
        <v>0</v>
      </c>
      <c r="L16" s="34">
        <f t="shared" ref="L16:L79" si="0">J16-K16</f>
        <v>48000</v>
      </c>
      <c r="M16" s="34">
        <v>0</v>
      </c>
      <c r="N16" s="34">
        <v>0</v>
      </c>
      <c r="O16" s="34">
        <v>0</v>
      </c>
      <c r="P16" s="34"/>
      <c r="Q16" s="34"/>
      <c r="R16" s="34"/>
      <c r="S16" s="34"/>
      <c r="T16" s="34"/>
      <c r="U16" s="34"/>
      <c r="V16" s="34"/>
      <c r="W16" s="34"/>
      <c r="X16" s="34"/>
      <c r="Y16" s="34">
        <f t="shared" ref="Y16:Y45" si="1">SUM(M16:X16)</f>
        <v>0</v>
      </c>
      <c r="Z16" s="31">
        <v>48000</v>
      </c>
      <c r="AA16" s="32">
        <v>6</v>
      </c>
      <c r="AB16" s="33">
        <v>44215</v>
      </c>
      <c r="AC16" s="36">
        <v>44228</v>
      </c>
      <c r="AD16" s="31"/>
      <c r="AE16" s="35"/>
      <c r="AF16" s="27"/>
      <c r="AG16" s="36"/>
      <c r="AH16" s="31"/>
      <c r="AI16" s="32"/>
      <c r="AJ16" s="27"/>
      <c r="AK16" s="36"/>
      <c r="AL16" s="31"/>
      <c r="AM16" s="32"/>
      <c r="AN16" s="27"/>
      <c r="AO16" s="36"/>
      <c r="AP16" s="31"/>
      <c r="AQ16" s="32"/>
      <c r="AR16" s="27"/>
      <c r="AS16" s="36"/>
      <c r="AT16" s="37">
        <f>+Z16+AD16+AH16+AL16+AP16</f>
        <v>48000</v>
      </c>
      <c r="AU16" s="38">
        <f t="shared" ref="AU16:AU79" si="2">+AT16-Y16</f>
        <v>48000</v>
      </c>
    </row>
    <row r="17" spans="1:47" s="39" customFormat="1" ht="22.5">
      <c r="B17" s="22">
        <v>2</v>
      </c>
      <c r="C17" s="22" t="s">
        <v>1226</v>
      </c>
      <c r="D17" s="290">
        <v>30033690</v>
      </c>
      <c r="E17" s="48" t="s">
        <v>1227</v>
      </c>
      <c r="F17" s="48" t="s">
        <v>317</v>
      </c>
      <c r="G17" s="26" t="s">
        <v>1224</v>
      </c>
      <c r="H17" s="73" t="s">
        <v>1228</v>
      </c>
      <c r="I17" s="49" t="s">
        <v>44</v>
      </c>
      <c r="J17" s="291">
        <v>13116769</v>
      </c>
      <c r="K17" s="34">
        <v>0</v>
      </c>
      <c r="L17" s="34">
        <f t="shared" si="0"/>
        <v>13116769</v>
      </c>
      <c r="M17" s="34">
        <v>0</v>
      </c>
      <c r="N17" s="34">
        <v>0</v>
      </c>
      <c r="O17" s="34">
        <v>0</v>
      </c>
      <c r="P17" s="34"/>
      <c r="Q17" s="34"/>
      <c r="R17" s="34">
        <v>0</v>
      </c>
      <c r="S17" s="34"/>
      <c r="T17" s="34"/>
      <c r="U17" s="34"/>
      <c r="V17" s="34"/>
      <c r="W17" s="34"/>
      <c r="X17" s="34"/>
      <c r="Y17" s="34">
        <f t="shared" si="1"/>
        <v>0</v>
      </c>
      <c r="Z17" s="31">
        <v>79852</v>
      </c>
      <c r="AA17" s="32">
        <v>6</v>
      </c>
      <c r="AB17" s="33">
        <v>44215</v>
      </c>
      <c r="AC17" s="36">
        <v>44228</v>
      </c>
      <c r="AD17" s="31">
        <v>-52289</v>
      </c>
      <c r="AE17" s="35">
        <v>39</v>
      </c>
      <c r="AF17" s="33">
        <v>44364</v>
      </c>
      <c r="AG17" s="36">
        <v>44377</v>
      </c>
      <c r="AH17" s="31"/>
      <c r="AI17" s="32"/>
      <c r="AJ17" s="27"/>
      <c r="AK17" s="36"/>
      <c r="AL17" s="31"/>
      <c r="AM17" s="32"/>
      <c r="AN17" s="27"/>
      <c r="AO17" s="36"/>
      <c r="AP17" s="31"/>
      <c r="AQ17" s="32"/>
      <c r="AR17" s="27"/>
      <c r="AS17" s="36"/>
      <c r="AT17" s="37">
        <f t="shared" ref="AT17:AT80" si="3">+Z17+AD17+AH17+AL17+AP17</f>
        <v>27563</v>
      </c>
      <c r="AU17" s="38">
        <f t="shared" si="2"/>
        <v>27563</v>
      </c>
    </row>
    <row r="18" spans="1:47" s="39" customFormat="1" ht="22.5">
      <c r="B18" s="22">
        <v>4</v>
      </c>
      <c r="C18" s="22" t="s">
        <v>1226</v>
      </c>
      <c r="D18" s="290">
        <v>30069507</v>
      </c>
      <c r="E18" s="48" t="s">
        <v>1229</v>
      </c>
      <c r="F18" s="48" t="s">
        <v>317</v>
      </c>
      <c r="G18" s="26" t="s">
        <v>1224</v>
      </c>
      <c r="H18" s="73" t="s">
        <v>1230</v>
      </c>
      <c r="I18" s="49" t="s">
        <v>44</v>
      </c>
      <c r="J18" s="291">
        <v>3634610</v>
      </c>
      <c r="K18" s="34">
        <v>3553824</v>
      </c>
      <c r="L18" s="34">
        <f t="shared" si="0"/>
        <v>80786</v>
      </c>
      <c r="M18" s="34">
        <v>0</v>
      </c>
      <c r="N18" s="34">
        <v>448</v>
      </c>
      <c r="O18" s="34">
        <v>19498</v>
      </c>
      <c r="P18" s="34"/>
      <c r="Q18" s="34"/>
      <c r="R18" s="34"/>
      <c r="S18" s="34"/>
      <c r="T18" s="34"/>
      <c r="U18" s="34"/>
      <c r="V18" s="34"/>
      <c r="W18" s="34"/>
      <c r="X18" s="34"/>
      <c r="Y18" s="34">
        <f t="shared" si="1"/>
        <v>19946</v>
      </c>
      <c r="Z18" s="31">
        <v>80776</v>
      </c>
      <c r="AA18" s="32">
        <v>6</v>
      </c>
      <c r="AB18" s="33">
        <v>44215</v>
      </c>
      <c r="AC18" s="36">
        <v>44228</v>
      </c>
      <c r="AD18" s="31">
        <v>-24249</v>
      </c>
      <c r="AE18" s="35">
        <v>39</v>
      </c>
      <c r="AF18" s="33">
        <v>44364</v>
      </c>
      <c r="AG18" s="36">
        <v>44377</v>
      </c>
      <c r="AH18" s="31">
        <v>1101</v>
      </c>
      <c r="AI18" s="32">
        <v>57</v>
      </c>
      <c r="AJ18" s="33">
        <v>44432</v>
      </c>
      <c r="AK18" s="36"/>
      <c r="AL18" s="31"/>
      <c r="AM18" s="32"/>
      <c r="AN18" s="27"/>
      <c r="AO18" s="36"/>
      <c r="AP18" s="31"/>
      <c r="AQ18" s="32"/>
      <c r="AR18" s="27"/>
      <c r="AS18" s="36"/>
      <c r="AT18" s="37">
        <f t="shared" si="3"/>
        <v>57628</v>
      </c>
      <c r="AU18" s="38">
        <f t="shared" si="2"/>
        <v>37682</v>
      </c>
    </row>
    <row r="19" spans="1:47" s="39" customFormat="1" ht="22.5">
      <c r="B19" s="22">
        <v>5</v>
      </c>
      <c r="C19" s="22" t="s">
        <v>1226</v>
      </c>
      <c r="D19" s="290">
        <v>30071148</v>
      </c>
      <c r="E19" s="48" t="s">
        <v>1231</v>
      </c>
      <c r="F19" s="48" t="s">
        <v>317</v>
      </c>
      <c r="G19" s="26" t="s">
        <v>1224</v>
      </c>
      <c r="H19" s="73" t="s">
        <v>1232</v>
      </c>
      <c r="I19" s="49" t="s">
        <v>44</v>
      </c>
      <c r="J19" s="291">
        <v>1981736</v>
      </c>
      <c r="K19" s="34">
        <v>174626</v>
      </c>
      <c r="L19" s="34">
        <f t="shared" si="0"/>
        <v>1807110</v>
      </c>
      <c r="M19" s="34">
        <v>0</v>
      </c>
      <c r="N19" s="34">
        <v>0</v>
      </c>
      <c r="O19" s="34">
        <v>0</v>
      </c>
      <c r="P19" s="34"/>
      <c r="Q19" s="34"/>
      <c r="R19" s="34"/>
      <c r="S19" s="34"/>
      <c r="T19" s="34"/>
      <c r="U19" s="34"/>
      <c r="V19" s="34"/>
      <c r="W19" s="34"/>
      <c r="X19" s="34"/>
      <c r="Y19" s="34">
        <f t="shared" si="1"/>
        <v>0</v>
      </c>
      <c r="Z19" s="31">
        <v>4</v>
      </c>
      <c r="AA19" s="32">
        <v>6</v>
      </c>
      <c r="AB19" s="33">
        <v>44215</v>
      </c>
      <c r="AC19" s="36">
        <v>44228</v>
      </c>
      <c r="AD19" s="31"/>
      <c r="AE19" s="35"/>
      <c r="AF19" s="27"/>
      <c r="AG19" s="36"/>
      <c r="AH19" s="31"/>
      <c r="AI19" s="32"/>
      <c r="AJ19" s="27"/>
      <c r="AK19" s="36"/>
      <c r="AL19" s="31"/>
      <c r="AM19" s="32"/>
      <c r="AN19" s="27"/>
      <c r="AO19" s="36"/>
      <c r="AP19" s="31"/>
      <c r="AQ19" s="32"/>
      <c r="AR19" s="27"/>
      <c r="AS19" s="36"/>
      <c r="AT19" s="37">
        <f t="shared" si="3"/>
        <v>4</v>
      </c>
      <c r="AU19" s="38">
        <f t="shared" si="2"/>
        <v>4</v>
      </c>
    </row>
    <row r="20" spans="1:47" s="39" customFormat="1" ht="22.5">
      <c r="B20" s="22">
        <v>6</v>
      </c>
      <c r="C20" s="22" t="s">
        <v>1226</v>
      </c>
      <c r="D20" s="290">
        <v>30071574</v>
      </c>
      <c r="E20" s="48" t="s">
        <v>1233</v>
      </c>
      <c r="F20" s="48" t="s">
        <v>317</v>
      </c>
      <c r="G20" s="26" t="s">
        <v>1224</v>
      </c>
      <c r="H20" s="73" t="s">
        <v>1234</v>
      </c>
      <c r="I20" s="49" t="s">
        <v>44</v>
      </c>
      <c r="J20" s="291">
        <v>18582529</v>
      </c>
      <c r="K20" s="34">
        <v>1000</v>
      </c>
      <c r="L20" s="34">
        <f t="shared" si="0"/>
        <v>18581529</v>
      </c>
      <c r="M20" s="34">
        <v>0</v>
      </c>
      <c r="N20" s="34">
        <v>0</v>
      </c>
      <c r="O20" s="34">
        <v>0</v>
      </c>
      <c r="P20" s="34"/>
      <c r="Q20" s="34"/>
      <c r="R20" s="34"/>
      <c r="S20" s="34"/>
      <c r="T20" s="34"/>
      <c r="U20" s="34"/>
      <c r="V20" s="34"/>
      <c r="W20" s="34"/>
      <c r="X20" s="34"/>
      <c r="Y20" s="34">
        <f t="shared" si="1"/>
        <v>0</v>
      </c>
      <c r="Z20" s="31">
        <v>3</v>
      </c>
      <c r="AA20" s="32">
        <v>6</v>
      </c>
      <c r="AB20" s="33">
        <v>44215</v>
      </c>
      <c r="AC20" s="36">
        <v>44228</v>
      </c>
      <c r="AD20" s="31"/>
      <c r="AE20" s="35"/>
      <c r="AF20" s="27"/>
      <c r="AG20" s="36"/>
      <c r="AH20" s="31"/>
      <c r="AI20" s="32"/>
      <c r="AJ20" s="27"/>
      <c r="AK20" s="36"/>
      <c r="AL20" s="31"/>
      <c r="AM20" s="32"/>
      <c r="AN20" s="27"/>
      <c r="AO20" s="36"/>
      <c r="AP20" s="31"/>
      <c r="AQ20" s="32"/>
      <c r="AR20" s="27"/>
      <c r="AS20" s="36"/>
      <c r="AT20" s="37">
        <f t="shared" si="3"/>
        <v>3</v>
      </c>
      <c r="AU20" s="38">
        <f>+AT20-Y20</f>
        <v>3</v>
      </c>
    </row>
    <row r="21" spans="1:47" s="39" customFormat="1" ht="22.5">
      <c r="B21" s="22">
        <v>7</v>
      </c>
      <c r="C21" s="22" t="s">
        <v>1226</v>
      </c>
      <c r="D21" s="290">
        <v>30076163</v>
      </c>
      <c r="E21" s="48" t="s">
        <v>1235</v>
      </c>
      <c r="F21" s="48" t="s">
        <v>317</v>
      </c>
      <c r="G21" s="26" t="s">
        <v>1224</v>
      </c>
      <c r="H21" s="73" t="s">
        <v>1236</v>
      </c>
      <c r="I21" s="49" t="s">
        <v>44</v>
      </c>
      <c r="J21" s="291">
        <v>1858359</v>
      </c>
      <c r="K21" s="34">
        <v>57920</v>
      </c>
      <c r="L21" s="34">
        <f t="shared" si="0"/>
        <v>1800439</v>
      </c>
      <c r="M21" s="34">
        <v>0</v>
      </c>
      <c r="N21" s="34">
        <v>0</v>
      </c>
      <c r="O21" s="34">
        <v>0</v>
      </c>
      <c r="P21" s="34"/>
      <c r="Q21" s="34"/>
      <c r="R21" s="34">
        <v>15000</v>
      </c>
      <c r="S21" s="34"/>
      <c r="T21" s="34"/>
      <c r="U21" s="34"/>
      <c r="V21" s="34"/>
      <c r="W21" s="34"/>
      <c r="X21" s="34"/>
      <c r="Y21" s="34">
        <f t="shared" si="1"/>
        <v>15000</v>
      </c>
      <c r="Z21" s="31">
        <v>45002</v>
      </c>
      <c r="AA21" s="32">
        <v>6</v>
      </c>
      <c r="AB21" s="33">
        <v>44215</v>
      </c>
      <c r="AC21" s="36">
        <v>44228</v>
      </c>
      <c r="AD21" s="31"/>
      <c r="AE21" s="35"/>
      <c r="AF21" s="27"/>
      <c r="AG21" s="36"/>
      <c r="AH21" s="31"/>
      <c r="AI21" s="32"/>
      <c r="AJ21" s="27"/>
      <c r="AK21" s="36"/>
      <c r="AL21" s="31"/>
      <c r="AM21" s="32"/>
      <c r="AN21" s="27"/>
      <c r="AO21" s="36"/>
      <c r="AP21" s="31"/>
      <c r="AQ21" s="32"/>
      <c r="AR21" s="27"/>
      <c r="AS21" s="36"/>
      <c r="AT21" s="37">
        <f t="shared" si="3"/>
        <v>45002</v>
      </c>
      <c r="AU21" s="38">
        <f t="shared" si="2"/>
        <v>30002</v>
      </c>
    </row>
    <row r="22" spans="1:47" s="39" customFormat="1" ht="22.5">
      <c r="B22" s="22">
        <v>8</v>
      </c>
      <c r="C22" s="22" t="s">
        <v>1226</v>
      </c>
      <c r="D22" s="290">
        <v>30085480</v>
      </c>
      <c r="E22" s="48" t="s">
        <v>1237</v>
      </c>
      <c r="F22" s="48" t="s">
        <v>317</v>
      </c>
      <c r="G22" s="26" t="s">
        <v>1224</v>
      </c>
      <c r="H22" s="73" t="s">
        <v>1238</v>
      </c>
      <c r="I22" s="49" t="s">
        <v>44</v>
      </c>
      <c r="J22" s="291">
        <v>3585347</v>
      </c>
      <c r="K22" s="34">
        <v>713408</v>
      </c>
      <c r="L22" s="34">
        <f t="shared" si="0"/>
        <v>2871939</v>
      </c>
      <c r="M22" s="34">
        <v>0</v>
      </c>
      <c r="N22" s="34">
        <v>342361</v>
      </c>
      <c r="O22" s="34">
        <v>129410</v>
      </c>
      <c r="P22" s="34">
        <v>69309</v>
      </c>
      <c r="Q22" s="34">
        <v>172073</v>
      </c>
      <c r="R22" s="34">
        <v>516879</v>
      </c>
      <c r="S22" s="34">
        <v>151316</v>
      </c>
      <c r="T22" s="34">
        <v>197981</v>
      </c>
      <c r="U22" s="34">
        <v>361289</v>
      </c>
      <c r="V22" s="34"/>
      <c r="W22" s="34"/>
      <c r="X22" s="34"/>
      <c r="Y22" s="34">
        <f t="shared" si="1"/>
        <v>1940618</v>
      </c>
      <c r="Z22" s="31">
        <v>1871939</v>
      </c>
      <c r="AA22" s="32">
        <v>6</v>
      </c>
      <c r="AB22" s="33">
        <v>44215</v>
      </c>
      <c r="AC22" s="36">
        <v>44228</v>
      </c>
      <c r="AD22" s="31">
        <v>-1</v>
      </c>
      <c r="AE22" s="32">
        <v>27</v>
      </c>
      <c r="AF22" s="33">
        <v>44327</v>
      </c>
      <c r="AG22" s="36">
        <v>44341</v>
      </c>
      <c r="AH22" s="31">
        <v>539521</v>
      </c>
      <c r="AI22" s="32">
        <v>39</v>
      </c>
      <c r="AJ22" s="33">
        <v>44364</v>
      </c>
      <c r="AK22" s="36">
        <v>44377</v>
      </c>
      <c r="AL22" s="31">
        <v>107021</v>
      </c>
      <c r="AM22" s="32">
        <v>57</v>
      </c>
      <c r="AN22" s="33">
        <v>44432</v>
      </c>
      <c r="AO22" s="36"/>
      <c r="AP22" s="31"/>
      <c r="AQ22" s="32"/>
      <c r="AR22" s="27"/>
      <c r="AS22" s="36"/>
      <c r="AT22" s="37">
        <f t="shared" si="3"/>
        <v>2518480</v>
      </c>
      <c r="AU22" s="38">
        <f t="shared" si="2"/>
        <v>577862</v>
      </c>
    </row>
    <row r="23" spans="1:47" s="39" customFormat="1" ht="22.5">
      <c r="A23" s="39" t="s">
        <v>1239</v>
      </c>
      <c r="B23" s="22">
        <v>9</v>
      </c>
      <c r="C23" s="22" t="s">
        <v>1226</v>
      </c>
      <c r="D23" s="290">
        <v>30089742</v>
      </c>
      <c r="E23" s="48" t="s">
        <v>1240</v>
      </c>
      <c r="F23" s="48" t="s">
        <v>317</v>
      </c>
      <c r="G23" s="26" t="s">
        <v>1224</v>
      </c>
      <c r="H23" s="73" t="s">
        <v>1228</v>
      </c>
      <c r="I23" s="49" t="s">
        <v>44</v>
      </c>
      <c r="J23" s="291">
        <v>9445744</v>
      </c>
      <c r="K23" s="34">
        <v>7978641</v>
      </c>
      <c r="L23" s="34">
        <f t="shared" si="0"/>
        <v>1467103</v>
      </c>
      <c r="M23" s="34">
        <v>0</v>
      </c>
      <c r="N23" s="34">
        <v>91949</v>
      </c>
      <c r="O23" s="34">
        <v>42218</v>
      </c>
      <c r="P23" s="34">
        <v>3718</v>
      </c>
      <c r="Q23" s="34">
        <v>0</v>
      </c>
      <c r="R23" s="34">
        <v>132886</v>
      </c>
      <c r="S23" s="34">
        <v>162515</v>
      </c>
      <c r="T23" s="34">
        <v>55770</v>
      </c>
      <c r="U23" s="34">
        <v>108282</v>
      </c>
      <c r="V23" s="34"/>
      <c r="W23" s="34"/>
      <c r="X23" s="34"/>
      <c r="Y23" s="34">
        <f t="shared" si="1"/>
        <v>597338</v>
      </c>
      <c r="Z23" s="31">
        <v>1467105</v>
      </c>
      <c r="AA23" s="32">
        <v>6</v>
      </c>
      <c r="AB23" s="33">
        <v>44215</v>
      </c>
      <c r="AC23" s="36">
        <v>44228</v>
      </c>
      <c r="AD23" s="31">
        <v>217124</v>
      </c>
      <c r="AE23" s="35">
        <v>39</v>
      </c>
      <c r="AF23" s="33">
        <v>44364</v>
      </c>
      <c r="AG23" s="36">
        <v>44377</v>
      </c>
      <c r="AH23" s="31"/>
      <c r="AI23" s="32"/>
      <c r="AJ23" s="27"/>
      <c r="AK23" s="36"/>
      <c r="AL23" s="31"/>
      <c r="AM23" s="32"/>
      <c r="AN23" s="27"/>
      <c r="AO23" s="36"/>
      <c r="AP23" s="31"/>
      <c r="AQ23" s="32"/>
      <c r="AR23" s="27"/>
      <c r="AS23" s="36"/>
      <c r="AT23" s="37">
        <f t="shared" si="3"/>
        <v>1684229</v>
      </c>
      <c r="AU23" s="38">
        <f t="shared" si="2"/>
        <v>1086891</v>
      </c>
    </row>
    <row r="24" spans="1:47" s="39" customFormat="1" ht="22.5">
      <c r="B24" s="22">
        <v>10</v>
      </c>
      <c r="C24" s="22" t="s">
        <v>1226</v>
      </c>
      <c r="D24" s="290">
        <v>30093537</v>
      </c>
      <c r="E24" s="48" t="s">
        <v>1241</v>
      </c>
      <c r="F24" s="48" t="s">
        <v>317</v>
      </c>
      <c r="G24" s="26" t="s">
        <v>1224</v>
      </c>
      <c r="H24" s="73" t="s">
        <v>1228</v>
      </c>
      <c r="I24" s="49" t="s">
        <v>44</v>
      </c>
      <c r="J24" s="291">
        <v>829765</v>
      </c>
      <c r="K24" s="34">
        <v>386272</v>
      </c>
      <c r="L24" s="34">
        <f t="shared" si="0"/>
        <v>443493</v>
      </c>
      <c r="M24" s="34">
        <v>0</v>
      </c>
      <c r="N24" s="34">
        <v>428408</v>
      </c>
      <c r="O24" s="34">
        <v>4616</v>
      </c>
      <c r="P24" s="34">
        <v>3254</v>
      </c>
      <c r="Q24" s="34">
        <v>3254</v>
      </c>
      <c r="R24" s="34">
        <v>1627</v>
      </c>
      <c r="S24" s="34"/>
      <c r="T24" s="34"/>
      <c r="U24" s="34"/>
      <c r="V24" s="34"/>
      <c r="W24" s="34"/>
      <c r="X24" s="34"/>
      <c r="Y24" s="34">
        <f t="shared" si="1"/>
        <v>441159</v>
      </c>
      <c r="Z24" s="31">
        <v>443494</v>
      </c>
      <c r="AA24" s="32">
        <v>6</v>
      </c>
      <c r="AB24" s="33">
        <v>44215</v>
      </c>
      <c r="AC24" s="36">
        <v>44228</v>
      </c>
      <c r="AD24" s="31">
        <v>-2334</v>
      </c>
      <c r="AE24" s="35">
        <v>39</v>
      </c>
      <c r="AF24" s="33">
        <v>44364</v>
      </c>
      <c r="AG24" s="36">
        <v>44377</v>
      </c>
      <c r="AH24" s="31"/>
      <c r="AI24" s="32"/>
      <c r="AJ24" s="27"/>
      <c r="AK24" s="36"/>
      <c r="AL24" s="31"/>
      <c r="AM24" s="32"/>
      <c r="AN24" s="27"/>
      <c r="AO24" s="36"/>
      <c r="AP24" s="31"/>
      <c r="AQ24" s="32"/>
      <c r="AR24" s="27"/>
      <c r="AS24" s="36"/>
      <c r="AT24" s="37">
        <f t="shared" si="3"/>
        <v>441160</v>
      </c>
      <c r="AU24" s="38">
        <f t="shared" si="2"/>
        <v>1</v>
      </c>
    </row>
    <row r="25" spans="1:47" s="39" customFormat="1" ht="22.5">
      <c r="B25" s="22">
        <v>11</v>
      </c>
      <c r="C25" s="22" t="s">
        <v>1226</v>
      </c>
      <c r="D25" s="290">
        <v>30094259</v>
      </c>
      <c r="E25" s="48" t="s">
        <v>1242</v>
      </c>
      <c r="F25" s="48" t="s">
        <v>317</v>
      </c>
      <c r="G25" s="26" t="s">
        <v>1224</v>
      </c>
      <c r="H25" s="73" t="s">
        <v>1228</v>
      </c>
      <c r="I25" s="49" t="s">
        <v>52</v>
      </c>
      <c r="J25" s="291">
        <v>71280</v>
      </c>
      <c r="K25" s="34">
        <v>0</v>
      </c>
      <c r="L25" s="34">
        <f t="shared" si="0"/>
        <v>71280</v>
      </c>
      <c r="M25" s="34">
        <v>0</v>
      </c>
      <c r="N25" s="34">
        <v>0</v>
      </c>
      <c r="O25" s="34">
        <v>0</v>
      </c>
      <c r="P25" s="34"/>
      <c r="Q25" s="34"/>
      <c r="R25" s="34"/>
      <c r="S25" s="34"/>
      <c r="T25" s="34"/>
      <c r="U25" s="34"/>
      <c r="V25" s="34"/>
      <c r="W25" s="34"/>
      <c r="X25" s="34"/>
      <c r="Y25" s="34">
        <f t="shared" si="1"/>
        <v>0</v>
      </c>
      <c r="Z25" s="31">
        <v>71279</v>
      </c>
      <c r="AA25" s="32">
        <v>6</v>
      </c>
      <c r="AB25" s="33">
        <v>44215</v>
      </c>
      <c r="AC25" s="36">
        <v>44228</v>
      </c>
      <c r="AD25" s="31">
        <v>-71276</v>
      </c>
      <c r="AE25" s="32">
        <v>27</v>
      </c>
      <c r="AF25" s="33">
        <v>44327</v>
      </c>
      <c r="AG25" s="36">
        <v>44341</v>
      </c>
      <c r="AH25" s="31"/>
      <c r="AI25" s="32"/>
      <c r="AJ25" s="27"/>
      <c r="AK25" s="36"/>
      <c r="AL25" s="31"/>
      <c r="AM25" s="32"/>
      <c r="AN25" s="27"/>
      <c r="AO25" s="36"/>
      <c r="AP25" s="31"/>
      <c r="AQ25" s="32"/>
      <c r="AR25" s="27"/>
      <c r="AS25" s="36"/>
      <c r="AT25" s="37">
        <f t="shared" si="3"/>
        <v>3</v>
      </c>
      <c r="AU25" s="38">
        <f t="shared" si="2"/>
        <v>3</v>
      </c>
    </row>
    <row r="26" spans="1:47" s="39" customFormat="1" ht="22.5">
      <c r="B26" s="22">
        <v>12</v>
      </c>
      <c r="C26" s="22" t="s">
        <v>1226</v>
      </c>
      <c r="D26" s="290">
        <v>30103009</v>
      </c>
      <c r="E26" s="48" t="s">
        <v>1243</v>
      </c>
      <c r="F26" s="48" t="s">
        <v>317</v>
      </c>
      <c r="G26" s="26" t="s">
        <v>1224</v>
      </c>
      <c r="H26" s="73" t="s">
        <v>1228</v>
      </c>
      <c r="I26" s="49" t="s">
        <v>52</v>
      </c>
      <c r="J26" s="291">
        <v>1168195</v>
      </c>
      <c r="K26" s="34">
        <v>0</v>
      </c>
      <c r="L26" s="34">
        <f t="shared" si="0"/>
        <v>1168195</v>
      </c>
      <c r="M26" s="34">
        <v>0</v>
      </c>
      <c r="N26" s="34">
        <v>0</v>
      </c>
      <c r="O26" s="34">
        <v>0</v>
      </c>
      <c r="P26" s="34">
        <v>39101</v>
      </c>
      <c r="Q26" s="34">
        <v>61901</v>
      </c>
      <c r="R26" s="34">
        <v>65012</v>
      </c>
      <c r="S26" s="34">
        <v>0</v>
      </c>
      <c r="T26" s="34">
        <v>267189</v>
      </c>
      <c r="U26" s="34">
        <v>84278</v>
      </c>
      <c r="V26" s="34"/>
      <c r="W26" s="34"/>
      <c r="X26" s="34"/>
      <c r="Y26" s="34">
        <f t="shared" si="1"/>
        <v>517481</v>
      </c>
      <c r="Z26" s="31">
        <v>811964</v>
      </c>
      <c r="AA26" s="32">
        <v>6</v>
      </c>
      <c r="AB26" s="33">
        <v>44215</v>
      </c>
      <c r="AC26" s="36">
        <v>44228</v>
      </c>
      <c r="AD26" s="31"/>
      <c r="AE26" s="35"/>
      <c r="AF26" s="27"/>
      <c r="AG26" s="36"/>
      <c r="AH26" s="31"/>
      <c r="AI26" s="32"/>
      <c r="AJ26" s="27"/>
      <c r="AK26" s="36"/>
      <c r="AL26" s="31"/>
      <c r="AM26" s="32"/>
      <c r="AN26" s="27"/>
      <c r="AO26" s="36"/>
      <c r="AP26" s="31"/>
      <c r="AQ26" s="32"/>
      <c r="AR26" s="27"/>
      <c r="AS26" s="36"/>
      <c r="AT26" s="37">
        <f t="shared" si="3"/>
        <v>811964</v>
      </c>
      <c r="AU26" s="38">
        <f t="shared" si="2"/>
        <v>294483</v>
      </c>
    </row>
    <row r="27" spans="1:47" s="39" customFormat="1" ht="22.5">
      <c r="B27" s="22">
        <v>13</v>
      </c>
      <c r="C27" s="22" t="s">
        <v>1226</v>
      </c>
      <c r="D27" s="290">
        <v>30103293</v>
      </c>
      <c r="E27" s="48" t="s">
        <v>1244</v>
      </c>
      <c r="F27" s="48" t="s">
        <v>317</v>
      </c>
      <c r="G27" s="26" t="s">
        <v>1224</v>
      </c>
      <c r="H27" s="73" t="s">
        <v>1228</v>
      </c>
      <c r="I27" s="49" t="s">
        <v>44</v>
      </c>
      <c r="J27" s="291">
        <v>820062</v>
      </c>
      <c r="K27" s="34">
        <v>783680</v>
      </c>
      <c r="L27" s="34">
        <f t="shared" si="0"/>
        <v>36382</v>
      </c>
      <c r="M27" s="34">
        <v>0</v>
      </c>
      <c r="N27" s="34">
        <v>36383</v>
      </c>
      <c r="O27" s="34">
        <v>0</v>
      </c>
      <c r="P27" s="34"/>
      <c r="Q27" s="34"/>
      <c r="R27" s="34"/>
      <c r="S27" s="34"/>
      <c r="T27" s="34"/>
      <c r="U27" s="34"/>
      <c r="V27" s="34"/>
      <c r="W27" s="34"/>
      <c r="X27" s="34"/>
      <c r="Y27" s="34">
        <f t="shared" si="1"/>
        <v>36383</v>
      </c>
      <c r="Z27" s="31">
        <v>36383</v>
      </c>
      <c r="AA27" s="32">
        <v>6</v>
      </c>
      <c r="AB27" s="33">
        <v>44215</v>
      </c>
      <c r="AC27" s="36">
        <v>44228</v>
      </c>
      <c r="AD27" s="31"/>
      <c r="AE27" s="35"/>
      <c r="AF27" s="27"/>
      <c r="AG27" s="36"/>
      <c r="AH27" s="31"/>
      <c r="AI27" s="32"/>
      <c r="AJ27" s="27"/>
      <c r="AK27" s="36"/>
      <c r="AL27" s="31"/>
      <c r="AM27" s="32"/>
      <c r="AN27" s="27"/>
      <c r="AO27" s="36"/>
      <c r="AP27" s="31"/>
      <c r="AQ27" s="32"/>
      <c r="AR27" s="27"/>
      <c r="AS27" s="36"/>
      <c r="AT27" s="37">
        <f t="shared" si="3"/>
        <v>36383</v>
      </c>
      <c r="AU27" s="38">
        <f t="shared" si="2"/>
        <v>0</v>
      </c>
    </row>
    <row r="28" spans="1:47" s="39" customFormat="1" ht="22.5">
      <c r="B28" s="22">
        <v>15</v>
      </c>
      <c r="C28" s="22" t="s">
        <v>1226</v>
      </c>
      <c r="D28" s="290">
        <v>30103888</v>
      </c>
      <c r="E28" s="48" t="s">
        <v>1245</v>
      </c>
      <c r="F28" s="48" t="s">
        <v>317</v>
      </c>
      <c r="G28" s="26" t="s">
        <v>1224</v>
      </c>
      <c r="H28" s="73" t="s">
        <v>1246</v>
      </c>
      <c r="I28" s="49" t="s">
        <v>44</v>
      </c>
      <c r="J28" s="291">
        <v>2669524</v>
      </c>
      <c r="K28" s="34">
        <v>10740</v>
      </c>
      <c r="L28" s="34">
        <f t="shared" si="0"/>
        <v>2658784</v>
      </c>
      <c r="M28" s="34">
        <v>0</v>
      </c>
      <c r="N28" s="34">
        <v>0</v>
      </c>
      <c r="O28" s="34">
        <v>0</v>
      </c>
      <c r="P28" s="34">
        <v>10500</v>
      </c>
      <c r="Q28" s="34">
        <v>0</v>
      </c>
      <c r="R28" s="34">
        <v>5250</v>
      </c>
      <c r="S28" s="34">
        <v>0</v>
      </c>
      <c r="T28" s="34">
        <v>500</v>
      </c>
      <c r="U28" s="34">
        <v>0</v>
      </c>
      <c r="V28" s="34"/>
      <c r="W28" s="34"/>
      <c r="X28" s="34"/>
      <c r="Y28" s="34">
        <f t="shared" si="1"/>
        <v>16250</v>
      </c>
      <c r="Z28" s="31">
        <v>212250</v>
      </c>
      <c r="AA28" s="32">
        <v>6</v>
      </c>
      <c r="AB28" s="33">
        <v>44215</v>
      </c>
      <c r="AC28" s="36">
        <v>44228</v>
      </c>
      <c r="AD28" s="31">
        <v>-195997</v>
      </c>
      <c r="AE28" s="32">
        <v>27</v>
      </c>
      <c r="AF28" s="33">
        <v>44327</v>
      </c>
      <c r="AG28" s="36">
        <v>44341</v>
      </c>
      <c r="AH28" s="31"/>
      <c r="AI28" s="32"/>
      <c r="AJ28" s="27"/>
      <c r="AK28" s="36"/>
      <c r="AL28" s="31"/>
      <c r="AM28" s="32"/>
      <c r="AN28" s="27"/>
      <c r="AO28" s="36"/>
      <c r="AP28" s="31"/>
      <c r="AQ28" s="32"/>
      <c r="AR28" s="27"/>
      <c r="AS28" s="36"/>
      <c r="AT28" s="37">
        <f t="shared" si="3"/>
        <v>16253</v>
      </c>
      <c r="AU28" s="38">
        <f t="shared" si="2"/>
        <v>3</v>
      </c>
    </row>
    <row r="29" spans="1:47" s="39" customFormat="1" ht="22.5">
      <c r="B29" s="22">
        <v>16</v>
      </c>
      <c r="C29" s="22" t="s">
        <v>1226</v>
      </c>
      <c r="D29" s="290">
        <v>30104061</v>
      </c>
      <c r="E29" s="48" t="s">
        <v>1247</v>
      </c>
      <c r="F29" s="48" t="s">
        <v>317</v>
      </c>
      <c r="G29" s="26" t="s">
        <v>1224</v>
      </c>
      <c r="H29" s="73" t="s">
        <v>1228</v>
      </c>
      <c r="I29" s="49" t="s">
        <v>44</v>
      </c>
      <c r="J29" s="291">
        <v>5368974</v>
      </c>
      <c r="K29" s="34">
        <v>19259</v>
      </c>
      <c r="L29" s="34">
        <f t="shared" si="0"/>
        <v>5349715</v>
      </c>
      <c r="M29" s="34">
        <v>0</v>
      </c>
      <c r="N29" s="34">
        <v>0</v>
      </c>
      <c r="O29" s="34">
        <v>0</v>
      </c>
      <c r="P29" s="34"/>
      <c r="Q29" s="34"/>
      <c r="R29" s="34"/>
      <c r="S29" s="34"/>
      <c r="T29" s="34"/>
      <c r="U29" s="34"/>
      <c r="V29" s="34"/>
      <c r="W29" s="34"/>
      <c r="X29" s="34"/>
      <c r="Y29" s="34">
        <f t="shared" si="1"/>
        <v>0</v>
      </c>
      <c r="Z29" s="31">
        <v>3</v>
      </c>
      <c r="AA29" s="32">
        <v>6</v>
      </c>
      <c r="AB29" s="33">
        <v>44215</v>
      </c>
      <c r="AC29" s="36">
        <v>44228</v>
      </c>
      <c r="AD29" s="31"/>
      <c r="AE29" s="35"/>
      <c r="AF29" s="27"/>
      <c r="AG29" s="36"/>
      <c r="AH29" s="31"/>
      <c r="AI29" s="32"/>
      <c r="AJ29" s="27"/>
      <c r="AK29" s="36"/>
      <c r="AL29" s="31"/>
      <c r="AM29" s="32"/>
      <c r="AN29" s="27"/>
      <c r="AO29" s="36"/>
      <c r="AP29" s="31"/>
      <c r="AQ29" s="32"/>
      <c r="AR29" s="27"/>
      <c r="AS29" s="36"/>
      <c r="AT29" s="37">
        <f t="shared" si="3"/>
        <v>3</v>
      </c>
      <c r="AU29" s="38">
        <f t="shared" si="2"/>
        <v>3</v>
      </c>
    </row>
    <row r="30" spans="1:47" s="39" customFormat="1" ht="22.5">
      <c r="B30" s="22">
        <v>17</v>
      </c>
      <c r="C30" s="22" t="s">
        <v>1226</v>
      </c>
      <c r="D30" s="290">
        <v>30104105</v>
      </c>
      <c r="E30" s="48" t="s">
        <v>1248</v>
      </c>
      <c r="F30" s="48" t="s">
        <v>317</v>
      </c>
      <c r="G30" s="26" t="s">
        <v>1224</v>
      </c>
      <c r="H30" s="73" t="s">
        <v>1228</v>
      </c>
      <c r="I30" s="49" t="s">
        <v>44</v>
      </c>
      <c r="J30" s="291">
        <v>6328584</v>
      </c>
      <c r="K30" s="34">
        <v>6653</v>
      </c>
      <c r="L30" s="34">
        <f t="shared" si="0"/>
        <v>6321931</v>
      </c>
      <c r="M30" s="34">
        <v>0</v>
      </c>
      <c r="N30" s="34">
        <v>0</v>
      </c>
      <c r="O30" s="34">
        <v>0</v>
      </c>
      <c r="P30" s="34"/>
      <c r="Q30" s="34">
        <v>1400</v>
      </c>
      <c r="R30" s="34">
        <v>1400</v>
      </c>
      <c r="S30" s="34">
        <v>1400</v>
      </c>
      <c r="T30" s="34">
        <v>4600</v>
      </c>
      <c r="U30" s="34">
        <v>1400</v>
      </c>
      <c r="V30" s="34"/>
      <c r="W30" s="34"/>
      <c r="X30" s="34"/>
      <c r="Y30" s="34">
        <f t="shared" si="1"/>
        <v>10200</v>
      </c>
      <c r="Z30" s="31">
        <v>65255</v>
      </c>
      <c r="AA30" s="32">
        <v>6</v>
      </c>
      <c r="AB30" s="33">
        <v>44215</v>
      </c>
      <c r="AC30" s="36">
        <v>44228</v>
      </c>
      <c r="AD30" s="31">
        <v>-50854</v>
      </c>
      <c r="AE30" s="32">
        <v>27</v>
      </c>
      <c r="AF30" s="33">
        <v>44327</v>
      </c>
      <c r="AG30" s="36">
        <v>44341</v>
      </c>
      <c r="AH30" s="31"/>
      <c r="AI30" s="32"/>
      <c r="AJ30" s="27"/>
      <c r="AK30" s="36"/>
      <c r="AL30" s="31"/>
      <c r="AM30" s="32"/>
      <c r="AN30" s="27"/>
      <c r="AO30" s="36"/>
      <c r="AP30" s="31"/>
      <c r="AQ30" s="32"/>
      <c r="AR30" s="27"/>
      <c r="AS30" s="36"/>
      <c r="AT30" s="37">
        <f t="shared" si="3"/>
        <v>14401</v>
      </c>
      <c r="AU30" s="38">
        <f t="shared" si="2"/>
        <v>4201</v>
      </c>
    </row>
    <row r="31" spans="1:47" s="39" customFormat="1" ht="22.5">
      <c r="B31" s="22">
        <v>18</v>
      </c>
      <c r="C31" s="22" t="s">
        <v>1226</v>
      </c>
      <c r="D31" s="290">
        <v>30104209</v>
      </c>
      <c r="E31" s="48" t="s">
        <v>1249</v>
      </c>
      <c r="F31" s="48" t="s">
        <v>317</v>
      </c>
      <c r="G31" s="26" t="s">
        <v>1224</v>
      </c>
      <c r="H31" s="73" t="s">
        <v>1236</v>
      </c>
      <c r="I31" s="49" t="s">
        <v>52</v>
      </c>
      <c r="J31" s="291">
        <v>411062</v>
      </c>
      <c r="K31" s="34">
        <v>0</v>
      </c>
      <c r="L31" s="34">
        <f t="shared" si="0"/>
        <v>411062</v>
      </c>
      <c r="M31" s="34">
        <v>0</v>
      </c>
      <c r="N31" s="34">
        <v>0</v>
      </c>
      <c r="O31" s="34">
        <v>0</v>
      </c>
      <c r="P31" s="34"/>
      <c r="Q31" s="34"/>
      <c r="R31" s="34"/>
      <c r="S31" s="34"/>
      <c r="T31" s="34"/>
      <c r="U31" s="34"/>
      <c r="V31" s="34"/>
      <c r="W31" s="34"/>
      <c r="X31" s="34"/>
      <c r="Y31" s="34">
        <f t="shared" si="1"/>
        <v>0</v>
      </c>
      <c r="Z31" s="31">
        <v>100291</v>
      </c>
      <c r="AA31" s="32">
        <v>6</v>
      </c>
      <c r="AB31" s="33">
        <v>44215</v>
      </c>
      <c r="AC31" s="36">
        <v>44228</v>
      </c>
      <c r="AD31" s="31">
        <v>-60000</v>
      </c>
      <c r="AE31" s="35">
        <v>39</v>
      </c>
      <c r="AF31" s="33">
        <v>44364</v>
      </c>
      <c r="AG31" s="36">
        <v>44377</v>
      </c>
      <c r="AH31" s="31"/>
      <c r="AI31" s="32"/>
      <c r="AJ31" s="27"/>
      <c r="AK31" s="36"/>
      <c r="AL31" s="31"/>
      <c r="AM31" s="32"/>
      <c r="AN31" s="27"/>
      <c r="AO31" s="36"/>
      <c r="AP31" s="31"/>
      <c r="AQ31" s="32"/>
      <c r="AR31" s="27"/>
      <c r="AS31" s="36"/>
      <c r="AT31" s="37">
        <f t="shared" si="3"/>
        <v>40291</v>
      </c>
      <c r="AU31" s="38">
        <f t="shared" si="2"/>
        <v>40291</v>
      </c>
    </row>
    <row r="32" spans="1:47" s="39" customFormat="1" ht="22.5">
      <c r="B32" s="22">
        <v>19</v>
      </c>
      <c r="C32" s="22" t="s">
        <v>1226</v>
      </c>
      <c r="D32" s="290">
        <v>30105664</v>
      </c>
      <c r="E32" s="48" t="s">
        <v>1250</v>
      </c>
      <c r="F32" s="48" t="s">
        <v>317</v>
      </c>
      <c r="G32" s="26" t="s">
        <v>1224</v>
      </c>
      <c r="H32" s="73" t="s">
        <v>1251</v>
      </c>
      <c r="I32" s="49" t="s">
        <v>44</v>
      </c>
      <c r="J32" s="291">
        <v>5229665</v>
      </c>
      <c r="K32" s="34">
        <v>29552</v>
      </c>
      <c r="L32" s="34">
        <f t="shared" si="0"/>
        <v>5200113</v>
      </c>
      <c r="M32" s="34">
        <v>0</v>
      </c>
      <c r="N32" s="34">
        <v>0</v>
      </c>
      <c r="O32" s="34">
        <v>37813</v>
      </c>
      <c r="P32" s="34">
        <v>263990</v>
      </c>
      <c r="Q32" s="34"/>
      <c r="R32" s="34">
        <v>305676</v>
      </c>
      <c r="S32" s="34">
        <v>215518</v>
      </c>
      <c r="T32" s="34">
        <v>120615</v>
      </c>
      <c r="U32" s="34">
        <v>222394</v>
      </c>
      <c r="V32" s="34"/>
      <c r="W32" s="34"/>
      <c r="X32" s="34"/>
      <c r="Y32" s="34">
        <f t="shared" si="1"/>
        <v>1166006</v>
      </c>
      <c r="Z32" s="31">
        <v>669303</v>
      </c>
      <c r="AA32" s="32">
        <v>6</v>
      </c>
      <c r="AB32" s="33">
        <v>44215</v>
      </c>
      <c r="AC32" s="36">
        <v>44228</v>
      </c>
      <c r="AD32" s="31">
        <v>1227817</v>
      </c>
      <c r="AE32" s="35">
        <v>39</v>
      </c>
      <c r="AF32" s="33">
        <v>44364</v>
      </c>
      <c r="AG32" s="36" t="s">
        <v>1252</v>
      </c>
      <c r="AH32" s="31">
        <v>227248</v>
      </c>
      <c r="AI32" s="32">
        <v>57</v>
      </c>
      <c r="AJ32" s="33">
        <v>44432</v>
      </c>
      <c r="AK32" s="36"/>
      <c r="AL32" s="31"/>
      <c r="AM32" s="32"/>
      <c r="AN32" s="27"/>
      <c r="AO32" s="36"/>
      <c r="AP32" s="31"/>
      <c r="AQ32" s="32"/>
      <c r="AR32" s="27"/>
      <c r="AS32" s="36"/>
      <c r="AT32" s="37">
        <f t="shared" si="3"/>
        <v>2124368</v>
      </c>
      <c r="AU32" s="38">
        <f t="shared" si="2"/>
        <v>958362</v>
      </c>
    </row>
    <row r="33" spans="2:47" s="39" customFormat="1" ht="22.5">
      <c r="B33" s="22">
        <v>20</v>
      </c>
      <c r="C33" s="22" t="s">
        <v>1226</v>
      </c>
      <c r="D33" s="290">
        <v>30113161</v>
      </c>
      <c r="E33" s="48" t="s">
        <v>1253</v>
      </c>
      <c r="F33" s="48" t="s">
        <v>317</v>
      </c>
      <c r="G33" s="26" t="s">
        <v>1224</v>
      </c>
      <c r="H33" s="73" t="s">
        <v>1228</v>
      </c>
      <c r="I33" s="49" t="s">
        <v>44</v>
      </c>
      <c r="J33" s="291">
        <v>2658230</v>
      </c>
      <c r="K33" s="34">
        <v>2651781</v>
      </c>
      <c r="L33" s="34">
        <f t="shared" si="0"/>
        <v>6449</v>
      </c>
      <c r="M33" s="34">
        <v>0</v>
      </c>
      <c r="N33" s="34">
        <v>0</v>
      </c>
      <c r="O33" s="34">
        <v>0</v>
      </c>
      <c r="P33" s="34"/>
      <c r="Q33" s="34">
        <v>5542</v>
      </c>
      <c r="R33" s="34"/>
      <c r="S33" s="34"/>
      <c r="T33" s="34"/>
      <c r="U33" s="34"/>
      <c r="V33" s="34"/>
      <c r="W33" s="34"/>
      <c r="X33" s="34"/>
      <c r="Y33" s="34">
        <f t="shared" si="1"/>
        <v>5542</v>
      </c>
      <c r="Z33" s="31">
        <v>6449</v>
      </c>
      <c r="AA33" s="32">
        <v>6</v>
      </c>
      <c r="AB33" s="33">
        <v>44215</v>
      </c>
      <c r="AC33" s="36">
        <v>44228</v>
      </c>
      <c r="AD33" s="31"/>
      <c r="AE33" s="35"/>
      <c r="AF33" s="27"/>
      <c r="AG33" s="36"/>
      <c r="AH33" s="31"/>
      <c r="AI33" s="32"/>
      <c r="AJ33" s="27"/>
      <c r="AK33" s="36"/>
      <c r="AL33" s="31"/>
      <c r="AM33" s="32"/>
      <c r="AN33" s="27"/>
      <c r="AO33" s="36"/>
      <c r="AP33" s="31"/>
      <c r="AQ33" s="32"/>
      <c r="AR33" s="27"/>
      <c r="AS33" s="36"/>
      <c r="AT33" s="37">
        <f t="shared" si="3"/>
        <v>6449</v>
      </c>
      <c r="AU33" s="38">
        <f t="shared" si="2"/>
        <v>907</v>
      </c>
    </row>
    <row r="34" spans="2:47" s="39" customFormat="1" ht="22.5">
      <c r="B34" s="22">
        <v>21</v>
      </c>
      <c r="C34" s="22" t="s">
        <v>1226</v>
      </c>
      <c r="D34" s="290">
        <v>30113410</v>
      </c>
      <c r="E34" s="48" t="s">
        <v>1254</v>
      </c>
      <c r="F34" s="48" t="s">
        <v>317</v>
      </c>
      <c r="G34" s="26" t="s">
        <v>1224</v>
      </c>
      <c r="H34" s="73" t="s">
        <v>1255</v>
      </c>
      <c r="I34" s="49" t="s">
        <v>44</v>
      </c>
      <c r="J34" s="291">
        <v>1911755</v>
      </c>
      <c r="K34" s="34">
        <v>815712</v>
      </c>
      <c r="L34" s="34">
        <f t="shared" si="0"/>
        <v>1096043</v>
      </c>
      <c r="M34" s="34">
        <v>0</v>
      </c>
      <c r="N34" s="34">
        <v>270237</v>
      </c>
      <c r="O34" s="34">
        <v>504442</v>
      </c>
      <c r="P34" s="34">
        <v>5353</v>
      </c>
      <c r="Q34" s="34">
        <v>0</v>
      </c>
      <c r="R34" s="34">
        <v>216189</v>
      </c>
      <c r="S34" s="34"/>
      <c r="T34" s="34"/>
      <c r="U34" s="34"/>
      <c r="V34" s="34"/>
      <c r="W34" s="34"/>
      <c r="X34" s="34"/>
      <c r="Y34" s="34">
        <f t="shared" si="1"/>
        <v>996221</v>
      </c>
      <c r="Z34" s="31">
        <v>1095691</v>
      </c>
      <c r="AA34" s="32">
        <v>6</v>
      </c>
      <c r="AB34" s="33">
        <v>44215</v>
      </c>
      <c r="AC34" s="36">
        <v>44228</v>
      </c>
      <c r="AD34" s="31">
        <v>-99467</v>
      </c>
      <c r="AE34" s="32">
        <v>27</v>
      </c>
      <c r="AF34" s="33">
        <v>44327</v>
      </c>
      <c r="AG34" s="36">
        <v>44341</v>
      </c>
      <c r="AH34" s="31"/>
      <c r="AI34" s="32"/>
      <c r="AJ34" s="27"/>
      <c r="AK34" s="36"/>
      <c r="AL34" s="31"/>
      <c r="AM34" s="32"/>
      <c r="AN34" s="27"/>
      <c r="AO34" s="36"/>
      <c r="AP34" s="31"/>
      <c r="AQ34" s="32"/>
      <c r="AR34" s="27"/>
      <c r="AS34" s="36"/>
      <c r="AT34" s="37">
        <f t="shared" si="3"/>
        <v>996224</v>
      </c>
      <c r="AU34" s="38">
        <f t="shared" si="2"/>
        <v>3</v>
      </c>
    </row>
    <row r="35" spans="2:47" s="39" customFormat="1" ht="22.5">
      <c r="B35" s="22">
        <v>22</v>
      </c>
      <c r="C35" s="22" t="s">
        <v>1226</v>
      </c>
      <c r="D35" s="290">
        <v>30114697</v>
      </c>
      <c r="E35" s="48" t="s">
        <v>1256</v>
      </c>
      <c r="F35" s="48" t="s">
        <v>317</v>
      </c>
      <c r="G35" s="26" t="s">
        <v>1224</v>
      </c>
      <c r="H35" s="73" t="s">
        <v>1251</v>
      </c>
      <c r="I35" s="49" t="s">
        <v>44</v>
      </c>
      <c r="J35" s="291">
        <v>1029457</v>
      </c>
      <c r="K35" s="34">
        <v>1027166</v>
      </c>
      <c r="L35" s="34">
        <f t="shared" si="0"/>
        <v>2291</v>
      </c>
      <c r="M35" s="34">
        <v>0</v>
      </c>
      <c r="N35" s="34">
        <v>0</v>
      </c>
      <c r="O35" s="34">
        <v>0</v>
      </c>
      <c r="P35" s="34"/>
      <c r="Q35" s="34"/>
      <c r="R35" s="34"/>
      <c r="S35" s="34"/>
      <c r="T35" s="34"/>
      <c r="U35" s="34"/>
      <c r="V35" s="34"/>
      <c r="W35" s="34"/>
      <c r="X35" s="34"/>
      <c r="Y35" s="34">
        <f t="shared" si="1"/>
        <v>0</v>
      </c>
      <c r="Z35" s="31">
        <v>2292</v>
      </c>
      <c r="AA35" s="32">
        <v>6</v>
      </c>
      <c r="AB35" s="33">
        <v>44215</v>
      </c>
      <c r="AC35" s="36">
        <v>44228</v>
      </c>
      <c r="AD35" s="31"/>
      <c r="AE35" s="35"/>
      <c r="AF35" s="27"/>
      <c r="AG35" s="36"/>
      <c r="AH35" s="31"/>
      <c r="AI35" s="32"/>
      <c r="AJ35" s="27"/>
      <c r="AK35" s="36"/>
      <c r="AL35" s="31"/>
      <c r="AM35" s="32"/>
      <c r="AN35" s="27"/>
      <c r="AO35" s="36"/>
      <c r="AP35" s="31"/>
      <c r="AQ35" s="32"/>
      <c r="AR35" s="27"/>
      <c r="AS35" s="36"/>
      <c r="AT35" s="37">
        <f t="shared" si="3"/>
        <v>2292</v>
      </c>
      <c r="AU35" s="38">
        <f t="shared" si="2"/>
        <v>2292</v>
      </c>
    </row>
    <row r="36" spans="2:47" s="39" customFormat="1" ht="22.5">
      <c r="B36" s="22">
        <v>23</v>
      </c>
      <c r="C36" s="22" t="s">
        <v>1226</v>
      </c>
      <c r="D36" s="290">
        <v>30119106</v>
      </c>
      <c r="E36" s="48" t="s">
        <v>1257</v>
      </c>
      <c r="F36" s="48" t="s">
        <v>317</v>
      </c>
      <c r="G36" s="26" t="s">
        <v>1224</v>
      </c>
      <c r="H36" s="73" t="s">
        <v>1246</v>
      </c>
      <c r="I36" s="49" t="s">
        <v>44</v>
      </c>
      <c r="J36" s="291">
        <v>1245190</v>
      </c>
      <c r="K36" s="34">
        <v>1014405</v>
      </c>
      <c r="L36" s="34">
        <f t="shared" si="0"/>
        <v>230785</v>
      </c>
      <c r="M36" s="34">
        <v>0</v>
      </c>
      <c r="N36" s="34">
        <v>158733</v>
      </c>
      <c r="O36" s="34">
        <v>49199</v>
      </c>
      <c r="P36" s="34">
        <v>9745</v>
      </c>
      <c r="Q36" s="34"/>
      <c r="R36" s="34"/>
      <c r="S36" s="34"/>
      <c r="T36" s="34"/>
      <c r="U36" s="34"/>
      <c r="V36" s="34"/>
      <c r="W36" s="34"/>
      <c r="X36" s="34"/>
      <c r="Y36" s="34">
        <f t="shared" si="1"/>
        <v>217677</v>
      </c>
      <c r="Z36" s="31">
        <v>230787</v>
      </c>
      <c r="AA36" s="32">
        <v>6</v>
      </c>
      <c r="AB36" s="33">
        <v>44215</v>
      </c>
      <c r="AC36" s="36">
        <v>44228</v>
      </c>
      <c r="AD36" s="31">
        <v>-13110</v>
      </c>
      <c r="AE36" s="35">
        <v>39</v>
      </c>
      <c r="AF36" s="33">
        <v>44364</v>
      </c>
      <c r="AG36" s="36">
        <v>44377</v>
      </c>
      <c r="AH36" s="31"/>
      <c r="AI36" s="32"/>
      <c r="AJ36" s="27"/>
      <c r="AK36" s="36"/>
      <c r="AL36" s="31"/>
      <c r="AM36" s="32"/>
      <c r="AN36" s="27"/>
      <c r="AO36" s="36"/>
      <c r="AP36" s="31"/>
      <c r="AQ36" s="32"/>
      <c r="AR36" s="27"/>
      <c r="AS36" s="36"/>
      <c r="AT36" s="37">
        <f t="shared" si="3"/>
        <v>217677</v>
      </c>
      <c r="AU36" s="38">
        <f t="shared" si="2"/>
        <v>0</v>
      </c>
    </row>
    <row r="37" spans="2:47" s="39" customFormat="1" ht="22.5">
      <c r="B37" s="22">
        <v>24</v>
      </c>
      <c r="C37" s="22" t="s">
        <v>1226</v>
      </c>
      <c r="D37" s="290">
        <v>30121105</v>
      </c>
      <c r="E37" s="48" t="s">
        <v>1258</v>
      </c>
      <c r="F37" s="48" t="s">
        <v>317</v>
      </c>
      <c r="G37" s="26" t="s">
        <v>1224</v>
      </c>
      <c r="H37" s="73" t="s">
        <v>150</v>
      </c>
      <c r="I37" s="49" t="s">
        <v>52</v>
      </c>
      <c r="J37" s="291">
        <v>3670738</v>
      </c>
      <c r="K37" s="34">
        <v>0</v>
      </c>
      <c r="L37" s="34">
        <f t="shared" si="0"/>
        <v>3670738</v>
      </c>
      <c r="M37" s="34">
        <v>0</v>
      </c>
      <c r="N37" s="34">
        <v>0</v>
      </c>
      <c r="O37" s="34">
        <v>0</v>
      </c>
      <c r="P37" s="34"/>
      <c r="Q37" s="34"/>
      <c r="R37" s="34"/>
      <c r="S37" s="34"/>
      <c r="T37" s="34"/>
      <c r="U37" s="34"/>
      <c r="V37" s="34"/>
      <c r="W37" s="34"/>
      <c r="X37" s="34"/>
      <c r="Y37" s="34">
        <f t="shared" si="1"/>
        <v>0</v>
      </c>
      <c r="Z37" s="31">
        <v>2</v>
      </c>
      <c r="AA37" s="32">
        <v>6</v>
      </c>
      <c r="AB37" s="33">
        <v>44215</v>
      </c>
      <c r="AC37" s="36">
        <v>44228</v>
      </c>
      <c r="AD37" s="31"/>
      <c r="AE37" s="35"/>
      <c r="AF37" s="27"/>
      <c r="AG37" s="36"/>
      <c r="AH37" s="31"/>
      <c r="AI37" s="32"/>
      <c r="AJ37" s="27"/>
      <c r="AK37" s="36"/>
      <c r="AL37" s="31"/>
      <c r="AM37" s="32"/>
      <c r="AN37" s="27"/>
      <c r="AO37" s="36"/>
      <c r="AP37" s="31"/>
      <c r="AQ37" s="32"/>
      <c r="AR37" s="27"/>
      <c r="AS37" s="36"/>
      <c r="AT37" s="37">
        <f t="shared" si="3"/>
        <v>2</v>
      </c>
      <c r="AU37" s="38">
        <f t="shared" si="2"/>
        <v>2</v>
      </c>
    </row>
    <row r="38" spans="2:47" s="39" customFormat="1" ht="22.5">
      <c r="B38" s="22">
        <v>25</v>
      </c>
      <c r="C38" s="22" t="s">
        <v>1226</v>
      </c>
      <c r="D38" s="290">
        <v>30123231</v>
      </c>
      <c r="E38" s="48" t="s">
        <v>1259</v>
      </c>
      <c r="F38" s="48" t="s">
        <v>317</v>
      </c>
      <c r="G38" s="26" t="s">
        <v>1224</v>
      </c>
      <c r="H38" s="73" t="s">
        <v>150</v>
      </c>
      <c r="I38" s="49" t="s">
        <v>44</v>
      </c>
      <c r="J38" s="291">
        <v>6309129</v>
      </c>
      <c r="K38" s="34">
        <v>6152243</v>
      </c>
      <c r="L38" s="34">
        <f t="shared" si="0"/>
        <v>156886</v>
      </c>
      <c r="M38" s="34">
        <v>0</v>
      </c>
      <c r="N38" s="34">
        <v>0</v>
      </c>
      <c r="O38" s="34">
        <v>20403</v>
      </c>
      <c r="P38" s="34">
        <v>11592</v>
      </c>
      <c r="Q38" s="34">
        <v>9141</v>
      </c>
      <c r="R38" s="34"/>
      <c r="S38" s="34">
        <v>0</v>
      </c>
      <c r="T38" s="34">
        <v>0</v>
      </c>
      <c r="U38" s="34">
        <v>3127</v>
      </c>
      <c r="V38" s="34"/>
      <c r="W38" s="34"/>
      <c r="X38" s="34"/>
      <c r="Y38" s="34">
        <f t="shared" si="1"/>
        <v>44263</v>
      </c>
      <c r="Z38" s="31">
        <v>155943</v>
      </c>
      <c r="AA38" s="32">
        <v>6</v>
      </c>
      <c r="AB38" s="33">
        <v>44215</v>
      </c>
      <c r="AC38" s="36">
        <v>44228</v>
      </c>
      <c r="AD38" s="31"/>
      <c r="AE38" s="35"/>
      <c r="AF38" s="27"/>
      <c r="AG38" s="36"/>
      <c r="AH38" s="31"/>
      <c r="AI38" s="32"/>
      <c r="AJ38" s="27"/>
      <c r="AK38" s="36"/>
      <c r="AL38" s="31"/>
      <c r="AM38" s="32"/>
      <c r="AN38" s="27"/>
      <c r="AO38" s="36"/>
      <c r="AP38" s="31"/>
      <c r="AQ38" s="32"/>
      <c r="AR38" s="27"/>
      <c r="AS38" s="36"/>
      <c r="AT38" s="37">
        <f t="shared" si="3"/>
        <v>155943</v>
      </c>
      <c r="AU38" s="38">
        <f t="shared" si="2"/>
        <v>111680</v>
      </c>
    </row>
    <row r="39" spans="2:47" s="39" customFormat="1" ht="22.5">
      <c r="B39" s="22">
        <v>26</v>
      </c>
      <c r="C39" s="22" t="s">
        <v>1226</v>
      </c>
      <c r="D39" s="290">
        <v>30123644</v>
      </c>
      <c r="E39" s="48" t="s">
        <v>1260</v>
      </c>
      <c r="F39" s="48" t="s">
        <v>317</v>
      </c>
      <c r="G39" s="26" t="s">
        <v>1224</v>
      </c>
      <c r="H39" s="73" t="s">
        <v>1230</v>
      </c>
      <c r="I39" s="49" t="s">
        <v>44</v>
      </c>
      <c r="J39" s="291">
        <v>2063678</v>
      </c>
      <c r="K39" s="34">
        <v>15266</v>
      </c>
      <c r="L39" s="34">
        <f t="shared" si="0"/>
        <v>2048412</v>
      </c>
      <c r="M39" s="34">
        <v>0</v>
      </c>
      <c r="N39" s="34">
        <v>0</v>
      </c>
      <c r="O39" s="34">
        <v>0</v>
      </c>
      <c r="P39" s="34"/>
      <c r="Q39" s="34"/>
      <c r="R39" s="34"/>
      <c r="S39" s="34"/>
      <c r="T39" s="34"/>
      <c r="U39" s="34"/>
      <c r="V39" s="34"/>
      <c r="W39" s="34"/>
      <c r="X39" s="34"/>
      <c r="Y39" s="34">
        <f t="shared" si="1"/>
        <v>0</v>
      </c>
      <c r="Z39" s="31">
        <v>4</v>
      </c>
      <c r="AA39" s="32">
        <v>6</v>
      </c>
      <c r="AB39" s="33">
        <v>44215</v>
      </c>
      <c r="AC39" s="36">
        <v>44228</v>
      </c>
      <c r="AD39" s="31"/>
      <c r="AE39" s="35"/>
      <c r="AF39" s="27"/>
      <c r="AG39" s="36"/>
      <c r="AH39" s="31"/>
      <c r="AI39" s="32"/>
      <c r="AJ39" s="27"/>
      <c r="AK39" s="36"/>
      <c r="AL39" s="31"/>
      <c r="AM39" s="32"/>
      <c r="AN39" s="27"/>
      <c r="AO39" s="36"/>
      <c r="AP39" s="31"/>
      <c r="AQ39" s="32"/>
      <c r="AR39" s="27"/>
      <c r="AS39" s="36"/>
      <c r="AT39" s="37">
        <f t="shared" si="3"/>
        <v>4</v>
      </c>
      <c r="AU39" s="38">
        <f t="shared" si="2"/>
        <v>4</v>
      </c>
    </row>
    <row r="40" spans="2:47" s="39" customFormat="1" ht="22.5">
      <c r="B40" s="22">
        <v>27</v>
      </c>
      <c r="C40" s="22" t="s">
        <v>1226</v>
      </c>
      <c r="D40" s="290">
        <v>30129766</v>
      </c>
      <c r="E40" s="48" t="s">
        <v>1261</v>
      </c>
      <c r="F40" s="48" t="s">
        <v>317</v>
      </c>
      <c r="G40" s="26" t="s">
        <v>1224</v>
      </c>
      <c r="H40" s="73" t="s">
        <v>1255</v>
      </c>
      <c r="I40" s="49" t="s">
        <v>44</v>
      </c>
      <c r="J40" s="291">
        <v>2870171</v>
      </c>
      <c r="K40" s="34">
        <v>22850</v>
      </c>
      <c r="L40" s="34">
        <f t="shared" si="0"/>
        <v>2847321</v>
      </c>
      <c r="M40" s="34">
        <v>0</v>
      </c>
      <c r="N40" s="34">
        <v>0</v>
      </c>
      <c r="O40" s="34">
        <v>0</v>
      </c>
      <c r="P40" s="34"/>
      <c r="Q40" s="34"/>
      <c r="R40" s="34"/>
      <c r="S40" s="34">
        <v>0</v>
      </c>
      <c r="T40" s="34">
        <v>3500</v>
      </c>
      <c r="U40" s="34">
        <v>0</v>
      </c>
      <c r="V40" s="34"/>
      <c r="W40" s="34"/>
      <c r="X40" s="34"/>
      <c r="Y40" s="34">
        <f t="shared" si="1"/>
        <v>3500</v>
      </c>
      <c r="Z40" s="31">
        <v>3</v>
      </c>
      <c r="AA40" s="32">
        <v>6</v>
      </c>
      <c r="AB40" s="33">
        <v>44215</v>
      </c>
      <c r="AC40" s="36">
        <v>44228</v>
      </c>
      <c r="AD40" s="31">
        <v>3499</v>
      </c>
      <c r="AE40" s="35">
        <v>57</v>
      </c>
      <c r="AF40" s="33">
        <v>44432</v>
      </c>
      <c r="AG40" s="36"/>
      <c r="AH40" s="31"/>
      <c r="AI40" s="32"/>
      <c r="AJ40" s="27"/>
      <c r="AK40" s="36"/>
      <c r="AL40" s="31"/>
      <c r="AM40" s="32"/>
      <c r="AN40" s="27"/>
      <c r="AO40" s="36"/>
      <c r="AP40" s="31"/>
      <c r="AQ40" s="32"/>
      <c r="AR40" s="27"/>
      <c r="AS40" s="36"/>
      <c r="AT40" s="37">
        <f t="shared" si="3"/>
        <v>3502</v>
      </c>
      <c r="AU40" s="38">
        <f t="shared" si="2"/>
        <v>2</v>
      </c>
    </row>
    <row r="41" spans="2:47" s="39" customFormat="1" ht="22.5">
      <c r="B41" s="22">
        <v>28</v>
      </c>
      <c r="C41" s="22" t="s">
        <v>1226</v>
      </c>
      <c r="D41" s="290">
        <v>30135597</v>
      </c>
      <c r="E41" s="48" t="s">
        <v>1262</v>
      </c>
      <c r="F41" s="48" t="s">
        <v>317</v>
      </c>
      <c r="G41" s="26" t="s">
        <v>1224</v>
      </c>
      <c r="H41" s="73" t="s">
        <v>1263</v>
      </c>
      <c r="I41" s="49" t="s">
        <v>44</v>
      </c>
      <c r="J41" s="291">
        <v>2709493</v>
      </c>
      <c r="K41" s="34">
        <v>2633705</v>
      </c>
      <c r="L41" s="34">
        <f t="shared" si="0"/>
        <v>75788</v>
      </c>
      <c r="M41" s="34">
        <v>0</v>
      </c>
      <c r="N41" s="34">
        <v>0</v>
      </c>
      <c r="O41" s="34">
        <v>1011</v>
      </c>
      <c r="P41" s="34"/>
      <c r="Q41" s="34">
        <v>16</v>
      </c>
      <c r="R41" s="34"/>
      <c r="S41" s="34">
        <v>4146</v>
      </c>
      <c r="T41" s="34">
        <v>2957</v>
      </c>
      <c r="U41" s="34">
        <v>0</v>
      </c>
      <c r="V41" s="34"/>
      <c r="W41" s="34"/>
      <c r="X41" s="34"/>
      <c r="Y41" s="34">
        <f t="shared" si="1"/>
        <v>8130</v>
      </c>
      <c r="Z41" s="31">
        <v>61401</v>
      </c>
      <c r="AA41" s="32">
        <v>6</v>
      </c>
      <c r="AB41" s="33">
        <v>44215</v>
      </c>
      <c r="AC41" s="36">
        <v>44228</v>
      </c>
      <c r="AD41" s="31">
        <v>-49623</v>
      </c>
      <c r="AE41" s="35">
        <v>39</v>
      </c>
      <c r="AF41" s="33">
        <v>44364</v>
      </c>
      <c r="AG41" s="36">
        <v>44377</v>
      </c>
      <c r="AH41" s="31">
        <v>7094</v>
      </c>
      <c r="AI41" s="32">
        <v>57</v>
      </c>
      <c r="AJ41" s="33">
        <v>44432</v>
      </c>
      <c r="AK41" s="36">
        <v>44438</v>
      </c>
      <c r="AL41" s="31"/>
      <c r="AM41" s="32"/>
      <c r="AN41" s="27"/>
      <c r="AO41" s="36"/>
      <c r="AP41" s="31"/>
      <c r="AQ41" s="32"/>
      <c r="AR41" s="27"/>
      <c r="AS41" s="36"/>
      <c r="AT41" s="37">
        <f t="shared" si="3"/>
        <v>18872</v>
      </c>
      <c r="AU41" s="38">
        <f t="shared" si="2"/>
        <v>10742</v>
      </c>
    </row>
    <row r="42" spans="2:47" s="39" customFormat="1" ht="22.5">
      <c r="B42" s="22">
        <v>29</v>
      </c>
      <c r="C42" s="22" t="s">
        <v>1226</v>
      </c>
      <c r="D42" s="290">
        <v>30136075</v>
      </c>
      <c r="E42" s="48" t="s">
        <v>1264</v>
      </c>
      <c r="F42" s="48" t="s">
        <v>47</v>
      </c>
      <c r="G42" s="26" t="s">
        <v>1224</v>
      </c>
      <c r="H42" s="73" t="s">
        <v>1234</v>
      </c>
      <c r="I42" s="49" t="s">
        <v>52</v>
      </c>
      <c r="J42" s="291">
        <v>101000</v>
      </c>
      <c r="K42" s="34">
        <v>0</v>
      </c>
      <c r="L42" s="34">
        <f t="shared" si="0"/>
        <v>101000</v>
      </c>
      <c r="M42" s="34">
        <v>0</v>
      </c>
      <c r="N42" s="34">
        <v>0</v>
      </c>
      <c r="O42" s="34">
        <v>0</v>
      </c>
      <c r="P42" s="34"/>
      <c r="Q42" s="34"/>
      <c r="R42" s="34">
        <v>20000</v>
      </c>
      <c r="S42" s="34"/>
      <c r="T42" s="34"/>
      <c r="U42" s="34"/>
      <c r="V42" s="34"/>
      <c r="W42" s="34"/>
      <c r="X42" s="34"/>
      <c r="Y42" s="34">
        <f t="shared" si="1"/>
        <v>20000</v>
      </c>
      <c r="Z42" s="31">
        <v>51000</v>
      </c>
      <c r="AA42" s="32">
        <v>6</v>
      </c>
      <c r="AB42" s="33">
        <v>44215</v>
      </c>
      <c r="AC42" s="36">
        <v>44228</v>
      </c>
      <c r="AD42" s="31"/>
      <c r="AE42" s="35"/>
      <c r="AF42" s="27"/>
      <c r="AG42" s="36"/>
      <c r="AH42" s="31"/>
      <c r="AI42" s="32"/>
      <c r="AJ42" s="27"/>
      <c r="AK42" s="36"/>
      <c r="AL42" s="31"/>
      <c r="AM42" s="32"/>
      <c r="AN42" s="27"/>
      <c r="AO42" s="36"/>
      <c r="AP42" s="31"/>
      <c r="AQ42" s="32"/>
      <c r="AR42" s="27"/>
      <c r="AS42" s="36"/>
      <c r="AT42" s="37">
        <f t="shared" si="3"/>
        <v>51000</v>
      </c>
      <c r="AU42" s="38">
        <f t="shared" si="2"/>
        <v>31000</v>
      </c>
    </row>
    <row r="43" spans="2:47" s="39" customFormat="1" ht="22.5">
      <c r="B43" s="22">
        <v>30</v>
      </c>
      <c r="C43" s="22" t="s">
        <v>1226</v>
      </c>
      <c r="D43" s="290">
        <v>30136109</v>
      </c>
      <c r="E43" s="48" t="s">
        <v>1265</v>
      </c>
      <c r="F43" s="48" t="s">
        <v>47</v>
      </c>
      <c r="G43" s="26" t="s">
        <v>1224</v>
      </c>
      <c r="H43" s="73" t="s">
        <v>1246</v>
      </c>
      <c r="I43" s="49" t="s">
        <v>44</v>
      </c>
      <c r="J43" s="291">
        <v>106101</v>
      </c>
      <c r="K43" s="34">
        <v>53101</v>
      </c>
      <c r="L43" s="34">
        <f t="shared" si="0"/>
        <v>53000</v>
      </c>
      <c r="M43" s="34">
        <v>0</v>
      </c>
      <c r="N43" s="34">
        <v>0</v>
      </c>
      <c r="O43" s="34">
        <v>31800</v>
      </c>
      <c r="P43" s="34"/>
      <c r="Q43" s="34"/>
      <c r="R43" s="34"/>
      <c r="S43" s="34"/>
      <c r="T43" s="34"/>
      <c r="U43" s="34"/>
      <c r="V43" s="34"/>
      <c r="W43" s="34"/>
      <c r="X43" s="34"/>
      <c r="Y43" s="34">
        <f t="shared" si="1"/>
        <v>31800</v>
      </c>
      <c r="Z43" s="31">
        <v>53000</v>
      </c>
      <c r="AA43" s="32">
        <v>6</v>
      </c>
      <c r="AB43" s="33">
        <v>44215</v>
      </c>
      <c r="AC43" s="36">
        <v>44228</v>
      </c>
      <c r="AD43" s="31"/>
      <c r="AE43" s="35"/>
      <c r="AF43" s="27"/>
      <c r="AG43" s="36"/>
      <c r="AH43" s="31"/>
      <c r="AI43" s="32"/>
      <c r="AJ43" s="27"/>
      <c r="AK43" s="36"/>
      <c r="AL43" s="31"/>
      <c r="AM43" s="32"/>
      <c r="AN43" s="27"/>
      <c r="AO43" s="36"/>
      <c r="AP43" s="31"/>
      <c r="AQ43" s="32"/>
      <c r="AR43" s="27"/>
      <c r="AS43" s="36"/>
      <c r="AT43" s="37">
        <f t="shared" si="3"/>
        <v>53000</v>
      </c>
      <c r="AU43" s="38">
        <f t="shared" si="2"/>
        <v>21200</v>
      </c>
    </row>
    <row r="44" spans="2:47" s="39" customFormat="1" ht="22.5">
      <c r="B44" s="22">
        <v>31</v>
      </c>
      <c r="C44" s="22" t="s">
        <v>1226</v>
      </c>
      <c r="D44" s="290">
        <v>30136734</v>
      </c>
      <c r="E44" s="48" t="s">
        <v>1266</v>
      </c>
      <c r="F44" s="48" t="s">
        <v>317</v>
      </c>
      <c r="G44" s="26" t="s">
        <v>1224</v>
      </c>
      <c r="H44" s="73" t="s">
        <v>1267</v>
      </c>
      <c r="I44" s="49" t="s">
        <v>44</v>
      </c>
      <c r="J44" s="291">
        <v>309993</v>
      </c>
      <c r="K44" s="34">
        <v>264003</v>
      </c>
      <c r="L44" s="34">
        <f t="shared" si="0"/>
        <v>45990</v>
      </c>
      <c r="M44" s="34">
        <v>0</v>
      </c>
      <c r="N44" s="34">
        <v>0</v>
      </c>
      <c r="O44" s="34">
        <v>0</v>
      </c>
      <c r="P44" s="34"/>
      <c r="Q44" s="34"/>
      <c r="R44" s="34"/>
      <c r="S44" s="34"/>
      <c r="T44" s="34"/>
      <c r="U44" s="34"/>
      <c r="V44" s="34"/>
      <c r="W44" s="34"/>
      <c r="X44" s="34"/>
      <c r="Y44" s="34">
        <f t="shared" si="1"/>
        <v>0</v>
      </c>
      <c r="Z44" s="31">
        <v>45990</v>
      </c>
      <c r="AA44" s="32">
        <v>6</v>
      </c>
      <c r="AB44" s="33">
        <v>44215</v>
      </c>
      <c r="AC44" s="36">
        <v>44228</v>
      </c>
      <c r="AD44" s="31">
        <v>-45988</v>
      </c>
      <c r="AE44" s="32">
        <v>27</v>
      </c>
      <c r="AF44" s="33">
        <v>44327</v>
      </c>
      <c r="AG44" s="36">
        <v>44341</v>
      </c>
      <c r="AH44" s="31"/>
      <c r="AI44" s="32"/>
      <c r="AJ44" s="27"/>
      <c r="AK44" s="36"/>
      <c r="AL44" s="31"/>
      <c r="AM44" s="32"/>
      <c r="AN44" s="27"/>
      <c r="AO44" s="36"/>
      <c r="AP44" s="31"/>
      <c r="AQ44" s="32"/>
      <c r="AR44" s="27"/>
      <c r="AS44" s="36"/>
      <c r="AT44" s="37">
        <f t="shared" si="3"/>
        <v>2</v>
      </c>
      <c r="AU44" s="38">
        <f t="shared" si="2"/>
        <v>2</v>
      </c>
    </row>
    <row r="45" spans="2:47" s="39" customFormat="1" ht="22.5">
      <c r="B45" s="22">
        <v>32</v>
      </c>
      <c r="C45" s="22" t="s">
        <v>1226</v>
      </c>
      <c r="D45" s="290">
        <v>30243873</v>
      </c>
      <c r="E45" s="48" t="s">
        <v>1268</v>
      </c>
      <c r="F45" s="48" t="s">
        <v>47</v>
      </c>
      <c r="G45" s="26" t="s">
        <v>1224</v>
      </c>
      <c r="H45" s="73" t="s">
        <v>1246</v>
      </c>
      <c r="I45" s="49" t="s">
        <v>52</v>
      </c>
      <c r="J45" s="291">
        <v>331802</v>
      </c>
      <c r="K45" s="34">
        <v>0</v>
      </c>
      <c r="L45" s="34">
        <f t="shared" si="0"/>
        <v>331802</v>
      </c>
      <c r="M45" s="34">
        <v>0</v>
      </c>
      <c r="N45" s="34">
        <v>0</v>
      </c>
      <c r="O45" s="34">
        <v>0</v>
      </c>
      <c r="P45" s="34"/>
      <c r="Q45" s="34"/>
      <c r="R45" s="34"/>
      <c r="S45" s="34"/>
      <c r="T45" s="34"/>
      <c r="U45" s="34"/>
      <c r="V45" s="34"/>
      <c r="W45" s="34"/>
      <c r="X45" s="34"/>
      <c r="Y45" s="34">
        <f t="shared" si="1"/>
        <v>0</v>
      </c>
      <c r="Z45" s="31">
        <v>2</v>
      </c>
      <c r="AA45" s="32">
        <v>6</v>
      </c>
      <c r="AB45" s="33">
        <v>44215</v>
      </c>
      <c r="AC45" s="36">
        <v>44228</v>
      </c>
      <c r="AD45" s="31"/>
      <c r="AE45" s="35"/>
      <c r="AF45" s="27"/>
      <c r="AG45" s="36"/>
      <c r="AH45" s="31"/>
      <c r="AI45" s="32"/>
      <c r="AJ45" s="27"/>
      <c r="AK45" s="36"/>
      <c r="AL45" s="31"/>
      <c r="AM45" s="32"/>
      <c r="AN45" s="27"/>
      <c r="AO45" s="36"/>
      <c r="AP45" s="31"/>
      <c r="AQ45" s="32"/>
      <c r="AR45" s="27"/>
      <c r="AS45" s="36"/>
      <c r="AT45" s="37">
        <f t="shared" si="3"/>
        <v>2</v>
      </c>
      <c r="AU45" s="38">
        <f t="shared" si="2"/>
        <v>2</v>
      </c>
    </row>
    <row r="46" spans="2:47" s="39" customFormat="1" ht="22.5">
      <c r="B46" s="22">
        <v>33</v>
      </c>
      <c r="C46" s="22" t="s">
        <v>1226</v>
      </c>
      <c r="D46" s="290">
        <v>30343880</v>
      </c>
      <c r="E46" s="48" t="s">
        <v>1269</v>
      </c>
      <c r="F46" s="48" t="s">
        <v>47</v>
      </c>
      <c r="G46" s="26" t="s">
        <v>1224</v>
      </c>
      <c r="H46" s="73" t="s">
        <v>1228</v>
      </c>
      <c r="I46" s="49" t="s">
        <v>44</v>
      </c>
      <c r="J46" s="291">
        <v>232495</v>
      </c>
      <c r="K46" s="34">
        <v>187815</v>
      </c>
      <c r="L46" s="34">
        <f t="shared" si="0"/>
        <v>44680</v>
      </c>
      <c r="M46" s="34">
        <v>0</v>
      </c>
      <c r="N46" s="34">
        <v>0</v>
      </c>
      <c r="O46" s="34">
        <v>0</v>
      </c>
      <c r="P46" s="34"/>
      <c r="Q46" s="34"/>
      <c r="R46" s="34"/>
      <c r="S46" s="34"/>
      <c r="T46" s="34"/>
      <c r="U46" s="34"/>
      <c r="V46" s="34"/>
      <c r="W46" s="34"/>
      <c r="X46" s="34"/>
      <c r="Y46" s="34">
        <f t="shared" ref="Y46:Y76" si="4">SUM(M46:X46)</f>
        <v>0</v>
      </c>
      <c r="Z46" s="31">
        <v>44680</v>
      </c>
      <c r="AA46" s="32">
        <v>6</v>
      </c>
      <c r="AB46" s="33">
        <v>44215</v>
      </c>
      <c r="AC46" s="36">
        <v>44228</v>
      </c>
      <c r="AD46" s="31">
        <v>-23538</v>
      </c>
      <c r="AE46" s="32">
        <v>27</v>
      </c>
      <c r="AF46" s="33">
        <v>44327</v>
      </c>
      <c r="AG46" s="36">
        <v>44341</v>
      </c>
      <c r="AH46" s="31">
        <v>1325</v>
      </c>
      <c r="AI46" s="32">
        <v>57</v>
      </c>
      <c r="AJ46" s="33">
        <v>44432</v>
      </c>
      <c r="AK46" s="36">
        <v>44438</v>
      </c>
      <c r="AL46" s="31"/>
      <c r="AM46" s="32"/>
      <c r="AN46" s="27"/>
      <c r="AO46" s="36"/>
      <c r="AP46" s="31"/>
      <c r="AQ46" s="32"/>
      <c r="AR46" s="27"/>
      <c r="AS46" s="36"/>
      <c r="AT46" s="37">
        <f t="shared" si="3"/>
        <v>22467</v>
      </c>
      <c r="AU46" s="38">
        <f t="shared" si="2"/>
        <v>22467</v>
      </c>
    </row>
    <row r="47" spans="2:47" s="39" customFormat="1" ht="22.5">
      <c r="B47" s="22">
        <v>34</v>
      </c>
      <c r="C47" s="22" t="s">
        <v>1226</v>
      </c>
      <c r="D47" s="290">
        <v>30343923</v>
      </c>
      <c r="E47" s="48" t="s">
        <v>1270</v>
      </c>
      <c r="F47" s="48" t="s">
        <v>47</v>
      </c>
      <c r="G47" s="26" t="s">
        <v>1224</v>
      </c>
      <c r="H47" s="73" t="s">
        <v>1228</v>
      </c>
      <c r="I47" s="49" t="s">
        <v>44</v>
      </c>
      <c r="J47" s="291">
        <v>232495</v>
      </c>
      <c r="K47" s="34">
        <v>187815</v>
      </c>
      <c r="L47" s="34">
        <f t="shared" si="0"/>
        <v>44680</v>
      </c>
      <c r="M47" s="34">
        <v>0</v>
      </c>
      <c r="N47" s="34">
        <v>0</v>
      </c>
      <c r="O47" s="34">
        <v>0</v>
      </c>
      <c r="P47" s="34"/>
      <c r="Q47" s="34"/>
      <c r="R47" s="34"/>
      <c r="S47" s="34"/>
      <c r="T47" s="34"/>
      <c r="U47" s="34"/>
      <c r="V47" s="34"/>
      <c r="W47" s="34"/>
      <c r="X47" s="34"/>
      <c r="Y47" s="34">
        <f t="shared" si="4"/>
        <v>0</v>
      </c>
      <c r="Z47" s="31">
        <v>44680</v>
      </c>
      <c r="AA47" s="32">
        <v>6</v>
      </c>
      <c r="AB47" s="33">
        <v>44215</v>
      </c>
      <c r="AC47" s="36">
        <v>44228</v>
      </c>
      <c r="AD47" s="31">
        <v>-23538</v>
      </c>
      <c r="AE47" s="32">
        <v>27</v>
      </c>
      <c r="AF47" s="33">
        <v>44327</v>
      </c>
      <c r="AG47" s="36">
        <v>44341</v>
      </c>
      <c r="AH47" s="31">
        <v>1325</v>
      </c>
      <c r="AI47" s="32">
        <v>57</v>
      </c>
      <c r="AJ47" s="33">
        <v>44432</v>
      </c>
      <c r="AK47" s="36">
        <v>44438</v>
      </c>
      <c r="AL47" s="31"/>
      <c r="AM47" s="32"/>
      <c r="AN47" s="27"/>
      <c r="AO47" s="36"/>
      <c r="AP47" s="31"/>
      <c r="AQ47" s="32"/>
      <c r="AR47" s="27"/>
      <c r="AS47" s="36"/>
      <c r="AT47" s="37">
        <f t="shared" si="3"/>
        <v>22467</v>
      </c>
      <c r="AU47" s="38">
        <f t="shared" si="2"/>
        <v>22467</v>
      </c>
    </row>
    <row r="48" spans="2:47" s="39" customFormat="1" ht="22.5">
      <c r="B48" s="22">
        <v>35</v>
      </c>
      <c r="C48" s="22" t="s">
        <v>1226</v>
      </c>
      <c r="D48" s="290">
        <v>30351000</v>
      </c>
      <c r="E48" s="48" t="s">
        <v>1271</v>
      </c>
      <c r="F48" s="48" t="s">
        <v>317</v>
      </c>
      <c r="G48" s="26" t="s">
        <v>1224</v>
      </c>
      <c r="H48" s="73" t="s">
        <v>1234</v>
      </c>
      <c r="I48" s="49" t="s">
        <v>52</v>
      </c>
      <c r="J48" s="291">
        <v>1146642</v>
      </c>
      <c r="K48" s="34">
        <v>0</v>
      </c>
      <c r="L48" s="34">
        <f t="shared" si="0"/>
        <v>1146642</v>
      </c>
      <c r="M48" s="34">
        <v>0</v>
      </c>
      <c r="N48" s="34">
        <v>0</v>
      </c>
      <c r="O48" s="34">
        <v>131895</v>
      </c>
      <c r="P48" s="34">
        <v>97910</v>
      </c>
      <c r="Q48" s="34">
        <v>93216</v>
      </c>
      <c r="R48" s="34">
        <v>119195</v>
      </c>
      <c r="S48" s="34">
        <v>73884</v>
      </c>
      <c r="T48" s="34">
        <v>87842</v>
      </c>
      <c r="U48" s="34">
        <v>44158</v>
      </c>
      <c r="V48" s="34"/>
      <c r="W48" s="34"/>
      <c r="X48" s="34"/>
      <c r="Y48" s="34">
        <f t="shared" si="4"/>
        <v>648100</v>
      </c>
      <c r="Z48" s="31">
        <v>719886</v>
      </c>
      <c r="AA48" s="32">
        <v>6</v>
      </c>
      <c r="AB48" s="33">
        <v>44215</v>
      </c>
      <c r="AC48" s="36">
        <v>44228</v>
      </c>
      <c r="AD48" s="31">
        <v>309527</v>
      </c>
      <c r="AE48" s="35">
        <v>39</v>
      </c>
      <c r="AF48" s="33">
        <v>44364</v>
      </c>
      <c r="AG48" s="36">
        <v>44377</v>
      </c>
      <c r="AH48" s="31"/>
      <c r="AI48" s="32"/>
      <c r="AJ48" s="27"/>
      <c r="AK48" s="36"/>
      <c r="AL48" s="31"/>
      <c r="AM48" s="32"/>
      <c r="AN48" s="27"/>
      <c r="AO48" s="36"/>
      <c r="AP48" s="31"/>
      <c r="AQ48" s="32"/>
      <c r="AR48" s="27"/>
      <c r="AS48" s="36"/>
      <c r="AT48" s="37">
        <f t="shared" si="3"/>
        <v>1029413</v>
      </c>
      <c r="AU48" s="38">
        <f t="shared" si="2"/>
        <v>381313</v>
      </c>
    </row>
    <row r="49" spans="2:47" s="39" customFormat="1" ht="22.5">
      <c r="B49" s="22">
        <v>36</v>
      </c>
      <c r="C49" s="22" t="s">
        <v>1226</v>
      </c>
      <c r="D49" s="290">
        <v>30355022</v>
      </c>
      <c r="E49" s="48" t="s">
        <v>1272</v>
      </c>
      <c r="F49" s="48" t="s">
        <v>317</v>
      </c>
      <c r="G49" s="26" t="s">
        <v>1224</v>
      </c>
      <c r="H49" s="73" t="s">
        <v>1273</v>
      </c>
      <c r="I49" s="49" t="s">
        <v>44</v>
      </c>
      <c r="J49" s="291">
        <v>195849</v>
      </c>
      <c r="K49" s="34">
        <v>176339</v>
      </c>
      <c r="L49" s="34">
        <f t="shared" si="0"/>
        <v>19510</v>
      </c>
      <c r="M49" s="34">
        <v>0</v>
      </c>
      <c r="N49" s="34">
        <v>0</v>
      </c>
      <c r="O49" s="34">
        <v>0</v>
      </c>
      <c r="P49" s="34"/>
      <c r="Q49" s="34"/>
      <c r="R49" s="34"/>
      <c r="S49" s="34"/>
      <c r="T49" s="34"/>
      <c r="U49" s="34"/>
      <c r="V49" s="34"/>
      <c r="W49" s="34"/>
      <c r="X49" s="34"/>
      <c r="Y49" s="34">
        <f t="shared" si="4"/>
        <v>0</v>
      </c>
      <c r="Z49" s="31">
        <v>19511</v>
      </c>
      <c r="AA49" s="32">
        <v>6</v>
      </c>
      <c r="AB49" s="33">
        <v>44215</v>
      </c>
      <c r="AC49" s="36">
        <v>44228</v>
      </c>
      <c r="AD49" s="31">
        <v>-19509</v>
      </c>
      <c r="AE49" s="35">
        <v>39</v>
      </c>
      <c r="AF49" s="33">
        <v>44364</v>
      </c>
      <c r="AG49" s="36" t="s">
        <v>1274</v>
      </c>
      <c r="AH49" s="31"/>
      <c r="AI49" s="32"/>
      <c r="AJ49" s="27"/>
      <c r="AK49" s="36"/>
      <c r="AL49" s="31"/>
      <c r="AM49" s="32"/>
      <c r="AN49" s="27"/>
      <c r="AO49" s="36"/>
      <c r="AP49" s="31"/>
      <c r="AQ49" s="32"/>
      <c r="AR49" s="27"/>
      <c r="AS49" s="36"/>
      <c r="AT49" s="37">
        <f t="shared" si="3"/>
        <v>2</v>
      </c>
      <c r="AU49" s="38">
        <f t="shared" si="2"/>
        <v>2</v>
      </c>
    </row>
    <row r="50" spans="2:47" s="39" customFormat="1" ht="22.5">
      <c r="B50" s="22">
        <v>37</v>
      </c>
      <c r="C50" s="22" t="s">
        <v>1226</v>
      </c>
      <c r="D50" s="290">
        <v>30357686</v>
      </c>
      <c r="E50" s="48" t="s">
        <v>1275</v>
      </c>
      <c r="F50" s="48" t="s">
        <v>317</v>
      </c>
      <c r="G50" s="26" t="s">
        <v>1224</v>
      </c>
      <c r="H50" s="73" t="s">
        <v>1276</v>
      </c>
      <c r="I50" s="49" t="s">
        <v>44</v>
      </c>
      <c r="J50" s="291">
        <v>490315</v>
      </c>
      <c r="K50" s="34">
        <v>204439</v>
      </c>
      <c r="L50" s="34">
        <f t="shared" si="0"/>
        <v>285876</v>
      </c>
      <c r="M50" s="34">
        <v>0</v>
      </c>
      <c r="N50" s="34">
        <v>0</v>
      </c>
      <c r="O50" s="34">
        <v>0</v>
      </c>
      <c r="P50" s="34"/>
      <c r="Q50" s="34"/>
      <c r="R50" s="34"/>
      <c r="S50" s="34">
        <v>0</v>
      </c>
      <c r="T50" s="34">
        <v>101487</v>
      </c>
      <c r="U50" s="34">
        <v>184390</v>
      </c>
      <c r="V50" s="34"/>
      <c r="W50" s="34"/>
      <c r="X50" s="34"/>
      <c r="Y50" s="34">
        <f t="shared" si="4"/>
        <v>285877</v>
      </c>
      <c r="Z50" s="31">
        <v>285877</v>
      </c>
      <c r="AA50" s="32">
        <v>6</v>
      </c>
      <c r="AB50" s="33">
        <v>44215</v>
      </c>
      <c r="AC50" s="36">
        <v>44228</v>
      </c>
      <c r="AD50" s="31"/>
      <c r="AE50" s="35"/>
      <c r="AF50" s="27"/>
      <c r="AG50" s="36"/>
      <c r="AH50" s="31"/>
      <c r="AI50" s="32"/>
      <c r="AJ50" s="27"/>
      <c r="AK50" s="36"/>
      <c r="AL50" s="31"/>
      <c r="AM50" s="32"/>
      <c r="AN50" s="27"/>
      <c r="AO50" s="36"/>
      <c r="AP50" s="31"/>
      <c r="AQ50" s="32"/>
      <c r="AR50" s="27"/>
      <c r="AS50" s="36"/>
      <c r="AT50" s="37">
        <f t="shared" si="3"/>
        <v>285877</v>
      </c>
      <c r="AU50" s="38">
        <f t="shared" si="2"/>
        <v>0</v>
      </c>
    </row>
    <row r="51" spans="2:47" s="39" customFormat="1" ht="22.5">
      <c r="B51" s="22">
        <v>38</v>
      </c>
      <c r="C51" s="22" t="s">
        <v>1226</v>
      </c>
      <c r="D51" s="290">
        <v>30361823</v>
      </c>
      <c r="E51" s="48" t="s">
        <v>1277</v>
      </c>
      <c r="F51" s="48" t="s">
        <v>317</v>
      </c>
      <c r="G51" s="26" t="s">
        <v>1224</v>
      </c>
      <c r="H51" s="73" t="s">
        <v>1228</v>
      </c>
      <c r="I51" s="49" t="s">
        <v>52</v>
      </c>
      <c r="J51" s="291">
        <v>288226</v>
      </c>
      <c r="K51" s="34">
        <v>0</v>
      </c>
      <c r="L51" s="34">
        <f t="shared" si="0"/>
        <v>288226</v>
      </c>
      <c r="M51" s="34">
        <v>0</v>
      </c>
      <c r="N51" s="34">
        <v>0</v>
      </c>
      <c r="O51" s="34">
        <v>0</v>
      </c>
      <c r="P51" s="34"/>
      <c r="Q51" s="34"/>
      <c r="R51" s="34"/>
      <c r="S51" s="34"/>
      <c r="T51" s="34"/>
      <c r="U51" s="34"/>
      <c r="V51" s="34"/>
      <c r="W51" s="34"/>
      <c r="X51" s="34"/>
      <c r="Y51" s="34">
        <f t="shared" si="4"/>
        <v>0</v>
      </c>
      <c r="Z51" s="31">
        <v>288226</v>
      </c>
      <c r="AA51" s="32">
        <v>6</v>
      </c>
      <c r="AB51" s="33">
        <v>44215</v>
      </c>
      <c r="AC51" s="36">
        <v>44228</v>
      </c>
      <c r="AD51" s="31">
        <v>-288222</v>
      </c>
      <c r="AE51" s="35">
        <v>39</v>
      </c>
      <c r="AF51" s="33">
        <v>44364</v>
      </c>
      <c r="AG51" s="36">
        <v>44377</v>
      </c>
      <c r="AH51" s="31"/>
      <c r="AI51" s="32"/>
      <c r="AJ51" s="27"/>
      <c r="AK51" s="36"/>
      <c r="AL51" s="31"/>
      <c r="AM51" s="32"/>
      <c r="AN51" s="27"/>
      <c r="AO51" s="36"/>
      <c r="AP51" s="31"/>
      <c r="AQ51" s="32"/>
      <c r="AR51" s="27"/>
      <c r="AS51" s="36"/>
      <c r="AT51" s="37">
        <f t="shared" si="3"/>
        <v>4</v>
      </c>
      <c r="AU51" s="38">
        <f t="shared" si="2"/>
        <v>4</v>
      </c>
    </row>
    <row r="52" spans="2:47" s="39" customFormat="1" ht="22.5">
      <c r="B52" s="22">
        <v>39</v>
      </c>
      <c r="C52" s="22" t="s">
        <v>1226</v>
      </c>
      <c r="D52" s="290">
        <v>30366878</v>
      </c>
      <c r="E52" s="48" t="s">
        <v>1278</v>
      </c>
      <c r="F52" s="48" t="s">
        <v>317</v>
      </c>
      <c r="G52" s="26" t="s">
        <v>1224</v>
      </c>
      <c r="H52" s="73" t="s">
        <v>1228</v>
      </c>
      <c r="I52" s="49" t="s">
        <v>52</v>
      </c>
      <c r="J52" s="291">
        <v>18212523</v>
      </c>
      <c r="K52" s="34">
        <v>0</v>
      </c>
      <c r="L52" s="34">
        <f t="shared" si="0"/>
        <v>18212523</v>
      </c>
      <c r="M52" s="34">
        <v>0</v>
      </c>
      <c r="N52" s="34">
        <v>0</v>
      </c>
      <c r="O52" s="34">
        <v>0</v>
      </c>
      <c r="P52" s="34"/>
      <c r="Q52" s="34"/>
      <c r="R52" s="34"/>
      <c r="S52" s="34"/>
      <c r="T52" s="34"/>
      <c r="U52" s="34"/>
      <c r="V52" s="34"/>
      <c r="W52" s="34"/>
      <c r="X52" s="34"/>
      <c r="Y52" s="34">
        <f t="shared" si="4"/>
        <v>0</v>
      </c>
      <c r="Z52" s="31">
        <v>499999</v>
      </c>
      <c r="AA52" s="32">
        <v>6</v>
      </c>
      <c r="AB52" s="33">
        <v>44215</v>
      </c>
      <c r="AC52" s="36">
        <v>44228</v>
      </c>
      <c r="AD52" s="31"/>
      <c r="AE52" s="35"/>
      <c r="AF52" s="27"/>
      <c r="AG52" s="36"/>
      <c r="AH52" s="31"/>
      <c r="AI52" s="32"/>
      <c r="AJ52" s="27"/>
      <c r="AK52" s="36"/>
      <c r="AL52" s="31"/>
      <c r="AM52" s="32"/>
      <c r="AN52" s="27"/>
      <c r="AO52" s="36"/>
      <c r="AP52" s="31"/>
      <c r="AQ52" s="32"/>
      <c r="AR52" s="27"/>
      <c r="AS52" s="36"/>
      <c r="AT52" s="37">
        <f t="shared" si="3"/>
        <v>499999</v>
      </c>
      <c r="AU52" s="38">
        <f t="shared" si="2"/>
        <v>499999</v>
      </c>
    </row>
    <row r="53" spans="2:47" s="39" customFormat="1" ht="22.5">
      <c r="B53" s="22">
        <v>40</v>
      </c>
      <c r="C53" s="22" t="s">
        <v>1226</v>
      </c>
      <c r="D53" s="290">
        <v>30371622</v>
      </c>
      <c r="E53" s="48" t="s">
        <v>1279</v>
      </c>
      <c r="F53" s="48" t="s">
        <v>317</v>
      </c>
      <c r="G53" s="26" t="s">
        <v>1224</v>
      </c>
      <c r="H53" s="73" t="s">
        <v>1280</v>
      </c>
      <c r="I53" s="49" t="s">
        <v>44</v>
      </c>
      <c r="J53" s="291">
        <v>4955848</v>
      </c>
      <c r="K53" s="34">
        <v>0</v>
      </c>
      <c r="L53" s="34">
        <f t="shared" si="0"/>
        <v>4955848</v>
      </c>
      <c r="M53" s="34">
        <v>0</v>
      </c>
      <c r="N53" s="34">
        <v>0</v>
      </c>
      <c r="O53" s="34">
        <v>271165</v>
      </c>
      <c r="P53" s="34">
        <v>342643</v>
      </c>
      <c r="Q53" s="34">
        <v>393436</v>
      </c>
      <c r="R53" s="34">
        <v>326460</v>
      </c>
      <c r="S53" s="34">
        <v>320654</v>
      </c>
      <c r="T53" s="34">
        <v>333614</v>
      </c>
      <c r="U53" s="34">
        <v>318514</v>
      </c>
      <c r="V53" s="34"/>
      <c r="W53" s="34"/>
      <c r="X53" s="34"/>
      <c r="Y53" s="34">
        <f t="shared" si="4"/>
        <v>2306486</v>
      </c>
      <c r="Z53" s="31">
        <v>1615769</v>
      </c>
      <c r="AA53" s="32">
        <v>6</v>
      </c>
      <c r="AB53" s="33">
        <v>44215</v>
      </c>
      <c r="AC53" s="36">
        <v>44228</v>
      </c>
      <c r="AD53" s="31">
        <v>-586689</v>
      </c>
      <c r="AE53" s="35">
        <v>33</v>
      </c>
      <c r="AF53" s="33">
        <v>44355</v>
      </c>
      <c r="AG53" s="36">
        <v>44362</v>
      </c>
      <c r="AH53" s="31">
        <v>2115295</v>
      </c>
      <c r="AI53" s="32">
        <v>34</v>
      </c>
      <c r="AJ53" s="33">
        <v>44355</v>
      </c>
      <c r="AK53" s="36">
        <v>44362</v>
      </c>
      <c r="AL53" s="31"/>
      <c r="AM53" s="32"/>
      <c r="AN53" s="27"/>
      <c r="AO53" s="36"/>
      <c r="AP53" s="31"/>
      <c r="AQ53" s="32"/>
      <c r="AR53" s="27"/>
      <c r="AS53" s="36"/>
      <c r="AT53" s="37">
        <f t="shared" si="3"/>
        <v>3144375</v>
      </c>
      <c r="AU53" s="38">
        <f t="shared" si="2"/>
        <v>837889</v>
      </c>
    </row>
    <row r="54" spans="2:47" s="39" customFormat="1" ht="22.5">
      <c r="B54" s="22">
        <v>41</v>
      </c>
      <c r="C54" s="22" t="s">
        <v>1226</v>
      </c>
      <c r="D54" s="290">
        <v>30372626</v>
      </c>
      <c r="E54" s="48" t="s">
        <v>1281</v>
      </c>
      <c r="F54" s="48" t="s">
        <v>317</v>
      </c>
      <c r="G54" s="26" t="s">
        <v>1224</v>
      </c>
      <c r="H54" s="73" t="s">
        <v>1282</v>
      </c>
      <c r="I54" s="49" t="s">
        <v>52</v>
      </c>
      <c r="J54" s="291">
        <v>466270</v>
      </c>
      <c r="K54" s="34">
        <v>0</v>
      </c>
      <c r="L54" s="34">
        <f t="shared" si="0"/>
        <v>466270</v>
      </c>
      <c r="M54" s="34">
        <v>0</v>
      </c>
      <c r="N54" s="34">
        <v>0</v>
      </c>
      <c r="O54" s="34">
        <v>0</v>
      </c>
      <c r="P54" s="34">
        <v>62436</v>
      </c>
      <c r="Q54" s="34">
        <v>42649</v>
      </c>
      <c r="R54" s="34">
        <v>32589</v>
      </c>
      <c r="S54" s="34">
        <v>48700</v>
      </c>
      <c r="T54" s="34">
        <v>0</v>
      </c>
      <c r="U54" s="34">
        <v>45631</v>
      </c>
      <c r="V54" s="34"/>
      <c r="W54" s="34"/>
      <c r="X54" s="34"/>
      <c r="Y54" s="34">
        <f t="shared" si="4"/>
        <v>232005</v>
      </c>
      <c r="Z54" s="31">
        <v>366336</v>
      </c>
      <c r="AA54" s="32">
        <v>6</v>
      </c>
      <c r="AB54" s="33">
        <v>44215</v>
      </c>
      <c r="AC54" s="36">
        <v>44228</v>
      </c>
      <c r="AD54" s="31">
        <v>99934</v>
      </c>
      <c r="AE54" s="35">
        <v>39</v>
      </c>
      <c r="AF54" s="33">
        <v>44364</v>
      </c>
      <c r="AG54" s="36">
        <v>44377</v>
      </c>
      <c r="AH54" s="31"/>
      <c r="AI54" s="32"/>
      <c r="AJ54" s="27"/>
      <c r="AK54" s="36"/>
      <c r="AL54" s="31"/>
      <c r="AM54" s="32"/>
      <c r="AN54" s="27"/>
      <c r="AO54" s="36"/>
      <c r="AP54" s="31"/>
      <c r="AQ54" s="32"/>
      <c r="AR54" s="27"/>
      <c r="AS54" s="36"/>
      <c r="AT54" s="37">
        <f t="shared" si="3"/>
        <v>466270</v>
      </c>
      <c r="AU54" s="38">
        <f t="shared" si="2"/>
        <v>234265</v>
      </c>
    </row>
    <row r="55" spans="2:47" s="39" customFormat="1" ht="22.5">
      <c r="B55" s="22">
        <v>42</v>
      </c>
      <c r="C55" s="22" t="s">
        <v>1226</v>
      </c>
      <c r="D55" s="290">
        <v>30387426</v>
      </c>
      <c r="E55" s="48" t="s">
        <v>1283</v>
      </c>
      <c r="F55" s="48" t="s">
        <v>317</v>
      </c>
      <c r="G55" s="26" t="s">
        <v>1224</v>
      </c>
      <c r="H55" s="73" t="s">
        <v>1230</v>
      </c>
      <c r="I55" s="49" t="s">
        <v>44</v>
      </c>
      <c r="J55" s="291">
        <v>359621</v>
      </c>
      <c r="K55" s="34">
        <v>349993</v>
      </c>
      <c r="L55" s="34">
        <f t="shared" si="0"/>
        <v>9628</v>
      </c>
      <c r="M55" s="34">
        <v>0</v>
      </c>
      <c r="N55" s="34">
        <v>148</v>
      </c>
      <c r="O55" s="34">
        <v>0</v>
      </c>
      <c r="P55" s="34"/>
      <c r="Q55" s="34">
        <v>285</v>
      </c>
      <c r="R55" s="34"/>
      <c r="S55" s="34"/>
      <c r="T55" s="34"/>
      <c r="U55" s="34"/>
      <c r="V55" s="34"/>
      <c r="W55" s="34"/>
      <c r="X55" s="34"/>
      <c r="Y55" s="34">
        <f t="shared" si="4"/>
        <v>433</v>
      </c>
      <c r="Z55" s="31">
        <v>9629</v>
      </c>
      <c r="AA55" s="32">
        <v>6</v>
      </c>
      <c r="AB55" s="33">
        <v>44215</v>
      </c>
      <c r="AC55" s="36">
        <v>44228</v>
      </c>
      <c r="AD55" s="31"/>
      <c r="AE55" s="35"/>
      <c r="AF55" s="27"/>
      <c r="AG55" s="36"/>
      <c r="AH55" s="31"/>
      <c r="AI55" s="32"/>
      <c r="AJ55" s="27"/>
      <c r="AK55" s="36"/>
      <c r="AL55" s="31"/>
      <c r="AM55" s="32"/>
      <c r="AN55" s="27"/>
      <c r="AO55" s="36"/>
      <c r="AP55" s="31"/>
      <c r="AQ55" s="32"/>
      <c r="AR55" s="27"/>
      <c r="AS55" s="36"/>
      <c r="AT55" s="37">
        <f t="shared" si="3"/>
        <v>9629</v>
      </c>
      <c r="AU55" s="38">
        <f t="shared" si="2"/>
        <v>9196</v>
      </c>
    </row>
    <row r="56" spans="2:47" s="39" customFormat="1" ht="22.5">
      <c r="B56" s="22">
        <v>43</v>
      </c>
      <c r="C56" s="22" t="s">
        <v>1226</v>
      </c>
      <c r="D56" s="290">
        <v>30389273</v>
      </c>
      <c r="E56" s="48" t="s">
        <v>1284</v>
      </c>
      <c r="F56" s="48" t="s">
        <v>317</v>
      </c>
      <c r="G56" s="26" t="s">
        <v>1224</v>
      </c>
      <c r="H56" s="73" t="s">
        <v>1285</v>
      </c>
      <c r="I56" s="49" t="s">
        <v>52</v>
      </c>
      <c r="J56" s="291">
        <v>366697</v>
      </c>
      <c r="K56" s="34">
        <v>500</v>
      </c>
      <c r="L56" s="34">
        <f t="shared" si="0"/>
        <v>366197</v>
      </c>
      <c r="M56" s="34">
        <v>0</v>
      </c>
      <c r="N56" s="34">
        <v>0</v>
      </c>
      <c r="O56" s="34">
        <v>0</v>
      </c>
      <c r="P56" s="34">
        <v>0</v>
      </c>
      <c r="Q56" s="34">
        <v>24636</v>
      </c>
      <c r="R56" s="34">
        <v>3534</v>
      </c>
      <c r="S56" s="34">
        <v>31140</v>
      </c>
      <c r="T56" s="34">
        <v>26079</v>
      </c>
      <c r="U56" s="34">
        <v>33809</v>
      </c>
      <c r="V56" s="34"/>
      <c r="W56" s="34"/>
      <c r="X56" s="34"/>
      <c r="Y56" s="34">
        <f t="shared" si="4"/>
        <v>119198</v>
      </c>
      <c r="Z56" s="31">
        <v>216197</v>
      </c>
      <c r="AA56" s="32">
        <v>6</v>
      </c>
      <c r="AB56" s="33">
        <v>44215</v>
      </c>
      <c r="AC56" s="36">
        <v>44228</v>
      </c>
      <c r="AD56" s="31">
        <v>147978</v>
      </c>
      <c r="AE56" s="35">
        <v>39</v>
      </c>
      <c r="AF56" s="33">
        <v>44364</v>
      </c>
      <c r="AG56" s="36">
        <v>44377</v>
      </c>
      <c r="AH56" s="31"/>
      <c r="AI56" s="32"/>
      <c r="AJ56" s="27"/>
      <c r="AK56" s="36"/>
      <c r="AL56" s="31"/>
      <c r="AM56" s="32"/>
      <c r="AN56" s="27"/>
      <c r="AO56" s="36"/>
      <c r="AP56" s="31"/>
      <c r="AQ56" s="32"/>
      <c r="AR56" s="27"/>
      <c r="AS56" s="36"/>
      <c r="AT56" s="37">
        <f t="shared" si="3"/>
        <v>364175</v>
      </c>
      <c r="AU56" s="38">
        <f t="shared" si="2"/>
        <v>244977</v>
      </c>
    </row>
    <row r="57" spans="2:47" s="39" customFormat="1" ht="22.5">
      <c r="B57" s="22">
        <v>44</v>
      </c>
      <c r="C57" s="22" t="s">
        <v>1226</v>
      </c>
      <c r="D57" s="290">
        <v>30389325</v>
      </c>
      <c r="E57" s="48" t="s">
        <v>1286</v>
      </c>
      <c r="F57" s="48" t="s">
        <v>317</v>
      </c>
      <c r="G57" s="26" t="s">
        <v>1224</v>
      </c>
      <c r="H57" s="73" t="s">
        <v>1285</v>
      </c>
      <c r="I57" s="49" t="s">
        <v>44</v>
      </c>
      <c r="J57" s="291">
        <v>421042</v>
      </c>
      <c r="K57" s="34">
        <v>420964</v>
      </c>
      <c r="L57" s="34">
        <f t="shared" si="0"/>
        <v>78</v>
      </c>
      <c r="M57" s="34">
        <v>0</v>
      </c>
      <c r="N57" s="34">
        <v>0</v>
      </c>
      <c r="O57" s="34">
        <v>0</v>
      </c>
      <c r="P57" s="34"/>
      <c r="Q57" s="34"/>
      <c r="R57" s="34"/>
      <c r="S57" s="34"/>
      <c r="T57" s="34"/>
      <c r="U57" s="34"/>
      <c r="V57" s="34"/>
      <c r="W57" s="34"/>
      <c r="X57" s="34"/>
      <c r="Y57" s="34">
        <f t="shared" si="4"/>
        <v>0</v>
      </c>
      <c r="Z57" s="31">
        <v>5975</v>
      </c>
      <c r="AA57" s="32">
        <v>6</v>
      </c>
      <c r="AB57" s="33">
        <v>44215</v>
      </c>
      <c r="AC57" s="36">
        <v>44228</v>
      </c>
      <c r="AD57" s="31">
        <v>-5975</v>
      </c>
      <c r="AE57" s="32">
        <v>27</v>
      </c>
      <c r="AF57" s="33">
        <v>44327</v>
      </c>
      <c r="AG57" s="36">
        <v>44341</v>
      </c>
      <c r="AH57" s="31"/>
      <c r="AI57" s="32"/>
      <c r="AJ57" s="27"/>
      <c r="AK57" s="36"/>
      <c r="AL57" s="31"/>
      <c r="AM57" s="32"/>
      <c r="AN57" s="27"/>
      <c r="AO57" s="36"/>
      <c r="AP57" s="31"/>
      <c r="AQ57" s="32"/>
      <c r="AR57" s="27"/>
      <c r="AS57" s="36"/>
      <c r="AT57" s="37">
        <f t="shared" si="3"/>
        <v>0</v>
      </c>
      <c r="AU57" s="38">
        <f t="shared" si="2"/>
        <v>0</v>
      </c>
    </row>
    <row r="58" spans="2:47" s="39" customFormat="1" ht="22.5">
      <c r="B58" s="22">
        <v>45</v>
      </c>
      <c r="C58" s="22" t="s">
        <v>1226</v>
      </c>
      <c r="D58" s="290">
        <v>30390722</v>
      </c>
      <c r="E58" s="48" t="s">
        <v>1287</v>
      </c>
      <c r="F58" s="48" t="s">
        <v>47</v>
      </c>
      <c r="G58" s="26" t="s">
        <v>1224</v>
      </c>
      <c r="H58" s="73" t="s">
        <v>1288</v>
      </c>
      <c r="I58" s="49" t="s">
        <v>52</v>
      </c>
      <c r="J58" s="291">
        <v>194840</v>
      </c>
      <c r="K58" s="34">
        <v>210</v>
      </c>
      <c r="L58" s="34">
        <f t="shared" si="0"/>
        <v>194630</v>
      </c>
      <c r="M58" s="34">
        <v>0</v>
      </c>
      <c r="N58" s="34">
        <v>0</v>
      </c>
      <c r="O58" s="34">
        <v>0</v>
      </c>
      <c r="P58" s="34">
        <v>19350</v>
      </c>
      <c r="Q58" s="34">
        <v>0</v>
      </c>
      <c r="R58" s="34">
        <v>19350</v>
      </c>
      <c r="S58" s="34">
        <v>0</v>
      </c>
      <c r="T58" s="34">
        <v>0</v>
      </c>
      <c r="U58" s="34">
        <v>38700</v>
      </c>
      <c r="V58" s="34"/>
      <c r="W58" s="34"/>
      <c r="X58" s="34"/>
      <c r="Y58" s="34">
        <f t="shared" si="4"/>
        <v>77400</v>
      </c>
      <c r="Z58" s="31">
        <v>175130</v>
      </c>
      <c r="AA58" s="32">
        <v>6</v>
      </c>
      <c r="AB58" s="33">
        <v>44215</v>
      </c>
      <c r="AC58" s="36">
        <v>44228</v>
      </c>
      <c r="AD58" s="31">
        <v>-97730</v>
      </c>
      <c r="AE58" s="32">
        <v>27</v>
      </c>
      <c r="AF58" s="33">
        <v>44327</v>
      </c>
      <c r="AG58" s="36">
        <v>44341</v>
      </c>
      <c r="AH58" s="31"/>
      <c r="AI58" s="32"/>
      <c r="AJ58" s="27"/>
      <c r="AK58" s="36"/>
      <c r="AL58" s="31"/>
      <c r="AM58" s="32"/>
      <c r="AN58" s="27"/>
      <c r="AO58" s="36"/>
      <c r="AP58" s="31"/>
      <c r="AQ58" s="32"/>
      <c r="AR58" s="27"/>
      <c r="AS58" s="36"/>
      <c r="AT58" s="37">
        <f t="shared" si="3"/>
        <v>77400</v>
      </c>
      <c r="AU58" s="38">
        <f t="shared" si="2"/>
        <v>0</v>
      </c>
    </row>
    <row r="59" spans="2:47" s="39" customFormat="1" ht="22.5">
      <c r="B59" s="22">
        <v>46</v>
      </c>
      <c r="C59" s="22" t="s">
        <v>1226</v>
      </c>
      <c r="D59" s="290">
        <v>30449527</v>
      </c>
      <c r="E59" s="48" t="s">
        <v>1289</v>
      </c>
      <c r="F59" s="48" t="s">
        <v>47</v>
      </c>
      <c r="G59" s="26" t="s">
        <v>1224</v>
      </c>
      <c r="H59" s="73" t="s">
        <v>1246</v>
      </c>
      <c r="I59" s="49" t="s">
        <v>44</v>
      </c>
      <c r="J59" s="291">
        <v>167952</v>
      </c>
      <c r="K59" s="34">
        <v>101607</v>
      </c>
      <c r="L59" s="34">
        <f t="shared" si="0"/>
        <v>66345</v>
      </c>
      <c r="M59" s="34">
        <v>0</v>
      </c>
      <c r="N59" s="34">
        <v>0</v>
      </c>
      <c r="O59" s="34">
        <v>0</v>
      </c>
      <c r="P59" s="34"/>
      <c r="Q59" s="34"/>
      <c r="R59" s="34"/>
      <c r="S59" s="34"/>
      <c r="T59" s="34"/>
      <c r="U59" s="34"/>
      <c r="V59" s="34"/>
      <c r="W59" s="34"/>
      <c r="X59" s="34"/>
      <c r="Y59" s="34">
        <f t="shared" si="4"/>
        <v>0</v>
      </c>
      <c r="Z59" s="31">
        <v>66346</v>
      </c>
      <c r="AA59" s="32">
        <v>6</v>
      </c>
      <c r="AB59" s="33">
        <v>44215</v>
      </c>
      <c r="AC59" s="36">
        <v>44228</v>
      </c>
      <c r="AD59" s="31">
        <v>-66345</v>
      </c>
      <c r="AE59" s="32">
        <v>27</v>
      </c>
      <c r="AF59" s="33">
        <v>44327</v>
      </c>
      <c r="AG59" s="36">
        <v>44341</v>
      </c>
      <c r="AH59" s="31"/>
      <c r="AI59" s="32"/>
      <c r="AJ59" s="27"/>
      <c r="AK59" s="36"/>
      <c r="AL59" s="31"/>
      <c r="AM59" s="32"/>
      <c r="AN59" s="27"/>
      <c r="AO59" s="36"/>
      <c r="AP59" s="31"/>
      <c r="AQ59" s="32"/>
      <c r="AR59" s="27"/>
      <c r="AS59" s="36"/>
      <c r="AT59" s="37">
        <f t="shared" si="3"/>
        <v>1</v>
      </c>
      <c r="AU59" s="38">
        <f t="shared" si="2"/>
        <v>1</v>
      </c>
    </row>
    <row r="60" spans="2:47" s="39" customFormat="1" ht="22.5">
      <c r="B60" s="22">
        <v>47</v>
      </c>
      <c r="C60" s="22" t="s">
        <v>1226</v>
      </c>
      <c r="D60" s="290">
        <v>30457582</v>
      </c>
      <c r="E60" s="48" t="s">
        <v>1290</v>
      </c>
      <c r="F60" s="48" t="s">
        <v>317</v>
      </c>
      <c r="G60" s="26" t="s">
        <v>1224</v>
      </c>
      <c r="H60" s="73" t="s">
        <v>1228</v>
      </c>
      <c r="I60" s="49" t="s">
        <v>44</v>
      </c>
      <c r="J60" s="291">
        <v>4996254</v>
      </c>
      <c r="K60" s="34">
        <v>2611254</v>
      </c>
      <c r="L60" s="34">
        <f t="shared" si="0"/>
        <v>2385000</v>
      </c>
      <c r="M60" s="34">
        <v>0</v>
      </c>
      <c r="N60" s="34">
        <v>0</v>
      </c>
      <c r="O60" s="34">
        <v>470855</v>
      </c>
      <c r="P60" s="34"/>
      <c r="Q60" s="34"/>
      <c r="R60" s="34">
        <v>804826</v>
      </c>
      <c r="S60" s="34">
        <v>195471</v>
      </c>
      <c r="T60" s="34">
        <v>200957</v>
      </c>
      <c r="U60" s="34">
        <v>178182</v>
      </c>
      <c r="V60" s="34"/>
      <c r="W60" s="34"/>
      <c r="X60" s="34"/>
      <c r="Y60" s="34">
        <f t="shared" si="4"/>
        <v>1850291</v>
      </c>
      <c r="Z60" s="31">
        <v>1784997</v>
      </c>
      <c r="AA60" s="32">
        <v>6</v>
      </c>
      <c r="AB60" s="33">
        <v>44215</v>
      </c>
      <c r="AC60" s="36">
        <v>44228</v>
      </c>
      <c r="AD60" s="31">
        <v>315003</v>
      </c>
      <c r="AE60" s="35">
        <v>57</v>
      </c>
      <c r="AF60" s="33">
        <v>44432</v>
      </c>
      <c r="AG60" s="36">
        <v>44438</v>
      </c>
      <c r="AH60" s="31"/>
      <c r="AI60" s="32"/>
      <c r="AJ60" s="27"/>
      <c r="AK60" s="36"/>
      <c r="AL60" s="31"/>
      <c r="AM60" s="32"/>
      <c r="AN60" s="27"/>
      <c r="AO60" s="36"/>
      <c r="AP60" s="31"/>
      <c r="AQ60" s="32"/>
      <c r="AR60" s="27"/>
      <c r="AS60" s="36"/>
      <c r="AT60" s="37">
        <f t="shared" si="3"/>
        <v>2100000</v>
      </c>
      <c r="AU60" s="38">
        <f t="shared" si="2"/>
        <v>249709</v>
      </c>
    </row>
    <row r="61" spans="2:47" s="39" customFormat="1" ht="22.5">
      <c r="B61" s="22">
        <v>48</v>
      </c>
      <c r="C61" s="22" t="s">
        <v>1226</v>
      </c>
      <c r="D61" s="290">
        <v>30462580</v>
      </c>
      <c r="E61" s="48" t="s">
        <v>1291</v>
      </c>
      <c r="F61" s="48" t="s">
        <v>317</v>
      </c>
      <c r="G61" s="26" t="s">
        <v>1224</v>
      </c>
      <c r="H61" s="73" t="s">
        <v>1292</v>
      </c>
      <c r="I61" s="49" t="s">
        <v>52</v>
      </c>
      <c r="J61" s="291">
        <v>710900</v>
      </c>
      <c r="K61" s="34">
        <v>1354</v>
      </c>
      <c r="L61" s="34">
        <f t="shared" si="0"/>
        <v>709546</v>
      </c>
      <c r="M61" s="34">
        <v>0</v>
      </c>
      <c r="N61" s="34">
        <v>0</v>
      </c>
      <c r="O61" s="34">
        <v>0</v>
      </c>
      <c r="P61" s="34"/>
      <c r="Q61" s="34">
        <v>132945</v>
      </c>
      <c r="R61" s="34">
        <v>187059</v>
      </c>
      <c r="S61" s="34">
        <v>0</v>
      </c>
      <c r="T61" s="34">
        <v>236438</v>
      </c>
      <c r="U61" s="34">
        <v>105120</v>
      </c>
      <c r="V61" s="34"/>
      <c r="W61" s="34"/>
      <c r="X61" s="34"/>
      <c r="Y61" s="34">
        <f t="shared" si="4"/>
        <v>661562</v>
      </c>
      <c r="Z61" s="31">
        <v>411550</v>
      </c>
      <c r="AA61" s="32">
        <v>6</v>
      </c>
      <c r="AB61" s="33">
        <v>44215</v>
      </c>
      <c r="AC61" s="36">
        <v>44228</v>
      </c>
      <c r="AD61" s="31">
        <v>349768</v>
      </c>
      <c r="AE61" s="32">
        <v>39</v>
      </c>
      <c r="AF61" s="33">
        <v>44364</v>
      </c>
      <c r="AG61" s="36">
        <v>44377</v>
      </c>
      <c r="AH61" s="31"/>
      <c r="AI61" s="32"/>
      <c r="AJ61" s="27"/>
      <c r="AK61" s="36"/>
      <c r="AL61" s="31"/>
      <c r="AM61" s="32"/>
      <c r="AN61" s="27"/>
      <c r="AO61" s="36"/>
      <c r="AP61" s="31"/>
      <c r="AQ61" s="32"/>
      <c r="AR61" s="27"/>
      <c r="AS61" s="36"/>
      <c r="AT61" s="37">
        <f t="shared" si="3"/>
        <v>761318</v>
      </c>
      <c r="AU61" s="38">
        <f t="shared" si="2"/>
        <v>99756</v>
      </c>
    </row>
    <row r="62" spans="2:47" s="39" customFormat="1" ht="22.5">
      <c r="B62" s="22">
        <v>49</v>
      </c>
      <c r="C62" s="22" t="s">
        <v>1226</v>
      </c>
      <c r="D62" s="290">
        <v>30463433</v>
      </c>
      <c r="E62" s="48" t="s">
        <v>1293</v>
      </c>
      <c r="F62" s="48" t="s">
        <v>317</v>
      </c>
      <c r="G62" s="26" t="s">
        <v>1224</v>
      </c>
      <c r="H62" s="73" t="s">
        <v>1285</v>
      </c>
      <c r="I62" s="49" t="s">
        <v>52</v>
      </c>
      <c r="J62" s="291">
        <v>2660764</v>
      </c>
      <c r="K62" s="34">
        <v>0</v>
      </c>
      <c r="L62" s="34">
        <f t="shared" si="0"/>
        <v>2660764</v>
      </c>
      <c r="M62" s="34">
        <v>0</v>
      </c>
      <c r="N62" s="34">
        <v>0</v>
      </c>
      <c r="O62" s="34">
        <v>0</v>
      </c>
      <c r="P62" s="34"/>
      <c r="Q62" s="34"/>
      <c r="R62" s="34"/>
      <c r="S62" s="34"/>
      <c r="T62" s="34"/>
      <c r="U62" s="34"/>
      <c r="V62" s="34"/>
      <c r="W62" s="34"/>
      <c r="X62" s="34"/>
      <c r="Y62" s="34">
        <f t="shared" si="4"/>
        <v>0</v>
      </c>
      <c r="Z62" s="31">
        <v>3</v>
      </c>
      <c r="AA62" s="32">
        <v>6</v>
      </c>
      <c r="AB62" s="33">
        <v>44215</v>
      </c>
      <c r="AC62" s="36">
        <v>44228</v>
      </c>
      <c r="AD62" s="31"/>
      <c r="AE62" s="35"/>
      <c r="AF62" s="27"/>
      <c r="AG62" s="36"/>
      <c r="AH62" s="31"/>
      <c r="AI62" s="32"/>
      <c r="AJ62" s="27"/>
      <c r="AK62" s="36"/>
      <c r="AL62" s="31"/>
      <c r="AM62" s="32"/>
      <c r="AN62" s="27"/>
      <c r="AO62" s="36"/>
      <c r="AP62" s="31"/>
      <c r="AQ62" s="32"/>
      <c r="AR62" s="27"/>
      <c r="AS62" s="36"/>
      <c r="AT62" s="37">
        <f t="shared" si="3"/>
        <v>3</v>
      </c>
      <c r="AU62" s="38">
        <f t="shared" si="2"/>
        <v>3</v>
      </c>
    </row>
    <row r="63" spans="2:47" s="39" customFormat="1" ht="22.5">
      <c r="B63" s="22">
        <v>50</v>
      </c>
      <c r="C63" s="22" t="s">
        <v>1226</v>
      </c>
      <c r="D63" s="290">
        <v>30464205</v>
      </c>
      <c r="E63" s="48" t="s">
        <v>1294</v>
      </c>
      <c r="F63" s="48" t="s">
        <v>317</v>
      </c>
      <c r="G63" s="26" t="s">
        <v>1224</v>
      </c>
      <c r="H63" s="73" t="s">
        <v>1295</v>
      </c>
      <c r="I63" s="49" t="s">
        <v>44</v>
      </c>
      <c r="J63" s="291">
        <v>1258331</v>
      </c>
      <c r="K63" s="34">
        <v>1151815</v>
      </c>
      <c r="L63" s="34">
        <f t="shared" si="0"/>
        <v>106516</v>
      </c>
      <c r="M63" s="34">
        <v>0</v>
      </c>
      <c r="N63" s="34">
        <v>0</v>
      </c>
      <c r="O63" s="34">
        <v>0</v>
      </c>
      <c r="P63" s="34"/>
      <c r="Q63" s="34"/>
      <c r="R63" s="34"/>
      <c r="S63" s="34"/>
      <c r="T63" s="34"/>
      <c r="U63" s="34"/>
      <c r="V63" s="34"/>
      <c r="W63" s="34"/>
      <c r="X63" s="34"/>
      <c r="Y63" s="34">
        <f t="shared" si="4"/>
        <v>0</v>
      </c>
      <c r="Z63" s="31">
        <v>106517</v>
      </c>
      <c r="AA63" s="32">
        <v>6</v>
      </c>
      <c r="AB63" s="33">
        <v>44215</v>
      </c>
      <c r="AC63" s="36">
        <v>44228</v>
      </c>
      <c r="AD63" s="31"/>
      <c r="AE63" s="35"/>
      <c r="AF63" s="27"/>
      <c r="AG63" s="36"/>
      <c r="AH63" s="31"/>
      <c r="AI63" s="32"/>
      <c r="AJ63" s="27"/>
      <c r="AK63" s="36"/>
      <c r="AL63" s="31"/>
      <c r="AM63" s="32"/>
      <c r="AN63" s="27"/>
      <c r="AO63" s="36"/>
      <c r="AP63" s="31"/>
      <c r="AQ63" s="32"/>
      <c r="AR63" s="27"/>
      <c r="AS63" s="36"/>
      <c r="AT63" s="37">
        <f t="shared" si="3"/>
        <v>106517</v>
      </c>
      <c r="AU63" s="38">
        <f t="shared" si="2"/>
        <v>106517</v>
      </c>
    </row>
    <row r="64" spans="2:47" s="39" customFormat="1" ht="22.5">
      <c r="B64" s="22">
        <v>51</v>
      </c>
      <c r="C64" s="22" t="s">
        <v>1226</v>
      </c>
      <c r="D64" s="290">
        <v>30464213</v>
      </c>
      <c r="E64" s="48" t="s">
        <v>1296</v>
      </c>
      <c r="F64" s="48" t="s">
        <v>317</v>
      </c>
      <c r="G64" s="26" t="s">
        <v>1224</v>
      </c>
      <c r="H64" s="73" t="s">
        <v>1297</v>
      </c>
      <c r="I64" s="49" t="s">
        <v>44</v>
      </c>
      <c r="J64" s="291">
        <v>730843</v>
      </c>
      <c r="K64" s="34">
        <v>684442</v>
      </c>
      <c r="L64" s="34">
        <f t="shared" si="0"/>
        <v>46401</v>
      </c>
      <c r="M64" s="34">
        <v>0</v>
      </c>
      <c r="N64" s="34">
        <v>0</v>
      </c>
      <c r="O64" s="34">
        <v>0</v>
      </c>
      <c r="P64" s="34"/>
      <c r="Q64" s="34"/>
      <c r="R64" s="34"/>
      <c r="S64" s="34"/>
      <c r="T64" s="34"/>
      <c r="U64" s="34"/>
      <c r="V64" s="34"/>
      <c r="W64" s="34"/>
      <c r="X64" s="34"/>
      <c r="Y64" s="34">
        <f t="shared" si="4"/>
        <v>0</v>
      </c>
      <c r="Z64" s="31">
        <v>46402</v>
      </c>
      <c r="AA64" s="32">
        <v>6</v>
      </c>
      <c r="AB64" s="33">
        <v>44215</v>
      </c>
      <c r="AC64" s="36">
        <v>44228</v>
      </c>
      <c r="AD64" s="31"/>
      <c r="AE64" s="35"/>
      <c r="AF64" s="27"/>
      <c r="AG64" s="36"/>
      <c r="AH64" s="31"/>
      <c r="AI64" s="32"/>
      <c r="AJ64" s="27"/>
      <c r="AK64" s="36"/>
      <c r="AL64" s="31"/>
      <c r="AM64" s="32"/>
      <c r="AN64" s="27"/>
      <c r="AO64" s="36"/>
      <c r="AP64" s="31"/>
      <c r="AQ64" s="32"/>
      <c r="AR64" s="27"/>
      <c r="AS64" s="36"/>
      <c r="AT64" s="37">
        <f t="shared" si="3"/>
        <v>46402</v>
      </c>
      <c r="AU64" s="38">
        <f t="shared" si="2"/>
        <v>46402</v>
      </c>
    </row>
    <row r="65" spans="2:47" s="39" customFormat="1" ht="22.5">
      <c r="B65" s="22">
        <v>52</v>
      </c>
      <c r="C65" s="22" t="s">
        <v>1226</v>
      </c>
      <c r="D65" s="290">
        <v>30464747</v>
      </c>
      <c r="E65" s="48" t="s">
        <v>1298</v>
      </c>
      <c r="F65" s="48" t="s">
        <v>317</v>
      </c>
      <c r="G65" s="26" t="s">
        <v>1224</v>
      </c>
      <c r="H65" s="73" t="s">
        <v>1285</v>
      </c>
      <c r="I65" s="49" t="s">
        <v>52</v>
      </c>
      <c r="J65" s="291">
        <v>930427</v>
      </c>
      <c r="K65" s="34">
        <v>0</v>
      </c>
      <c r="L65" s="34">
        <f t="shared" si="0"/>
        <v>930427</v>
      </c>
      <c r="M65" s="34">
        <v>0</v>
      </c>
      <c r="N65" s="34">
        <v>0</v>
      </c>
      <c r="O65" s="34">
        <v>131062</v>
      </c>
      <c r="P65" s="34">
        <v>151709</v>
      </c>
      <c r="Q65" s="34">
        <v>117322</v>
      </c>
      <c r="R65" s="34">
        <v>136536</v>
      </c>
      <c r="S65" s="34">
        <v>132196</v>
      </c>
      <c r="T65" s="34">
        <v>202270</v>
      </c>
      <c r="U65" s="34">
        <v>0</v>
      </c>
      <c r="V65" s="34"/>
      <c r="W65" s="34"/>
      <c r="X65" s="34"/>
      <c r="Y65" s="34">
        <f t="shared" si="4"/>
        <v>871095</v>
      </c>
      <c r="Z65" s="31">
        <v>600000</v>
      </c>
      <c r="AA65" s="32">
        <v>6</v>
      </c>
      <c r="AB65" s="33">
        <v>44215</v>
      </c>
      <c r="AC65" s="36">
        <v>44228</v>
      </c>
      <c r="AD65" s="31">
        <v>330427</v>
      </c>
      <c r="AE65" s="35">
        <v>39</v>
      </c>
      <c r="AF65" s="33">
        <v>44364</v>
      </c>
      <c r="AG65" s="36">
        <v>44377</v>
      </c>
      <c r="AH65" s="31"/>
      <c r="AI65" s="32"/>
      <c r="AJ65" s="27"/>
      <c r="AK65" s="36"/>
      <c r="AL65" s="31"/>
      <c r="AM65" s="32"/>
      <c r="AN65" s="27"/>
      <c r="AO65" s="36"/>
      <c r="AP65" s="31"/>
      <c r="AQ65" s="32"/>
      <c r="AR65" s="27"/>
      <c r="AS65" s="36"/>
      <c r="AT65" s="37">
        <f t="shared" si="3"/>
        <v>930427</v>
      </c>
      <c r="AU65" s="38">
        <f t="shared" si="2"/>
        <v>59332</v>
      </c>
    </row>
    <row r="66" spans="2:47" s="39" customFormat="1" ht="22.5">
      <c r="B66" s="22">
        <v>53</v>
      </c>
      <c r="C66" s="22" t="s">
        <v>1226</v>
      </c>
      <c r="D66" s="290">
        <v>30468993</v>
      </c>
      <c r="E66" s="48" t="s">
        <v>1299</v>
      </c>
      <c r="F66" s="48" t="s">
        <v>317</v>
      </c>
      <c r="G66" s="26" t="s">
        <v>1224</v>
      </c>
      <c r="H66" s="73" t="s">
        <v>1300</v>
      </c>
      <c r="I66" s="49" t="s">
        <v>52</v>
      </c>
      <c r="J66" s="291">
        <v>459909</v>
      </c>
      <c r="K66" s="34">
        <v>0</v>
      </c>
      <c r="L66" s="34">
        <f t="shared" si="0"/>
        <v>459909</v>
      </c>
      <c r="M66" s="34">
        <v>0</v>
      </c>
      <c r="N66" s="34">
        <v>0</v>
      </c>
      <c r="O66" s="34">
        <v>0</v>
      </c>
      <c r="P66" s="34">
        <v>140579</v>
      </c>
      <c r="Q66" s="34">
        <v>60583</v>
      </c>
      <c r="R66" s="34">
        <v>48588</v>
      </c>
      <c r="S66" s="34">
        <v>0</v>
      </c>
      <c r="T66" s="34">
        <v>46998</v>
      </c>
      <c r="U66" s="34">
        <v>77782</v>
      </c>
      <c r="V66" s="34"/>
      <c r="W66" s="34"/>
      <c r="X66" s="34"/>
      <c r="Y66" s="34">
        <f t="shared" si="4"/>
        <v>374530</v>
      </c>
      <c r="Z66" s="31">
        <v>459909</v>
      </c>
      <c r="AA66" s="32">
        <v>6</v>
      </c>
      <c r="AB66" s="33">
        <v>44215</v>
      </c>
      <c r="AC66" s="36">
        <v>44228</v>
      </c>
      <c r="AD66" s="31"/>
      <c r="AE66" s="35"/>
      <c r="AF66" s="27"/>
      <c r="AG66" s="36"/>
      <c r="AH66" s="31"/>
      <c r="AI66" s="32"/>
      <c r="AJ66" s="27"/>
      <c r="AK66" s="36"/>
      <c r="AL66" s="31"/>
      <c r="AM66" s="32"/>
      <c r="AN66" s="27"/>
      <c r="AO66" s="36"/>
      <c r="AP66" s="31"/>
      <c r="AQ66" s="32"/>
      <c r="AR66" s="27"/>
      <c r="AS66" s="36"/>
      <c r="AT66" s="37">
        <f t="shared" si="3"/>
        <v>459909</v>
      </c>
      <c r="AU66" s="38">
        <f t="shared" si="2"/>
        <v>85379</v>
      </c>
    </row>
    <row r="67" spans="2:47" s="39" customFormat="1" ht="22.5">
      <c r="B67" s="22">
        <v>54</v>
      </c>
      <c r="C67" s="22" t="s">
        <v>1226</v>
      </c>
      <c r="D67" s="290">
        <v>30473006</v>
      </c>
      <c r="E67" s="48" t="s">
        <v>1301</v>
      </c>
      <c r="F67" s="48" t="s">
        <v>317</v>
      </c>
      <c r="G67" s="26" t="s">
        <v>1224</v>
      </c>
      <c r="H67" s="73" t="s">
        <v>1246</v>
      </c>
      <c r="I67" s="49" t="s">
        <v>44</v>
      </c>
      <c r="J67" s="291">
        <v>471437</v>
      </c>
      <c r="K67" s="34">
        <v>221628</v>
      </c>
      <c r="L67" s="34">
        <f t="shared" si="0"/>
        <v>249809</v>
      </c>
      <c r="M67" s="34">
        <v>0</v>
      </c>
      <c r="N67" s="34">
        <v>158338</v>
      </c>
      <c r="O67" s="34">
        <v>86352</v>
      </c>
      <c r="P67" s="34"/>
      <c r="Q67" s="34"/>
      <c r="R67" s="34"/>
      <c r="S67" s="34"/>
      <c r="T67" s="34"/>
      <c r="U67" s="34"/>
      <c r="V67" s="34"/>
      <c r="W67" s="34"/>
      <c r="X67" s="34"/>
      <c r="Y67" s="34">
        <f t="shared" si="4"/>
        <v>244690</v>
      </c>
      <c r="Z67" s="31">
        <v>249809</v>
      </c>
      <c r="AA67" s="32">
        <v>6</v>
      </c>
      <c r="AB67" s="33">
        <v>44215</v>
      </c>
      <c r="AC67" s="36">
        <v>44228</v>
      </c>
      <c r="AD67" s="31">
        <v>46312</v>
      </c>
      <c r="AE67" s="35">
        <v>57</v>
      </c>
      <c r="AF67" s="33">
        <v>44432</v>
      </c>
      <c r="AG67" s="36">
        <v>44438</v>
      </c>
      <c r="AH67" s="31"/>
      <c r="AI67" s="32"/>
      <c r="AJ67" s="27"/>
      <c r="AK67" s="36"/>
      <c r="AL67" s="31"/>
      <c r="AM67" s="32"/>
      <c r="AN67" s="27"/>
      <c r="AO67" s="36"/>
      <c r="AP67" s="31"/>
      <c r="AQ67" s="32"/>
      <c r="AR67" s="27"/>
      <c r="AS67" s="36"/>
      <c r="AT67" s="37">
        <f t="shared" si="3"/>
        <v>296121</v>
      </c>
      <c r="AU67" s="38">
        <f t="shared" si="2"/>
        <v>51431</v>
      </c>
    </row>
    <row r="68" spans="2:47" s="39" customFormat="1" ht="22.5">
      <c r="B68" s="22">
        <v>55</v>
      </c>
      <c r="C68" s="22" t="s">
        <v>1226</v>
      </c>
      <c r="D68" s="290">
        <v>30473009</v>
      </c>
      <c r="E68" s="48" t="s">
        <v>1302</v>
      </c>
      <c r="F68" s="48" t="s">
        <v>317</v>
      </c>
      <c r="G68" s="26" t="s">
        <v>1224</v>
      </c>
      <c r="H68" s="73" t="s">
        <v>1280</v>
      </c>
      <c r="I68" s="49" t="s">
        <v>44</v>
      </c>
      <c r="J68" s="291">
        <v>472947</v>
      </c>
      <c r="K68" s="34">
        <v>114916</v>
      </c>
      <c r="L68" s="34">
        <f t="shared" si="0"/>
        <v>358031</v>
      </c>
      <c r="M68" s="34">
        <v>0</v>
      </c>
      <c r="N68" s="34">
        <v>72292</v>
      </c>
      <c r="O68" s="34">
        <v>83866</v>
      </c>
      <c r="P68" s="34">
        <v>68279</v>
      </c>
      <c r="Q68" s="34">
        <v>81066</v>
      </c>
      <c r="R68" s="34">
        <v>22935</v>
      </c>
      <c r="S68" s="34">
        <v>0</v>
      </c>
      <c r="T68" s="34">
        <v>29593</v>
      </c>
      <c r="U68" s="34">
        <v>0</v>
      </c>
      <c r="V68" s="34"/>
      <c r="W68" s="34"/>
      <c r="X68" s="34"/>
      <c r="Y68" s="34">
        <f t="shared" si="4"/>
        <v>358031</v>
      </c>
      <c r="Z68" s="31">
        <v>317275</v>
      </c>
      <c r="AA68" s="32">
        <v>6</v>
      </c>
      <c r="AB68" s="33">
        <v>44215</v>
      </c>
      <c r="AC68" s="36">
        <v>44228</v>
      </c>
      <c r="AD68" s="31">
        <v>40757</v>
      </c>
      <c r="AE68" s="35">
        <v>27</v>
      </c>
      <c r="AF68" s="33">
        <v>44327</v>
      </c>
      <c r="AG68" s="36">
        <v>44341</v>
      </c>
      <c r="AH68" s="36"/>
      <c r="AI68" s="32"/>
      <c r="AJ68" s="27"/>
      <c r="AK68" s="36"/>
      <c r="AL68" s="31"/>
      <c r="AM68" s="32"/>
      <c r="AN68" s="27"/>
      <c r="AO68" s="36"/>
      <c r="AP68" s="31"/>
      <c r="AQ68" s="32"/>
      <c r="AR68" s="27"/>
      <c r="AS68" s="36"/>
      <c r="AT68" s="37">
        <f t="shared" si="3"/>
        <v>358032</v>
      </c>
      <c r="AU68" s="38">
        <f t="shared" si="2"/>
        <v>1</v>
      </c>
    </row>
    <row r="69" spans="2:47" s="39" customFormat="1" ht="22.5">
      <c r="B69" s="22">
        <v>56</v>
      </c>
      <c r="C69" s="22" t="s">
        <v>1226</v>
      </c>
      <c r="D69" s="290">
        <v>30473031</v>
      </c>
      <c r="E69" s="48" t="s">
        <v>1303</v>
      </c>
      <c r="F69" s="48" t="s">
        <v>317</v>
      </c>
      <c r="G69" s="26" t="s">
        <v>1224</v>
      </c>
      <c r="H69" s="73" t="s">
        <v>1228</v>
      </c>
      <c r="I69" s="49" t="s">
        <v>44</v>
      </c>
      <c r="J69" s="291">
        <v>374128</v>
      </c>
      <c r="K69" s="34">
        <v>116625</v>
      </c>
      <c r="L69" s="34">
        <f t="shared" si="0"/>
        <v>257503</v>
      </c>
      <c r="M69" s="34">
        <v>0</v>
      </c>
      <c r="N69" s="34">
        <v>43899</v>
      </c>
      <c r="O69" s="34">
        <v>25030</v>
      </c>
      <c r="P69" s="34">
        <v>36089</v>
      </c>
      <c r="Q69" s="34">
        <v>22091</v>
      </c>
      <c r="R69" s="34">
        <v>18692</v>
      </c>
      <c r="S69" s="34">
        <v>20539</v>
      </c>
      <c r="T69" s="34">
        <v>17773</v>
      </c>
      <c r="U69" s="34">
        <v>23316</v>
      </c>
      <c r="V69" s="34"/>
      <c r="W69" s="34"/>
      <c r="X69" s="34"/>
      <c r="Y69" s="34">
        <f t="shared" si="4"/>
        <v>207429</v>
      </c>
      <c r="Z69" s="31">
        <v>257504</v>
      </c>
      <c r="AA69" s="32">
        <v>6</v>
      </c>
      <c r="AB69" s="33">
        <v>44215</v>
      </c>
      <c r="AC69" s="36">
        <v>44228</v>
      </c>
      <c r="AD69" s="31"/>
      <c r="AE69" s="35"/>
      <c r="AF69" s="27"/>
      <c r="AG69" s="36"/>
      <c r="AH69" s="31"/>
      <c r="AI69" s="32"/>
      <c r="AJ69" s="27"/>
      <c r="AK69" s="36"/>
      <c r="AL69" s="31"/>
      <c r="AM69" s="32"/>
      <c r="AN69" s="27"/>
      <c r="AO69" s="36"/>
      <c r="AP69" s="31"/>
      <c r="AQ69" s="32"/>
      <c r="AR69" s="27"/>
      <c r="AS69" s="36"/>
      <c r="AT69" s="37">
        <f t="shared" si="3"/>
        <v>257504</v>
      </c>
      <c r="AU69" s="38">
        <f t="shared" si="2"/>
        <v>50075</v>
      </c>
    </row>
    <row r="70" spans="2:47" s="39" customFormat="1" ht="22.5">
      <c r="B70" s="22">
        <v>57</v>
      </c>
      <c r="C70" s="22" t="s">
        <v>1226</v>
      </c>
      <c r="D70" s="290">
        <v>30473046</v>
      </c>
      <c r="E70" s="48" t="s">
        <v>1304</v>
      </c>
      <c r="F70" s="48" t="s">
        <v>317</v>
      </c>
      <c r="G70" s="26" t="s">
        <v>1224</v>
      </c>
      <c r="H70" s="73" t="s">
        <v>1276</v>
      </c>
      <c r="I70" s="49" t="s">
        <v>44</v>
      </c>
      <c r="J70" s="291">
        <v>367396</v>
      </c>
      <c r="K70" s="34">
        <v>0</v>
      </c>
      <c r="L70" s="34">
        <f t="shared" si="0"/>
        <v>367396</v>
      </c>
      <c r="M70" s="34">
        <v>0</v>
      </c>
      <c r="N70" s="34">
        <v>15036</v>
      </c>
      <c r="O70" s="34">
        <v>47533</v>
      </c>
      <c r="P70" s="34">
        <v>25612</v>
      </c>
      <c r="Q70" s="34">
        <v>23223</v>
      </c>
      <c r="R70" s="34">
        <v>20927</v>
      </c>
      <c r="S70" s="34">
        <v>34521</v>
      </c>
      <c r="T70" s="34">
        <v>28858</v>
      </c>
      <c r="U70" s="34">
        <v>73707</v>
      </c>
      <c r="V70" s="34"/>
      <c r="W70" s="34"/>
      <c r="X70" s="34"/>
      <c r="Y70" s="34">
        <f t="shared" si="4"/>
        <v>269417</v>
      </c>
      <c r="Z70" s="31">
        <v>427380</v>
      </c>
      <c r="AA70" s="32">
        <v>6</v>
      </c>
      <c r="AB70" s="33">
        <v>44215</v>
      </c>
      <c r="AC70" s="36">
        <v>44228</v>
      </c>
      <c r="AD70" s="31">
        <v>-59984</v>
      </c>
      <c r="AE70" s="32">
        <v>27</v>
      </c>
      <c r="AF70" s="33">
        <v>44327</v>
      </c>
      <c r="AG70" s="36">
        <v>44341</v>
      </c>
      <c r="AH70" s="31"/>
      <c r="AI70" s="32"/>
      <c r="AJ70" s="27"/>
      <c r="AK70" s="36"/>
      <c r="AL70" s="31"/>
      <c r="AM70" s="32"/>
      <c r="AN70" s="27"/>
      <c r="AO70" s="36"/>
      <c r="AP70" s="31"/>
      <c r="AQ70" s="32"/>
      <c r="AR70" s="27"/>
      <c r="AS70" s="36"/>
      <c r="AT70" s="37">
        <f t="shared" si="3"/>
        <v>367396</v>
      </c>
      <c r="AU70" s="38">
        <f t="shared" si="2"/>
        <v>97979</v>
      </c>
    </row>
    <row r="71" spans="2:47" s="39" customFormat="1" ht="22.5">
      <c r="B71" s="22">
        <v>58</v>
      </c>
      <c r="C71" s="22" t="s">
        <v>1226</v>
      </c>
      <c r="D71" s="290">
        <v>30482212</v>
      </c>
      <c r="E71" s="48" t="s">
        <v>1305</v>
      </c>
      <c r="F71" s="48" t="s">
        <v>317</v>
      </c>
      <c r="G71" s="26" t="s">
        <v>1224</v>
      </c>
      <c r="H71" s="73" t="s">
        <v>1228</v>
      </c>
      <c r="I71" s="49" t="s">
        <v>52</v>
      </c>
      <c r="J71" s="291">
        <v>479090</v>
      </c>
      <c r="K71" s="34">
        <v>0</v>
      </c>
      <c r="L71" s="34">
        <f t="shared" si="0"/>
        <v>479090</v>
      </c>
      <c r="M71" s="34">
        <v>0</v>
      </c>
      <c r="N71" s="34">
        <v>0</v>
      </c>
      <c r="O71" s="34">
        <v>0</v>
      </c>
      <c r="P71" s="34"/>
      <c r="Q71" s="34"/>
      <c r="R71" s="34"/>
      <c r="S71" s="34"/>
      <c r="T71" s="34"/>
      <c r="U71" s="34"/>
      <c r="V71" s="34"/>
      <c r="W71" s="34"/>
      <c r="X71" s="34"/>
      <c r="Y71" s="34">
        <f t="shared" si="4"/>
        <v>0</v>
      </c>
      <c r="Z71" s="31">
        <v>479090</v>
      </c>
      <c r="AA71" s="32">
        <v>6</v>
      </c>
      <c r="AB71" s="33">
        <v>44215</v>
      </c>
      <c r="AC71" s="36">
        <v>44228</v>
      </c>
      <c r="AD71" s="31">
        <v>-404585</v>
      </c>
      <c r="AE71" s="35">
        <v>39</v>
      </c>
      <c r="AF71" s="33">
        <v>44364</v>
      </c>
      <c r="AG71" s="36">
        <v>44377</v>
      </c>
      <c r="AH71" s="31"/>
      <c r="AI71" s="32"/>
      <c r="AJ71" s="27"/>
      <c r="AK71" s="36"/>
      <c r="AL71" s="31"/>
      <c r="AM71" s="32"/>
      <c r="AN71" s="27"/>
      <c r="AO71" s="36"/>
      <c r="AP71" s="31"/>
      <c r="AQ71" s="32"/>
      <c r="AR71" s="27"/>
      <c r="AS71" s="36"/>
      <c r="AT71" s="37">
        <f t="shared" si="3"/>
        <v>74505</v>
      </c>
      <c r="AU71" s="38">
        <f t="shared" si="2"/>
        <v>74505</v>
      </c>
    </row>
    <row r="72" spans="2:47" s="39" customFormat="1" ht="22.5">
      <c r="B72" s="22">
        <v>59</v>
      </c>
      <c r="C72" s="22" t="s">
        <v>1226</v>
      </c>
      <c r="D72" s="290">
        <v>30483898</v>
      </c>
      <c r="E72" s="48" t="s">
        <v>1306</v>
      </c>
      <c r="F72" s="48" t="s">
        <v>47</v>
      </c>
      <c r="G72" s="26" t="s">
        <v>1224</v>
      </c>
      <c r="H72" s="73" t="s">
        <v>1288</v>
      </c>
      <c r="I72" s="49" t="s">
        <v>44</v>
      </c>
      <c r="J72" s="291">
        <v>56013</v>
      </c>
      <c r="K72" s="34">
        <v>33813</v>
      </c>
      <c r="L72" s="34">
        <f t="shared" si="0"/>
        <v>22200</v>
      </c>
      <c r="M72" s="34">
        <v>0</v>
      </c>
      <c r="N72" s="34">
        <v>0</v>
      </c>
      <c r="O72" s="34">
        <v>0</v>
      </c>
      <c r="P72" s="34"/>
      <c r="Q72" s="34"/>
      <c r="R72" s="34"/>
      <c r="S72" s="34"/>
      <c r="T72" s="34"/>
      <c r="U72" s="34"/>
      <c r="V72" s="34"/>
      <c r="W72" s="34"/>
      <c r="X72" s="34"/>
      <c r="Y72" s="34">
        <f t="shared" si="4"/>
        <v>0</v>
      </c>
      <c r="Z72" s="31">
        <v>22200</v>
      </c>
      <c r="AA72" s="32">
        <v>6</v>
      </c>
      <c r="AB72" s="33">
        <v>44215</v>
      </c>
      <c r="AC72" s="36">
        <v>44228</v>
      </c>
      <c r="AD72" s="31"/>
      <c r="AE72" s="35"/>
      <c r="AF72" s="27"/>
      <c r="AG72" s="36"/>
      <c r="AH72" s="31"/>
      <c r="AI72" s="32"/>
      <c r="AJ72" s="27"/>
      <c r="AK72" s="36"/>
      <c r="AL72" s="31"/>
      <c r="AM72" s="32"/>
      <c r="AN72" s="27"/>
      <c r="AO72" s="36"/>
      <c r="AP72" s="31"/>
      <c r="AQ72" s="32"/>
      <c r="AR72" s="27"/>
      <c r="AS72" s="36"/>
      <c r="AT72" s="37">
        <f t="shared" si="3"/>
        <v>22200</v>
      </c>
      <c r="AU72" s="38">
        <f t="shared" si="2"/>
        <v>22200</v>
      </c>
    </row>
    <row r="73" spans="2:47" s="39" customFormat="1" ht="22.5">
      <c r="B73" s="22">
        <v>60</v>
      </c>
      <c r="C73" s="22" t="s">
        <v>1226</v>
      </c>
      <c r="D73" s="290">
        <v>30484309</v>
      </c>
      <c r="E73" s="48" t="s">
        <v>1307</v>
      </c>
      <c r="F73" s="48" t="s">
        <v>317</v>
      </c>
      <c r="G73" s="26" t="s">
        <v>1224</v>
      </c>
      <c r="H73" s="73" t="s">
        <v>1300</v>
      </c>
      <c r="I73" s="49" t="s">
        <v>44</v>
      </c>
      <c r="J73" s="291">
        <v>1018382</v>
      </c>
      <c r="K73" s="34">
        <v>979456</v>
      </c>
      <c r="L73" s="34">
        <f t="shared" si="0"/>
        <v>38926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/>
      <c r="T73" s="34"/>
      <c r="U73" s="34"/>
      <c r="V73" s="34"/>
      <c r="W73" s="34"/>
      <c r="X73" s="34"/>
      <c r="Y73" s="34">
        <f t="shared" si="4"/>
        <v>0</v>
      </c>
      <c r="Z73" s="31">
        <v>18968</v>
      </c>
      <c r="AA73" s="32">
        <v>6</v>
      </c>
      <c r="AB73" s="33">
        <v>44215</v>
      </c>
      <c r="AC73" s="36">
        <v>44228</v>
      </c>
      <c r="AD73" s="31">
        <v>111022</v>
      </c>
      <c r="AE73" s="35">
        <v>39</v>
      </c>
      <c r="AF73" s="27" t="s">
        <v>1308</v>
      </c>
      <c r="AG73" s="36">
        <v>44377</v>
      </c>
      <c r="AH73" s="31"/>
      <c r="AI73" s="32"/>
      <c r="AJ73" s="27"/>
      <c r="AK73" s="36"/>
      <c r="AL73" s="31"/>
      <c r="AM73" s="32"/>
      <c r="AN73" s="27"/>
      <c r="AO73" s="36"/>
      <c r="AP73" s="31"/>
      <c r="AQ73" s="32"/>
      <c r="AR73" s="27"/>
      <c r="AS73" s="36"/>
      <c r="AT73" s="37">
        <f t="shared" si="3"/>
        <v>129990</v>
      </c>
      <c r="AU73" s="38">
        <f t="shared" si="2"/>
        <v>129990</v>
      </c>
    </row>
    <row r="74" spans="2:47" s="39" customFormat="1" ht="22.5">
      <c r="B74" s="22">
        <v>61</v>
      </c>
      <c r="C74" s="22" t="s">
        <v>1226</v>
      </c>
      <c r="D74" s="290">
        <v>30487269</v>
      </c>
      <c r="E74" s="48" t="s">
        <v>1309</v>
      </c>
      <c r="F74" s="48" t="s">
        <v>47</v>
      </c>
      <c r="G74" s="26" t="s">
        <v>1224</v>
      </c>
      <c r="H74" s="73" t="s">
        <v>1246</v>
      </c>
      <c r="I74" s="49" t="s">
        <v>44</v>
      </c>
      <c r="J74" s="291">
        <v>240896</v>
      </c>
      <c r="K74" s="34">
        <v>530</v>
      </c>
      <c r="L74" s="34">
        <f t="shared" si="0"/>
        <v>240366</v>
      </c>
      <c r="M74" s="34">
        <v>0</v>
      </c>
      <c r="N74" s="34">
        <v>23950</v>
      </c>
      <c r="O74" s="34"/>
      <c r="P74" s="34">
        <v>0</v>
      </c>
      <c r="Q74" s="34">
        <v>23950</v>
      </c>
      <c r="R74" s="34">
        <v>0</v>
      </c>
      <c r="S74" s="34">
        <v>51499</v>
      </c>
      <c r="T74" s="34"/>
      <c r="U74" s="34"/>
      <c r="V74" s="34"/>
      <c r="W74" s="34"/>
      <c r="X74" s="34"/>
      <c r="Y74" s="34">
        <f t="shared" si="4"/>
        <v>99399</v>
      </c>
      <c r="Z74" s="31">
        <v>53970</v>
      </c>
      <c r="AA74" s="32">
        <v>6</v>
      </c>
      <c r="AB74" s="33">
        <v>44215</v>
      </c>
      <c r="AC74" s="36">
        <v>44228</v>
      </c>
      <c r="AD74" s="31">
        <v>89730</v>
      </c>
      <c r="AE74" s="35">
        <v>39</v>
      </c>
      <c r="AF74" s="33">
        <v>44364</v>
      </c>
      <c r="AG74" s="36">
        <v>44377</v>
      </c>
      <c r="AH74" s="31"/>
      <c r="AI74" s="32"/>
      <c r="AJ74" s="27"/>
      <c r="AK74" s="36"/>
      <c r="AL74" s="31"/>
      <c r="AM74" s="32"/>
      <c r="AN74" s="27"/>
      <c r="AO74" s="36"/>
      <c r="AP74" s="31"/>
      <c r="AQ74" s="32"/>
      <c r="AR74" s="27"/>
      <c r="AS74" s="36"/>
      <c r="AT74" s="37">
        <f t="shared" si="3"/>
        <v>143700</v>
      </c>
      <c r="AU74" s="38">
        <f t="shared" si="2"/>
        <v>44301</v>
      </c>
    </row>
    <row r="75" spans="2:47" s="39" customFormat="1" ht="22.5">
      <c r="B75" s="22">
        <v>62</v>
      </c>
      <c r="C75" s="22" t="s">
        <v>1226</v>
      </c>
      <c r="D75" s="292">
        <v>40000023</v>
      </c>
      <c r="E75" s="48" t="s">
        <v>1310</v>
      </c>
      <c r="F75" s="48" t="s">
        <v>317</v>
      </c>
      <c r="G75" s="26" t="s">
        <v>1224</v>
      </c>
      <c r="H75" s="73" t="s">
        <v>1225</v>
      </c>
      <c r="I75" s="49" t="s">
        <v>52</v>
      </c>
      <c r="J75" s="291">
        <v>298329</v>
      </c>
      <c r="K75" s="34">
        <v>180</v>
      </c>
      <c r="L75" s="34">
        <f t="shared" si="0"/>
        <v>298149</v>
      </c>
      <c r="M75" s="34">
        <v>0</v>
      </c>
      <c r="N75" s="34">
        <v>0</v>
      </c>
      <c r="O75" s="34">
        <v>0</v>
      </c>
      <c r="P75" s="34"/>
      <c r="Q75" s="34"/>
      <c r="R75" s="34">
        <v>11234</v>
      </c>
      <c r="S75" s="34">
        <v>25514</v>
      </c>
      <c r="T75" s="34">
        <v>31783</v>
      </c>
      <c r="U75" s="34">
        <v>63496</v>
      </c>
      <c r="V75" s="34"/>
      <c r="W75" s="34"/>
      <c r="X75" s="34"/>
      <c r="Y75" s="34">
        <f t="shared" si="4"/>
        <v>132027</v>
      </c>
      <c r="Z75" s="31">
        <v>242212</v>
      </c>
      <c r="AA75" s="32">
        <v>6</v>
      </c>
      <c r="AB75" s="33">
        <v>44215</v>
      </c>
      <c r="AC75" s="36">
        <v>44228</v>
      </c>
      <c r="AD75" s="31">
        <v>55937</v>
      </c>
      <c r="AE75" s="35">
        <v>57</v>
      </c>
      <c r="AF75" s="33">
        <v>44432</v>
      </c>
      <c r="AG75" s="36">
        <v>44438</v>
      </c>
      <c r="AH75" s="31"/>
      <c r="AI75" s="32"/>
      <c r="AJ75" s="27"/>
      <c r="AK75" s="36"/>
      <c r="AL75" s="31"/>
      <c r="AM75" s="32"/>
      <c r="AN75" s="27"/>
      <c r="AO75" s="36"/>
      <c r="AP75" s="31"/>
      <c r="AQ75" s="32"/>
      <c r="AR75" s="27"/>
      <c r="AS75" s="36"/>
      <c r="AT75" s="37">
        <f t="shared" si="3"/>
        <v>298149</v>
      </c>
      <c r="AU75" s="38">
        <f t="shared" si="2"/>
        <v>166122</v>
      </c>
    </row>
    <row r="76" spans="2:47" s="39" customFormat="1" ht="22.5">
      <c r="B76" s="22">
        <v>63</v>
      </c>
      <c r="C76" s="22" t="s">
        <v>1226</v>
      </c>
      <c r="D76" s="292">
        <v>40000846</v>
      </c>
      <c r="E76" s="48" t="s">
        <v>1311</v>
      </c>
      <c r="F76" s="48" t="s">
        <v>317</v>
      </c>
      <c r="G76" s="26" t="s">
        <v>1224</v>
      </c>
      <c r="H76" s="73" t="s">
        <v>1263</v>
      </c>
      <c r="I76" s="49" t="s">
        <v>44</v>
      </c>
      <c r="J76" s="291">
        <v>2515637</v>
      </c>
      <c r="K76" s="34">
        <v>2318462</v>
      </c>
      <c r="L76" s="34">
        <f t="shared" si="0"/>
        <v>197175</v>
      </c>
      <c r="M76" s="34">
        <v>0</v>
      </c>
      <c r="N76" s="34">
        <v>0</v>
      </c>
      <c r="O76" s="34">
        <v>0</v>
      </c>
      <c r="P76" s="34"/>
      <c r="Q76" s="34"/>
      <c r="R76" s="34">
        <v>165587</v>
      </c>
      <c r="S76" s="34"/>
      <c r="T76" s="34"/>
      <c r="U76" s="34"/>
      <c r="V76" s="34"/>
      <c r="W76" s="34"/>
      <c r="X76" s="34"/>
      <c r="Y76" s="34">
        <f t="shared" si="4"/>
        <v>165587</v>
      </c>
      <c r="Z76" s="31">
        <v>197175</v>
      </c>
      <c r="AA76" s="32">
        <v>6</v>
      </c>
      <c r="AB76" s="33">
        <v>44215</v>
      </c>
      <c r="AC76" s="36">
        <v>44228</v>
      </c>
      <c r="AD76" s="31"/>
      <c r="AE76" s="35"/>
      <c r="AF76" s="27"/>
      <c r="AG76" s="36"/>
      <c r="AH76" s="31"/>
      <c r="AI76" s="32"/>
      <c r="AJ76" s="27"/>
      <c r="AK76" s="36"/>
      <c r="AL76" s="31"/>
      <c r="AM76" s="32"/>
      <c r="AN76" s="27"/>
      <c r="AO76" s="36"/>
      <c r="AP76" s="31"/>
      <c r="AQ76" s="32"/>
      <c r="AR76" s="27"/>
      <c r="AS76" s="36"/>
      <c r="AT76" s="37">
        <f t="shared" si="3"/>
        <v>197175</v>
      </c>
      <c r="AU76" s="38">
        <f t="shared" si="2"/>
        <v>31588</v>
      </c>
    </row>
    <row r="77" spans="2:47" s="39" customFormat="1" ht="22.5">
      <c r="B77" s="22">
        <v>65</v>
      </c>
      <c r="C77" s="22" t="s">
        <v>1226</v>
      </c>
      <c r="D77" s="292">
        <v>40001995</v>
      </c>
      <c r="E77" s="48" t="s">
        <v>1312</v>
      </c>
      <c r="F77" s="48" t="s">
        <v>317</v>
      </c>
      <c r="G77" s="26" t="s">
        <v>1224</v>
      </c>
      <c r="H77" s="73" t="s">
        <v>1313</v>
      </c>
      <c r="I77" s="49" t="s">
        <v>44</v>
      </c>
      <c r="J77" s="291">
        <v>1411165</v>
      </c>
      <c r="K77" s="34">
        <v>1320408</v>
      </c>
      <c r="L77" s="34">
        <f t="shared" si="0"/>
        <v>90757</v>
      </c>
      <c r="M77" s="34">
        <v>0</v>
      </c>
      <c r="N77" s="34">
        <v>0</v>
      </c>
      <c r="O77" s="34">
        <v>0</v>
      </c>
      <c r="P77" s="34"/>
      <c r="Q77" s="34"/>
      <c r="R77" s="34"/>
      <c r="S77" s="34"/>
      <c r="T77" s="34"/>
      <c r="U77" s="34"/>
      <c r="V77" s="34"/>
      <c r="W77" s="34"/>
      <c r="X77" s="34"/>
      <c r="Y77" s="34">
        <f t="shared" ref="Y77:Y105" si="5">SUM(M77:X77)</f>
        <v>0</v>
      </c>
      <c r="Z77" s="31">
        <v>90757</v>
      </c>
      <c r="AA77" s="32">
        <v>6</v>
      </c>
      <c r="AB77" s="33">
        <v>44215</v>
      </c>
      <c r="AC77" s="36">
        <v>44228</v>
      </c>
      <c r="AD77" s="31"/>
      <c r="AE77" s="35"/>
      <c r="AF77" s="27"/>
      <c r="AG77" s="36"/>
      <c r="AH77" s="31"/>
      <c r="AI77" s="32"/>
      <c r="AJ77" s="27"/>
      <c r="AK77" s="36"/>
      <c r="AL77" s="31"/>
      <c r="AM77" s="32"/>
      <c r="AN77" s="27"/>
      <c r="AO77" s="36"/>
      <c r="AP77" s="31"/>
      <c r="AQ77" s="32"/>
      <c r="AR77" s="27"/>
      <c r="AS77" s="36"/>
      <c r="AT77" s="37">
        <f t="shared" si="3"/>
        <v>90757</v>
      </c>
      <c r="AU77" s="38">
        <f t="shared" si="2"/>
        <v>90757</v>
      </c>
    </row>
    <row r="78" spans="2:47" s="39" customFormat="1" ht="22.5">
      <c r="B78" s="22">
        <v>66</v>
      </c>
      <c r="C78" s="22" t="s">
        <v>1226</v>
      </c>
      <c r="D78" s="292">
        <v>40003115</v>
      </c>
      <c r="E78" s="48" t="s">
        <v>1314</v>
      </c>
      <c r="F78" s="48" t="s">
        <v>47</v>
      </c>
      <c r="G78" s="26" t="s">
        <v>1224</v>
      </c>
      <c r="H78" s="73" t="s">
        <v>1225</v>
      </c>
      <c r="I78" s="49" t="s">
        <v>52</v>
      </c>
      <c r="J78" s="291">
        <v>42647</v>
      </c>
      <c r="K78" s="34">
        <v>0</v>
      </c>
      <c r="L78" s="34">
        <f t="shared" si="0"/>
        <v>42647</v>
      </c>
      <c r="M78" s="34">
        <v>0</v>
      </c>
      <c r="N78" s="34">
        <v>0</v>
      </c>
      <c r="O78" s="34">
        <v>0</v>
      </c>
      <c r="P78" s="34"/>
      <c r="Q78" s="34"/>
      <c r="R78" s="34"/>
      <c r="S78" s="34"/>
      <c r="T78" s="34"/>
      <c r="U78" s="34"/>
      <c r="V78" s="34"/>
      <c r="W78" s="34"/>
      <c r="X78" s="34"/>
      <c r="Y78" s="34">
        <f t="shared" si="5"/>
        <v>0</v>
      </c>
      <c r="Z78" s="31">
        <v>2</v>
      </c>
      <c r="AA78" s="32">
        <v>6</v>
      </c>
      <c r="AB78" s="33">
        <v>44215</v>
      </c>
      <c r="AC78" s="36">
        <v>44228</v>
      </c>
      <c r="AD78" s="31"/>
      <c r="AE78" s="35"/>
      <c r="AF78" s="27"/>
      <c r="AG78" s="36"/>
      <c r="AH78" s="31"/>
      <c r="AI78" s="32"/>
      <c r="AJ78" s="27"/>
      <c r="AK78" s="36"/>
      <c r="AL78" s="31"/>
      <c r="AM78" s="32"/>
      <c r="AN78" s="27"/>
      <c r="AO78" s="36"/>
      <c r="AP78" s="31"/>
      <c r="AQ78" s="32"/>
      <c r="AR78" s="27"/>
      <c r="AS78" s="36"/>
      <c r="AT78" s="37">
        <f t="shared" si="3"/>
        <v>2</v>
      </c>
      <c r="AU78" s="38">
        <f t="shared" si="2"/>
        <v>2</v>
      </c>
    </row>
    <row r="79" spans="2:47" s="39" customFormat="1" ht="22.5">
      <c r="B79" s="22">
        <v>67</v>
      </c>
      <c r="C79" s="22" t="s">
        <v>1226</v>
      </c>
      <c r="D79" s="292">
        <v>40003271</v>
      </c>
      <c r="E79" s="48" t="s">
        <v>1315</v>
      </c>
      <c r="F79" s="48" t="s">
        <v>317</v>
      </c>
      <c r="G79" s="26" t="s">
        <v>1224</v>
      </c>
      <c r="H79" s="73" t="s">
        <v>1234</v>
      </c>
      <c r="I79" s="49" t="s">
        <v>44</v>
      </c>
      <c r="J79" s="291">
        <v>752239</v>
      </c>
      <c r="K79" s="34">
        <v>0</v>
      </c>
      <c r="L79" s="34">
        <f t="shared" si="0"/>
        <v>752239</v>
      </c>
      <c r="M79" s="34">
        <v>0</v>
      </c>
      <c r="N79" s="34">
        <v>0</v>
      </c>
      <c r="O79" s="34">
        <v>41736</v>
      </c>
      <c r="P79" s="34">
        <v>52235</v>
      </c>
      <c r="Q79" s="34">
        <v>62538</v>
      </c>
      <c r="R79" s="34">
        <v>69977</v>
      </c>
      <c r="S79" s="34">
        <v>42787</v>
      </c>
      <c r="T79" s="34">
        <v>41004</v>
      </c>
      <c r="U79" s="34">
        <v>25520</v>
      </c>
      <c r="V79" s="34"/>
      <c r="W79" s="34"/>
      <c r="X79" s="34"/>
      <c r="Y79" s="34">
        <f t="shared" si="5"/>
        <v>335797</v>
      </c>
      <c r="Z79" s="31">
        <v>752238</v>
      </c>
      <c r="AA79" s="32">
        <v>6</v>
      </c>
      <c r="AB79" s="33">
        <v>44215</v>
      </c>
      <c r="AC79" s="36">
        <v>44228</v>
      </c>
      <c r="AD79" s="31"/>
      <c r="AE79" s="35"/>
      <c r="AF79" s="27"/>
      <c r="AG79" s="36"/>
      <c r="AH79" s="31"/>
      <c r="AI79" s="32"/>
      <c r="AJ79" s="27"/>
      <c r="AK79" s="36"/>
      <c r="AL79" s="31"/>
      <c r="AM79" s="32"/>
      <c r="AN79" s="27"/>
      <c r="AO79" s="36"/>
      <c r="AP79" s="31"/>
      <c r="AQ79" s="32"/>
      <c r="AR79" s="27"/>
      <c r="AS79" s="36"/>
      <c r="AT79" s="37">
        <f t="shared" si="3"/>
        <v>752238</v>
      </c>
      <c r="AU79" s="38">
        <f t="shared" si="2"/>
        <v>416441</v>
      </c>
    </row>
    <row r="80" spans="2:47" s="39" customFormat="1" ht="22.5">
      <c r="B80" s="22">
        <v>68</v>
      </c>
      <c r="C80" s="22" t="s">
        <v>1226</v>
      </c>
      <c r="D80" s="292">
        <v>40004014</v>
      </c>
      <c r="E80" s="48" t="s">
        <v>1316</v>
      </c>
      <c r="F80" s="48" t="s">
        <v>317</v>
      </c>
      <c r="G80" s="26" t="s">
        <v>1224</v>
      </c>
      <c r="H80" s="73" t="s">
        <v>1228</v>
      </c>
      <c r="I80" s="49" t="s">
        <v>52</v>
      </c>
      <c r="J80" s="291">
        <v>284941</v>
      </c>
      <c r="K80" s="34">
        <v>0</v>
      </c>
      <c r="L80" s="34">
        <f t="shared" ref="L80:L123" si="6">J80-K80</f>
        <v>284941</v>
      </c>
      <c r="M80" s="34">
        <v>0</v>
      </c>
      <c r="N80" s="34">
        <v>0</v>
      </c>
      <c r="O80" s="34">
        <v>0</v>
      </c>
      <c r="P80" s="34">
        <v>21705</v>
      </c>
      <c r="Q80" s="34">
        <v>35949</v>
      </c>
      <c r="R80" s="34"/>
      <c r="S80" s="34">
        <v>32509</v>
      </c>
      <c r="T80" s="34">
        <v>1306</v>
      </c>
      <c r="U80" s="34">
        <v>0</v>
      </c>
      <c r="V80" s="34"/>
      <c r="W80" s="34"/>
      <c r="X80" s="34"/>
      <c r="Y80" s="34">
        <f t="shared" si="5"/>
        <v>91469</v>
      </c>
      <c r="Z80" s="31">
        <v>284941</v>
      </c>
      <c r="AA80" s="32">
        <v>6</v>
      </c>
      <c r="AB80" s="33">
        <v>44215</v>
      </c>
      <c r="AC80" s="36">
        <v>44228</v>
      </c>
      <c r="AD80" s="31"/>
      <c r="AE80" s="35"/>
      <c r="AF80" s="27"/>
      <c r="AG80" s="36"/>
      <c r="AH80" s="31"/>
      <c r="AI80" s="32"/>
      <c r="AJ80" s="27"/>
      <c r="AK80" s="36"/>
      <c r="AL80" s="31"/>
      <c r="AM80" s="32"/>
      <c r="AN80" s="27"/>
      <c r="AO80" s="36"/>
      <c r="AP80" s="31"/>
      <c r="AQ80" s="32"/>
      <c r="AR80" s="27"/>
      <c r="AS80" s="36"/>
      <c r="AT80" s="37">
        <f t="shared" si="3"/>
        <v>284941</v>
      </c>
      <c r="AU80" s="38">
        <f t="shared" ref="AU80:AU122" si="7">+AT80-Y80</f>
        <v>193472</v>
      </c>
    </row>
    <row r="81" spans="2:47" s="39" customFormat="1" ht="22.5">
      <c r="B81" s="22">
        <v>69</v>
      </c>
      <c r="C81" s="22" t="s">
        <v>1226</v>
      </c>
      <c r="D81" s="292">
        <v>40004565</v>
      </c>
      <c r="E81" s="48" t="s">
        <v>1317</v>
      </c>
      <c r="F81" s="48" t="s">
        <v>317</v>
      </c>
      <c r="G81" s="26" t="s">
        <v>1224</v>
      </c>
      <c r="H81" s="73" t="s">
        <v>1246</v>
      </c>
      <c r="I81" s="49" t="s">
        <v>44</v>
      </c>
      <c r="J81" s="291">
        <v>992125</v>
      </c>
      <c r="K81" s="34">
        <v>986559</v>
      </c>
      <c r="L81" s="34">
        <f t="shared" si="6"/>
        <v>5566</v>
      </c>
      <c r="M81" s="34">
        <v>0</v>
      </c>
      <c r="N81" s="34">
        <v>0</v>
      </c>
      <c r="O81" s="34">
        <v>0</v>
      </c>
      <c r="P81" s="34"/>
      <c r="Q81" s="34"/>
      <c r="R81" s="34"/>
      <c r="S81" s="34"/>
      <c r="T81" s="34"/>
      <c r="U81" s="34"/>
      <c r="V81" s="34"/>
      <c r="W81" s="34"/>
      <c r="X81" s="34"/>
      <c r="Y81" s="34">
        <f t="shared" si="5"/>
        <v>0</v>
      </c>
      <c r="Z81" s="31">
        <v>5566</v>
      </c>
      <c r="AA81" s="32">
        <v>6</v>
      </c>
      <c r="AB81" s="33">
        <v>44215</v>
      </c>
      <c r="AC81" s="36">
        <v>44228</v>
      </c>
      <c r="AD81" s="31"/>
      <c r="AE81" s="35"/>
      <c r="AF81" s="27"/>
      <c r="AG81" s="36"/>
      <c r="AH81" s="31"/>
      <c r="AI81" s="32"/>
      <c r="AJ81" s="27"/>
      <c r="AK81" s="36"/>
      <c r="AL81" s="31"/>
      <c r="AM81" s="32"/>
      <c r="AN81" s="27"/>
      <c r="AO81" s="36"/>
      <c r="AP81" s="31"/>
      <c r="AQ81" s="32"/>
      <c r="AR81" s="27"/>
      <c r="AS81" s="36"/>
      <c r="AT81" s="37">
        <f t="shared" ref="AT81:AT99" si="8">+Z81+AD81+AH81+AL81+AP81</f>
        <v>5566</v>
      </c>
      <c r="AU81" s="38">
        <f t="shared" si="7"/>
        <v>5566</v>
      </c>
    </row>
    <row r="82" spans="2:47" s="39" customFormat="1" ht="22.5">
      <c r="B82" s="22">
        <v>70</v>
      </c>
      <c r="C82" s="22" t="s">
        <v>1226</v>
      </c>
      <c r="D82" s="292">
        <v>40004640</v>
      </c>
      <c r="E82" s="48" t="s">
        <v>1318</v>
      </c>
      <c r="F82" s="48" t="s">
        <v>317</v>
      </c>
      <c r="G82" s="26" t="s">
        <v>1224</v>
      </c>
      <c r="H82" s="73" t="s">
        <v>1285</v>
      </c>
      <c r="I82" s="49" t="s">
        <v>44</v>
      </c>
      <c r="J82" s="291">
        <v>1312224</v>
      </c>
      <c r="K82" s="34">
        <v>37214</v>
      </c>
      <c r="L82" s="34">
        <f t="shared" si="6"/>
        <v>1275010</v>
      </c>
      <c r="M82" s="34">
        <v>0</v>
      </c>
      <c r="N82" s="34">
        <v>367576</v>
      </c>
      <c r="O82" s="34">
        <v>0</v>
      </c>
      <c r="P82" s="34">
        <v>502244</v>
      </c>
      <c r="Q82" s="34">
        <v>209564</v>
      </c>
      <c r="R82" s="34">
        <v>65245</v>
      </c>
      <c r="S82" s="34">
        <v>59651</v>
      </c>
      <c r="T82" s="34"/>
      <c r="U82" s="34"/>
      <c r="V82" s="34"/>
      <c r="W82" s="34"/>
      <c r="X82" s="34"/>
      <c r="Y82" s="34">
        <f t="shared" si="5"/>
        <v>1204280</v>
      </c>
      <c r="Z82" s="31">
        <v>1274011</v>
      </c>
      <c r="AA82" s="32">
        <v>6</v>
      </c>
      <c r="AB82" s="33">
        <v>44215</v>
      </c>
      <c r="AC82" s="36">
        <v>44228</v>
      </c>
      <c r="AD82" s="31"/>
      <c r="AE82" s="35"/>
      <c r="AF82" s="27"/>
      <c r="AG82" s="36"/>
      <c r="AH82" s="31"/>
      <c r="AI82" s="32"/>
      <c r="AJ82" s="27"/>
      <c r="AK82" s="36"/>
      <c r="AL82" s="31"/>
      <c r="AM82" s="32"/>
      <c r="AN82" s="27"/>
      <c r="AO82" s="36"/>
      <c r="AP82" s="31"/>
      <c r="AQ82" s="32"/>
      <c r="AR82" s="27"/>
      <c r="AS82" s="36"/>
      <c r="AT82" s="37">
        <f t="shared" si="8"/>
        <v>1274011</v>
      </c>
      <c r="AU82" s="38">
        <f t="shared" si="7"/>
        <v>69731</v>
      </c>
    </row>
    <row r="83" spans="2:47" s="39" customFormat="1" ht="22.5">
      <c r="B83" s="22">
        <v>71</v>
      </c>
      <c r="C83" s="22" t="s">
        <v>1226</v>
      </c>
      <c r="D83" s="292">
        <v>40006385</v>
      </c>
      <c r="E83" s="48" t="s">
        <v>1319</v>
      </c>
      <c r="F83" s="48" t="s">
        <v>317</v>
      </c>
      <c r="G83" s="26" t="s">
        <v>1224</v>
      </c>
      <c r="H83" s="73" t="s">
        <v>1228</v>
      </c>
      <c r="I83" s="49" t="s">
        <v>44</v>
      </c>
      <c r="J83" s="291">
        <v>418882</v>
      </c>
      <c r="K83" s="34">
        <v>125219</v>
      </c>
      <c r="L83" s="34">
        <f t="shared" si="6"/>
        <v>293663</v>
      </c>
      <c r="M83" s="34">
        <v>0</v>
      </c>
      <c r="N83" s="34">
        <v>0</v>
      </c>
      <c r="O83" s="34">
        <v>85882</v>
      </c>
      <c r="P83" s="34">
        <v>122326</v>
      </c>
      <c r="Q83" s="34">
        <v>46940</v>
      </c>
      <c r="R83" s="34">
        <v>0</v>
      </c>
      <c r="S83" s="34">
        <v>0</v>
      </c>
      <c r="T83" s="34">
        <v>1100</v>
      </c>
      <c r="U83" s="34">
        <v>0</v>
      </c>
      <c r="V83" s="34"/>
      <c r="W83" s="34"/>
      <c r="X83" s="34"/>
      <c r="Y83" s="34">
        <f t="shared" si="5"/>
        <v>256248</v>
      </c>
      <c r="Z83" s="31">
        <v>293664</v>
      </c>
      <c r="AA83" s="32">
        <v>6</v>
      </c>
      <c r="AB83" s="33">
        <v>44215</v>
      </c>
      <c r="AC83" s="36">
        <v>44228</v>
      </c>
      <c r="AD83" s="31">
        <v>1100</v>
      </c>
      <c r="AE83" s="35">
        <v>39</v>
      </c>
      <c r="AF83" s="33">
        <v>44364</v>
      </c>
      <c r="AG83" s="36">
        <v>44377</v>
      </c>
      <c r="AH83" s="31">
        <v>10217</v>
      </c>
      <c r="AI83" s="32">
        <v>57</v>
      </c>
      <c r="AJ83" s="33">
        <v>44432</v>
      </c>
      <c r="AK83" s="36">
        <v>44438</v>
      </c>
      <c r="AL83" s="31"/>
      <c r="AM83" s="32"/>
      <c r="AN83" s="27"/>
      <c r="AO83" s="36"/>
      <c r="AP83" s="31"/>
      <c r="AQ83" s="32"/>
      <c r="AR83" s="27"/>
      <c r="AS83" s="36"/>
      <c r="AT83" s="37">
        <f t="shared" si="8"/>
        <v>304981</v>
      </c>
      <c r="AU83" s="38">
        <f t="shared" si="7"/>
        <v>48733</v>
      </c>
    </row>
    <row r="84" spans="2:47" s="39" customFormat="1" ht="22.5">
      <c r="B84" s="22">
        <v>72</v>
      </c>
      <c r="C84" s="22" t="s">
        <v>1226</v>
      </c>
      <c r="D84" s="292">
        <v>40007542</v>
      </c>
      <c r="E84" s="48" t="s">
        <v>1320</v>
      </c>
      <c r="F84" s="48" t="s">
        <v>317</v>
      </c>
      <c r="G84" s="26" t="s">
        <v>1224</v>
      </c>
      <c r="H84" s="73" t="s">
        <v>1288</v>
      </c>
      <c r="I84" s="49" t="s">
        <v>44</v>
      </c>
      <c r="J84" s="291">
        <v>1309496</v>
      </c>
      <c r="K84" s="34">
        <v>1240389</v>
      </c>
      <c r="L84" s="34">
        <f t="shared" si="6"/>
        <v>69107</v>
      </c>
      <c r="M84" s="34">
        <v>0</v>
      </c>
      <c r="N84" s="34">
        <v>0</v>
      </c>
      <c r="O84" s="34">
        <v>0</v>
      </c>
      <c r="P84" s="34">
        <v>0</v>
      </c>
      <c r="Q84" s="34">
        <v>23747</v>
      </c>
      <c r="R84" s="34">
        <v>24378</v>
      </c>
      <c r="S84" s="34">
        <v>0</v>
      </c>
      <c r="T84" s="34">
        <v>28086</v>
      </c>
      <c r="U84" s="34">
        <v>0</v>
      </c>
      <c r="V84" s="34"/>
      <c r="W84" s="34"/>
      <c r="X84" s="34"/>
      <c r="Y84" s="34">
        <f t="shared" si="5"/>
        <v>76211</v>
      </c>
      <c r="Z84" s="31">
        <v>69108</v>
      </c>
      <c r="AA84" s="32">
        <v>6</v>
      </c>
      <c r="AB84" s="33">
        <v>44215</v>
      </c>
      <c r="AC84" s="36">
        <v>44228</v>
      </c>
      <c r="AD84" s="31">
        <v>7105</v>
      </c>
      <c r="AE84" s="35">
        <v>39</v>
      </c>
      <c r="AF84" s="33">
        <v>44364</v>
      </c>
      <c r="AG84" s="36">
        <v>44377</v>
      </c>
      <c r="AH84" s="31"/>
      <c r="AI84" s="32"/>
      <c r="AJ84" s="27"/>
      <c r="AK84" s="36"/>
      <c r="AL84" s="31"/>
      <c r="AM84" s="32"/>
      <c r="AN84" s="27"/>
      <c r="AO84" s="36"/>
      <c r="AP84" s="31"/>
      <c r="AQ84" s="32"/>
      <c r="AR84" s="27"/>
      <c r="AS84" s="36"/>
      <c r="AT84" s="37">
        <f t="shared" si="8"/>
        <v>76213</v>
      </c>
      <c r="AU84" s="38">
        <f t="shared" si="7"/>
        <v>2</v>
      </c>
    </row>
    <row r="85" spans="2:47" s="39" customFormat="1" ht="22.5">
      <c r="B85" s="22">
        <v>73</v>
      </c>
      <c r="C85" s="22" t="s">
        <v>1226</v>
      </c>
      <c r="D85" s="292">
        <v>40007652</v>
      </c>
      <c r="E85" s="48" t="s">
        <v>1321</v>
      </c>
      <c r="F85" s="48" t="s">
        <v>317</v>
      </c>
      <c r="G85" s="26" t="s">
        <v>1224</v>
      </c>
      <c r="H85" s="73" t="s">
        <v>1288</v>
      </c>
      <c r="I85" s="49" t="s">
        <v>52</v>
      </c>
      <c r="J85" s="291">
        <v>274558</v>
      </c>
      <c r="K85" s="34">
        <v>0</v>
      </c>
      <c r="L85" s="34">
        <f t="shared" si="6"/>
        <v>274558</v>
      </c>
      <c r="M85" s="34">
        <v>0</v>
      </c>
      <c r="N85" s="34">
        <v>0</v>
      </c>
      <c r="O85" s="34">
        <v>0</v>
      </c>
      <c r="P85" s="34"/>
      <c r="Q85" s="34"/>
      <c r="R85" s="34"/>
      <c r="S85" s="34"/>
      <c r="T85" s="34"/>
      <c r="U85" s="34"/>
      <c r="V85" s="34"/>
      <c r="W85" s="34"/>
      <c r="X85" s="34"/>
      <c r="Y85" s="34">
        <f t="shared" si="5"/>
        <v>0</v>
      </c>
      <c r="Z85" s="31">
        <v>501</v>
      </c>
      <c r="AA85" s="32">
        <v>6</v>
      </c>
      <c r="AB85" s="33">
        <v>44215</v>
      </c>
      <c r="AC85" s="36">
        <v>44228</v>
      </c>
      <c r="AD85" s="31"/>
      <c r="AE85" s="35"/>
      <c r="AF85" s="27"/>
      <c r="AG85" s="36"/>
      <c r="AH85" s="31"/>
      <c r="AI85" s="32"/>
      <c r="AJ85" s="27"/>
      <c r="AK85" s="36"/>
      <c r="AL85" s="31"/>
      <c r="AM85" s="32"/>
      <c r="AN85" s="27"/>
      <c r="AO85" s="36"/>
      <c r="AP85" s="31"/>
      <c r="AQ85" s="32"/>
      <c r="AR85" s="27"/>
      <c r="AS85" s="36"/>
      <c r="AT85" s="37">
        <f t="shared" si="8"/>
        <v>501</v>
      </c>
      <c r="AU85" s="38">
        <f t="shared" si="7"/>
        <v>501</v>
      </c>
    </row>
    <row r="86" spans="2:47" s="39" customFormat="1" ht="22.5">
      <c r="B86" s="22">
        <v>74</v>
      </c>
      <c r="C86" s="22" t="s">
        <v>1226</v>
      </c>
      <c r="D86" s="292">
        <v>40009262</v>
      </c>
      <c r="E86" s="48" t="s">
        <v>1322</v>
      </c>
      <c r="F86" s="48" t="s">
        <v>317</v>
      </c>
      <c r="G86" s="26" t="s">
        <v>1224</v>
      </c>
      <c r="H86" s="73" t="s">
        <v>1276</v>
      </c>
      <c r="I86" s="49" t="s">
        <v>44</v>
      </c>
      <c r="J86" s="291">
        <v>572999</v>
      </c>
      <c r="K86" s="34">
        <v>560782</v>
      </c>
      <c r="L86" s="34">
        <f t="shared" si="6"/>
        <v>12217</v>
      </c>
      <c r="M86" s="34">
        <v>0</v>
      </c>
      <c r="N86" s="34">
        <v>0</v>
      </c>
      <c r="O86" s="34">
        <v>0</v>
      </c>
      <c r="P86" s="34"/>
      <c r="Q86" s="34"/>
      <c r="R86" s="34"/>
      <c r="S86" s="34"/>
      <c r="T86" s="34"/>
      <c r="U86" s="34"/>
      <c r="V86" s="34"/>
      <c r="W86" s="34"/>
      <c r="X86" s="34"/>
      <c r="Y86" s="34">
        <f t="shared" si="5"/>
        <v>0</v>
      </c>
      <c r="Z86" s="31">
        <v>12217</v>
      </c>
      <c r="AA86" s="32">
        <v>6</v>
      </c>
      <c r="AB86" s="33">
        <v>44215</v>
      </c>
      <c r="AC86" s="36">
        <v>44228</v>
      </c>
      <c r="AD86" s="31"/>
      <c r="AE86" s="35"/>
      <c r="AF86" s="27"/>
      <c r="AG86" s="36"/>
      <c r="AH86" s="31"/>
      <c r="AI86" s="32"/>
      <c r="AJ86" s="27"/>
      <c r="AK86" s="36"/>
      <c r="AL86" s="31"/>
      <c r="AM86" s="32"/>
      <c r="AN86" s="27"/>
      <c r="AO86" s="36"/>
      <c r="AP86" s="31"/>
      <c r="AQ86" s="32"/>
      <c r="AR86" s="27"/>
      <c r="AS86" s="36"/>
      <c r="AT86" s="37">
        <f t="shared" si="8"/>
        <v>12217</v>
      </c>
      <c r="AU86" s="38">
        <f t="shared" si="7"/>
        <v>12217</v>
      </c>
    </row>
    <row r="87" spans="2:47" s="39" customFormat="1" ht="22.5">
      <c r="B87" s="22">
        <v>75</v>
      </c>
      <c r="C87" s="22" t="s">
        <v>1226</v>
      </c>
      <c r="D87" s="292">
        <v>40009326</v>
      </c>
      <c r="E87" s="48" t="s">
        <v>1323</v>
      </c>
      <c r="F87" s="48" t="s">
        <v>47</v>
      </c>
      <c r="G87" s="26" t="s">
        <v>1224</v>
      </c>
      <c r="H87" s="73" t="s">
        <v>1228</v>
      </c>
      <c r="I87" s="49" t="s">
        <v>52</v>
      </c>
      <c r="J87" s="291">
        <v>85105</v>
      </c>
      <c r="K87" s="34">
        <v>0</v>
      </c>
      <c r="L87" s="34">
        <f t="shared" si="6"/>
        <v>85105</v>
      </c>
      <c r="M87" s="34">
        <v>0</v>
      </c>
      <c r="N87" s="34">
        <v>0</v>
      </c>
      <c r="O87" s="34">
        <v>0</v>
      </c>
      <c r="P87" s="34"/>
      <c r="Q87" s="34"/>
      <c r="R87" s="34"/>
      <c r="S87" s="34"/>
      <c r="T87" s="34"/>
      <c r="U87" s="34"/>
      <c r="V87" s="34"/>
      <c r="W87" s="34"/>
      <c r="X87" s="34"/>
      <c r="Y87" s="34">
        <f t="shared" si="5"/>
        <v>0</v>
      </c>
      <c r="Z87" s="31">
        <v>944</v>
      </c>
      <c r="AA87" s="32">
        <v>6</v>
      </c>
      <c r="AB87" s="33">
        <v>44215</v>
      </c>
      <c r="AC87" s="36">
        <v>44228</v>
      </c>
      <c r="AD87" s="31"/>
      <c r="AE87" s="35"/>
      <c r="AF87" s="27"/>
      <c r="AG87" s="36"/>
      <c r="AH87" s="31"/>
      <c r="AI87" s="32"/>
      <c r="AJ87" s="27"/>
      <c r="AK87" s="36"/>
      <c r="AL87" s="31"/>
      <c r="AM87" s="32"/>
      <c r="AN87" s="27"/>
      <c r="AO87" s="36"/>
      <c r="AP87" s="31"/>
      <c r="AQ87" s="32"/>
      <c r="AR87" s="27"/>
      <c r="AS87" s="36"/>
      <c r="AT87" s="37">
        <f t="shared" si="8"/>
        <v>944</v>
      </c>
      <c r="AU87" s="38">
        <f t="shared" si="7"/>
        <v>944</v>
      </c>
    </row>
    <row r="88" spans="2:47" s="39" customFormat="1" ht="22.5">
      <c r="B88" s="22">
        <v>76</v>
      </c>
      <c r="C88" s="22" t="s">
        <v>1226</v>
      </c>
      <c r="D88" s="292">
        <v>40009501</v>
      </c>
      <c r="E88" s="48" t="s">
        <v>1324</v>
      </c>
      <c r="F88" s="48" t="s">
        <v>317</v>
      </c>
      <c r="G88" s="26" t="s">
        <v>1224</v>
      </c>
      <c r="H88" s="73" t="s">
        <v>1285</v>
      </c>
      <c r="I88" s="49" t="s">
        <v>44</v>
      </c>
      <c r="J88" s="291">
        <v>1430491</v>
      </c>
      <c r="K88" s="34">
        <v>1357902</v>
      </c>
      <c r="L88" s="34">
        <f t="shared" si="6"/>
        <v>72589</v>
      </c>
      <c r="M88" s="34">
        <v>0</v>
      </c>
      <c r="N88" s="34">
        <v>0</v>
      </c>
      <c r="O88" s="34">
        <v>64822</v>
      </c>
      <c r="P88" s="34"/>
      <c r="Q88" s="34"/>
      <c r="R88" s="34"/>
      <c r="S88" s="34"/>
      <c r="T88" s="34"/>
      <c r="U88" s="34"/>
      <c r="V88" s="34"/>
      <c r="W88" s="34"/>
      <c r="X88" s="34"/>
      <c r="Y88" s="34">
        <f t="shared" si="5"/>
        <v>64822</v>
      </c>
      <c r="Z88" s="31">
        <v>72589</v>
      </c>
      <c r="AA88" s="32">
        <v>6</v>
      </c>
      <c r="AB88" s="33">
        <v>44215</v>
      </c>
      <c r="AC88" s="36">
        <v>44228</v>
      </c>
      <c r="AD88" s="31"/>
      <c r="AE88" s="35"/>
      <c r="AF88" s="27"/>
      <c r="AG88" s="36"/>
      <c r="AH88" s="31"/>
      <c r="AI88" s="32"/>
      <c r="AJ88" s="27"/>
      <c r="AK88" s="36"/>
      <c r="AL88" s="31"/>
      <c r="AM88" s="32"/>
      <c r="AN88" s="27"/>
      <c r="AO88" s="36"/>
      <c r="AP88" s="31"/>
      <c r="AQ88" s="32"/>
      <c r="AR88" s="27"/>
      <c r="AS88" s="36"/>
      <c r="AT88" s="37">
        <f t="shared" si="8"/>
        <v>72589</v>
      </c>
      <c r="AU88" s="38">
        <f t="shared" si="7"/>
        <v>7767</v>
      </c>
    </row>
    <row r="89" spans="2:47" s="39" customFormat="1" ht="22.5">
      <c r="B89" s="22">
        <v>77</v>
      </c>
      <c r="C89" s="22" t="s">
        <v>1226</v>
      </c>
      <c r="D89" s="292">
        <v>40009593</v>
      </c>
      <c r="E89" s="48" t="s">
        <v>1325</v>
      </c>
      <c r="F89" s="48" t="s">
        <v>317</v>
      </c>
      <c r="G89" s="26" t="s">
        <v>1224</v>
      </c>
      <c r="H89" s="73" t="s">
        <v>1285</v>
      </c>
      <c r="I89" s="49" t="s">
        <v>44</v>
      </c>
      <c r="J89" s="291">
        <v>984876</v>
      </c>
      <c r="K89" s="34">
        <v>652490</v>
      </c>
      <c r="L89" s="34">
        <f t="shared" si="6"/>
        <v>332386</v>
      </c>
      <c r="M89" s="34">
        <v>0</v>
      </c>
      <c r="N89" s="34">
        <v>0</v>
      </c>
      <c r="O89" s="34">
        <v>182048</v>
      </c>
      <c r="P89" s="34">
        <v>77579</v>
      </c>
      <c r="Q89" s="34"/>
      <c r="R89" s="34"/>
      <c r="S89" s="34"/>
      <c r="T89" s="34"/>
      <c r="U89" s="34"/>
      <c r="V89" s="34"/>
      <c r="W89" s="34"/>
      <c r="X89" s="34"/>
      <c r="Y89" s="34">
        <f t="shared" si="5"/>
        <v>259627</v>
      </c>
      <c r="Z89" s="31">
        <v>332387</v>
      </c>
      <c r="AA89" s="32">
        <v>6</v>
      </c>
      <c r="AB89" s="33">
        <v>44215</v>
      </c>
      <c r="AC89" s="36">
        <v>44228</v>
      </c>
      <c r="AD89" s="31"/>
      <c r="AE89" s="35"/>
      <c r="AF89" s="27"/>
      <c r="AG89" s="36"/>
      <c r="AH89" s="31"/>
      <c r="AI89" s="32"/>
      <c r="AJ89" s="27"/>
      <c r="AK89" s="36"/>
      <c r="AL89" s="31"/>
      <c r="AM89" s="32"/>
      <c r="AN89" s="27"/>
      <c r="AO89" s="36"/>
      <c r="AP89" s="31"/>
      <c r="AQ89" s="32"/>
      <c r="AR89" s="27"/>
      <c r="AS89" s="36"/>
      <c r="AT89" s="37">
        <f t="shared" si="8"/>
        <v>332387</v>
      </c>
      <c r="AU89" s="38">
        <f t="shared" si="7"/>
        <v>72760</v>
      </c>
    </row>
    <row r="90" spans="2:47" s="39" customFormat="1" ht="22.5">
      <c r="B90" s="22">
        <v>78</v>
      </c>
      <c r="C90" s="22" t="s">
        <v>1226</v>
      </c>
      <c r="D90" s="292">
        <v>40010601</v>
      </c>
      <c r="E90" s="48" t="s">
        <v>1326</v>
      </c>
      <c r="F90" s="48" t="s">
        <v>317</v>
      </c>
      <c r="G90" s="26" t="s">
        <v>1224</v>
      </c>
      <c r="H90" s="73" t="s">
        <v>1288</v>
      </c>
      <c r="I90" s="49" t="s">
        <v>52</v>
      </c>
      <c r="J90" s="291">
        <v>117611</v>
      </c>
      <c r="K90" s="34">
        <v>0</v>
      </c>
      <c r="L90" s="34">
        <f t="shared" si="6"/>
        <v>117611</v>
      </c>
      <c r="M90" s="34">
        <v>0</v>
      </c>
      <c r="N90" s="34">
        <v>0</v>
      </c>
      <c r="O90" s="34">
        <v>0</v>
      </c>
      <c r="P90" s="34"/>
      <c r="Q90" s="34"/>
      <c r="R90" s="34"/>
      <c r="S90" s="34"/>
      <c r="T90" s="34"/>
      <c r="U90" s="34"/>
      <c r="V90" s="34"/>
      <c r="W90" s="34"/>
      <c r="X90" s="34"/>
      <c r="Y90" s="34">
        <f t="shared" si="5"/>
        <v>0</v>
      </c>
      <c r="Z90" s="31">
        <v>117611</v>
      </c>
      <c r="AA90" s="32">
        <v>6</v>
      </c>
      <c r="AB90" s="33">
        <v>44215</v>
      </c>
      <c r="AC90" s="36">
        <v>44228</v>
      </c>
      <c r="AD90" s="31"/>
      <c r="AE90" s="35"/>
      <c r="AF90" s="27"/>
      <c r="AG90" s="36"/>
      <c r="AH90" s="31"/>
      <c r="AI90" s="32"/>
      <c r="AJ90" s="27"/>
      <c r="AK90" s="36"/>
      <c r="AL90" s="31"/>
      <c r="AM90" s="32"/>
      <c r="AN90" s="27"/>
      <c r="AO90" s="36"/>
      <c r="AP90" s="31"/>
      <c r="AQ90" s="32"/>
      <c r="AR90" s="27"/>
      <c r="AS90" s="36"/>
      <c r="AT90" s="37">
        <f t="shared" si="8"/>
        <v>117611</v>
      </c>
      <c r="AU90" s="38">
        <f t="shared" si="7"/>
        <v>117611</v>
      </c>
    </row>
    <row r="91" spans="2:47" s="39" customFormat="1" ht="22.5">
      <c r="B91" s="22">
        <v>79</v>
      </c>
      <c r="C91" s="22" t="s">
        <v>1226</v>
      </c>
      <c r="D91" s="292">
        <v>40010956</v>
      </c>
      <c r="E91" s="48" t="s">
        <v>1327</v>
      </c>
      <c r="F91" s="48" t="s">
        <v>317</v>
      </c>
      <c r="G91" s="26" t="s">
        <v>1224</v>
      </c>
      <c r="H91" s="73" t="s">
        <v>1267</v>
      </c>
      <c r="I91" s="49" t="s">
        <v>52</v>
      </c>
      <c r="J91" s="291">
        <v>802821</v>
      </c>
      <c r="K91" s="34">
        <v>0</v>
      </c>
      <c r="L91" s="34">
        <f t="shared" si="6"/>
        <v>802821</v>
      </c>
      <c r="M91" s="34">
        <v>0</v>
      </c>
      <c r="N91" s="34">
        <v>0</v>
      </c>
      <c r="O91" s="34">
        <v>0</v>
      </c>
      <c r="P91" s="34"/>
      <c r="Q91" s="34"/>
      <c r="R91" s="34"/>
      <c r="S91" s="34"/>
      <c r="T91" s="34"/>
      <c r="U91" s="34"/>
      <c r="V91" s="34"/>
      <c r="W91" s="34"/>
      <c r="X91" s="34"/>
      <c r="Y91" s="34">
        <f t="shared" si="5"/>
        <v>0</v>
      </c>
      <c r="Z91" s="31">
        <v>2</v>
      </c>
      <c r="AA91" s="32">
        <v>6</v>
      </c>
      <c r="AB91" s="33">
        <v>44215</v>
      </c>
      <c r="AC91" s="36">
        <v>44228</v>
      </c>
      <c r="AD91" s="31">
        <v>999</v>
      </c>
      <c r="AE91" s="35">
        <v>57</v>
      </c>
      <c r="AF91" s="33">
        <v>44432</v>
      </c>
      <c r="AG91" s="36">
        <v>44438</v>
      </c>
      <c r="AH91" s="31"/>
      <c r="AI91" s="32"/>
      <c r="AJ91" s="27"/>
      <c r="AK91" s="36"/>
      <c r="AL91" s="31"/>
      <c r="AM91" s="32"/>
      <c r="AN91" s="27"/>
      <c r="AO91" s="36"/>
      <c r="AP91" s="31"/>
      <c r="AQ91" s="32"/>
      <c r="AR91" s="27"/>
      <c r="AS91" s="36"/>
      <c r="AT91" s="37">
        <f t="shared" si="8"/>
        <v>1001</v>
      </c>
      <c r="AU91" s="38">
        <f t="shared" si="7"/>
        <v>1001</v>
      </c>
    </row>
    <row r="92" spans="2:47" s="39" customFormat="1" ht="33.75">
      <c r="B92" s="22">
        <v>80</v>
      </c>
      <c r="C92" s="22" t="s">
        <v>1226</v>
      </c>
      <c r="D92" s="292">
        <v>40011115</v>
      </c>
      <c r="E92" s="48" t="s">
        <v>1328</v>
      </c>
      <c r="F92" s="48" t="s">
        <v>317</v>
      </c>
      <c r="G92" s="26" t="s">
        <v>1224</v>
      </c>
      <c r="H92" s="73" t="s">
        <v>150</v>
      </c>
      <c r="I92" s="49" t="s">
        <v>52</v>
      </c>
      <c r="J92" s="291">
        <v>2423250</v>
      </c>
      <c r="K92" s="34">
        <v>0</v>
      </c>
      <c r="L92" s="34">
        <f t="shared" si="6"/>
        <v>2423250</v>
      </c>
      <c r="M92" s="34">
        <v>0</v>
      </c>
      <c r="N92" s="34">
        <v>0</v>
      </c>
      <c r="O92" s="34">
        <v>0</v>
      </c>
      <c r="P92" s="34"/>
      <c r="Q92" s="34"/>
      <c r="R92" s="34"/>
      <c r="S92" s="34"/>
      <c r="T92" s="34"/>
      <c r="U92" s="34"/>
      <c r="V92" s="34"/>
      <c r="W92" s="34"/>
      <c r="X92" s="34"/>
      <c r="Y92" s="34">
        <f t="shared" si="5"/>
        <v>0</v>
      </c>
      <c r="Z92" s="31">
        <v>4845</v>
      </c>
      <c r="AA92" s="32">
        <v>6</v>
      </c>
      <c r="AB92" s="33">
        <v>44215</v>
      </c>
      <c r="AC92" s="36">
        <v>44228</v>
      </c>
      <c r="AD92" s="31"/>
      <c r="AE92" s="35"/>
      <c r="AF92" s="27"/>
      <c r="AG92" s="36"/>
      <c r="AH92" s="31"/>
      <c r="AI92" s="32"/>
      <c r="AJ92" s="27"/>
      <c r="AK92" s="36"/>
      <c r="AL92" s="31"/>
      <c r="AM92" s="32"/>
      <c r="AN92" s="27"/>
      <c r="AO92" s="36"/>
      <c r="AP92" s="31"/>
      <c r="AQ92" s="32"/>
      <c r="AR92" s="27"/>
      <c r="AS92" s="36"/>
      <c r="AT92" s="37">
        <f t="shared" si="8"/>
        <v>4845</v>
      </c>
      <c r="AU92" s="38">
        <f t="shared" si="7"/>
        <v>4845</v>
      </c>
    </row>
    <row r="93" spans="2:47" s="39" customFormat="1" ht="22.5">
      <c r="B93" s="22">
        <v>81</v>
      </c>
      <c r="C93" s="22" t="s">
        <v>1226</v>
      </c>
      <c r="D93" s="292">
        <v>40011749</v>
      </c>
      <c r="E93" s="48" t="s">
        <v>1329</v>
      </c>
      <c r="F93" s="48" t="s">
        <v>317</v>
      </c>
      <c r="G93" s="26" t="s">
        <v>1224</v>
      </c>
      <c r="H93" s="73" t="s">
        <v>1225</v>
      </c>
      <c r="I93" s="49" t="s">
        <v>44</v>
      </c>
      <c r="J93" s="291">
        <v>317714</v>
      </c>
      <c r="K93" s="34">
        <v>0</v>
      </c>
      <c r="L93" s="34">
        <f t="shared" si="6"/>
        <v>317714</v>
      </c>
      <c r="M93" s="34">
        <v>0</v>
      </c>
      <c r="N93" s="34">
        <v>0</v>
      </c>
      <c r="O93" s="34">
        <v>0</v>
      </c>
      <c r="P93" s="34"/>
      <c r="Q93" s="34">
        <v>125631</v>
      </c>
      <c r="R93" s="34">
        <v>99652</v>
      </c>
      <c r="S93" s="34"/>
      <c r="T93" s="34"/>
      <c r="U93" s="34"/>
      <c r="V93" s="34"/>
      <c r="W93" s="34"/>
      <c r="X93" s="34"/>
      <c r="Y93" s="34">
        <f t="shared" si="5"/>
        <v>225283</v>
      </c>
      <c r="Z93" s="31">
        <v>317714</v>
      </c>
      <c r="AA93" s="32">
        <v>6</v>
      </c>
      <c r="AB93" s="33">
        <v>44215</v>
      </c>
      <c r="AC93" s="36">
        <v>44228</v>
      </c>
      <c r="AD93" s="31"/>
      <c r="AE93" s="35"/>
      <c r="AF93" s="27"/>
      <c r="AG93" s="36"/>
      <c r="AH93" s="31"/>
      <c r="AI93" s="32"/>
      <c r="AJ93" s="27"/>
      <c r="AK93" s="36"/>
      <c r="AL93" s="31"/>
      <c r="AM93" s="32"/>
      <c r="AN93" s="27"/>
      <c r="AO93" s="36"/>
      <c r="AP93" s="31"/>
      <c r="AQ93" s="32"/>
      <c r="AR93" s="27"/>
      <c r="AS93" s="36"/>
      <c r="AT93" s="37">
        <f t="shared" si="8"/>
        <v>317714</v>
      </c>
      <c r="AU93" s="38">
        <f t="shared" si="7"/>
        <v>92431</v>
      </c>
    </row>
    <row r="94" spans="2:47" s="39" customFormat="1" ht="22.5">
      <c r="B94" s="22">
        <v>82</v>
      </c>
      <c r="C94" s="22" t="s">
        <v>1226</v>
      </c>
      <c r="D94" s="292">
        <v>40013084</v>
      </c>
      <c r="E94" s="48" t="s">
        <v>1330</v>
      </c>
      <c r="F94" s="48" t="s">
        <v>317</v>
      </c>
      <c r="G94" s="26" t="s">
        <v>1224</v>
      </c>
      <c r="H94" s="73" t="s">
        <v>1228</v>
      </c>
      <c r="I94" s="49" t="s">
        <v>44</v>
      </c>
      <c r="J94" s="291">
        <v>1032801</v>
      </c>
      <c r="K94" s="34">
        <v>151442</v>
      </c>
      <c r="L94" s="34">
        <f t="shared" si="6"/>
        <v>881359</v>
      </c>
      <c r="M94" s="34">
        <v>0</v>
      </c>
      <c r="N94" s="34">
        <v>146006</v>
      </c>
      <c r="O94" s="34">
        <v>0</v>
      </c>
      <c r="P94" s="34">
        <v>66553</v>
      </c>
      <c r="Q94" s="34">
        <v>105740</v>
      </c>
      <c r="R94" s="34">
        <v>34975</v>
      </c>
      <c r="S94" s="34">
        <v>65138</v>
      </c>
      <c r="T94" s="34">
        <v>25335</v>
      </c>
      <c r="U94" s="34">
        <v>0</v>
      </c>
      <c r="V94" s="34"/>
      <c r="W94" s="34"/>
      <c r="X94" s="34"/>
      <c r="Y94" s="34">
        <f t="shared" si="5"/>
        <v>443747</v>
      </c>
      <c r="Z94" s="31">
        <v>881360</v>
      </c>
      <c r="AA94" s="32">
        <v>6</v>
      </c>
      <c r="AB94" s="33">
        <v>44215</v>
      </c>
      <c r="AC94" s="36">
        <v>44228</v>
      </c>
      <c r="AD94" s="31"/>
      <c r="AE94" s="35"/>
      <c r="AF94" s="27"/>
      <c r="AG94" s="36"/>
      <c r="AH94" s="31"/>
      <c r="AI94" s="32"/>
      <c r="AJ94" s="27"/>
      <c r="AK94" s="36"/>
      <c r="AL94" s="31"/>
      <c r="AM94" s="32"/>
      <c r="AN94" s="27"/>
      <c r="AO94" s="36"/>
      <c r="AP94" s="31"/>
      <c r="AQ94" s="32"/>
      <c r="AR94" s="27"/>
      <c r="AS94" s="36"/>
      <c r="AT94" s="37">
        <f t="shared" si="8"/>
        <v>881360</v>
      </c>
      <c r="AU94" s="38">
        <f t="shared" si="7"/>
        <v>437613</v>
      </c>
    </row>
    <row r="95" spans="2:47" s="39" customFormat="1" ht="22.5">
      <c r="B95" s="22">
        <v>83</v>
      </c>
      <c r="C95" s="22" t="s">
        <v>1226</v>
      </c>
      <c r="D95" s="292">
        <v>40013605</v>
      </c>
      <c r="E95" s="48" t="s">
        <v>1331</v>
      </c>
      <c r="F95" s="48" t="s">
        <v>317</v>
      </c>
      <c r="G95" s="26" t="s">
        <v>1224</v>
      </c>
      <c r="H95" s="73" t="s">
        <v>1263</v>
      </c>
      <c r="I95" s="49" t="s">
        <v>52</v>
      </c>
      <c r="J95" s="291">
        <v>324249</v>
      </c>
      <c r="K95" s="34">
        <v>0</v>
      </c>
      <c r="L95" s="34">
        <f t="shared" si="6"/>
        <v>324249</v>
      </c>
      <c r="M95" s="34">
        <v>0</v>
      </c>
      <c r="N95" s="34">
        <v>0</v>
      </c>
      <c r="O95" s="34">
        <v>1186</v>
      </c>
      <c r="P95" s="34"/>
      <c r="Q95" s="34"/>
      <c r="R95" s="34"/>
      <c r="S95" s="34"/>
      <c r="T95" s="34"/>
      <c r="U95" s="34"/>
      <c r="V95" s="34"/>
      <c r="W95" s="34"/>
      <c r="X95" s="34"/>
      <c r="Y95" s="34">
        <f t="shared" si="5"/>
        <v>1186</v>
      </c>
      <c r="Z95" s="31">
        <v>324249</v>
      </c>
      <c r="AA95" s="32">
        <v>6</v>
      </c>
      <c r="AB95" s="33">
        <v>44215</v>
      </c>
      <c r="AC95" s="36">
        <v>44228</v>
      </c>
      <c r="AD95" s="31"/>
      <c r="AE95" s="35"/>
      <c r="AF95" s="27"/>
      <c r="AG95" s="36"/>
      <c r="AH95" s="31"/>
      <c r="AI95" s="32"/>
      <c r="AJ95" s="27"/>
      <c r="AK95" s="36"/>
      <c r="AL95" s="31"/>
      <c r="AM95" s="32"/>
      <c r="AN95" s="27"/>
      <c r="AO95" s="36"/>
      <c r="AP95" s="31"/>
      <c r="AQ95" s="32"/>
      <c r="AR95" s="27"/>
      <c r="AS95" s="36"/>
      <c r="AT95" s="37">
        <f t="shared" si="8"/>
        <v>324249</v>
      </c>
      <c r="AU95" s="38">
        <f t="shared" si="7"/>
        <v>323063</v>
      </c>
    </row>
    <row r="96" spans="2:47" s="39" customFormat="1" ht="22.5">
      <c r="B96" s="22">
        <v>84</v>
      </c>
      <c r="C96" s="22" t="s">
        <v>1226</v>
      </c>
      <c r="D96" s="292">
        <v>40015283</v>
      </c>
      <c r="E96" s="48" t="s">
        <v>1332</v>
      </c>
      <c r="F96" s="48" t="s">
        <v>317</v>
      </c>
      <c r="G96" s="26" t="s">
        <v>1224</v>
      </c>
      <c r="H96" s="73" t="s">
        <v>1228</v>
      </c>
      <c r="I96" s="49" t="s">
        <v>44</v>
      </c>
      <c r="J96" s="291">
        <v>559996</v>
      </c>
      <c r="K96" s="34">
        <v>0</v>
      </c>
      <c r="L96" s="34">
        <f t="shared" si="6"/>
        <v>559996</v>
      </c>
      <c r="M96" s="34">
        <v>0</v>
      </c>
      <c r="N96" s="34">
        <v>0</v>
      </c>
      <c r="O96" s="34">
        <v>117853</v>
      </c>
      <c r="P96" s="34">
        <v>134591</v>
      </c>
      <c r="Q96" s="34">
        <v>92092</v>
      </c>
      <c r="R96" s="34">
        <v>133598</v>
      </c>
      <c r="S96" s="34">
        <v>67992</v>
      </c>
      <c r="T96" s="34"/>
      <c r="U96" s="34"/>
      <c r="V96" s="34"/>
      <c r="W96" s="34"/>
      <c r="X96" s="34"/>
      <c r="Y96" s="34">
        <f t="shared" si="5"/>
        <v>546126</v>
      </c>
      <c r="Z96" s="31">
        <v>559996</v>
      </c>
      <c r="AA96" s="32">
        <v>6</v>
      </c>
      <c r="AB96" s="33">
        <v>44215</v>
      </c>
      <c r="AC96" s="36">
        <v>44228</v>
      </c>
      <c r="AD96" s="31">
        <v>15956</v>
      </c>
      <c r="AE96" s="35">
        <v>57</v>
      </c>
      <c r="AF96" s="33">
        <v>44432</v>
      </c>
      <c r="AG96" s="36">
        <v>44438</v>
      </c>
      <c r="AH96" s="31"/>
      <c r="AI96" s="32"/>
      <c r="AJ96" s="27"/>
      <c r="AK96" s="36"/>
      <c r="AL96" s="31"/>
      <c r="AM96" s="32"/>
      <c r="AN96" s="27"/>
      <c r="AO96" s="36"/>
      <c r="AP96" s="31"/>
      <c r="AQ96" s="32"/>
      <c r="AR96" s="27"/>
      <c r="AS96" s="36"/>
      <c r="AT96" s="37">
        <f t="shared" si="8"/>
        <v>575952</v>
      </c>
      <c r="AU96" s="38">
        <f t="shared" si="7"/>
        <v>29826</v>
      </c>
    </row>
    <row r="97" spans="2:47" s="39" customFormat="1" ht="22.5">
      <c r="B97" s="22">
        <v>85</v>
      </c>
      <c r="C97" s="22" t="s">
        <v>1226</v>
      </c>
      <c r="D97" s="292">
        <v>40015322</v>
      </c>
      <c r="E97" s="48" t="s">
        <v>1333</v>
      </c>
      <c r="F97" s="48" t="s">
        <v>317</v>
      </c>
      <c r="G97" s="26" t="s">
        <v>1224</v>
      </c>
      <c r="H97" s="73" t="s">
        <v>1334</v>
      </c>
      <c r="I97" s="49" t="s">
        <v>52</v>
      </c>
      <c r="J97" s="291">
        <v>185390</v>
      </c>
      <c r="K97" s="34">
        <v>0</v>
      </c>
      <c r="L97" s="34">
        <f t="shared" si="6"/>
        <v>185390</v>
      </c>
      <c r="M97" s="34">
        <v>0</v>
      </c>
      <c r="N97" s="34">
        <v>0</v>
      </c>
      <c r="O97" s="34">
        <v>0</v>
      </c>
      <c r="P97" s="34">
        <v>175902</v>
      </c>
      <c r="Q97" s="34"/>
      <c r="R97" s="34"/>
      <c r="S97" s="34">
        <v>9487</v>
      </c>
      <c r="T97" s="34">
        <v>0</v>
      </c>
      <c r="U97" s="34">
        <v>0</v>
      </c>
      <c r="V97" s="34"/>
      <c r="W97" s="34"/>
      <c r="X97" s="34"/>
      <c r="Y97" s="34">
        <f t="shared" si="5"/>
        <v>185389</v>
      </c>
      <c r="Z97" s="31">
        <v>185390</v>
      </c>
      <c r="AA97" s="32">
        <v>6</v>
      </c>
      <c r="AB97" s="33">
        <v>44215</v>
      </c>
      <c r="AC97" s="36">
        <v>44228</v>
      </c>
      <c r="AD97" s="31"/>
      <c r="AE97" s="35"/>
      <c r="AF97" s="27"/>
      <c r="AG97" s="36"/>
      <c r="AH97" s="31"/>
      <c r="AI97" s="32"/>
      <c r="AJ97" s="27"/>
      <c r="AK97" s="36"/>
      <c r="AL97" s="31"/>
      <c r="AM97" s="32"/>
      <c r="AN97" s="27"/>
      <c r="AO97" s="36"/>
      <c r="AP97" s="31"/>
      <c r="AQ97" s="32"/>
      <c r="AR97" s="27"/>
      <c r="AS97" s="36"/>
      <c r="AT97" s="37">
        <f t="shared" si="8"/>
        <v>185390</v>
      </c>
      <c r="AU97" s="38">
        <f t="shared" si="7"/>
        <v>1</v>
      </c>
    </row>
    <row r="98" spans="2:47" s="39" customFormat="1" ht="22.5">
      <c r="B98" s="22">
        <v>86</v>
      </c>
      <c r="C98" s="22" t="s">
        <v>1226</v>
      </c>
      <c r="D98" s="292">
        <v>40016154</v>
      </c>
      <c r="E98" s="48" t="s">
        <v>1335</v>
      </c>
      <c r="F98" s="48" t="s">
        <v>317</v>
      </c>
      <c r="G98" s="26" t="s">
        <v>1224</v>
      </c>
      <c r="H98" s="73" t="s">
        <v>1334</v>
      </c>
      <c r="I98" s="49" t="s">
        <v>52</v>
      </c>
      <c r="J98" s="291">
        <v>510330</v>
      </c>
      <c r="K98" s="34">
        <v>0</v>
      </c>
      <c r="L98" s="34">
        <f t="shared" si="6"/>
        <v>510330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75345</v>
      </c>
      <c r="S98" s="34">
        <v>97432</v>
      </c>
      <c r="T98" s="34">
        <v>114812</v>
      </c>
      <c r="U98" s="34">
        <v>100041</v>
      </c>
      <c r="V98" s="34"/>
      <c r="W98" s="34"/>
      <c r="X98" s="34"/>
      <c r="Y98" s="34">
        <f t="shared" si="5"/>
        <v>387630</v>
      </c>
      <c r="Z98" s="31">
        <v>2</v>
      </c>
      <c r="AA98" s="32">
        <v>6</v>
      </c>
      <c r="AB98" s="33">
        <v>44215</v>
      </c>
      <c r="AC98" s="36">
        <v>44228</v>
      </c>
      <c r="AD98" s="31">
        <v>506298</v>
      </c>
      <c r="AE98" s="35">
        <v>39</v>
      </c>
      <c r="AF98" s="33">
        <v>44364</v>
      </c>
      <c r="AG98" s="36">
        <v>44377</v>
      </c>
      <c r="AH98" s="31"/>
      <c r="AI98" s="32"/>
      <c r="AJ98" s="27"/>
      <c r="AK98" s="36"/>
      <c r="AL98" s="31"/>
      <c r="AM98" s="32"/>
      <c r="AN98" s="27"/>
      <c r="AO98" s="36"/>
      <c r="AP98" s="31"/>
      <c r="AQ98" s="32"/>
      <c r="AR98" s="27"/>
      <c r="AS98" s="36"/>
      <c r="AT98" s="37">
        <f t="shared" si="8"/>
        <v>506300</v>
      </c>
      <c r="AU98" s="38">
        <f t="shared" si="7"/>
        <v>118670</v>
      </c>
    </row>
    <row r="99" spans="2:47" s="39" customFormat="1" ht="22.5">
      <c r="B99" s="22">
        <v>87</v>
      </c>
      <c r="C99" s="22" t="s">
        <v>1226</v>
      </c>
      <c r="D99" s="292">
        <v>40016375</v>
      </c>
      <c r="E99" s="48" t="s">
        <v>1336</v>
      </c>
      <c r="F99" s="48" t="s">
        <v>317</v>
      </c>
      <c r="G99" s="26" t="s">
        <v>1224</v>
      </c>
      <c r="H99" s="73" t="s">
        <v>1232</v>
      </c>
      <c r="I99" s="49" t="s">
        <v>44</v>
      </c>
      <c r="J99" s="291">
        <v>2570975</v>
      </c>
      <c r="K99" s="34">
        <v>2317779</v>
      </c>
      <c r="L99" s="34">
        <f t="shared" si="6"/>
        <v>253196</v>
      </c>
      <c r="M99" s="34">
        <v>0</v>
      </c>
      <c r="N99" s="34">
        <v>206084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>
        <f t="shared" si="5"/>
        <v>206084</v>
      </c>
      <c r="Z99" s="31">
        <v>253198</v>
      </c>
      <c r="AA99" s="32">
        <v>6</v>
      </c>
      <c r="AB99" s="33">
        <v>44215</v>
      </c>
      <c r="AC99" s="36">
        <v>44228</v>
      </c>
      <c r="AD99" s="31">
        <v>-3715</v>
      </c>
      <c r="AE99" s="35">
        <v>39</v>
      </c>
      <c r="AF99" s="33">
        <v>44364</v>
      </c>
      <c r="AG99" s="36">
        <v>44377</v>
      </c>
      <c r="AH99" s="31"/>
      <c r="AI99" s="32"/>
      <c r="AJ99" s="27"/>
      <c r="AK99" s="36"/>
      <c r="AL99" s="31"/>
      <c r="AM99" s="32"/>
      <c r="AN99" s="27"/>
      <c r="AO99" s="36"/>
      <c r="AP99" s="31"/>
      <c r="AQ99" s="32"/>
      <c r="AR99" s="27"/>
      <c r="AS99" s="36"/>
      <c r="AT99" s="37">
        <f t="shared" si="8"/>
        <v>249483</v>
      </c>
      <c r="AU99" s="38">
        <f t="shared" si="7"/>
        <v>43399</v>
      </c>
    </row>
    <row r="100" spans="2:47" s="39" customFormat="1" ht="22.5">
      <c r="B100" s="22">
        <v>88</v>
      </c>
      <c r="C100" s="22" t="s">
        <v>1226</v>
      </c>
      <c r="D100" s="292">
        <v>40016742</v>
      </c>
      <c r="E100" s="48" t="s">
        <v>1337</v>
      </c>
      <c r="F100" s="48" t="s">
        <v>317</v>
      </c>
      <c r="G100" s="26" t="s">
        <v>1224</v>
      </c>
      <c r="H100" s="73" t="s">
        <v>1251</v>
      </c>
      <c r="I100" s="49" t="s">
        <v>52</v>
      </c>
      <c r="J100" s="291">
        <v>166443</v>
      </c>
      <c r="K100" s="34">
        <v>0</v>
      </c>
      <c r="L100" s="34">
        <f t="shared" si="6"/>
        <v>166443</v>
      </c>
      <c r="M100" s="34">
        <v>0</v>
      </c>
      <c r="N100" s="34">
        <v>0</v>
      </c>
      <c r="O100" s="34">
        <v>0</v>
      </c>
      <c r="P100" s="34"/>
      <c r="Q100" s="34"/>
      <c r="R100" s="34"/>
      <c r="S100" s="34"/>
      <c r="T100" s="34"/>
      <c r="U100" s="34"/>
      <c r="V100" s="34"/>
      <c r="W100" s="34"/>
      <c r="X100" s="34"/>
      <c r="Y100" s="34">
        <f t="shared" si="5"/>
        <v>0</v>
      </c>
      <c r="Z100" s="31">
        <v>166443</v>
      </c>
      <c r="AA100" s="32">
        <v>6</v>
      </c>
      <c r="AB100" s="33">
        <v>44215</v>
      </c>
      <c r="AC100" s="36">
        <v>44228</v>
      </c>
      <c r="AD100" s="31">
        <v>-163442</v>
      </c>
      <c r="AE100" s="35">
        <v>57</v>
      </c>
      <c r="AF100" s="33">
        <v>44432</v>
      </c>
      <c r="AG100" s="36">
        <v>44438</v>
      </c>
      <c r="AH100" s="31"/>
      <c r="AI100" s="32"/>
      <c r="AJ100" s="27"/>
      <c r="AK100" s="36"/>
      <c r="AL100" s="31"/>
      <c r="AM100" s="32"/>
      <c r="AN100" s="27"/>
      <c r="AO100" s="36"/>
      <c r="AP100" s="31"/>
      <c r="AQ100" s="32"/>
      <c r="AR100" s="27"/>
      <c r="AS100" s="36"/>
      <c r="AT100" s="37">
        <f>+Z100+AD100+AH100+AL100+AP100</f>
        <v>3001</v>
      </c>
      <c r="AU100" s="38">
        <f t="shared" si="7"/>
        <v>3001</v>
      </c>
    </row>
    <row r="101" spans="2:47" s="39" customFormat="1" ht="22.5">
      <c r="B101" s="22">
        <v>89</v>
      </c>
      <c r="C101" s="22" t="s">
        <v>1226</v>
      </c>
      <c r="D101" s="292">
        <v>40016955</v>
      </c>
      <c r="E101" s="48" t="s">
        <v>1338</v>
      </c>
      <c r="F101" s="48" t="s">
        <v>317</v>
      </c>
      <c r="G101" s="26" t="s">
        <v>1224</v>
      </c>
      <c r="H101" s="73" t="s">
        <v>1228</v>
      </c>
      <c r="I101" s="49" t="s">
        <v>52</v>
      </c>
      <c r="J101" s="291">
        <v>485514</v>
      </c>
      <c r="K101" s="34">
        <v>0</v>
      </c>
      <c r="L101" s="34">
        <f t="shared" si="6"/>
        <v>485514</v>
      </c>
      <c r="M101" s="34">
        <v>0</v>
      </c>
      <c r="N101" s="34">
        <v>0</v>
      </c>
      <c r="O101" s="34">
        <v>0</v>
      </c>
      <c r="P101" s="34"/>
      <c r="Q101" s="34"/>
      <c r="R101" s="34"/>
      <c r="S101" s="34"/>
      <c r="T101" s="34"/>
      <c r="U101" s="34"/>
      <c r="V101" s="34"/>
      <c r="W101" s="34"/>
      <c r="X101" s="34"/>
      <c r="Y101" s="34">
        <f t="shared" si="5"/>
        <v>0</v>
      </c>
      <c r="Z101" s="31">
        <v>2</v>
      </c>
      <c r="AA101" s="32">
        <v>6</v>
      </c>
      <c r="AB101" s="33">
        <v>44215</v>
      </c>
      <c r="AC101" s="36">
        <v>44228</v>
      </c>
      <c r="AD101" s="31"/>
      <c r="AE101" s="35"/>
      <c r="AF101" s="27"/>
      <c r="AG101" s="36"/>
      <c r="AH101" s="31"/>
      <c r="AI101" s="32"/>
      <c r="AJ101" s="27"/>
      <c r="AK101" s="36"/>
      <c r="AL101" s="31"/>
      <c r="AM101" s="32"/>
      <c r="AN101" s="27"/>
      <c r="AO101" s="36"/>
      <c r="AP101" s="31"/>
      <c r="AQ101" s="32"/>
      <c r="AR101" s="27"/>
      <c r="AS101" s="36"/>
      <c r="AT101" s="37">
        <f t="shared" ref="AT101:AT122" si="9">+Z101+AD101+AH101+AL101+AP101</f>
        <v>2</v>
      </c>
      <c r="AU101" s="38">
        <f t="shared" si="7"/>
        <v>2</v>
      </c>
    </row>
    <row r="102" spans="2:47" s="39" customFormat="1" ht="22.5">
      <c r="B102" s="22">
        <v>90</v>
      </c>
      <c r="C102" s="22" t="s">
        <v>1226</v>
      </c>
      <c r="D102" s="292">
        <v>40018250</v>
      </c>
      <c r="E102" s="48" t="s">
        <v>1339</v>
      </c>
      <c r="F102" s="48" t="s">
        <v>317</v>
      </c>
      <c r="G102" s="26" t="s">
        <v>1224</v>
      </c>
      <c r="H102" s="73" t="s">
        <v>1267</v>
      </c>
      <c r="I102" s="49" t="s">
        <v>52</v>
      </c>
      <c r="J102" s="291">
        <v>712373</v>
      </c>
      <c r="K102" s="34">
        <v>0</v>
      </c>
      <c r="L102" s="34">
        <f t="shared" si="6"/>
        <v>712373</v>
      </c>
      <c r="M102" s="34">
        <v>0</v>
      </c>
      <c r="N102" s="34">
        <v>0</v>
      </c>
      <c r="O102" s="34">
        <v>0</v>
      </c>
      <c r="P102" s="34">
        <v>2100</v>
      </c>
      <c r="Q102" s="34">
        <v>53884</v>
      </c>
      <c r="R102" s="34">
        <v>91401</v>
      </c>
      <c r="S102" s="34">
        <v>96436</v>
      </c>
      <c r="T102" s="34">
        <v>111187</v>
      </c>
      <c r="U102" s="34">
        <v>2100</v>
      </c>
      <c r="V102" s="34"/>
      <c r="W102" s="34"/>
      <c r="X102" s="34"/>
      <c r="Y102" s="34">
        <f t="shared" si="5"/>
        <v>357108</v>
      </c>
      <c r="Z102" s="31">
        <v>593237</v>
      </c>
      <c r="AA102" s="32">
        <v>6</v>
      </c>
      <c r="AB102" s="33">
        <v>44215</v>
      </c>
      <c r="AC102" s="36">
        <v>44228</v>
      </c>
      <c r="AD102" s="31"/>
      <c r="AE102" s="35"/>
      <c r="AF102" s="27"/>
      <c r="AG102" s="36"/>
      <c r="AH102" s="31"/>
      <c r="AI102" s="32"/>
      <c r="AJ102" s="27"/>
      <c r="AK102" s="36"/>
      <c r="AL102" s="31"/>
      <c r="AM102" s="32"/>
      <c r="AN102" s="27"/>
      <c r="AO102" s="36"/>
      <c r="AP102" s="31"/>
      <c r="AQ102" s="32"/>
      <c r="AR102" s="27"/>
      <c r="AS102" s="36"/>
      <c r="AT102" s="37">
        <f t="shared" si="9"/>
        <v>593237</v>
      </c>
      <c r="AU102" s="38">
        <f t="shared" si="7"/>
        <v>236129</v>
      </c>
    </row>
    <row r="103" spans="2:47" s="39" customFormat="1" ht="33.75">
      <c r="B103" s="22">
        <v>91</v>
      </c>
      <c r="C103" s="22" t="s">
        <v>1226</v>
      </c>
      <c r="D103" s="292">
        <v>40018252</v>
      </c>
      <c r="E103" s="48" t="s">
        <v>1340</v>
      </c>
      <c r="F103" s="48" t="s">
        <v>317</v>
      </c>
      <c r="G103" s="26" t="s">
        <v>1224</v>
      </c>
      <c r="H103" s="73" t="s">
        <v>1273</v>
      </c>
      <c r="I103" s="49" t="s">
        <v>52</v>
      </c>
      <c r="J103" s="291">
        <v>167166</v>
      </c>
      <c r="K103" s="34">
        <v>0</v>
      </c>
      <c r="L103" s="34">
        <f t="shared" si="6"/>
        <v>167166</v>
      </c>
      <c r="M103" s="34">
        <v>0</v>
      </c>
      <c r="N103" s="34">
        <v>0</v>
      </c>
      <c r="O103" s="34">
        <v>0</v>
      </c>
      <c r="P103" s="34"/>
      <c r="Q103" s="34"/>
      <c r="R103" s="34"/>
      <c r="S103" s="34"/>
      <c r="T103" s="34"/>
      <c r="U103" s="34"/>
      <c r="V103" s="34"/>
      <c r="W103" s="34"/>
      <c r="X103" s="34"/>
      <c r="Y103" s="34">
        <f t="shared" si="5"/>
        <v>0</v>
      </c>
      <c r="Z103" s="31">
        <v>1001</v>
      </c>
      <c r="AA103" s="32">
        <v>6</v>
      </c>
      <c r="AB103" s="33">
        <v>44215</v>
      </c>
      <c r="AC103" s="36">
        <v>44228</v>
      </c>
      <c r="AD103" s="31"/>
      <c r="AE103" s="35"/>
      <c r="AF103" s="27"/>
      <c r="AG103" s="36"/>
      <c r="AH103" s="31"/>
      <c r="AI103" s="32"/>
      <c r="AJ103" s="27"/>
      <c r="AK103" s="36"/>
      <c r="AL103" s="31"/>
      <c r="AM103" s="32"/>
      <c r="AN103" s="27"/>
      <c r="AO103" s="36"/>
      <c r="AP103" s="31"/>
      <c r="AQ103" s="32"/>
      <c r="AR103" s="27"/>
      <c r="AS103" s="36"/>
      <c r="AT103" s="37">
        <f t="shared" si="9"/>
        <v>1001</v>
      </c>
      <c r="AU103" s="38">
        <f t="shared" si="7"/>
        <v>1001</v>
      </c>
    </row>
    <row r="104" spans="2:47" s="39" customFormat="1" ht="22.5">
      <c r="B104" s="22">
        <v>92</v>
      </c>
      <c r="C104" s="22" t="s">
        <v>1226</v>
      </c>
      <c r="D104" s="292">
        <v>40018835</v>
      </c>
      <c r="E104" s="48" t="s">
        <v>1341</v>
      </c>
      <c r="F104" s="48" t="s">
        <v>317</v>
      </c>
      <c r="G104" s="26" t="s">
        <v>1224</v>
      </c>
      <c r="H104" s="73" t="s">
        <v>1228</v>
      </c>
      <c r="I104" s="49" t="s">
        <v>52</v>
      </c>
      <c r="J104" s="291">
        <v>438335</v>
      </c>
      <c r="K104" s="34">
        <v>0</v>
      </c>
      <c r="L104" s="34">
        <f t="shared" si="6"/>
        <v>438335</v>
      </c>
      <c r="M104" s="34">
        <v>0</v>
      </c>
      <c r="N104" s="34">
        <v>0</v>
      </c>
      <c r="O104" s="34">
        <v>0</v>
      </c>
      <c r="P104" s="34"/>
      <c r="Q104" s="34"/>
      <c r="R104" s="34"/>
      <c r="S104" s="34"/>
      <c r="T104" s="34"/>
      <c r="U104" s="34"/>
      <c r="V104" s="34"/>
      <c r="W104" s="34"/>
      <c r="X104" s="34"/>
      <c r="Y104" s="34">
        <f t="shared" si="5"/>
        <v>0</v>
      </c>
      <c r="Z104" s="31">
        <v>2</v>
      </c>
      <c r="AA104" s="32">
        <v>6</v>
      </c>
      <c r="AB104" s="33">
        <v>44215</v>
      </c>
      <c r="AC104" s="36">
        <v>44228</v>
      </c>
      <c r="AD104" s="31"/>
      <c r="AE104" s="35"/>
      <c r="AF104" s="27"/>
      <c r="AG104" s="36"/>
      <c r="AH104" s="31"/>
      <c r="AI104" s="32"/>
      <c r="AJ104" s="27"/>
      <c r="AK104" s="36"/>
      <c r="AL104" s="31"/>
      <c r="AM104" s="32"/>
      <c r="AN104" s="27"/>
      <c r="AO104" s="36"/>
      <c r="AP104" s="31"/>
      <c r="AQ104" s="32"/>
      <c r="AR104" s="27"/>
      <c r="AS104" s="36"/>
      <c r="AT104" s="37">
        <f t="shared" si="9"/>
        <v>2</v>
      </c>
      <c r="AU104" s="38">
        <f t="shared" si="7"/>
        <v>2</v>
      </c>
    </row>
    <row r="105" spans="2:47" s="39" customFormat="1" ht="22.5">
      <c r="B105" s="22">
        <v>95</v>
      </c>
      <c r="C105" s="22" t="s">
        <v>1226</v>
      </c>
      <c r="D105" s="292">
        <v>40023413</v>
      </c>
      <c r="E105" s="48" t="s">
        <v>1342</v>
      </c>
      <c r="F105" s="48" t="s">
        <v>317</v>
      </c>
      <c r="G105" s="26" t="s">
        <v>1224</v>
      </c>
      <c r="H105" s="73" t="s">
        <v>1228</v>
      </c>
      <c r="I105" s="49" t="s">
        <v>52</v>
      </c>
      <c r="J105" s="291">
        <v>514589</v>
      </c>
      <c r="K105" s="34">
        <v>0</v>
      </c>
      <c r="L105" s="34">
        <f t="shared" si="6"/>
        <v>514589</v>
      </c>
      <c r="M105" s="34">
        <v>0</v>
      </c>
      <c r="N105" s="34">
        <v>0</v>
      </c>
      <c r="O105" s="34">
        <v>0</v>
      </c>
      <c r="P105" s="34"/>
      <c r="Q105" s="34"/>
      <c r="R105" s="34"/>
      <c r="S105" s="34"/>
      <c r="T105" s="34"/>
      <c r="U105" s="34"/>
      <c r="V105" s="34"/>
      <c r="W105" s="34"/>
      <c r="X105" s="34"/>
      <c r="Y105" s="34">
        <f t="shared" si="5"/>
        <v>0</v>
      </c>
      <c r="Z105" s="31">
        <v>2</v>
      </c>
      <c r="AA105" s="32">
        <v>6</v>
      </c>
      <c r="AB105" s="33">
        <v>44215</v>
      </c>
      <c r="AC105" s="36">
        <v>44228</v>
      </c>
      <c r="AD105" s="31"/>
      <c r="AE105" s="35"/>
      <c r="AF105" s="27"/>
      <c r="AG105" s="36"/>
      <c r="AH105" s="31"/>
      <c r="AI105" s="32"/>
      <c r="AJ105" s="27"/>
      <c r="AK105" s="36"/>
      <c r="AL105" s="31"/>
      <c r="AM105" s="32"/>
      <c r="AN105" s="27"/>
      <c r="AO105" s="36"/>
      <c r="AP105" s="31"/>
      <c r="AQ105" s="32"/>
      <c r="AR105" s="27"/>
      <c r="AS105" s="36"/>
      <c r="AT105" s="37">
        <f t="shared" si="9"/>
        <v>2</v>
      </c>
      <c r="AU105" s="38">
        <f t="shared" si="7"/>
        <v>2</v>
      </c>
    </row>
    <row r="106" spans="2:47" s="39" customFormat="1" ht="33.75">
      <c r="B106" s="22">
        <v>96</v>
      </c>
      <c r="C106" s="22" t="s">
        <v>1226</v>
      </c>
      <c r="D106" s="292">
        <v>40025257</v>
      </c>
      <c r="E106" s="48" t="s">
        <v>1343</v>
      </c>
      <c r="F106" s="48" t="s">
        <v>317</v>
      </c>
      <c r="G106" s="26" t="s">
        <v>1224</v>
      </c>
      <c r="H106" s="73" t="s">
        <v>1255</v>
      </c>
      <c r="I106" s="49" t="s">
        <v>52</v>
      </c>
      <c r="J106" s="291">
        <v>2120924</v>
      </c>
      <c r="K106" s="34">
        <v>0</v>
      </c>
      <c r="L106" s="34">
        <f t="shared" si="6"/>
        <v>2120924</v>
      </c>
      <c r="M106" s="34">
        <v>0</v>
      </c>
      <c r="N106" s="34">
        <v>0</v>
      </c>
      <c r="O106" s="34">
        <v>0</v>
      </c>
      <c r="P106" s="34"/>
      <c r="Q106" s="34"/>
      <c r="R106" s="34"/>
      <c r="S106" s="34"/>
      <c r="T106" s="34"/>
      <c r="U106" s="34"/>
      <c r="V106" s="34"/>
      <c r="W106" s="34"/>
      <c r="X106" s="34"/>
      <c r="Y106" s="34">
        <f t="shared" ref="Y106:Y140" si="10">SUM(M106:X106)</f>
        <v>0</v>
      </c>
      <c r="Z106" s="31">
        <v>1</v>
      </c>
      <c r="AA106" s="32">
        <v>6</v>
      </c>
      <c r="AB106" s="33">
        <v>44215</v>
      </c>
      <c r="AC106" s="36">
        <v>44228</v>
      </c>
      <c r="AD106" s="31"/>
      <c r="AE106" s="35"/>
      <c r="AF106" s="27"/>
      <c r="AG106" s="36"/>
      <c r="AH106" s="31"/>
      <c r="AI106" s="32"/>
      <c r="AJ106" s="27"/>
      <c r="AK106" s="36"/>
      <c r="AL106" s="31"/>
      <c r="AM106" s="32"/>
      <c r="AN106" s="27"/>
      <c r="AO106" s="36"/>
      <c r="AP106" s="31"/>
      <c r="AQ106" s="32"/>
      <c r="AR106" s="27"/>
      <c r="AS106" s="36"/>
      <c r="AT106" s="37">
        <f t="shared" si="9"/>
        <v>1</v>
      </c>
      <c r="AU106" s="38">
        <f t="shared" si="7"/>
        <v>1</v>
      </c>
    </row>
    <row r="107" spans="2:47" s="39" customFormat="1" ht="22.5">
      <c r="B107" s="22">
        <v>97</v>
      </c>
      <c r="C107" s="22" t="s">
        <v>1226</v>
      </c>
      <c r="D107" s="290">
        <v>30103333</v>
      </c>
      <c r="E107" s="293" t="s">
        <v>1344</v>
      </c>
      <c r="F107" s="47" t="s">
        <v>317</v>
      </c>
      <c r="G107" s="26" t="s">
        <v>1224</v>
      </c>
      <c r="H107" s="47" t="s">
        <v>1228</v>
      </c>
      <c r="I107" s="49" t="s">
        <v>52</v>
      </c>
      <c r="J107" s="291">
        <v>392020</v>
      </c>
      <c r="K107" s="34">
        <v>0</v>
      </c>
      <c r="L107" s="34">
        <f t="shared" si="6"/>
        <v>392020</v>
      </c>
      <c r="M107" s="34">
        <v>0</v>
      </c>
      <c r="N107" s="34">
        <v>0</v>
      </c>
      <c r="O107" s="34"/>
      <c r="P107" s="34">
        <v>0</v>
      </c>
      <c r="Q107" s="34"/>
      <c r="R107" s="34"/>
      <c r="S107" s="34"/>
      <c r="T107" s="34"/>
      <c r="U107" s="34"/>
      <c r="V107" s="34"/>
      <c r="W107" s="34"/>
      <c r="X107" s="34"/>
      <c r="Y107" s="34">
        <f t="shared" si="10"/>
        <v>0</v>
      </c>
      <c r="Z107" s="31">
        <v>2</v>
      </c>
      <c r="AA107" s="32">
        <v>16</v>
      </c>
      <c r="AB107" s="33">
        <v>44284</v>
      </c>
      <c r="AC107" s="36">
        <v>44292</v>
      </c>
      <c r="AD107" s="31"/>
      <c r="AE107" s="35"/>
      <c r="AF107" s="27"/>
      <c r="AG107" s="36"/>
      <c r="AH107" s="31"/>
      <c r="AI107" s="32"/>
      <c r="AJ107" s="27"/>
      <c r="AK107" s="36"/>
      <c r="AL107" s="31"/>
      <c r="AM107" s="32"/>
      <c r="AN107" s="27"/>
      <c r="AO107" s="36"/>
      <c r="AP107" s="31"/>
      <c r="AQ107" s="32"/>
      <c r="AR107" s="27"/>
      <c r="AS107" s="36"/>
      <c r="AT107" s="37">
        <f t="shared" si="9"/>
        <v>2</v>
      </c>
      <c r="AU107" s="38">
        <f t="shared" si="7"/>
        <v>2</v>
      </c>
    </row>
    <row r="108" spans="2:47" s="39" customFormat="1" ht="22.5">
      <c r="B108" s="22">
        <v>98</v>
      </c>
      <c r="C108" s="22" t="s">
        <v>1226</v>
      </c>
      <c r="D108" s="292">
        <v>40001274</v>
      </c>
      <c r="E108" s="293" t="s">
        <v>1345</v>
      </c>
      <c r="F108" s="47" t="s">
        <v>317</v>
      </c>
      <c r="G108" s="26" t="s">
        <v>1224</v>
      </c>
      <c r="H108" s="47" t="s">
        <v>1234</v>
      </c>
      <c r="I108" s="49" t="s">
        <v>44</v>
      </c>
      <c r="J108" s="291">
        <v>3822948</v>
      </c>
      <c r="K108" s="34">
        <v>16242</v>
      </c>
      <c r="L108" s="34">
        <f t="shared" si="6"/>
        <v>3806706</v>
      </c>
      <c r="M108" s="34">
        <v>0</v>
      </c>
      <c r="N108" s="34">
        <v>0</v>
      </c>
      <c r="O108" s="34">
        <v>0</v>
      </c>
      <c r="P108" s="34"/>
      <c r="Q108" s="34"/>
      <c r="R108" s="34"/>
      <c r="S108" s="34"/>
      <c r="T108" s="34"/>
      <c r="U108" s="34"/>
      <c r="V108" s="34"/>
      <c r="W108" s="34"/>
      <c r="X108" s="34"/>
      <c r="Y108" s="34">
        <f t="shared" si="10"/>
        <v>0</v>
      </c>
      <c r="Z108" s="31">
        <v>1002</v>
      </c>
      <c r="AA108" s="32">
        <v>16</v>
      </c>
      <c r="AB108" s="33">
        <v>44284</v>
      </c>
      <c r="AC108" s="36">
        <v>44292</v>
      </c>
      <c r="AD108" s="31"/>
      <c r="AE108" s="35"/>
      <c r="AF108" s="27"/>
      <c r="AG108" s="36"/>
      <c r="AH108" s="31"/>
      <c r="AI108" s="32"/>
      <c r="AJ108" s="27"/>
      <c r="AK108" s="36"/>
      <c r="AL108" s="31"/>
      <c r="AM108" s="32"/>
      <c r="AN108" s="27"/>
      <c r="AO108" s="36"/>
      <c r="AP108" s="31"/>
      <c r="AQ108" s="32"/>
      <c r="AR108" s="27"/>
      <c r="AS108" s="36"/>
      <c r="AT108" s="37">
        <f t="shared" si="9"/>
        <v>1002</v>
      </c>
      <c r="AU108" s="38">
        <f t="shared" si="7"/>
        <v>1002</v>
      </c>
    </row>
    <row r="109" spans="2:47" s="39" customFormat="1" ht="22.5">
      <c r="B109" s="22">
        <v>99</v>
      </c>
      <c r="C109" s="22" t="s">
        <v>1226</v>
      </c>
      <c r="D109" s="292">
        <v>40020393</v>
      </c>
      <c r="E109" s="293" t="s">
        <v>1346</v>
      </c>
      <c r="F109" s="47" t="s">
        <v>317</v>
      </c>
      <c r="G109" s="26" t="s">
        <v>1224</v>
      </c>
      <c r="H109" s="47" t="s">
        <v>1288</v>
      </c>
      <c r="I109" s="49" t="s">
        <v>52</v>
      </c>
      <c r="J109" s="291">
        <v>1694158</v>
      </c>
      <c r="K109" s="34">
        <v>4</v>
      </c>
      <c r="L109" s="34">
        <f t="shared" si="6"/>
        <v>1694154</v>
      </c>
      <c r="M109" s="34">
        <v>0</v>
      </c>
      <c r="N109" s="34">
        <v>0</v>
      </c>
      <c r="O109" s="34">
        <v>0</v>
      </c>
      <c r="P109" s="34">
        <v>0</v>
      </c>
      <c r="Q109" s="294">
        <v>0</v>
      </c>
      <c r="R109" s="34"/>
      <c r="S109" s="34"/>
      <c r="T109" s="34"/>
      <c r="U109" s="34"/>
      <c r="V109" s="34"/>
      <c r="W109" s="34"/>
      <c r="X109" s="34"/>
      <c r="Y109" s="34">
        <f t="shared" si="10"/>
        <v>0</v>
      </c>
      <c r="Z109" s="31">
        <v>4</v>
      </c>
      <c r="AA109" s="32">
        <v>16</v>
      </c>
      <c r="AB109" s="33">
        <v>44284</v>
      </c>
      <c r="AC109" s="36">
        <v>44292</v>
      </c>
      <c r="AD109" s="31"/>
      <c r="AE109" s="35"/>
      <c r="AF109" s="27"/>
      <c r="AG109" s="36"/>
      <c r="AH109" s="31"/>
      <c r="AI109" s="32"/>
      <c r="AJ109" s="27"/>
      <c r="AK109" s="36"/>
      <c r="AL109" s="31"/>
      <c r="AM109" s="32"/>
      <c r="AN109" s="27"/>
      <c r="AO109" s="36"/>
      <c r="AP109" s="31"/>
      <c r="AQ109" s="32"/>
      <c r="AR109" s="27"/>
      <c r="AS109" s="36"/>
      <c r="AT109" s="37">
        <f t="shared" si="9"/>
        <v>4</v>
      </c>
      <c r="AU109" s="38">
        <f t="shared" si="7"/>
        <v>4</v>
      </c>
    </row>
    <row r="110" spans="2:47" s="39" customFormat="1" ht="22.5">
      <c r="B110" s="22">
        <v>100</v>
      </c>
      <c r="C110" s="22" t="s">
        <v>1226</v>
      </c>
      <c r="D110" s="292">
        <v>40024260</v>
      </c>
      <c r="E110" s="293" t="s">
        <v>1347</v>
      </c>
      <c r="F110" s="47" t="s">
        <v>47</v>
      </c>
      <c r="G110" s="26" t="s">
        <v>1224</v>
      </c>
      <c r="H110" s="47" t="s">
        <v>1285</v>
      </c>
      <c r="I110" s="49" t="s">
        <v>52</v>
      </c>
      <c r="J110" s="291">
        <v>203124</v>
      </c>
      <c r="K110" s="34">
        <v>1</v>
      </c>
      <c r="L110" s="34">
        <f t="shared" si="6"/>
        <v>203123</v>
      </c>
      <c r="M110" s="34">
        <v>0</v>
      </c>
      <c r="N110" s="34">
        <v>0</v>
      </c>
      <c r="O110" s="34">
        <v>0</v>
      </c>
      <c r="P110" s="34"/>
      <c r="Q110" s="34"/>
      <c r="R110" s="34"/>
      <c r="S110" s="34"/>
      <c r="T110" s="34"/>
      <c r="U110" s="34"/>
      <c r="V110" s="34"/>
      <c r="W110" s="34"/>
      <c r="X110" s="34"/>
      <c r="Y110" s="34">
        <f t="shared" si="10"/>
        <v>0</v>
      </c>
      <c r="Z110" s="31">
        <v>1</v>
      </c>
      <c r="AA110" s="32">
        <v>16</v>
      </c>
      <c r="AB110" s="33">
        <v>44284</v>
      </c>
      <c r="AC110" s="36">
        <v>44292</v>
      </c>
      <c r="AD110" s="31"/>
      <c r="AE110" s="35"/>
      <c r="AF110" s="27"/>
      <c r="AG110" s="36"/>
      <c r="AH110" s="31"/>
      <c r="AI110" s="32"/>
      <c r="AJ110" s="27"/>
      <c r="AK110" s="36"/>
      <c r="AL110" s="31"/>
      <c r="AM110" s="32"/>
      <c r="AN110" s="27"/>
      <c r="AO110" s="36"/>
      <c r="AP110" s="31"/>
      <c r="AQ110" s="32"/>
      <c r="AR110" s="27"/>
      <c r="AS110" s="36"/>
      <c r="AT110" s="37">
        <f t="shared" si="9"/>
        <v>1</v>
      </c>
      <c r="AU110" s="38">
        <f t="shared" si="7"/>
        <v>1</v>
      </c>
    </row>
    <row r="111" spans="2:47" s="39" customFormat="1" ht="22.5">
      <c r="B111" s="22">
        <v>101</v>
      </c>
      <c r="C111" s="22" t="s">
        <v>1226</v>
      </c>
      <c r="D111" s="290">
        <v>30039296</v>
      </c>
      <c r="E111" s="293" t="s">
        <v>1348</v>
      </c>
      <c r="F111" s="47" t="s">
        <v>317</v>
      </c>
      <c r="G111" s="26" t="s">
        <v>1224</v>
      </c>
      <c r="H111" s="47" t="s">
        <v>1313</v>
      </c>
      <c r="I111" s="49" t="s">
        <v>52</v>
      </c>
      <c r="J111" s="291">
        <v>480569</v>
      </c>
      <c r="K111" s="34">
        <v>3</v>
      </c>
      <c r="L111" s="34">
        <f t="shared" si="6"/>
        <v>480566</v>
      </c>
      <c r="M111" s="34">
        <v>0</v>
      </c>
      <c r="N111" s="34">
        <v>0</v>
      </c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>
        <f t="shared" si="10"/>
        <v>0</v>
      </c>
      <c r="Z111" s="31">
        <v>3</v>
      </c>
      <c r="AA111" s="32">
        <v>16</v>
      </c>
      <c r="AB111" s="33">
        <v>44284</v>
      </c>
      <c r="AC111" s="36">
        <v>44292</v>
      </c>
      <c r="AD111" s="31"/>
      <c r="AE111" s="35"/>
      <c r="AF111" s="27"/>
      <c r="AG111" s="36"/>
      <c r="AH111" s="31"/>
      <c r="AI111" s="32"/>
      <c r="AJ111" s="27"/>
      <c r="AK111" s="36"/>
      <c r="AL111" s="31"/>
      <c r="AM111" s="32"/>
      <c r="AN111" s="27"/>
      <c r="AO111" s="36"/>
      <c r="AP111" s="31"/>
      <c r="AQ111" s="32"/>
      <c r="AR111" s="27"/>
      <c r="AS111" s="36"/>
      <c r="AT111" s="37">
        <f t="shared" si="9"/>
        <v>3</v>
      </c>
      <c r="AU111" s="38">
        <f t="shared" si="7"/>
        <v>3</v>
      </c>
    </row>
    <row r="112" spans="2:47" s="39" customFormat="1" ht="22.5">
      <c r="B112" s="22">
        <v>102</v>
      </c>
      <c r="C112" s="22" t="s">
        <v>1226</v>
      </c>
      <c r="D112" s="292">
        <v>40018909</v>
      </c>
      <c r="E112" s="293" t="s">
        <v>1349</v>
      </c>
      <c r="F112" s="47" t="s">
        <v>47</v>
      </c>
      <c r="G112" s="26" t="s">
        <v>1224</v>
      </c>
      <c r="H112" s="47" t="s">
        <v>1246</v>
      </c>
      <c r="I112" s="49" t="s">
        <v>52</v>
      </c>
      <c r="J112" s="291">
        <v>58604</v>
      </c>
      <c r="K112" s="34">
        <v>2</v>
      </c>
      <c r="L112" s="34">
        <f t="shared" si="6"/>
        <v>58602</v>
      </c>
      <c r="M112" s="34">
        <v>0</v>
      </c>
      <c r="N112" s="34">
        <v>0</v>
      </c>
      <c r="O112" s="34">
        <v>0</v>
      </c>
      <c r="P112" s="34"/>
      <c r="Q112" s="34"/>
      <c r="R112" s="34"/>
      <c r="S112" s="34"/>
      <c r="T112" s="34"/>
      <c r="U112" s="34"/>
      <c r="V112" s="34"/>
      <c r="W112" s="34"/>
      <c r="X112" s="34"/>
      <c r="Y112" s="34">
        <f t="shared" si="10"/>
        <v>0</v>
      </c>
      <c r="Z112" s="31">
        <v>2</v>
      </c>
      <c r="AA112" s="32">
        <v>16</v>
      </c>
      <c r="AB112" s="33">
        <v>44284</v>
      </c>
      <c r="AC112" s="36">
        <v>44292</v>
      </c>
      <c r="AD112" s="31"/>
      <c r="AE112" s="35"/>
      <c r="AF112" s="27"/>
      <c r="AG112" s="36"/>
      <c r="AH112" s="31"/>
      <c r="AI112" s="32"/>
      <c r="AJ112" s="27"/>
      <c r="AK112" s="36"/>
      <c r="AL112" s="31"/>
      <c r="AM112" s="32"/>
      <c r="AN112" s="27"/>
      <c r="AO112" s="36"/>
      <c r="AP112" s="31"/>
      <c r="AQ112" s="32"/>
      <c r="AR112" s="27"/>
      <c r="AS112" s="36"/>
      <c r="AT112" s="37">
        <f t="shared" si="9"/>
        <v>2</v>
      </c>
      <c r="AU112" s="38">
        <f t="shared" si="7"/>
        <v>2</v>
      </c>
    </row>
    <row r="113" spans="2:47" s="39" customFormat="1" ht="22.5">
      <c r="B113" s="22">
        <v>103</v>
      </c>
      <c r="C113" s="22" t="s">
        <v>1226</v>
      </c>
      <c r="D113" s="292">
        <v>20144258</v>
      </c>
      <c r="E113" s="293" t="s">
        <v>1350</v>
      </c>
      <c r="F113" s="47" t="s">
        <v>317</v>
      </c>
      <c r="G113" s="26" t="s">
        <v>1224</v>
      </c>
      <c r="H113" s="47" t="s">
        <v>1251</v>
      </c>
      <c r="I113" s="49" t="s">
        <v>52</v>
      </c>
      <c r="J113" s="291">
        <v>452206</v>
      </c>
      <c r="K113" s="34">
        <v>8276</v>
      </c>
      <c r="L113" s="34">
        <f t="shared" si="6"/>
        <v>443930</v>
      </c>
      <c r="M113" s="34">
        <v>0</v>
      </c>
      <c r="N113" s="34">
        <v>0</v>
      </c>
      <c r="O113" s="34">
        <v>0</v>
      </c>
      <c r="P113" s="34"/>
      <c r="Q113" s="34"/>
      <c r="R113" s="34"/>
      <c r="S113" s="34"/>
      <c r="T113" s="34"/>
      <c r="U113" s="34"/>
      <c r="V113" s="34"/>
      <c r="W113" s="34"/>
      <c r="X113" s="34"/>
      <c r="Y113" s="34">
        <f t="shared" si="10"/>
        <v>0</v>
      </c>
      <c r="Z113" s="31">
        <v>98265</v>
      </c>
      <c r="AA113" s="32">
        <v>27</v>
      </c>
      <c r="AB113" s="33">
        <v>44327</v>
      </c>
      <c r="AC113" s="36">
        <v>44341</v>
      </c>
      <c r="AD113" s="31">
        <v>-98262</v>
      </c>
      <c r="AE113" s="35">
        <v>39</v>
      </c>
      <c r="AF113" s="33">
        <v>44364</v>
      </c>
      <c r="AG113" s="36">
        <v>44377</v>
      </c>
      <c r="AH113" s="31">
        <v>5599</v>
      </c>
      <c r="AI113" s="32">
        <v>57</v>
      </c>
      <c r="AJ113" s="33">
        <v>44432</v>
      </c>
      <c r="AK113" s="36"/>
      <c r="AL113" s="31"/>
      <c r="AM113" s="32"/>
      <c r="AN113" s="27"/>
      <c r="AO113" s="36"/>
      <c r="AP113" s="31"/>
      <c r="AQ113" s="32"/>
      <c r="AR113" s="27"/>
      <c r="AS113" s="36"/>
      <c r="AT113" s="37">
        <f t="shared" si="9"/>
        <v>5602</v>
      </c>
      <c r="AU113" s="38">
        <f t="shared" si="7"/>
        <v>5602</v>
      </c>
    </row>
    <row r="114" spans="2:47" s="39" customFormat="1" ht="22.5">
      <c r="B114" s="22">
        <v>104</v>
      </c>
      <c r="C114" s="22" t="s">
        <v>1226</v>
      </c>
      <c r="D114" s="290">
        <v>30076162</v>
      </c>
      <c r="E114" s="293" t="s">
        <v>1351</v>
      </c>
      <c r="F114" s="47" t="s">
        <v>317</v>
      </c>
      <c r="G114" s="26" t="s">
        <v>1224</v>
      </c>
      <c r="H114" s="47" t="s">
        <v>1232</v>
      </c>
      <c r="I114" s="49" t="s">
        <v>44</v>
      </c>
      <c r="J114" s="291">
        <v>1632732</v>
      </c>
      <c r="K114" s="34">
        <v>105034</v>
      </c>
      <c r="L114" s="34">
        <f t="shared" si="6"/>
        <v>1527698</v>
      </c>
      <c r="M114" s="34">
        <v>0</v>
      </c>
      <c r="N114" s="34">
        <v>0</v>
      </c>
      <c r="O114" s="34">
        <v>0</v>
      </c>
      <c r="P114" s="34"/>
      <c r="Q114" s="34">
        <v>26600</v>
      </c>
      <c r="R114" s="34"/>
      <c r="S114" s="34"/>
      <c r="T114" s="34"/>
      <c r="U114" s="34"/>
      <c r="V114" s="34"/>
      <c r="W114" s="34"/>
      <c r="X114" s="34"/>
      <c r="Y114" s="34">
        <f t="shared" si="10"/>
        <v>26600</v>
      </c>
      <c r="Z114" s="31">
        <v>60804</v>
      </c>
      <c r="AA114" s="32">
        <v>27</v>
      </c>
      <c r="AB114" s="33">
        <v>44327</v>
      </c>
      <c r="AC114" s="36">
        <v>44341</v>
      </c>
      <c r="AD114" s="31">
        <v>-15199</v>
      </c>
      <c r="AE114" s="35">
        <v>39</v>
      </c>
      <c r="AF114" s="33">
        <v>44364</v>
      </c>
      <c r="AG114" s="36">
        <v>44377</v>
      </c>
      <c r="AH114" s="31"/>
      <c r="AI114" s="32"/>
      <c r="AJ114" s="27"/>
      <c r="AK114" s="36"/>
      <c r="AL114" s="31"/>
      <c r="AM114" s="32"/>
      <c r="AN114" s="27"/>
      <c r="AO114" s="36"/>
      <c r="AP114" s="31"/>
      <c r="AQ114" s="32"/>
      <c r="AR114" s="27"/>
      <c r="AS114" s="36"/>
      <c r="AT114" s="37">
        <f t="shared" si="9"/>
        <v>45605</v>
      </c>
      <c r="AU114" s="38">
        <f t="shared" si="7"/>
        <v>19005</v>
      </c>
    </row>
    <row r="115" spans="2:47" s="39" customFormat="1" ht="22.5">
      <c r="B115" s="22">
        <v>105</v>
      </c>
      <c r="C115" s="22" t="s">
        <v>1226</v>
      </c>
      <c r="D115" s="290">
        <v>30484923</v>
      </c>
      <c r="E115" s="293" t="s">
        <v>1352</v>
      </c>
      <c r="F115" s="47" t="s">
        <v>317</v>
      </c>
      <c r="G115" s="26" t="s">
        <v>1224</v>
      </c>
      <c r="H115" s="47" t="s">
        <v>1228</v>
      </c>
      <c r="I115" s="49" t="s">
        <v>52</v>
      </c>
      <c r="J115" s="291">
        <v>779656</v>
      </c>
      <c r="K115" s="34">
        <v>2</v>
      </c>
      <c r="L115" s="34">
        <f t="shared" si="6"/>
        <v>779654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/>
      <c r="T115" s="34"/>
      <c r="U115" s="34"/>
      <c r="V115" s="34"/>
      <c r="W115" s="34"/>
      <c r="X115" s="34"/>
      <c r="Y115" s="34">
        <f t="shared" si="10"/>
        <v>0</v>
      </c>
      <c r="Z115" s="31">
        <v>2</v>
      </c>
      <c r="AA115" s="32">
        <v>27</v>
      </c>
      <c r="AB115" s="33">
        <v>44327</v>
      </c>
      <c r="AC115" s="36">
        <v>44341</v>
      </c>
      <c r="AD115" s="31"/>
      <c r="AE115" s="35"/>
      <c r="AF115" s="27"/>
      <c r="AG115" s="36"/>
      <c r="AH115" s="31"/>
      <c r="AI115" s="32"/>
      <c r="AJ115" s="27"/>
      <c r="AK115" s="36"/>
      <c r="AL115" s="31"/>
      <c r="AM115" s="32"/>
      <c r="AN115" s="27"/>
      <c r="AO115" s="36"/>
      <c r="AP115" s="31"/>
      <c r="AQ115" s="32"/>
      <c r="AR115" s="27"/>
      <c r="AS115" s="36"/>
      <c r="AT115" s="37">
        <f t="shared" si="9"/>
        <v>2</v>
      </c>
      <c r="AU115" s="38">
        <f t="shared" si="7"/>
        <v>2</v>
      </c>
    </row>
    <row r="116" spans="2:47" s="39" customFormat="1" ht="22.5">
      <c r="B116" s="22">
        <v>106</v>
      </c>
      <c r="C116" s="22" t="s">
        <v>1226</v>
      </c>
      <c r="D116" s="290">
        <v>30485028</v>
      </c>
      <c r="E116" s="293" t="s">
        <v>1353</v>
      </c>
      <c r="F116" s="47" t="s">
        <v>317</v>
      </c>
      <c r="G116" s="26" t="s">
        <v>1224</v>
      </c>
      <c r="H116" s="47" t="s">
        <v>1282</v>
      </c>
      <c r="I116" s="49" t="s">
        <v>52</v>
      </c>
      <c r="J116" s="291">
        <v>119722</v>
      </c>
      <c r="K116" s="34">
        <v>3</v>
      </c>
      <c r="L116" s="34">
        <f t="shared" si="6"/>
        <v>119719</v>
      </c>
      <c r="M116" s="34">
        <v>0</v>
      </c>
      <c r="N116" s="34">
        <v>0</v>
      </c>
      <c r="O116" s="34">
        <v>0</v>
      </c>
      <c r="P116" s="34"/>
      <c r="Q116" s="34"/>
      <c r="R116" s="34"/>
      <c r="S116" s="34"/>
      <c r="T116" s="34"/>
      <c r="U116" s="34"/>
      <c r="V116" s="34"/>
      <c r="W116" s="34"/>
      <c r="X116" s="34"/>
      <c r="Y116" s="34">
        <f t="shared" si="10"/>
        <v>0</v>
      </c>
      <c r="Z116" s="31">
        <v>3</v>
      </c>
      <c r="AA116" s="32">
        <v>27</v>
      </c>
      <c r="AB116" s="33">
        <v>44327</v>
      </c>
      <c r="AC116" s="36">
        <v>44341</v>
      </c>
      <c r="AD116" s="31"/>
      <c r="AE116" s="35"/>
      <c r="AF116" s="27"/>
      <c r="AG116" s="36"/>
      <c r="AH116" s="31"/>
      <c r="AI116" s="32"/>
      <c r="AJ116" s="27"/>
      <c r="AK116" s="36"/>
      <c r="AL116" s="31"/>
      <c r="AM116" s="32"/>
      <c r="AN116" s="27"/>
      <c r="AO116" s="36"/>
      <c r="AP116" s="31"/>
      <c r="AQ116" s="32"/>
      <c r="AR116" s="27"/>
      <c r="AS116" s="36"/>
      <c r="AT116" s="37">
        <f t="shared" si="9"/>
        <v>3</v>
      </c>
      <c r="AU116" s="38">
        <f t="shared" si="7"/>
        <v>3</v>
      </c>
    </row>
    <row r="117" spans="2:47" s="39" customFormat="1" ht="22.5">
      <c r="B117" s="22">
        <v>107</v>
      </c>
      <c r="C117" s="22" t="s">
        <v>1226</v>
      </c>
      <c r="D117" s="290">
        <v>30485134</v>
      </c>
      <c r="E117" s="293" t="s">
        <v>1354</v>
      </c>
      <c r="F117" s="47" t="s">
        <v>317</v>
      </c>
      <c r="G117" s="26" t="s">
        <v>1224</v>
      </c>
      <c r="H117" s="47" t="s">
        <v>1246</v>
      </c>
      <c r="I117" s="49" t="s">
        <v>52</v>
      </c>
      <c r="J117" s="291">
        <v>6186935</v>
      </c>
      <c r="K117" s="34">
        <v>3</v>
      </c>
      <c r="L117" s="34">
        <f t="shared" si="6"/>
        <v>6186932</v>
      </c>
      <c r="M117" s="34">
        <v>0</v>
      </c>
      <c r="N117" s="34">
        <v>0</v>
      </c>
      <c r="O117" s="34">
        <v>0</v>
      </c>
      <c r="P117" s="34"/>
      <c r="Q117" s="34"/>
      <c r="R117" s="34"/>
      <c r="S117" s="34"/>
      <c r="T117" s="34"/>
      <c r="U117" s="34"/>
      <c r="V117" s="34"/>
      <c r="W117" s="34"/>
      <c r="X117" s="34"/>
      <c r="Y117" s="34">
        <f t="shared" si="10"/>
        <v>0</v>
      </c>
      <c r="Z117" s="31">
        <v>3</v>
      </c>
      <c r="AA117" s="32">
        <v>27</v>
      </c>
      <c r="AB117" s="33">
        <v>44327</v>
      </c>
      <c r="AC117" s="36">
        <v>44341</v>
      </c>
      <c r="AD117" s="31"/>
      <c r="AE117" s="35"/>
      <c r="AF117" s="27"/>
      <c r="AG117" s="36"/>
      <c r="AH117" s="31"/>
      <c r="AI117" s="32"/>
      <c r="AJ117" s="27"/>
      <c r="AK117" s="36"/>
      <c r="AL117" s="31"/>
      <c r="AM117" s="32"/>
      <c r="AN117" s="27"/>
      <c r="AO117" s="36"/>
      <c r="AP117" s="31"/>
      <c r="AQ117" s="32"/>
      <c r="AR117" s="27"/>
      <c r="AS117" s="36"/>
      <c r="AT117" s="37">
        <f t="shared" si="9"/>
        <v>3</v>
      </c>
      <c r="AU117" s="38">
        <f t="shared" si="7"/>
        <v>3</v>
      </c>
    </row>
    <row r="118" spans="2:47" s="39" customFormat="1" ht="22.5">
      <c r="B118" s="22">
        <v>108</v>
      </c>
      <c r="C118" s="22" t="s">
        <v>1226</v>
      </c>
      <c r="D118" s="292">
        <v>40016900</v>
      </c>
      <c r="E118" s="293" t="s">
        <v>1355</v>
      </c>
      <c r="F118" s="47" t="s">
        <v>317</v>
      </c>
      <c r="G118" s="26" t="s">
        <v>1224</v>
      </c>
      <c r="H118" s="47" t="s">
        <v>1292</v>
      </c>
      <c r="I118" s="49" t="s">
        <v>52</v>
      </c>
      <c r="J118" s="291">
        <v>431936</v>
      </c>
      <c r="K118" s="34">
        <v>2</v>
      </c>
      <c r="L118" s="34">
        <f t="shared" si="6"/>
        <v>431934</v>
      </c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>
        <f t="shared" si="10"/>
        <v>0</v>
      </c>
      <c r="Z118" s="31">
        <v>2</v>
      </c>
      <c r="AA118" s="32">
        <v>39</v>
      </c>
      <c r="AB118" s="33">
        <v>44364</v>
      </c>
      <c r="AC118" s="36">
        <v>44377</v>
      </c>
      <c r="AD118" s="31"/>
      <c r="AE118" s="35"/>
      <c r="AF118" s="27"/>
      <c r="AG118" s="36"/>
      <c r="AH118" s="31"/>
      <c r="AI118" s="32"/>
      <c r="AJ118" s="27"/>
      <c r="AK118" s="36"/>
      <c r="AL118" s="31"/>
      <c r="AM118" s="32"/>
      <c r="AN118" s="27"/>
      <c r="AO118" s="36"/>
      <c r="AP118" s="31"/>
      <c r="AQ118" s="32"/>
      <c r="AR118" s="27"/>
      <c r="AS118" s="36"/>
      <c r="AT118" s="37">
        <f t="shared" si="9"/>
        <v>2</v>
      </c>
      <c r="AU118" s="38">
        <f t="shared" si="7"/>
        <v>2</v>
      </c>
    </row>
    <row r="119" spans="2:47" s="39" customFormat="1" ht="22.5">
      <c r="B119" s="22">
        <v>109</v>
      </c>
      <c r="C119" s="22" t="s">
        <v>1226</v>
      </c>
      <c r="D119" s="292">
        <v>40031898</v>
      </c>
      <c r="E119" s="293" t="s">
        <v>1356</v>
      </c>
      <c r="F119" s="47" t="s">
        <v>317</v>
      </c>
      <c r="G119" s="26" t="s">
        <v>1224</v>
      </c>
      <c r="H119" s="47" t="s">
        <v>1313</v>
      </c>
      <c r="I119" s="49" t="s">
        <v>52</v>
      </c>
      <c r="J119" s="291">
        <v>766593</v>
      </c>
      <c r="K119" s="34">
        <v>1</v>
      </c>
      <c r="L119" s="34">
        <f t="shared" si="6"/>
        <v>766592</v>
      </c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>
        <f t="shared" si="10"/>
        <v>0</v>
      </c>
      <c r="Z119" s="31">
        <v>1</v>
      </c>
      <c r="AA119" s="32">
        <v>39</v>
      </c>
      <c r="AB119" s="33">
        <v>44364</v>
      </c>
      <c r="AC119" s="36">
        <v>44377</v>
      </c>
      <c r="AD119" s="31"/>
      <c r="AE119" s="35"/>
      <c r="AF119" s="27"/>
      <c r="AG119" s="36"/>
      <c r="AH119" s="31"/>
      <c r="AI119" s="32"/>
      <c r="AJ119" s="27"/>
      <c r="AK119" s="36"/>
      <c r="AL119" s="31"/>
      <c r="AM119" s="32"/>
      <c r="AN119" s="27"/>
      <c r="AO119" s="36"/>
      <c r="AP119" s="31"/>
      <c r="AQ119" s="32"/>
      <c r="AR119" s="27"/>
      <c r="AS119" s="36"/>
      <c r="AT119" s="37">
        <f t="shared" si="9"/>
        <v>1</v>
      </c>
      <c r="AU119" s="38">
        <f t="shared" si="7"/>
        <v>1</v>
      </c>
    </row>
    <row r="120" spans="2:47" s="39" customFormat="1" ht="22.5">
      <c r="B120" s="22">
        <v>110</v>
      </c>
      <c r="C120" s="22" t="s">
        <v>1226</v>
      </c>
      <c r="D120" s="290">
        <v>30473037</v>
      </c>
      <c r="E120" s="293" t="s">
        <v>1357</v>
      </c>
      <c r="F120" s="47" t="s">
        <v>317</v>
      </c>
      <c r="G120" s="26" t="s">
        <v>1224</v>
      </c>
      <c r="H120" s="47" t="s">
        <v>1225</v>
      </c>
      <c r="I120" s="49" t="s">
        <v>52</v>
      </c>
      <c r="J120" s="291">
        <v>401458</v>
      </c>
      <c r="K120" s="34">
        <v>2</v>
      </c>
      <c r="L120" s="34">
        <f t="shared" si="6"/>
        <v>401456</v>
      </c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>
        <f t="shared" si="10"/>
        <v>0</v>
      </c>
      <c r="Z120" s="31">
        <v>2</v>
      </c>
      <c r="AA120" s="32">
        <v>39</v>
      </c>
      <c r="AB120" s="33">
        <v>44364</v>
      </c>
      <c r="AC120" s="36">
        <v>44377</v>
      </c>
      <c r="AD120" s="31"/>
      <c r="AE120" s="35"/>
      <c r="AF120" s="27"/>
      <c r="AG120" s="36"/>
      <c r="AH120" s="31"/>
      <c r="AI120" s="32"/>
      <c r="AJ120" s="27"/>
      <c r="AK120" s="36"/>
      <c r="AL120" s="31"/>
      <c r="AM120" s="32"/>
      <c r="AN120" s="27"/>
      <c r="AO120" s="36"/>
      <c r="AP120" s="31"/>
      <c r="AQ120" s="32"/>
      <c r="AR120" s="27"/>
      <c r="AS120" s="36"/>
      <c r="AT120" s="37">
        <f t="shared" si="9"/>
        <v>2</v>
      </c>
      <c r="AU120" s="38">
        <f t="shared" si="7"/>
        <v>2</v>
      </c>
    </row>
    <row r="121" spans="2:47" s="39" customFormat="1" ht="22.5">
      <c r="B121" s="22">
        <v>111</v>
      </c>
      <c r="C121" s="22" t="s">
        <v>1226</v>
      </c>
      <c r="D121" s="290">
        <v>30473011</v>
      </c>
      <c r="E121" s="293" t="s">
        <v>1358</v>
      </c>
      <c r="F121" s="47" t="s">
        <v>317</v>
      </c>
      <c r="G121" s="26" t="s">
        <v>1224</v>
      </c>
      <c r="H121" s="47" t="s">
        <v>1359</v>
      </c>
      <c r="I121" s="49" t="s">
        <v>52</v>
      </c>
      <c r="J121" s="291">
        <v>611896</v>
      </c>
      <c r="K121" s="34">
        <v>2</v>
      </c>
      <c r="L121" s="34">
        <f t="shared" si="6"/>
        <v>611894</v>
      </c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>
        <f t="shared" si="10"/>
        <v>0</v>
      </c>
      <c r="Z121" s="31">
        <v>2</v>
      </c>
      <c r="AA121" s="32">
        <v>39</v>
      </c>
      <c r="AB121" s="33">
        <v>44364</v>
      </c>
      <c r="AC121" s="36">
        <v>44377</v>
      </c>
      <c r="AD121" s="31"/>
      <c r="AE121" s="35"/>
      <c r="AF121" s="27"/>
      <c r="AG121" s="36"/>
      <c r="AH121" s="31"/>
      <c r="AI121" s="32"/>
      <c r="AJ121" s="27"/>
      <c r="AK121" s="36"/>
      <c r="AL121" s="31"/>
      <c r="AM121" s="32"/>
      <c r="AN121" s="27"/>
      <c r="AO121" s="36"/>
      <c r="AP121" s="31"/>
      <c r="AQ121" s="32"/>
      <c r="AR121" s="27"/>
      <c r="AS121" s="36"/>
      <c r="AT121" s="37">
        <f t="shared" si="9"/>
        <v>2</v>
      </c>
      <c r="AU121" s="38">
        <f t="shared" si="7"/>
        <v>2</v>
      </c>
    </row>
    <row r="122" spans="2:47" s="39" customFormat="1" ht="33.75">
      <c r="B122" s="22">
        <v>112</v>
      </c>
      <c r="C122" s="22" t="s">
        <v>1226</v>
      </c>
      <c r="D122" s="292">
        <v>40008261</v>
      </c>
      <c r="E122" s="293" t="s">
        <v>1360</v>
      </c>
      <c r="F122" s="47" t="s">
        <v>317</v>
      </c>
      <c r="G122" s="26" t="s">
        <v>1224</v>
      </c>
      <c r="H122" s="47" t="s">
        <v>150</v>
      </c>
      <c r="I122" s="49" t="s">
        <v>52</v>
      </c>
      <c r="J122" s="291">
        <v>129667</v>
      </c>
      <c r="K122" s="34">
        <v>16891</v>
      </c>
      <c r="L122" s="34">
        <f t="shared" si="6"/>
        <v>112776</v>
      </c>
      <c r="M122" s="34"/>
      <c r="N122" s="34"/>
      <c r="O122" s="34"/>
      <c r="P122" s="34"/>
      <c r="Q122" s="34"/>
      <c r="R122" s="34"/>
      <c r="S122" s="34">
        <v>15236</v>
      </c>
      <c r="T122" s="34">
        <v>0</v>
      </c>
      <c r="U122" s="34">
        <v>5777</v>
      </c>
      <c r="V122" s="34"/>
      <c r="W122" s="34"/>
      <c r="X122" s="34"/>
      <c r="Y122" s="34">
        <f t="shared" si="10"/>
        <v>21013</v>
      </c>
      <c r="Z122" s="31">
        <v>31192</v>
      </c>
      <c r="AA122" s="32">
        <v>39</v>
      </c>
      <c r="AB122" s="33">
        <v>44364</v>
      </c>
      <c r="AC122" s="36">
        <v>44377</v>
      </c>
      <c r="AD122" s="31"/>
      <c r="AE122" s="35"/>
      <c r="AF122" s="27"/>
      <c r="AG122" s="36"/>
      <c r="AH122" s="31"/>
      <c r="AI122" s="32"/>
      <c r="AJ122" s="27"/>
      <c r="AK122" s="36"/>
      <c r="AL122" s="31"/>
      <c r="AM122" s="32"/>
      <c r="AN122" s="27"/>
      <c r="AO122" s="36"/>
      <c r="AP122" s="31"/>
      <c r="AQ122" s="32"/>
      <c r="AR122" s="27"/>
      <c r="AS122" s="36"/>
      <c r="AT122" s="37">
        <f t="shared" si="9"/>
        <v>31192</v>
      </c>
      <c r="AU122" s="38">
        <f t="shared" si="7"/>
        <v>10179</v>
      </c>
    </row>
    <row r="123" spans="2:47" s="39" customFormat="1" ht="22.5">
      <c r="B123" s="22">
        <v>113</v>
      </c>
      <c r="C123" s="22" t="s">
        <v>1226</v>
      </c>
      <c r="D123" s="216">
        <v>30386572</v>
      </c>
      <c r="E123" s="293" t="s">
        <v>1361</v>
      </c>
      <c r="F123" s="47" t="s">
        <v>317</v>
      </c>
      <c r="G123" s="26" t="s">
        <v>1224</v>
      </c>
      <c r="H123" s="47" t="s">
        <v>1362</v>
      </c>
      <c r="I123" s="49" t="s">
        <v>52</v>
      </c>
      <c r="J123" s="295">
        <v>353362000</v>
      </c>
      <c r="K123" s="34">
        <v>0</v>
      </c>
      <c r="L123" s="34">
        <f t="shared" si="6"/>
        <v>353362000</v>
      </c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1">
        <v>2</v>
      </c>
      <c r="AA123" s="32">
        <v>57</v>
      </c>
      <c r="AB123" s="33">
        <v>44432</v>
      </c>
      <c r="AC123" s="33">
        <v>44438</v>
      </c>
      <c r="AD123" s="31"/>
      <c r="AE123" s="35"/>
      <c r="AF123" s="27"/>
      <c r="AG123" s="36"/>
      <c r="AH123" s="31"/>
      <c r="AI123" s="32"/>
      <c r="AJ123" s="27"/>
      <c r="AK123" s="36"/>
      <c r="AL123" s="31"/>
      <c r="AM123" s="32"/>
      <c r="AN123" s="27"/>
      <c r="AO123" s="36"/>
      <c r="AP123" s="31"/>
      <c r="AQ123" s="32"/>
      <c r="AR123" s="27"/>
      <c r="AS123" s="36"/>
      <c r="AT123" s="37"/>
      <c r="AU123" s="38"/>
    </row>
    <row r="124" spans="2:47" s="39" customFormat="1" ht="22.5">
      <c r="B124" s="22">
        <v>114</v>
      </c>
      <c r="C124" s="22" t="s">
        <v>1226</v>
      </c>
      <c r="D124" s="216">
        <v>30469085</v>
      </c>
      <c r="E124" s="293" t="s">
        <v>1363</v>
      </c>
      <c r="F124" s="47" t="s">
        <v>317</v>
      </c>
      <c r="G124" s="26" t="s">
        <v>1224</v>
      </c>
      <c r="H124" s="47" t="s">
        <v>1364</v>
      </c>
      <c r="I124" s="49" t="s">
        <v>52</v>
      </c>
      <c r="J124" s="295">
        <v>364168000</v>
      </c>
      <c r="K124" s="34">
        <v>0</v>
      </c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1">
        <v>2</v>
      </c>
      <c r="AA124" s="32">
        <v>57</v>
      </c>
      <c r="AB124" s="33">
        <v>44432</v>
      </c>
      <c r="AC124" s="33">
        <v>44438</v>
      </c>
      <c r="AD124" s="31"/>
      <c r="AE124" s="35"/>
      <c r="AF124" s="27"/>
      <c r="AG124" s="36"/>
      <c r="AH124" s="31"/>
      <c r="AI124" s="32"/>
      <c r="AJ124" s="27"/>
      <c r="AK124" s="36"/>
      <c r="AL124" s="31"/>
      <c r="AM124" s="32"/>
      <c r="AN124" s="27"/>
      <c r="AO124" s="36"/>
      <c r="AP124" s="31"/>
      <c r="AQ124" s="32"/>
      <c r="AR124" s="27"/>
      <c r="AS124" s="36"/>
      <c r="AT124" s="37"/>
      <c r="AU124" s="38"/>
    </row>
    <row r="125" spans="2:47" s="39" customFormat="1" ht="33.75">
      <c r="B125" s="22">
        <v>115</v>
      </c>
      <c r="C125" s="22" t="s">
        <v>1226</v>
      </c>
      <c r="D125" s="216">
        <v>40023341</v>
      </c>
      <c r="E125" s="293" t="s">
        <v>1365</v>
      </c>
      <c r="F125" s="47" t="s">
        <v>317</v>
      </c>
      <c r="G125" s="26" t="s">
        <v>1224</v>
      </c>
      <c r="H125" s="47" t="s">
        <v>1228</v>
      </c>
      <c r="I125" s="49" t="s">
        <v>52</v>
      </c>
      <c r="J125" s="295">
        <v>2610994000</v>
      </c>
      <c r="K125" s="34">
        <v>0</v>
      </c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1">
        <v>2</v>
      </c>
      <c r="AA125" s="32">
        <v>57</v>
      </c>
      <c r="AB125" s="33">
        <v>44432</v>
      </c>
      <c r="AC125" s="33">
        <v>44438</v>
      </c>
      <c r="AD125" s="31"/>
      <c r="AE125" s="35"/>
      <c r="AF125" s="27"/>
      <c r="AG125" s="36"/>
      <c r="AH125" s="31"/>
      <c r="AI125" s="32"/>
      <c r="AJ125" s="27"/>
      <c r="AK125" s="36"/>
      <c r="AL125" s="31"/>
      <c r="AM125" s="32"/>
      <c r="AN125" s="27"/>
      <c r="AO125" s="36"/>
      <c r="AP125" s="31"/>
      <c r="AQ125" s="32"/>
      <c r="AR125" s="27"/>
      <c r="AS125" s="36"/>
      <c r="AT125" s="37"/>
      <c r="AU125" s="38"/>
    </row>
    <row r="126" spans="2:47" s="39" customFormat="1" ht="22.5">
      <c r="B126" s="22">
        <v>116</v>
      </c>
      <c r="C126" s="22" t="s">
        <v>1226</v>
      </c>
      <c r="D126" s="216">
        <v>30464304</v>
      </c>
      <c r="E126" s="293" t="s">
        <v>1366</v>
      </c>
      <c r="F126" s="47" t="s">
        <v>47</v>
      </c>
      <c r="G126" s="26" t="s">
        <v>1224</v>
      </c>
      <c r="H126" s="47" t="s">
        <v>1232</v>
      </c>
      <c r="I126" s="49" t="s">
        <v>52</v>
      </c>
      <c r="J126" s="295">
        <v>306682000</v>
      </c>
      <c r="K126" s="34">
        <v>0</v>
      </c>
      <c r="L126" s="295">
        <v>90020000</v>
      </c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1">
        <v>2</v>
      </c>
      <c r="AA126" s="32">
        <v>57</v>
      </c>
      <c r="AB126" s="33">
        <v>44432</v>
      </c>
      <c r="AC126" s="33">
        <v>44438</v>
      </c>
      <c r="AD126" s="31"/>
      <c r="AE126" s="35"/>
      <c r="AF126" s="27"/>
      <c r="AG126" s="36"/>
      <c r="AH126" s="31"/>
      <c r="AI126" s="32"/>
      <c r="AJ126" s="27"/>
      <c r="AK126" s="36"/>
      <c r="AL126" s="31"/>
      <c r="AM126" s="32"/>
      <c r="AN126" s="27"/>
      <c r="AO126" s="36"/>
      <c r="AP126" s="31"/>
      <c r="AQ126" s="32"/>
      <c r="AR126" s="27"/>
      <c r="AS126" s="36"/>
      <c r="AT126" s="37"/>
      <c r="AU126" s="38"/>
    </row>
    <row r="127" spans="2:47" s="39" customFormat="1">
      <c r="B127" s="22"/>
      <c r="C127" s="22"/>
      <c r="D127" s="292"/>
      <c r="E127" s="293"/>
      <c r="F127" s="47"/>
      <c r="G127" s="26"/>
      <c r="H127" s="296"/>
      <c r="I127" s="49"/>
      <c r="J127" s="291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1"/>
      <c r="AA127" s="32"/>
      <c r="AB127" s="33"/>
      <c r="AC127" s="36"/>
      <c r="AD127" s="31"/>
      <c r="AE127" s="35"/>
      <c r="AF127" s="27"/>
      <c r="AG127" s="36"/>
      <c r="AH127" s="31"/>
      <c r="AI127" s="32"/>
      <c r="AJ127" s="27"/>
      <c r="AK127" s="36"/>
      <c r="AL127" s="31"/>
      <c r="AM127" s="32"/>
      <c r="AN127" s="27"/>
      <c r="AO127" s="36"/>
      <c r="AP127" s="31"/>
      <c r="AQ127" s="32"/>
      <c r="AR127" s="27"/>
      <c r="AS127" s="36"/>
      <c r="AT127" s="37"/>
      <c r="AU127" s="38"/>
    </row>
    <row r="128" spans="2:47" s="39" customFormat="1">
      <c r="B128" s="22"/>
      <c r="C128" s="22"/>
      <c r="D128" s="292"/>
      <c r="E128" s="293"/>
      <c r="F128" s="47"/>
      <c r="G128" s="26"/>
      <c r="H128" s="296"/>
      <c r="I128" s="49"/>
      <c r="J128" s="291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1"/>
      <c r="AA128" s="32"/>
      <c r="AB128" s="33"/>
      <c r="AC128" s="36"/>
      <c r="AD128" s="31"/>
      <c r="AE128" s="35"/>
      <c r="AF128" s="27"/>
      <c r="AG128" s="36"/>
      <c r="AH128" s="31"/>
      <c r="AI128" s="32"/>
      <c r="AJ128" s="27"/>
      <c r="AK128" s="36"/>
      <c r="AL128" s="31"/>
      <c r="AM128" s="32"/>
      <c r="AN128" s="27"/>
      <c r="AO128" s="36"/>
      <c r="AP128" s="31"/>
      <c r="AQ128" s="32"/>
      <c r="AR128" s="27"/>
      <c r="AS128" s="36"/>
      <c r="AT128" s="37"/>
      <c r="AU128" s="38"/>
    </row>
    <row r="129" spans="2:47" s="39" customFormat="1">
      <c r="B129" s="22"/>
      <c r="C129" s="22"/>
      <c r="D129" s="292"/>
      <c r="E129" s="293"/>
      <c r="F129" s="47"/>
      <c r="G129" s="26"/>
      <c r="H129" s="296"/>
      <c r="I129" s="49"/>
      <c r="J129" s="291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1"/>
      <c r="AA129" s="32"/>
      <c r="AB129" s="33"/>
      <c r="AC129" s="36"/>
      <c r="AD129" s="31"/>
      <c r="AE129" s="35"/>
      <c r="AF129" s="27"/>
      <c r="AG129" s="36"/>
      <c r="AH129" s="31"/>
      <c r="AI129" s="32"/>
      <c r="AJ129" s="27"/>
      <c r="AK129" s="36"/>
      <c r="AL129" s="31"/>
      <c r="AM129" s="32"/>
      <c r="AN129" s="27"/>
      <c r="AO129" s="36"/>
      <c r="AP129" s="31"/>
      <c r="AQ129" s="32"/>
      <c r="AR129" s="27"/>
      <c r="AS129" s="36"/>
      <c r="AT129" s="37"/>
      <c r="AU129" s="38"/>
    </row>
    <row r="130" spans="2:47" s="39" customFormat="1">
      <c r="B130" s="22"/>
      <c r="C130" s="22"/>
      <c r="D130" s="292"/>
      <c r="E130" s="293"/>
      <c r="F130" s="47"/>
      <c r="G130" s="26"/>
      <c r="H130" s="296"/>
      <c r="I130" s="49"/>
      <c r="J130" s="291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1"/>
      <c r="AA130" s="32"/>
      <c r="AB130" s="33"/>
      <c r="AC130" s="36"/>
      <c r="AD130" s="31"/>
      <c r="AE130" s="35"/>
      <c r="AF130" s="27"/>
      <c r="AG130" s="36"/>
      <c r="AH130" s="31"/>
      <c r="AI130" s="32"/>
      <c r="AJ130" s="27"/>
      <c r="AK130" s="36"/>
      <c r="AL130" s="31"/>
      <c r="AM130" s="32"/>
      <c r="AN130" s="27"/>
      <c r="AO130" s="36"/>
      <c r="AP130" s="31"/>
      <c r="AQ130" s="32"/>
      <c r="AR130" s="27"/>
      <c r="AS130" s="36"/>
      <c r="AT130" s="37"/>
      <c r="AU130" s="38"/>
    </row>
    <row r="131" spans="2:47" s="39" customFormat="1">
      <c r="B131" s="22"/>
      <c r="C131" s="22"/>
      <c r="D131" s="292"/>
      <c r="E131" s="293"/>
      <c r="F131" s="47"/>
      <c r="G131" s="26"/>
      <c r="H131" s="296"/>
      <c r="I131" s="49"/>
      <c r="J131" s="291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1"/>
      <c r="AA131" s="32"/>
      <c r="AB131" s="33"/>
      <c r="AC131" s="36"/>
      <c r="AD131" s="31"/>
      <c r="AE131" s="35"/>
      <c r="AF131" s="27"/>
      <c r="AG131" s="36"/>
      <c r="AH131" s="31"/>
      <c r="AI131" s="32"/>
      <c r="AJ131" s="27"/>
      <c r="AK131" s="36"/>
      <c r="AL131" s="31"/>
      <c r="AM131" s="32"/>
      <c r="AN131" s="27"/>
      <c r="AO131" s="36"/>
      <c r="AP131" s="31"/>
      <c r="AQ131" s="32"/>
      <c r="AR131" s="27"/>
      <c r="AS131" s="36"/>
      <c r="AT131" s="37"/>
      <c r="AU131" s="38"/>
    </row>
    <row r="132" spans="2:47" s="39" customFormat="1">
      <c r="B132" s="22"/>
      <c r="C132" s="22"/>
      <c r="D132" s="292"/>
      <c r="E132" s="48"/>
      <c r="F132" s="48"/>
      <c r="G132" s="26"/>
      <c r="H132" s="73"/>
      <c r="I132" s="49"/>
      <c r="J132" s="291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>
        <f t="shared" si="10"/>
        <v>0</v>
      </c>
      <c r="Z132" s="31"/>
      <c r="AA132" s="32"/>
      <c r="AB132" s="33"/>
      <c r="AC132" s="36"/>
      <c r="AD132" s="31"/>
      <c r="AE132" s="35"/>
      <c r="AF132" s="27"/>
      <c r="AG132" s="36"/>
      <c r="AH132" s="31"/>
      <c r="AI132" s="32"/>
      <c r="AJ132" s="27"/>
      <c r="AK132" s="36"/>
      <c r="AL132" s="31"/>
      <c r="AM132" s="32"/>
      <c r="AN132" s="27"/>
      <c r="AO132" s="36"/>
      <c r="AP132" s="31"/>
      <c r="AQ132" s="32"/>
      <c r="AR132" s="27"/>
      <c r="AS132" s="36"/>
      <c r="AT132" s="37"/>
      <c r="AU132" s="38"/>
    </row>
    <row r="133" spans="2:47" s="39" customFormat="1">
      <c r="B133" s="22"/>
      <c r="C133" s="22"/>
      <c r="D133" s="292"/>
      <c r="E133" s="48"/>
      <c r="F133" s="48"/>
      <c r="G133" s="26"/>
      <c r="H133" s="73"/>
      <c r="I133" s="49"/>
      <c r="J133" s="291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>
        <f t="shared" si="10"/>
        <v>0</v>
      </c>
      <c r="Z133" s="31"/>
      <c r="AA133" s="32"/>
      <c r="AB133" s="33"/>
      <c r="AC133" s="36"/>
      <c r="AD133" s="31"/>
      <c r="AE133" s="35"/>
      <c r="AF133" s="27"/>
      <c r="AG133" s="36"/>
      <c r="AH133" s="31"/>
      <c r="AI133" s="32"/>
      <c r="AJ133" s="27"/>
      <c r="AK133" s="36"/>
      <c r="AL133" s="31"/>
      <c r="AM133" s="32"/>
      <c r="AN133" s="27"/>
      <c r="AO133" s="36"/>
      <c r="AP133" s="31"/>
      <c r="AQ133" s="32"/>
      <c r="AR133" s="27"/>
      <c r="AS133" s="36"/>
      <c r="AT133" s="37"/>
      <c r="AU133" s="38"/>
    </row>
    <row r="134" spans="2:47" s="39" customFormat="1">
      <c r="B134" s="22"/>
      <c r="C134" s="22"/>
      <c r="D134" s="292"/>
      <c r="E134" s="48"/>
      <c r="F134" s="48"/>
      <c r="G134" s="26"/>
      <c r="H134" s="73"/>
      <c r="I134" s="49"/>
      <c r="J134" s="291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>
        <f t="shared" si="10"/>
        <v>0</v>
      </c>
      <c r="Z134" s="31"/>
      <c r="AA134" s="32"/>
      <c r="AB134" s="33"/>
      <c r="AC134" s="36"/>
      <c r="AD134" s="31"/>
      <c r="AE134" s="35"/>
      <c r="AF134" s="27"/>
      <c r="AG134" s="36"/>
      <c r="AH134" s="31"/>
      <c r="AI134" s="32"/>
      <c r="AJ134" s="27"/>
      <c r="AK134" s="36"/>
      <c r="AL134" s="31"/>
      <c r="AM134" s="32"/>
      <c r="AN134" s="27"/>
      <c r="AO134" s="36"/>
      <c r="AP134" s="31"/>
      <c r="AQ134" s="32"/>
      <c r="AR134" s="27"/>
      <c r="AS134" s="36"/>
      <c r="AT134" s="37"/>
      <c r="AU134" s="38"/>
    </row>
    <row r="135" spans="2:47" s="39" customFormat="1">
      <c r="B135" s="22"/>
      <c r="C135" s="22"/>
      <c r="D135" s="292"/>
      <c r="E135" s="48"/>
      <c r="F135" s="48"/>
      <c r="G135" s="26"/>
      <c r="H135" s="73"/>
      <c r="I135" s="49"/>
      <c r="J135" s="291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>
        <f t="shared" si="10"/>
        <v>0</v>
      </c>
      <c r="Z135" s="31"/>
      <c r="AA135" s="32"/>
      <c r="AB135" s="33"/>
      <c r="AC135" s="36"/>
      <c r="AD135" s="31"/>
      <c r="AE135" s="35"/>
      <c r="AF135" s="27"/>
      <c r="AG135" s="36"/>
      <c r="AH135" s="31"/>
      <c r="AI135" s="32"/>
      <c r="AJ135" s="27"/>
      <c r="AK135" s="36"/>
      <c r="AL135" s="31"/>
      <c r="AM135" s="32"/>
      <c r="AN135" s="27"/>
      <c r="AO135" s="36"/>
      <c r="AP135" s="31"/>
      <c r="AQ135" s="32"/>
      <c r="AR135" s="27"/>
      <c r="AS135" s="36"/>
      <c r="AT135" s="37"/>
      <c r="AU135" s="38"/>
    </row>
    <row r="136" spans="2:47" s="39" customFormat="1">
      <c r="B136" s="22"/>
      <c r="C136" s="22"/>
      <c r="D136" s="292"/>
      <c r="E136" s="48"/>
      <c r="F136" s="48"/>
      <c r="G136" s="26"/>
      <c r="H136" s="73"/>
      <c r="I136" s="49"/>
      <c r="J136" s="291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>
        <f t="shared" si="10"/>
        <v>0</v>
      </c>
      <c r="Z136" s="31"/>
      <c r="AA136" s="32"/>
      <c r="AB136" s="33"/>
      <c r="AC136" s="36"/>
      <c r="AD136" s="31"/>
      <c r="AE136" s="35"/>
      <c r="AF136" s="27"/>
      <c r="AG136" s="36"/>
      <c r="AH136" s="31"/>
      <c r="AI136" s="32"/>
      <c r="AJ136" s="27"/>
      <c r="AK136" s="36"/>
      <c r="AL136" s="31"/>
      <c r="AM136" s="32"/>
      <c r="AN136" s="27"/>
      <c r="AO136" s="36"/>
      <c r="AP136" s="31"/>
      <c r="AQ136" s="32"/>
      <c r="AR136" s="27"/>
      <c r="AS136" s="36"/>
      <c r="AT136" s="37"/>
      <c r="AU136" s="38"/>
    </row>
    <row r="137" spans="2:47" s="39" customFormat="1">
      <c r="B137" s="22"/>
      <c r="C137" s="22"/>
      <c r="D137" s="292"/>
      <c r="E137" s="48"/>
      <c r="F137" s="48"/>
      <c r="G137" s="26"/>
      <c r="H137" s="73"/>
      <c r="I137" s="49"/>
      <c r="J137" s="291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>
        <f t="shared" si="10"/>
        <v>0</v>
      </c>
      <c r="Z137" s="31"/>
      <c r="AA137" s="32"/>
      <c r="AB137" s="33"/>
      <c r="AC137" s="36"/>
      <c r="AD137" s="31"/>
      <c r="AE137" s="35"/>
      <c r="AF137" s="27"/>
      <c r="AG137" s="36"/>
      <c r="AH137" s="31"/>
      <c r="AI137" s="32"/>
      <c r="AJ137" s="27"/>
      <c r="AK137" s="36"/>
      <c r="AL137" s="31"/>
      <c r="AM137" s="32"/>
      <c r="AN137" s="27"/>
      <c r="AO137" s="36"/>
      <c r="AP137" s="31"/>
      <c r="AQ137" s="32"/>
      <c r="AR137" s="27"/>
      <c r="AS137" s="36"/>
      <c r="AT137" s="37"/>
      <c r="AU137" s="38"/>
    </row>
    <row r="138" spans="2:47" s="39" customFormat="1">
      <c r="B138" s="22"/>
      <c r="C138" s="22"/>
      <c r="D138" s="292"/>
      <c r="E138" s="48"/>
      <c r="F138" s="48"/>
      <c r="G138" s="26"/>
      <c r="H138" s="73"/>
      <c r="I138" s="49"/>
      <c r="J138" s="291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>
        <f t="shared" si="10"/>
        <v>0</v>
      </c>
      <c r="Z138" s="31"/>
      <c r="AA138" s="32"/>
      <c r="AB138" s="33"/>
      <c r="AC138" s="36"/>
      <c r="AD138" s="31"/>
      <c r="AE138" s="35"/>
      <c r="AF138" s="27"/>
      <c r="AG138" s="36"/>
      <c r="AH138" s="31"/>
      <c r="AI138" s="32"/>
      <c r="AJ138" s="27"/>
      <c r="AK138" s="36"/>
      <c r="AL138" s="31"/>
      <c r="AM138" s="32"/>
      <c r="AN138" s="27"/>
      <c r="AO138" s="36"/>
      <c r="AP138" s="31"/>
      <c r="AQ138" s="32"/>
      <c r="AR138" s="27"/>
      <c r="AS138" s="36"/>
      <c r="AT138" s="37"/>
      <c r="AU138" s="38"/>
    </row>
    <row r="139" spans="2:47" s="39" customFormat="1">
      <c r="B139" s="22"/>
      <c r="C139" s="22"/>
      <c r="D139" s="292"/>
      <c r="E139" s="48"/>
      <c r="F139" s="48"/>
      <c r="G139" s="26"/>
      <c r="H139" s="73"/>
      <c r="I139" s="49"/>
      <c r="J139" s="291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>
        <f t="shared" si="10"/>
        <v>0</v>
      </c>
      <c r="Z139" s="31"/>
      <c r="AA139" s="32"/>
      <c r="AB139" s="33"/>
      <c r="AC139" s="36"/>
      <c r="AD139" s="31"/>
      <c r="AE139" s="35"/>
      <c r="AF139" s="27"/>
      <c r="AG139" s="36"/>
      <c r="AH139" s="31"/>
      <c r="AI139" s="32"/>
      <c r="AJ139" s="27"/>
      <c r="AK139" s="36"/>
      <c r="AL139" s="31"/>
      <c r="AM139" s="32"/>
      <c r="AN139" s="27"/>
      <c r="AO139" s="36"/>
      <c r="AP139" s="31"/>
      <c r="AQ139" s="32"/>
      <c r="AR139" s="27"/>
      <c r="AS139" s="36"/>
      <c r="AT139" s="37"/>
      <c r="AU139" s="38"/>
    </row>
    <row r="140" spans="2:47" s="39" customFormat="1">
      <c r="B140" s="22"/>
      <c r="C140" s="22"/>
      <c r="D140" s="292"/>
      <c r="E140" s="48"/>
      <c r="F140" s="48"/>
      <c r="G140" s="26"/>
      <c r="H140" s="73"/>
      <c r="I140" s="49"/>
      <c r="J140" s="291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>
        <f t="shared" si="10"/>
        <v>0</v>
      </c>
      <c r="Z140" s="31"/>
      <c r="AA140" s="32"/>
      <c r="AB140" s="33"/>
      <c r="AC140" s="36"/>
      <c r="AD140" s="31"/>
      <c r="AE140" s="35"/>
      <c r="AF140" s="27"/>
      <c r="AG140" s="36"/>
      <c r="AH140" s="31"/>
      <c r="AI140" s="32"/>
      <c r="AJ140" s="27"/>
      <c r="AK140" s="36"/>
      <c r="AL140" s="31"/>
      <c r="AM140" s="32"/>
      <c r="AN140" s="27"/>
      <c r="AO140" s="36"/>
      <c r="AP140" s="31"/>
      <c r="AQ140" s="32"/>
      <c r="AR140" s="27"/>
      <c r="AS140" s="36"/>
      <c r="AT140" s="37"/>
      <c r="AU140" s="38"/>
    </row>
    <row r="141" spans="2:47" s="39" customFormat="1">
      <c r="B141" s="22"/>
      <c r="C141" s="22"/>
      <c r="D141" s="292"/>
      <c r="E141" s="48"/>
      <c r="F141" s="48"/>
      <c r="G141" s="26"/>
      <c r="H141" s="73"/>
      <c r="I141" s="49"/>
      <c r="J141" s="291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1"/>
      <c r="AA141" s="32"/>
      <c r="AB141" s="33"/>
      <c r="AC141" s="36"/>
      <c r="AD141" s="31"/>
      <c r="AE141" s="35"/>
      <c r="AF141" s="27"/>
      <c r="AG141" s="36"/>
      <c r="AH141" s="31"/>
      <c r="AI141" s="32"/>
      <c r="AJ141" s="27"/>
      <c r="AK141" s="36"/>
      <c r="AL141" s="31"/>
      <c r="AM141" s="32"/>
      <c r="AN141" s="27"/>
      <c r="AO141" s="36"/>
      <c r="AP141" s="31"/>
      <c r="AQ141" s="32"/>
      <c r="AR141" s="27"/>
      <c r="AS141" s="36"/>
      <c r="AT141" s="37"/>
      <c r="AU141" s="38"/>
    </row>
    <row r="142" spans="2:47" s="39" customFormat="1">
      <c r="B142" s="22"/>
      <c r="C142" s="22"/>
      <c r="D142" s="292"/>
      <c r="E142" s="48"/>
      <c r="F142" s="48"/>
      <c r="G142" s="26"/>
      <c r="H142" s="73"/>
      <c r="I142" s="49"/>
      <c r="J142" s="291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1"/>
      <c r="AA142" s="32"/>
      <c r="AB142" s="33"/>
      <c r="AC142" s="36"/>
      <c r="AD142" s="31"/>
      <c r="AE142" s="35"/>
      <c r="AF142" s="27"/>
      <c r="AG142" s="36"/>
      <c r="AH142" s="31"/>
      <c r="AI142" s="32"/>
      <c r="AJ142" s="27"/>
      <c r="AK142" s="36"/>
      <c r="AL142" s="31"/>
      <c r="AM142" s="32"/>
      <c r="AN142" s="27"/>
      <c r="AO142" s="36"/>
      <c r="AP142" s="31"/>
      <c r="AQ142" s="32"/>
      <c r="AR142" s="27"/>
      <c r="AS142" s="36"/>
      <c r="AT142" s="37"/>
      <c r="AU142" s="38"/>
    </row>
    <row r="143" spans="2:47" ht="15" customHeight="1">
      <c r="B143" s="749" t="s">
        <v>134</v>
      </c>
      <c r="C143" s="750"/>
      <c r="D143" s="750"/>
      <c r="E143" s="750"/>
      <c r="F143" s="750"/>
      <c r="G143" s="750"/>
      <c r="H143" s="750"/>
      <c r="I143" s="751"/>
      <c r="J143" s="59">
        <f>SUBTOTAL(9,J16:J137)</f>
        <v>3822931893</v>
      </c>
      <c r="K143" s="59">
        <f t="shared" ref="K143:X143" si="11">SUBTOTAL(9,K16:K137)</f>
        <v>47126616</v>
      </c>
      <c r="L143" s="59">
        <f t="shared" si="11"/>
        <v>583981277</v>
      </c>
      <c r="M143" s="59">
        <f t="shared" si="11"/>
        <v>0</v>
      </c>
      <c r="N143" s="59">
        <f t="shared" si="11"/>
        <v>2361848</v>
      </c>
      <c r="O143" s="59">
        <f t="shared" si="11"/>
        <v>2581695</v>
      </c>
      <c r="P143" s="59">
        <f t="shared" si="11"/>
        <v>2516404</v>
      </c>
      <c r="Q143" s="59">
        <f t="shared" si="11"/>
        <v>2051414</v>
      </c>
      <c r="R143" s="59">
        <f>SUBTOTAL(9,R16:R137)</f>
        <v>3792002</v>
      </c>
      <c r="S143" s="59">
        <f t="shared" si="11"/>
        <v>1955681</v>
      </c>
      <c r="T143" s="59">
        <f t="shared" si="11"/>
        <v>2319634</v>
      </c>
      <c r="U143" s="59">
        <f t="shared" si="11"/>
        <v>2101013</v>
      </c>
      <c r="V143" s="59">
        <f t="shared" si="11"/>
        <v>0</v>
      </c>
      <c r="W143" s="59">
        <f t="shared" si="11"/>
        <v>0</v>
      </c>
      <c r="X143" s="59">
        <f t="shared" si="11"/>
        <v>0</v>
      </c>
      <c r="Y143" s="59">
        <f>SUBTOTAL(9,Y16:Y137)</f>
        <v>19679691</v>
      </c>
      <c r="Z143" s="59">
        <f>SUBTOTAL(9,Z16:Z137)</f>
        <v>24523947</v>
      </c>
      <c r="AA143" s="59"/>
      <c r="AB143" s="59"/>
      <c r="AC143" s="59"/>
      <c r="AD143" s="59">
        <f>SUBTOTAL(9,AD16:AD137)</f>
        <v>1354372</v>
      </c>
      <c r="AE143" s="59"/>
      <c r="AF143" s="59"/>
      <c r="AG143" s="59"/>
      <c r="AH143" s="59">
        <f>SUBTOTAL(9,AH16:AH137)</f>
        <v>2908725</v>
      </c>
      <c r="AI143" s="59"/>
      <c r="AJ143" s="59"/>
      <c r="AK143" s="59"/>
      <c r="AL143" s="59">
        <f>SUBTOTAL(9,AL16:AL137)</f>
        <v>107021</v>
      </c>
      <c r="AM143" s="59"/>
      <c r="AN143" s="59"/>
      <c r="AO143" s="59"/>
      <c r="AP143" s="59">
        <f>SUBTOTAL(9,AP16:AP137)</f>
        <v>0</v>
      </c>
      <c r="AQ143" s="59"/>
      <c r="AR143" s="59"/>
      <c r="AS143" s="59"/>
      <c r="AT143" s="59">
        <f>SUBTOTAL(9,AT16:AT139)</f>
        <v>28894057</v>
      </c>
      <c r="AU143" s="59">
        <f>SUBTOTAL(9,AU16:AU139)</f>
        <v>9214366</v>
      </c>
    </row>
    <row r="144" spans="2:47" s="123" customFormat="1" ht="20.25" customHeight="1">
      <c r="B144" s="752"/>
      <c r="C144" s="752"/>
      <c r="D144" s="752"/>
      <c r="E144" s="752"/>
      <c r="F144" s="140"/>
      <c r="G144" s="125"/>
      <c r="H144" s="125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74"/>
      <c r="AE144" s="124"/>
      <c r="AI144" s="74"/>
      <c r="AM144" s="74"/>
      <c r="AQ144" s="74"/>
      <c r="AT144" s="124"/>
      <c r="AU144" s="124"/>
    </row>
    <row r="145" spans="2:47" s="123" customFormat="1">
      <c r="B145" s="748"/>
      <c r="C145" s="748"/>
      <c r="D145" s="748"/>
      <c r="E145" s="748"/>
      <c r="F145" s="748"/>
      <c r="G145" s="748"/>
      <c r="H145" s="748"/>
      <c r="I145" s="748"/>
      <c r="J145" s="748"/>
      <c r="K145" s="748"/>
      <c r="L145" s="748"/>
      <c r="M145" s="748"/>
      <c r="N145" s="748"/>
      <c r="O145" s="748"/>
      <c r="P145" s="748"/>
      <c r="Q145" s="748"/>
      <c r="R145" s="748"/>
      <c r="S145" s="748"/>
      <c r="T145" s="748"/>
      <c r="U145" s="748"/>
      <c r="V145" s="748"/>
      <c r="W145" s="748"/>
      <c r="X145" s="748"/>
      <c r="Y145" s="748"/>
      <c r="Z145" s="748"/>
      <c r="AA145" s="748"/>
      <c r="AB145" s="748"/>
      <c r="AC145" s="748"/>
      <c r="AD145" s="210"/>
      <c r="AE145" s="209"/>
      <c r="AF145" s="210"/>
      <c r="AG145" s="210"/>
      <c r="AH145" s="210"/>
      <c r="AI145" s="211"/>
      <c r="AJ145" s="210"/>
      <c r="AK145" s="210"/>
      <c r="AL145" s="210"/>
      <c r="AM145" s="211"/>
      <c r="AN145" s="210"/>
      <c r="AO145" s="210"/>
      <c r="AP145" s="210"/>
      <c r="AQ145" s="211"/>
      <c r="AR145" s="210"/>
      <c r="AS145" s="210"/>
      <c r="AT145" s="124"/>
      <c r="AU145" s="124"/>
    </row>
    <row r="146" spans="2:47" s="123" customFormat="1">
      <c r="B146" s="125"/>
      <c r="D146" s="238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74"/>
      <c r="AD146" s="124"/>
      <c r="AH146" s="74"/>
      <c r="AL146" s="74"/>
      <c r="AP146" s="74"/>
      <c r="AS146" s="124"/>
      <c r="AT146" s="124"/>
    </row>
    <row r="147" spans="2:47" s="123" customFormat="1">
      <c r="B147" s="125"/>
      <c r="D147" s="238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74"/>
      <c r="AD147" s="124"/>
      <c r="AH147" s="74"/>
      <c r="AL147" s="74"/>
      <c r="AP147" s="74"/>
      <c r="AS147" s="124"/>
      <c r="AT147" s="124"/>
    </row>
    <row r="148" spans="2:47" s="123" customFormat="1">
      <c r="B148" s="125"/>
      <c r="D148" s="238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74"/>
      <c r="AD148" s="124"/>
      <c r="AH148" s="74"/>
      <c r="AL148" s="74"/>
      <c r="AP148" s="74"/>
      <c r="AS148" s="124"/>
      <c r="AT148" s="124"/>
    </row>
    <row r="149" spans="2:47" s="123" customFormat="1">
      <c r="B149" s="125"/>
      <c r="D149" s="238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74"/>
      <c r="AE149" s="124"/>
      <c r="AI149" s="74"/>
      <c r="AM149" s="74"/>
      <c r="AQ149" s="74"/>
      <c r="AT149" s="124"/>
      <c r="AU149" s="124"/>
    </row>
    <row r="150" spans="2:47" s="123" customFormat="1">
      <c r="B150" s="125"/>
      <c r="D150" s="238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74"/>
      <c r="AE150" s="124"/>
      <c r="AI150" s="74"/>
      <c r="AM150" s="74"/>
      <c r="AQ150" s="74"/>
      <c r="AT150" s="124"/>
      <c r="AU150" s="124"/>
    </row>
    <row r="151" spans="2:47" s="123" customFormat="1">
      <c r="B151" s="125"/>
      <c r="D151" s="238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74"/>
      <c r="AE151" s="124"/>
      <c r="AI151" s="74"/>
      <c r="AM151" s="74"/>
      <c r="AQ151" s="74"/>
      <c r="AT151" s="124"/>
      <c r="AU151" s="124"/>
    </row>
    <row r="152" spans="2:47" s="123" customFormat="1">
      <c r="B152" s="125"/>
      <c r="D152" s="238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241"/>
      <c r="AB152" s="125"/>
      <c r="AE152" s="124"/>
      <c r="AI152" s="74"/>
      <c r="AM152" s="74"/>
      <c r="AQ152" s="74"/>
      <c r="AT152" s="124"/>
      <c r="AU152" s="124"/>
    </row>
    <row r="153" spans="2:47" s="123" customFormat="1">
      <c r="B153" s="125"/>
      <c r="D153" s="238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297"/>
      <c r="AB153" s="297"/>
      <c r="AC153" s="297"/>
      <c r="AE153" s="124"/>
      <c r="AI153" s="74"/>
      <c r="AM153" s="74"/>
      <c r="AQ153" s="74"/>
      <c r="AT153" s="124"/>
      <c r="AU153" s="124"/>
    </row>
    <row r="154" spans="2:47" s="123" customFormat="1">
      <c r="B154" s="125"/>
      <c r="D154" s="238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297"/>
      <c r="AB154" s="297"/>
      <c r="AC154" s="297"/>
      <c r="AE154" s="124"/>
      <c r="AI154" s="74"/>
      <c r="AM154" s="74"/>
      <c r="AQ154" s="74"/>
      <c r="AT154" s="124"/>
      <c r="AU154" s="124"/>
    </row>
    <row r="155" spans="2:47" s="123" customFormat="1">
      <c r="B155" s="125"/>
      <c r="D155" s="238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297"/>
      <c r="AB155" s="297"/>
      <c r="AC155" s="297"/>
      <c r="AE155" s="124"/>
      <c r="AI155" s="74"/>
      <c r="AM155" s="74"/>
      <c r="AQ155" s="74"/>
      <c r="AT155" s="124"/>
      <c r="AU155" s="124"/>
    </row>
    <row r="156" spans="2:47" s="123" customFormat="1">
      <c r="B156" s="125"/>
      <c r="D156" s="238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297"/>
      <c r="AB156" s="297"/>
      <c r="AC156" s="297"/>
      <c r="AE156" s="124"/>
      <c r="AI156" s="74"/>
      <c r="AM156" s="74"/>
      <c r="AQ156" s="74"/>
      <c r="AT156" s="124"/>
      <c r="AU156" s="124"/>
    </row>
    <row r="157" spans="2:47" s="123" customFormat="1">
      <c r="B157" s="125"/>
      <c r="D157" s="238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297"/>
      <c r="AB157" s="297"/>
      <c r="AC157" s="297"/>
      <c r="AE157" s="124"/>
      <c r="AI157" s="74"/>
      <c r="AM157" s="74"/>
      <c r="AQ157" s="74"/>
      <c r="AT157" s="124"/>
      <c r="AU157" s="124"/>
    </row>
    <row r="158" spans="2:47" s="123" customFormat="1">
      <c r="B158" s="125"/>
      <c r="D158" s="238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297"/>
      <c r="AB158" s="297"/>
      <c r="AC158" s="297"/>
      <c r="AE158" s="124"/>
      <c r="AI158" s="74"/>
      <c r="AM158" s="74"/>
      <c r="AQ158" s="74"/>
      <c r="AT158" s="124"/>
      <c r="AU158" s="124"/>
    </row>
    <row r="159" spans="2:47" s="123" customFormat="1">
      <c r="B159" s="125"/>
      <c r="D159" s="238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297"/>
      <c r="AB159" s="297"/>
      <c r="AC159" s="297"/>
      <c r="AE159" s="124"/>
      <c r="AI159" s="74"/>
      <c r="AM159" s="74"/>
      <c r="AQ159" s="74"/>
      <c r="AT159" s="124"/>
      <c r="AU159" s="124"/>
    </row>
    <row r="160" spans="2:47" s="123" customFormat="1">
      <c r="B160" s="125"/>
      <c r="D160" s="238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297"/>
      <c r="AB160" s="297"/>
      <c r="AC160" s="297"/>
      <c r="AE160" s="124"/>
      <c r="AI160" s="74"/>
      <c r="AM160" s="74"/>
      <c r="AQ160" s="74"/>
      <c r="AT160" s="124"/>
      <c r="AU160" s="124"/>
    </row>
    <row r="161" spans="2:47" s="123" customFormat="1">
      <c r="B161" s="125"/>
      <c r="D161" s="238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297"/>
      <c r="AB161" s="297"/>
      <c r="AC161" s="297"/>
      <c r="AE161" s="124"/>
      <c r="AI161" s="74"/>
      <c r="AM161" s="74"/>
      <c r="AQ161" s="74"/>
      <c r="AT161" s="124"/>
      <c r="AU161" s="124"/>
    </row>
    <row r="162" spans="2:47" s="123" customFormat="1">
      <c r="B162" s="125"/>
      <c r="D162" s="238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297"/>
      <c r="AB162" s="297"/>
      <c r="AC162" s="297"/>
      <c r="AE162" s="124"/>
      <c r="AI162" s="74"/>
      <c r="AM162" s="74"/>
      <c r="AQ162" s="74"/>
      <c r="AT162" s="124"/>
      <c r="AU162" s="124"/>
    </row>
    <row r="163" spans="2:47" s="123" customFormat="1">
      <c r="B163" s="125"/>
      <c r="D163" s="238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297"/>
      <c r="AB163" s="297"/>
      <c r="AC163" s="297"/>
      <c r="AE163" s="124"/>
      <c r="AI163" s="74"/>
      <c r="AM163" s="74"/>
      <c r="AQ163" s="74"/>
      <c r="AT163" s="124"/>
      <c r="AU163" s="124"/>
    </row>
    <row r="164" spans="2:47" s="123" customFormat="1">
      <c r="B164" s="125"/>
      <c r="D164" s="238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297"/>
      <c r="AB164" s="297"/>
      <c r="AC164" s="297"/>
      <c r="AE164" s="124"/>
      <c r="AI164" s="74"/>
      <c r="AM164" s="74"/>
      <c r="AQ164" s="74"/>
      <c r="AT164" s="124"/>
      <c r="AU164" s="124"/>
    </row>
    <row r="165" spans="2:47" s="123" customFormat="1">
      <c r="B165" s="125"/>
      <c r="D165" s="238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297"/>
      <c r="AB165" s="297"/>
      <c r="AC165" s="297"/>
      <c r="AE165" s="124"/>
      <c r="AI165" s="74"/>
      <c r="AM165" s="74"/>
      <c r="AQ165" s="74"/>
      <c r="AT165" s="124"/>
      <c r="AU165" s="124"/>
    </row>
    <row r="166" spans="2:47" s="123" customFormat="1">
      <c r="B166" s="125"/>
      <c r="D166" s="238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297"/>
      <c r="AB166" s="297"/>
      <c r="AC166" s="297"/>
      <c r="AE166" s="124"/>
      <c r="AI166" s="74"/>
      <c r="AM166" s="74"/>
      <c r="AQ166" s="74"/>
      <c r="AT166" s="124"/>
      <c r="AU166" s="124"/>
    </row>
    <row r="167" spans="2:47" s="123" customFormat="1">
      <c r="B167" s="125"/>
      <c r="D167" s="238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297"/>
      <c r="AB167" s="297"/>
      <c r="AC167" s="297"/>
      <c r="AE167" s="124"/>
      <c r="AI167" s="74"/>
      <c r="AM167" s="74"/>
      <c r="AQ167" s="74"/>
      <c r="AT167" s="124"/>
      <c r="AU167" s="124"/>
    </row>
    <row r="168" spans="2:47" s="123" customFormat="1">
      <c r="B168" s="125"/>
      <c r="D168" s="238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297"/>
      <c r="AB168" s="297"/>
      <c r="AC168" s="297"/>
      <c r="AE168" s="124"/>
      <c r="AI168" s="74"/>
      <c r="AM168" s="74"/>
      <c r="AQ168" s="74"/>
      <c r="AT168" s="124"/>
      <c r="AU168" s="124"/>
    </row>
    <row r="169" spans="2:47" s="123" customFormat="1">
      <c r="B169" s="125"/>
      <c r="D169" s="238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297"/>
      <c r="AB169" s="297"/>
      <c r="AC169" s="297"/>
      <c r="AE169" s="124"/>
      <c r="AI169" s="74"/>
      <c r="AM169" s="74"/>
      <c r="AQ169" s="74"/>
      <c r="AT169" s="124"/>
      <c r="AU169" s="124"/>
    </row>
    <row r="170" spans="2:47" s="123" customFormat="1">
      <c r="B170" s="125"/>
      <c r="D170" s="238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297"/>
      <c r="AB170" s="297"/>
      <c r="AC170" s="297"/>
      <c r="AE170" s="124"/>
      <c r="AI170" s="74"/>
      <c r="AM170" s="74"/>
      <c r="AQ170" s="74"/>
      <c r="AT170" s="124"/>
      <c r="AU170" s="124"/>
    </row>
    <row r="171" spans="2:47" s="123" customFormat="1">
      <c r="B171" s="125"/>
      <c r="D171" s="238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74"/>
      <c r="AE171" s="124"/>
      <c r="AI171" s="74"/>
      <c r="AM171" s="74"/>
      <c r="AQ171" s="74"/>
      <c r="AT171" s="124"/>
      <c r="AU171" s="124"/>
    </row>
    <row r="172" spans="2:47" s="123" customFormat="1">
      <c r="B172" s="125"/>
      <c r="D172" s="238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74"/>
      <c r="AE172" s="124"/>
      <c r="AI172" s="74"/>
      <c r="AM172" s="74"/>
      <c r="AQ172" s="74"/>
      <c r="AT172" s="124"/>
      <c r="AU172" s="124"/>
    </row>
    <row r="173" spans="2:47" s="123" customFormat="1">
      <c r="B173" s="125"/>
      <c r="D173" s="238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74"/>
      <c r="AE173" s="124"/>
      <c r="AI173" s="74"/>
      <c r="AM173" s="74"/>
      <c r="AQ173" s="74"/>
      <c r="AT173" s="124"/>
      <c r="AU173" s="124"/>
    </row>
    <row r="174" spans="2:47" s="123" customFormat="1">
      <c r="B174" s="125"/>
      <c r="D174" s="238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74"/>
      <c r="AE174" s="124"/>
      <c r="AI174" s="74"/>
      <c r="AM174" s="74"/>
      <c r="AQ174" s="74"/>
      <c r="AT174" s="124"/>
      <c r="AU174" s="124"/>
    </row>
    <row r="175" spans="2:47" s="123" customFormat="1">
      <c r="B175" s="125"/>
      <c r="D175" s="238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74"/>
      <c r="AE175" s="124"/>
      <c r="AI175" s="74"/>
      <c r="AM175" s="74"/>
      <c r="AQ175" s="74"/>
      <c r="AT175" s="124"/>
      <c r="AU175" s="124"/>
    </row>
    <row r="176" spans="2:47" s="123" customFormat="1">
      <c r="B176" s="125"/>
      <c r="D176" s="238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74"/>
      <c r="AE176" s="124"/>
      <c r="AI176" s="74"/>
      <c r="AM176" s="74"/>
      <c r="AQ176" s="74"/>
      <c r="AT176" s="124"/>
      <c r="AU176" s="124"/>
    </row>
    <row r="177" spans="2:47" s="123" customFormat="1">
      <c r="B177" s="125"/>
      <c r="D177" s="238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74"/>
      <c r="AE177" s="124"/>
      <c r="AI177" s="74"/>
      <c r="AM177" s="74"/>
      <c r="AQ177" s="74"/>
      <c r="AT177" s="124"/>
      <c r="AU177" s="124"/>
    </row>
    <row r="178" spans="2:47" s="123" customFormat="1">
      <c r="B178" s="125"/>
      <c r="D178" s="238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74"/>
      <c r="AE178" s="124"/>
      <c r="AI178" s="74"/>
      <c r="AM178" s="74"/>
      <c r="AQ178" s="74"/>
      <c r="AT178" s="124"/>
      <c r="AU178" s="124"/>
    </row>
    <row r="179" spans="2:47" s="123" customFormat="1">
      <c r="B179" s="125"/>
      <c r="D179" s="238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74"/>
      <c r="AE179" s="124"/>
      <c r="AI179" s="74"/>
      <c r="AM179" s="74"/>
      <c r="AQ179" s="74"/>
      <c r="AT179" s="124"/>
      <c r="AU179" s="124"/>
    </row>
    <row r="180" spans="2:47" s="123" customFormat="1">
      <c r="B180" s="125"/>
      <c r="D180" s="238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74"/>
      <c r="AE180" s="124"/>
      <c r="AI180" s="74"/>
      <c r="AM180" s="74"/>
      <c r="AQ180" s="74"/>
      <c r="AT180" s="124"/>
      <c r="AU180" s="124"/>
    </row>
    <row r="181" spans="2:47" s="123" customFormat="1">
      <c r="B181" s="125"/>
      <c r="D181" s="238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74"/>
      <c r="AE181" s="124"/>
      <c r="AI181" s="74"/>
      <c r="AM181" s="74"/>
      <c r="AQ181" s="74"/>
      <c r="AT181" s="124"/>
      <c r="AU181" s="124"/>
    </row>
    <row r="182" spans="2:47" s="123" customFormat="1">
      <c r="B182" s="125"/>
      <c r="D182" s="238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74"/>
      <c r="AE182" s="124"/>
      <c r="AI182" s="74"/>
      <c r="AM182" s="74"/>
      <c r="AQ182" s="74"/>
      <c r="AT182" s="124"/>
      <c r="AU182" s="124"/>
    </row>
    <row r="183" spans="2:47" s="123" customFormat="1">
      <c r="B183" s="125"/>
      <c r="D183" s="238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74"/>
      <c r="AE183" s="124"/>
      <c r="AI183" s="74"/>
      <c r="AM183" s="74"/>
      <c r="AQ183" s="74"/>
      <c r="AT183" s="124"/>
      <c r="AU183" s="124"/>
    </row>
    <row r="184" spans="2:47" s="123" customFormat="1">
      <c r="B184" s="125"/>
      <c r="D184" s="238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74"/>
      <c r="AE184" s="124"/>
      <c r="AI184" s="74"/>
      <c r="AM184" s="74"/>
      <c r="AQ184" s="74"/>
      <c r="AT184" s="124"/>
      <c r="AU184" s="124"/>
    </row>
    <row r="185" spans="2:47" s="123" customFormat="1">
      <c r="B185" s="125"/>
      <c r="D185" s="238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74"/>
      <c r="AE185" s="124"/>
      <c r="AI185" s="74"/>
      <c r="AM185" s="74"/>
      <c r="AQ185" s="74"/>
      <c r="AT185" s="124"/>
      <c r="AU185" s="124"/>
    </row>
    <row r="186" spans="2:47" s="123" customFormat="1">
      <c r="B186" s="125"/>
      <c r="D186" s="238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74"/>
      <c r="AE186" s="124"/>
      <c r="AI186" s="74"/>
      <c r="AM186" s="74"/>
      <c r="AQ186" s="74"/>
      <c r="AT186" s="124"/>
      <c r="AU186" s="124"/>
    </row>
    <row r="187" spans="2:47" s="123" customFormat="1">
      <c r="B187" s="125"/>
      <c r="D187" s="238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74"/>
      <c r="AE187" s="124"/>
      <c r="AI187" s="74"/>
      <c r="AM187" s="74"/>
      <c r="AQ187" s="74"/>
      <c r="AT187" s="124"/>
      <c r="AU187" s="124"/>
    </row>
    <row r="188" spans="2:47" s="123" customFormat="1">
      <c r="B188" s="125"/>
      <c r="D188" s="238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74"/>
      <c r="AE188" s="124"/>
      <c r="AI188" s="74"/>
      <c r="AM188" s="74"/>
      <c r="AQ188" s="74"/>
      <c r="AT188" s="124"/>
      <c r="AU188" s="124"/>
    </row>
    <row r="189" spans="2:47" s="123" customFormat="1">
      <c r="B189" s="125"/>
      <c r="D189" s="238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74"/>
      <c r="AE189" s="124"/>
      <c r="AI189" s="74"/>
      <c r="AM189" s="74"/>
      <c r="AQ189" s="74"/>
      <c r="AT189" s="124"/>
      <c r="AU189" s="124"/>
    </row>
    <row r="190" spans="2:47" s="123" customFormat="1">
      <c r="B190" s="125"/>
      <c r="D190" s="238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74"/>
      <c r="AE190" s="124"/>
      <c r="AI190" s="74"/>
      <c r="AM190" s="74"/>
      <c r="AQ190" s="74"/>
      <c r="AT190" s="124"/>
      <c r="AU190" s="124"/>
    </row>
    <row r="191" spans="2:47" s="123" customFormat="1">
      <c r="B191" s="125"/>
      <c r="D191" s="238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74"/>
      <c r="AE191" s="124"/>
      <c r="AI191" s="74"/>
      <c r="AM191" s="74"/>
      <c r="AQ191" s="74"/>
      <c r="AT191" s="124"/>
      <c r="AU191" s="124"/>
    </row>
    <row r="192" spans="2:47" s="123" customFormat="1">
      <c r="B192" s="125"/>
      <c r="D192" s="238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74"/>
      <c r="AE192" s="124"/>
      <c r="AI192" s="74"/>
      <c r="AM192" s="74"/>
      <c r="AQ192" s="74"/>
      <c r="AT192" s="124"/>
      <c r="AU192" s="124"/>
    </row>
    <row r="193" spans="2:47" s="123" customFormat="1">
      <c r="B193" s="125"/>
      <c r="D193" s="238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74"/>
      <c r="AE193" s="124"/>
      <c r="AI193" s="74"/>
      <c r="AM193" s="74"/>
      <c r="AQ193" s="74"/>
      <c r="AT193" s="124"/>
      <c r="AU193" s="124"/>
    </row>
    <row r="194" spans="2:47" s="123" customFormat="1">
      <c r="B194" s="125"/>
      <c r="D194" s="238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74"/>
      <c r="AE194" s="124"/>
      <c r="AI194" s="74"/>
      <c r="AM194" s="74"/>
      <c r="AQ194" s="74"/>
      <c r="AT194" s="124"/>
      <c r="AU194" s="124"/>
    </row>
    <row r="195" spans="2:47" s="123" customFormat="1">
      <c r="B195" s="125"/>
      <c r="D195" s="238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74"/>
      <c r="AE195" s="124"/>
      <c r="AI195" s="74"/>
      <c r="AM195" s="74"/>
      <c r="AQ195" s="74"/>
      <c r="AT195" s="124"/>
      <c r="AU195" s="124"/>
    </row>
    <row r="196" spans="2:47" s="123" customFormat="1">
      <c r="B196" s="125"/>
      <c r="D196" s="238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74"/>
      <c r="AE196" s="124"/>
      <c r="AI196" s="74"/>
      <c r="AM196" s="74"/>
      <c r="AQ196" s="74"/>
      <c r="AT196" s="124"/>
      <c r="AU196" s="124"/>
    </row>
    <row r="197" spans="2:47" s="123" customFormat="1">
      <c r="B197" s="125"/>
      <c r="D197" s="238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74"/>
      <c r="AE197" s="124"/>
      <c r="AI197" s="74"/>
      <c r="AM197" s="74"/>
      <c r="AQ197" s="74"/>
      <c r="AT197" s="124"/>
      <c r="AU197" s="124"/>
    </row>
    <row r="198" spans="2:47" s="123" customFormat="1">
      <c r="B198" s="125"/>
      <c r="D198" s="238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74"/>
      <c r="AE198" s="124"/>
      <c r="AI198" s="74"/>
      <c r="AM198" s="74"/>
      <c r="AQ198" s="74"/>
      <c r="AT198" s="124"/>
      <c r="AU198" s="124"/>
    </row>
    <row r="199" spans="2:47" s="123" customFormat="1">
      <c r="B199" s="125"/>
      <c r="D199" s="238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74"/>
      <c r="AE199" s="124"/>
      <c r="AI199" s="74"/>
      <c r="AM199" s="74"/>
      <c r="AQ199" s="74"/>
      <c r="AT199" s="124"/>
      <c r="AU199" s="124"/>
    </row>
    <row r="200" spans="2:47" s="123" customFormat="1">
      <c r="B200" s="125"/>
      <c r="D200" s="238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74"/>
      <c r="AE200" s="124"/>
      <c r="AI200" s="74"/>
      <c r="AM200" s="74"/>
      <c r="AQ200" s="74"/>
      <c r="AT200" s="124"/>
      <c r="AU200" s="124"/>
    </row>
    <row r="201" spans="2:47" s="123" customFormat="1">
      <c r="B201" s="125"/>
      <c r="D201" s="238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74"/>
      <c r="AE201" s="124"/>
      <c r="AI201" s="74"/>
      <c r="AM201" s="74"/>
      <c r="AQ201" s="74"/>
      <c r="AT201" s="124"/>
      <c r="AU201" s="124"/>
    </row>
    <row r="202" spans="2:47" s="123" customFormat="1">
      <c r="B202" s="125"/>
      <c r="D202" s="238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74"/>
      <c r="AE202" s="124"/>
      <c r="AI202" s="74"/>
      <c r="AM202" s="74"/>
      <c r="AQ202" s="74"/>
      <c r="AT202" s="124"/>
      <c r="AU202" s="124"/>
    </row>
    <row r="203" spans="2:47" s="123" customFormat="1">
      <c r="B203" s="125"/>
      <c r="D203" s="238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74"/>
      <c r="AE203" s="124"/>
      <c r="AI203" s="74"/>
      <c r="AM203" s="74"/>
      <c r="AQ203" s="74"/>
      <c r="AT203" s="124"/>
      <c r="AU203" s="124"/>
    </row>
    <row r="204" spans="2:47" s="123" customFormat="1">
      <c r="B204" s="125"/>
      <c r="D204" s="238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74"/>
      <c r="AE204" s="124"/>
      <c r="AI204" s="74"/>
      <c r="AM204" s="74"/>
      <c r="AQ204" s="74"/>
      <c r="AT204" s="124"/>
      <c r="AU204" s="124"/>
    </row>
    <row r="205" spans="2:47" s="123" customFormat="1">
      <c r="B205" s="125"/>
      <c r="D205" s="238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74"/>
      <c r="AE205" s="124"/>
      <c r="AI205" s="74"/>
      <c r="AM205" s="74"/>
      <c r="AQ205" s="74"/>
      <c r="AT205" s="124"/>
      <c r="AU205" s="124"/>
    </row>
    <row r="206" spans="2:47" s="123" customFormat="1">
      <c r="B206" s="125"/>
      <c r="D206" s="238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74"/>
      <c r="AE206" s="124"/>
      <c r="AI206" s="74"/>
      <c r="AM206" s="74"/>
      <c r="AQ206" s="74"/>
      <c r="AT206" s="124"/>
      <c r="AU206" s="124"/>
    </row>
    <row r="207" spans="2:47" s="123" customFormat="1">
      <c r="B207" s="125"/>
      <c r="D207" s="238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74"/>
      <c r="AE207" s="124"/>
      <c r="AI207" s="74"/>
      <c r="AM207" s="74"/>
      <c r="AQ207" s="74"/>
      <c r="AT207" s="124"/>
      <c r="AU207" s="124"/>
    </row>
    <row r="208" spans="2:47" s="123" customFormat="1">
      <c r="B208" s="125"/>
      <c r="D208" s="238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74"/>
      <c r="AE208" s="124"/>
      <c r="AI208" s="74"/>
      <c r="AM208" s="74"/>
      <c r="AQ208" s="74"/>
      <c r="AT208" s="124"/>
      <c r="AU208" s="124"/>
    </row>
    <row r="209" spans="2:47" s="123" customFormat="1">
      <c r="B209" s="125"/>
      <c r="D209" s="238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74"/>
      <c r="AE209" s="124"/>
      <c r="AI209" s="74"/>
      <c r="AM209" s="74"/>
      <c r="AQ209" s="74"/>
      <c r="AT209" s="124"/>
      <c r="AU209" s="124"/>
    </row>
    <row r="210" spans="2:47" s="123" customFormat="1">
      <c r="B210" s="125"/>
      <c r="D210" s="238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74"/>
      <c r="AE210" s="124"/>
      <c r="AI210" s="74"/>
      <c r="AM210" s="74"/>
      <c r="AQ210" s="74"/>
      <c r="AT210" s="124"/>
      <c r="AU210" s="124"/>
    </row>
    <row r="211" spans="2:47" s="123" customFormat="1">
      <c r="B211" s="125"/>
      <c r="D211" s="238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74"/>
      <c r="AE211" s="124"/>
      <c r="AI211" s="74"/>
      <c r="AM211" s="74"/>
      <c r="AQ211" s="74"/>
      <c r="AT211" s="124"/>
      <c r="AU211" s="124"/>
    </row>
    <row r="212" spans="2:47" s="123" customFormat="1">
      <c r="B212" s="125"/>
      <c r="D212" s="238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74"/>
      <c r="AE212" s="124"/>
      <c r="AI212" s="74"/>
      <c r="AM212" s="74"/>
      <c r="AQ212" s="74"/>
      <c r="AT212" s="124"/>
      <c r="AU212" s="124"/>
    </row>
    <row r="213" spans="2:47" s="123" customFormat="1">
      <c r="B213" s="125"/>
      <c r="D213" s="238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74"/>
      <c r="AE213" s="124"/>
      <c r="AI213" s="74"/>
      <c r="AM213" s="74"/>
      <c r="AQ213" s="74"/>
      <c r="AT213" s="124"/>
      <c r="AU213" s="124"/>
    </row>
    <row r="214" spans="2:47" s="123" customFormat="1">
      <c r="B214" s="125"/>
      <c r="D214" s="238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74"/>
      <c r="AE214" s="124"/>
      <c r="AI214" s="74"/>
      <c r="AM214" s="74"/>
      <c r="AQ214" s="74"/>
      <c r="AT214" s="124"/>
      <c r="AU214" s="124"/>
    </row>
    <row r="215" spans="2:47" s="123" customFormat="1">
      <c r="B215" s="125"/>
      <c r="D215" s="238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74"/>
      <c r="AE215" s="124"/>
      <c r="AI215" s="74"/>
      <c r="AM215" s="74"/>
      <c r="AQ215" s="74"/>
      <c r="AT215" s="124"/>
      <c r="AU215" s="124"/>
    </row>
    <row r="216" spans="2:47" s="123" customFormat="1">
      <c r="B216" s="125"/>
      <c r="D216" s="238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74"/>
      <c r="AE216" s="124"/>
      <c r="AI216" s="74"/>
      <c r="AM216" s="74"/>
      <c r="AQ216" s="74"/>
      <c r="AT216" s="124"/>
      <c r="AU216" s="124"/>
    </row>
    <row r="217" spans="2:47" s="123" customFormat="1">
      <c r="B217" s="125"/>
      <c r="D217" s="238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74"/>
      <c r="AE217" s="124"/>
      <c r="AI217" s="74"/>
      <c r="AM217" s="74"/>
      <c r="AQ217" s="74"/>
      <c r="AT217" s="124"/>
      <c r="AU217" s="124"/>
    </row>
    <row r="218" spans="2:47" s="123" customFormat="1">
      <c r="B218" s="125"/>
      <c r="D218" s="238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74"/>
      <c r="AE218" s="124"/>
      <c r="AI218" s="74"/>
      <c r="AM218" s="74"/>
      <c r="AQ218" s="74"/>
      <c r="AT218" s="124"/>
      <c r="AU218" s="124"/>
    </row>
    <row r="219" spans="2:47" s="123" customFormat="1">
      <c r="B219" s="125"/>
      <c r="D219" s="238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74"/>
      <c r="AE219" s="124"/>
      <c r="AI219" s="74"/>
      <c r="AM219" s="74"/>
      <c r="AQ219" s="74"/>
      <c r="AT219" s="124"/>
      <c r="AU219" s="124"/>
    </row>
    <row r="220" spans="2:47" s="123" customFormat="1">
      <c r="B220" s="125"/>
      <c r="D220" s="238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74"/>
      <c r="AE220" s="124"/>
      <c r="AI220" s="74"/>
      <c r="AM220" s="74"/>
      <c r="AQ220" s="74"/>
      <c r="AT220" s="124"/>
      <c r="AU220" s="124"/>
    </row>
    <row r="221" spans="2:47" s="123" customFormat="1">
      <c r="B221" s="125"/>
      <c r="D221" s="238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74"/>
      <c r="AE221" s="124"/>
      <c r="AI221" s="74"/>
      <c r="AM221" s="74"/>
      <c r="AQ221" s="74"/>
      <c r="AT221" s="124"/>
      <c r="AU221" s="124"/>
    </row>
    <row r="222" spans="2:47" s="123" customFormat="1">
      <c r="B222" s="125"/>
      <c r="D222" s="238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74"/>
      <c r="AE222" s="124"/>
      <c r="AI222" s="74"/>
      <c r="AM222" s="74"/>
      <c r="AQ222" s="74"/>
      <c r="AT222" s="124"/>
      <c r="AU222" s="124"/>
    </row>
    <row r="223" spans="2:47" s="123" customFormat="1">
      <c r="B223" s="125"/>
      <c r="D223" s="238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74"/>
      <c r="AE223" s="124"/>
      <c r="AI223" s="74"/>
      <c r="AM223" s="74"/>
      <c r="AQ223" s="74"/>
      <c r="AT223" s="124"/>
      <c r="AU223" s="124"/>
    </row>
    <row r="224" spans="2:47" s="123" customFormat="1">
      <c r="B224" s="125"/>
      <c r="D224" s="238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74"/>
      <c r="AE224" s="124"/>
      <c r="AI224" s="74"/>
      <c r="AM224" s="74"/>
      <c r="AQ224" s="74"/>
      <c r="AT224" s="124"/>
      <c r="AU224" s="124"/>
    </row>
    <row r="225" spans="2:47" s="123" customFormat="1">
      <c r="B225" s="125"/>
      <c r="D225" s="238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74"/>
      <c r="AE225" s="124"/>
      <c r="AI225" s="74"/>
      <c r="AM225" s="74"/>
      <c r="AQ225" s="74"/>
      <c r="AT225" s="124"/>
      <c r="AU225" s="124"/>
    </row>
    <row r="226" spans="2:47" s="123" customFormat="1">
      <c r="B226" s="125"/>
      <c r="D226" s="238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74"/>
      <c r="AE226" s="124"/>
      <c r="AI226" s="74"/>
      <c r="AM226" s="74"/>
      <c r="AQ226" s="74"/>
      <c r="AT226" s="124"/>
      <c r="AU226" s="124"/>
    </row>
    <row r="227" spans="2:47" s="123" customFormat="1">
      <c r="B227" s="125"/>
      <c r="D227" s="238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74"/>
      <c r="AE227" s="124"/>
      <c r="AI227" s="74"/>
      <c r="AM227" s="74"/>
      <c r="AQ227" s="74"/>
      <c r="AT227" s="124"/>
      <c r="AU227" s="124"/>
    </row>
    <row r="228" spans="2:47" s="123" customFormat="1">
      <c r="B228" s="125"/>
      <c r="D228" s="238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74"/>
      <c r="AE228" s="124"/>
      <c r="AI228" s="74"/>
      <c r="AM228" s="74"/>
      <c r="AQ228" s="74"/>
      <c r="AT228" s="124"/>
      <c r="AU228" s="124"/>
    </row>
    <row r="229" spans="2:47" s="123" customFormat="1">
      <c r="B229" s="125"/>
      <c r="D229" s="238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74"/>
      <c r="AE229" s="124"/>
      <c r="AI229" s="74"/>
      <c r="AM229" s="74"/>
      <c r="AQ229" s="74"/>
      <c r="AT229" s="124"/>
      <c r="AU229" s="124"/>
    </row>
    <row r="230" spans="2:47" s="123" customFormat="1">
      <c r="B230" s="125"/>
      <c r="D230" s="238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74"/>
      <c r="AE230" s="124"/>
      <c r="AI230" s="74"/>
      <c r="AM230" s="74"/>
      <c r="AQ230" s="74"/>
      <c r="AT230" s="124"/>
      <c r="AU230" s="124"/>
    </row>
    <row r="231" spans="2:47" s="123" customFormat="1">
      <c r="B231" s="125"/>
      <c r="D231" s="238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74"/>
      <c r="AE231" s="124"/>
      <c r="AI231" s="74"/>
      <c r="AM231" s="74"/>
      <c r="AQ231" s="74"/>
      <c r="AT231" s="124"/>
      <c r="AU231" s="124"/>
    </row>
    <row r="232" spans="2:47" s="123" customFormat="1">
      <c r="B232" s="125"/>
      <c r="D232" s="238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74"/>
      <c r="AE232" s="124"/>
      <c r="AI232" s="74"/>
      <c r="AM232" s="74"/>
      <c r="AQ232" s="74"/>
      <c r="AT232" s="124"/>
      <c r="AU232" s="124"/>
    </row>
    <row r="233" spans="2:47" s="123" customFormat="1">
      <c r="B233" s="125"/>
      <c r="D233" s="238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74"/>
      <c r="AE233" s="124"/>
      <c r="AI233" s="74"/>
      <c r="AM233" s="74"/>
      <c r="AQ233" s="74"/>
      <c r="AT233" s="124"/>
      <c r="AU233" s="124"/>
    </row>
    <row r="234" spans="2:47" s="123" customFormat="1">
      <c r="B234" s="125"/>
      <c r="D234" s="238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74"/>
      <c r="AE234" s="124"/>
      <c r="AI234" s="74"/>
      <c r="AM234" s="74"/>
      <c r="AQ234" s="74"/>
      <c r="AT234" s="124"/>
      <c r="AU234" s="124"/>
    </row>
    <row r="235" spans="2:47" s="123" customFormat="1">
      <c r="B235" s="125"/>
      <c r="D235" s="238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74"/>
      <c r="AE235" s="124"/>
      <c r="AI235" s="74"/>
      <c r="AM235" s="74"/>
      <c r="AQ235" s="74"/>
      <c r="AT235" s="124"/>
      <c r="AU235" s="124"/>
    </row>
    <row r="236" spans="2:47" s="123" customFormat="1">
      <c r="B236" s="125"/>
      <c r="D236" s="238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74"/>
      <c r="AE236" s="124"/>
      <c r="AI236" s="74"/>
      <c r="AM236" s="74"/>
      <c r="AQ236" s="74"/>
      <c r="AT236" s="124"/>
      <c r="AU236" s="124"/>
    </row>
    <row r="237" spans="2:47" s="123" customFormat="1">
      <c r="B237" s="125"/>
      <c r="D237" s="238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74"/>
      <c r="AE237" s="124"/>
      <c r="AI237" s="74"/>
      <c r="AM237" s="74"/>
      <c r="AQ237" s="74"/>
      <c r="AT237" s="124"/>
      <c r="AU237" s="124"/>
    </row>
    <row r="238" spans="2:47" s="123" customFormat="1">
      <c r="B238" s="125"/>
      <c r="D238" s="238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74"/>
      <c r="AE238" s="124"/>
      <c r="AI238" s="74"/>
      <c r="AM238" s="74"/>
      <c r="AQ238" s="74"/>
      <c r="AT238" s="124"/>
      <c r="AU238" s="124"/>
    </row>
    <row r="239" spans="2:47" s="123" customFormat="1">
      <c r="B239" s="125"/>
      <c r="D239" s="238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74"/>
      <c r="AE239" s="124"/>
      <c r="AI239" s="74"/>
      <c r="AM239" s="74"/>
      <c r="AQ239" s="74"/>
      <c r="AT239" s="124"/>
      <c r="AU239" s="124"/>
    </row>
    <row r="240" spans="2:47" s="123" customFormat="1">
      <c r="B240" s="125"/>
      <c r="D240" s="238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74"/>
      <c r="AE240" s="124"/>
      <c r="AI240" s="74"/>
      <c r="AM240" s="74"/>
      <c r="AQ240" s="74"/>
      <c r="AT240" s="124"/>
      <c r="AU240" s="124"/>
    </row>
    <row r="241" spans="2:47" s="123" customFormat="1">
      <c r="B241" s="125"/>
      <c r="D241" s="238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74"/>
      <c r="AE241" s="124"/>
      <c r="AI241" s="74"/>
      <c r="AM241" s="74"/>
      <c r="AQ241" s="74"/>
      <c r="AT241" s="124"/>
      <c r="AU241" s="124"/>
    </row>
    <row r="242" spans="2:47" s="123" customFormat="1">
      <c r="B242" s="125"/>
      <c r="D242" s="238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74"/>
      <c r="AE242" s="124"/>
      <c r="AI242" s="74"/>
      <c r="AM242" s="74"/>
      <c r="AQ242" s="74"/>
      <c r="AT242" s="124"/>
      <c r="AU242" s="124"/>
    </row>
    <row r="243" spans="2:47" s="123" customFormat="1">
      <c r="B243" s="125"/>
      <c r="D243" s="238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74"/>
      <c r="AE243" s="124"/>
      <c r="AI243" s="74"/>
      <c r="AM243" s="74"/>
      <c r="AQ243" s="74"/>
      <c r="AT243" s="124"/>
      <c r="AU243" s="124"/>
    </row>
    <row r="244" spans="2:47" s="123" customFormat="1">
      <c r="B244" s="125"/>
      <c r="D244" s="238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74"/>
      <c r="AE244" s="124"/>
      <c r="AI244" s="74"/>
      <c r="AM244" s="74"/>
      <c r="AQ244" s="74"/>
      <c r="AT244" s="124"/>
      <c r="AU244" s="124"/>
    </row>
    <row r="245" spans="2:47" s="123" customFormat="1">
      <c r="B245" s="125"/>
      <c r="D245" s="238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74"/>
      <c r="AE245" s="124"/>
      <c r="AI245" s="74"/>
      <c r="AM245" s="74"/>
      <c r="AQ245" s="74"/>
      <c r="AT245" s="124"/>
      <c r="AU245" s="124"/>
    </row>
    <row r="246" spans="2:47" s="123" customFormat="1">
      <c r="B246" s="125"/>
      <c r="D246" s="238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74"/>
      <c r="AE246" s="124"/>
      <c r="AI246" s="74"/>
      <c r="AM246" s="74"/>
      <c r="AQ246" s="74"/>
      <c r="AT246" s="124"/>
      <c r="AU246" s="124"/>
    </row>
    <row r="247" spans="2:47" s="123" customFormat="1">
      <c r="B247" s="125"/>
      <c r="D247" s="238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74"/>
      <c r="AE247" s="124"/>
      <c r="AI247" s="74"/>
      <c r="AM247" s="74"/>
      <c r="AQ247" s="74"/>
      <c r="AT247" s="124"/>
      <c r="AU247" s="124"/>
    </row>
    <row r="248" spans="2:47" s="123" customFormat="1">
      <c r="B248" s="125"/>
      <c r="D248" s="238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74"/>
      <c r="AE248" s="124"/>
      <c r="AI248" s="74"/>
      <c r="AM248" s="74"/>
      <c r="AQ248" s="74"/>
      <c r="AT248" s="124"/>
      <c r="AU248" s="124"/>
    </row>
    <row r="249" spans="2:47" s="123" customFormat="1">
      <c r="B249" s="125"/>
      <c r="D249" s="238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74"/>
      <c r="AE249" s="124"/>
      <c r="AI249" s="74"/>
      <c r="AM249" s="74"/>
      <c r="AQ249" s="74"/>
      <c r="AT249" s="124"/>
      <c r="AU249" s="124"/>
    </row>
    <row r="250" spans="2:47" s="123" customFormat="1">
      <c r="B250" s="125"/>
      <c r="D250" s="238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74"/>
      <c r="AE250" s="124"/>
      <c r="AI250" s="74"/>
      <c r="AM250" s="74"/>
      <c r="AQ250" s="74"/>
      <c r="AT250" s="124"/>
      <c r="AU250" s="124"/>
    </row>
    <row r="251" spans="2:47" s="123" customFormat="1">
      <c r="B251" s="125"/>
      <c r="D251" s="238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74"/>
      <c r="AE251" s="124"/>
      <c r="AI251" s="74"/>
      <c r="AM251" s="74"/>
      <c r="AQ251" s="74"/>
      <c r="AT251" s="124"/>
      <c r="AU251" s="124"/>
    </row>
    <row r="252" spans="2:47" s="123" customFormat="1">
      <c r="B252" s="125"/>
      <c r="D252" s="238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74"/>
      <c r="AE252" s="124"/>
      <c r="AI252" s="74"/>
      <c r="AM252" s="74"/>
      <c r="AQ252" s="74"/>
      <c r="AT252" s="124"/>
      <c r="AU252" s="124"/>
    </row>
    <row r="253" spans="2:47" s="123" customFormat="1">
      <c r="B253" s="125"/>
      <c r="D253" s="238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74"/>
      <c r="AE253" s="124"/>
      <c r="AI253" s="74"/>
      <c r="AM253" s="74"/>
      <c r="AQ253" s="74"/>
      <c r="AT253" s="124"/>
      <c r="AU253" s="124"/>
    </row>
    <row r="254" spans="2:47" s="123" customFormat="1">
      <c r="B254" s="125"/>
      <c r="D254" s="238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74"/>
      <c r="AE254" s="124"/>
      <c r="AI254" s="74"/>
      <c r="AM254" s="74"/>
      <c r="AQ254" s="74"/>
      <c r="AT254" s="124"/>
      <c r="AU254" s="124"/>
    </row>
    <row r="255" spans="2:47" s="123" customFormat="1">
      <c r="B255" s="125"/>
      <c r="D255" s="238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74"/>
      <c r="AE255" s="124"/>
      <c r="AI255" s="74"/>
      <c r="AM255" s="74"/>
      <c r="AQ255" s="74"/>
      <c r="AT255" s="124"/>
      <c r="AU255" s="124"/>
    </row>
    <row r="256" spans="2:47" s="123" customFormat="1">
      <c r="B256" s="125"/>
      <c r="D256" s="238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74"/>
      <c r="AE256" s="124"/>
      <c r="AI256" s="74"/>
      <c r="AM256" s="74"/>
      <c r="AQ256" s="74"/>
      <c r="AT256" s="124"/>
      <c r="AU256" s="124"/>
    </row>
    <row r="257" spans="2:47" s="123" customFormat="1">
      <c r="B257" s="125"/>
      <c r="D257" s="238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74"/>
      <c r="AE257" s="124"/>
      <c r="AI257" s="74"/>
      <c r="AM257" s="74"/>
      <c r="AQ257" s="74"/>
      <c r="AT257" s="124"/>
      <c r="AU257" s="124"/>
    </row>
    <row r="258" spans="2:47" s="123" customFormat="1">
      <c r="B258" s="125"/>
      <c r="D258" s="238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74"/>
      <c r="AE258" s="124"/>
      <c r="AI258" s="74"/>
      <c r="AM258" s="74"/>
      <c r="AQ258" s="74"/>
      <c r="AT258" s="124"/>
      <c r="AU258" s="124"/>
    </row>
    <row r="259" spans="2:47" s="123" customFormat="1">
      <c r="B259" s="125"/>
      <c r="D259" s="238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74"/>
      <c r="AE259" s="124"/>
      <c r="AI259" s="74"/>
      <c r="AM259" s="74"/>
      <c r="AQ259" s="74"/>
      <c r="AT259" s="124"/>
      <c r="AU259" s="124"/>
    </row>
    <row r="260" spans="2:47" s="123" customFormat="1">
      <c r="B260" s="125"/>
      <c r="D260" s="238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74"/>
      <c r="AE260" s="124"/>
      <c r="AI260" s="74"/>
      <c r="AM260" s="74"/>
      <c r="AQ260" s="74"/>
      <c r="AT260" s="124"/>
      <c r="AU260" s="124"/>
    </row>
    <row r="261" spans="2:47" s="123" customFormat="1">
      <c r="B261" s="125"/>
      <c r="D261" s="238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74"/>
      <c r="AE261" s="124"/>
      <c r="AI261" s="74"/>
      <c r="AM261" s="74"/>
      <c r="AQ261" s="74"/>
      <c r="AT261" s="124"/>
      <c r="AU261" s="124"/>
    </row>
    <row r="262" spans="2:47" s="123" customFormat="1">
      <c r="B262" s="125"/>
      <c r="D262" s="238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74"/>
      <c r="AE262" s="124"/>
      <c r="AI262" s="74"/>
      <c r="AM262" s="74"/>
      <c r="AQ262" s="74"/>
      <c r="AT262" s="124"/>
      <c r="AU262" s="124"/>
    </row>
    <row r="263" spans="2:47" s="123" customFormat="1">
      <c r="B263" s="125"/>
      <c r="D263" s="238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74"/>
      <c r="AE263" s="124"/>
      <c r="AI263" s="74"/>
      <c r="AM263" s="74"/>
      <c r="AQ263" s="74"/>
      <c r="AT263" s="124"/>
      <c r="AU263" s="124"/>
    </row>
    <row r="264" spans="2:47" s="123" customFormat="1">
      <c r="B264" s="125"/>
      <c r="D264" s="238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74"/>
      <c r="AE264" s="124"/>
      <c r="AI264" s="74"/>
      <c r="AM264" s="74"/>
      <c r="AQ264" s="74"/>
      <c r="AT264" s="124"/>
      <c r="AU264" s="124"/>
    </row>
    <row r="265" spans="2:47" s="123" customFormat="1">
      <c r="B265" s="125"/>
      <c r="D265" s="238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74"/>
      <c r="AE265" s="124"/>
      <c r="AI265" s="74"/>
      <c r="AM265" s="74"/>
      <c r="AQ265" s="74"/>
      <c r="AT265" s="124"/>
      <c r="AU265" s="124"/>
    </row>
    <row r="266" spans="2:47" s="123" customFormat="1">
      <c r="B266" s="125"/>
      <c r="D266" s="238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74"/>
      <c r="AE266" s="124"/>
      <c r="AI266" s="74"/>
      <c r="AM266" s="74"/>
      <c r="AQ266" s="74"/>
      <c r="AT266" s="124"/>
      <c r="AU266" s="124"/>
    </row>
    <row r="267" spans="2:47" s="123" customFormat="1">
      <c r="B267" s="125"/>
      <c r="D267" s="238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74"/>
      <c r="AE267" s="124"/>
      <c r="AI267" s="74"/>
      <c r="AM267" s="74"/>
      <c r="AQ267" s="74"/>
      <c r="AT267" s="124"/>
      <c r="AU267" s="124"/>
    </row>
    <row r="268" spans="2:47" s="123" customFormat="1">
      <c r="B268" s="125"/>
      <c r="D268" s="238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74"/>
      <c r="AE268" s="124"/>
      <c r="AI268" s="74"/>
      <c r="AM268" s="74"/>
      <c r="AQ268" s="74"/>
      <c r="AT268" s="124"/>
      <c r="AU268" s="124"/>
    </row>
    <row r="269" spans="2:47" s="123" customFormat="1">
      <c r="B269" s="125"/>
      <c r="D269" s="238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74"/>
      <c r="AE269" s="124"/>
      <c r="AI269" s="74"/>
      <c r="AM269" s="74"/>
      <c r="AQ269" s="74"/>
      <c r="AT269" s="124"/>
      <c r="AU269" s="124"/>
    </row>
    <row r="270" spans="2:47" s="123" customFormat="1">
      <c r="B270" s="125"/>
      <c r="D270" s="238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74"/>
      <c r="AE270" s="124"/>
      <c r="AI270" s="74"/>
      <c r="AM270" s="74"/>
      <c r="AQ270" s="74"/>
      <c r="AT270" s="124"/>
      <c r="AU270" s="124"/>
    </row>
    <row r="271" spans="2:47" s="123" customFormat="1">
      <c r="B271" s="125"/>
      <c r="D271" s="238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74"/>
      <c r="AE271" s="124"/>
      <c r="AI271" s="74"/>
      <c r="AM271" s="74"/>
      <c r="AQ271" s="74"/>
      <c r="AT271" s="124"/>
      <c r="AU271" s="124"/>
    </row>
    <row r="272" spans="2:47" s="123" customFormat="1">
      <c r="B272" s="125"/>
      <c r="D272" s="238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74"/>
      <c r="AE272" s="124"/>
      <c r="AI272" s="74"/>
      <c r="AM272" s="74"/>
      <c r="AQ272" s="74"/>
      <c r="AT272" s="124"/>
      <c r="AU272" s="124"/>
    </row>
    <row r="273" spans="2:47" s="123" customFormat="1">
      <c r="B273" s="125"/>
      <c r="D273" s="238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74"/>
      <c r="AE273" s="124"/>
      <c r="AI273" s="74"/>
      <c r="AM273" s="74"/>
      <c r="AQ273" s="74"/>
      <c r="AT273" s="124"/>
      <c r="AU273" s="124"/>
    </row>
    <row r="274" spans="2:47" s="123" customFormat="1">
      <c r="B274" s="125"/>
      <c r="D274" s="238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74"/>
      <c r="AE274" s="124"/>
      <c r="AI274" s="74"/>
      <c r="AM274" s="74"/>
      <c r="AQ274" s="74"/>
      <c r="AT274" s="124"/>
      <c r="AU274" s="124"/>
    </row>
    <row r="275" spans="2:47" s="123" customFormat="1">
      <c r="B275" s="125"/>
      <c r="D275" s="238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74"/>
      <c r="AE275" s="124"/>
      <c r="AI275" s="74"/>
      <c r="AM275" s="74"/>
      <c r="AQ275" s="74"/>
      <c r="AT275" s="124"/>
      <c r="AU275" s="124"/>
    </row>
    <row r="276" spans="2:47" s="123" customFormat="1">
      <c r="B276" s="125"/>
      <c r="D276" s="238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74"/>
      <c r="AE276" s="124"/>
      <c r="AI276" s="74"/>
      <c r="AM276" s="74"/>
      <c r="AQ276" s="74"/>
      <c r="AT276" s="124"/>
      <c r="AU276" s="124"/>
    </row>
    <row r="277" spans="2:47" s="123" customFormat="1">
      <c r="B277" s="125"/>
      <c r="D277" s="238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74"/>
      <c r="AE277" s="124"/>
      <c r="AI277" s="74"/>
      <c r="AM277" s="74"/>
      <c r="AQ277" s="74"/>
      <c r="AT277" s="124"/>
      <c r="AU277" s="124"/>
    </row>
    <row r="278" spans="2:47" s="123" customFormat="1">
      <c r="B278" s="125"/>
      <c r="D278" s="238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74"/>
      <c r="AE278" s="124"/>
      <c r="AI278" s="74"/>
      <c r="AM278" s="74"/>
      <c r="AQ278" s="74"/>
      <c r="AT278" s="124"/>
      <c r="AU278" s="124"/>
    </row>
    <row r="279" spans="2:47" s="123" customFormat="1">
      <c r="B279" s="125"/>
      <c r="D279" s="238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74"/>
      <c r="AE279" s="124"/>
      <c r="AI279" s="74"/>
      <c r="AM279" s="74"/>
      <c r="AQ279" s="74"/>
      <c r="AT279" s="124"/>
      <c r="AU279" s="124"/>
    </row>
    <row r="280" spans="2:47" s="123" customFormat="1">
      <c r="B280" s="125"/>
      <c r="D280" s="238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74"/>
      <c r="AE280" s="124"/>
      <c r="AI280" s="74"/>
      <c r="AM280" s="74"/>
      <c r="AQ280" s="74"/>
      <c r="AT280" s="124"/>
      <c r="AU280" s="124"/>
    </row>
    <row r="281" spans="2:47" s="123" customFormat="1">
      <c r="B281" s="125"/>
      <c r="D281" s="238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74"/>
      <c r="AE281" s="124"/>
      <c r="AI281" s="74"/>
      <c r="AM281" s="74"/>
      <c r="AQ281" s="74"/>
      <c r="AT281" s="124"/>
      <c r="AU281" s="124"/>
    </row>
    <row r="282" spans="2:47" s="123" customFormat="1">
      <c r="B282" s="125"/>
      <c r="D282" s="238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74"/>
      <c r="AE282" s="124"/>
      <c r="AI282" s="74"/>
      <c r="AM282" s="74"/>
      <c r="AQ282" s="74"/>
      <c r="AT282" s="124"/>
      <c r="AU282" s="124"/>
    </row>
    <row r="283" spans="2:47" s="123" customFormat="1">
      <c r="B283" s="125"/>
      <c r="D283" s="238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74"/>
      <c r="AE283" s="124"/>
      <c r="AI283" s="74"/>
      <c r="AM283" s="74"/>
      <c r="AQ283" s="74"/>
      <c r="AT283" s="124"/>
      <c r="AU283" s="124"/>
    </row>
    <row r="284" spans="2:47" s="123" customFormat="1">
      <c r="B284" s="125"/>
      <c r="D284" s="238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74"/>
      <c r="AE284" s="124"/>
      <c r="AI284" s="74"/>
      <c r="AM284" s="74"/>
      <c r="AQ284" s="74"/>
      <c r="AT284" s="124"/>
      <c r="AU284" s="124"/>
    </row>
    <row r="285" spans="2:47" s="123" customFormat="1">
      <c r="B285" s="125"/>
      <c r="D285" s="238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74"/>
      <c r="AE285" s="124"/>
      <c r="AI285" s="74"/>
      <c r="AM285" s="74"/>
      <c r="AQ285" s="74"/>
      <c r="AT285" s="124"/>
      <c r="AU285" s="124"/>
    </row>
    <row r="286" spans="2:47" s="123" customFormat="1">
      <c r="B286" s="125"/>
      <c r="D286" s="238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74"/>
      <c r="AE286" s="124"/>
      <c r="AI286" s="74"/>
      <c r="AM286" s="74"/>
      <c r="AQ286" s="74"/>
      <c r="AT286" s="124"/>
      <c r="AU286" s="124"/>
    </row>
    <row r="287" spans="2:47" s="123" customFormat="1">
      <c r="B287" s="125"/>
      <c r="D287" s="238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74"/>
      <c r="AE287" s="124"/>
      <c r="AI287" s="74"/>
      <c r="AM287" s="74"/>
      <c r="AQ287" s="74"/>
      <c r="AT287" s="124"/>
      <c r="AU287" s="124"/>
    </row>
    <row r="288" spans="2:47" s="123" customFormat="1">
      <c r="B288" s="125"/>
      <c r="D288" s="238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74"/>
      <c r="AE288" s="124"/>
      <c r="AI288" s="74"/>
      <c r="AM288" s="74"/>
      <c r="AQ288" s="74"/>
      <c r="AT288" s="124"/>
      <c r="AU288" s="124"/>
    </row>
    <row r="289" spans="2:47" s="123" customFormat="1">
      <c r="B289" s="125"/>
      <c r="D289" s="238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74"/>
      <c r="AE289" s="124"/>
      <c r="AI289" s="74"/>
      <c r="AM289" s="74"/>
      <c r="AQ289" s="74"/>
      <c r="AT289" s="124"/>
      <c r="AU289" s="124"/>
    </row>
    <row r="290" spans="2:47" s="123" customFormat="1">
      <c r="B290" s="125"/>
      <c r="D290" s="238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74"/>
      <c r="AE290" s="124"/>
      <c r="AI290" s="74"/>
      <c r="AM290" s="74"/>
      <c r="AQ290" s="74"/>
      <c r="AT290" s="124"/>
      <c r="AU290" s="124"/>
    </row>
    <row r="291" spans="2:47" s="123" customFormat="1">
      <c r="B291" s="125"/>
      <c r="D291" s="238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74"/>
      <c r="AE291" s="124"/>
      <c r="AI291" s="74"/>
      <c r="AM291" s="74"/>
      <c r="AQ291" s="74"/>
      <c r="AT291" s="124"/>
      <c r="AU291" s="124"/>
    </row>
    <row r="292" spans="2:47" s="123" customFormat="1">
      <c r="B292" s="125"/>
      <c r="D292" s="238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74"/>
      <c r="AE292" s="124"/>
      <c r="AI292" s="74"/>
      <c r="AM292" s="74"/>
      <c r="AQ292" s="74"/>
      <c r="AT292" s="124"/>
      <c r="AU292" s="124"/>
    </row>
    <row r="293" spans="2:47" s="123" customFormat="1">
      <c r="B293" s="125"/>
      <c r="D293" s="238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74"/>
      <c r="AE293" s="124"/>
      <c r="AI293" s="74"/>
      <c r="AM293" s="74"/>
      <c r="AQ293" s="74"/>
      <c r="AT293" s="124"/>
      <c r="AU293" s="124"/>
    </row>
    <row r="294" spans="2:47" s="123" customFormat="1">
      <c r="B294" s="125"/>
      <c r="D294" s="238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74"/>
      <c r="AE294" s="124"/>
      <c r="AI294" s="74"/>
      <c r="AM294" s="74"/>
      <c r="AQ294" s="74"/>
      <c r="AT294" s="124"/>
      <c r="AU294" s="124"/>
    </row>
    <row r="295" spans="2:47" s="123" customFormat="1">
      <c r="B295" s="125"/>
      <c r="D295" s="238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74"/>
      <c r="AE295" s="124"/>
      <c r="AI295" s="74"/>
      <c r="AM295" s="74"/>
      <c r="AQ295" s="74"/>
      <c r="AT295" s="124"/>
      <c r="AU295" s="124"/>
    </row>
    <row r="296" spans="2:47" s="123" customFormat="1">
      <c r="B296" s="125"/>
      <c r="D296" s="238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74"/>
      <c r="AE296" s="124"/>
      <c r="AI296" s="74"/>
      <c r="AM296" s="74"/>
      <c r="AQ296" s="74"/>
      <c r="AT296" s="124"/>
      <c r="AU296" s="124"/>
    </row>
    <row r="297" spans="2:47" s="123" customFormat="1">
      <c r="B297" s="125"/>
      <c r="D297" s="238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74"/>
      <c r="AE297" s="124"/>
      <c r="AI297" s="74"/>
      <c r="AM297" s="74"/>
      <c r="AQ297" s="74"/>
      <c r="AT297" s="124"/>
      <c r="AU297" s="124"/>
    </row>
    <row r="298" spans="2:47" s="123" customFormat="1">
      <c r="B298" s="125"/>
      <c r="D298" s="238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74"/>
      <c r="AE298" s="124"/>
      <c r="AI298" s="74"/>
      <c r="AM298" s="74"/>
      <c r="AQ298" s="74"/>
      <c r="AT298" s="124"/>
      <c r="AU298" s="124"/>
    </row>
    <row r="299" spans="2:47" s="123" customFormat="1">
      <c r="B299" s="125"/>
      <c r="D299" s="238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74"/>
      <c r="AE299" s="124"/>
      <c r="AI299" s="74"/>
      <c r="AM299" s="74"/>
      <c r="AQ299" s="74"/>
      <c r="AT299" s="124"/>
      <c r="AU299" s="124"/>
    </row>
    <row r="300" spans="2:47" s="123" customFormat="1">
      <c r="B300" s="125"/>
      <c r="D300" s="238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74"/>
      <c r="AE300" s="124"/>
      <c r="AI300" s="74"/>
      <c r="AM300" s="74"/>
      <c r="AQ300" s="74"/>
      <c r="AT300" s="124"/>
      <c r="AU300" s="124"/>
    </row>
    <row r="301" spans="2:47" s="123" customFormat="1">
      <c r="B301" s="125"/>
      <c r="D301" s="238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74"/>
      <c r="AE301" s="124"/>
      <c r="AI301" s="74"/>
      <c r="AM301" s="74"/>
      <c r="AQ301" s="74"/>
      <c r="AT301" s="124"/>
      <c r="AU301" s="124"/>
    </row>
    <row r="302" spans="2:47" s="123" customFormat="1">
      <c r="B302" s="125"/>
      <c r="D302" s="238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74"/>
      <c r="AE302" s="124"/>
      <c r="AI302" s="74"/>
      <c r="AM302" s="74"/>
      <c r="AQ302" s="74"/>
      <c r="AT302" s="124"/>
      <c r="AU302" s="124"/>
    </row>
    <row r="303" spans="2:47" s="123" customFormat="1">
      <c r="B303" s="125"/>
      <c r="D303" s="238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74"/>
      <c r="AE303" s="124"/>
      <c r="AI303" s="74"/>
      <c r="AM303" s="74"/>
      <c r="AQ303" s="74"/>
      <c r="AT303" s="124"/>
      <c r="AU303" s="124"/>
    </row>
    <row r="304" spans="2:47" s="123" customFormat="1">
      <c r="B304" s="125"/>
      <c r="D304" s="238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74"/>
      <c r="AE304" s="124"/>
      <c r="AI304" s="74"/>
      <c r="AM304" s="74"/>
      <c r="AQ304" s="74"/>
      <c r="AT304" s="124"/>
      <c r="AU304" s="124"/>
    </row>
    <row r="305" spans="2:47" s="123" customFormat="1">
      <c r="B305" s="125"/>
      <c r="D305" s="238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74"/>
      <c r="AE305" s="124"/>
      <c r="AI305" s="74"/>
      <c r="AM305" s="74"/>
      <c r="AQ305" s="74"/>
      <c r="AT305" s="124"/>
      <c r="AU305" s="124"/>
    </row>
    <row r="306" spans="2:47" s="123" customFormat="1">
      <c r="B306" s="125"/>
      <c r="D306" s="238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74"/>
      <c r="AE306" s="124"/>
      <c r="AI306" s="74"/>
      <c r="AM306" s="74"/>
      <c r="AQ306" s="74"/>
      <c r="AT306" s="124"/>
      <c r="AU306" s="124"/>
    </row>
    <row r="307" spans="2:47" s="123" customFormat="1">
      <c r="B307" s="125"/>
      <c r="D307" s="238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74"/>
      <c r="AE307" s="124"/>
      <c r="AI307" s="74"/>
      <c r="AM307" s="74"/>
      <c r="AQ307" s="74"/>
      <c r="AT307" s="124"/>
      <c r="AU307" s="124"/>
    </row>
    <row r="308" spans="2:47" s="123" customFormat="1">
      <c r="B308" s="125"/>
      <c r="D308" s="238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74"/>
      <c r="AE308" s="124"/>
      <c r="AI308" s="74"/>
      <c r="AM308" s="74"/>
      <c r="AQ308" s="74"/>
      <c r="AT308" s="124"/>
      <c r="AU308" s="124"/>
    </row>
    <row r="309" spans="2:47" s="123" customFormat="1">
      <c r="B309" s="125"/>
      <c r="D309" s="238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74"/>
      <c r="AE309" s="124"/>
      <c r="AI309" s="74"/>
      <c r="AM309" s="74"/>
      <c r="AQ309" s="74"/>
      <c r="AT309" s="124"/>
      <c r="AU309" s="124"/>
    </row>
    <row r="310" spans="2:47" s="123" customFormat="1">
      <c r="B310" s="125"/>
      <c r="D310" s="238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74"/>
      <c r="AE310" s="124"/>
      <c r="AI310" s="74"/>
      <c r="AM310" s="74"/>
      <c r="AQ310" s="74"/>
      <c r="AT310" s="124"/>
      <c r="AU310" s="124"/>
    </row>
    <row r="311" spans="2:47" s="123" customFormat="1">
      <c r="B311" s="125"/>
      <c r="D311" s="238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74"/>
      <c r="AE311" s="124"/>
      <c r="AI311" s="74"/>
      <c r="AM311" s="74"/>
      <c r="AQ311" s="74"/>
      <c r="AT311" s="124"/>
      <c r="AU311" s="124"/>
    </row>
    <row r="312" spans="2:47" s="123" customFormat="1">
      <c r="B312" s="125"/>
      <c r="D312" s="238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74"/>
      <c r="AE312" s="124"/>
      <c r="AI312" s="74"/>
      <c r="AM312" s="74"/>
      <c r="AQ312" s="74"/>
      <c r="AT312" s="124"/>
      <c r="AU312" s="124"/>
    </row>
    <row r="313" spans="2:47" s="123" customFormat="1">
      <c r="B313" s="125"/>
      <c r="D313" s="238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74"/>
      <c r="AE313" s="124"/>
      <c r="AI313" s="74"/>
      <c r="AM313" s="74"/>
      <c r="AQ313" s="74"/>
      <c r="AT313" s="124"/>
      <c r="AU313" s="124"/>
    </row>
    <row r="314" spans="2:47" s="123" customFormat="1">
      <c r="B314" s="125"/>
      <c r="D314" s="238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74"/>
      <c r="AE314" s="124"/>
      <c r="AI314" s="74"/>
      <c r="AM314" s="74"/>
      <c r="AQ314" s="74"/>
      <c r="AT314" s="124"/>
      <c r="AU314" s="124"/>
    </row>
    <row r="315" spans="2:47" s="123" customFormat="1">
      <c r="B315" s="125"/>
      <c r="D315" s="238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74"/>
      <c r="AE315" s="124"/>
      <c r="AI315" s="74"/>
      <c r="AM315" s="74"/>
      <c r="AQ315" s="74"/>
      <c r="AT315" s="124"/>
      <c r="AU315" s="124"/>
    </row>
    <row r="316" spans="2:47" s="123" customFormat="1">
      <c r="B316" s="125"/>
      <c r="D316" s="238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74"/>
      <c r="AE316" s="124"/>
      <c r="AI316" s="74"/>
      <c r="AM316" s="74"/>
      <c r="AQ316" s="74"/>
      <c r="AT316" s="124"/>
      <c r="AU316" s="124"/>
    </row>
    <row r="317" spans="2:47" s="123" customFormat="1">
      <c r="B317" s="125"/>
      <c r="D317" s="238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74"/>
      <c r="AE317" s="124"/>
      <c r="AI317" s="74"/>
      <c r="AM317" s="74"/>
      <c r="AQ317" s="74"/>
      <c r="AT317" s="124"/>
      <c r="AU317" s="124"/>
    </row>
    <row r="318" spans="2:47" s="123" customFormat="1">
      <c r="B318" s="125"/>
      <c r="D318" s="238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74"/>
      <c r="AE318" s="124"/>
      <c r="AI318" s="74"/>
      <c r="AM318" s="74"/>
      <c r="AQ318" s="74"/>
      <c r="AT318" s="124"/>
      <c r="AU318" s="124"/>
    </row>
    <row r="319" spans="2:47" s="123" customFormat="1">
      <c r="B319" s="125"/>
      <c r="D319" s="238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74"/>
      <c r="AE319" s="124"/>
      <c r="AI319" s="74"/>
      <c r="AM319" s="74"/>
      <c r="AQ319" s="74"/>
      <c r="AT319" s="124"/>
      <c r="AU319" s="124"/>
    </row>
    <row r="320" spans="2:47" s="123" customFormat="1">
      <c r="B320" s="125"/>
      <c r="D320" s="238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74"/>
      <c r="AE320" s="124"/>
      <c r="AI320" s="74"/>
      <c r="AM320" s="74"/>
      <c r="AQ320" s="74"/>
      <c r="AT320" s="124"/>
      <c r="AU320" s="124"/>
    </row>
    <row r="321" spans="2:47" s="123" customFormat="1">
      <c r="B321" s="125"/>
      <c r="D321" s="238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74"/>
      <c r="AE321" s="124"/>
      <c r="AI321" s="74"/>
      <c r="AM321" s="74"/>
      <c r="AQ321" s="74"/>
      <c r="AT321" s="124"/>
      <c r="AU321" s="124"/>
    </row>
    <row r="322" spans="2:47" s="123" customFormat="1">
      <c r="B322" s="125"/>
      <c r="D322" s="238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74"/>
      <c r="AE322" s="124"/>
      <c r="AI322" s="74"/>
      <c r="AM322" s="74"/>
      <c r="AQ322" s="74"/>
      <c r="AT322" s="124"/>
      <c r="AU322" s="124"/>
    </row>
    <row r="323" spans="2:47" s="123" customFormat="1">
      <c r="B323" s="125"/>
      <c r="D323" s="238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74"/>
      <c r="AE323" s="124"/>
      <c r="AI323" s="74"/>
      <c r="AM323" s="74"/>
      <c r="AQ323" s="74"/>
      <c r="AT323" s="124"/>
      <c r="AU323" s="124"/>
    </row>
    <row r="324" spans="2:47" s="123" customFormat="1">
      <c r="B324" s="125"/>
      <c r="D324" s="238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74"/>
      <c r="AE324" s="124"/>
      <c r="AI324" s="74"/>
      <c r="AM324" s="74"/>
      <c r="AQ324" s="74"/>
      <c r="AT324" s="124"/>
      <c r="AU324" s="124"/>
    </row>
    <row r="325" spans="2:47" s="123" customFormat="1">
      <c r="B325" s="125"/>
      <c r="D325" s="238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74"/>
      <c r="AE325" s="124"/>
      <c r="AI325" s="74"/>
      <c r="AM325" s="74"/>
      <c r="AQ325" s="74"/>
      <c r="AT325" s="124"/>
      <c r="AU325" s="124"/>
    </row>
    <row r="326" spans="2:47" s="123" customFormat="1">
      <c r="B326" s="125"/>
      <c r="D326" s="238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74"/>
      <c r="AE326" s="124"/>
      <c r="AI326" s="74"/>
      <c r="AM326" s="74"/>
      <c r="AQ326" s="74"/>
      <c r="AT326" s="124"/>
      <c r="AU326" s="124"/>
    </row>
    <row r="327" spans="2:47" s="123" customFormat="1">
      <c r="B327" s="125"/>
      <c r="D327" s="238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74"/>
      <c r="AE327" s="124"/>
      <c r="AI327" s="74"/>
      <c r="AM327" s="74"/>
      <c r="AQ327" s="74"/>
      <c r="AT327" s="124"/>
      <c r="AU327" s="124"/>
    </row>
    <row r="328" spans="2:47" s="123" customFormat="1">
      <c r="B328" s="125"/>
      <c r="D328" s="238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74"/>
      <c r="AE328" s="124"/>
      <c r="AI328" s="74"/>
      <c r="AM328" s="74"/>
      <c r="AQ328" s="74"/>
      <c r="AT328" s="124"/>
      <c r="AU328" s="124"/>
    </row>
    <row r="329" spans="2:47" s="123" customFormat="1">
      <c r="B329" s="125"/>
      <c r="D329" s="238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74"/>
      <c r="AE329" s="124"/>
      <c r="AI329" s="74"/>
      <c r="AM329" s="74"/>
      <c r="AQ329" s="74"/>
      <c r="AT329" s="124"/>
      <c r="AU329" s="124"/>
    </row>
    <row r="330" spans="2:47" s="123" customFormat="1">
      <c r="B330" s="125"/>
      <c r="D330" s="238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74"/>
      <c r="AE330" s="124"/>
      <c r="AI330" s="74"/>
      <c r="AM330" s="74"/>
      <c r="AQ330" s="74"/>
      <c r="AT330" s="124"/>
      <c r="AU330" s="124"/>
    </row>
    <row r="331" spans="2:47" s="123" customFormat="1">
      <c r="B331" s="125"/>
      <c r="D331" s="238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74"/>
      <c r="AE331" s="124"/>
      <c r="AI331" s="74"/>
      <c r="AM331" s="74"/>
      <c r="AQ331" s="74"/>
      <c r="AT331" s="124"/>
      <c r="AU331" s="124"/>
    </row>
    <row r="332" spans="2:47" s="123" customFormat="1">
      <c r="B332" s="125"/>
      <c r="D332" s="238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74"/>
      <c r="AE332" s="124"/>
      <c r="AI332" s="74"/>
      <c r="AM332" s="74"/>
      <c r="AQ332" s="74"/>
      <c r="AT332" s="124"/>
      <c r="AU332" s="124"/>
    </row>
    <row r="333" spans="2:47" s="123" customFormat="1">
      <c r="B333" s="125"/>
      <c r="D333" s="238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74"/>
      <c r="AE333" s="124"/>
      <c r="AI333" s="74"/>
      <c r="AM333" s="74"/>
      <c r="AQ333" s="74"/>
      <c r="AT333" s="124"/>
      <c r="AU333" s="124"/>
    </row>
    <row r="334" spans="2:47" s="123" customFormat="1">
      <c r="B334" s="125"/>
      <c r="D334" s="238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74"/>
      <c r="AE334" s="124"/>
      <c r="AI334" s="74"/>
      <c r="AM334" s="74"/>
      <c r="AQ334" s="74"/>
      <c r="AT334" s="124"/>
      <c r="AU334" s="124"/>
    </row>
    <row r="335" spans="2:47" s="123" customFormat="1">
      <c r="B335" s="125"/>
      <c r="D335" s="238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74"/>
      <c r="AE335" s="124"/>
      <c r="AI335" s="74"/>
      <c r="AM335" s="74"/>
      <c r="AQ335" s="74"/>
      <c r="AT335" s="124"/>
      <c r="AU335" s="124"/>
    </row>
    <row r="336" spans="2:47" s="123" customFormat="1">
      <c r="B336" s="125"/>
      <c r="D336" s="238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74"/>
      <c r="AE336" s="124"/>
      <c r="AI336" s="74"/>
      <c r="AM336" s="74"/>
      <c r="AQ336" s="74"/>
      <c r="AT336" s="124"/>
      <c r="AU336" s="124"/>
    </row>
    <row r="337" spans="2:47" s="123" customFormat="1">
      <c r="B337" s="125"/>
      <c r="D337" s="238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74"/>
      <c r="AE337" s="124"/>
      <c r="AI337" s="74"/>
      <c r="AM337" s="74"/>
      <c r="AQ337" s="74"/>
      <c r="AT337" s="124"/>
      <c r="AU337" s="124"/>
    </row>
    <row r="338" spans="2:47" s="123" customFormat="1">
      <c r="B338" s="125"/>
      <c r="D338" s="238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74"/>
      <c r="AE338" s="124"/>
      <c r="AI338" s="74"/>
      <c r="AM338" s="74"/>
      <c r="AQ338" s="74"/>
      <c r="AT338" s="124"/>
      <c r="AU338" s="124"/>
    </row>
    <row r="339" spans="2:47" s="123" customFormat="1">
      <c r="B339" s="125"/>
      <c r="D339" s="238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74"/>
      <c r="AE339" s="124"/>
      <c r="AI339" s="74"/>
      <c r="AM339" s="74"/>
      <c r="AQ339" s="74"/>
      <c r="AT339" s="124"/>
      <c r="AU339" s="124"/>
    </row>
    <row r="340" spans="2:47" s="123" customFormat="1">
      <c r="B340" s="125"/>
      <c r="D340" s="238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74"/>
      <c r="AE340" s="124"/>
      <c r="AI340" s="74"/>
      <c r="AM340" s="74"/>
      <c r="AQ340" s="74"/>
      <c r="AT340" s="124"/>
      <c r="AU340" s="124"/>
    </row>
    <row r="341" spans="2:47" s="123" customFormat="1">
      <c r="B341" s="125"/>
      <c r="D341" s="238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74"/>
      <c r="AE341" s="124"/>
      <c r="AI341" s="74"/>
      <c r="AM341" s="74"/>
      <c r="AQ341" s="74"/>
      <c r="AT341" s="124"/>
      <c r="AU341" s="124"/>
    </row>
    <row r="342" spans="2:47" s="123" customFormat="1">
      <c r="B342" s="125"/>
      <c r="D342" s="238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74"/>
      <c r="AE342" s="124"/>
      <c r="AI342" s="74"/>
      <c r="AM342" s="74"/>
      <c r="AQ342" s="74"/>
      <c r="AT342" s="124"/>
      <c r="AU342" s="124"/>
    </row>
    <row r="343" spans="2:47" s="123" customFormat="1">
      <c r="B343" s="125"/>
      <c r="D343" s="238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74"/>
      <c r="AE343" s="124"/>
      <c r="AI343" s="74"/>
      <c r="AM343" s="74"/>
      <c r="AQ343" s="74"/>
      <c r="AT343" s="124"/>
      <c r="AU343" s="124"/>
    </row>
    <row r="344" spans="2:47" s="123" customFormat="1">
      <c r="B344" s="125"/>
      <c r="D344" s="238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74"/>
      <c r="AE344" s="124"/>
      <c r="AI344" s="74"/>
      <c r="AM344" s="74"/>
      <c r="AQ344" s="74"/>
      <c r="AT344" s="124"/>
      <c r="AU344" s="124"/>
    </row>
    <row r="345" spans="2:47" s="123" customFormat="1">
      <c r="B345" s="125"/>
      <c r="D345" s="238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74"/>
      <c r="AE345" s="124"/>
      <c r="AI345" s="74"/>
      <c r="AM345" s="74"/>
      <c r="AQ345" s="74"/>
      <c r="AT345" s="124"/>
      <c r="AU345" s="124"/>
    </row>
    <row r="346" spans="2:47" s="123" customFormat="1">
      <c r="B346" s="125"/>
      <c r="D346" s="238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74"/>
      <c r="AE346" s="124"/>
      <c r="AI346" s="74"/>
      <c r="AM346" s="74"/>
      <c r="AQ346" s="74"/>
      <c r="AT346" s="124"/>
      <c r="AU346" s="124"/>
    </row>
    <row r="347" spans="2:47" s="123" customFormat="1">
      <c r="B347" s="125"/>
      <c r="D347" s="238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74"/>
      <c r="AE347" s="124"/>
      <c r="AI347" s="74"/>
      <c r="AM347" s="74"/>
      <c r="AQ347" s="74"/>
      <c r="AT347" s="124"/>
      <c r="AU347" s="124"/>
    </row>
    <row r="348" spans="2:47" s="123" customFormat="1">
      <c r="B348" s="125"/>
      <c r="D348" s="238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74"/>
      <c r="AE348" s="124"/>
      <c r="AI348" s="74"/>
      <c r="AM348" s="74"/>
      <c r="AQ348" s="74"/>
      <c r="AT348" s="124"/>
      <c r="AU348" s="124"/>
    </row>
    <row r="349" spans="2:47" s="123" customFormat="1">
      <c r="B349" s="125"/>
      <c r="D349" s="238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74"/>
      <c r="AE349" s="124"/>
      <c r="AI349" s="74"/>
      <c r="AM349" s="74"/>
      <c r="AQ349" s="74"/>
      <c r="AT349" s="124"/>
      <c r="AU349" s="124"/>
    </row>
    <row r="350" spans="2:47" s="123" customFormat="1">
      <c r="B350" s="125"/>
      <c r="D350" s="238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74"/>
      <c r="AE350" s="124"/>
      <c r="AI350" s="74"/>
      <c r="AM350" s="74"/>
      <c r="AQ350" s="74"/>
      <c r="AT350" s="124"/>
      <c r="AU350" s="124"/>
    </row>
    <row r="351" spans="2:47" s="123" customFormat="1">
      <c r="B351" s="125"/>
      <c r="D351" s="238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74"/>
      <c r="AE351" s="124"/>
      <c r="AI351" s="74"/>
      <c r="AM351" s="74"/>
      <c r="AQ351" s="74"/>
      <c r="AT351" s="124"/>
      <c r="AU351" s="124"/>
    </row>
    <row r="352" spans="2:47" s="123" customFormat="1">
      <c r="B352" s="125"/>
      <c r="D352" s="238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74"/>
      <c r="AE352" s="124"/>
      <c r="AI352" s="74"/>
      <c r="AM352" s="74"/>
      <c r="AQ352" s="74"/>
      <c r="AT352" s="124"/>
      <c r="AU352" s="124"/>
    </row>
    <row r="353" spans="2:47" s="123" customFormat="1">
      <c r="B353" s="125"/>
      <c r="D353" s="238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74"/>
      <c r="AE353" s="124"/>
      <c r="AI353" s="74"/>
      <c r="AM353" s="74"/>
      <c r="AQ353" s="74"/>
      <c r="AT353" s="124"/>
      <c r="AU353" s="124"/>
    </row>
    <row r="354" spans="2:47" s="123" customFormat="1">
      <c r="B354" s="125"/>
      <c r="D354" s="238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74"/>
      <c r="AE354" s="124"/>
      <c r="AI354" s="74"/>
      <c r="AM354" s="74"/>
      <c r="AQ354" s="74"/>
      <c r="AT354" s="124"/>
      <c r="AU354" s="124"/>
    </row>
    <row r="355" spans="2:47" s="123" customFormat="1">
      <c r="B355" s="125"/>
      <c r="D355" s="238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74"/>
      <c r="AE355" s="124"/>
      <c r="AI355" s="74"/>
      <c r="AM355" s="74"/>
      <c r="AQ355" s="74"/>
      <c r="AT355" s="124"/>
      <c r="AU355" s="124"/>
    </row>
    <row r="356" spans="2:47" s="123" customFormat="1">
      <c r="B356" s="125"/>
      <c r="D356" s="238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74"/>
      <c r="AE356" s="124"/>
      <c r="AI356" s="74"/>
      <c r="AM356" s="74"/>
      <c r="AQ356" s="74"/>
      <c r="AT356" s="124"/>
      <c r="AU356" s="124"/>
    </row>
    <row r="357" spans="2:47" s="123" customFormat="1">
      <c r="B357" s="125"/>
      <c r="D357" s="238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74"/>
      <c r="AE357" s="124"/>
      <c r="AI357" s="74"/>
      <c r="AM357" s="74"/>
      <c r="AQ357" s="74"/>
      <c r="AT357" s="124"/>
      <c r="AU357" s="124"/>
    </row>
    <row r="358" spans="2:47" s="123" customFormat="1">
      <c r="B358" s="125"/>
      <c r="D358" s="238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74"/>
      <c r="AE358" s="124"/>
      <c r="AI358" s="74"/>
      <c r="AM358" s="74"/>
      <c r="AQ358" s="74"/>
      <c r="AT358" s="124"/>
      <c r="AU358" s="124"/>
    </row>
    <row r="359" spans="2:47" s="123" customFormat="1">
      <c r="B359" s="125"/>
      <c r="D359" s="238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74"/>
      <c r="AE359" s="124"/>
      <c r="AI359" s="74"/>
      <c r="AM359" s="74"/>
      <c r="AQ359" s="74"/>
      <c r="AT359" s="124"/>
      <c r="AU359" s="124"/>
    </row>
    <row r="360" spans="2:47" s="123" customFormat="1">
      <c r="B360" s="125"/>
      <c r="D360" s="238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74"/>
      <c r="AE360" s="124"/>
      <c r="AI360" s="74"/>
      <c r="AM360" s="74"/>
      <c r="AQ360" s="74"/>
      <c r="AT360" s="124"/>
      <c r="AU360" s="124"/>
    </row>
    <row r="361" spans="2:47" s="123" customFormat="1">
      <c r="B361" s="125"/>
      <c r="D361" s="238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74"/>
      <c r="AE361" s="124"/>
      <c r="AI361" s="74"/>
      <c r="AM361" s="74"/>
      <c r="AQ361" s="74"/>
      <c r="AT361" s="124"/>
      <c r="AU361" s="124"/>
    </row>
    <row r="362" spans="2:47" s="123" customFormat="1">
      <c r="B362" s="125"/>
      <c r="D362" s="238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74"/>
      <c r="AE362" s="124"/>
      <c r="AI362" s="74"/>
      <c r="AM362" s="74"/>
      <c r="AQ362" s="74"/>
      <c r="AT362" s="124"/>
      <c r="AU362" s="124"/>
    </row>
    <row r="363" spans="2:47" s="123" customFormat="1">
      <c r="B363" s="125"/>
      <c r="D363" s="238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74"/>
      <c r="AE363" s="124"/>
      <c r="AI363" s="74"/>
      <c r="AM363" s="74"/>
      <c r="AQ363" s="74"/>
      <c r="AT363" s="124"/>
      <c r="AU363" s="124"/>
    </row>
    <row r="364" spans="2:47" s="123" customFormat="1">
      <c r="B364" s="125"/>
      <c r="D364" s="238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74"/>
      <c r="AE364" s="124"/>
      <c r="AI364" s="74"/>
      <c r="AM364" s="74"/>
      <c r="AQ364" s="74"/>
      <c r="AT364" s="124"/>
      <c r="AU364" s="124"/>
    </row>
    <row r="365" spans="2:47" s="123" customFormat="1">
      <c r="B365" s="125"/>
      <c r="D365" s="238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74"/>
      <c r="AE365" s="124"/>
      <c r="AI365" s="74"/>
      <c r="AM365" s="74"/>
      <c r="AQ365" s="74"/>
      <c r="AT365" s="124"/>
      <c r="AU365" s="124"/>
    </row>
    <row r="366" spans="2:47" s="123" customFormat="1">
      <c r="B366" s="125"/>
      <c r="D366" s="238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74"/>
      <c r="AE366" s="124"/>
      <c r="AI366" s="74"/>
      <c r="AM366" s="74"/>
      <c r="AQ366" s="74"/>
      <c r="AT366" s="124"/>
      <c r="AU366" s="124"/>
    </row>
    <row r="367" spans="2:47" s="123" customFormat="1">
      <c r="B367" s="125"/>
      <c r="D367" s="238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74"/>
      <c r="AE367" s="124"/>
      <c r="AI367" s="74"/>
      <c r="AM367" s="74"/>
      <c r="AQ367" s="74"/>
      <c r="AT367" s="124"/>
      <c r="AU367" s="124"/>
    </row>
    <row r="368" spans="2:47" s="123" customFormat="1">
      <c r="B368" s="125"/>
      <c r="D368" s="238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74"/>
      <c r="AE368" s="124"/>
      <c r="AI368" s="74"/>
      <c r="AM368" s="74"/>
      <c r="AQ368" s="74"/>
      <c r="AT368" s="124"/>
      <c r="AU368" s="124"/>
    </row>
    <row r="369" spans="2:47" s="123" customFormat="1">
      <c r="B369" s="125"/>
      <c r="D369" s="238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74"/>
      <c r="AE369" s="124"/>
      <c r="AI369" s="74"/>
      <c r="AM369" s="74"/>
      <c r="AQ369" s="74"/>
      <c r="AT369" s="124"/>
      <c r="AU369" s="124"/>
    </row>
    <row r="370" spans="2:47" s="123" customFormat="1">
      <c r="B370" s="125"/>
      <c r="D370" s="238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74"/>
      <c r="AE370" s="124"/>
      <c r="AI370" s="74"/>
      <c r="AM370" s="74"/>
      <c r="AQ370" s="74"/>
      <c r="AT370" s="124"/>
      <c r="AU370" s="124"/>
    </row>
    <row r="371" spans="2:47" s="123" customFormat="1">
      <c r="B371" s="125"/>
      <c r="D371" s="238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74"/>
      <c r="AE371" s="124"/>
      <c r="AI371" s="74"/>
      <c r="AM371" s="74"/>
      <c r="AQ371" s="74"/>
      <c r="AT371" s="124"/>
      <c r="AU371" s="124"/>
    </row>
    <row r="372" spans="2:47" s="123" customFormat="1">
      <c r="B372" s="125"/>
      <c r="D372" s="238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74"/>
      <c r="AE372" s="124"/>
      <c r="AI372" s="74"/>
      <c r="AM372" s="74"/>
      <c r="AQ372" s="74"/>
      <c r="AT372" s="124"/>
      <c r="AU372" s="124"/>
    </row>
    <row r="373" spans="2:47" s="123" customFormat="1">
      <c r="B373" s="125"/>
      <c r="D373" s="238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74"/>
      <c r="AE373" s="124"/>
      <c r="AI373" s="74"/>
      <c r="AM373" s="74"/>
      <c r="AQ373" s="74"/>
      <c r="AT373" s="124"/>
      <c r="AU373" s="124"/>
    </row>
    <row r="374" spans="2:47" s="123" customFormat="1">
      <c r="B374" s="125"/>
      <c r="D374" s="238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74"/>
      <c r="AE374" s="124"/>
      <c r="AI374" s="74"/>
      <c r="AM374" s="74"/>
      <c r="AQ374" s="74"/>
      <c r="AT374" s="124"/>
      <c r="AU374" s="124"/>
    </row>
    <row r="375" spans="2:47" s="123" customFormat="1">
      <c r="B375" s="125"/>
      <c r="D375" s="238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74"/>
      <c r="AE375" s="124"/>
      <c r="AI375" s="74"/>
      <c r="AM375" s="74"/>
      <c r="AQ375" s="74"/>
      <c r="AT375" s="124"/>
      <c r="AU375" s="124"/>
    </row>
    <row r="376" spans="2:47" s="123" customFormat="1">
      <c r="B376" s="125"/>
      <c r="D376" s="238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74"/>
      <c r="AE376" s="124"/>
      <c r="AI376" s="74"/>
      <c r="AM376" s="74"/>
      <c r="AQ376" s="74"/>
      <c r="AT376" s="124"/>
      <c r="AU376" s="124"/>
    </row>
    <row r="377" spans="2:47" s="123" customFormat="1">
      <c r="B377" s="125"/>
      <c r="D377" s="238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74"/>
      <c r="AE377" s="124"/>
      <c r="AI377" s="74"/>
      <c r="AM377" s="74"/>
      <c r="AQ377" s="74"/>
      <c r="AT377" s="124"/>
      <c r="AU377" s="124"/>
    </row>
    <row r="378" spans="2:47" s="123" customFormat="1">
      <c r="B378" s="125"/>
      <c r="D378" s="238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74"/>
      <c r="AE378" s="124"/>
      <c r="AI378" s="74"/>
      <c r="AM378" s="74"/>
      <c r="AQ378" s="74"/>
      <c r="AT378" s="124"/>
      <c r="AU378" s="124"/>
    </row>
    <row r="379" spans="2:47" s="123" customFormat="1">
      <c r="B379" s="125"/>
      <c r="D379" s="238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74"/>
      <c r="AE379" s="124"/>
      <c r="AI379" s="74"/>
      <c r="AM379" s="74"/>
      <c r="AQ379" s="74"/>
      <c r="AT379" s="124"/>
      <c r="AU379" s="124"/>
    </row>
    <row r="380" spans="2:47" s="123" customFormat="1">
      <c r="B380" s="125"/>
      <c r="D380" s="238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74"/>
      <c r="AE380" s="124"/>
      <c r="AI380" s="74"/>
      <c r="AM380" s="74"/>
      <c r="AQ380" s="74"/>
      <c r="AT380" s="124"/>
      <c r="AU380" s="124"/>
    </row>
    <row r="381" spans="2:47" s="123" customFormat="1">
      <c r="B381" s="125"/>
      <c r="D381" s="238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74"/>
      <c r="AE381" s="124"/>
      <c r="AI381" s="74"/>
      <c r="AM381" s="74"/>
      <c r="AQ381" s="74"/>
      <c r="AT381" s="124"/>
      <c r="AU381" s="124"/>
    </row>
    <row r="382" spans="2:47" s="123" customFormat="1">
      <c r="B382" s="125"/>
      <c r="D382" s="238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74"/>
      <c r="AE382" s="124"/>
      <c r="AI382" s="74"/>
      <c r="AM382" s="74"/>
      <c r="AQ382" s="74"/>
      <c r="AT382" s="124"/>
      <c r="AU382" s="124"/>
    </row>
    <row r="383" spans="2:47" s="123" customFormat="1">
      <c r="B383" s="125"/>
      <c r="D383" s="238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74"/>
      <c r="AE383" s="124"/>
      <c r="AI383" s="74"/>
      <c r="AM383" s="74"/>
      <c r="AQ383" s="74"/>
      <c r="AT383" s="124"/>
      <c r="AU383" s="124"/>
    </row>
    <row r="384" spans="2:47" s="123" customFormat="1">
      <c r="B384" s="125"/>
      <c r="D384" s="238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74"/>
      <c r="AE384" s="124"/>
      <c r="AI384" s="74"/>
      <c r="AM384" s="74"/>
      <c r="AQ384" s="74"/>
      <c r="AT384" s="124"/>
      <c r="AU384" s="124"/>
    </row>
    <row r="385" spans="2:47" s="123" customFormat="1">
      <c r="B385" s="125"/>
      <c r="D385" s="238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74"/>
      <c r="AE385" s="124"/>
      <c r="AI385" s="74"/>
      <c r="AM385" s="74"/>
      <c r="AQ385" s="74"/>
      <c r="AT385" s="124"/>
      <c r="AU385" s="124"/>
    </row>
    <row r="386" spans="2:47" s="123" customFormat="1">
      <c r="B386" s="125"/>
      <c r="D386" s="238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74"/>
      <c r="AE386" s="124"/>
      <c r="AI386" s="74"/>
      <c r="AM386" s="74"/>
      <c r="AQ386" s="74"/>
      <c r="AT386" s="124"/>
      <c r="AU386" s="124"/>
    </row>
    <row r="387" spans="2:47" s="123" customFormat="1">
      <c r="B387" s="125"/>
      <c r="D387" s="238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74"/>
      <c r="AE387" s="124"/>
      <c r="AI387" s="74"/>
      <c r="AM387" s="74"/>
      <c r="AQ387" s="74"/>
      <c r="AT387" s="124"/>
      <c r="AU387" s="124"/>
    </row>
    <row r="388" spans="2:47" s="123" customFormat="1">
      <c r="B388" s="125"/>
      <c r="D388" s="238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74"/>
      <c r="AE388" s="124"/>
      <c r="AI388" s="74"/>
      <c r="AM388" s="74"/>
      <c r="AQ388" s="74"/>
      <c r="AT388" s="124"/>
      <c r="AU388" s="124"/>
    </row>
    <row r="389" spans="2:47" s="123" customFormat="1">
      <c r="B389" s="125"/>
      <c r="D389" s="238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74"/>
      <c r="AE389" s="124"/>
      <c r="AI389" s="74"/>
      <c r="AM389" s="74"/>
      <c r="AQ389" s="74"/>
      <c r="AT389" s="124"/>
      <c r="AU389" s="124"/>
    </row>
    <row r="390" spans="2:47" s="123" customFormat="1">
      <c r="B390" s="125"/>
      <c r="D390" s="238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74"/>
      <c r="AE390" s="124"/>
      <c r="AI390" s="74"/>
      <c r="AM390" s="74"/>
      <c r="AQ390" s="74"/>
      <c r="AT390" s="124"/>
      <c r="AU390" s="124"/>
    </row>
    <row r="391" spans="2:47" s="123" customFormat="1">
      <c r="B391" s="125"/>
      <c r="D391" s="238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74"/>
      <c r="AE391" s="124"/>
      <c r="AI391" s="74"/>
      <c r="AM391" s="74"/>
      <c r="AQ391" s="74"/>
      <c r="AT391" s="124"/>
      <c r="AU391" s="124"/>
    </row>
    <row r="392" spans="2:47" s="123" customFormat="1">
      <c r="B392" s="125"/>
      <c r="D392" s="238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74"/>
      <c r="AE392" s="124"/>
      <c r="AI392" s="74"/>
      <c r="AM392" s="74"/>
      <c r="AQ392" s="74"/>
      <c r="AT392" s="124"/>
      <c r="AU392" s="124"/>
    </row>
    <row r="393" spans="2:47" s="123" customFormat="1">
      <c r="B393" s="125"/>
      <c r="D393" s="238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74"/>
      <c r="AE393" s="124"/>
      <c r="AI393" s="74"/>
      <c r="AM393" s="74"/>
      <c r="AQ393" s="74"/>
      <c r="AT393" s="124"/>
      <c r="AU393" s="124"/>
    </row>
    <row r="394" spans="2:47" s="123" customFormat="1">
      <c r="B394" s="125"/>
      <c r="D394" s="238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74"/>
      <c r="AE394" s="124"/>
      <c r="AI394" s="74"/>
      <c r="AM394" s="74"/>
      <c r="AQ394" s="74"/>
      <c r="AT394" s="124"/>
      <c r="AU394" s="124"/>
    </row>
    <row r="395" spans="2:47" s="123" customFormat="1">
      <c r="B395" s="125"/>
      <c r="D395" s="238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74"/>
      <c r="AE395" s="124"/>
      <c r="AI395" s="74"/>
      <c r="AM395" s="74"/>
      <c r="AQ395" s="74"/>
      <c r="AT395" s="124"/>
      <c r="AU395" s="124"/>
    </row>
    <row r="396" spans="2:47" s="123" customFormat="1">
      <c r="B396" s="125"/>
      <c r="D396" s="238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74"/>
      <c r="AE396" s="124"/>
      <c r="AI396" s="74"/>
      <c r="AM396" s="74"/>
      <c r="AQ396" s="74"/>
      <c r="AT396" s="124"/>
      <c r="AU396" s="124"/>
    </row>
    <row r="397" spans="2:47" s="123" customFormat="1">
      <c r="B397" s="125"/>
      <c r="D397" s="238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74"/>
      <c r="AE397" s="124"/>
      <c r="AI397" s="74"/>
      <c r="AM397" s="74"/>
      <c r="AQ397" s="74"/>
      <c r="AT397" s="124"/>
      <c r="AU397" s="124"/>
    </row>
    <row r="398" spans="2:47" s="123" customFormat="1">
      <c r="B398" s="125"/>
      <c r="D398" s="238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74"/>
      <c r="AE398" s="124"/>
      <c r="AI398" s="74"/>
      <c r="AM398" s="74"/>
      <c r="AQ398" s="74"/>
      <c r="AT398" s="124"/>
      <c r="AU398" s="124"/>
    </row>
    <row r="399" spans="2:47" s="123" customFormat="1">
      <c r="B399" s="125"/>
      <c r="D399" s="238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74"/>
      <c r="AE399" s="124"/>
      <c r="AI399" s="74"/>
      <c r="AM399" s="74"/>
      <c r="AQ399" s="74"/>
      <c r="AT399" s="124"/>
      <c r="AU399" s="124"/>
    </row>
    <row r="400" spans="2:47" s="123" customFormat="1">
      <c r="B400" s="125"/>
      <c r="D400" s="238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74"/>
      <c r="AE400" s="124"/>
      <c r="AI400" s="74"/>
      <c r="AM400" s="74"/>
      <c r="AQ400" s="74"/>
      <c r="AT400" s="124"/>
      <c r="AU400" s="124"/>
    </row>
    <row r="401" spans="2:47" s="123" customFormat="1">
      <c r="B401" s="125"/>
      <c r="D401" s="238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74"/>
      <c r="AE401" s="124"/>
      <c r="AI401" s="74"/>
      <c r="AM401" s="74"/>
      <c r="AQ401" s="74"/>
      <c r="AT401" s="124"/>
      <c r="AU401" s="124"/>
    </row>
    <row r="402" spans="2:47" s="123" customFormat="1">
      <c r="B402" s="125"/>
      <c r="D402" s="238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74"/>
      <c r="AE402" s="124"/>
      <c r="AI402" s="74"/>
      <c r="AM402" s="74"/>
      <c r="AQ402" s="74"/>
      <c r="AT402" s="124"/>
      <c r="AU402" s="124"/>
    </row>
    <row r="403" spans="2:47" s="123" customFormat="1">
      <c r="B403" s="125"/>
      <c r="D403" s="238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74"/>
      <c r="AE403" s="124"/>
      <c r="AI403" s="74"/>
      <c r="AM403" s="74"/>
      <c r="AQ403" s="74"/>
      <c r="AT403" s="124"/>
      <c r="AU403" s="124"/>
    </row>
    <row r="404" spans="2:47" s="123" customFormat="1">
      <c r="B404" s="125"/>
      <c r="D404" s="238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74"/>
      <c r="AE404" s="124"/>
      <c r="AI404" s="74"/>
      <c r="AM404" s="74"/>
      <c r="AQ404" s="74"/>
      <c r="AT404" s="124"/>
      <c r="AU404" s="124"/>
    </row>
    <row r="405" spans="2:47" s="123" customFormat="1">
      <c r="B405" s="125"/>
      <c r="D405" s="238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74"/>
      <c r="AE405" s="124"/>
      <c r="AI405" s="74"/>
      <c r="AM405" s="74"/>
      <c r="AQ405" s="74"/>
      <c r="AT405" s="124"/>
      <c r="AU405" s="124"/>
    </row>
    <row r="406" spans="2:47" s="123" customFormat="1">
      <c r="B406" s="125"/>
      <c r="D406" s="238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74"/>
      <c r="AE406" s="124"/>
      <c r="AI406" s="74"/>
      <c r="AM406" s="74"/>
      <c r="AQ406" s="74"/>
      <c r="AT406" s="124"/>
      <c r="AU406" s="124"/>
    </row>
    <row r="407" spans="2:47" s="123" customFormat="1">
      <c r="B407" s="125"/>
      <c r="D407" s="238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74"/>
      <c r="AE407" s="124"/>
      <c r="AI407" s="74"/>
      <c r="AM407" s="74"/>
      <c r="AQ407" s="74"/>
      <c r="AT407" s="124"/>
      <c r="AU407" s="124"/>
    </row>
    <row r="408" spans="2:47" s="123" customFormat="1">
      <c r="B408" s="125"/>
      <c r="D408" s="238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74"/>
      <c r="AE408" s="124"/>
      <c r="AI408" s="74"/>
      <c r="AM408" s="74"/>
      <c r="AQ408" s="74"/>
      <c r="AT408" s="124"/>
      <c r="AU408" s="124"/>
    </row>
    <row r="409" spans="2:47" s="123" customFormat="1">
      <c r="B409" s="125"/>
      <c r="D409" s="238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74"/>
      <c r="AE409" s="124"/>
      <c r="AI409" s="74"/>
      <c r="AM409" s="74"/>
      <c r="AQ409" s="74"/>
      <c r="AT409" s="124"/>
      <c r="AU409" s="124"/>
    </row>
    <row r="410" spans="2:47" s="123" customFormat="1">
      <c r="B410" s="125"/>
      <c r="D410" s="238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74"/>
      <c r="AE410" s="124"/>
      <c r="AI410" s="74"/>
      <c r="AM410" s="74"/>
      <c r="AQ410" s="74"/>
      <c r="AT410" s="124"/>
      <c r="AU410" s="124"/>
    </row>
    <row r="411" spans="2:47" s="123" customFormat="1">
      <c r="B411" s="125"/>
      <c r="D411" s="238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74"/>
      <c r="AE411" s="124"/>
      <c r="AI411" s="74"/>
      <c r="AM411" s="74"/>
      <c r="AQ411" s="74"/>
      <c r="AT411" s="124"/>
      <c r="AU411" s="124"/>
    </row>
    <row r="412" spans="2:47" s="123" customFormat="1">
      <c r="B412" s="125"/>
      <c r="D412" s="238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74"/>
      <c r="AE412" s="124"/>
      <c r="AI412" s="74"/>
      <c r="AM412" s="74"/>
      <c r="AQ412" s="74"/>
      <c r="AT412" s="124"/>
      <c r="AU412" s="124"/>
    </row>
    <row r="413" spans="2:47" s="123" customFormat="1">
      <c r="B413" s="125"/>
      <c r="D413" s="238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74"/>
      <c r="AE413" s="124"/>
      <c r="AI413" s="74"/>
      <c r="AM413" s="74"/>
      <c r="AQ413" s="74"/>
      <c r="AT413" s="124"/>
      <c r="AU413" s="124"/>
    </row>
    <row r="414" spans="2:47" s="123" customFormat="1">
      <c r="B414" s="125"/>
      <c r="D414" s="238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74"/>
      <c r="AE414" s="124"/>
      <c r="AI414" s="74"/>
      <c r="AM414" s="74"/>
      <c r="AQ414" s="74"/>
      <c r="AT414" s="124"/>
      <c r="AU414" s="124"/>
    </row>
    <row r="415" spans="2:47" s="123" customFormat="1">
      <c r="B415" s="125"/>
      <c r="D415" s="238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74"/>
      <c r="AE415" s="124"/>
      <c r="AI415" s="74"/>
      <c r="AM415" s="74"/>
      <c r="AQ415" s="74"/>
      <c r="AT415" s="124"/>
      <c r="AU415" s="124"/>
    </row>
    <row r="416" spans="2:47" s="123" customFormat="1">
      <c r="B416" s="125"/>
      <c r="D416" s="238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74"/>
      <c r="AE416" s="124"/>
      <c r="AI416" s="74"/>
      <c r="AM416" s="74"/>
      <c r="AQ416" s="74"/>
      <c r="AT416" s="124"/>
      <c r="AU416" s="124"/>
    </row>
    <row r="417" spans="2:47" s="123" customFormat="1">
      <c r="B417" s="125"/>
      <c r="D417" s="238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74"/>
      <c r="AE417" s="124"/>
      <c r="AI417" s="74"/>
      <c r="AM417" s="74"/>
      <c r="AQ417" s="74"/>
      <c r="AT417" s="124"/>
      <c r="AU417" s="124"/>
    </row>
    <row r="418" spans="2:47" s="123" customFormat="1">
      <c r="B418" s="125"/>
      <c r="D418" s="238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74"/>
      <c r="AE418" s="124"/>
      <c r="AI418" s="74"/>
      <c r="AM418" s="74"/>
      <c r="AQ418" s="74"/>
      <c r="AT418" s="124"/>
      <c r="AU418" s="124"/>
    </row>
    <row r="419" spans="2:47" s="123" customFormat="1">
      <c r="B419" s="125"/>
      <c r="D419" s="238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74"/>
      <c r="AE419" s="124"/>
      <c r="AI419" s="74"/>
      <c r="AM419" s="74"/>
      <c r="AQ419" s="74"/>
      <c r="AT419" s="124"/>
      <c r="AU419" s="124"/>
    </row>
    <row r="420" spans="2:47" s="123" customFormat="1">
      <c r="B420" s="125"/>
      <c r="D420" s="238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74"/>
      <c r="AE420" s="124"/>
      <c r="AI420" s="74"/>
      <c r="AM420" s="74"/>
      <c r="AQ420" s="74"/>
      <c r="AT420" s="124"/>
      <c r="AU420" s="124"/>
    </row>
    <row r="421" spans="2:47" s="123" customFormat="1">
      <c r="B421" s="125"/>
      <c r="D421" s="238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74"/>
      <c r="AE421" s="124"/>
      <c r="AI421" s="74"/>
      <c r="AM421" s="74"/>
      <c r="AQ421" s="74"/>
      <c r="AT421" s="124"/>
      <c r="AU421" s="124"/>
    </row>
    <row r="422" spans="2:47" s="123" customFormat="1">
      <c r="B422" s="125"/>
      <c r="D422" s="238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74"/>
      <c r="AE422" s="124"/>
      <c r="AI422" s="74"/>
      <c r="AM422" s="74"/>
      <c r="AQ422" s="74"/>
      <c r="AT422" s="124"/>
      <c r="AU422" s="124"/>
    </row>
    <row r="423" spans="2:47" s="123" customFormat="1">
      <c r="B423" s="125"/>
      <c r="D423" s="238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74"/>
      <c r="AE423" s="124"/>
      <c r="AI423" s="74"/>
      <c r="AM423" s="74"/>
      <c r="AQ423" s="74"/>
      <c r="AT423" s="124"/>
      <c r="AU423" s="124"/>
    </row>
    <row r="424" spans="2:47" s="123" customFormat="1">
      <c r="B424" s="125"/>
      <c r="D424" s="238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74"/>
      <c r="AE424" s="124"/>
      <c r="AI424" s="74"/>
      <c r="AM424" s="74"/>
      <c r="AQ424" s="74"/>
      <c r="AT424" s="124"/>
      <c r="AU424" s="124"/>
    </row>
    <row r="425" spans="2:47" s="123" customFormat="1">
      <c r="B425" s="125"/>
      <c r="D425" s="238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74"/>
      <c r="AE425" s="124"/>
      <c r="AI425" s="74"/>
      <c r="AM425" s="74"/>
      <c r="AQ425" s="74"/>
      <c r="AT425" s="124"/>
      <c r="AU425" s="124"/>
    </row>
    <row r="426" spans="2:47" s="123" customFormat="1">
      <c r="B426" s="125"/>
      <c r="D426" s="238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74"/>
      <c r="AE426" s="124"/>
      <c r="AI426" s="74"/>
      <c r="AM426" s="74"/>
      <c r="AQ426" s="74"/>
      <c r="AT426" s="124"/>
      <c r="AU426" s="124"/>
    </row>
    <row r="427" spans="2:47" s="123" customFormat="1">
      <c r="B427" s="125"/>
      <c r="D427" s="238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74"/>
      <c r="AE427" s="124"/>
      <c r="AI427" s="74"/>
      <c r="AM427" s="74"/>
      <c r="AQ427" s="74"/>
      <c r="AT427" s="124"/>
      <c r="AU427" s="124"/>
    </row>
    <row r="428" spans="2:47" s="123" customFormat="1">
      <c r="B428" s="125"/>
      <c r="D428" s="238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74"/>
      <c r="AE428" s="124"/>
      <c r="AI428" s="74"/>
      <c r="AM428" s="74"/>
      <c r="AQ428" s="74"/>
      <c r="AT428" s="124"/>
      <c r="AU428" s="124"/>
    </row>
    <row r="429" spans="2:47" s="123" customFormat="1">
      <c r="B429" s="125"/>
      <c r="D429" s="238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74"/>
      <c r="AE429" s="124"/>
      <c r="AI429" s="74"/>
      <c r="AM429" s="74"/>
      <c r="AQ429" s="74"/>
      <c r="AT429" s="124"/>
      <c r="AU429" s="124"/>
    </row>
    <row r="430" spans="2:47" s="123" customFormat="1">
      <c r="B430" s="125"/>
      <c r="D430" s="238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74"/>
      <c r="AE430" s="124"/>
      <c r="AI430" s="74"/>
      <c r="AM430" s="74"/>
      <c r="AQ430" s="74"/>
      <c r="AT430" s="124"/>
      <c r="AU430" s="124"/>
    </row>
    <row r="431" spans="2:47" s="123" customFormat="1">
      <c r="B431" s="125"/>
      <c r="D431" s="238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74"/>
      <c r="AE431" s="124"/>
      <c r="AI431" s="74"/>
      <c r="AM431" s="74"/>
      <c r="AQ431" s="74"/>
      <c r="AT431" s="124"/>
      <c r="AU431" s="124"/>
    </row>
    <row r="432" spans="2:47" s="123" customFormat="1">
      <c r="B432" s="125"/>
      <c r="D432" s="238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74"/>
      <c r="AE432" s="124"/>
      <c r="AI432" s="74"/>
      <c r="AM432" s="74"/>
      <c r="AQ432" s="74"/>
      <c r="AT432" s="124"/>
      <c r="AU432" s="124"/>
    </row>
    <row r="433" spans="2:47" s="123" customFormat="1">
      <c r="B433" s="125"/>
      <c r="D433" s="238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74"/>
      <c r="AE433" s="124"/>
      <c r="AI433" s="74"/>
      <c r="AM433" s="74"/>
      <c r="AQ433" s="74"/>
      <c r="AT433" s="124"/>
      <c r="AU433" s="124"/>
    </row>
    <row r="434" spans="2:47" s="123" customFormat="1">
      <c r="B434" s="125"/>
      <c r="D434" s="238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74"/>
      <c r="AE434" s="124"/>
      <c r="AI434" s="74"/>
      <c r="AM434" s="74"/>
      <c r="AQ434" s="74"/>
      <c r="AT434" s="124"/>
      <c r="AU434" s="124"/>
    </row>
    <row r="435" spans="2:47" s="123" customFormat="1">
      <c r="B435" s="125"/>
      <c r="D435" s="238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74"/>
      <c r="AE435" s="124"/>
      <c r="AI435" s="74"/>
      <c r="AM435" s="74"/>
      <c r="AQ435" s="74"/>
      <c r="AT435" s="124"/>
      <c r="AU435" s="124"/>
    </row>
    <row r="436" spans="2:47" s="123" customFormat="1">
      <c r="B436" s="125"/>
      <c r="D436" s="238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74"/>
      <c r="AE436" s="124"/>
      <c r="AI436" s="74"/>
      <c r="AM436" s="74"/>
      <c r="AQ436" s="74"/>
      <c r="AT436" s="124"/>
      <c r="AU436" s="124"/>
    </row>
    <row r="437" spans="2:47" s="123" customFormat="1">
      <c r="B437" s="125"/>
      <c r="D437" s="238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74"/>
      <c r="AE437" s="124"/>
      <c r="AI437" s="74"/>
      <c r="AM437" s="74"/>
      <c r="AQ437" s="74"/>
      <c r="AT437" s="124"/>
      <c r="AU437" s="124"/>
    </row>
    <row r="438" spans="2:47" s="123" customFormat="1">
      <c r="B438" s="125"/>
      <c r="D438" s="238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74"/>
      <c r="AE438" s="124"/>
      <c r="AI438" s="74"/>
      <c r="AM438" s="74"/>
      <c r="AQ438" s="74"/>
      <c r="AT438" s="124"/>
      <c r="AU438" s="124"/>
    </row>
    <row r="439" spans="2:47" s="123" customFormat="1">
      <c r="B439" s="125"/>
      <c r="D439" s="238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74"/>
      <c r="AE439" s="124"/>
      <c r="AI439" s="74"/>
      <c r="AM439" s="74"/>
      <c r="AQ439" s="74"/>
      <c r="AT439" s="124"/>
      <c r="AU439" s="124"/>
    </row>
    <row r="440" spans="2:47" s="123" customFormat="1">
      <c r="B440" s="125"/>
      <c r="D440" s="238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74"/>
      <c r="AE440" s="124"/>
      <c r="AI440" s="74"/>
      <c r="AM440" s="74"/>
      <c r="AQ440" s="74"/>
      <c r="AT440" s="124"/>
      <c r="AU440" s="124"/>
    </row>
    <row r="441" spans="2:47" s="123" customFormat="1">
      <c r="B441" s="125"/>
      <c r="D441" s="238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74"/>
      <c r="AE441" s="124"/>
      <c r="AI441" s="74"/>
      <c r="AM441" s="74"/>
      <c r="AQ441" s="74"/>
      <c r="AT441" s="124"/>
      <c r="AU441" s="124"/>
    </row>
    <row r="442" spans="2:47" s="123" customFormat="1">
      <c r="B442" s="125"/>
      <c r="D442" s="238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74"/>
      <c r="AE442" s="124"/>
      <c r="AI442" s="74"/>
      <c r="AM442" s="74"/>
      <c r="AQ442" s="74"/>
      <c r="AT442" s="124"/>
      <c r="AU442" s="124"/>
    </row>
    <row r="443" spans="2:47" s="123" customFormat="1">
      <c r="B443" s="125"/>
      <c r="D443" s="238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74"/>
      <c r="AE443" s="124"/>
      <c r="AI443" s="74"/>
      <c r="AM443" s="74"/>
      <c r="AQ443" s="74"/>
      <c r="AT443" s="124"/>
      <c r="AU443" s="124"/>
    </row>
    <row r="444" spans="2:47" s="123" customFormat="1">
      <c r="B444" s="125"/>
      <c r="D444" s="238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74"/>
      <c r="AE444" s="124"/>
      <c r="AI444" s="74"/>
      <c r="AM444" s="74"/>
      <c r="AQ444" s="74"/>
      <c r="AT444" s="124"/>
      <c r="AU444" s="124"/>
    </row>
    <row r="445" spans="2:47" s="123" customFormat="1">
      <c r="B445" s="125"/>
      <c r="D445" s="238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74"/>
      <c r="AE445" s="124"/>
      <c r="AI445" s="74"/>
      <c r="AM445" s="74"/>
      <c r="AQ445" s="74"/>
      <c r="AT445" s="124"/>
      <c r="AU445" s="124"/>
    </row>
    <row r="446" spans="2:47" s="123" customFormat="1">
      <c r="B446" s="125"/>
      <c r="D446" s="238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74"/>
      <c r="AE446" s="124"/>
      <c r="AI446" s="74"/>
      <c r="AM446" s="74"/>
      <c r="AQ446" s="74"/>
      <c r="AT446" s="124"/>
      <c r="AU446" s="124"/>
    </row>
    <row r="447" spans="2:47" s="123" customFormat="1">
      <c r="B447" s="125"/>
      <c r="D447" s="238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74"/>
      <c r="AE447" s="124"/>
      <c r="AI447" s="74"/>
      <c r="AM447" s="74"/>
      <c r="AQ447" s="74"/>
      <c r="AT447" s="124"/>
      <c r="AU447" s="124"/>
    </row>
    <row r="448" spans="2:47" s="123" customFormat="1">
      <c r="B448" s="125"/>
      <c r="D448" s="238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74"/>
      <c r="AE448" s="124"/>
      <c r="AI448" s="74"/>
      <c r="AM448" s="74"/>
      <c r="AQ448" s="74"/>
      <c r="AT448" s="124"/>
      <c r="AU448" s="124"/>
    </row>
    <row r="449" spans="2:47" s="123" customFormat="1">
      <c r="B449" s="125"/>
      <c r="D449" s="238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74"/>
      <c r="AE449" s="124"/>
      <c r="AI449" s="74"/>
      <c r="AM449" s="74"/>
      <c r="AQ449" s="74"/>
      <c r="AT449" s="124"/>
      <c r="AU449" s="124"/>
    </row>
    <row r="450" spans="2:47" s="123" customFormat="1">
      <c r="B450" s="125"/>
      <c r="D450" s="238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74"/>
      <c r="AE450" s="124"/>
      <c r="AI450" s="74"/>
      <c r="AM450" s="74"/>
      <c r="AQ450" s="74"/>
      <c r="AT450" s="124"/>
      <c r="AU450" s="124"/>
    </row>
    <row r="451" spans="2:47" s="123" customFormat="1">
      <c r="B451" s="125"/>
      <c r="D451" s="238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74"/>
      <c r="AE451" s="124"/>
      <c r="AI451" s="74"/>
      <c r="AM451" s="74"/>
      <c r="AQ451" s="74"/>
      <c r="AT451" s="124"/>
      <c r="AU451" s="124"/>
    </row>
    <row r="452" spans="2:47" s="123" customFormat="1">
      <c r="B452" s="125"/>
      <c r="D452" s="238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74"/>
      <c r="AE452" s="124"/>
      <c r="AI452" s="74"/>
      <c r="AM452" s="74"/>
      <c r="AQ452" s="74"/>
      <c r="AT452" s="124"/>
      <c r="AU452" s="124"/>
    </row>
    <row r="453" spans="2:47" s="123" customFormat="1">
      <c r="B453" s="125"/>
      <c r="D453" s="238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74"/>
      <c r="AE453" s="124"/>
      <c r="AI453" s="74"/>
      <c r="AM453" s="74"/>
      <c r="AQ453" s="74"/>
      <c r="AT453" s="124"/>
      <c r="AU453" s="124"/>
    </row>
    <row r="454" spans="2:47" s="123" customFormat="1">
      <c r="B454" s="125"/>
      <c r="D454" s="238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74"/>
      <c r="AE454" s="124"/>
      <c r="AI454" s="74"/>
      <c r="AM454" s="74"/>
      <c r="AQ454" s="74"/>
      <c r="AT454" s="124"/>
      <c r="AU454" s="124"/>
    </row>
    <row r="455" spans="2:47" s="123" customFormat="1">
      <c r="B455" s="125"/>
      <c r="D455" s="238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74"/>
      <c r="AE455" s="124"/>
      <c r="AI455" s="74"/>
      <c r="AM455" s="74"/>
      <c r="AQ455" s="74"/>
      <c r="AT455" s="124"/>
      <c r="AU455" s="124"/>
    </row>
    <row r="456" spans="2:47" s="123" customFormat="1">
      <c r="B456" s="125"/>
      <c r="D456" s="238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74"/>
      <c r="AE456" s="124"/>
      <c r="AI456" s="74"/>
      <c r="AM456" s="74"/>
      <c r="AQ456" s="74"/>
      <c r="AT456" s="124"/>
      <c r="AU456" s="124"/>
    </row>
    <row r="457" spans="2:47" s="123" customFormat="1">
      <c r="B457" s="125"/>
      <c r="D457" s="238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74"/>
      <c r="AE457" s="124"/>
      <c r="AI457" s="74"/>
      <c r="AM457" s="74"/>
      <c r="AQ457" s="74"/>
      <c r="AT457" s="124"/>
      <c r="AU457" s="124"/>
    </row>
    <row r="458" spans="2:47" s="123" customFormat="1">
      <c r="B458" s="125"/>
      <c r="D458" s="238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74"/>
      <c r="AE458" s="124"/>
      <c r="AI458" s="74"/>
      <c r="AM458" s="74"/>
      <c r="AQ458" s="74"/>
      <c r="AT458" s="124"/>
      <c r="AU458" s="124"/>
    </row>
    <row r="459" spans="2:47" s="123" customFormat="1">
      <c r="B459" s="125"/>
      <c r="D459" s="238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74"/>
      <c r="AE459" s="124"/>
      <c r="AI459" s="74"/>
      <c r="AM459" s="74"/>
      <c r="AQ459" s="74"/>
      <c r="AT459" s="124"/>
      <c r="AU459" s="124"/>
    </row>
    <row r="460" spans="2:47" s="123" customFormat="1">
      <c r="B460" s="125"/>
      <c r="D460" s="238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74"/>
      <c r="AE460" s="124"/>
      <c r="AI460" s="74"/>
      <c r="AM460" s="74"/>
      <c r="AQ460" s="74"/>
      <c r="AT460" s="124"/>
      <c r="AU460" s="124"/>
    </row>
    <row r="461" spans="2:47" s="123" customFormat="1">
      <c r="B461" s="125"/>
      <c r="D461" s="238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74"/>
      <c r="AE461" s="124"/>
      <c r="AI461" s="74"/>
      <c r="AM461" s="74"/>
      <c r="AQ461" s="74"/>
      <c r="AT461" s="124"/>
      <c r="AU461" s="124"/>
    </row>
    <row r="462" spans="2:47" s="123" customFormat="1">
      <c r="B462" s="125"/>
      <c r="D462" s="238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74"/>
      <c r="AE462" s="124"/>
      <c r="AI462" s="74"/>
      <c r="AM462" s="74"/>
      <c r="AQ462" s="74"/>
      <c r="AT462" s="124"/>
      <c r="AU462" s="124"/>
    </row>
    <row r="463" spans="2:47" s="123" customFormat="1">
      <c r="B463" s="125"/>
      <c r="D463" s="238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74"/>
      <c r="AE463" s="124"/>
      <c r="AI463" s="74"/>
      <c r="AM463" s="74"/>
      <c r="AQ463" s="74"/>
      <c r="AT463" s="124"/>
      <c r="AU463" s="124"/>
    </row>
    <row r="464" spans="2:47" s="123" customFormat="1">
      <c r="B464" s="125"/>
      <c r="D464" s="238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74"/>
      <c r="AE464" s="124"/>
      <c r="AI464" s="74"/>
      <c r="AM464" s="74"/>
      <c r="AQ464" s="74"/>
      <c r="AT464" s="124"/>
      <c r="AU464" s="124"/>
    </row>
    <row r="465" spans="2:47" s="123" customFormat="1">
      <c r="B465" s="125"/>
      <c r="D465" s="238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74"/>
      <c r="AE465" s="124"/>
      <c r="AI465" s="74"/>
      <c r="AM465" s="74"/>
      <c r="AQ465" s="74"/>
      <c r="AT465" s="124"/>
      <c r="AU465" s="124"/>
    </row>
    <row r="466" spans="2:47" s="123" customFormat="1">
      <c r="B466" s="125"/>
      <c r="D466" s="238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74"/>
      <c r="AE466" s="124"/>
      <c r="AI466" s="74"/>
      <c r="AM466" s="74"/>
      <c r="AQ466" s="74"/>
      <c r="AT466" s="124"/>
      <c r="AU466" s="124"/>
    </row>
    <row r="467" spans="2:47" s="123" customFormat="1">
      <c r="B467" s="125"/>
      <c r="D467" s="238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74"/>
      <c r="AE467" s="124"/>
      <c r="AI467" s="74"/>
      <c r="AM467" s="74"/>
      <c r="AQ467" s="74"/>
      <c r="AT467" s="124"/>
      <c r="AU467" s="124"/>
    </row>
    <row r="468" spans="2:47" s="123" customFormat="1">
      <c r="B468" s="125"/>
      <c r="D468" s="238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74"/>
      <c r="AE468" s="124"/>
      <c r="AI468" s="74"/>
      <c r="AM468" s="74"/>
      <c r="AQ468" s="74"/>
      <c r="AT468" s="124"/>
      <c r="AU468" s="124"/>
    </row>
    <row r="469" spans="2:47" s="123" customFormat="1">
      <c r="B469" s="125"/>
      <c r="D469" s="238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74"/>
      <c r="AE469" s="124"/>
      <c r="AI469" s="74"/>
      <c r="AM469" s="74"/>
      <c r="AQ469" s="74"/>
      <c r="AT469" s="124"/>
      <c r="AU469" s="124"/>
    </row>
    <row r="470" spans="2:47" s="123" customFormat="1">
      <c r="B470" s="125"/>
      <c r="D470" s="238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74"/>
      <c r="AE470" s="124"/>
      <c r="AI470" s="74"/>
      <c r="AM470" s="74"/>
      <c r="AQ470" s="74"/>
      <c r="AT470" s="124"/>
      <c r="AU470" s="124"/>
    </row>
    <row r="471" spans="2:47" s="123" customFormat="1">
      <c r="B471" s="125"/>
      <c r="D471" s="238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74"/>
      <c r="AE471" s="124"/>
      <c r="AI471" s="74"/>
      <c r="AM471" s="74"/>
      <c r="AQ471" s="74"/>
      <c r="AT471" s="124"/>
      <c r="AU471" s="124"/>
    </row>
    <row r="472" spans="2:47" s="123" customFormat="1">
      <c r="B472" s="125"/>
      <c r="D472" s="238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74"/>
      <c r="AE472" s="124"/>
      <c r="AI472" s="74"/>
      <c r="AM472" s="74"/>
      <c r="AQ472" s="74"/>
      <c r="AT472" s="124"/>
      <c r="AU472" s="124"/>
    </row>
    <row r="473" spans="2:47" s="123" customFormat="1">
      <c r="B473" s="125"/>
      <c r="D473" s="238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74"/>
      <c r="AE473" s="124"/>
      <c r="AI473" s="74"/>
      <c r="AM473" s="74"/>
      <c r="AQ473" s="74"/>
      <c r="AT473" s="124"/>
      <c r="AU473" s="124"/>
    </row>
    <row r="474" spans="2:47" s="123" customFormat="1">
      <c r="B474" s="125"/>
      <c r="D474" s="238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74"/>
      <c r="AE474" s="124"/>
      <c r="AI474" s="74"/>
      <c r="AM474" s="74"/>
      <c r="AQ474" s="74"/>
      <c r="AT474" s="124"/>
      <c r="AU474" s="124"/>
    </row>
    <row r="475" spans="2:47" s="123" customFormat="1">
      <c r="B475" s="125"/>
      <c r="D475" s="238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74"/>
      <c r="AE475" s="124"/>
      <c r="AI475" s="74"/>
      <c r="AM475" s="74"/>
      <c r="AQ475" s="74"/>
      <c r="AT475" s="124"/>
      <c r="AU475" s="124"/>
    </row>
    <row r="476" spans="2:47" s="123" customFormat="1">
      <c r="B476" s="125"/>
      <c r="D476" s="238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74"/>
      <c r="AE476" s="124"/>
      <c r="AI476" s="74"/>
      <c r="AM476" s="74"/>
      <c r="AQ476" s="74"/>
      <c r="AT476" s="124"/>
      <c r="AU476" s="124"/>
    </row>
    <row r="477" spans="2:47" s="123" customFormat="1">
      <c r="B477" s="125"/>
      <c r="D477" s="238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74"/>
      <c r="AE477" s="124"/>
      <c r="AI477" s="74"/>
      <c r="AM477" s="74"/>
      <c r="AQ477" s="74"/>
      <c r="AT477" s="124"/>
      <c r="AU477" s="124"/>
    </row>
    <row r="478" spans="2:47" s="123" customFormat="1">
      <c r="B478" s="125"/>
      <c r="D478" s="238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74"/>
      <c r="AE478" s="124"/>
      <c r="AI478" s="74"/>
      <c r="AM478" s="74"/>
      <c r="AQ478" s="74"/>
      <c r="AT478" s="124"/>
      <c r="AU478" s="124"/>
    </row>
    <row r="479" spans="2:47" s="123" customFormat="1">
      <c r="B479" s="125"/>
      <c r="D479" s="238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74"/>
      <c r="AE479" s="124"/>
      <c r="AI479" s="74"/>
      <c r="AM479" s="74"/>
      <c r="AQ479" s="74"/>
      <c r="AT479" s="124"/>
      <c r="AU479" s="124"/>
    </row>
    <row r="480" spans="2:47" s="123" customFormat="1">
      <c r="B480" s="125"/>
      <c r="D480" s="238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74"/>
      <c r="AE480" s="124"/>
      <c r="AI480" s="74"/>
      <c r="AM480" s="74"/>
      <c r="AQ480" s="74"/>
      <c r="AT480" s="124"/>
      <c r="AU480" s="124"/>
    </row>
    <row r="481" spans="2:47" s="123" customFormat="1">
      <c r="B481" s="125"/>
      <c r="D481" s="238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74"/>
      <c r="AE481" s="124"/>
      <c r="AI481" s="74"/>
      <c r="AM481" s="74"/>
      <c r="AQ481" s="74"/>
      <c r="AT481" s="124"/>
      <c r="AU481" s="124"/>
    </row>
    <row r="482" spans="2:47" s="123" customFormat="1">
      <c r="B482" s="125"/>
      <c r="D482" s="238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74"/>
      <c r="AE482" s="124"/>
      <c r="AI482" s="74"/>
      <c r="AM482" s="74"/>
      <c r="AQ482" s="74"/>
      <c r="AT482" s="124"/>
      <c r="AU482" s="124"/>
    </row>
    <row r="483" spans="2:47" s="123" customFormat="1">
      <c r="B483" s="125"/>
      <c r="D483" s="238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74"/>
      <c r="AE483" s="124"/>
      <c r="AI483" s="74"/>
      <c r="AM483" s="74"/>
      <c r="AQ483" s="74"/>
      <c r="AT483" s="124"/>
      <c r="AU483" s="124"/>
    </row>
    <row r="484" spans="2:47" s="123" customFormat="1">
      <c r="B484" s="125"/>
      <c r="D484" s="238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74"/>
      <c r="AE484" s="124"/>
      <c r="AI484" s="74"/>
      <c r="AM484" s="74"/>
      <c r="AQ484" s="74"/>
      <c r="AT484" s="124"/>
      <c r="AU484" s="124"/>
    </row>
    <row r="485" spans="2:47" s="123" customFormat="1">
      <c r="B485" s="125"/>
      <c r="D485" s="238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74"/>
      <c r="AE485" s="124"/>
      <c r="AI485" s="74"/>
      <c r="AM485" s="74"/>
      <c r="AQ485" s="74"/>
      <c r="AT485" s="124"/>
      <c r="AU485" s="124"/>
    </row>
    <row r="486" spans="2:47" s="123" customFormat="1">
      <c r="B486" s="125"/>
      <c r="D486" s="238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74"/>
      <c r="AE486" s="124"/>
      <c r="AI486" s="74"/>
      <c r="AM486" s="74"/>
      <c r="AQ486" s="74"/>
      <c r="AT486" s="124"/>
      <c r="AU486" s="124"/>
    </row>
    <row r="487" spans="2:47" s="123" customFormat="1">
      <c r="B487" s="125"/>
      <c r="D487" s="238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74"/>
      <c r="AE487" s="124"/>
      <c r="AI487" s="74"/>
      <c r="AM487" s="74"/>
      <c r="AQ487" s="74"/>
      <c r="AT487" s="124"/>
      <c r="AU487" s="124"/>
    </row>
    <row r="488" spans="2:47" s="123" customFormat="1">
      <c r="B488" s="125"/>
      <c r="D488" s="238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74"/>
      <c r="AE488" s="124"/>
      <c r="AI488" s="74"/>
      <c r="AM488" s="74"/>
      <c r="AQ488" s="74"/>
      <c r="AT488" s="124"/>
      <c r="AU488" s="124"/>
    </row>
    <row r="489" spans="2:47" s="123" customFormat="1">
      <c r="B489" s="125"/>
      <c r="D489" s="238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74"/>
      <c r="AE489" s="124"/>
      <c r="AI489" s="74"/>
      <c r="AM489" s="74"/>
      <c r="AQ489" s="74"/>
      <c r="AT489" s="124"/>
      <c r="AU489" s="124"/>
    </row>
    <row r="490" spans="2:47" s="123" customFormat="1">
      <c r="B490" s="125"/>
      <c r="D490" s="238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74"/>
      <c r="AE490" s="124"/>
      <c r="AI490" s="74"/>
      <c r="AM490" s="74"/>
      <c r="AQ490" s="74"/>
      <c r="AT490" s="124"/>
      <c r="AU490" s="124"/>
    </row>
    <row r="491" spans="2:47" s="123" customFormat="1">
      <c r="B491" s="125"/>
      <c r="D491" s="238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74"/>
      <c r="AE491" s="124"/>
      <c r="AI491" s="74"/>
      <c r="AM491" s="74"/>
      <c r="AQ491" s="74"/>
      <c r="AT491" s="124"/>
      <c r="AU491" s="124"/>
    </row>
    <row r="492" spans="2:47" s="123" customFormat="1">
      <c r="B492" s="125"/>
      <c r="D492" s="238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74"/>
      <c r="AE492" s="124"/>
      <c r="AI492" s="74"/>
      <c r="AM492" s="74"/>
      <c r="AQ492" s="74"/>
      <c r="AT492" s="124"/>
      <c r="AU492" s="124"/>
    </row>
    <row r="493" spans="2:47" s="123" customFormat="1">
      <c r="B493" s="125"/>
      <c r="D493" s="238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74"/>
      <c r="AE493" s="124"/>
      <c r="AI493" s="74"/>
      <c r="AM493" s="74"/>
      <c r="AQ493" s="74"/>
      <c r="AT493" s="124"/>
      <c r="AU493" s="124"/>
    </row>
    <row r="494" spans="2:47" s="123" customFormat="1">
      <c r="B494" s="125"/>
      <c r="D494" s="238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74"/>
      <c r="AE494" s="124"/>
      <c r="AI494" s="74"/>
      <c r="AM494" s="74"/>
      <c r="AQ494" s="74"/>
      <c r="AT494" s="124"/>
      <c r="AU494" s="124"/>
    </row>
    <row r="495" spans="2:47" s="123" customFormat="1">
      <c r="B495" s="125"/>
      <c r="D495" s="238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74"/>
      <c r="AE495" s="124"/>
      <c r="AI495" s="74"/>
      <c r="AM495" s="74"/>
      <c r="AQ495" s="74"/>
      <c r="AT495" s="124"/>
      <c r="AU495" s="124"/>
    </row>
    <row r="496" spans="2:47" s="123" customFormat="1">
      <c r="B496" s="125"/>
      <c r="D496" s="238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74"/>
      <c r="AE496" s="124"/>
      <c r="AI496" s="74"/>
      <c r="AM496" s="74"/>
      <c r="AQ496" s="74"/>
      <c r="AT496" s="124"/>
      <c r="AU496" s="124"/>
    </row>
    <row r="497" spans="2:47" s="123" customFormat="1">
      <c r="B497" s="125"/>
      <c r="D497" s="238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74"/>
      <c r="AE497" s="124"/>
      <c r="AI497" s="74"/>
      <c r="AM497" s="74"/>
      <c r="AQ497" s="74"/>
      <c r="AT497" s="124"/>
      <c r="AU497" s="124"/>
    </row>
    <row r="498" spans="2:47" s="123" customFormat="1">
      <c r="B498" s="125"/>
      <c r="D498" s="238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74"/>
      <c r="AE498" s="124"/>
      <c r="AI498" s="74"/>
      <c r="AM498" s="74"/>
      <c r="AQ498" s="74"/>
      <c r="AT498" s="124"/>
      <c r="AU498" s="124"/>
    </row>
    <row r="499" spans="2:47" s="123" customFormat="1">
      <c r="B499" s="125"/>
      <c r="D499" s="238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74"/>
      <c r="AE499" s="124"/>
      <c r="AI499" s="74"/>
      <c r="AM499" s="74"/>
      <c r="AQ499" s="74"/>
      <c r="AT499" s="124"/>
      <c r="AU499" s="124"/>
    </row>
    <row r="500" spans="2:47" s="123" customFormat="1">
      <c r="B500" s="125"/>
      <c r="D500" s="238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74"/>
      <c r="AE500" s="124"/>
      <c r="AI500" s="74"/>
      <c r="AM500" s="74"/>
      <c r="AQ500" s="74"/>
      <c r="AT500" s="124"/>
      <c r="AU500" s="124"/>
    </row>
    <row r="501" spans="2:47" s="123" customFormat="1">
      <c r="B501" s="125"/>
      <c r="D501" s="238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74"/>
      <c r="AE501" s="124"/>
      <c r="AI501" s="74"/>
      <c r="AM501" s="74"/>
      <c r="AQ501" s="74"/>
      <c r="AT501" s="124"/>
      <c r="AU501" s="124"/>
    </row>
    <row r="502" spans="2:47" s="123" customFormat="1">
      <c r="B502" s="125"/>
      <c r="D502" s="238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74"/>
      <c r="AE502" s="124"/>
      <c r="AI502" s="74"/>
      <c r="AM502" s="74"/>
      <c r="AQ502" s="74"/>
      <c r="AT502" s="124"/>
      <c r="AU502" s="124"/>
    </row>
    <row r="503" spans="2:47" s="123" customFormat="1">
      <c r="B503" s="125"/>
      <c r="D503" s="238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74"/>
      <c r="AE503" s="124"/>
      <c r="AI503" s="74"/>
      <c r="AM503" s="74"/>
      <c r="AQ503" s="74"/>
      <c r="AT503" s="124"/>
      <c r="AU503" s="124"/>
    </row>
    <row r="504" spans="2:47" s="123" customFormat="1">
      <c r="B504" s="125"/>
      <c r="D504" s="238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74"/>
      <c r="AE504" s="124"/>
      <c r="AI504" s="74"/>
      <c r="AM504" s="74"/>
      <c r="AQ504" s="74"/>
      <c r="AT504" s="124"/>
      <c r="AU504" s="124"/>
    </row>
    <row r="505" spans="2:47" s="123" customFormat="1">
      <c r="B505" s="125"/>
      <c r="D505" s="238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74"/>
      <c r="AE505" s="124"/>
      <c r="AI505" s="74"/>
      <c r="AM505" s="74"/>
      <c r="AQ505" s="74"/>
      <c r="AT505" s="124"/>
      <c r="AU505" s="124"/>
    </row>
    <row r="506" spans="2:47" s="123" customFormat="1">
      <c r="B506" s="125"/>
      <c r="D506" s="238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74"/>
      <c r="AE506" s="124"/>
      <c r="AI506" s="74"/>
      <c r="AM506" s="74"/>
      <c r="AQ506" s="74"/>
      <c r="AT506" s="124"/>
      <c r="AU506" s="124"/>
    </row>
    <row r="507" spans="2:47" s="123" customFormat="1">
      <c r="B507" s="125"/>
      <c r="D507" s="238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74"/>
      <c r="AE507" s="124"/>
      <c r="AI507" s="74"/>
      <c r="AM507" s="74"/>
      <c r="AQ507" s="74"/>
      <c r="AT507" s="124"/>
      <c r="AU507" s="124"/>
    </row>
    <row r="508" spans="2:47" s="123" customFormat="1">
      <c r="B508" s="125"/>
      <c r="D508" s="238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74"/>
      <c r="AE508" s="124"/>
      <c r="AI508" s="74"/>
      <c r="AM508" s="74"/>
      <c r="AQ508" s="74"/>
      <c r="AT508" s="124"/>
      <c r="AU508" s="124"/>
    </row>
    <row r="509" spans="2:47" s="123" customFormat="1">
      <c r="B509" s="125"/>
      <c r="D509" s="238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74"/>
      <c r="AE509" s="124"/>
      <c r="AI509" s="74"/>
      <c r="AM509" s="74"/>
      <c r="AQ509" s="74"/>
      <c r="AT509" s="124"/>
      <c r="AU509" s="124"/>
    </row>
    <row r="510" spans="2:47" s="123" customFormat="1">
      <c r="B510" s="125"/>
      <c r="D510" s="238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74"/>
      <c r="AE510" s="124"/>
      <c r="AI510" s="74"/>
      <c r="AM510" s="74"/>
      <c r="AQ510" s="74"/>
      <c r="AT510" s="124"/>
      <c r="AU510" s="124"/>
    </row>
    <row r="511" spans="2:47" s="123" customFormat="1">
      <c r="B511" s="125"/>
      <c r="D511" s="238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74"/>
      <c r="AE511" s="124"/>
      <c r="AI511" s="74"/>
      <c r="AM511" s="74"/>
      <c r="AQ511" s="74"/>
      <c r="AT511" s="124"/>
      <c r="AU511" s="124"/>
    </row>
    <row r="512" spans="2:47" s="123" customFormat="1">
      <c r="B512" s="125"/>
      <c r="D512" s="238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74"/>
      <c r="AE512" s="124"/>
      <c r="AI512" s="74"/>
      <c r="AM512" s="74"/>
      <c r="AQ512" s="74"/>
      <c r="AT512" s="124"/>
      <c r="AU512" s="124"/>
    </row>
    <row r="513" spans="2:47" s="123" customFormat="1">
      <c r="B513" s="125"/>
      <c r="D513" s="238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74"/>
      <c r="AE513" s="124"/>
      <c r="AI513" s="74"/>
      <c r="AM513" s="74"/>
      <c r="AQ513" s="74"/>
      <c r="AT513" s="124"/>
      <c r="AU513" s="124"/>
    </row>
    <row r="514" spans="2:47" s="123" customFormat="1">
      <c r="B514" s="125"/>
      <c r="D514" s="238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74"/>
      <c r="AE514" s="124"/>
      <c r="AI514" s="74"/>
      <c r="AM514" s="74"/>
      <c r="AQ514" s="74"/>
      <c r="AT514" s="124"/>
      <c r="AU514" s="124"/>
    </row>
    <row r="515" spans="2:47" s="123" customFormat="1">
      <c r="B515" s="125"/>
      <c r="D515" s="238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74"/>
      <c r="AE515" s="124"/>
      <c r="AI515" s="74"/>
      <c r="AM515" s="74"/>
      <c r="AQ515" s="74"/>
      <c r="AT515" s="124"/>
      <c r="AU515" s="124"/>
    </row>
    <row r="516" spans="2:47" s="123" customFormat="1">
      <c r="B516" s="125"/>
      <c r="D516" s="238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74"/>
      <c r="AE516" s="124"/>
      <c r="AI516" s="74"/>
      <c r="AM516" s="74"/>
      <c r="AQ516" s="74"/>
      <c r="AT516" s="124"/>
      <c r="AU516" s="124"/>
    </row>
    <row r="517" spans="2:47" s="123" customFormat="1">
      <c r="B517" s="125"/>
      <c r="D517" s="238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74"/>
      <c r="AE517" s="124"/>
      <c r="AI517" s="74"/>
      <c r="AM517" s="74"/>
      <c r="AQ517" s="74"/>
      <c r="AT517" s="124"/>
      <c r="AU517" s="124"/>
    </row>
    <row r="518" spans="2:47" s="123" customFormat="1">
      <c r="B518" s="125"/>
      <c r="D518" s="238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74"/>
      <c r="AE518" s="124"/>
      <c r="AI518" s="74"/>
      <c r="AM518" s="74"/>
      <c r="AQ518" s="74"/>
      <c r="AT518" s="124"/>
      <c r="AU518" s="124"/>
    </row>
    <row r="519" spans="2:47" s="123" customFormat="1">
      <c r="B519" s="125"/>
      <c r="D519" s="238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74"/>
      <c r="AE519" s="124"/>
      <c r="AI519" s="74"/>
      <c r="AM519" s="74"/>
      <c r="AQ519" s="74"/>
      <c r="AT519" s="124"/>
      <c r="AU519" s="124"/>
    </row>
    <row r="520" spans="2:47" s="123" customFormat="1">
      <c r="B520" s="125"/>
      <c r="D520" s="238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74"/>
      <c r="AE520" s="124"/>
      <c r="AI520" s="74"/>
      <c r="AM520" s="74"/>
      <c r="AQ520" s="74"/>
      <c r="AT520" s="124"/>
      <c r="AU520" s="124"/>
    </row>
    <row r="521" spans="2:47" s="123" customFormat="1">
      <c r="B521" s="125"/>
      <c r="D521" s="238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74"/>
      <c r="AE521" s="124"/>
      <c r="AI521" s="74"/>
      <c r="AM521" s="74"/>
      <c r="AQ521" s="74"/>
      <c r="AT521" s="124"/>
      <c r="AU521" s="124"/>
    </row>
    <row r="522" spans="2:47" s="123" customFormat="1">
      <c r="B522" s="125"/>
      <c r="D522" s="238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74"/>
      <c r="AE522" s="124"/>
      <c r="AI522" s="74"/>
      <c r="AM522" s="74"/>
      <c r="AQ522" s="74"/>
      <c r="AT522" s="124"/>
      <c r="AU522" s="124"/>
    </row>
    <row r="523" spans="2:47" s="123" customFormat="1">
      <c r="B523" s="125"/>
      <c r="D523" s="238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74"/>
      <c r="AE523" s="124"/>
      <c r="AI523" s="74"/>
      <c r="AM523" s="74"/>
      <c r="AQ523" s="74"/>
      <c r="AT523" s="124"/>
      <c r="AU523" s="124"/>
    </row>
    <row r="524" spans="2:47" s="123" customFormat="1">
      <c r="B524" s="125"/>
      <c r="D524" s="238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74"/>
      <c r="AE524" s="124"/>
      <c r="AI524" s="74"/>
      <c r="AM524" s="74"/>
      <c r="AQ524" s="74"/>
      <c r="AT524" s="124"/>
      <c r="AU524" s="124"/>
    </row>
    <row r="525" spans="2:47" s="123" customFormat="1">
      <c r="B525" s="125"/>
      <c r="D525" s="238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74"/>
      <c r="AE525" s="124"/>
      <c r="AI525" s="74"/>
      <c r="AM525" s="74"/>
      <c r="AQ525" s="74"/>
      <c r="AT525" s="124"/>
      <c r="AU525" s="124"/>
    </row>
    <row r="526" spans="2:47" s="123" customFormat="1">
      <c r="B526" s="125"/>
      <c r="D526" s="238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74"/>
      <c r="AE526" s="124"/>
      <c r="AI526" s="74"/>
      <c r="AM526" s="74"/>
      <c r="AQ526" s="74"/>
      <c r="AT526" s="124"/>
      <c r="AU526" s="124"/>
    </row>
    <row r="527" spans="2:47" s="123" customFormat="1">
      <c r="B527" s="125"/>
      <c r="D527" s="238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74"/>
      <c r="AE527" s="124"/>
      <c r="AI527" s="74"/>
      <c r="AM527" s="74"/>
      <c r="AQ527" s="74"/>
      <c r="AT527" s="124"/>
      <c r="AU527" s="124"/>
    </row>
    <row r="528" spans="2:47" s="123" customFormat="1">
      <c r="B528" s="125"/>
      <c r="D528" s="238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74"/>
      <c r="AE528" s="124"/>
      <c r="AI528" s="74"/>
      <c r="AM528" s="74"/>
      <c r="AQ528" s="74"/>
      <c r="AT528" s="124"/>
      <c r="AU528" s="124"/>
    </row>
    <row r="529" spans="2:47" s="123" customFormat="1">
      <c r="B529" s="125"/>
      <c r="D529" s="238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74"/>
      <c r="AE529" s="124"/>
      <c r="AI529" s="74"/>
      <c r="AM529" s="74"/>
      <c r="AQ529" s="74"/>
      <c r="AT529" s="124"/>
      <c r="AU529" s="124"/>
    </row>
    <row r="530" spans="2:47" s="123" customFormat="1">
      <c r="B530" s="125"/>
      <c r="D530" s="238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74"/>
      <c r="AE530" s="124"/>
      <c r="AI530" s="74"/>
      <c r="AM530" s="74"/>
      <c r="AQ530" s="74"/>
      <c r="AT530" s="124"/>
      <c r="AU530" s="124"/>
    </row>
    <row r="531" spans="2:47" s="123" customFormat="1">
      <c r="B531" s="125"/>
      <c r="D531" s="238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74"/>
      <c r="AE531" s="124"/>
      <c r="AI531" s="74"/>
      <c r="AM531" s="74"/>
      <c r="AQ531" s="74"/>
      <c r="AT531" s="124"/>
      <c r="AU531" s="124"/>
    </row>
    <row r="532" spans="2:47" s="123" customFormat="1">
      <c r="B532" s="125"/>
      <c r="D532" s="238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74"/>
      <c r="AE532" s="124"/>
      <c r="AI532" s="74"/>
      <c r="AM532" s="74"/>
      <c r="AQ532" s="74"/>
      <c r="AT532" s="124"/>
      <c r="AU532" s="124"/>
    </row>
    <row r="533" spans="2:47" s="123" customFormat="1">
      <c r="B533" s="125"/>
      <c r="D533" s="238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74"/>
      <c r="AE533" s="124"/>
      <c r="AI533" s="74"/>
      <c r="AM533" s="74"/>
      <c r="AQ533" s="74"/>
      <c r="AT533" s="124"/>
      <c r="AU533" s="124"/>
    </row>
    <row r="534" spans="2:47" s="123" customFormat="1">
      <c r="B534" s="125"/>
      <c r="D534" s="238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74"/>
      <c r="AE534" s="124"/>
      <c r="AI534" s="74"/>
      <c r="AM534" s="74"/>
      <c r="AQ534" s="74"/>
      <c r="AT534" s="124"/>
      <c r="AU534" s="124"/>
    </row>
    <row r="535" spans="2:47" s="123" customFormat="1">
      <c r="B535" s="125"/>
      <c r="D535" s="238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74"/>
      <c r="AE535" s="124"/>
      <c r="AI535" s="74"/>
      <c r="AM535" s="74"/>
      <c r="AQ535" s="74"/>
      <c r="AT535" s="124"/>
      <c r="AU535" s="124"/>
    </row>
    <row r="536" spans="2:47" s="123" customFormat="1">
      <c r="B536" s="125"/>
      <c r="D536" s="238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74"/>
      <c r="AE536" s="124"/>
      <c r="AI536" s="74"/>
      <c r="AM536" s="74"/>
      <c r="AQ536" s="74"/>
      <c r="AT536" s="124"/>
      <c r="AU536" s="124"/>
    </row>
    <row r="537" spans="2:47" s="123" customFormat="1">
      <c r="B537" s="125"/>
      <c r="D537" s="238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74"/>
      <c r="AE537" s="124"/>
      <c r="AI537" s="74"/>
      <c r="AM537" s="74"/>
      <c r="AQ537" s="74"/>
      <c r="AT537" s="124"/>
      <c r="AU537" s="124"/>
    </row>
    <row r="538" spans="2:47" s="123" customFormat="1">
      <c r="B538" s="125"/>
      <c r="D538" s="238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74"/>
      <c r="AE538" s="124"/>
      <c r="AI538" s="74"/>
      <c r="AM538" s="74"/>
      <c r="AQ538" s="74"/>
      <c r="AT538" s="124"/>
      <c r="AU538" s="124"/>
    </row>
    <row r="539" spans="2:47" s="123" customFormat="1">
      <c r="B539" s="125"/>
      <c r="D539" s="238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74"/>
      <c r="AE539" s="124"/>
      <c r="AI539" s="74"/>
      <c r="AM539" s="74"/>
      <c r="AQ539" s="74"/>
      <c r="AT539" s="124"/>
      <c r="AU539" s="124"/>
    </row>
    <row r="540" spans="2:47" s="123" customFormat="1">
      <c r="B540" s="125"/>
      <c r="D540" s="238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74"/>
      <c r="AE540" s="124"/>
      <c r="AI540" s="74"/>
      <c r="AM540" s="74"/>
      <c r="AQ540" s="74"/>
      <c r="AT540" s="124"/>
      <c r="AU540" s="124"/>
    </row>
    <row r="541" spans="2:47" s="123" customFormat="1">
      <c r="B541" s="125"/>
      <c r="D541" s="238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74"/>
      <c r="AE541" s="124"/>
      <c r="AI541" s="74"/>
      <c r="AM541" s="74"/>
      <c r="AQ541" s="74"/>
      <c r="AT541" s="124"/>
      <c r="AU541" s="124"/>
    </row>
    <row r="542" spans="2:47" s="123" customFormat="1">
      <c r="B542" s="125"/>
      <c r="D542" s="238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74"/>
      <c r="AE542" s="124"/>
      <c r="AI542" s="74"/>
      <c r="AM542" s="74"/>
      <c r="AQ542" s="74"/>
      <c r="AT542" s="124"/>
      <c r="AU542" s="124"/>
    </row>
    <row r="543" spans="2:47" s="123" customFormat="1">
      <c r="B543" s="125"/>
      <c r="D543" s="238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74"/>
      <c r="AE543" s="124"/>
      <c r="AI543" s="74"/>
      <c r="AM543" s="74"/>
      <c r="AQ543" s="74"/>
      <c r="AT543" s="124"/>
      <c r="AU543" s="124"/>
    </row>
    <row r="544" spans="2:47" s="123" customFormat="1">
      <c r="B544" s="125"/>
      <c r="D544" s="238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74"/>
      <c r="AE544" s="124"/>
      <c r="AI544" s="74"/>
      <c r="AM544" s="74"/>
      <c r="AQ544" s="74"/>
      <c r="AT544" s="124"/>
      <c r="AU544" s="124"/>
    </row>
    <row r="545" spans="2:47" s="123" customFormat="1">
      <c r="B545" s="125"/>
      <c r="D545" s="238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74"/>
      <c r="AE545" s="124"/>
      <c r="AI545" s="74"/>
      <c r="AM545" s="74"/>
      <c r="AQ545" s="74"/>
      <c r="AT545" s="124"/>
      <c r="AU545" s="124"/>
    </row>
    <row r="546" spans="2:47" s="123" customFormat="1">
      <c r="B546" s="125"/>
      <c r="D546" s="238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74"/>
      <c r="AE546" s="124"/>
      <c r="AI546" s="74"/>
      <c r="AM546" s="74"/>
      <c r="AQ546" s="74"/>
      <c r="AT546" s="124"/>
      <c r="AU546" s="124"/>
    </row>
    <row r="547" spans="2:47" s="123" customFormat="1">
      <c r="B547" s="125"/>
      <c r="D547" s="238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74"/>
      <c r="AE547" s="124"/>
      <c r="AI547" s="74"/>
      <c r="AM547" s="74"/>
      <c r="AQ547" s="74"/>
      <c r="AT547" s="124"/>
      <c r="AU547" s="124"/>
    </row>
    <row r="548" spans="2:47" s="123" customFormat="1">
      <c r="B548" s="125"/>
      <c r="D548" s="238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74"/>
      <c r="AE548" s="124"/>
      <c r="AI548" s="74"/>
      <c r="AM548" s="74"/>
      <c r="AQ548" s="74"/>
      <c r="AT548" s="124"/>
      <c r="AU548" s="124"/>
    </row>
    <row r="549" spans="2:47" s="123" customFormat="1">
      <c r="B549" s="125"/>
      <c r="D549" s="238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74"/>
      <c r="AE549" s="124"/>
      <c r="AI549" s="74"/>
      <c r="AM549" s="74"/>
      <c r="AQ549" s="74"/>
      <c r="AT549" s="124"/>
      <c r="AU549" s="124"/>
    </row>
    <row r="550" spans="2:47" s="123" customFormat="1">
      <c r="B550" s="125"/>
      <c r="D550" s="238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74"/>
      <c r="AE550" s="124"/>
      <c r="AI550" s="74"/>
      <c r="AM550" s="74"/>
      <c r="AQ550" s="74"/>
      <c r="AT550" s="124"/>
      <c r="AU550" s="124"/>
    </row>
    <row r="551" spans="2:47" s="123" customFormat="1">
      <c r="B551" s="125"/>
      <c r="D551" s="238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74"/>
      <c r="AE551" s="124"/>
      <c r="AI551" s="74"/>
      <c r="AM551" s="74"/>
      <c r="AQ551" s="74"/>
      <c r="AT551" s="124"/>
      <c r="AU551" s="124"/>
    </row>
    <row r="552" spans="2:47" s="123" customFormat="1">
      <c r="B552" s="125"/>
      <c r="D552" s="238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74"/>
      <c r="AE552" s="124"/>
      <c r="AI552" s="74"/>
      <c r="AM552" s="74"/>
      <c r="AQ552" s="74"/>
      <c r="AT552" s="124"/>
      <c r="AU552" s="124"/>
    </row>
    <row r="553" spans="2:47" s="123" customFormat="1">
      <c r="B553" s="125"/>
      <c r="D553" s="238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74"/>
      <c r="AE553" s="124"/>
      <c r="AI553" s="74"/>
      <c r="AM553" s="74"/>
      <c r="AQ553" s="74"/>
      <c r="AT553" s="124"/>
      <c r="AU553" s="124"/>
    </row>
    <row r="554" spans="2:47" s="123" customFormat="1">
      <c r="B554" s="125"/>
      <c r="D554" s="238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74"/>
      <c r="AE554" s="124"/>
      <c r="AI554" s="74"/>
      <c r="AM554" s="74"/>
      <c r="AQ554" s="74"/>
      <c r="AT554" s="124"/>
      <c r="AU554" s="124"/>
    </row>
    <row r="555" spans="2:47" s="123" customFormat="1">
      <c r="B555" s="125"/>
      <c r="D555" s="238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74"/>
      <c r="AE555" s="124"/>
      <c r="AI555" s="74"/>
      <c r="AM555" s="74"/>
      <c r="AQ555" s="74"/>
      <c r="AT555" s="124"/>
      <c r="AU555" s="124"/>
    </row>
    <row r="556" spans="2:47" s="123" customFormat="1">
      <c r="B556" s="125"/>
      <c r="D556" s="238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74"/>
      <c r="AE556" s="124"/>
      <c r="AI556" s="74"/>
      <c r="AM556" s="74"/>
      <c r="AQ556" s="74"/>
      <c r="AT556" s="124"/>
      <c r="AU556" s="124"/>
    </row>
    <row r="557" spans="2:47" s="123" customFormat="1">
      <c r="B557" s="125"/>
      <c r="D557" s="238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74"/>
      <c r="AE557" s="124"/>
      <c r="AI557" s="74"/>
      <c r="AM557" s="74"/>
      <c r="AQ557" s="74"/>
      <c r="AT557" s="124"/>
      <c r="AU557" s="124"/>
    </row>
    <row r="558" spans="2:47" s="123" customFormat="1">
      <c r="B558" s="125"/>
      <c r="D558" s="238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74"/>
      <c r="AE558" s="124"/>
      <c r="AI558" s="74"/>
      <c r="AM558" s="74"/>
      <c r="AQ558" s="74"/>
      <c r="AT558" s="124"/>
      <c r="AU558" s="124"/>
    </row>
    <row r="559" spans="2:47" s="123" customFormat="1">
      <c r="B559" s="125"/>
      <c r="D559" s="238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74"/>
      <c r="AE559" s="124"/>
      <c r="AI559" s="74"/>
      <c r="AM559" s="74"/>
      <c r="AQ559" s="74"/>
      <c r="AT559" s="124"/>
      <c r="AU559" s="124"/>
    </row>
    <row r="560" spans="2:47" s="123" customFormat="1">
      <c r="B560" s="125"/>
      <c r="D560" s="238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74"/>
      <c r="AE560" s="124"/>
      <c r="AI560" s="74"/>
      <c r="AM560" s="74"/>
      <c r="AQ560" s="74"/>
      <c r="AT560" s="124"/>
      <c r="AU560" s="124"/>
    </row>
    <row r="561" spans="2:47" s="123" customFormat="1">
      <c r="B561" s="125"/>
      <c r="D561" s="238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74"/>
      <c r="AE561" s="124"/>
      <c r="AI561" s="74"/>
      <c r="AM561" s="74"/>
      <c r="AQ561" s="74"/>
      <c r="AT561" s="124"/>
      <c r="AU561" s="124"/>
    </row>
    <row r="562" spans="2:47" s="123" customFormat="1">
      <c r="B562" s="125"/>
      <c r="D562" s="238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74"/>
      <c r="AE562" s="124"/>
      <c r="AI562" s="74"/>
      <c r="AM562" s="74"/>
      <c r="AQ562" s="74"/>
      <c r="AT562" s="124"/>
      <c r="AU562" s="124"/>
    </row>
    <row r="563" spans="2:47" s="123" customFormat="1">
      <c r="B563" s="125"/>
      <c r="D563" s="238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74"/>
      <c r="AE563" s="124"/>
      <c r="AI563" s="74"/>
      <c r="AM563" s="74"/>
      <c r="AQ563" s="74"/>
      <c r="AT563" s="124"/>
      <c r="AU563" s="124"/>
    </row>
    <row r="564" spans="2:47" s="123" customFormat="1">
      <c r="B564" s="125"/>
      <c r="D564" s="238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74"/>
      <c r="AE564" s="124"/>
      <c r="AI564" s="74"/>
      <c r="AM564" s="74"/>
      <c r="AQ564" s="74"/>
      <c r="AT564" s="124"/>
      <c r="AU564" s="124"/>
    </row>
    <row r="565" spans="2:47" s="123" customFormat="1">
      <c r="B565" s="125"/>
      <c r="D565" s="238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74"/>
      <c r="AE565" s="124"/>
      <c r="AI565" s="74"/>
      <c r="AM565" s="74"/>
      <c r="AQ565" s="74"/>
      <c r="AT565" s="124"/>
      <c r="AU565" s="124"/>
    </row>
    <row r="566" spans="2:47" s="123" customFormat="1">
      <c r="B566" s="125"/>
      <c r="D566" s="238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74"/>
      <c r="AE566" s="124"/>
      <c r="AI566" s="74"/>
      <c r="AM566" s="74"/>
      <c r="AQ566" s="74"/>
      <c r="AT566" s="124"/>
      <c r="AU566" s="124"/>
    </row>
    <row r="567" spans="2:47" s="123" customFormat="1">
      <c r="B567" s="125"/>
      <c r="D567" s="238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74"/>
      <c r="AE567" s="124"/>
      <c r="AI567" s="74"/>
      <c r="AM567" s="74"/>
      <c r="AQ567" s="74"/>
      <c r="AT567" s="124"/>
      <c r="AU567" s="124"/>
    </row>
    <row r="568" spans="2:47" s="123" customFormat="1">
      <c r="B568" s="125"/>
      <c r="D568" s="238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74"/>
      <c r="AE568" s="124"/>
      <c r="AI568" s="74"/>
      <c r="AM568" s="74"/>
      <c r="AQ568" s="74"/>
      <c r="AT568" s="124"/>
      <c r="AU568" s="124"/>
    </row>
    <row r="569" spans="2:47" s="123" customFormat="1">
      <c r="B569" s="125"/>
      <c r="D569" s="238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74"/>
      <c r="AE569" s="124"/>
      <c r="AI569" s="74"/>
      <c r="AM569" s="74"/>
      <c r="AQ569" s="74"/>
      <c r="AT569" s="124"/>
      <c r="AU569" s="124"/>
    </row>
    <row r="570" spans="2:47" s="123" customFormat="1">
      <c r="B570" s="125"/>
      <c r="D570" s="238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74"/>
      <c r="AE570" s="124"/>
      <c r="AI570" s="74"/>
      <c r="AM570" s="74"/>
      <c r="AQ570" s="74"/>
      <c r="AT570" s="124"/>
      <c r="AU570" s="124"/>
    </row>
    <row r="571" spans="2:47" s="123" customFormat="1">
      <c r="B571" s="125"/>
      <c r="D571" s="238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74"/>
      <c r="AE571" s="124"/>
      <c r="AI571" s="74"/>
      <c r="AM571" s="74"/>
      <c r="AQ571" s="74"/>
      <c r="AT571" s="124"/>
      <c r="AU571" s="124"/>
    </row>
    <row r="572" spans="2:47" s="123" customFormat="1">
      <c r="B572" s="125"/>
      <c r="D572" s="238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74"/>
      <c r="AE572" s="124"/>
      <c r="AI572" s="74"/>
      <c r="AM572" s="74"/>
      <c r="AQ572" s="74"/>
      <c r="AT572" s="124"/>
      <c r="AU572" s="124"/>
    </row>
    <row r="573" spans="2:47" s="123" customFormat="1">
      <c r="B573" s="125"/>
      <c r="D573" s="238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74"/>
      <c r="AE573" s="124"/>
      <c r="AI573" s="74"/>
      <c r="AM573" s="74"/>
      <c r="AQ573" s="74"/>
      <c r="AT573" s="124"/>
      <c r="AU573" s="124"/>
    </row>
    <row r="574" spans="2:47" s="123" customFormat="1">
      <c r="B574" s="125"/>
      <c r="D574" s="238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74"/>
      <c r="AE574" s="124"/>
      <c r="AI574" s="74"/>
      <c r="AM574" s="74"/>
      <c r="AQ574" s="74"/>
      <c r="AT574" s="124"/>
      <c r="AU574" s="124"/>
    </row>
    <row r="575" spans="2:47" s="123" customFormat="1">
      <c r="B575" s="125"/>
      <c r="D575" s="238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74"/>
      <c r="AE575" s="124"/>
      <c r="AI575" s="74"/>
      <c r="AM575" s="74"/>
      <c r="AQ575" s="74"/>
      <c r="AT575" s="124"/>
      <c r="AU575" s="124"/>
    </row>
    <row r="576" spans="2:47" s="123" customFormat="1">
      <c r="B576" s="125"/>
      <c r="D576" s="238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74"/>
      <c r="AE576" s="124"/>
      <c r="AI576" s="74"/>
      <c r="AM576" s="74"/>
      <c r="AQ576" s="74"/>
      <c r="AT576" s="124"/>
      <c r="AU576" s="124"/>
    </row>
    <row r="577" spans="2:47" s="123" customFormat="1">
      <c r="B577" s="125"/>
      <c r="D577" s="238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74"/>
      <c r="AE577" s="124"/>
      <c r="AI577" s="74"/>
      <c r="AM577" s="74"/>
      <c r="AQ577" s="74"/>
      <c r="AT577" s="124"/>
      <c r="AU577" s="124"/>
    </row>
    <row r="578" spans="2:47" s="123" customFormat="1">
      <c r="B578" s="125"/>
      <c r="D578" s="238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74"/>
      <c r="AE578" s="124"/>
      <c r="AI578" s="74"/>
      <c r="AM578" s="74"/>
      <c r="AQ578" s="74"/>
      <c r="AT578" s="124"/>
      <c r="AU578" s="124"/>
    </row>
    <row r="579" spans="2:47" s="123" customFormat="1">
      <c r="B579" s="125"/>
      <c r="D579" s="238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74"/>
      <c r="AE579" s="124"/>
      <c r="AI579" s="74"/>
      <c r="AM579" s="74"/>
      <c r="AQ579" s="74"/>
      <c r="AT579" s="124"/>
      <c r="AU579" s="124"/>
    </row>
    <row r="580" spans="2:47" s="123" customFormat="1">
      <c r="B580" s="125"/>
      <c r="D580" s="238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74"/>
      <c r="AE580" s="124"/>
      <c r="AI580" s="74"/>
      <c r="AM580" s="74"/>
      <c r="AQ580" s="74"/>
      <c r="AT580" s="124"/>
      <c r="AU580" s="124"/>
    </row>
    <row r="581" spans="2:47" s="123" customFormat="1">
      <c r="B581" s="125"/>
      <c r="D581" s="238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74"/>
      <c r="AE581" s="124"/>
      <c r="AI581" s="74"/>
      <c r="AM581" s="74"/>
      <c r="AQ581" s="74"/>
      <c r="AT581" s="124"/>
      <c r="AU581" s="124"/>
    </row>
    <row r="582" spans="2:47" s="123" customFormat="1">
      <c r="B582" s="125"/>
      <c r="D582" s="238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74"/>
      <c r="AE582" s="124"/>
      <c r="AI582" s="74"/>
      <c r="AM582" s="74"/>
      <c r="AQ582" s="74"/>
      <c r="AT582" s="124"/>
      <c r="AU582" s="124"/>
    </row>
    <row r="583" spans="2:47" s="123" customFormat="1">
      <c r="B583" s="125"/>
      <c r="D583" s="238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74"/>
      <c r="AE583" s="124"/>
      <c r="AI583" s="74"/>
      <c r="AM583" s="74"/>
      <c r="AQ583" s="74"/>
      <c r="AT583" s="124"/>
      <c r="AU583" s="124"/>
    </row>
    <row r="584" spans="2:47" s="123" customFormat="1">
      <c r="B584" s="125"/>
      <c r="D584" s="238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74"/>
      <c r="AE584" s="124"/>
      <c r="AI584" s="74"/>
      <c r="AM584" s="74"/>
      <c r="AQ584" s="74"/>
      <c r="AT584" s="124"/>
      <c r="AU584" s="124"/>
    </row>
    <row r="585" spans="2:47" s="123" customFormat="1">
      <c r="B585" s="125"/>
      <c r="D585" s="238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74"/>
      <c r="AE585" s="124"/>
      <c r="AI585" s="74"/>
      <c r="AM585" s="74"/>
      <c r="AQ585" s="74"/>
      <c r="AT585" s="124"/>
      <c r="AU585" s="124"/>
    </row>
    <row r="586" spans="2:47" s="123" customFormat="1">
      <c r="B586" s="125"/>
      <c r="D586" s="238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74"/>
      <c r="AE586" s="124"/>
      <c r="AI586" s="74"/>
      <c r="AM586" s="74"/>
      <c r="AQ586" s="74"/>
      <c r="AT586" s="124"/>
      <c r="AU586" s="124"/>
    </row>
    <row r="587" spans="2:47" s="123" customFormat="1">
      <c r="B587" s="125"/>
      <c r="D587" s="238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74"/>
      <c r="AE587" s="124"/>
      <c r="AI587" s="74"/>
      <c r="AM587" s="74"/>
      <c r="AQ587" s="74"/>
      <c r="AT587" s="124"/>
      <c r="AU587" s="124"/>
    </row>
    <row r="588" spans="2:47" s="123" customFormat="1">
      <c r="B588" s="125"/>
      <c r="D588" s="238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74"/>
      <c r="AE588" s="124"/>
      <c r="AI588" s="74"/>
      <c r="AM588" s="74"/>
      <c r="AQ588" s="74"/>
      <c r="AT588" s="124"/>
      <c r="AU588" s="124"/>
    </row>
    <row r="589" spans="2:47" s="123" customFormat="1">
      <c r="B589" s="125"/>
      <c r="D589" s="238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74"/>
      <c r="AE589" s="124"/>
      <c r="AI589" s="74"/>
      <c r="AM589" s="74"/>
      <c r="AQ589" s="74"/>
      <c r="AT589" s="124"/>
      <c r="AU589" s="124"/>
    </row>
    <row r="590" spans="2:47" s="123" customFormat="1">
      <c r="B590" s="125"/>
      <c r="D590" s="238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74"/>
      <c r="AE590" s="124"/>
      <c r="AI590" s="74"/>
      <c r="AM590" s="74"/>
      <c r="AQ590" s="74"/>
      <c r="AT590" s="124"/>
      <c r="AU590" s="124"/>
    </row>
    <row r="591" spans="2:47" s="123" customFormat="1">
      <c r="B591" s="125"/>
      <c r="D591" s="238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74"/>
      <c r="AE591" s="124"/>
      <c r="AI591" s="74"/>
      <c r="AM591" s="74"/>
      <c r="AQ591" s="74"/>
      <c r="AT591" s="124"/>
      <c r="AU591" s="124"/>
    </row>
    <row r="592" spans="2:47" s="123" customFormat="1">
      <c r="B592" s="125"/>
      <c r="D592" s="238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74"/>
      <c r="AE592" s="124"/>
      <c r="AI592" s="74"/>
      <c r="AM592" s="74"/>
      <c r="AQ592" s="74"/>
      <c r="AT592" s="124"/>
      <c r="AU592" s="124"/>
    </row>
    <row r="593" spans="2:47" s="123" customFormat="1">
      <c r="B593" s="125"/>
      <c r="D593" s="238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74"/>
      <c r="AE593" s="124"/>
      <c r="AI593" s="74"/>
      <c r="AM593" s="74"/>
      <c r="AQ593" s="74"/>
      <c r="AT593" s="124"/>
      <c r="AU593" s="124"/>
    </row>
    <row r="594" spans="2:47" s="123" customFormat="1">
      <c r="B594" s="125"/>
      <c r="D594" s="238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74"/>
      <c r="AE594" s="124"/>
      <c r="AI594" s="74"/>
      <c r="AM594" s="74"/>
      <c r="AQ594" s="74"/>
      <c r="AT594" s="124"/>
      <c r="AU594" s="124"/>
    </row>
    <row r="595" spans="2:47" s="123" customFormat="1">
      <c r="B595" s="125"/>
      <c r="D595" s="238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74"/>
      <c r="AE595" s="124"/>
      <c r="AI595" s="74"/>
      <c r="AM595" s="74"/>
      <c r="AQ595" s="74"/>
      <c r="AT595" s="124"/>
      <c r="AU595" s="124"/>
    </row>
    <row r="596" spans="2:47" s="123" customFormat="1">
      <c r="B596" s="125"/>
      <c r="D596" s="238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74"/>
      <c r="AE596" s="124"/>
      <c r="AI596" s="74"/>
      <c r="AM596" s="74"/>
      <c r="AQ596" s="74"/>
      <c r="AT596" s="124"/>
      <c r="AU596" s="124"/>
    </row>
    <row r="597" spans="2:47" s="123" customFormat="1">
      <c r="B597" s="125"/>
      <c r="D597" s="238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74"/>
      <c r="AE597" s="124"/>
      <c r="AI597" s="74"/>
      <c r="AM597" s="74"/>
      <c r="AQ597" s="74"/>
      <c r="AT597" s="124"/>
      <c r="AU597" s="124"/>
    </row>
    <row r="598" spans="2:47" s="123" customFormat="1">
      <c r="B598" s="125"/>
      <c r="D598" s="238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74"/>
      <c r="AE598" s="124"/>
      <c r="AI598" s="74"/>
      <c r="AM598" s="74"/>
      <c r="AQ598" s="74"/>
      <c r="AT598" s="124"/>
      <c r="AU598" s="124"/>
    </row>
    <row r="599" spans="2:47" s="123" customFormat="1">
      <c r="B599" s="125"/>
      <c r="D599" s="238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74"/>
      <c r="AE599" s="124"/>
      <c r="AI599" s="74"/>
      <c r="AM599" s="74"/>
      <c r="AQ599" s="74"/>
      <c r="AT599" s="124"/>
      <c r="AU599" s="124"/>
    </row>
    <row r="600" spans="2:47" s="123" customFormat="1">
      <c r="B600" s="125"/>
      <c r="D600" s="238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74"/>
      <c r="AE600" s="124"/>
      <c r="AI600" s="74"/>
      <c r="AM600" s="74"/>
      <c r="AQ600" s="74"/>
      <c r="AT600" s="124"/>
      <c r="AU600" s="124"/>
    </row>
    <row r="601" spans="2:47" s="123" customFormat="1">
      <c r="B601" s="125"/>
      <c r="D601" s="238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74"/>
      <c r="AE601" s="124"/>
      <c r="AI601" s="74"/>
      <c r="AM601" s="74"/>
      <c r="AQ601" s="74"/>
      <c r="AT601" s="124"/>
      <c r="AU601" s="124"/>
    </row>
    <row r="602" spans="2:47" s="123" customFormat="1">
      <c r="B602" s="125"/>
      <c r="D602" s="238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74"/>
      <c r="AE602" s="124"/>
      <c r="AI602" s="74"/>
      <c r="AM602" s="74"/>
      <c r="AQ602" s="74"/>
      <c r="AT602" s="124"/>
      <c r="AU602" s="124"/>
    </row>
    <row r="603" spans="2:47" s="123" customFormat="1">
      <c r="B603" s="125"/>
      <c r="D603" s="238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74"/>
      <c r="AE603" s="124"/>
      <c r="AI603" s="74"/>
      <c r="AM603" s="74"/>
      <c r="AQ603" s="74"/>
      <c r="AT603" s="124"/>
      <c r="AU603" s="124"/>
    </row>
    <row r="604" spans="2:47" s="123" customFormat="1">
      <c r="B604" s="125"/>
      <c r="D604" s="238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74"/>
      <c r="AE604" s="124"/>
      <c r="AI604" s="74"/>
      <c r="AM604" s="74"/>
      <c r="AQ604" s="74"/>
      <c r="AT604" s="124"/>
      <c r="AU604" s="124"/>
    </row>
    <row r="605" spans="2:47" s="123" customFormat="1">
      <c r="B605" s="125"/>
      <c r="D605" s="238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74"/>
      <c r="AE605" s="124"/>
      <c r="AI605" s="74"/>
      <c r="AM605" s="74"/>
      <c r="AQ605" s="74"/>
      <c r="AT605" s="124"/>
      <c r="AU605" s="124"/>
    </row>
    <row r="606" spans="2:47" s="123" customFormat="1">
      <c r="B606" s="125"/>
      <c r="D606" s="238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74"/>
      <c r="AE606" s="124"/>
      <c r="AI606" s="74"/>
      <c r="AM606" s="74"/>
      <c r="AQ606" s="74"/>
      <c r="AT606" s="124"/>
      <c r="AU606" s="124"/>
    </row>
    <row r="607" spans="2:47" s="123" customFormat="1">
      <c r="B607" s="125"/>
      <c r="D607" s="238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74"/>
      <c r="AE607" s="124"/>
      <c r="AI607" s="74"/>
      <c r="AM607" s="74"/>
      <c r="AQ607" s="74"/>
      <c r="AT607" s="124"/>
      <c r="AU607" s="124"/>
    </row>
    <row r="608" spans="2:47" s="123" customFormat="1">
      <c r="B608" s="125"/>
      <c r="D608" s="238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74"/>
      <c r="AE608" s="124"/>
      <c r="AI608" s="74"/>
      <c r="AM608" s="74"/>
      <c r="AQ608" s="74"/>
      <c r="AT608" s="124"/>
      <c r="AU608" s="124"/>
    </row>
    <row r="609" spans="2:47" s="123" customFormat="1">
      <c r="B609" s="125"/>
      <c r="D609" s="238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74"/>
      <c r="AE609" s="124"/>
      <c r="AI609" s="74"/>
      <c r="AM609" s="74"/>
      <c r="AQ609" s="74"/>
      <c r="AT609" s="124"/>
      <c r="AU609" s="124"/>
    </row>
    <row r="610" spans="2:47" s="123" customFormat="1">
      <c r="B610" s="125"/>
      <c r="D610" s="238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74"/>
      <c r="AE610" s="124"/>
      <c r="AI610" s="74"/>
      <c r="AM610" s="74"/>
      <c r="AQ610" s="74"/>
      <c r="AT610" s="124"/>
      <c r="AU610" s="124"/>
    </row>
    <row r="611" spans="2:47" s="123" customFormat="1">
      <c r="B611" s="125"/>
      <c r="D611" s="238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74"/>
      <c r="AE611" s="124"/>
      <c r="AI611" s="74"/>
      <c r="AM611" s="74"/>
      <c r="AQ611" s="74"/>
      <c r="AT611" s="124"/>
      <c r="AU611" s="124"/>
    </row>
    <row r="612" spans="2:47" s="123" customFormat="1">
      <c r="B612" s="125"/>
      <c r="D612" s="238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74"/>
      <c r="AE612" s="124"/>
      <c r="AI612" s="74"/>
      <c r="AM612" s="74"/>
      <c r="AQ612" s="74"/>
      <c r="AT612" s="124"/>
      <c r="AU612" s="124"/>
    </row>
    <row r="613" spans="2:47" s="123" customFormat="1">
      <c r="B613" s="125"/>
      <c r="D613" s="238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74"/>
      <c r="AE613" s="124"/>
      <c r="AI613" s="74"/>
      <c r="AM613" s="74"/>
      <c r="AQ613" s="74"/>
      <c r="AT613" s="124"/>
      <c r="AU613" s="124"/>
    </row>
    <row r="614" spans="2:47" s="123" customFormat="1">
      <c r="B614" s="125"/>
      <c r="D614" s="238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74"/>
      <c r="AE614" s="124"/>
      <c r="AI614" s="74"/>
      <c r="AM614" s="74"/>
      <c r="AQ614" s="74"/>
      <c r="AT614" s="124"/>
      <c r="AU614" s="124"/>
    </row>
    <row r="615" spans="2:47" s="123" customFormat="1">
      <c r="B615" s="125"/>
      <c r="D615" s="238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74"/>
      <c r="AE615" s="124"/>
      <c r="AI615" s="74"/>
      <c r="AM615" s="74"/>
      <c r="AQ615" s="74"/>
      <c r="AT615" s="124"/>
      <c r="AU615" s="124"/>
    </row>
    <row r="616" spans="2:47" s="123" customFormat="1">
      <c r="B616" s="125"/>
      <c r="D616" s="238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74"/>
      <c r="AE616" s="124"/>
      <c r="AI616" s="74"/>
      <c r="AM616" s="74"/>
      <c r="AQ616" s="74"/>
      <c r="AT616" s="124"/>
      <c r="AU616" s="124"/>
    </row>
    <row r="617" spans="2:47" s="123" customFormat="1">
      <c r="B617" s="125"/>
      <c r="D617" s="238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74"/>
      <c r="AE617" s="124"/>
      <c r="AI617" s="74"/>
      <c r="AM617" s="74"/>
      <c r="AQ617" s="74"/>
      <c r="AT617" s="124"/>
      <c r="AU617" s="124"/>
    </row>
    <row r="618" spans="2:47" s="123" customFormat="1">
      <c r="B618" s="125"/>
      <c r="D618" s="238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74"/>
      <c r="AE618" s="124"/>
      <c r="AI618" s="74"/>
      <c r="AM618" s="74"/>
      <c r="AQ618" s="74"/>
      <c r="AT618" s="124"/>
      <c r="AU618" s="124"/>
    </row>
    <row r="619" spans="2:47" s="123" customFormat="1">
      <c r="B619" s="125"/>
      <c r="D619" s="238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74"/>
      <c r="AE619" s="124"/>
      <c r="AI619" s="74"/>
      <c r="AM619" s="74"/>
      <c r="AQ619" s="74"/>
      <c r="AT619" s="124"/>
      <c r="AU619" s="124"/>
    </row>
    <row r="620" spans="2:47" s="123" customFormat="1">
      <c r="B620" s="125"/>
      <c r="D620" s="238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74"/>
      <c r="AE620" s="124"/>
      <c r="AI620" s="74"/>
      <c r="AM620" s="74"/>
      <c r="AQ620" s="74"/>
      <c r="AT620" s="124"/>
      <c r="AU620" s="124"/>
    </row>
    <row r="621" spans="2:47" s="123" customFormat="1">
      <c r="B621" s="125"/>
      <c r="D621" s="238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74"/>
      <c r="AE621" s="124"/>
      <c r="AI621" s="74"/>
      <c r="AM621" s="74"/>
      <c r="AQ621" s="74"/>
      <c r="AT621" s="124"/>
      <c r="AU621" s="124"/>
    </row>
    <row r="622" spans="2:47" s="123" customFormat="1">
      <c r="B622" s="125"/>
      <c r="D622" s="238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74"/>
      <c r="AE622" s="124"/>
      <c r="AI622" s="74"/>
      <c r="AM622" s="74"/>
      <c r="AQ622" s="74"/>
      <c r="AT622" s="124"/>
      <c r="AU622" s="124"/>
    </row>
    <row r="623" spans="2:47" s="123" customFormat="1">
      <c r="B623" s="125"/>
      <c r="D623" s="238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74"/>
      <c r="AE623" s="124"/>
      <c r="AI623" s="74"/>
      <c r="AM623" s="74"/>
      <c r="AQ623" s="74"/>
      <c r="AT623" s="124"/>
      <c r="AU623" s="124"/>
    </row>
    <row r="624" spans="2:47" s="123" customFormat="1">
      <c r="B624" s="125"/>
      <c r="D624" s="238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74"/>
      <c r="AE624" s="124"/>
      <c r="AI624" s="74"/>
      <c r="AM624" s="74"/>
      <c r="AQ624" s="74"/>
      <c r="AT624" s="124"/>
      <c r="AU624" s="124"/>
    </row>
    <row r="625" spans="2:47" s="123" customFormat="1">
      <c r="B625" s="125"/>
      <c r="D625" s="238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74"/>
      <c r="AE625" s="124"/>
      <c r="AI625" s="74"/>
      <c r="AM625" s="74"/>
      <c r="AQ625" s="74"/>
      <c r="AT625" s="124"/>
      <c r="AU625" s="124"/>
    </row>
    <row r="626" spans="2:47" s="123" customFormat="1">
      <c r="B626" s="125"/>
      <c r="D626" s="238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74"/>
      <c r="AE626" s="124"/>
      <c r="AI626" s="74"/>
      <c r="AM626" s="74"/>
      <c r="AQ626" s="74"/>
      <c r="AT626" s="124"/>
      <c r="AU626" s="124"/>
    </row>
    <row r="627" spans="2:47" s="123" customFormat="1">
      <c r="B627" s="125"/>
      <c r="D627" s="238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74"/>
      <c r="AE627" s="124"/>
      <c r="AI627" s="74"/>
      <c r="AM627" s="74"/>
      <c r="AQ627" s="74"/>
      <c r="AT627" s="124"/>
      <c r="AU627" s="124"/>
    </row>
    <row r="628" spans="2:47" s="123" customFormat="1">
      <c r="B628" s="125"/>
      <c r="D628" s="238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74"/>
      <c r="AE628" s="124"/>
      <c r="AI628" s="74"/>
      <c r="AM628" s="74"/>
      <c r="AQ628" s="74"/>
      <c r="AT628" s="124"/>
      <c r="AU628" s="124"/>
    </row>
    <row r="629" spans="2:47" s="123" customFormat="1">
      <c r="B629" s="125"/>
      <c r="D629" s="238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74"/>
      <c r="AE629" s="124"/>
      <c r="AI629" s="74"/>
      <c r="AM629" s="74"/>
      <c r="AQ629" s="74"/>
      <c r="AT629" s="124"/>
      <c r="AU629" s="124"/>
    </row>
    <row r="630" spans="2:47" s="123" customFormat="1">
      <c r="B630" s="125"/>
      <c r="D630" s="238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74"/>
      <c r="AE630" s="124"/>
      <c r="AI630" s="74"/>
      <c r="AM630" s="74"/>
      <c r="AQ630" s="74"/>
      <c r="AT630" s="124"/>
      <c r="AU630" s="124"/>
    </row>
    <row r="631" spans="2:47" s="123" customFormat="1">
      <c r="B631" s="125"/>
      <c r="D631" s="238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74"/>
      <c r="AE631" s="124"/>
      <c r="AI631" s="74"/>
      <c r="AM631" s="74"/>
      <c r="AQ631" s="74"/>
      <c r="AT631" s="124"/>
      <c r="AU631" s="124"/>
    </row>
    <row r="632" spans="2:47" s="123" customFormat="1">
      <c r="B632" s="125"/>
      <c r="D632" s="238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74"/>
      <c r="AE632" s="124"/>
      <c r="AI632" s="74"/>
      <c r="AM632" s="74"/>
      <c r="AQ632" s="74"/>
      <c r="AT632" s="124"/>
      <c r="AU632" s="124"/>
    </row>
    <row r="633" spans="2:47" s="123" customFormat="1">
      <c r="B633" s="125"/>
      <c r="D633" s="238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74"/>
      <c r="AE633" s="124"/>
      <c r="AI633" s="74"/>
      <c r="AM633" s="74"/>
      <c r="AQ633" s="74"/>
      <c r="AT633" s="124"/>
      <c r="AU633" s="124"/>
    </row>
    <row r="634" spans="2:47" s="123" customFormat="1">
      <c r="B634" s="125"/>
      <c r="D634" s="238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74"/>
      <c r="AE634" s="124"/>
      <c r="AI634" s="74"/>
      <c r="AM634" s="74"/>
      <c r="AQ634" s="74"/>
      <c r="AT634" s="124"/>
      <c r="AU634" s="124"/>
    </row>
    <row r="635" spans="2:47" s="123" customFormat="1">
      <c r="B635" s="125"/>
      <c r="D635" s="238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74"/>
      <c r="AE635" s="124"/>
      <c r="AI635" s="74"/>
      <c r="AM635" s="74"/>
      <c r="AQ635" s="74"/>
      <c r="AT635" s="124"/>
      <c r="AU635" s="124"/>
    </row>
    <row r="636" spans="2:47" s="123" customFormat="1">
      <c r="B636" s="125"/>
      <c r="D636" s="238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74"/>
      <c r="AE636" s="124"/>
      <c r="AI636" s="74"/>
      <c r="AM636" s="74"/>
      <c r="AQ636" s="74"/>
      <c r="AT636" s="124"/>
      <c r="AU636" s="124"/>
    </row>
    <row r="637" spans="2:47" s="123" customFormat="1">
      <c r="B637" s="125"/>
      <c r="D637" s="238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74"/>
      <c r="AE637" s="124"/>
      <c r="AI637" s="74"/>
      <c r="AM637" s="74"/>
      <c r="AQ637" s="74"/>
      <c r="AT637" s="124"/>
      <c r="AU637" s="124"/>
    </row>
    <row r="638" spans="2:47" s="123" customFormat="1">
      <c r="B638" s="125"/>
      <c r="D638" s="238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74"/>
      <c r="AE638" s="124"/>
      <c r="AI638" s="74"/>
      <c r="AM638" s="74"/>
      <c r="AQ638" s="74"/>
      <c r="AT638" s="124"/>
      <c r="AU638" s="124"/>
    </row>
    <row r="639" spans="2:47" s="123" customFormat="1">
      <c r="B639" s="125"/>
      <c r="D639" s="238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74"/>
      <c r="AE639" s="124"/>
      <c r="AI639" s="74"/>
      <c r="AM639" s="74"/>
      <c r="AQ639" s="74"/>
      <c r="AT639" s="124"/>
      <c r="AU639" s="124"/>
    </row>
    <row r="640" spans="2:47" s="123" customFormat="1">
      <c r="B640" s="125"/>
      <c r="D640" s="238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74"/>
      <c r="AE640" s="124"/>
      <c r="AI640" s="74"/>
      <c r="AM640" s="74"/>
      <c r="AQ640" s="74"/>
      <c r="AT640" s="124"/>
      <c r="AU640" s="124"/>
    </row>
    <row r="641" spans="2:47" s="123" customFormat="1">
      <c r="B641" s="125"/>
      <c r="D641" s="238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74"/>
      <c r="AE641" s="124"/>
      <c r="AI641" s="74"/>
      <c r="AM641" s="74"/>
      <c r="AQ641" s="74"/>
      <c r="AT641" s="124"/>
      <c r="AU641" s="124"/>
    </row>
    <row r="642" spans="2:47" s="123" customFormat="1">
      <c r="B642" s="125"/>
      <c r="D642" s="238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74"/>
      <c r="AE642" s="124"/>
      <c r="AI642" s="74"/>
      <c r="AM642" s="74"/>
      <c r="AQ642" s="74"/>
      <c r="AT642" s="124"/>
      <c r="AU642" s="124"/>
    </row>
    <row r="643" spans="2:47" s="123" customFormat="1">
      <c r="B643" s="125"/>
      <c r="D643" s="238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74"/>
      <c r="AE643" s="124"/>
      <c r="AI643" s="74"/>
      <c r="AM643" s="74"/>
      <c r="AQ643" s="74"/>
      <c r="AT643" s="124"/>
      <c r="AU643" s="124"/>
    </row>
    <row r="644" spans="2:47" s="123" customFormat="1">
      <c r="B644" s="125"/>
      <c r="D644" s="238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74"/>
      <c r="AE644" s="124"/>
      <c r="AI644" s="74"/>
      <c r="AM644" s="74"/>
      <c r="AQ644" s="74"/>
      <c r="AT644" s="124"/>
      <c r="AU644" s="124"/>
    </row>
    <row r="645" spans="2:47" s="123" customFormat="1">
      <c r="B645" s="125"/>
      <c r="D645" s="238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74"/>
      <c r="AE645" s="124"/>
      <c r="AI645" s="74"/>
      <c r="AM645" s="74"/>
      <c r="AQ645" s="74"/>
      <c r="AT645" s="124"/>
      <c r="AU645" s="124"/>
    </row>
    <row r="646" spans="2:47" s="123" customFormat="1">
      <c r="B646" s="125"/>
      <c r="D646" s="238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74"/>
      <c r="AE646" s="124"/>
      <c r="AI646" s="74"/>
      <c r="AM646" s="74"/>
      <c r="AQ646" s="74"/>
      <c r="AT646" s="124"/>
      <c r="AU646" s="124"/>
    </row>
    <row r="647" spans="2:47" s="123" customFormat="1">
      <c r="B647" s="125"/>
      <c r="D647" s="238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74"/>
      <c r="AE647" s="124"/>
      <c r="AI647" s="74"/>
      <c r="AM647" s="74"/>
      <c r="AQ647" s="74"/>
      <c r="AT647" s="124"/>
      <c r="AU647" s="124"/>
    </row>
    <row r="648" spans="2:47" s="123" customFormat="1">
      <c r="B648" s="125"/>
      <c r="D648" s="238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74"/>
      <c r="AE648" s="124"/>
      <c r="AI648" s="74"/>
      <c r="AM648" s="74"/>
      <c r="AQ648" s="74"/>
      <c r="AT648" s="124"/>
      <c r="AU648" s="124"/>
    </row>
    <row r="649" spans="2:47" s="123" customFormat="1">
      <c r="B649" s="125"/>
      <c r="D649" s="238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74"/>
      <c r="AE649" s="124"/>
      <c r="AI649" s="74"/>
      <c r="AM649" s="74"/>
      <c r="AQ649" s="74"/>
      <c r="AT649" s="124"/>
      <c r="AU649" s="124"/>
    </row>
    <row r="650" spans="2:47" s="123" customFormat="1">
      <c r="B650" s="125"/>
      <c r="D650" s="238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74"/>
      <c r="AE650" s="124"/>
      <c r="AI650" s="74"/>
      <c r="AM650" s="74"/>
      <c r="AQ650" s="74"/>
      <c r="AT650" s="124"/>
      <c r="AU650" s="124"/>
    </row>
    <row r="651" spans="2:47" s="123" customFormat="1">
      <c r="B651" s="125"/>
      <c r="D651" s="238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74"/>
      <c r="AE651" s="124"/>
      <c r="AI651" s="74"/>
      <c r="AM651" s="74"/>
      <c r="AQ651" s="74"/>
      <c r="AT651" s="124"/>
      <c r="AU651" s="124"/>
    </row>
    <row r="652" spans="2:47" s="123" customFormat="1">
      <c r="B652" s="125"/>
      <c r="D652" s="238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74"/>
      <c r="AE652" s="124"/>
      <c r="AI652" s="74"/>
      <c r="AM652" s="74"/>
      <c r="AQ652" s="74"/>
      <c r="AT652" s="124"/>
      <c r="AU652" s="124"/>
    </row>
    <row r="653" spans="2:47" s="123" customFormat="1">
      <c r="B653" s="125"/>
      <c r="D653" s="238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74"/>
      <c r="AE653" s="124"/>
      <c r="AI653" s="74"/>
      <c r="AM653" s="74"/>
      <c r="AQ653" s="74"/>
      <c r="AT653" s="124"/>
      <c r="AU653" s="124"/>
    </row>
    <row r="654" spans="2:47" s="123" customFormat="1">
      <c r="B654" s="125"/>
      <c r="D654" s="238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74"/>
      <c r="AE654" s="124"/>
      <c r="AI654" s="74"/>
      <c r="AM654" s="74"/>
      <c r="AQ654" s="74"/>
      <c r="AT654" s="124"/>
      <c r="AU654" s="124"/>
    </row>
    <row r="655" spans="2:47" s="123" customFormat="1">
      <c r="B655" s="125"/>
      <c r="D655" s="238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74"/>
      <c r="AE655" s="124"/>
      <c r="AI655" s="74"/>
      <c r="AM655" s="74"/>
      <c r="AQ655" s="74"/>
      <c r="AT655" s="124"/>
      <c r="AU655" s="124"/>
    </row>
    <row r="656" spans="2:47" s="123" customFormat="1">
      <c r="B656" s="125"/>
      <c r="D656" s="238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74"/>
      <c r="AE656" s="124"/>
      <c r="AI656" s="74"/>
      <c r="AM656" s="74"/>
      <c r="AQ656" s="74"/>
      <c r="AT656" s="124"/>
      <c r="AU656" s="124"/>
    </row>
    <row r="657" spans="2:47" s="123" customFormat="1">
      <c r="B657" s="125"/>
      <c r="D657" s="238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74"/>
      <c r="AE657" s="124"/>
      <c r="AI657" s="74"/>
      <c r="AM657" s="74"/>
      <c r="AQ657" s="74"/>
      <c r="AT657" s="124"/>
      <c r="AU657" s="124"/>
    </row>
    <row r="658" spans="2:47" s="123" customFormat="1">
      <c r="B658" s="125"/>
      <c r="D658" s="238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74"/>
      <c r="AE658" s="124"/>
      <c r="AI658" s="74"/>
      <c r="AM658" s="74"/>
      <c r="AQ658" s="74"/>
      <c r="AT658" s="124"/>
      <c r="AU658" s="124"/>
    </row>
    <row r="659" spans="2:47" s="123" customFormat="1">
      <c r="B659" s="125"/>
      <c r="D659" s="238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74"/>
      <c r="AE659" s="124"/>
      <c r="AI659" s="74"/>
      <c r="AM659" s="74"/>
      <c r="AQ659" s="74"/>
      <c r="AT659" s="124"/>
      <c r="AU659" s="124"/>
    </row>
    <row r="660" spans="2:47" s="123" customFormat="1">
      <c r="B660" s="125"/>
      <c r="D660" s="238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74"/>
      <c r="AE660" s="124"/>
      <c r="AI660" s="74"/>
      <c r="AM660" s="74"/>
      <c r="AQ660" s="74"/>
      <c r="AT660" s="124"/>
      <c r="AU660" s="124"/>
    </row>
    <row r="661" spans="2:47" s="123" customFormat="1">
      <c r="B661" s="125"/>
      <c r="D661" s="238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74"/>
      <c r="AE661" s="124"/>
      <c r="AI661" s="74"/>
      <c r="AM661" s="74"/>
      <c r="AQ661" s="74"/>
      <c r="AT661" s="124"/>
      <c r="AU661" s="124"/>
    </row>
    <row r="662" spans="2:47" s="123" customFormat="1">
      <c r="B662" s="125"/>
      <c r="D662" s="238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74"/>
      <c r="AE662" s="124"/>
      <c r="AI662" s="74"/>
      <c r="AM662" s="74"/>
      <c r="AQ662" s="74"/>
      <c r="AT662" s="124"/>
      <c r="AU662" s="124"/>
    </row>
    <row r="663" spans="2:47" s="123" customFormat="1">
      <c r="B663" s="125"/>
      <c r="D663" s="238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74"/>
      <c r="AE663" s="124"/>
      <c r="AI663" s="74"/>
      <c r="AM663" s="74"/>
      <c r="AQ663" s="74"/>
      <c r="AT663" s="124"/>
      <c r="AU663" s="124"/>
    </row>
    <row r="664" spans="2:47" s="123" customFormat="1">
      <c r="B664" s="125"/>
      <c r="D664" s="238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74"/>
      <c r="AE664" s="124"/>
      <c r="AI664" s="74"/>
      <c r="AM664" s="74"/>
      <c r="AQ664" s="74"/>
      <c r="AT664" s="124"/>
      <c r="AU664" s="124"/>
    </row>
    <row r="665" spans="2:47" s="123" customFormat="1">
      <c r="B665" s="125"/>
      <c r="D665" s="238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74"/>
      <c r="AE665" s="124"/>
      <c r="AI665" s="74"/>
      <c r="AM665" s="74"/>
      <c r="AQ665" s="74"/>
      <c r="AT665" s="124"/>
      <c r="AU665" s="124"/>
    </row>
    <row r="666" spans="2:47" s="123" customFormat="1">
      <c r="B666" s="125"/>
      <c r="D666" s="238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74"/>
      <c r="AE666" s="124"/>
      <c r="AI666" s="74"/>
      <c r="AM666" s="74"/>
      <c r="AQ666" s="74"/>
      <c r="AT666" s="124"/>
      <c r="AU666" s="124"/>
    </row>
    <row r="667" spans="2:47" s="123" customFormat="1">
      <c r="B667" s="125"/>
      <c r="D667" s="238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74"/>
      <c r="AE667" s="124"/>
      <c r="AI667" s="74"/>
      <c r="AM667" s="74"/>
      <c r="AQ667" s="74"/>
      <c r="AT667" s="124"/>
      <c r="AU667" s="124"/>
    </row>
    <row r="668" spans="2:47" s="123" customFormat="1">
      <c r="B668" s="125"/>
      <c r="D668" s="238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74"/>
      <c r="AE668" s="124"/>
      <c r="AI668" s="74"/>
      <c r="AM668" s="74"/>
      <c r="AQ668" s="74"/>
      <c r="AT668" s="124"/>
      <c r="AU668" s="124"/>
    </row>
    <row r="669" spans="2:47" s="123" customFormat="1">
      <c r="B669" s="125"/>
      <c r="D669" s="238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74"/>
      <c r="AE669" s="124"/>
      <c r="AI669" s="74"/>
      <c r="AM669" s="74"/>
      <c r="AQ669" s="74"/>
      <c r="AT669" s="124"/>
      <c r="AU669" s="124"/>
    </row>
    <row r="670" spans="2:47" s="123" customFormat="1">
      <c r="B670" s="125"/>
      <c r="D670" s="238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74"/>
      <c r="AE670" s="124"/>
      <c r="AI670" s="74"/>
      <c r="AM670" s="74"/>
      <c r="AQ670" s="74"/>
      <c r="AT670" s="124"/>
      <c r="AU670" s="124"/>
    </row>
    <row r="671" spans="2:47" s="123" customFormat="1">
      <c r="B671" s="125"/>
      <c r="D671" s="238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74"/>
      <c r="AE671" s="124"/>
      <c r="AI671" s="74"/>
      <c r="AM671" s="74"/>
      <c r="AQ671" s="74"/>
      <c r="AT671" s="124"/>
      <c r="AU671" s="124"/>
    </row>
    <row r="672" spans="2:47" s="123" customFormat="1">
      <c r="B672" s="125"/>
      <c r="D672" s="238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74"/>
      <c r="AE672" s="124"/>
      <c r="AI672" s="74"/>
      <c r="AM672" s="74"/>
      <c r="AQ672" s="74"/>
      <c r="AT672" s="124"/>
      <c r="AU672" s="124"/>
    </row>
    <row r="673" spans="2:47" s="123" customFormat="1">
      <c r="B673" s="125"/>
      <c r="D673" s="238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74"/>
      <c r="AE673" s="124"/>
      <c r="AI673" s="74"/>
      <c r="AM673" s="74"/>
      <c r="AQ673" s="74"/>
      <c r="AT673" s="124"/>
      <c r="AU673" s="124"/>
    </row>
    <row r="674" spans="2:47" s="123" customFormat="1">
      <c r="B674" s="125"/>
      <c r="D674" s="238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74"/>
      <c r="AE674" s="124"/>
      <c r="AI674" s="74"/>
      <c r="AM674" s="74"/>
      <c r="AQ674" s="74"/>
      <c r="AT674" s="124"/>
      <c r="AU674" s="124"/>
    </row>
    <row r="675" spans="2:47" s="123" customFormat="1">
      <c r="B675" s="125"/>
      <c r="D675" s="238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74"/>
      <c r="AE675" s="124"/>
      <c r="AI675" s="74"/>
      <c r="AM675" s="74"/>
      <c r="AQ675" s="74"/>
      <c r="AT675" s="124"/>
      <c r="AU675" s="124"/>
    </row>
    <row r="676" spans="2:47" s="123" customFormat="1">
      <c r="B676" s="125"/>
      <c r="D676" s="238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74"/>
      <c r="AE676" s="124"/>
      <c r="AI676" s="74"/>
      <c r="AM676" s="74"/>
      <c r="AQ676" s="74"/>
      <c r="AT676" s="124"/>
      <c r="AU676" s="124"/>
    </row>
    <row r="677" spans="2:47" s="123" customFormat="1">
      <c r="B677" s="125"/>
      <c r="D677" s="238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74"/>
      <c r="AE677" s="124"/>
      <c r="AI677" s="74"/>
      <c r="AM677" s="74"/>
      <c r="AQ677" s="74"/>
      <c r="AT677" s="124"/>
      <c r="AU677" s="124"/>
    </row>
    <row r="678" spans="2:47" s="123" customFormat="1">
      <c r="B678" s="125"/>
      <c r="D678" s="238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74"/>
      <c r="AE678" s="124"/>
      <c r="AI678" s="74"/>
      <c r="AM678" s="74"/>
      <c r="AQ678" s="74"/>
      <c r="AT678" s="124"/>
      <c r="AU678" s="124"/>
    </row>
    <row r="679" spans="2:47" s="123" customFormat="1">
      <c r="B679" s="125"/>
      <c r="D679" s="238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74"/>
      <c r="AE679" s="124"/>
      <c r="AI679" s="74"/>
      <c r="AM679" s="74"/>
      <c r="AQ679" s="74"/>
      <c r="AT679" s="124"/>
      <c r="AU679" s="124"/>
    </row>
    <row r="680" spans="2:47" s="123" customFormat="1">
      <c r="B680" s="125"/>
      <c r="D680" s="238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74"/>
      <c r="AE680" s="124"/>
      <c r="AI680" s="74"/>
      <c r="AM680" s="74"/>
      <c r="AQ680" s="74"/>
      <c r="AT680" s="124"/>
      <c r="AU680" s="124"/>
    </row>
    <row r="681" spans="2:47" s="123" customFormat="1">
      <c r="B681" s="125"/>
      <c r="D681" s="238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74"/>
      <c r="AE681" s="124"/>
      <c r="AI681" s="74"/>
      <c r="AM681" s="74"/>
      <c r="AQ681" s="74"/>
      <c r="AT681" s="124"/>
      <c r="AU681" s="124"/>
    </row>
    <row r="682" spans="2:47" s="123" customFormat="1">
      <c r="B682" s="125"/>
      <c r="D682" s="238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74"/>
      <c r="AE682" s="124"/>
      <c r="AI682" s="74"/>
      <c r="AM682" s="74"/>
      <c r="AQ682" s="74"/>
      <c r="AT682" s="124"/>
      <c r="AU682" s="124"/>
    </row>
    <row r="683" spans="2:47" s="123" customFormat="1">
      <c r="B683" s="125"/>
      <c r="D683" s="238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74"/>
      <c r="AE683" s="124"/>
      <c r="AI683" s="74"/>
      <c r="AM683" s="74"/>
      <c r="AQ683" s="74"/>
      <c r="AT683" s="124"/>
      <c r="AU683" s="124"/>
    </row>
    <row r="684" spans="2:47" s="123" customFormat="1">
      <c r="B684" s="125"/>
      <c r="D684" s="238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74"/>
      <c r="AE684" s="124"/>
      <c r="AI684" s="74"/>
      <c r="AM684" s="74"/>
      <c r="AQ684" s="74"/>
      <c r="AT684" s="124"/>
      <c r="AU684" s="124"/>
    </row>
    <row r="685" spans="2:47" s="123" customFormat="1">
      <c r="B685" s="125"/>
      <c r="D685" s="238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74"/>
      <c r="AE685" s="124"/>
      <c r="AI685" s="74"/>
      <c r="AM685" s="74"/>
      <c r="AQ685" s="74"/>
      <c r="AT685" s="124"/>
      <c r="AU685" s="124"/>
    </row>
    <row r="686" spans="2:47" s="123" customFormat="1">
      <c r="B686" s="125"/>
      <c r="D686" s="238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74"/>
      <c r="AE686" s="124"/>
      <c r="AI686" s="74"/>
      <c r="AM686" s="74"/>
      <c r="AQ686" s="74"/>
      <c r="AT686" s="124"/>
      <c r="AU686" s="124"/>
    </row>
    <row r="687" spans="2:47" s="123" customFormat="1">
      <c r="B687" s="125"/>
      <c r="D687" s="238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74"/>
      <c r="AE687" s="124"/>
      <c r="AI687" s="74"/>
      <c r="AM687" s="74"/>
      <c r="AQ687" s="74"/>
      <c r="AT687" s="124"/>
      <c r="AU687" s="124"/>
    </row>
    <row r="688" spans="2:47" s="123" customFormat="1">
      <c r="B688" s="125"/>
      <c r="D688" s="238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74"/>
      <c r="AE688" s="124"/>
      <c r="AI688" s="74"/>
      <c r="AM688" s="74"/>
      <c r="AQ688" s="74"/>
      <c r="AT688" s="124"/>
      <c r="AU688" s="124"/>
    </row>
    <row r="689" spans="2:47" s="123" customFormat="1">
      <c r="B689" s="125"/>
      <c r="D689" s="238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74"/>
      <c r="AE689" s="124"/>
      <c r="AI689" s="74"/>
      <c r="AM689" s="74"/>
      <c r="AQ689" s="74"/>
      <c r="AT689" s="124"/>
      <c r="AU689" s="124"/>
    </row>
    <row r="690" spans="2:47" s="123" customFormat="1">
      <c r="B690" s="125"/>
      <c r="D690" s="238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74"/>
      <c r="AE690" s="124"/>
      <c r="AI690" s="74"/>
      <c r="AM690" s="74"/>
      <c r="AQ690" s="74"/>
      <c r="AT690" s="124"/>
      <c r="AU690" s="124"/>
    </row>
    <row r="691" spans="2:47" s="123" customFormat="1">
      <c r="B691" s="125"/>
      <c r="D691" s="238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74"/>
      <c r="AE691" s="124"/>
      <c r="AI691" s="74"/>
      <c r="AM691" s="74"/>
      <c r="AQ691" s="74"/>
      <c r="AT691" s="124"/>
      <c r="AU691" s="124"/>
    </row>
    <row r="692" spans="2:47" s="123" customFormat="1">
      <c r="B692" s="125"/>
      <c r="D692" s="238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74"/>
      <c r="AE692" s="124"/>
      <c r="AI692" s="74"/>
      <c r="AM692" s="74"/>
      <c r="AQ692" s="74"/>
      <c r="AT692" s="124"/>
      <c r="AU692" s="124"/>
    </row>
    <row r="693" spans="2:47" s="123" customFormat="1">
      <c r="B693" s="125"/>
      <c r="D693" s="238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74"/>
      <c r="AE693" s="124"/>
      <c r="AI693" s="74"/>
      <c r="AM693" s="74"/>
      <c r="AQ693" s="74"/>
      <c r="AT693" s="124"/>
      <c r="AU693" s="124"/>
    </row>
    <row r="694" spans="2:47" s="123" customFormat="1">
      <c r="B694" s="125"/>
      <c r="D694" s="238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74"/>
      <c r="AE694" s="124"/>
      <c r="AI694" s="74"/>
      <c r="AM694" s="74"/>
      <c r="AQ694" s="74"/>
      <c r="AT694" s="124"/>
      <c r="AU694" s="124"/>
    </row>
    <row r="695" spans="2:47" s="123" customFormat="1">
      <c r="B695" s="125"/>
      <c r="D695" s="238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74"/>
      <c r="AE695" s="124"/>
      <c r="AI695" s="74"/>
      <c r="AM695" s="74"/>
      <c r="AQ695" s="74"/>
      <c r="AT695" s="124"/>
      <c r="AU695" s="124"/>
    </row>
    <row r="696" spans="2:47" s="123" customFormat="1">
      <c r="B696" s="125"/>
      <c r="D696" s="238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74"/>
      <c r="AE696" s="124"/>
      <c r="AI696" s="74"/>
      <c r="AM696" s="74"/>
      <c r="AQ696" s="74"/>
      <c r="AT696" s="124"/>
      <c r="AU696" s="124"/>
    </row>
    <row r="697" spans="2:47" s="123" customFormat="1">
      <c r="B697" s="125"/>
      <c r="D697" s="238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74"/>
      <c r="AE697" s="124"/>
      <c r="AI697" s="74"/>
      <c r="AM697" s="74"/>
      <c r="AQ697" s="74"/>
      <c r="AT697" s="124"/>
      <c r="AU697" s="124"/>
    </row>
    <row r="698" spans="2:47" s="123" customFormat="1">
      <c r="B698" s="125"/>
      <c r="D698" s="238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74"/>
      <c r="AE698" s="124"/>
      <c r="AI698" s="74"/>
      <c r="AM698" s="74"/>
      <c r="AQ698" s="74"/>
      <c r="AT698" s="124"/>
      <c r="AU698" s="124"/>
    </row>
    <row r="699" spans="2:47" s="123" customFormat="1">
      <c r="B699" s="125"/>
      <c r="D699" s="238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74"/>
      <c r="AE699" s="124"/>
      <c r="AI699" s="74"/>
      <c r="AM699" s="74"/>
      <c r="AQ699" s="74"/>
      <c r="AT699" s="124"/>
      <c r="AU699" s="124"/>
    </row>
    <row r="700" spans="2:47" s="123" customFormat="1">
      <c r="B700" s="125"/>
      <c r="D700" s="238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74"/>
      <c r="AE700" s="124"/>
      <c r="AI700" s="74"/>
      <c r="AM700" s="74"/>
      <c r="AQ700" s="74"/>
      <c r="AT700" s="124"/>
      <c r="AU700" s="124"/>
    </row>
    <row r="701" spans="2:47" s="123" customFormat="1">
      <c r="B701" s="125"/>
      <c r="D701" s="238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74"/>
      <c r="AE701" s="124"/>
      <c r="AI701" s="74"/>
      <c r="AM701" s="74"/>
      <c r="AQ701" s="74"/>
      <c r="AT701" s="124"/>
      <c r="AU701" s="124"/>
    </row>
    <row r="702" spans="2:47" s="123" customFormat="1">
      <c r="B702" s="125"/>
      <c r="D702" s="238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74"/>
      <c r="AE702" s="124"/>
      <c r="AI702" s="74"/>
      <c r="AM702" s="74"/>
      <c r="AQ702" s="74"/>
      <c r="AT702" s="124"/>
      <c r="AU702" s="124"/>
    </row>
    <row r="703" spans="2:47" s="123" customFormat="1">
      <c r="B703" s="125"/>
      <c r="D703" s="238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74"/>
      <c r="AE703" s="124"/>
      <c r="AI703" s="74"/>
      <c r="AM703" s="74"/>
      <c r="AQ703" s="74"/>
      <c r="AT703" s="124"/>
      <c r="AU703" s="124"/>
    </row>
    <row r="704" spans="2:47" s="123" customFormat="1">
      <c r="B704" s="125"/>
      <c r="D704" s="238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74"/>
      <c r="AE704" s="124"/>
      <c r="AI704" s="74"/>
      <c r="AM704" s="74"/>
      <c r="AQ704" s="74"/>
      <c r="AT704" s="124"/>
      <c r="AU704" s="124"/>
    </row>
    <row r="705" spans="2:47" s="123" customFormat="1">
      <c r="B705" s="125"/>
      <c r="D705" s="238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74"/>
      <c r="AE705" s="124"/>
      <c r="AI705" s="74"/>
      <c r="AM705" s="74"/>
      <c r="AQ705" s="74"/>
      <c r="AT705" s="124"/>
      <c r="AU705" s="124"/>
    </row>
    <row r="706" spans="2:47" s="123" customFormat="1">
      <c r="B706" s="125"/>
      <c r="D706" s="238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74"/>
      <c r="AE706" s="124"/>
      <c r="AI706" s="74"/>
      <c r="AM706" s="74"/>
      <c r="AQ706" s="74"/>
      <c r="AT706" s="124"/>
      <c r="AU706" s="124"/>
    </row>
    <row r="707" spans="2:47" s="123" customFormat="1">
      <c r="B707" s="125"/>
      <c r="D707" s="238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74"/>
      <c r="AE707" s="124"/>
      <c r="AI707" s="74"/>
      <c r="AM707" s="74"/>
      <c r="AQ707" s="74"/>
      <c r="AT707" s="124"/>
      <c r="AU707" s="124"/>
    </row>
    <row r="708" spans="2:47" s="123" customFormat="1">
      <c r="B708" s="125"/>
      <c r="D708" s="238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74"/>
      <c r="AE708" s="124"/>
      <c r="AI708" s="74"/>
      <c r="AM708" s="74"/>
      <c r="AQ708" s="74"/>
      <c r="AT708" s="124"/>
      <c r="AU708" s="124"/>
    </row>
    <row r="709" spans="2:47" s="123" customFormat="1">
      <c r="B709" s="125"/>
      <c r="D709" s="238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74"/>
      <c r="AE709" s="124"/>
      <c r="AI709" s="74"/>
      <c r="AM709" s="74"/>
      <c r="AQ709" s="74"/>
      <c r="AT709" s="124"/>
      <c r="AU709" s="124"/>
    </row>
    <row r="710" spans="2:47" s="123" customFormat="1">
      <c r="B710" s="125"/>
      <c r="D710" s="238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74"/>
      <c r="AE710" s="124"/>
      <c r="AI710" s="74"/>
      <c r="AM710" s="74"/>
      <c r="AQ710" s="74"/>
      <c r="AT710" s="124"/>
      <c r="AU710" s="124"/>
    </row>
    <row r="711" spans="2:47" s="123" customFormat="1">
      <c r="B711" s="125"/>
      <c r="D711" s="238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74"/>
      <c r="AE711" s="124"/>
      <c r="AI711" s="74"/>
      <c r="AM711" s="74"/>
      <c r="AQ711" s="74"/>
      <c r="AT711" s="124"/>
      <c r="AU711" s="124"/>
    </row>
    <row r="712" spans="2:47" s="123" customFormat="1">
      <c r="B712" s="125"/>
      <c r="D712" s="238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74"/>
      <c r="AE712" s="124"/>
      <c r="AI712" s="74"/>
      <c r="AM712" s="74"/>
      <c r="AQ712" s="74"/>
      <c r="AT712" s="124"/>
      <c r="AU712" s="124"/>
    </row>
    <row r="713" spans="2:47" s="123" customFormat="1">
      <c r="B713" s="125"/>
      <c r="D713" s="238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74"/>
      <c r="AE713" s="124"/>
      <c r="AI713" s="74"/>
      <c r="AM713" s="74"/>
      <c r="AQ713" s="74"/>
      <c r="AT713" s="124"/>
      <c r="AU713" s="124"/>
    </row>
    <row r="714" spans="2:47" s="123" customFormat="1">
      <c r="B714" s="125"/>
      <c r="D714" s="238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74"/>
      <c r="AE714" s="124"/>
      <c r="AI714" s="74"/>
      <c r="AM714" s="74"/>
      <c r="AQ714" s="74"/>
      <c r="AT714" s="124"/>
      <c r="AU714" s="124"/>
    </row>
    <row r="715" spans="2:47" s="123" customFormat="1">
      <c r="B715" s="125"/>
      <c r="D715" s="238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74"/>
      <c r="AE715" s="124"/>
      <c r="AI715" s="74"/>
      <c r="AM715" s="74"/>
      <c r="AQ715" s="74"/>
      <c r="AT715" s="124"/>
      <c r="AU715" s="124"/>
    </row>
    <row r="716" spans="2:47" s="123" customFormat="1">
      <c r="B716" s="125"/>
      <c r="D716" s="238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74"/>
      <c r="AE716" s="124"/>
      <c r="AI716" s="74"/>
      <c r="AM716" s="74"/>
      <c r="AQ716" s="74"/>
      <c r="AT716" s="124"/>
      <c r="AU716" s="124"/>
    </row>
    <row r="717" spans="2:47" s="123" customFormat="1">
      <c r="B717" s="125"/>
      <c r="D717" s="238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74"/>
      <c r="AE717" s="124"/>
      <c r="AI717" s="74"/>
      <c r="AM717" s="74"/>
      <c r="AQ717" s="74"/>
      <c r="AT717" s="124"/>
      <c r="AU717" s="124"/>
    </row>
    <row r="718" spans="2:47" s="123" customFormat="1">
      <c r="B718" s="125"/>
      <c r="D718" s="238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74"/>
      <c r="AE718" s="124"/>
      <c r="AI718" s="74"/>
      <c r="AM718" s="74"/>
      <c r="AQ718" s="74"/>
      <c r="AT718" s="124"/>
      <c r="AU718" s="124"/>
    </row>
    <row r="719" spans="2:47" s="123" customFormat="1">
      <c r="B719" s="125"/>
      <c r="D719" s="238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74"/>
      <c r="AE719" s="124"/>
      <c r="AI719" s="74"/>
      <c r="AM719" s="74"/>
      <c r="AQ719" s="74"/>
      <c r="AT719" s="124"/>
      <c r="AU719" s="124"/>
    </row>
    <row r="720" spans="2:47" s="123" customFormat="1">
      <c r="B720" s="125"/>
      <c r="D720" s="238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74"/>
      <c r="AE720" s="124"/>
      <c r="AI720" s="74"/>
      <c r="AM720" s="74"/>
      <c r="AQ720" s="74"/>
      <c r="AT720" s="124"/>
      <c r="AU720" s="124"/>
    </row>
    <row r="721" spans="2:47" s="123" customFormat="1">
      <c r="B721" s="125"/>
      <c r="D721" s="238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74"/>
      <c r="AE721" s="124"/>
      <c r="AI721" s="74"/>
      <c r="AM721" s="74"/>
      <c r="AQ721" s="74"/>
      <c r="AT721" s="124"/>
      <c r="AU721" s="124"/>
    </row>
    <row r="722" spans="2:47" s="123" customFormat="1">
      <c r="B722" s="125"/>
      <c r="D722" s="238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74"/>
      <c r="AE722" s="124"/>
      <c r="AI722" s="74"/>
      <c r="AM722" s="74"/>
      <c r="AQ722" s="74"/>
      <c r="AT722" s="124"/>
      <c r="AU722" s="124"/>
    </row>
    <row r="723" spans="2:47" s="123" customFormat="1">
      <c r="B723" s="125"/>
      <c r="D723" s="238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74"/>
      <c r="AE723" s="124"/>
      <c r="AI723" s="74"/>
      <c r="AM723" s="74"/>
      <c r="AQ723" s="74"/>
      <c r="AT723" s="124"/>
      <c r="AU723" s="124"/>
    </row>
    <row r="724" spans="2:47" s="123" customFormat="1">
      <c r="B724" s="125"/>
      <c r="D724" s="238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74"/>
      <c r="AE724" s="124"/>
      <c r="AI724" s="74"/>
      <c r="AM724" s="74"/>
      <c r="AQ724" s="74"/>
      <c r="AT724" s="124"/>
      <c r="AU724" s="124"/>
    </row>
    <row r="725" spans="2:47" s="123" customFormat="1">
      <c r="B725" s="125"/>
      <c r="D725" s="238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74"/>
      <c r="AE725" s="124"/>
      <c r="AI725" s="74"/>
      <c r="AM725" s="74"/>
      <c r="AQ725" s="74"/>
      <c r="AT725" s="124"/>
      <c r="AU725" s="124"/>
    </row>
    <row r="726" spans="2:47" s="123" customFormat="1">
      <c r="B726" s="125"/>
      <c r="D726" s="238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74"/>
      <c r="AE726" s="124"/>
      <c r="AI726" s="74"/>
      <c r="AM726" s="74"/>
      <c r="AQ726" s="74"/>
      <c r="AT726" s="124"/>
      <c r="AU726" s="124"/>
    </row>
    <row r="727" spans="2:47" s="123" customFormat="1">
      <c r="B727" s="125"/>
      <c r="D727" s="238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74"/>
      <c r="AE727" s="124"/>
      <c r="AI727" s="74"/>
      <c r="AM727" s="74"/>
      <c r="AQ727" s="74"/>
      <c r="AT727" s="124"/>
      <c r="AU727" s="124"/>
    </row>
    <row r="728" spans="2:47" s="123" customFormat="1">
      <c r="B728" s="125"/>
      <c r="D728" s="238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74"/>
      <c r="AE728" s="124"/>
      <c r="AI728" s="74"/>
      <c r="AM728" s="74"/>
      <c r="AQ728" s="74"/>
      <c r="AT728" s="124"/>
      <c r="AU728" s="124"/>
    </row>
    <row r="729" spans="2:47" s="123" customFormat="1">
      <c r="B729" s="125"/>
      <c r="D729" s="238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74"/>
      <c r="AE729" s="124"/>
      <c r="AI729" s="74"/>
      <c r="AM729" s="74"/>
      <c r="AQ729" s="74"/>
      <c r="AT729" s="124"/>
      <c r="AU729" s="124"/>
    </row>
    <row r="730" spans="2:47" s="123" customFormat="1">
      <c r="B730" s="125"/>
      <c r="D730" s="238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74"/>
      <c r="AE730" s="124"/>
      <c r="AI730" s="74"/>
      <c r="AM730" s="74"/>
      <c r="AQ730" s="74"/>
      <c r="AT730" s="124"/>
      <c r="AU730" s="124"/>
    </row>
    <row r="731" spans="2:47" s="123" customFormat="1">
      <c r="B731" s="125"/>
      <c r="D731" s="238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74"/>
      <c r="AE731" s="124"/>
      <c r="AI731" s="74"/>
      <c r="AM731" s="74"/>
      <c r="AQ731" s="74"/>
      <c r="AT731" s="124"/>
      <c r="AU731" s="124"/>
    </row>
    <row r="732" spans="2:47" s="123" customFormat="1">
      <c r="B732" s="125"/>
      <c r="D732" s="238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74"/>
      <c r="AE732" s="124"/>
      <c r="AI732" s="74"/>
      <c r="AM732" s="74"/>
      <c r="AQ732" s="74"/>
      <c r="AT732" s="124"/>
      <c r="AU732" s="124"/>
    </row>
    <row r="733" spans="2:47" s="123" customFormat="1">
      <c r="B733" s="125"/>
      <c r="D733" s="238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74"/>
      <c r="AE733" s="124"/>
      <c r="AI733" s="74"/>
      <c r="AM733" s="74"/>
      <c r="AQ733" s="74"/>
      <c r="AT733" s="124"/>
      <c r="AU733" s="124"/>
    </row>
    <row r="734" spans="2:47" s="123" customFormat="1">
      <c r="B734" s="125"/>
      <c r="D734" s="238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74"/>
      <c r="AE734" s="124"/>
      <c r="AI734" s="74"/>
      <c r="AM734" s="74"/>
      <c r="AQ734" s="74"/>
      <c r="AT734" s="124"/>
      <c r="AU734" s="124"/>
    </row>
    <row r="735" spans="2:47" s="123" customFormat="1">
      <c r="B735" s="125"/>
      <c r="D735" s="238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74"/>
      <c r="AE735" s="124"/>
      <c r="AI735" s="74"/>
      <c r="AM735" s="74"/>
      <c r="AQ735" s="74"/>
      <c r="AT735" s="124"/>
      <c r="AU735" s="124"/>
    </row>
    <row r="736" spans="2:47" s="123" customFormat="1">
      <c r="B736" s="125"/>
      <c r="D736" s="238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74"/>
      <c r="AE736" s="124"/>
      <c r="AI736" s="74"/>
      <c r="AM736" s="74"/>
      <c r="AQ736" s="74"/>
      <c r="AT736" s="124"/>
      <c r="AU736" s="124"/>
    </row>
    <row r="737" spans="2:47" s="123" customFormat="1">
      <c r="B737" s="125"/>
      <c r="D737" s="238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74"/>
      <c r="AE737" s="124"/>
      <c r="AI737" s="74"/>
      <c r="AM737" s="74"/>
      <c r="AQ737" s="74"/>
      <c r="AT737" s="124"/>
      <c r="AU737" s="124"/>
    </row>
    <row r="738" spans="2:47" s="123" customFormat="1">
      <c r="B738" s="125"/>
      <c r="D738" s="238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74"/>
      <c r="AE738" s="124"/>
      <c r="AI738" s="74"/>
      <c r="AM738" s="74"/>
      <c r="AQ738" s="74"/>
      <c r="AT738" s="124"/>
      <c r="AU738" s="124"/>
    </row>
    <row r="739" spans="2:47" s="123" customFormat="1">
      <c r="B739" s="125"/>
      <c r="D739" s="238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74"/>
      <c r="AE739" s="124"/>
      <c r="AI739" s="74"/>
      <c r="AM739" s="74"/>
      <c r="AQ739" s="74"/>
      <c r="AT739" s="124"/>
      <c r="AU739" s="124"/>
    </row>
    <row r="740" spans="2:47" s="123" customFormat="1">
      <c r="B740" s="125"/>
      <c r="D740" s="238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74"/>
      <c r="AE740" s="124"/>
      <c r="AI740" s="74"/>
      <c r="AM740" s="74"/>
      <c r="AQ740" s="74"/>
      <c r="AT740" s="124"/>
      <c r="AU740" s="124"/>
    </row>
    <row r="741" spans="2:47" s="123" customFormat="1">
      <c r="B741" s="125"/>
      <c r="D741" s="238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74"/>
      <c r="AE741" s="124"/>
      <c r="AI741" s="74"/>
      <c r="AM741" s="74"/>
      <c r="AQ741" s="74"/>
      <c r="AT741" s="124"/>
      <c r="AU741" s="124"/>
    </row>
    <row r="742" spans="2:47" s="123" customFormat="1">
      <c r="B742" s="125"/>
      <c r="D742" s="238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74"/>
      <c r="AE742" s="124"/>
      <c r="AI742" s="74"/>
      <c r="AM742" s="74"/>
      <c r="AQ742" s="74"/>
      <c r="AT742" s="124"/>
      <c r="AU742" s="124"/>
    </row>
    <row r="743" spans="2:47" s="123" customFormat="1">
      <c r="B743" s="125"/>
      <c r="D743" s="238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74"/>
      <c r="AE743" s="124"/>
      <c r="AI743" s="74"/>
      <c r="AM743" s="74"/>
      <c r="AQ743" s="74"/>
      <c r="AT743" s="124"/>
      <c r="AU743" s="124"/>
    </row>
    <row r="744" spans="2:47" s="123" customFormat="1">
      <c r="B744" s="125"/>
      <c r="D744" s="238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74"/>
      <c r="AE744" s="124"/>
      <c r="AI744" s="74"/>
      <c r="AM744" s="74"/>
      <c r="AQ744" s="74"/>
      <c r="AT744" s="124"/>
      <c r="AU744" s="124"/>
    </row>
    <row r="745" spans="2:47" s="123" customFormat="1">
      <c r="B745" s="125"/>
      <c r="D745" s="238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74"/>
      <c r="AE745" s="124"/>
      <c r="AI745" s="74"/>
      <c r="AM745" s="74"/>
      <c r="AQ745" s="74"/>
      <c r="AT745" s="124"/>
      <c r="AU745" s="124"/>
    </row>
    <row r="746" spans="2:47" s="123" customFormat="1">
      <c r="B746" s="125"/>
      <c r="D746" s="238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74"/>
      <c r="AE746" s="124"/>
      <c r="AI746" s="74"/>
      <c r="AM746" s="74"/>
      <c r="AQ746" s="74"/>
      <c r="AT746" s="124"/>
      <c r="AU746" s="124"/>
    </row>
    <row r="747" spans="2:47" s="123" customFormat="1">
      <c r="B747" s="125"/>
      <c r="D747" s="238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74"/>
      <c r="AE747" s="124"/>
      <c r="AI747" s="74"/>
      <c r="AM747" s="74"/>
      <c r="AQ747" s="74"/>
      <c r="AT747" s="124"/>
      <c r="AU747" s="124"/>
    </row>
    <row r="748" spans="2:47" s="123" customFormat="1">
      <c r="B748" s="125"/>
      <c r="D748" s="238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74"/>
      <c r="AE748" s="124"/>
      <c r="AI748" s="74"/>
      <c r="AM748" s="74"/>
      <c r="AQ748" s="74"/>
      <c r="AT748" s="124"/>
      <c r="AU748" s="124"/>
    </row>
    <row r="749" spans="2:47" s="123" customFormat="1">
      <c r="B749" s="125"/>
      <c r="D749" s="238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74"/>
      <c r="AE749" s="124"/>
      <c r="AI749" s="74"/>
      <c r="AM749" s="74"/>
      <c r="AQ749" s="74"/>
      <c r="AT749" s="124"/>
      <c r="AU749" s="124"/>
    </row>
    <row r="750" spans="2:47" s="123" customFormat="1">
      <c r="B750" s="125"/>
      <c r="D750" s="238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74"/>
      <c r="AE750" s="124"/>
      <c r="AI750" s="74"/>
      <c r="AM750" s="74"/>
      <c r="AQ750" s="74"/>
      <c r="AT750" s="124"/>
      <c r="AU750" s="124"/>
    </row>
    <row r="751" spans="2:47" s="123" customFormat="1">
      <c r="B751" s="125"/>
      <c r="D751" s="238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74"/>
      <c r="AE751" s="124"/>
      <c r="AI751" s="74"/>
      <c r="AM751" s="74"/>
      <c r="AQ751" s="74"/>
      <c r="AT751" s="124"/>
      <c r="AU751" s="124"/>
    </row>
    <row r="752" spans="2:47" s="123" customFormat="1">
      <c r="B752" s="125"/>
      <c r="D752" s="238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74"/>
      <c r="AE752" s="124"/>
      <c r="AI752" s="74"/>
      <c r="AM752" s="74"/>
      <c r="AQ752" s="74"/>
      <c r="AT752" s="124"/>
      <c r="AU752" s="124"/>
    </row>
    <row r="753" spans="2:47" s="123" customFormat="1">
      <c r="B753" s="125"/>
      <c r="D753" s="238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74"/>
      <c r="AE753" s="124"/>
      <c r="AI753" s="74"/>
      <c r="AM753" s="74"/>
      <c r="AQ753" s="74"/>
      <c r="AT753" s="124"/>
      <c r="AU753" s="124"/>
    </row>
    <row r="754" spans="2:47" s="123" customFormat="1">
      <c r="B754" s="125"/>
      <c r="D754" s="238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74"/>
      <c r="AE754" s="124"/>
      <c r="AI754" s="74"/>
      <c r="AM754" s="74"/>
      <c r="AQ754" s="74"/>
      <c r="AT754" s="124"/>
      <c r="AU754" s="124"/>
    </row>
    <row r="755" spans="2:47" s="123" customFormat="1">
      <c r="B755" s="125"/>
      <c r="D755" s="238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74"/>
      <c r="AE755" s="124"/>
      <c r="AI755" s="74"/>
      <c r="AM755" s="74"/>
      <c r="AQ755" s="74"/>
      <c r="AT755" s="124"/>
      <c r="AU755" s="124"/>
    </row>
    <row r="756" spans="2:47" s="123" customFormat="1">
      <c r="B756" s="125"/>
      <c r="D756" s="238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74"/>
      <c r="AE756" s="124"/>
      <c r="AI756" s="74"/>
      <c r="AM756" s="74"/>
      <c r="AQ756" s="74"/>
      <c r="AT756" s="124"/>
      <c r="AU756" s="124"/>
    </row>
    <row r="757" spans="2:47" s="123" customFormat="1">
      <c r="B757" s="125"/>
      <c r="D757" s="238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74"/>
      <c r="AE757" s="124"/>
      <c r="AI757" s="74"/>
      <c r="AM757" s="74"/>
      <c r="AQ757" s="74"/>
      <c r="AT757" s="124"/>
      <c r="AU757" s="124"/>
    </row>
    <row r="758" spans="2:47" s="123" customFormat="1">
      <c r="B758" s="125"/>
      <c r="D758" s="238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74"/>
      <c r="AE758" s="124"/>
      <c r="AI758" s="74"/>
      <c r="AM758" s="74"/>
      <c r="AQ758" s="74"/>
      <c r="AT758" s="124"/>
      <c r="AU758" s="124"/>
    </row>
    <row r="759" spans="2:47" s="123" customFormat="1">
      <c r="B759" s="125"/>
      <c r="D759" s="238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74"/>
      <c r="AE759" s="124"/>
      <c r="AI759" s="74"/>
      <c r="AM759" s="74"/>
      <c r="AQ759" s="74"/>
      <c r="AT759" s="124"/>
      <c r="AU759" s="124"/>
    </row>
    <row r="760" spans="2:47" s="123" customFormat="1">
      <c r="B760" s="125"/>
      <c r="D760" s="238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74"/>
      <c r="AE760" s="124"/>
      <c r="AI760" s="74"/>
      <c r="AM760" s="74"/>
      <c r="AQ760" s="74"/>
      <c r="AT760" s="124"/>
      <c r="AU760" s="124"/>
    </row>
    <row r="761" spans="2:47" s="123" customFormat="1">
      <c r="B761" s="125"/>
      <c r="D761" s="238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74"/>
      <c r="AE761" s="124"/>
      <c r="AI761" s="74"/>
      <c r="AM761" s="74"/>
      <c r="AQ761" s="74"/>
      <c r="AT761" s="124"/>
      <c r="AU761" s="124"/>
    </row>
    <row r="762" spans="2:47" s="123" customFormat="1">
      <c r="B762" s="125"/>
      <c r="D762" s="238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74"/>
      <c r="AE762" s="124"/>
      <c r="AI762" s="74"/>
      <c r="AM762" s="74"/>
      <c r="AQ762" s="74"/>
      <c r="AT762" s="124"/>
      <c r="AU762" s="124"/>
    </row>
    <row r="763" spans="2:47" s="123" customFormat="1">
      <c r="B763" s="125"/>
      <c r="D763" s="238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74"/>
      <c r="AE763" s="124"/>
      <c r="AI763" s="74"/>
      <c r="AM763" s="74"/>
      <c r="AQ763" s="74"/>
      <c r="AT763" s="124"/>
      <c r="AU763" s="124"/>
    </row>
    <row r="764" spans="2:47" s="123" customFormat="1">
      <c r="B764" s="125"/>
      <c r="D764" s="238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74"/>
      <c r="AE764" s="124"/>
      <c r="AI764" s="74"/>
      <c r="AM764" s="74"/>
      <c r="AQ764" s="74"/>
      <c r="AT764" s="124"/>
      <c r="AU764" s="124"/>
    </row>
    <row r="765" spans="2:47" s="123" customFormat="1">
      <c r="B765" s="125"/>
      <c r="D765" s="238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74"/>
      <c r="AE765" s="124"/>
      <c r="AI765" s="74"/>
      <c r="AM765" s="74"/>
      <c r="AQ765" s="74"/>
      <c r="AT765" s="124"/>
      <c r="AU765" s="124"/>
    </row>
    <row r="766" spans="2:47" s="123" customFormat="1">
      <c r="B766" s="125"/>
      <c r="D766" s="238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74"/>
      <c r="AE766" s="124"/>
      <c r="AI766" s="74"/>
      <c r="AM766" s="74"/>
      <c r="AQ766" s="74"/>
      <c r="AT766" s="124"/>
      <c r="AU766" s="124"/>
    </row>
    <row r="767" spans="2:47" s="123" customFormat="1">
      <c r="B767" s="125"/>
      <c r="D767" s="238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74"/>
      <c r="AE767" s="124"/>
      <c r="AI767" s="74"/>
      <c r="AM767" s="74"/>
      <c r="AQ767" s="74"/>
      <c r="AT767" s="124"/>
      <c r="AU767" s="124"/>
    </row>
    <row r="768" spans="2:47" s="123" customFormat="1">
      <c r="B768" s="125"/>
      <c r="D768" s="238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74"/>
      <c r="AE768" s="124"/>
      <c r="AI768" s="74"/>
      <c r="AM768" s="74"/>
      <c r="AQ768" s="74"/>
      <c r="AT768" s="124"/>
      <c r="AU768" s="124"/>
    </row>
    <row r="769" spans="2:47" s="123" customFormat="1">
      <c r="B769" s="125"/>
      <c r="D769" s="238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74"/>
      <c r="AE769" s="124"/>
      <c r="AI769" s="74"/>
      <c r="AM769" s="74"/>
      <c r="AQ769" s="74"/>
      <c r="AT769" s="124"/>
      <c r="AU769" s="124"/>
    </row>
    <row r="770" spans="2:47" s="123" customFormat="1">
      <c r="B770" s="125"/>
      <c r="D770" s="238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74"/>
      <c r="AE770" s="124"/>
      <c r="AI770" s="74"/>
      <c r="AM770" s="74"/>
      <c r="AQ770" s="74"/>
      <c r="AT770" s="124"/>
      <c r="AU770" s="124"/>
    </row>
    <row r="771" spans="2:47" s="123" customFormat="1">
      <c r="B771" s="125"/>
      <c r="D771" s="238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74"/>
      <c r="AE771" s="124"/>
      <c r="AI771" s="74"/>
      <c r="AM771" s="74"/>
      <c r="AQ771" s="74"/>
      <c r="AT771" s="124"/>
      <c r="AU771" s="124"/>
    </row>
    <row r="772" spans="2:47" s="123" customFormat="1">
      <c r="B772" s="125"/>
      <c r="D772" s="238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74"/>
      <c r="AE772" s="124"/>
      <c r="AI772" s="74"/>
      <c r="AM772" s="74"/>
      <c r="AQ772" s="74"/>
      <c r="AT772" s="124"/>
      <c r="AU772" s="124"/>
    </row>
    <row r="773" spans="2:47" s="123" customFormat="1">
      <c r="B773" s="125"/>
      <c r="D773" s="238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74"/>
      <c r="AE773" s="124"/>
      <c r="AI773" s="74"/>
      <c r="AM773" s="74"/>
      <c r="AQ773" s="74"/>
      <c r="AT773" s="124"/>
      <c r="AU773" s="124"/>
    </row>
    <row r="774" spans="2:47" s="123" customFormat="1">
      <c r="B774" s="125"/>
      <c r="D774" s="238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74"/>
      <c r="AE774" s="124"/>
      <c r="AI774" s="74"/>
      <c r="AM774" s="74"/>
      <c r="AQ774" s="74"/>
      <c r="AT774" s="124"/>
      <c r="AU774" s="124"/>
    </row>
    <row r="775" spans="2:47" s="123" customFormat="1">
      <c r="B775" s="125"/>
      <c r="D775" s="238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74"/>
      <c r="AE775" s="124"/>
      <c r="AI775" s="74"/>
      <c r="AM775" s="74"/>
      <c r="AQ775" s="74"/>
      <c r="AT775" s="124"/>
      <c r="AU775" s="124"/>
    </row>
    <row r="776" spans="2:47" s="123" customFormat="1">
      <c r="B776" s="125"/>
      <c r="D776" s="238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74"/>
      <c r="AE776" s="124"/>
      <c r="AI776" s="74"/>
      <c r="AM776" s="74"/>
      <c r="AQ776" s="74"/>
      <c r="AT776" s="124"/>
      <c r="AU776" s="124"/>
    </row>
    <row r="777" spans="2:47" s="123" customFormat="1">
      <c r="B777" s="125"/>
      <c r="D777" s="238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74"/>
      <c r="AE777" s="124"/>
      <c r="AI777" s="74"/>
      <c r="AM777" s="74"/>
      <c r="AQ777" s="74"/>
      <c r="AT777" s="124"/>
      <c r="AU777" s="124"/>
    </row>
    <row r="778" spans="2:47" s="123" customFormat="1">
      <c r="B778" s="125"/>
      <c r="D778" s="238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74"/>
      <c r="AE778" s="124"/>
      <c r="AI778" s="74"/>
      <c r="AM778" s="74"/>
      <c r="AQ778" s="74"/>
      <c r="AT778" s="124"/>
      <c r="AU778" s="124"/>
    </row>
    <row r="779" spans="2:47" s="123" customFormat="1">
      <c r="B779" s="125"/>
      <c r="D779" s="238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74"/>
      <c r="AE779" s="124"/>
      <c r="AI779" s="74"/>
      <c r="AM779" s="74"/>
      <c r="AQ779" s="74"/>
      <c r="AT779" s="124"/>
      <c r="AU779" s="124"/>
    </row>
    <row r="780" spans="2:47" s="123" customFormat="1">
      <c r="B780" s="125"/>
      <c r="D780" s="238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74"/>
      <c r="AE780" s="124"/>
      <c r="AI780" s="74"/>
      <c r="AM780" s="74"/>
      <c r="AQ780" s="74"/>
      <c r="AT780" s="124"/>
      <c r="AU780" s="124"/>
    </row>
    <row r="781" spans="2:47" s="123" customFormat="1">
      <c r="B781" s="125"/>
      <c r="D781" s="238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74"/>
      <c r="AE781" s="124"/>
      <c r="AI781" s="74"/>
      <c r="AM781" s="74"/>
      <c r="AQ781" s="74"/>
      <c r="AT781" s="124"/>
      <c r="AU781" s="124"/>
    </row>
    <row r="782" spans="2:47" s="123" customFormat="1">
      <c r="B782" s="125"/>
      <c r="D782" s="238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74"/>
      <c r="AE782" s="124"/>
      <c r="AI782" s="74"/>
      <c r="AM782" s="74"/>
      <c r="AQ782" s="74"/>
      <c r="AT782" s="124"/>
      <c r="AU782" s="124"/>
    </row>
    <row r="783" spans="2:47" s="123" customFormat="1">
      <c r="B783" s="125"/>
      <c r="D783" s="238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74"/>
      <c r="AE783" s="124"/>
      <c r="AI783" s="74"/>
      <c r="AM783" s="74"/>
      <c r="AQ783" s="74"/>
      <c r="AT783" s="124"/>
      <c r="AU783" s="124"/>
    </row>
    <row r="784" spans="2:47" s="123" customFormat="1">
      <c r="B784" s="125"/>
      <c r="D784" s="238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74"/>
      <c r="AE784" s="124"/>
      <c r="AI784" s="74"/>
      <c r="AM784" s="74"/>
      <c r="AQ784" s="74"/>
      <c r="AT784" s="124"/>
      <c r="AU784" s="124"/>
    </row>
    <row r="785" spans="2:47" s="123" customFormat="1">
      <c r="B785" s="125"/>
      <c r="D785" s="238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74"/>
      <c r="AE785" s="124"/>
      <c r="AI785" s="74"/>
      <c r="AM785" s="74"/>
      <c r="AQ785" s="74"/>
      <c r="AT785" s="124"/>
      <c r="AU785" s="124"/>
    </row>
    <row r="786" spans="2:47" s="123" customFormat="1">
      <c r="B786" s="125"/>
      <c r="D786" s="238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74"/>
      <c r="AE786" s="124"/>
      <c r="AI786" s="74"/>
      <c r="AM786" s="74"/>
      <c r="AQ786" s="74"/>
      <c r="AT786" s="124"/>
      <c r="AU786" s="124"/>
    </row>
    <row r="787" spans="2:47" s="123" customFormat="1">
      <c r="B787" s="125"/>
      <c r="D787" s="238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74"/>
      <c r="AE787" s="124"/>
      <c r="AI787" s="74"/>
      <c r="AM787" s="74"/>
      <c r="AQ787" s="74"/>
      <c r="AT787" s="124"/>
      <c r="AU787" s="124"/>
    </row>
    <row r="788" spans="2:47" s="123" customFormat="1">
      <c r="B788" s="125"/>
      <c r="D788" s="238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74"/>
      <c r="AE788" s="124"/>
      <c r="AI788" s="74"/>
      <c r="AM788" s="74"/>
      <c r="AQ788" s="74"/>
      <c r="AT788" s="124"/>
      <c r="AU788" s="124"/>
    </row>
    <row r="789" spans="2:47" s="123" customFormat="1">
      <c r="B789" s="125"/>
      <c r="D789" s="238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74"/>
      <c r="AE789" s="124"/>
      <c r="AI789" s="74"/>
      <c r="AM789" s="74"/>
      <c r="AQ789" s="74"/>
      <c r="AT789" s="124"/>
      <c r="AU789" s="124"/>
    </row>
    <row r="790" spans="2:47" s="123" customFormat="1">
      <c r="B790" s="125"/>
      <c r="D790" s="238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74"/>
      <c r="AE790" s="124"/>
      <c r="AI790" s="74"/>
      <c r="AM790" s="74"/>
      <c r="AQ790" s="74"/>
      <c r="AT790" s="124"/>
      <c r="AU790" s="124"/>
    </row>
    <row r="791" spans="2:47" s="123" customFormat="1">
      <c r="B791" s="125"/>
      <c r="D791" s="238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74"/>
      <c r="AE791" s="124"/>
      <c r="AI791" s="74"/>
      <c r="AM791" s="74"/>
      <c r="AQ791" s="74"/>
      <c r="AT791" s="124"/>
      <c r="AU791" s="124"/>
    </row>
    <row r="792" spans="2:47" s="123" customFormat="1">
      <c r="B792" s="125"/>
      <c r="D792" s="238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74"/>
      <c r="AE792" s="124"/>
      <c r="AI792" s="74"/>
      <c r="AM792" s="74"/>
      <c r="AQ792" s="74"/>
      <c r="AT792" s="124"/>
      <c r="AU792" s="124"/>
    </row>
    <row r="793" spans="2:47" s="123" customFormat="1">
      <c r="B793" s="125"/>
      <c r="D793" s="238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74"/>
      <c r="AE793" s="124"/>
      <c r="AI793" s="74"/>
      <c r="AM793" s="74"/>
      <c r="AQ793" s="74"/>
      <c r="AT793" s="124"/>
      <c r="AU793" s="124"/>
    </row>
    <row r="794" spans="2:47" s="123" customFormat="1">
      <c r="B794" s="125"/>
      <c r="D794" s="238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74"/>
      <c r="AE794" s="124"/>
      <c r="AI794" s="74"/>
      <c r="AM794" s="74"/>
      <c r="AQ794" s="74"/>
      <c r="AT794" s="124"/>
      <c r="AU794" s="124"/>
    </row>
    <row r="795" spans="2:47" s="123" customFormat="1">
      <c r="B795" s="125"/>
      <c r="D795" s="238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74"/>
      <c r="AE795" s="124"/>
      <c r="AI795" s="74"/>
      <c r="AM795" s="74"/>
      <c r="AQ795" s="74"/>
      <c r="AT795" s="124"/>
      <c r="AU795" s="124"/>
    </row>
    <row r="796" spans="2:47" s="123" customFormat="1">
      <c r="B796" s="125"/>
      <c r="D796" s="238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74"/>
      <c r="AE796" s="124"/>
      <c r="AI796" s="74"/>
      <c r="AM796" s="74"/>
      <c r="AQ796" s="74"/>
      <c r="AT796" s="124"/>
      <c r="AU796" s="124"/>
    </row>
    <row r="797" spans="2:47" s="123" customFormat="1">
      <c r="B797" s="125"/>
      <c r="D797" s="238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74"/>
      <c r="AE797" s="124"/>
      <c r="AI797" s="74"/>
      <c r="AM797" s="74"/>
      <c r="AQ797" s="74"/>
      <c r="AT797" s="124"/>
      <c r="AU797" s="124"/>
    </row>
    <row r="798" spans="2:47" s="123" customFormat="1">
      <c r="B798" s="125"/>
      <c r="D798" s="238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74"/>
      <c r="AE798" s="124"/>
      <c r="AI798" s="74"/>
      <c r="AM798" s="74"/>
      <c r="AQ798" s="74"/>
      <c r="AT798" s="124"/>
      <c r="AU798" s="124"/>
    </row>
    <row r="799" spans="2:47" s="123" customFormat="1">
      <c r="B799" s="125"/>
      <c r="D799" s="238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74"/>
      <c r="AE799" s="124"/>
      <c r="AI799" s="74"/>
      <c r="AM799" s="74"/>
      <c r="AQ799" s="74"/>
      <c r="AT799" s="124"/>
      <c r="AU799" s="124"/>
    </row>
    <row r="800" spans="2:47" s="123" customFormat="1">
      <c r="B800" s="125"/>
      <c r="D800" s="238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74"/>
      <c r="AE800" s="124"/>
      <c r="AI800" s="74"/>
      <c r="AM800" s="74"/>
      <c r="AQ800" s="74"/>
      <c r="AT800" s="124"/>
      <c r="AU800" s="124"/>
    </row>
    <row r="801" spans="2:47" s="123" customFormat="1">
      <c r="B801" s="125"/>
      <c r="D801" s="238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74"/>
      <c r="AE801" s="124"/>
      <c r="AI801" s="74"/>
      <c r="AM801" s="74"/>
      <c r="AQ801" s="74"/>
      <c r="AT801" s="124"/>
      <c r="AU801" s="124"/>
    </row>
    <row r="802" spans="2:47" s="123" customFormat="1">
      <c r="B802" s="125"/>
      <c r="D802" s="238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74"/>
      <c r="AE802" s="124"/>
      <c r="AI802" s="74"/>
      <c r="AM802" s="74"/>
      <c r="AQ802" s="74"/>
      <c r="AT802" s="124"/>
      <c r="AU802" s="124"/>
    </row>
    <row r="803" spans="2:47" s="123" customFormat="1">
      <c r="B803" s="125"/>
      <c r="D803" s="238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74"/>
      <c r="AE803" s="124"/>
      <c r="AI803" s="74"/>
      <c r="AM803" s="74"/>
      <c r="AQ803" s="74"/>
      <c r="AT803" s="124"/>
      <c r="AU803" s="124"/>
    </row>
    <row r="804" spans="2:47" s="123" customFormat="1">
      <c r="B804" s="125"/>
      <c r="D804" s="238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74"/>
      <c r="AE804" s="124"/>
      <c r="AI804" s="74"/>
      <c r="AM804" s="74"/>
      <c r="AQ804" s="74"/>
      <c r="AT804" s="124"/>
      <c r="AU804" s="124"/>
    </row>
    <row r="805" spans="2:47" s="123" customFormat="1">
      <c r="B805" s="125"/>
      <c r="D805" s="238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74"/>
      <c r="AE805" s="124"/>
      <c r="AI805" s="74"/>
      <c r="AM805" s="74"/>
      <c r="AQ805" s="74"/>
      <c r="AT805" s="124"/>
      <c r="AU805" s="124"/>
    </row>
    <row r="806" spans="2:47" s="123" customFormat="1">
      <c r="B806" s="125"/>
      <c r="D806" s="238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74"/>
      <c r="AE806" s="124"/>
      <c r="AI806" s="74"/>
      <c r="AM806" s="74"/>
      <c r="AQ806" s="74"/>
      <c r="AT806" s="124"/>
      <c r="AU806" s="124"/>
    </row>
    <row r="807" spans="2:47" s="123" customFormat="1">
      <c r="B807" s="125"/>
      <c r="D807" s="238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74"/>
      <c r="AE807" s="124"/>
      <c r="AI807" s="74"/>
      <c r="AM807" s="74"/>
      <c r="AQ807" s="74"/>
      <c r="AT807" s="124"/>
      <c r="AU807" s="124"/>
    </row>
    <row r="808" spans="2:47" s="123" customFormat="1">
      <c r="B808" s="125"/>
      <c r="D808" s="238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74"/>
      <c r="AE808" s="124"/>
      <c r="AI808" s="74"/>
      <c r="AM808" s="74"/>
      <c r="AQ808" s="74"/>
      <c r="AT808" s="124"/>
      <c r="AU808" s="124"/>
    </row>
    <row r="809" spans="2:47" s="123" customFormat="1">
      <c r="B809" s="125"/>
      <c r="D809" s="238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74"/>
      <c r="AE809" s="124"/>
      <c r="AI809" s="74"/>
      <c r="AM809" s="74"/>
      <c r="AQ809" s="74"/>
      <c r="AT809" s="124"/>
      <c r="AU809" s="124"/>
    </row>
    <row r="810" spans="2:47" s="123" customFormat="1">
      <c r="B810" s="125"/>
      <c r="D810" s="238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74"/>
      <c r="AE810" s="124"/>
      <c r="AI810" s="74"/>
      <c r="AM810" s="74"/>
      <c r="AQ810" s="74"/>
      <c r="AT810" s="124"/>
      <c r="AU810" s="124"/>
    </row>
    <row r="811" spans="2:47" s="123" customFormat="1">
      <c r="B811" s="125"/>
      <c r="D811" s="238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74"/>
      <c r="AE811" s="124"/>
      <c r="AI811" s="74"/>
      <c r="AM811" s="74"/>
      <c r="AQ811" s="74"/>
      <c r="AT811" s="124"/>
      <c r="AU811" s="124"/>
    </row>
    <row r="812" spans="2:47" s="123" customFormat="1">
      <c r="B812" s="125"/>
      <c r="D812" s="238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74"/>
      <c r="AE812" s="124"/>
      <c r="AI812" s="74"/>
      <c r="AM812" s="74"/>
      <c r="AQ812" s="74"/>
      <c r="AT812" s="124"/>
      <c r="AU812" s="124"/>
    </row>
    <row r="813" spans="2:47" s="123" customFormat="1">
      <c r="B813" s="125"/>
      <c r="D813" s="238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74"/>
      <c r="AE813" s="124"/>
      <c r="AI813" s="74"/>
      <c r="AM813" s="74"/>
      <c r="AQ813" s="74"/>
      <c r="AT813" s="124"/>
      <c r="AU813" s="124"/>
    </row>
    <row r="814" spans="2:47" s="123" customFormat="1">
      <c r="B814" s="125"/>
      <c r="D814" s="238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74"/>
      <c r="AE814" s="124"/>
      <c r="AI814" s="74"/>
      <c r="AM814" s="74"/>
      <c r="AQ814" s="74"/>
      <c r="AT814" s="124"/>
      <c r="AU814" s="124"/>
    </row>
    <row r="815" spans="2:47" s="123" customFormat="1">
      <c r="B815" s="125"/>
      <c r="D815" s="238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74"/>
      <c r="AE815" s="124"/>
      <c r="AI815" s="74"/>
      <c r="AM815" s="74"/>
      <c r="AQ815" s="74"/>
      <c r="AT815" s="124"/>
      <c r="AU815" s="124"/>
    </row>
    <row r="816" spans="2:47" s="123" customFormat="1">
      <c r="B816" s="125"/>
      <c r="D816" s="238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74"/>
      <c r="AE816" s="124"/>
      <c r="AI816" s="74"/>
      <c r="AM816" s="74"/>
      <c r="AQ816" s="74"/>
      <c r="AT816" s="124"/>
      <c r="AU816" s="124"/>
    </row>
    <row r="817" spans="2:47" s="123" customFormat="1">
      <c r="B817" s="125"/>
      <c r="D817" s="238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74"/>
      <c r="AE817" s="124"/>
      <c r="AI817" s="74"/>
      <c r="AM817" s="74"/>
      <c r="AQ817" s="74"/>
      <c r="AT817" s="124"/>
      <c r="AU817" s="124"/>
    </row>
    <row r="818" spans="2:47" s="123" customFormat="1">
      <c r="B818" s="125"/>
      <c r="D818" s="238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74"/>
      <c r="AE818" s="124"/>
      <c r="AI818" s="74"/>
      <c r="AM818" s="74"/>
      <c r="AQ818" s="74"/>
      <c r="AT818" s="124"/>
      <c r="AU818" s="124"/>
    </row>
    <row r="819" spans="2:47" s="123" customFormat="1">
      <c r="B819" s="125"/>
      <c r="D819" s="238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74"/>
      <c r="AE819" s="124"/>
      <c r="AI819" s="74"/>
      <c r="AM819" s="74"/>
      <c r="AQ819" s="74"/>
      <c r="AT819" s="124"/>
      <c r="AU819" s="124"/>
    </row>
    <row r="820" spans="2:47" s="123" customFormat="1">
      <c r="B820" s="125"/>
      <c r="D820" s="238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74"/>
      <c r="AE820" s="124"/>
      <c r="AI820" s="74"/>
      <c r="AM820" s="74"/>
      <c r="AQ820" s="74"/>
      <c r="AT820" s="124"/>
      <c r="AU820" s="124"/>
    </row>
    <row r="821" spans="2:47" s="123" customFormat="1">
      <c r="B821" s="125"/>
      <c r="D821" s="238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74"/>
      <c r="AE821" s="124"/>
      <c r="AI821" s="74"/>
      <c r="AM821" s="74"/>
      <c r="AQ821" s="74"/>
      <c r="AT821" s="124"/>
      <c r="AU821" s="124"/>
    </row>
    <row r="822" spans="2:47" s="123" customFormat="1">
      <c r="B822" s="125"/>
      <c r="D822" s="238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74"/>
      <c r="AE822" s="124"/>
      <c r="AI822" s="74"/>
      <c r="AM822" s="74"/>
      <c r="AQ822" s="74"/>
      <c r="AT822" s="124"/>
      <c r="AU822" s="124"/>
    </row>
    <row r="823" spans="2:47" s="123" customFormat="1">
      <c r="B823" s="125"/>
      <c r="D823" s="238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74"/>
      <c r="AE823" s="124"/>
      <c r="AI823" s="74"/>
      <c r="AM823" s="74"/>
      <c r="AQ823" s="74"/>
      <c r="AT823" s="124"/>
      <c r="AU823" s="124"/>
    </row>
    <row r="824" spans="2:47" s="123" customFormat="1">
      <c r="B824" s="125"/>
      <c r="D824" s="238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74"/>
      <c r="AE824" s="124"/>
      <c r="AI824" s="74"/>
      <c r="AM824" s="74"/>
      <c r="AQ824" s="74"/>
      <c r="AT824" s="124"/>
      <c r="AU824" s="124"/>
    </row>
    <row r="825" spans="2:47" s="123" customFormat="1">
      <c r="B825" s="125"/>
      <c r="D825" s="238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74"/>
      <c r="AE825" s="124"/>
      <c r="AI825" s="74"/>
      <c r="AM825" s="74"/>
      <c r="AQ825" s="74"/>
      <c r="AT825" s="124"/>
      <c r="AU825" s="124"/>
    </row>
    <row r="826" spans="2:47" s="123" customFormat="1">
      <c r="B826" s="125"/>
      <c r="D826" s="238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74"/>
      <c r="AE826" s="124"/>
      <c r="AI826" s="74"/>
      <c r="AM826" s="74"/>
      <c r="AQ826" s="74"/>
      <c r="AT826" s="124"/>
      <c r="AU826" s="124"/>
    </row>
    <row r="827" spans="2:47" s="123" customFormat="1">
      <c r="B827" s="125"/>
      <c r="D827" s="238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74"/>
      <c r="AE827" s="124"/>
      <c r="AI827" s="74"/>
      <c r="AM827" s="74"/>
      <c r="AQ827" s="74"/>
      <c r="AT827" s="124"/>
      <c r="AU827" s="124"/>
    </row>
    <row r="828" spans="2:47" s="123" customFormat="1">
      <c r="B828" s="125"/>
      <c r="D828" s="238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74"/>
      <c r="AE828" s="124"/>
      <c r="AI828" s="74"/>
      <c r="AM828" s="74"/>
      <c r="AQ828" s="74"/>
      <c r="AT828" s="124"/>
      <c r="AU828" s="124"/>
    </row>
    <row r="829" spans="2:47" s="123" customFormat="1">
      <c r="B829" s="125"/>
      <c r="D829" s="238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74"/>
      <c r="AE829" s="124"/>
      <c r="AI829" s="74"/>
      <c r="AM829" s="74"/>
      <c r="AQ829" s="74"/>
      <c r="AT829" s="124"/>
      <c r="AU829" s="124"/>
    </row>
    <row r="830" spans="2:47" s="123" customFormat="1">
      <c r="B830" s="125"/>
      <c r="D830" s="238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74"/>
      <c r="AE830" s="124"/>
      <c r="AI830" s="74"/>
      <c r="AM830" s="74"/>
      <c r="AQ830" s="74"/>
      <c r="AT830" s="124"/>
      <c r="AU830" s="124"/>
    </row>
    <row r="831" spans="2:47" s="123" customFormat="1">
      <c r="B831" s="125"/>
      <c r="D831" s="238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74"/>
      <c r="AE831" s="124"/>
      <c r="AI831" s="74"/>
      <c r="AM831" s="74"/>
      <c r="AQ831" s="74"/>
      <c r="AT831" s="124"/>
      <c r="AU831" s="124"/>
    </row>
    <row r="832" spans="2:47" s="123" customFormat="1">
      <c r="B832" s="125"/>
      <c r="D832" s="238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74"/>
      <c r="AE832" s="124"/>
      <c r="AI832" s="74"/>
      <c r="AM832" s="74"/>
      <c r="AQ832" s="74"/>
      <c r="AT832" s="124"/>
      <c r="AU832" s="124"/>
    </row>
    <row r="833" spans="2:47" s="123" customFormat="1">
      <c r="B833" s="125"/>
      <c r="D833" s="238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74"/>
      <c r="AE833" s="124"/>
      <c r="AI833" s="74"/>
      <c r="AM833" s="74"/>
      <c r="AQ833" s="74"/>
      <c r="AT833" s="124"/>
      <c r="AU833" s="124"/>
    </row>
    <row r="834" spans="2:47" s="123" customFormat="1">
      <c r="B834" s="125"/>
      <c r="D834" s="238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74"/>
      <c r="AE834" s="124"/>
      <c r="AI834" s="74"/>
      <c r="AM834" s="74"/>
      <c r="AQ834" s="74"/>
      <c r="AT834" s="124"/>
      <c r="AU834" s="124"/>
    </row>
    <row r="835" spans="2:47" s="123" customFormat="1">
      <c r="B835" s="125"/>
      <c r="D835" s="238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74"/>
      <c r="AE835" s="124"/>
      <c r="AI835" s="74"/>
      <c r="AM835" s="74"/>
      <c r="AQ835" s="74"/>
      <c r="AT835" s="124"/>
      <c r="AU835" s="124"/>
    </row>
    <row r="836" spans="2:47" s="123" customFormat="1">
      <c r="B836" s="125"/>
      <c r="D836" s="238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74"/>
      <c r="AE836" s="124"/>
      <c r="AI836" s="74"/>
      <c r="AM836" s="74"/>
      <c r="AQ836" s="74"/>
      <c r="AT836" s="124"/>
      <c r="AU836" s="124"/>
    </row>
    <row r="837" spans="2:47" s="123" customFormat="1">
      <c r="B837" s="125"/>
      <c r="D837" s="238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74"/>
      <c r="AE837" s="124"/>
      <c r="AI837" s="74"/>
      <c r="AM837" s="74"/>
      <c r="AQ837" s="74"/>
      <c r="AT837" s="124"/>
      <c r="AU837" s="124"/>
    </row>
    <row r="838" spans="2:47" s="123" customFormat="1">
      <c r="B838" s="125"/>
      <c r="D838" s="238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74"/>
      <c r="AE838" s="124"/>
      <c r="AI838" s="74"/>
      <c r="AM838" s="74"/>
      <c r="AQ838" s="74"/>
      <c r="AT838" s="124"/>
      <c r="AU838" s="124"/>
    </row>
    <row r="839" spans="2:47" s="123" customFormat="1">
      <c r="B839" s="125"/>
      <c r="D839" s="238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74"/>
      <c r="AE839" s="124"/>
      <c r="AI839" s="74"/>
      <c r="AM839" s="74"/>
      <c r="AQ839" s="74"/>
      <c r="AT839" s="124"/>
      <c r="AU839" s="124"/>
    </row>
    <row r="840" spans="2:47" s="123" customFormat="1">
      <c r="B840" s="125"/>
      <c r="D840" s="238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74"/>
      <c r="AE840" s="124"/>
      <c r="AI840" s="74"/>
      <c r="AM840" s="74"/>
      <c r="AQ840" s="74"/>
      <c r="AT840" s="124"/>
      <c r="AU840" s="124"/>
    </row>
    <row r="841" spans="2:47" s="123" customFormat="1">
      <c r="B841" s="125"/>
      <c r="D841" s="238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74"/>
      <c r="AE841" s="124"/>
      <c r="AI841" s="74"/>
      <c r="AM841" s="74"/>
      <c r="AQ841" s="74"/>
      <c r="AT841" s="124"/>
      <c r="AU841" s="124"/>
    </row>
    <row r="842" spans="2:47" s="123" customFormat="1">
      <c r="B842" s="125"/>
      <c r="D842" s="238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74"/>
      <c r="AE842" s="124"/>
      <c r="AI842" s="74"/>
      <c r="AM842" s="74"/>
      <c r="AQ842" s="74"/>
      <c r="AT842" s="124"/>
      <c r="AU842" s="124"/>
    </row>
    <row r="843" spans="2:47" s="123" customFormat="1">
      <c r="B843" s="125"/>
      <c r="D843" s="238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74"/>
      <c r="AE843" s="124"/>
      <c r="AI843" s="74"/>
      <c r="AM843" s="74"/>
      <c r="AQ843" s="74"/>
      <c r="AT843" s="124"/>
      <c r="AU843" s="124"/>
    </row>
    <row r="844" spans="2:47" s="123" customFormat="1">
      <c r="B844" s="125"/>
      <c r="D844" s="238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74"/>
      <c r="AE844" s="124"/>
      <c r="AI844" s="74"/>
      <c r="AM844" s="74"/>
      <c r="AQ844" s="74"/>
      <c r="AT844" s="124"/>
      <c r="AU844" s="124"/>
    </row>
    <row r="845" spans="2:47" s="123" customFormat="1">
      <c r="B845" s="125"/>
      <c r="D845" s="238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74"/>
      <c r="AE845" s="124"/>
      <c r="AI845" s="74"/>
      <c r="AM845" s="74"/>
      <c r="AQ845" s="74"/>
      <c r="AT845" s="124"/>
      <c r="AU845" s="124"/>
    </row>
    <row r="846" spans="2:47" s="123" customFormat="1">
      <c r="B846" s="125"/>
      <c r="D846" s="238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74"/>
      <c r="AE846" s="124"/>
      <c r="AI846" s="74"/>
      <c r="AM846" s="74"/>
      <c r="AQ846" s="74"/>
      <c r="AT846" s="124"/>
      <c r="AU846" s="124"/>
    </row>
    <row r="847" spans="2:47" s="123" customFormat="1">
      <c r="B847" s="125"/>
      <c r="D847" s="238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74"/>
      <c r="AE847" s="124"/>
      <c r="AI847" s="74"/>
      <c r="AM847" s="74"/>
      <c r="AQ847" s="74"/>
      <c r="AT847" s="124"/>
      <c r="AU847" s="124"/>
    </row>
    <row r="848" spans="2:47" s="123" customFormat="1">
      <c r="B848" s="125"/>
      <c r="D848" s="238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74"/>
      <c r="AE848" s="124"/>
      <c r="AI848" s="74"/>
      <c r="AM848" s="74"/>
      <c r="AQ848" s="74"/>
      <c r="AT848" s="124"/>
      <c r="AU848" s="124"/>
    </row>
    <row r="849" spans="2:47" s="123" customFormat="1">
      <c r="B849" s="125"/>
      <c r="D849" s="238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74"/>
      <c r="AE849" s="124"/>
      <c r="AI849" s="74"/>
      <c r="AM849" s="74"/>
      <c r="AQ849" s="74"/>
      <c r="AT849" s="124"/>
      <c r="AU849" s="124"/>
    </row>
    <row r="850" spans="2:47" s="123" customFormat="1">
      <c r="B850" s="125"/>
      <c r="D850" s="238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74"/>
      <c r="AE850" s="124"/>
      <c r="AI850" s="74"/>
      <c r="AM850" s="74"/>
      <c r="AQ850" s="74"/>
      <c r="AT850" s="124"/>
      <c r="AU850" s="124"/>
    </row>
    <row r="851" spans="2:47" s="123" customFormat="1">
      <c r="B851" s="125"/>
      <c r="D851" s="238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74"/>
      <c r="AE851" s="124"/>
      <c r="AI851" s="74"/>
      <c r="AM851" s="74"/>
      <c r="AQ851" s="74"/>
      <c r="AT851" s="124"/>
      <c r="AU851" s="124"/>
    </row>
    <row r="852" spans="2:47" s="123" customFormat="1">
      <c r="B852" s="125"/>
      <c r="D852" s="238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74"/>
      <c r="AE852" s="124"/>
      <c r="AI852" s="74"/>
      <c r="AM852" s="74"/>
      <c r="AQ852" s="74"/>
      <c r="AT852" s="124"/>
      <c r="AU852" s="124"/>
    </row>
    <row r="853" spans="2:47" s="123" customFormat="1">
      <c r="B853" s="125"/>
      <c r="D853" s="238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74"/>
      <c r="AE853" s="124"/>
      <c r="AI853" s="74"/>
      <c r="AM853" s="74"/>
      <c r="AQ853" s="74"/>
      <c r="AT853" s="124"/>
      <c r="AU853" s="124"/>
    </row>
    <row r="854" spans="2:47" s="123" customFormat="1">
      <c r="B854" s="125"/>
      <c r="D854" s="238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74"/>
      <c r="AE854" s="124"/>
      <c r="AI854" s="74"/>
      <c r="AM854" s="74"/>
      <c r="AQ854" s="74"/>
      <c r="AT854" s="124"/>
      <c r="AU854" s="124"/>
    </row>
    <row r="855" spans="2:47" s="123" customFormat="1">
      <c r="B855" s="125"/>
      <c r="D855" s="238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74"/>
      <c r="AE855" s="124"/>
      <c r="AI855" s="74"/>
      <c r="AM855" s="74"/>
      <c r="AQ855" s="74"/>
      <c r="AT855" s="124"/>
      <c r="AU855" s="124"/>
    </row>
    <row r="856" spans="2:47" s="123" customFormat="1">
      <c r="B856" s="125"/>
      <c r="D856" s="238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74"/>
      <c r="AE856" s="124"/>
      <c r="AI856" s="74"/>
      <c r="AM856" s="74"/>
      <c r="AQ856" s="74"/>
      <c r="AT856" s="124"/>
      <c r="AU856" s="124"/>
    </row>
    <row r="857" spans="2:47" s="123" customFormat="1">
      <c r="B857" s="125"/>
      <c r="D857" s="238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74"/>
      <c r="AE857" s="124"/>
      <c r="AI857" s="74"/>
      <c r="AM857" s="74"/>
      <c r="AQ857" s="74"/>
      <c r="AT857" s="124"/>
      <c r="AU857" s="124"/>
    </row>
    <row r="858" spans="2:47" s="123" customFormat="1">
      <c r="B858" s="125"/>
      <c r="D858" s="238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74"/>
      <c r="AE858" s="124"/>
      <c r="AI858" s="74"/>
      <c r="AM858" s="74"/>
      <c r="AQ858" s="74"/>
      <c r="AT858" s="124"/>
      <c r="AU858" s="124"/>
    </row>
    <row r="859" spans="2:47" s="123" customFormat="1">
      <c r="B859" s="125"/>
      <c r="D859" s="238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74"/>
      <c r="AE859" s="124"/>
      <c r="AI859" s="74"/>
      <c r="AM859" s="74"/>
      <c r="AQ859" s="74"/>
      <c r="AT859" s="124"/>
      <c r="AU859" s="124"/>
    </row>
    <row r="860" spans="2:47" s="123" customFormat="1">
      <c r="B860" s="125"/>
      <c r="D860" s="238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74"/>
      <c r="AE860" s="124"/>
      <c r="AI860" s="74"/>
      <c r="AM860" s="74"/>
      <c r="AQ860" s="74"/>
      <c r="AT860" s="124"/>
      <c r="AU860" s="124"/>
    </row>
    <row r="861" spans="2:47" s="123" customFormat="1">
      <c r="B861" s="125"/>
      <c r="D861" s="238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74"/>
      <c r="AE861" s="124"/>
      <c r="AI861" s="74"/>
      <c r="AM861" s="74"/>
      <c r="AQ861" s="74"/>
      <c r="AT861" s="124"/>
      <c r="AU861" s="124"/>
    </row>
    <row r="862" spans="2:47" s="123" customFormat="1">
      <c r="B862" s="125"/>
      <c r="D862" s="238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74"/>
      <c r="AE862" s="124"/>
      <c r="AI862" s="74"/>
      <c r="AM862" s="74"/>
      <c r="AQ862" s="74"/>
      <c r="AT862" s="124"/>
      <c r="AU862" s="124"/>
    </row>
    <row r="863" spans="2:47" s="123" customFormat="1">
      <c r="B863" s="125"/>
      <c r="D863" s="238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74"/>
      <c r="AE863" s="124"/>
      <c r="AI863" s="74"/>
      <c r="AM863" s="74"/>
      <c r="AQ863" s="74"/>
      <c r="AT863" s="124"/>
      <c r="AU863" s="124"/>
    </row>
    <row r="864" spans="2:47" s="123" customFormat="1">
      <c r="B864" s="125"/>
      <c r="D864" s="238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74"/>
      <c r="AE864" s="124"/>
      <c r="AI864" s="74"/>
      <c r="AM864" s="74"/>
      <c r="AQ864" s="74"/>
      <c r="AT864" s="124"/>
      <c r="AU864" s="124"/>
    </row>
    <row r="865" spans="2:47" s="123" customFormat="1">
      <c r="B865" s="125"/>
      <c r="D865" s="238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74"/>
      <c r="AE865" s="124"/>
      <c r="AI865" s="74"/>
      <c r="AM865" s="74"/>
      <c r="AQ865" s="74"/>
      <c r="AT865" s="124"/>
      <c r="AU865" s="124"/>
    </row>
    <row r="866" spans="2:47" s="123" customFormat="1">
      <c r="B866" s="125"/>
      <c r="D866" s="238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74"/>
      <c r="AE866" s="124"/>
      <c r="AI866" s="74"/>
      <c r="AM866" s="74"/>
      <c r="AQ866" s="74"/>
      <c r="AT866" s="124"/>
      <c r="AU866" s="124"/>
    </row>
    <row r="867" spans="2:47" s="123" customFormat="1">
      <c r="B867" s="125"/>
      <c r="D867" s="238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74"/>
      <c r="AE867" s="124"/>
      <c r="AI867" s="74"/>
      <c r="AM867" s="74"/>
      <c r="AQ867" s="74"/>
      <c r="AT867" s="124"/>
      <c r="AU867" s="124"/>
    </row>
    <row r="868" spans="2:47" s="123" customFormat="1">
      <c r="B868" s="125"/>
      <c r="D868" s="238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74"/>
      <c r="AE868" s="124"/>
      <c r="AI868" s="74"/>
      <c r="AM868" s="74"/>
      <c r="AQ868" s="74"/>
      <c r="AT868" s="124"/>
      <c r="AU868" s="124"/>
    </row>
    <row r="869" spans="2:47" s="123" customFormat="1">
      <c r="B869" s="125"/>
      <c r="D869" s="238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74"/>
      <c r="AE869" s="124"/>
      <c r="AI869" s="74"/>
      <c r="AM869" s="74"/>
      <c r="AQ869" s="74"/>
      <c r="AT869" s="124"/>
      <c r="AU869" s="124"/>
    </row>
    <row r="870" spans="2:47" s="123" customFormat="1">
      <c r="B870" s="125"/>
      <c r="D870" s="238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74"/>
      <c r="AE870" s="124"/>
      <c r="AI870" s="74"/>
      <c r="AM870" s="74"/>
      <c r="AQ870" s="74"/>
      <c r="AT870" s="124"/>
      <c r="AU870" s="124"/>
    </row>
    <row r="871" spans="2:47" s="123" customFormat="1">
      <c r="B871" s="125"/>
      <c r="D871" s="238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74"/>
      <c r="AE871" s="124"/>
      <c r="AI871" s="74"/>
      <c r="AM871" s="74"/>
      <c r="AQ871" s="74"/>
      <c r="AT871" s="124"/>
      <c r="AU871" s="124"/>
    </row>
    <row r="872" spans="2:47" s="123" customFormat="1">
      <c r="B872" s="125"/>
      <c r="D872" s="238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74"/>
      <c r="AE872" s="124"/>
      <c r="AI872" s="74"/>
      <c r="AM872" s="74"/>
      <c r="AQ872" s="74"/>
      <c r="AT872" s="124"/>
      <c r="AU872" s="124"/>
    </row>
    <row r="873" spans="2:47" s="123" customFormat="1">
      <c r="B873" s="125"/>
      <c r="D873" s="238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74"/>
      <c r="AE873" s="124"/>
      <c r="AI873" s="74"/>
      <c r="AM873" s="74"/>
      <c r="AQ873" s="74"/>
      <c r="AT873" s="124"/>
      <c r="AU873" s="124"/>
    </row>
    <row r="874" spans="2:47" s="123" customFormat="1">
      <c r="B874" s="125"/>
      <c r="D874" s="238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74"/>
      <c r="AE874" s="124"/>
      <c r="AI874" s="74"/>
      <c r="AM874" s="74"/>
      <c r="AQ874" s="74"/>
      <c r="AT874" s="124"/>
      <c r="AU874" s="124"/>
    </row>
    <row r="875" spans="2:47" s="123" customFormat="1">
      <c r="B875" s="125"/>
      <c r="D875" s="238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74"/>
      <c r="AE875" s="124"/>
      <c r="AI875" s="74"/>
      <c r="AM875" s="74"/>
      <c r="AQ875" s="74"/>
      <c r="AT875" s="124"/>
      <c r="AU875" s="124"/>
    </row>
    <row r="876" spans="2:47" s="123" customFormat="1">
      <c r="B876" s="125"/>
      <c r="D876" s="238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74"/>
      <c r="AE876" s="124"/>
      <c r="AI876" s="74"/>
      <c r="AM876" s="74"/>
      <c r="AQ876" s="74"/>
      <c r="AT876" s="124"/>
      <c r="AU876" s="124"/>
    </row>
    <row r="877" spans="2:47" s="123" customFormat="1">
      <c r="B877" s="125"/>
      <c r="D877" s="238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74"/>
      <c r="AE877" s="124"/>
      <c r="AI877" s="74"/>
      <c r="AM877" s="74"/>
      <c r="AQ877" s="74"/>
      <c r="AT877" s="124"/>
      <c r="AU877" s="124"/>
    </row>
    <row r="878" spans="2:47" s="123" customFormat="1">
      <c r="B878" s="125"/>
      <c r="D878" s="238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74"/>
      <c r="AE878" s="124"/>
      <c r="AI878" s="74"/>
      <c r="AM878" s="74"/>
      <c r="AQ878" s="74"/>
      <c r="AT878" s="124"/>
      <c r="AU878" s="124"/>
    </row>
    <row r="879" spans="2:47" s="123" customFormat="1">
      <c r="B879" s="125"/>
      <c r="D879" s="238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74"/>
      <c r="AE879" s="124"/>
      <c r="AI879" s="74"/>
      <c r="AM879" s="74"/>
      <c r="AQ879" s="74"/>
      <c r="AT879" s="124"/>
      <c r="AU879" s="124"/>
    </row>
    <row r="880" spans="2:47" s="123" customFormat="1">
      <c r="B880" s="125"/>
      <c r="D880" s="238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74"/>
      <c r="AE880" s="124"/>
      <c r="AI880" s="74"/>
      <c r="AM880" s="74"/>
      <c r="AQ880" s="74"/>
      <c r="AT880" s="124"/>
      <c r="AU880" s="124"/>
    </row>
    <row r="881" spans="2:47" s="123" customFormat="1">
      <c r="B881" s="125"/>
      <c r="D881" s="238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74"/>
      <c r="AE881" s="124"/>
      <c r="AI881" s="74"/>
      <c r="AM881" s="74"/>
      <c r="AQ881" s="74"/>
      <c r="AT881" s="124"/>
      <c r="AU881" s="124"/>
    </row>
    <row r="882" spans="2:47" s="123" customFormat="1">
      <c r="B882" s="125"/>
      <c r="D882" s="238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74"/>
      <c r="AE882" s="124"/>
      <c r="AI882" s="74"/>
      <c r="AM882" s="74"/>
      <c r="AQ882" s="74"/>
      <c r="AT882" s="124"/>
      <c r="AU882" s="124"/>
    </row>
    <row r="883" spans="2:47" s="123" customFormat="1">
      <c r="B883" s="125"/>
      <c r="D883" s="238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74"/>
      <c r="AE883" s="124"/>
      <c r="AI883" s="74"/>
      <c r="AM883" s="74"/>
      <c r="AQ883" s="74"/>
      <c r="AT883" s="124"/>
      <c r="AU883" s="124"/>
    </row>
    <row r="884" spans="2:47" s="123" customFormat="1">
      <c r="B884" s="125"/>
      <c r="D884" s="238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74"/>
      <c r="AE884" s="124"/>
      <c r="AI884" s="74"/>
      <c r="AM884" s="74"/>
      <c r="AQ884" s="74"/>
      <c r="AT884" s="124"/>
      <c r="AU884" s="124"/>
    </row>
    <row r="885" spans="2:47" s="123" customFormat="1">
      <c r="B885" s="125"/>
      <c r="D885" s="238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74"/>
      <c r="AE885" s="124"/>
      <c r="AI885" s="74"/>
      <c r="AM885" s="74"/>
      <c r="AQ885" s="74"/>
      <c r="AT885" s="124"/>
      <c r="AU885" s="124"/>
    </row>
    <row r="886" spans="2:47" s="123" customFormat="1">
      <c r="B886" s="125"/>
      <c r="D886" s="238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74"/>
      <c r="AE886" s="124"/>
      <c r="AI886" s="74"/>
      <c r="AM886" s="74"/>
      <c r="AQ886" s="74"/>
      <c r="AT886" s="124"/>
      <c r="AU886" s="124"/>
    </row>
    <row r="887" spans="2:47" s="123" customFormat="1">
      <c r="B887" s="125"/>
      <c r="D887" s="238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74"/>
      <c r="AE887" s="124"/>
      <c r="AI887" s="74"/>
      <c r="AM887" s="74"/>
      <c r="AQ887" s="74"/>
      <c r="AT887" s="124"/>
      <c r="AU887" s="124"/>
    </row>
    <row r="888" spans="2:47" s="123" customFormat="1">
      <c r="B888" s="125"/>
      <c r="D888" s="238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74"/>
      <c r="AE888" s="124"/>
      <c r="AI888" s="74"/>
      <c r="AM888" s="74"/>
      <c r="AQ888" s="74"/>
      <c r="AT888" s="124"/>
      <c r="AU888" s="124"/>
    </row>
    <row r="889" spans="2:47" s="123" customFormat="1">
      <c r="B889" s="125"/>
      <c r="D889" s="238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74"/>
      <c r="AE889" s="124"/>
      <c r="AI889" s="74"/>
      <c r="AM889" s="74"/>
      <c r="AQ889" s="74"/>
      <c r="AT889" s="124"/>
      <c r="AU889" s="124"/>
    </row>
    <row r="890" spans="2:47" s="123" customFormat="1">
      <c r="B890" s="125"/>
      <c r="D890" s="238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74"/>
      <c r="AE890" s="124"/>
      <c r="AI890" s="74"/>
      <c r="AM890" s="74"/>
      <c r="AQ890" s="74"/>
      <c r="AT890" s="124"/>
      <c r="AU890" s="124"/>
    </row>
    <row r="891" spans="2:47" s="123" customFormat="1">
      <c r="B891" s="125"/>
      <c r="D891" s="238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74"/>
      <c r="AE891" s="124"/>
      <c r="AI891" s="74"/>
      <c r="AM891" s="74"/>
      <c r="AQ891" s="74"/>
      <c r="AT891" s="124"/>
      <c r="AU891" s="124"/>
    </row>
    <row r="892" spans="2:47" s="123" customFormat="1">
      <c r="B892" s="125"/>
      <c r="D892" s="238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74"/>
      <c r="AE892" s="124"/>
      <c r="AI892" s="74"/>
      <c r="AM892" s="74"/>
      <c r="AQ892" s="74"/>
      <c r="AT892" s="124"/>
      <c r="AU892" s="124"/>
    </row>
    <row r="893" spans="2:47" s="123" customFormat="1">
      <c r="B893" s="125"/>
      <c r="D893" s="238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74"/>
      <c r="AE893" s="124"/>
      <c r="AI893" s="74"/>
      <c r="AM893" s="74"/>
      <c r="AQ893" s="74"/>
      <c r="AT893" s="124"/>
      <c r="AU893" s="124"/>
    </row>
    <row r="894" spans="2:47" s="123" customFormat="1">
      <c r="B894" s="125"/>
      <c r="D894" s="238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74"/>
      <c r="AE894" s="124"/>
      <c r="AI894" s="74"/>
      <c r="AM894" s="74"/>
      <c r="AQ894" s="74"/>
      <c r="AT894" s="124"/>
      <c r="AU894" s="124"/>
    </row>
    <row r="895" spans="2:47" s="123" customFormat="1">
      <c r="B895" s="125"/>
      <c r="D895" s="238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74"/>
      <c r="AE895" s="124"/>
      <c r="AI895" s="74"/>
      <c r="AM895" s="74"/>
      <c r="AQ895" s="74"/>
      <c r="AT895" s="124"/>
      <c r="AU895" s="124"/>
    </row>
    <row r="896" spans="2:47" s="123" customFormat="1">
      <c r="B896" s="125"/>
      <c r="D896" s="238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74"/>
      <c r="AE896" s="124"/>
      <c r="AI896" s="74"/>
      <c r="AM896" s="74"/>
      <c r="AQ896" s="74"/>
      <c r="AT896" s="124"/>
      <c r="AU896" s="124"/>
    </row>
    <row r="897" spans="2:47" s="123" customFormat="1">
      <c r="B897" s="125"/>
      <c r="D897" s="238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74"/>
      <c r="AE897" s="124"/>
      <c r="AI897" s="74"/>
      <c r="AM897" s="74"/>
      <c r="AQ897" s="74"/>
      <c r="AT897" s="124"/>
      <c r="AU897" s="124"/>
    </row>
    <row r="898" spans="2:47" s="123" customFormat="1">
      <c r="B898" s="125"/>
      <c r="D898" s="238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74"/>
      <c r="AE898" s="124"/>
      <c r="AI898" s="74"/>
      <c r="AM898" s="74"/>
      <c r="AQ898" s="74"/>
      <c r="AT898" s="124"/>
      <c r="AU898" s="124"/>
    </row>
    <row r="899" spans="2:47" s="123" customFormat="1">
      <c r="B899" s="125"/>
      <c r="D899" s="238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74"/>
      <c r="AE899" s="124"/>
      <c r="AI899" s="74"/>
      <c r="AM899" s="74"/>
      <c r="AQ899" s="74"/>
      <c r="AT899" s="124"/>
      <c r="AU899" s="124"/>
    </row>
    <row r="900" spans="2:47" s="123" customFormat="1">
      <c r="B900" s="125"/>
      <c r="D900" s="238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74"/>
      <c r="AE900" s="124"/>
      <c r="AI900" s="74"/>
      <c r="AM900" s="74"/>
      <c r="AQ900" s="74"/>
      <c r="AT900" s="124"/>
      <c r="AU900" s="124"/>
    </row>
    <row r="901" spans="2:47" s="123" customFormat="1">
      <c r="B901" s="125"/>
      <c r="D901" s="238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74"/>
      <c r="AE901" s="124"/>
      <c r="AI901" s="74"/>
      <c r="AM901" s="74"/>
      <c r="AQ901" s="74"/>
      <c r="AT901" s="124"/>
      <c r="AU901" s="124"/>
    </row>
    <row r="902" spans="2:47" s="123" customFormat="1">
      <c r="B902" s="125"/>
      <c r="D902" s="238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74"/>
      <c r="AE902" s="124"/>
      <c r="AI902" s="74"/>
      <c r="AM902" s="74"/>
      <c r="AQ902" s="74"/>
      <c r="AT902" s="124"/>
      <c r="AU902" s="124"/>
    </row>
    <row r="903" spans="2:47" s="123" customFormat="1">
      <c r="B903" s="125"/>
      <c r="D903" s="238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74"/>
      <c r="AE903" s="124"/>
      <c r="AI903" s="74"/>
      <c r="AM903" s="74"/>
      <c r="AQ903" s="74"/>
      <c r="AT903" s="124"/>
      <c r="AU903" s="124"/>
    </row>
    <row r="904" spans="2:47" s="123" customFormat="1">
      <c r="B904" s="125"/>
      <c r="D904" s="238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74"/>
      <c r="AE904" s="124"/>
      <c r="AI904" s="74"/>
      <c r="AM904" s="74"/>
      <c r="AQ904" s="74"/>
      <c r="AT904" s="124"/>
      <c r="AU904" s="124"/>
    </row>
    <row r="905" spans="2:47" s="123" customFormat="1">
      <c r="B905" s="125"/>
      <c r="D905" s="238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74"/>
      <c r="AE905" s="124"/>
      <c r="AI905" s="74"/>
      <c r="AM905" s="74"/>
      <c r="AQ905" s="74"/>
      <c r="AT905" s="124"/>
      <c r="AU905" s="124"/>
    </row>
    <row r="906" spans="2:47" s="123" customFormat="1">
      <c r="B906" s="125"/>
      <c r="D906" s="238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74"/>
      <c r="AE906" s="124"/>
      <c r="AI906" s="74"/>
      <c r="AM906" s="74"/>
      <c r="AQ906" s="74"/>
      <c r="AT906" s="124"/>
      <c r="AU906" s="124"/>
    </row>
    <row r="907" spans="2:47" s="123" customFormat="1">
      <c r="B907" s="125"/>
      <c r="D907" s="238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74"/>
      <c r="AE907" s="124"/>
      <c r="AI907" s="74"/>
      <c r="AM907" s="74"/>
      <c r="AQ907" s="74"/>
      <c r="AT907" s="124"/>
      <c r="AU907" s="124"/>
    </row>
    <row r="908" spans="2:47" s="123" customFormat="1">
      <c r="B908" s="125"/>
      <c r="D908" s="238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74"/>
      <c r="AE908" s="124"/>
      <c r="AI908" s="74"/>
      <c r="AM908" s="74"/>
      <c r="AQ908" s="74"/>
      <c r="AT908" s="124"/>
      <c r="AU908" s="124"/>
    </row>
    <row r="909" spans="2:47" s="123" customFormat="1">
      <c r="B909" s="125"/>
      <c r="D909" s="238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74"/>
      <c r="AE909" s="124"/>
      <c r="AI909" s="74"/>
      <c r="AM909" s="74"/>
      <c r="AQ909" s="74"/>
      <c r="AT909" s="124"/>
      <c r="AU909" s="124"/>
    </row>
    <row r="910" spans="2:47" s="123" customFormat="1">
      <c r="B910" s="125"/>
      <c r="D910" s="238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74"/>
      <c r="AE910" s="124"/>
      <c r="AI910" s="74"/>
      <c r="AM910" s="74"/>
      <c r="AQ910" s="74"/>
      <c r="AT910" s="124"/>
      <c r="AU910" s="124"/>
    </row>
    <row r="911" spans="2:47" s="123" customFormat="1">
      <c r="B911" s="125"/>
      <c r="D911" s="238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74"/>
      <c r="AE911" s="124"/>
      <c r="AI911" s="74"/>
      <c r="AM911" s="74"/>
      <c r="AQ911" s="74"/>
      <c r="AT911" s="124"/>
      <c r="AU911" s="124"/>
    </row>
    <row r="912" spans="2:47" s="123" customFormat="1">
      <c r="B912" s="125"/>
      <c r="D912" s="238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74"/>
      <c r="AE912" s="124"/>
      <c r="AI912" s="74"/>
      <c r="AM912" s="74"/>
      <c r="AQ912" s="74"/>
      <c r="AT912" s="124"/>
      <c r="AU912" s="124"/>
    </row>
    <row r="913" spans="2:47" s="123" customFormat="1">
      <c r="B913" s="125"/>
      <c r="D913" s="238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74"/>
      <c r="AE913" s="124"/>
      <c r="AI913" s="74"/>
      <c r="AM913" s="74"/>
      <c r="AQ913" s="74"/>
      <c r="AT913" s="124"/>
      <c r="AU913" s="124"/>
    </row>
    <row r="914" spans="2:47" s="123" customFormat="1">
      <c r="B914" s="125"/>
      <c r="D914" s="238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74"/>
      <c r="AE914" s="124"/>
      <c r="AI914" s="74"/>
      <c r="AM914" s="74"/>
      <c r="AQ914" s="74"/>
      <c r="AT914" s="124"/>
      <c r="AU914" s="124"/>
    </row>
    <row r="915" spans="2:47" s="123" customFormat="1">
      <c r="B915" s="125"/>
      <c r="D915" s="238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74"/>
      <c r="AE915" s="124"/>
      <c r="AI915" s="74"/>
      <c r="AM915" s="74"/>
      <c r="AQ915" s="74"/>
      <c r="AT915" s="124"/>
      <c r="AU915" s="124"/>
    </row>
    <row r="916" spans="2:47" s="123" customFormat="1">
      <c r="B916" s="125"/>
      <c r="D916" s="238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74"/>
      <c r="AE916" s="124"/>
      <c r="AI916" s="74"/>
      <c r="AM916" s="74"/>
      <c r="AQ916" s="74"/>
      <c r="AT916" s="124"/>
      <c r="AU916" s="124"/>
    </row>
    <row r="917" spans="2:47" s="123" customFormat="1">
      <c r="B917" s="125"/>
      <c r="D917" s="238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74"/>
      <c r="AE917" s="124"/>
      <c r="AI917" s="74"/>
      <c r="AM917" s="74"/>
      <c r="AQ917" s="74"/>
      <c r="AT917" s="124"/>
      <c r="AU917" s="124"/>
    </row>
    <row r="918" spans="2:47" s="123" customFormat="1">
      <c r="B918" s="125"/>
      <c r="D918" s="238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74"/>
      <c r="AE918" s="124"/>
      <c r="AI918" s="74"/>
      <c r="AM918" s="74"/>
      <c r="AQ918" s="74"/>
      <c r="AT918" s="124"/>
      <c r="AU918" s="124"/>
    </row>
    <row r="919" spans="2:47" s="123" customFormat="1">
      <c r="B919" s="125"/>
      <c r="D919" s="238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74"/>
      <c r="AE919" s="124"/>
      <c r="AI919" s="74"/>
      <c r="AM919" s="74"/>
      <c r="AQ919" s="74"/>
      <c r="AT919" s="124"/>
      <c r="AU919" s="124"/>
    </row>
    <row r="920" spans="2:47" s="123" customFormat="1">
      <c r="B920" s="125"/>
      <c r="D920" s="238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74"/>
      <c r="AE920" s="124"/>
      <c r="AI920" s="74"/>
      <c r="AM920" s="74"/>
      <c r="AQ920" s="74"/>
      <c r="AT920" s="124"/>
      <c r="AU920" s="124"/>
    </row>
    <row r="921" spans="2:47" s="123" customFormat="1">
      <c r="B921" s="125"/>
      <c r="D921" s="238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74"/>
      <c r="AE921" s="124"/>
      <c r="AI921" s="74"/>
      <c r="AM921" s="74"/>
      <c r="AQ921" s="74"/>
      <c r="AT921" s="124"/>
      <c r="AU921" s="124"/>
    </row>
    <row r="922" spans="2:47" s="123" customFormat="1">
      <c r="B922" s="125"/>
      <c r="D922" s="238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74"/>
      <c r="AE922" s="124"/>
      <c r="AI922" s="74"/>
      <c r="AM922" s="74"/>
      <c r="AQ922" s="74"/>
      <c r="AT922" s="124"/>
      <c r="AU922" s="124"/>
    </row>
    <row r="923" spans="2:47" s="123" customFormat="1">
      <c r="B923" s="125"/>
      <c r="D923" s="238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74"/>
      <c r="AE923" s="124"/>
      <c r="AI923" s="74"/>
      <c r="AM923" s="74"/>
      <c r="AQ923" s="74"/>
      <c r="AT923" s="124"/>
      <c r="AU923" s="124"/>
    </row>
    <row r="924" spans="2:47" s="123" customFormat="1">
      <c r="B924" s="125"/>
      <c r="D924" s="238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74"/>
      <c r="AE924" s="124"/>
      <c r="AI924" s="74"/>
      <c r="AM924" s="74"/>
      <c r="AQ924" s="74"/>
      <c r="AT924" s="124"/>
      <c r="AU924" s="124"/>
    </row>
    <row r="925" spans="2:47" s="123" customFormat="1">
      <c r="B925" s="125"/>
      <c r="D925" s="238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74"/>
      <c r="AE925" s="124"/>
      <c r="AI925" s="74"/>
      <c r="AM925" s="74"/>
      <c r="AQ925" s="74"/>
      <c r="AT925" s="124"/>
      <c r="AU925" s="124"/>
    </row>
    <row r="926" spans="2:47" s="123" customFormat="1">
      <c r="B926" s="125"/>
      <c r="D926" s="238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74"/>
      <c r="AE926" s="124"/>
      <c r="AI926" s="74"/>
      <c r="AM926" s="74"/>
      <c r="AQ926" s="74"/>
      <c r="AT926" s="124"/>
      <c r="AU926" s="124"/>
    </row>
    <row r="927" spans="2:47" s="123" customFormat="1">
      <c r="B927" s="125"/>
      <c r="D927" s="238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74"/>
      <c r="AE927" s="124"/>
      <c r="AI927" s="74"/>
      <c r="AM927" s="74"/>
      <c r="AQ927" s="74"/>
      <c r="AT927" s="124"/>
      <c r="AU927" s="124"/>
    </row>
    <row r="928" spans="2:47" s="123" customFormat="1">
      <c r="B928" s="125"/>
      <c r="D928" s="238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74"/>
      <c r="AE928" s="124"/>
      <c r="AI928" s="74"/>
      <c r="AM928" s="74"/>
      <c r="AQ928" s="74"/>
      <c r="AT928" s="124"/>
      <c r="AU928" s="124"/>
    </row>
    <row r="929" spans="2:47" s="123" customFormat="1">
      <c r="B929" s="125"/>
      <c r="D929" s="238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74"/>
      <c r="AE929" s="124"/>
      <c r="AI929" s="74"/>
      <c r="AM929" s="74"/>
      <c r="AQ929" s="74"/>
      <c r="AT929" s="124"/>
      <c r="AU929" s="124"/>
    </row>
    <row r="930" spans="2:47" s="123" customFormat="1">
      <c r="B930" s="125"/>
      <c r="D930" s="238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74"/>
      <c r="AE930" s="124"/>
      <c r="AI930" s="74"/>
      <c r="AM930" s="74"/>
      <c r="AQ930" s="74"/>
      <c r="AT930" s="124"/>
      <c r="AU930" s="124"/>
    </row>
    <row r="931" spans="2:47" s="123" customFormat="1">
      <c r="B931" s="125"/>
      <c r="D931" s="238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74"/>
      <c r="AE931" s="124"/>
      <c r="AI931" s="74"/>
      <c r="AM931" s="74"/>
      <c r="AQ931" s="74"/>
      <c r="AT931" s="124"/>
      <c r="AU931" s="124"/>
    </row>
    <row r="932" spans="2:47" s="123" customFormat="1">
      <c r="B932" s="125"/>
      <c r="D932" s="238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74"/>
      <c r="AE932" s="124"/>
      <c r="AI932" s="74"/>
      <c r="AM932" s="74"/>
      <c r="AQ932" s="74"/>
      <c r="AT932" s="124"/>
      <c r="AU932" s="124"/>
    </row>
    <row r="933" spans="2:47" s="123" customFormat="1">
      <c r="B933" s="125"/>
      <c r="D933" s="238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74"/>
      <c r="AE933" s="124"/>
      <c r="AI933" s="74"/>
      <c r="AM933" s="74"/>
      <c r="AQ933" s="74"/>
      <c r="AT933" s="124"/>
      <c r="AU933" s="124"/>
    </row>
    <row r="934" spans="2:47" s="123" customFormat="1">
      <c r="B934" s="125"/>
      <c r="D934" s="238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74"/>
      <c r="AE934" s="124"/>
      <c r="AI934" s="74"/>
      <c r="AM934" s="74"/>
      <c r="AQ934" s="74"/>
      <c r="AT934" s="124"/>
      <c r="AU934" s="124"/>
    </row>
    <row r="935" spans="2:47" s="123" customFormat="1">
      <c r="B935" s="125"/>
      <c r="D935" s="238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74"/>
      <c r="AE935" s="124"/>
      <c r="AI935" s="74"/>
      <c r="AM935" s="74"/>
      <c r="AQ935" s="74"/>
      <c r="AT935" s="124"/>
      <c r="AU935" s="124"/>
    </row>
    <row r="936" spans="2:47" s="123" customFormat="1">
      <c r="B936" s="125"/>
      <c r="D936" s="238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74"/>
      <c r="AE936" s="124"/>
      <c r="AI936" s="74"/>
      <c r="AM936" s="74"/>
      <c r="AQ936" s="74"/>
      <c r="AT936" s="124"/>
      <c r="AU936" s="124"/>
    </row>
    <row r="937" spans="2:47" s="123" customFormat="1">
      <c r="B937" s="125"/>
      <c r="D937" s="238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74"/>
      <c r="AE937" s="124"/>
      <c r="AI937" s="74"/>
      <c r="AM937" s="74"/>
      <c r="AQ937" s="74"/>
      <c r="AT937" s="124"/>
      <c r="AU937" s="124"/>
    </row>
    <row r="938" spans="2:47" s="123" customFormat="1">
      <c r="B938" s="125"/>
      <c r="D938" s="238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74"/>
      <c r="AE938" s="124"/>
      <c r="AI938" s="74"/>
      <c r="AM938" s="74"/>
      <c r="AQ938" s="74"/>
      <c r="AT938" s="124"/>
      <c r="AU938" s="124"/>
    </row>
    <row r="939" spans="2:47" s="123" customFormat="1">
      <c r="B939" s="125"/>
      <c r="D939" s="238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74"/>
      <c r="AE939" s="124"/>
      <c r="AI939" s="74"/>
      <c r="AM939" s="74"/>
      <c r="AQ939" s="74"/>
      <c r="AT939" s="124"/>
      <c r="AU939" s="124"/>
    </row>
    <row r="940" spans="2:47" s="123" customFormat="1">
      <c r="B940" s="125"/>
      <c r="D940" s="238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74"/>
      <c r="AE940" s="124"/>
      <c r="AI940" s="74"/>
      <c r="AM940" s="74"/>
      <c r="AQ940" s="74"/>
      <c r="AT940" s="124"/>
      <c r="AU940" s="124"/>
    </row>
    <row r="941" spans="2:47" s="123" customFormat="1">
      <c r="B941" s="125"/>
      <c r="D941" s="238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74"/>
      <c r="AE941" s="124"/>
      <c r="AI941" s="74"/>
      <c r="AM941" s="74"/>
      <c r="AQ941" s="74"/>
      <c r="AT941" s="124"/>
      <c r="AU941" s="124"/>
    </row>
    <row r="942" spans="2:47" s="123" customFormat="1">
      <c r="B942" s="125"/>
      <c r="D942" s="238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74"/>
      <c r="AE942" s="124"/>
      <c r="AI942" s="74"/>
      <c r="AM942" s="74"/>
      <c r="AQ942" s="74"/>
      <c r="AT942" s="124"/>
      <c r="AU942" s="124"/>
    </row>
    <row r="943" spans="2:47" s="123" customFormat="1">
      <c r="B943" s="125"/>
      <c r="D943" s="238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74"/>
      <c r="AE943" s="124"/>
      <c r="AI943" s="74"/>
      <c r="AM943" s="74"/>
      <c r="AQ943" s="74"/>
      <c r="AT943" s="124"/>
      <c r="AU943" s="124"/>
    </row>
    <row r="944" spans="2:47" s="123" customFormat="1">
      <c r="B944" s="125"/>
      <c r="D944" s="238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74"/>
      <c r="AE944" s="124"/>
      <c r="AI944" s="74"/>
      <c r="AM944" s="74"/>
      <c r="AQ944" s="74"/>
      <c r="AT944" s="124"/>
      <c r="AU944" s="124"/>
    </row>
    <row r="945" spans="2:47" s="123" customFormat="1">
      <c r="B945" s="125"/>
      <c r="D945" s="238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74"/>
      <c r="AE945" s="124"/>
      <c r="AI945" s="74"/>
      <c r="AM945" s="74"/>
      <c r="AQ945" s="74"/>
      <c r="AT945" s="124"/>
      <c r="AU945" s="124"/>
    </row>
    <row r="946" spans="2:47" s="123" customFormat="1">
      <c r="B946" s="125"/>
      <c r="D946" s="238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74"/>
      <c r="AE946" s="124"/>
      <c r="AI946" s="74"/>
      <c r="AM946" s="74"/>
      <c r="AQ946" s="74"/>
      <c r="AT946" s="124"/>
      <c r="AU946" s="124"/>
    </row>
    <row r="947" spans="2:47" s="123" customFormat="1">
      <c r="B947" s="125"/>
      <c r="D947" s="238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74"/>
      <c r="AE947" s="124"/>
      <c r="AI947" s="74"/>
      <c r="AM947" s="74"/>
      <c r="AQ947" s="74"/>
      <c r="AT947" s="124"/>
      <c r="AU947" s="124"/>
    </row>
    <row r="948" spans="2:47" s="123" customFormat="1">
      <c r="B948" s="125"/>
      <c r="D948" s="238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74"/>
      <c r="AE948" s="124"/>
      <c r="AI948" s="74"/>
      <c r="AM948" s="74"/>
      <c r="AQ948" s="74"/>
      <c r="AT948" s="124"/>
      <c r="AU948" s="124"/>
    </row>
    <row r="949" spans="2:47" s="123" customFormat="1">
      <c r="B949" s="125"/>
      <c r="D949" s="238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74"/>
      <c r="AE949" s="124"/>
      <c r="AI949" s="74"/>
      <c r="AM949" s="74"/>
      <c r="AQ949" s="74"/>
      <c r="AT949" s="124"/>
      <c r="AU949" s="124"/>
    </row>
    <row r="950" spans="2:47" s="123" customFormat="1">
      <c r="B950" s="125"/>
      <c r="D950" s="238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74"/>
      <c r="AE950" s="124"/>
      <c r="AI950" s="74"/>
      <c r="AM950" s="74"/>
      <c r="AQ950" s="74"/>
      <c r="AT950" s="124"/>
      <c r="AU950" s="124"/>
    </row>
    <row r="951" spans="2:47" s="123" customFormat="1">
      <c r="B951" s="125"/>
      <c r="D951" s="238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74"/>
      <c r="AE951" s="124"/>
      <c r="AI951" s="74"/>
      <c r="AM951" s="74"/>
      <c r="AQ951" s="74"/>
      <c r="AT951" s="124"/>
      <c r="AU951" s="124"/>
    </row>
    <row r="952" spans="2:47" s="123" customFormat="1">
      <c r="B952" s="125"/>
      <c r="D952" s="238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74"/>
      <c r="AE952" s="124"/>
      <c r="AI952" s="74"/>
      <c r="AM952" s="74"/>
      <c r="AQ952" s="74"/>
      <c r="AT952" s="124"/>
      <c r="AU952" s="124"/>
    </row>
    <row r="953" spans="2:47" s="123" customFormat="1">
      <c r="B953" s="125"/>
      <c r="D953" s="238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74"/>
      <c r="AE953" s="124"/>
      <c r="AI953" s="74"/>
      <c r="AM953" s="74"/>
      <c r="AQ953" s="74"/>
      <c r="AT953" s="124"/>
      <c r="AU953" s="124"/>
    </row>
    <row r="954" spans="2:47" s="123" customFormat="1">
      <c r="B954" s="125"/>
      <c r="D954" s="238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74"/>
      <c r="AE954" s="124"/>
      <c r="AI954" s="74"/>
      <c r="AM954" s="74"/>
      <c r="AQ954" s="74"/>
      <c r="AT954" s="124"/>
      <c r="AU954" s="124"/>
    </row>
    <row r="955" spans="2:47" s="123" customFormat="1">
      <c r="B955" s="125"/>
      <c r="D955" s="238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74"/>
      <c r="AE955" s="124"/>
      <c r="AI955" s="74"/>
      <c r="AM955" s="74"/>
      <c r="AQ955" s="74"/>
      <c r="AT955" s="124"/>
      <c r="AU955" s="124"/>
    </row>
    <row r="956" spans="2:47" s="123" customFormat="1">
      <c r="B956" s="125"/>
      <c r="D956" s="238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74"/>
      <c r="AE956" s="124"/>
      <c r="AI956" s="74"/>
      <c r="AM956" s="74"/>
      <c r="AQ956" s="74"/>
      <c r="AT956" s="124"/>
      <c r="AU956" s="124"/>
    </row>
    <row r="957" spans="2:47" s="123" customFormat="1">
      <c r="B957" s="125"/>
      <c r="D957" s="238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74"/>
      <c r="AE957" s="124"/>
      <c r="AI957" s="74"/>
      <c r="AM957" s="74"/>
      <c r="AQ957" s="74"/>
      <c r="AT957" s="124"/>
      <c r="AU957" s="124"/>
    </row>
    <row r="958" spans="2:47" s="123" customFormat="1">
      <c r="B958" s="125"/>
      <c r="D958" s="238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74"/>
      <c r="AE958" s="124"/>
      <c r="AI958" s="74"/>
      <c r="AM958" s="74"/>
      <c r="AQ958" s="74"/>
      <c r="AT958" s="124"/>
      <c r="AU958" s="124"/>
    </row>
    <row r="959" spans="2:47" s="123" customFormat="1">
      <c r="B959" s="125"/>
      <c r="D959" s="238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74"/>
      <c r="AE959" s="124"/>
      <c r="AI959" s="74"/>
      <c r="AM959" s="74"/>
      <c r="AQ959" s="74"/>
      <c r="AT959" s="124"/>
      <c r="AU959" s="124"/>
    </row>
    <row r="960" spans="2:47" s="123" customFormat="1">
      <c r="B960" s="125"/>
      <c r="D960" s="238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74"/>
      <c r="AE960" s="124"/>
      <c r="AI960" s="74"/>
      <c r="AM960" s="74"/>
      <c r="AQ960" s="74"/>
      <c r="AT960" s="124"/>
      <c r="AU960" s="124"/>
    </row>
    <row r="961" spans="2:47" s="123" customFormat="1">
      <c r="B961" s="125"/>
      <c r="D961" s="238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74"/>
      <c r="AE961" s="124"/>
      <c r="AI961" s="74"/>
      <c r="AM961" s="74"/>
      <c r="AQ961" s="74"/>
      <c r="AT961" s="124"/>
      <c r="AU961" s="124"/>
    </row>
    <row r="962" spans="2:47" s="123" customFormat="1">
      <c r="B962" s="125"/>
      <c r="D962" s="238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74"/>
      <c r="AE962" s="124"/>
      <c r="AI962" s="74"/>
      <c r="AM962" s="74"/>
      <c r="AQ962" s="74"/>
      <c r="AT962" s="124"/>
      <c r="AU962" s="124"/>
    </row>
    <row r="963" spans="2:47" s="123" customFormat="1">
      <c r="B963" s="125"/>
      <c r="D963" s="238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74"/>
      <c r="AE963" s="124"/>
      <c r="AI963" s="74"/>
      <c r="AM963" s="74"/>
      <c r="AQ963" s="74"/>
      <c r="AT963" s="124"/>
      <c r="AU963" s="124"/>
    </row>
    <row r="964" spans="2:47" s="123" customFormat="1">
      <c r="B964" s="125"/>
      <c r="D964" s="238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74"/>
      <c r="AE964" s="124"/>
      <c r="AI964" s="74"/>
      <c r="AM964" s="74"/>
      <c r="AQ964" s="74"/>
      <c r="AT964" s="124"/>
      <c r="AU964" s="124"/>
    </row>
    <row r="965" spans="2:47" s="123" customFormat="1">
      <c r="B965" s="125"/>
      <c r="D965" s="238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74"/>
      <c r="AE965" s="124"/>
      <c r="AI965" s="74"/>
      <c r="AM965" s="74"/>
      <c r="AQ965" s="74"/>
      <c r="AT965" s="124"/>
      <c r="AU965" s="124"/>
    </row>
    <row r="966" spans="2:47" s="123" customFormat="1">
      <c r="B966" s="125"/>
      <c r="D966" s="238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74"/>
      <c r="AE966" s="124"/>
      <c r="AI966" s="74"/>
      <c r="AM966" s="74"/>
      <c r="AQ966" s="74"/>
      <c r="AT966" s="124"/>
      <c r="AU966" s="124"/>
    </row>
    <row r="967" spans="2:47" s="123" customFormat="1">
      <c r="B967" s="125"/>
      <c r="D967" s="238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74"/>
      <c r="AE967" s="124"/>
      <c r="AI967" s="74"/>
      <c r="AM967" s="74"/>
      <c r="AQ967" s="74"/>
      <c r="AT967" s="124"/>
      <c r="AU967" s="124"/>
    </row>
    <row r="968" spans="2:47" s="123" customFormat="1">
      <c r="B968" s="125"/>
      <c r="D968" s="238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74"/>
      <c r="AE968" s="124"/>
      <c r="AI968" s="74"/>
      <c r="AM968" s="74"/>
      <c r="AQ968" s="74"/>
      <c r="AT968" s="124"/>
      <c r="AU968" s="124"/>
    </row>
    <row r="969" spans="2:47" s="123" customFormat="1">
      <c r="B969" s="125"/>
      <c r="D969" s="238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74"/>
      <c r="AE969" s="124"/>
      <c r="AI969" s="74"/>
      <c r="AM969" s="74"/>
      <c r="AQ969" s="74"/>
      <c r="AT969" s="124"/>
      <c r="AU969" s="124"/>
    </row>
    <row r="970" spans="2:47" s="123" customFormat="1">
      <c r="B970" s="125"/>
      <c r="D970" s="238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74"/>
      <c r="AE970" s="124"/>
      <c r="AI970" s="74"/>
      <c r="AM970" s="74"/>
      <c r="AQ970" s="74"/>
      <c r="AT970" s="124"/>
      <c r="AU970" s="124"/>
    </row>
    <row r="971" spans="2:47" s="123" customFormat="1">
      <c r="B971" s="125"/>
      <c r="D971" s="238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74"/>
      <c r="AE971" s="124"/>
      <c r="AI971" s="74"/>
      <c r="AM971" s="74"/>
      <c r="AQ971" s="74"/>
      <c r="AT971" s="124"/>
      <c r="AU971" s="124"/>
    </row>
    <row r="972" spans="2:47" s="123" customFormat="1">
      <c r="B972" s="125"/>
      <c r="D972" s="238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74"/>
      <c r="AE972" s="124"/>
      <c r="AI972" s="74"/>
      <c r="AM972" s="74"/>
      <c r="AQ972" s="74"/>
      <c r="AT972" s="124"/>
      <c r="AU972" s="124"/>
    </row>
    <row r="973" spans="2:47" s="123" customFormat="1">
      <c r="B973" s="125"/>
      <c r="D973" s="238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74"/>
      <c r="AE973" s="124"/>
      <c r="AI973" s="74"/>
      <c r="AM973" s="74"/>
      <c r="AQ973" s="74"/>
      <c r="AT973" s="124"/>
      <c r="AU973" s="124"/>
    </row>
    <row r="974" spans="2:47" s="123" customFormat="1">
      <c r="B974" s="125"/>
      <c r="D974" s="238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74"/>
      <c r="AE974" s="124"/>
      <c r="AI974" s="74"/>
      <c r="AM974" s="74"/>
      <c r="AQ974" s="74"/>
      <c r="AT974" s="124"/>
      <c r="AU974" s="124"/>
    </row>
    <row r="975" spans="2:47" s="123" customFormat="1">
      <c r="B975" s="125"/>
      <c r="D975" s="238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74"/>
      <c r="AE975" s="124"/>
      <c r="AI975" s="74"/>
      <c r="AM975" s="74"/>
      <c r="AQ975" s="74"/>
      <c r="AT975" s="124"/>
      <c r="AU975" s="124"/>
    </row>
    <row r="976" spans="2:47" s="123" customFormat="1">
      <c r="B976" s="125"/>
      <c r="D976" s="238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74"/>
      <c r="AE976" s="124"/>
      <c r="AI976" s="74"/>
      <c r="AM976" s="74"/>
      <c r="AQ976" s="74"/>
      <c r="AT976" s="124"/>
      <c r="AU976" s="124"/>
    </row>
    <row r="977" spans="2:47" s="123" customFormat="1">
      <c r="B977" s="125"/>
      <c r="D977" s="238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74"/>
      <c r="AE977" s="124"/>
      <c r="AI977" s="74"/>
      <c r="AM977" s="74"/>
      <c r="AQ977" s="74"/>
      <c r="AT977" s="124"/>
      <c r="AU977" s="124"/>
    </row>
    <row r="978" spans="2:47" s="123" customFormat="1">
      <c r="B978" s="125"/>
      <c r="D978" s="238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74"/>
      <c r="AE978" s="124"/>
      <c r="AI978" s="74"/>
      <c r="AM978" s="74"/>
      <c r="AQ978" s="74"/>
      <c r="AT978" s="124"/>
      <c r="AU978" s="124"/>
    </row>
    <row r="979" spans="2:47" s="123" customFormat="1">
      <c r="B979" s="125"/>
      <c r="D979" s="238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74"/>
      <c r="AE979" s="124"/>
      <c r="AI979" s="74"/>
      <c r="AM979" s="74"/>
      <c r="AQ979" s="74"/>
      <c r="AT979" s="124"/>
      <c r="AU979" s="124"/>
    </row>
    <row r="980" spans="2:47" s="123" customFormat="1">
      <c r="B980" s="125"/>
      <c r="D980" s="238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74"/>
      <c r="AE980" s="124"/>
      <c r="AI980" s="74"/>
      <c r="AM980" s="74"/>
      <c r="AQ980" s="74"/>
      <c r="AT980" s="124"/>
      <c r="AU980" s="124"/>
    </row>
    <row r="981" spans="2:47" s="123" customFormat="1">
      <c r="B981" s="125"/>
      <c r="D981" s="238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74"/>
      <c r="AE981" s="124"/>
      <c r="AI981" s="74"/>
      <c r="AM981" s="74"/>
      <c r="AQ981" s="74"/>
      <c r="AT981" s="124"/>
      <c r="AU981" s="124"/>
    </row>
    <row r="982" spans="2:47" s="123" customFormat="1">
      <c r="B982" s="125"/>
      <c r="D982" s="238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74"/>
      <c r="AE982" s="124"/>
      <c r="AI982" s="74"/>
      <c r="AM982" s="74"/>
      <c r="AQ982" s="74"/>
      <c r="AT982" s="124"/>
      <c r="AU982" s="124"/>
    </row>
    <row r="983" spans="2:47" s="123" customFormat="1">
      <c r="B983" s="125"/>
      <c r="D983" s="238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74"/>
      <c r="AE983" s="124"/>
      <c r="AI983" s="74"/>
      <c r="AM983" s="74"/>
      <c r="AQ983" s="74"/>
      <c r="AT983" s="124"/>
      <c r="AU983" s="124"/>
    </row>
    <row r="984" spans="2:47" s="123" customFormat="1">
      <c r="B984" s="125"/>
      <c r="D984" s="238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74"/>
      <c r="AE984" s="124"/>
      <c r="AI984" s="74"/>
      <c r="AM984" s="74"/>
      <c r="AQ984" s="74"/>
      <c r="AT984" s="124"/>
      <c r="AU984" s="124"/>
    </row>
    <row r="985" spans="2:47" s="123" customFormat="1">
      <c r="B985" s="125"/>
      <c r="D985" s="238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74"/>
      <c r="AE985" s="124"/>
      <c r="AI985" s="74"/>
      <c r="AM985" s="74"/>
      <c r="AQ985" s="74"/>
      <c r="AT985" s="124"/>
      <c r="AU985" s="124"/>
    </row>
    <row r="986" spans="2:47" s="123" customFormat="1">
      <c r="B986" s="125"/>
      <c r="D986" s="238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74"/>
      <c r="AE986" s="124"/>
      <c r="AI986" s="74"/>
      <c r="AM986" s="74"/>
      <c r="AQ986" s="74"/>
      <c r="AT986" s="124"/>
      <c r="AU986" s="124"/>
    </row>
    <row r="987" spans="2:47" s="123" customFormat="1">
      <c r="B987" s="125"/>
      <c r="D987" s="238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74"/>
      <c r="AE987" s="124"/>
      <c r="AI987" s="74"/>
      <c r="AM987" s="74"/>
      <c r="AQ987" s="74"/>
      <c r="AT987" s="124"/>
      <c r="AU987" s="124"/>
    </row>
    <row r="988" spans="2:47" s="123" customFormat="1">
      <c r="B988" s="125"/>
      <c r="D988" s="238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74"/>
      <c r="AE988" s="124"/>
      <c r="AI988" s="74"/>
      <c r="AM988" s="74"/>
      <c r="AQ988" s="74"/>
      <c r="AT988" s="124"/>
      <c r="AU988" s="124"/>
    </row>
    <row r="989" spans="2:47" s="123" customFormat="1">
      <c r="B989" s="125"/>
      <c r="D989" s="238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74"/>
      <c r="AE989" s="124"/>
      <c r="AI989" s="74"/>
      <c r="AM989" s="74"/>
      <c r="AQ989" s="74"/>
      <c r="AT989" s="124"/>
      <c r="AU989" s="124"/>
    </row>
    <row r="990" spans="2:47" s="123" customFormat="1">
      <c r="B990" s="125"/>
      <c r="D990" s="238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74"/>
      <c r="AE990" s="124"/>
      <c r="AI990" s="74"/>
      <c r="AM990" s="74"/>
      <c r="AQ990" s="74"/>
      <c r="AT990" s="124"/>
      <c r="AU990" s="124"/>
    </row>
    <row r="991" spans="2:47" s="123" customFormat="1">
      <c r="B991" s="125"/>
      <c r="D991" s="238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74"/>
      <c r="AE991" s="124"/>
      <c r="AI991" s="74"/>
      <c r="AM991" s="74"/>
      <c r="AQ991" s="74"/>
      <c r="AT991" s="124"/>
      <c r="AU991" s="124"/>
    </row>
    <row r="992" spans="2:47" s="123" customFormat="1">
      <c r="B992" s="125"/>
      <c r="D992" s="238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74"/>
      <c r="AE992" s="124"/>
      <c r="AI992" s="74"/>
      <c r="AM992" s="74"/>
      <c r="AQ992" s="74"/>
      <c r="AT992" s="124"/>
      <c r="AU992" s="124"/>
    </row>
    <row r="993" spans="2:47" s="123" customFormat="1">
      <c r="B993" s="125"/>
      <c r="D993" s="238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74"/>
      <c r="AE993" s="124"/>
      <c r="AI993" s="74"/>
      <c r="AM993" s="74"/>
      <c r="AQ993" s="74"/>
      <c r="AT993" s="124"/>
      <c r="AU993" s="124"/>
    </row>
    <row r="994" spans="2:47" s="123" customFormat="1">
      <c r="B994" s="125"/>
      <c r="D994" s="238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74"/>
      <c r="AE994" s="124"/>
      <c r="AI994" s="74"/>
      <c r="AM994" s="74"/>
      <c r="AQ994" s="74"/>
      <c r="AT994" s="124"/>
      <c r="AU994" s="124"/>
    </row>
    <row r="995" spans="2:47" s="123" customFormat="1">
      <c r="B995" s="125"/>
      <c r="D995" s="238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74"/>
      <c r="AE995" s="124"/>
      <c r="AI995" s="74"/>
      <c r="AM995" s="74"/>
      <c r="AQ995" s="74"/>
      <c r="AT995" s="124"/>
      <c r="AU995" s="124"/>
    </row>
    <row r="996" spans="2:47" s="123" customFormat="1">
      <c r="B996" s="125"/>
      <c r="D996" s="238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74"/>
      <c r="AE996" s="124"/>
      <c r="AI996" s="74"/>
      <c r="AM996" s="74"/>
      <c r="AQ996" s="74"/>
      <c r="AT996" s="124"/>
      <c r="AU996" s="124"/>
    </row>
    <row r="997" spans="2:47" s="123" customFormat="1">
      <c r="B997" s="125"/>
      <c r="D997" s="238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74"/>
      <c r="AE997" s="124"/>
      <c r="AI997" s="74"/>
      <c r="AM997" s="74"/>
      <c r="AQ997" s="74"/>
      <c r="AT997" s="124"/>
      <c r="AU997" s="124"/>
    </row>
    <row r="998" spans="2:47" s="123" customFormat="1">
      <c r="B998" s="125"/>
      <c r="D998" s="238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74"/>
      <c r="AE998" s="124"/>
      <c r="AI998" s="74"/>
      <c r="AM998" s="74"/>
      <c r="AQ998" s="74"/>
      <c r="AT998" s="124"/>
      <c r="AU998" s="124"/>
    </row>
    <row r="999" spans="2:47" s="123" customFormat="1">
      <c r="B999" s="125"/>
      <c r="D999" s="238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74"/>
      <c r="AE999" s="124"/>
      <c r="AI999" s="74"/>
      <c r="AM999" s="74"/>
      <c r="AQ999" s="74"/>
      <c r="AT999" s="124"/>
      <c r="AU999" s="124"/>
    </row>
    <row r="1000" spans="2:47" s="123" customFormat="1">
      <c r="B1000" s="125"/>
      <c r="D1000" s="238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74"/>
      <c r="AE1000" s="124"/>
      <c r="AI1000" s="74"/>
      <c r="AM1000" s="74"/>
      <c r="AQ1000" s="74"/>
      <c r="AT1000" s="124"/>
      <c r="AU1000" s="124"/>
    </row>
    <row r="1001" spans="2:47" s="123" customFormat="1">
      <c r="B1001" s="125"/>
      <c r="D1001" s="238"/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74"/>
      <c r="AE1001" s="124"/>
      <c r="AI1001" s="74"/>
      <c r="AM1001" s="74"/>
      <c r="AQ1001" s="74"/>
      <c r="AT1001" s="124"/>
      <c r="AU1001" s="124"/>
    </row>
    <row r="1002" spans="2:47" s="123" customFormat="1">
      <c r="B1002" s="125"/>
      <c r="D1002" s="238"/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74"/>
      <c r="AE1002" s="124"/>
      <c r="AI1002" s="74"/>
      <c r="AM1002" s="74"/>
      <c r="AQ1002" s="74"/>
      <c r="AT1002" s="124"/>
      <c r="AU1002" s="124"/>
    </row>
    <row r="1003" spans="2:47" s="123" customFormat="1">
      <c r="B1003" s="125"/>
      <c r="D1003" s="238"/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74"/>
      <c r="AE1003" s="124"/>
      <c r="AI1003" s="74"/>
      <c r="AM1003" s="74"/>
      <c r="AQ1003" s="74"/>
      <c r="AT1003" s="124"/>
      <c r="AU1003" s="124"/>
    </row>
    <row r="1004" spans="2:47" s="123" customFormat="1">
      <c r="B1004" s="125"/>
      <c r="D1004" s="238"/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74"/>
      <c r="AE1004" s="124"/>
      <c r="AI1004" s="74"/>
      <c r="AM1004" s="74"/>
      <c r="AQ1004" s="74"/>
      <c r="AT1004" s="124"/>
      <c r="AU1004" s="124"/>
    </row>
    <row r="1005" spans="2:47" s="123" customFormat="1">
      <c r="B1005" s="125"/>
      <c r="D1005" s="238"/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74"/>
      <c r="AE1005" s="124"/>
      <c r="AI1005" s="74"/>
      <c r="AM1005" s="74"/>
      <c r="AQ1005" s="74"/>
      <c r="AT1005" s="124"/>
      <c r="AU1005" s="124"/>
    </row>
    <row r="1006" spans="2:47" s="123" customFormat="1">
      <c r="B1006" s="125"/>
      <c r="D1006" s="238"/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74"/>
      <c r="AE1006" s="124"/>
      <c r="AI1006" s="74"/>
      <c r="AM1006" s="74"/>
      <c r="AQ1006" s="74"/>
      <c r="AT1006" s="124"/>
      <c r="AU1006" s="124"/>
    </row>
    <row r="1007" spans="2:47" s="123" customFormat="1">
      <c r="B1007" s="125"/>
      <c r="D1007" s="238"/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74"/>
      <c r="AE1007" s="124"/>
      <c r="AI1007" s="74"/>
      <c r="AM1007" s="74"/>
      <c r="AQ1007" s="74"/>
      <c r="AT1007" s="124"/>
      <c r="AU1007" s="124"/>
    </row>
    <row r="1008" spans="2:47" s="123" customFormat="1">
      <c r="B1008" s="125"/>
      <c r="D1008" s="238"/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74"/>
      <c r="AE1008" s="124"/>
      <c r="AI1008" s="74"/>
      <c r="AM1008" s="74"/>
      <c r="AQ1008" s="74"/>
      <c r="AT1008" s="124"/>
      <c r="AU1008" s="124"/>
    </row>
    <row r="1009" spans="2:47" s="123" customFormat="1">
      <c r="B1009" s="125"/>
      <c r="D1009" s="238"/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74"/>
      <c r="AE1009" s="124"/>
      <c r="AI1009" s="74"/>
      <c r="AM1009" s="74"/>
      <c r="AQ1009" s="74"/>
      <c r="AT1009" s="124"/>
      <c r="AU1009" s="124"/>
    </row>
    <row r="1010" spans="2:47" s="123" customFormat="1">
      <c r="B1010" s="125"/>
      <c r="D1010" s="238"/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74"/>
      <c r="AE1010" s="124"/>
      <c r="AI1010" s="74"/>
      <c r="AM1010" s="74"/>
      <c r="AQ1010" s="74"/>
      <c r="AT1010" s="124"/>
      <c r="AU1010" s="124"/>
    </row>
    <row r="1011" spans="2:47" s="123" customFormat="1">
      <c r="B1011" s="125"/>
      <c r="D1011" s="238"/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74"/>
      <c r="AE1011" s="124"/>
      <c r="AI1011" s="74"/>
      <c r="AM1011" s="74"/>
      <c r="AQ1011" s="74"/>
      <c r="AT1011" s="124"/>
      <c r="AU1011" s="124"/>
    </row>
    <row r="1012" spans="2:47" s="123" customFormat="1">
      <c r="B1012" s="125"/>
      <c r="D1012" s="238"/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74"/>
      <c r="AE1012" s="124"/>
      <c r="AI1012" s="74"/>
      <c r="AM1012" s="74"/>
      <c r="AQ1012" s="74"/>
      <c r="AT1012" s="124"/>
      <c r="AU1012" s="124"/>
    </row>
    <row r="1013" spans="2:47" s="123" customFormat="1">
      <c r="B1013" s="125"/>
      <c r="D1013" s="238"/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74"/>
      <c r="AE1013" s="124"/>
      <c r="AI1013" s="74"/>
      <c r="AM1013" s="74"/>
      <c r="AQ1013" s="74"/>
      <c r="AT1013" s="124"/>
      <c r="AU1013" s="124"/>
    </row>
    <row r="1014" spans="2:47" s="123" customFormat="1">
      <c r="B1014" s="125"/>
      <c r="D1014" s="238"/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74"/>
      <c r="AE1014" s="124"/>
      <c r="AI1014" s="74"/>
      <c r="AM1014" s="74"/>
      <c r="AQ1014" s="74"/>
      <c r="AT1014" s="124"/>
      <c r="AU1014" s="124"/>
    </row>
    <row r="1015" spans="2:47" s="123" customFormat="1">
      <c r="B1015" s="125"/>
      <c r="D1015" s="238"/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74"/>
      <c r="AE1015" s="124"/>
      <c r="AI1015" s="74"/>
      <c r="AM1015" s="74"/>
      <c r="AQ1015" s="74"/>
      <c r="AT1015" s="124"/>
      <c r="AU1015" s="124"/>
    </row>
    <row r="1016" spans="2:47" s="123" customFormat="1">
      <c r="B1016" s="125"/>
      <c r="D1016" s="238"/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74"/>
      <c r="AE1016" s="124"/>
      <c r="AI1016" s="74"/>
      <c r="AM1016" s="74"/>
      <c r="AQ1016" s="74"/>
      <c r="AT1016" s="124"/>
      <c r="AU1016" s="124"/>
    </row>
    <row r="1017" spans="2:47" s="123" customFormat="1">
      <c r="B1017" s="125"/>
      <c r="D1017" s="238"/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74"/>
      <c r="AE1017" s="124"/>
      <c r="AI1017" s="74"/>
      <c r="AM1017" s="74"/>
      <c r="AQ1017" s="74"/>
      <c r="AT1017" s="124"/>
      <c r="AU1017" s="124"/>
    </row>
    <row r="1018" spans="2:47" s="123" customFormat="1">
      <c r="B1018" s="125"/>
      <c r="D1018" s="238"/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74"/>
      <c r="AE1018" s="124"/>
      <c r="AI1018" s="74"/>
      <c r="AM1018" s="74"/>
      <c r="AQ1018" s="74"/>
      <c r="AT1018" s="124"/>
      <c r="AU1018" s="124"/>
    </row>
    <row r="1019" spans="2:47" s="123" customFormat="1">
      <c r="B1019" s="125"/>
      <c r="D1019" s="238"/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74"/>
      <c r="AE1019" s="124"/>
      <c r="AI1019" s="74"/>
      <c r="AM1019" s="74"/>
      <c r="AQ1019" s="74"/>
      <c r="AT1019" s="124"/>
      <c r="AU1019" s="124"/>
    </row>
    <row r="1020" spans="2:47" s="123" customFormat="1">
      <c r="B1020" s="125"/>
      <c r="D1020" s="238"/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74"/>
      <c r="AE1020" s="124"/>
      <c r="AI1020" s="74"/>
      <c r="AM1020" s="74"/>
      <c r="AQ1020" s="74"/>
      <c r="AT1020" s="124"/>
      <c r="AU1020" s="124"/>
    </row>
    <row r="1021" spans="2:47" s="123" customFormat="1">
      <c r="B1021" s="125"/>
      <c r="D1021" s="238"/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74"/>
      <c r="AE1021" s="124"/>
      <c r="AI1021" s="74"/>
      <c r="AM1021" s="74"/>
      <c r="AQ1021" s="74"/>
      <c r="AT1021" s="124"/>
      <c r="AU1021" s="124"/>
    </row>
    <row r="1022" spans="2:47" s="123" customFormat="1">
      <c r="B1022" s="125"/>
      <c r="D1022" s="238"/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74"/>
      <c r="AE1022" s="124"/>
      <c r="AI1022" s="74"/>
      <c r="AM1022" s="74"/>
      <c r="AQ1022" s="74"/>
      <c r="AT1022" s="124"/>
      <c r="AU1022" s="124"/>
    </row>
    <row r="1023" spans="2:47" s="123" customFormat="1">
      <c r="B1023" s="125"/>
      <c r="D1023" s="238"/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74"/>
      <c r="AE1023" s="124"/>
      <c r="AI1023" s="74"/>
      <c r="AM1023" s="74"/>
      <c r="AQ1023" s="74"/>
      <c r="AT1023" s="124"/>
      <c r="AU1023" s="124"/>
    </row>
    <row r="1024" spans="2:47" s="123" customFormat="1">
      <c r="B1024" s="125"/>
      <c r="D1024" s="238"/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74"/>
      <c r="AE1024" s="124"/>
      <c r="AI1024" s="74"/>
      <c r="AM1024" s="74"/>
      <c r="AQ1024" s="74"/>
      <c r="AT1024" s="124"/>
      <c r="AU1024" s="124"/>
    </row>
    <row r="1025" spans="2:47" s="123" customFormat="1">
      <c r="B1025" s="125"/>
      <c r="D1025" s="238"/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74"/>
      <c r="AE1025" s="124"/>
      <c r="AI1025" s="74"/>
      <c r="AM1025" s="74"/>
      <c r="AQ1025" s="74"/>
      <c r="AT1025" s="124"/>
      <c r="AU1025" s="124"/>
    </row>
    <row r="1026" spans="2:47" s="123" customFormat="1">
      <c r="B1026" s="125"/>
      <c r="D1026" s="238"/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74"/>
      <c r="AE1026" s="124"/>
      <c r="AI1026" s="74"/>
      <c r="AM1026" s="74"/>
      <c r="AQ1026" s="74"/>
      <c r="AT1026" s="124"/>
      <c r="AU1026" s="124"/>
    </row>
    <row r="1027" spans="2:47" s="123" customFormat="1">
      <c r="B1027" s="125"/>
      <c r="D1027" s="238"/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74"/>
      <c r="AE1027" s="124"/>
      <c r="AI1027" s="74"/>
      <c r="AM1027" s="74"/>
      <c r="AQ1027" s="74"/>
      <c r="AT1027" s="124"/>
      <c r="AU1027" s="124"/>
    </row>
    <row r="1028" spans="2:47" s="123" customFormat="1">
      <c r="B1028" s="125"/>
      <c r="D1028" s="238"/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74"/>
      <c r="AE1028" s="124"/>
      <c r="AI1028" s="74"/>
      <c r="AM1028" s="74"/>
      <c r="AQ1028" s="74"/>
      <c r="AT1028" s="124"/>
      <c r="AU1028" s="124"/>
    </row>
    <row r="1029" spans="2:47" s="123" customFormat="1">
      <c r="B1029" s="125"/>
      <c r="D1029" s="238"/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74"/>
      <c r="AE1029" s="124"/>
      <c r="AI1029" s="74"/>
      <c r="AM1029" s="74"/>
      <c r="AQ1029" s="74"/>
      <c r="AT1029" s="124"/>
      <c r="AU1029" s="124"/>
    </row>
    <row r="1030" spans="2:47" s="123" customFormat="1">
      <c r="B1030" s="125"/>
      <c r="D1030" s="238"/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74"/>
      <c r="AE1030" s="124"/>
      <c r="AI1030" s="74"/>
      <c r="AM1030" s="74"/>
      <c r="AQ1030" s="74"/>
      <c r="AT1030" s="124"/>
      <c r="AU1030" s="124"/>
    </row>
    <row r="1031" spans="2:47" s="123" customFormat="1">
      <c r="B1031" s="125"/>
      <c r="D1031" s="238"/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74"/>
      <c r="AE1031" s="124"/>
      <c r="AI1031" s="74"/>
      <c r="AM1031" s="74"/>
      <c r="AQ1031" s="74"/>
      <c r="AT1031" s="124"/>
      <c r="AU1031" s="124"/>
    </row>
    <row r="1032" spans="2:47" s="123" customFormat="1">
      <c r="B1032" s="125"/>
      <c r="D1032" s="238"/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74"/>
      <c r="AE1032" s="124"/>
      <c r="AI1032" s="74"/>
      <c r="AM1032" s="74"/>
      <c r="AQ1032" s="74"/>
      <c r="AT1032" s="124"/>
      <c r="AU1032" s="124"/>
    </row>
    <row r="1033" spans="2:47" s="123" customFormat="1">
      <c r="B1033" s="125"/>
      <c r="D1033" s="238"/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74"/>
      <c r="AE1033" s="124"/>
      <c r="AI1033" s="74"/>
      <c r="AM1033" s="74"/>
      <c r="AQ1033" s="74"/>
      <c r="AT1033" s="124"/>
      <c r="AU1033" s="124"/>
    </row>
    <row r="1034" spans="2:47" s="123" customFormat="1">
      <c r="B1034" s="125"/>
      <c r="D1034" s="238"/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74"/>
      <c r="AE1034" s="124"/>
      <c r="AI1034" s="74"/>
      <c r="AM1034" s="74"/>
      <c r="AQ1034" s="74"/>
      <c r="AT1034" s="124"/>
      <c r="AU1034" s="124"/>
    </row>
    <row r="1035" spans="2:47" s="123" customFormat="1">
      <c r="B1035" s="125"/>
      <c r="D1035" s="238"/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74"/>
      <c r="AE1035" s="124"/>
      <c r="AI1035" s="74"/>
      <c r="AM1035" s="74"/>
      <c r="AQ1035" s="74"/>
      <c r="AT1035" s="124"/>
      <c r="AU1035" s="124"/>
    </row>
    <row r="1036" spans="2:47" s="123" customFormat="1">
      <c r="B1036" s="125"/>
      <c r="D1036" s="238"/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74"/>
      <c r="AE1036" s="124"/>
      <c r="AI1036" s="74"/>
      <c r="AM1036" s="74"/>
      <c r="AQ1036" s="74"/>
      <c r="AT1036" s="124"/>
      <c r="AU1036" s="124"/>
    </row>
    <row r="1037" spans="2:47" s="123" customFormat="1">
      <c r="B1037" s="125"/>
      <c r="D1037" s="238"/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74"/>
      <c r="AE1037" s="124"/>
      <c r="AI1037" s="74"/>
      <c r="AM1037" s="74"/>
      <c r="AQ1037" s="74"/>
      <c r="AT1037" s="124"/>
      <c r="AU1037" s="124"/>
    </row>
    <row r="1038" spans="2:47" s="123" customFormat="1">
      <c r="B1038" s="125"/>
      <c r="D1038" s="238"/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74"/>
      <c r="AE1038" s="124"/>
      <c r="AI1038" s="74"/>
      <c r="AM1038" s="74"/>
      <c r="AQ1038" s="74"/>
      <c r="AT1038" s="124"/>
      <c r="AU1038" s="124"/>
    </row>
    <row r="1039" spans="2:47" s="123" customFormat="1">
      <c r="B1039" s="125"/>
      <c r="D1039" s="238"/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74"/>
      <c r="AE1039" s="124"/>
      <c r="AI1039" s="74"/>
      <c r="AM1039" s="74"/>
      <c r="AQ1039" s="74"/>
      <c r="AT1039" s="124"/>
      <c r="AU1039" s="124"/>
    </row>
    <row r="1040" spans="2:47" s="123" customFormat="1">
      <c r="B1040" s="125"/>
      <c r="D1040" s="238"/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74"/>
      <c r="AE1040" s="124"/>
      <c r="AI1040" s="74"/>
      <c r="AM1040" s="74"/>
      <c r="AQ1040" s="74"/>
      <c r="AT1040" s="124"/>
      <c r="AU1040" s="124"/>
    </row>
    <row r="1041" spans="2:47" s="123" customFormat="1">
      <c r="B1041" s="125"/>
      <c r="D1041" s="238"/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74"/>
      <c r="AE1041" s="124"/>
      <c r="AI1041" s="74"/>
      <c r="AM1041" s="74"/>
      <c r="AQ1041" s="74"/>
      <c r="AT1041" s="124"/>
      <c r="AU1041" s="124"/>
    </row>
    <row r="1042" spans="2:47" s="123" customFormat="1">
      <c r="B1042" s="125"/>
      <c r="D1042" s="238"/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74"/>
      <c r="AE1042" s="124"/>
      <c r="AI1042" s="74"/>
      <c r="AM1042" s="74"/>
      <c r="AQ1042" s="74"/>
      <c r="AT1042" s="124"/>
      <c r="AU1042" s="124"/>
    </row>
    <row r="1043" spans="2:47" s="123" customFormat="1">
      <c r="B1043" s="125"/>
      <c r="D1043" s="238"/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74"/>
      <c r="AE1043" s="124"/>
      <c r="AI1043" s="74"/>
      <c r="AM1043" s="74"/>
      <c r="AQ1043" s="74"/>
      <c r="AT1043" s="124"/>
      <c r="AU1043" s="124"/>
    </row>
    <row r="1044" spans="2:47" s="123" customFormat="1">
      <c r="B1044" s="125"/>
      <c r="D1044" s="238"/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74"/>
      <c r="AE1044" s="124"/>
      <c r="AI1044" s="74"/>
      <c r="AM1044" s="74"/>
      <c r="AQ1044" s="74"/>
      <c r="AT1044" s="124"/>
      <c r="AU1044" s="124"/>
    </row>
    <row r="1045" spans="2:47" s="123" customFormat="1">
      <c r="B1045" s="125"/>
      <c r="D1045" s="238"/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74"/>
      <c r="AE1045" s="124"/>
      <c r="AI1045" s="74"/>
      <c r="AM1045" s="74"/>
      <c r="AQ1045" s="74"/>
      <c r="AT1045" s="124"/>
      <c r="AU1045" s="124"/>
    </row>
    <row r="1046" spans="2:47" s="123" customFormat="1">
      <c r="B1046" s="125"/>
      <c r="D1046" s="238"/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74"/>
      <c r="AE1046" s="124"/>
      <c r="AI1046" s="74"/>
      <c r="AM1046" s="74"/>
      <c r="AQ1046" s="74"/>
      <c r="AT1046" s="124"/>
      <c r="AU1046" s="124"/>
    </row>
    <row r="1047" spans="2:47" s="123" customFormat="1">
      <c r="B1047" s="125"/>
      <c r="D1047" s="238"/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74"/>
      <c r="AE1047" s="124"/>
      <c r="AI1047" s="74"/>
      <c r="AM1047" s="74"/>
      <c r="AQ1047" s="74"/>
      <c r="AT1047" s="124"/>
      <c r="AU1047" s="124"/>
    </row>
    <row r="1048" spans="2:47" s="123" customFormat="1">
      <c r="B1048" s="125"/>
      <c r="D1048" s="238"/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74"/>
      <c r="AE1048" s="124"/>
      <c r="AI1048" s="74"/>
      <c r="AM1048" s="74"/>
      <c r="AQ1048" s="74"/>
      <c r="AT1048" s="124"/>
      <c r="AU1048" s="124"/>
    </row>
    <row r="1049" spans="2:47" s="123" customFormat="1">
      <c r="B1049" s="125"/>
      <c r="D1049" s="238"/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74"/>
      <c r="AE1049" s="124"/>
      <c r="AI1049" s="74"/>
      <c r="AM1049" s="74"/>
      <c r="AQ1049" s="74"/>
      <c r="AT1049" s="124"/>
      <c r="AU1049" s="124"/>
    </row>
    <row r="1050" spans="2:47" s="123" customFormat="1">
      <c r="B1050" s="125"/>
      <c r="D1050" s="238"/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74"/>
      <c r="AE1050" s="124"/>
      <c r="AI1050" s="74"/>
      <c r="AM1050" s="74"/>
      <c r="AQ1050" s="74"/>
      <c r="AT1050" s="124"/>
      <c r="AU1050" s="124"/>
    </row>
    <row r="1051" spans="2:47" s="123" customFormat="1">
      <c r="B1051" s="125"/>
      <c r="D1051" s="238"/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74"/>
      <c r="AE1051" s="124"/>
      <c r="AI1051" s="74"/>
      <c r="AM1051" s="74"/>
      <c r="AQ1051" s="74"/>
      <c r="AT1051" s="124"/>
      <c r="AU1051" s="124"/>
    </row>
    <row r="1052" spans="2:47" s="123" customFormat="1">
      <c r="B1052" s="125"/>
      <c r="D1052" s="238"/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74"/>
      <c r="AE1052" s="124"/>
      <c r="AI1052" s="74"/>
      <c r="AM1052" s="74"/>
      <c r="AQ1052" s="74"/>
      <c r="AT1052" s="124"/>
      <c r="AU1052" s="124"/>
    </row>
    <row r="1053" spans="2:47" s="123" customFormat="1">
      <c r="B1053" s="125"/>
      <c r="D1053" s="238"/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74"/>
      <c r="AE1053" s="124"/>
      <c r="AI1053" s="74"/>
      <c r="AM1053" s="74"/>
      <c r="AQ1053" s="74"/>
      <c r="AT1053" s="124"/>
      <c r="AU1053" s="124"/>
    </row>
    <row r="1054" spans="2:47" s="123" customFormat="1">
      <c r="B1054" s="125"/>
      <c r="D1054" s="238"/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74"/>
      <c r="AE1054" s="124"/>
      <c r="AI1054" s="74"/>
      <c r="AM1054" s="74"/>
      <c r="AQ1054" s="74"/>
      <c r="AT1054" s="124"/>
      <c r="AU1054" s="124"/>
    </row>
    <row r="1055" spans="2:47" s="123" customFormat="1">
      <c r="B1055" s="125"/>
      <c r="D1055" s="238"/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74"/>
      <c r="AE1055" s="124"/>
      <c r="AI1055" s="74"/>
      <c r="AM1055" s="74"/>
      <c r="AQ1055" s="74"/>
      <c r="AT1055" s="124"/>
      <c r="AU1055" s="124"/>
    </row>
    <row r="1056" spans="2:47" s="123" customFormat="1">
      <c r="B1056" s="125"/>
      <c r="D1056" s="238"/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74"/>
      <c r="AE1056" s="124"/>
      <c r="AI1056" s="74"/>
      <c r="AM1056" s="74"/>
      <c r="AQ1056" s="74"/>
      <c r="AT1056" s="124"/>
      <c r="AU1056" s="124"/>
    </row>
    <row r="1057" spans="2:47" s="123" customFormat="1">
      <c r="B1057" s="125"/>
      <c r="D1057" s="238"/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74"/>
      <c r="AE1057" s="124"/>
      <c r="AI1057" s="74"/>
      <c r="AM1057" s="74"/>
      <c r="AQ1057" s="74"/>
      <c r="AT1057" s="124"/>
      <c r="AU1057" s="124"/>
    </row>
    <row r="1058" spans="2:47" s="123" customFormat="1">
      <c r="B1058" s="125"/>
      <c r="D1058" s="238"/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74"/>
      <c r="AE1058" s="124"/>
      <c r="AI1058" s="74"/>
      <c r="AM1058" s="74"/>
      <c r="AQ1058" s="74"/>
      <c r="AT1058" s="124"/>
      <c r="AU1058" s="124"/>
    </row>
    <row r="1059" spans="2:47" s="123" customFormat="1">
      <c r="B1059" s="125"/>
      <c r="D1059" s="238"/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74"/>
      <c r="AE1059" s="124"/>
      <c r="AI1059" s="74"/>
      <c r="AM1059" s="74"/>
      <c r="AQ1059" s="74"/>
      <c r="AT1059" s="124"/>
      <c r="AU1059" s="124"/>
    </row>
    <row r="1060" spans="2:47" s="123" customFormat="1">
      <c r="B1060" s="125"/>
      <c r="D1060" s="238"/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74"/>
      <c r="AE1060" s="124"/>
      <c r="AI1060" s="74"/>
      <c r="AM1060" s="74"/>
      <c r="AQ1060" s="74"/>
      <c r="AT1060" s="124"/>
      <c r="AU1060" s="124"/>
    </row>
    <row r="1061" spans="2:47" s="123" customFormat="1">
      <c r="B1061" s="125"/>
      <c r="D1061" s="238"/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74"/>
      <c r="AE1061" s="124"/>
      <c r="AI1061" s="74"/>
      <c r="AM1061" s="74"/>
      <c r="AQ1061" s="74"/>
      <c r="AT1061" s="124"/>
      <c r="AU1061" s="124"/>
    </row>
    <row r="1062" spans="2:47" s="123" customFormat="1">
      <c r="B1062" s="125"/>
      <c r="D1062" s="238"/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74"/>
      <c r="AE1062" s="124"/>
      <c r="AI1062" s="74"/>
      <c r="AM1062" s="74"/>
      <c r="AQ1062" s="74"/>
      <c r="AT1062" s="124"/>
      <c r="AU1062" s="124"/>
    </row>
    <row r="1063" spans="2:47" s="123" customFormat="1">
      <c r="B1063" s="125"/>
      <c r="D1063" s="238"/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74"/>
      <c r="AE1063" s="124"/>
      <c r="AI1063" s="74"/>
      <c r="AM1063" s="74"/>
      <c r="AQ1063" s="74"/>
      <c r="AT1063" s="124"/>
      <c r="AU1063" s="124"/>
    </row>
    <row r="1064" spans="2:47" s="123" customFormat="1">
      <c r="B1064" s="125"/>
      <c r="D1064" s="238"/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74"/>
      <c r="AE1064" s="124"/>
      <c r="AI1064" s="74"/>
      <c r="AM1064" s="74"/>
      <c r="AQ1064" s="74"/>
      <c r="AT1064" s="124"/>
      <c r="AU1064" s="124"/>
    </row>
    <row r="1065" spans="2:47" s="123" customFormat="1">
      <c r="B1065" s="125"/>
      <c r="D1065" s="238"/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74"/>
      <c r="AE1065" s="124"/>
      <c r="AI1065" s="74"/>
      <c r="AM1065" s="74"/>
      <c r="AQ1065" s="74"/>
      <c r="AT1065" s="124"/>
      <c r="AU1065" s="124"/>
    </row>
    <row r="1066" spans="2:47" s="123" customFormat="1">
      <c r="B1066" s="125"/>
      <c r="D1066" s="238"/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74"/>
      <c r="AE1066" s="124"/>
      <c r="AI1066" s="74"/>
      <c r="AM1066" s="74"/>
      <c r="AQ1066" s="74"/>
      <c r="AT1066" s="124"/>
      <c r="AU1066" s="124"/>
    </row>
    <row r="1067" spans="2:47" s="123" customFormat="1">
      <c r="B1067" s="125"/>
      <c r="D1067" s="238"/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74"/>
      <c r="AE1067" s="124"/>
      <c r="AI1067" s="74"/>
      <c r="AM1067" s="74"/>
      <c r="AQ1067" s="74"/>
      <c r="AT1067" s="124"/>
      <c r="AU1067" s="124"/>
    </row>
    <row r="1068" spans="2:47" s="123" customFormat="1">
      <c r="B1068" s="125"/>
      <c r="D1068" s="238"/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74"/>
      <c r="AE1068" s="124"/>
      <c r="AI1068" s="74"/>
      <c r="AM1068" s="74"/>
      <c r="AQ1068" s="74"/>
      <c r="AT1068" s="124"/>
      <c r="AU1068" s="124"/>
    </row>
    <row r="1069" spans="2:47" s="123" customFormat="1">
      <c r="B1069" s="125"/>
      <c r="D1069" s="238"/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74"/>
      <c r="AE1069" s="124"/>
      <c r="AI1069" s="74"/>
      <c r="AM1069" s="74"/>
      <c r="AQ1069" s="74"/>
      <c r="AT1069" s="124"/>
      <c r="AU1069" s="124"/>
    </row>
    <row r="1070" spans="2:47" s="123" customFormat="1">
      <c r="B1070" s="125"/>
      <c r="D1070" s="238"/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74"/>
      <c r="AE1070" s="124"/>
      <c r="AI1070" s="74"/>
      <c r="AM1070" s="74"/>
      <c r="AQ1070" s="74"/>
      <c r="AT1070" s="124"/>
      <c r="AU1070" s="124"/>
    </row>
    <row r="1071" spans="2:47" s="123" customFormat="1">
      <c r="B1071" s="125"/>
      <c r="D1071" s="238"/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74"/>
      <c r="AE1071" s="124"/>
      <c r="AI1071" s="74"/>
      <c r="AM1071" s="74"/>
      <c r="AQ1071" s="74"/>
      <c r="AT1071" s="124"/>
      <c r="AU1071" s="124"/>
    </row>
    <row r="1072" spans="2:47" s="123" customFormat="1">
      <c r="B1072" s="125"/>
      <c r="D1072" s="238"/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74"/>
      <c r="AE1072" s="124"/>
      <c r="AI1072" s="74"/>
      <c r="AM1072" s="74"/>
      <c r="AQ1072" s="74"/>
      <c r="AT1072" s="124"/>
      <c r="AU1072" s="124"/>
    </row>
    <row r="1073" spans="2:47" s="123" customFormat="1">
      <c r="B1073" s="125"/>
      <c r="D1073" s="238"/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74"/>
      <c r="AE1073" s="124"/>
      <c r="AI1073" s="74"/>
      <c r="AM1073" s="74"/>
      <c r="AQ1073" s="74"/>
      <c r="AT1073" s="124"/>
      <c r="AU1073" s="124"/>
    </row>
    <row r="1074" spans="2:47" s="123" customFormat="1">
      <c r="B1074" s="125"/>
      <c r="D1074" s="238"/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74"/>
      <c r="AE1074" s="124"/>
      <c r="AI1074" s="74"/>
      <c r="AM1074" s="74"/>
      <c r="AQ1074" s="74"/>
      <c r="AT1074" s="124"/>
      <c r="AU1074" s="124"/>
    </row>
    <row r="1075" spans="2:47" s="123" customFormat="1">
      <c r="B1075" s="125"/>
      <c r="D1075" s="238"/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74"/>
      <c r="AE1075" s="124"/>
      <c r="AI1075" s="74"/>
      <c r="AM1075" s="74"/>
      <c r="AQ1075" s="74"/>
      <c r="AT1075" s="124"/>
      <c r="AU1075" s="124"/>
    </row>
    <row r="1076" spans="2:47" s="123" customFormat="1">
      <c r="B1076" s="125"/>
      <c r="D1076" s="238"/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74"/>
      <c r="AE1076" s="124"/>
      <c r="AI1076" s="74"/>
      <c r="AM1076" s="74"/>
      <c r="AQ1076" s="74"/>
      <c r="AT1076" s="124"/>
      <c r="AU1076" s="124"/>
    </row>
    <row r="1077" spans="2:47" s="123" customFormat="1">
      <c r="B1077" s="125"/>
      <c r="D1077" s="238"/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74"/>
      <c r="AE1077" s="124"/>
      <c r="AI1077" s="74"/>
      <c r="AM1077" s="74"/>
      <c r="AQ1077" s="74"/>
      <c r="AT1077" s="124"/>
      <c r="AU1077" s="124"/>
    </row>
    <row r="1078" spans="2:47" s="123" customFormat="1">
      <c r="B1078" s="125"/>
      <c r="D1078" s="238"/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74"/>
      <c r="AE1078" s="124"/>
      <c r="AI1078" s="74"/>
      <c r="AM1078" s="74"/>
      <c r="AQ1078" s="74"/>
      <c r="AT1078" s="124"/>
      <c r="AU1078" s="124"/>
    </row>
    <row r="1079" spans="2:47" s="123" customFormat="1">
      <c r="B1079" s="125"/>
      <c r="D1079" s="238"/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74"/>
      <c r="AE1079" s="124"/>
      <c r="AI1079" s="74"/>
      <c r="AM1079" s="74"/>
      <c r="AQ1079" s="74"/>
      <c r="AT1079" s="124"/>
      <c r="AU1079" s="124"/>
    </row>
    <row r="1080" spans="2:47" s="123" customFormat="1">
      <c r="B1080" s="125"/>
      <c r="D1080" s="238"/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74"/>
      <c r="AE1080" s="124"/>
      <c r="AI1080" s="74"/>
      <c r="AM1080" s="74"/>
      <c r="AQ1080" s="74"/>
      <c r="AT1080" s="124"/>
      <c r="AU1080" s="124"/>
    </row>
    <row r="1081" spans="2:47" s="123" customFormat="1">
      <c r="B1081" s="125"/>
      <c r="D1081" s="238"/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74"/>
      <c r="AE1081" s="124"/>
      <c r="AI1081" s="74"/>
      <c r="AM1081" s="74"/>
      <c r="AQ1081" s="74"/>
      <c r="AT1081" s="124"/>
      <c r="AU1081" s="124"/>
    </row>
    <row r="1082" spans="2:47" s="123" customFormat="1">
      <c r="B1082" s="125"/>
      <c r="D1082" s="238"/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74"/>
      <c r="AE1082" s="124"/>
      <c r="AI1082" s="74"/>
      <c r="AM1082" s="74"/>
      <c r="AQ1082" s="74"/>
      <c r="AT1082" s="124"/>
      <c r="AU1082" s="124"/>
    </row>
    <row r="1083" spans="2:47" s="123" customFormat="1">
      <c r="B1083" s="125"/>
      <c r="D1083" s="238"/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74"/>
      <c r="AE1083" s="124"/>
      <c r="AI1083" s="74"/>
      <c r="AM1083" s="74"/>
      <c r="AQ1083" s="74"/>
      <c r="AT1083" s="124"/>
      <c r="AU1083" s="124"/>
    </row>
    <row r="1084" spans="2:47" s="123" customFormat="1">
      <c r="B1084" s="125"/>
      <c r="D1084" s="238"/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74"/>
      <c r="AE1084" s="124"/>
      <c r="AI1084" s="74"/>
      <c r="AM1084" s="74"/>
      <c r="AQ1084" s="74"/>
      <c r="AT1084" s="124"/>
      <c r="AU1084" s="124"/>
    </row>
    <row r="1085" spans="2:47" s="123" customFormat="1">
      <c r="B1085" s="125"/>
      <c r="D1085" s="238"/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74"/>
      <c r="AE1085" s="124"/>
      <c r="AI1085" s="74"/>
      <c r="AM1085" s="74"/>
      <c r="AQ1085" s="74"/>
      <c r="AT1085" s="124"/>
      <c r="AU1085" s="124"/>
    </row>
    <row r="1086" spans="2:47" s="123" customFormat="1">
      <c r="B1086" s="125"/>
      <c r="D1086" s="238"/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74"/>
      <c r="AE1086" s="124"/>
      <c r="AI1086" s="74"/>
      <c r="AM1086" s="74"/>
      <c r="AQ1086" s="74"/>
      <c r="AT1086" s="124"/>
      <c r="AU1086" s="124"/>
    </row>
    <row r="1087" spans="2:47" s="123" customFormat="1">
      <c r="B1087" s="125"/>
      <c r="D1087" s="238"/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74"/>
      <c r="AE1087" s="124"/>
      <c r="AI1087" s="74"/>
      <c r="AM1087" s="74"/>
      <c r="AQ1087" s="74"/>
      <c r="AT1087" s="124"/>
      <c r="AU1087" s="124"/>
    </row>
    <row r="1088" spans="2:47" s="123" customFormat="1">
      <c r="B1088" s="125"/>
      <c r="D1088" s="238"/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74"/>
      <c r="AE1088" s="124"/>
      <c r="AI1088" s="74"/>
      <c r="AM1088" s="74"/>
      <c r="AQ1088" s="74"/>
      <c r="AT1088" s="124"/>
      <c r="AU1088" s="124"/>
    </row>
    <row r="1089" spans="2:47" s="123" customFormat="1">
      <c r="B1089" s="125"/>
      <c r="D1089" s="238"/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74"/>
      <c r="AE1089" s="124"/>
      <c r="AI1089" s="74"/>
      <c r="AM1089" s="74"/>
      <c r="AQ1089" s="74"/>
      <c r="AT1089" s="124"/>
      <c r="AU1089" s="124"/>
    </row>
    <row r="1090" spans="2:47" s="123" customFormat="1">
      <c r="B1090" s="125"/>
      <c r="D1090" s="238"/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74"/>
      <c r="AE1090" s="124"/>
      <c r="AI1090" s="74"/>
      <c r="AM1090" s="74"/>
      <c r="AQ1090" s="74"/>
      <c r="AT1090" s="124"/>
      <c r="AU1090" s="124"/>
    </row>
    <row r="1091" spans="2:47" s="123" customFormat="1">
      <c r="B1091" s="125"/>
      <c r="D1091" s="238"/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74"/>
      <c r="AE1091" s="124"/>
      <c r="AI1091" s="74"/>
      <c r="AM1091" s="74"/>
      <c r="AQ1091" s="74"/>
      <c r="AT1091" s="124"/>
      <c r="AU1091" s="124"/>
    </row>
    <row r="1092" spans="2:47" s="123" customFormat="1">
      <c r="B1092" s="125"/>
      <c r="D1092" s="238"/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74"/>
      <c r="AE1092" s="124"/>
      <c r="AI1092" s="74"/>
      <c r="AM1092" s="74"/>
      <c r="AQ1092" s="74"/>
      <c r="AT1092" s="124"/>
      <c r="AU1092" s="124"/>
    </row>
    <row r="1093" spans="2:47" s="123" customFormat="1">
      <c r="B1093" s="125"/>
      <c r="D1093" s="238"/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74"/>
      <c r="AE1093" s="124"/>
      <c r="AI1093" s="74"/>
      <c r="AM1093" s="74"/>
      <c r="AQ1093" s="74"/>
      <c r="AT1093" s="124"/>
      <c r="AU1093" s="124"/>
    </row>
    <row r="1094" spans="2:47" s="123" customFormat="1">
      <c r="B1094" s="125"/>
      <c r="D1094" s="238"/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74"/>
      <c r="AE1094" s="124"/>
      <c r="AI1094" s="74"/>
      <c r="AM1094" s="74"/>
      <c r="AQ1094" s="74"/>
      <c r="AT1094" s="124"/>
      <c r="AU1094" s="124"/>
    </row>
    <row r="1095" spans="2:47" s="123" customFormat="1">
      <c r="B1095" s="125"/>
      <c r="D1095" s="238"/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74"/>
      <c r="AE1095" s="124"/>
      <c r="AI1095" s="74"/>
      <c r="AM1095" s="74"/>
      <c r="AQ1095" s="74"/>
      <c r="AT1095" s="124"/>
      <c r="AU1095" s="124"/>
    </row>
    <row r="1096" spans="2:47" s="123" customFormat="1">
      <c r="B1096" s="125"/>
      <c r="D1096" s="238"/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74"/>
      <c r="AE1096" s="124"/>
      <c r="AI1096" s="74"/>
      <c r="AM1096" s="74"/>
      <c r="AQ1096" s="74"/>
      <c r="AT1096" s="124"/>
      <c r="AU1096" s="124"/>
    </row>
    <row r="1097" spans="2:47" s="123" customFormat="1">
      <c r="B1097" s="125"/>
      <c r="D1097" s="238"/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74"/>
      <c r="AE1097" s="124"/>
      <c r="AI1097" s="74"/>
      <c r="AM1097" s="74"/>
      <c r="AQ1097" s="74"/>
      <c r="AT1097" s="124"/>
      <c r="AU1097" s="124"/>
    </row>
    <row r="1098" spans="2:47" s="123" customFormat="1">
      <c r="B1098" s="125"/>
      <c r="D1098" s="238"/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74"/>
      <c r="AE1098" s="124"/>
      <c r="AI1098" s="74"/>
      <c r="AM1098" s="74"/>
      <c r="AQ1098" s="74"/>
      <c r="AT1098" s="124"/>
      <c r="AU1098" s="124"/>
    </row>
    <row r="1099" spans="2:47" s="123" customFormat="1">
      <c r="B1099" s="125"/>
      <c r="D1099" s="238"/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74"/>
      <c r="AE1099" s="124"/>
      <c r="AI1099" s="74"/>
      <c r="AM1099" s="74"/>
      <c r="AQ1099" s="74"/>
      <c r="AT1099" s="124"/>
      <c r="AU1099" s="124"/>
    </row>
    <row r="1100" spans="2:47" s="123" customFormat="1">
      <c r="B1100" s="125"/>
      <c r="D1100" s="238"/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74"/>
      <c r="AE1100" s="124"/>
      <c r="AI1100" s="74"/>
      <c r="AM1100" s="74"/>
      <c r="AQ1100" s="74"/>
      <c r="AT1100" s="124"/>
      <c r="AU1100" s="124"/>
    </row>
    <row r="1101" spans="2:47" s="123" customFormat="1">
      <c r="B1101" s="125"/>
      <c r="D1101" s="238"/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74"/>
      <c r="AE1101" s="124"/>
      <c r="AI1101" s="74"/>
      <c r="AM1101" s="74"/>
      <c r="AQ1101" s="74"/>
      <c r="AT1101" s="124"/>
      <c r="AU1101" s="124"/>
    </row>
    <row r="1102" spans="2:47" s="123" customFormat="1">
      <c r="B1102" s="125"/>
      <c r="D1102" s="238"/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74"/>
      <c r="AE1102" s="124"/>
      <c r="AI1102" s="74"/>
      <c r="AM1102" s="74"/>
      <c r="AQ1102" s="74"/>
      <c r="AT1102" s="124"/>
      <c r="AU1102" s="124"/>
    </row>
    <row r="1103" spans="2:47" s="123" customFormat="1">
      <c r="B1103" s="125"/>
      <c r="D1103" s="238"/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74"/>
      <c r="AE1103" s="124"/>
      <c r="AI1103" s="74"/>
      <c r="AM1103" s="74"/>
      <c r="AQ1103" s="74"/>
      <c r="AT1103" s="124"/>
      <c r="AU1103" s="124"/>
    </row>
    <row r="1104" spans="2:47" s="123" customFormat="1">
      <c r="B1104" s="125"/>
      <c r="D1104" s="238"/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74"/>
      <c r="AE1104" s="124"/>
      <c r="AI1104" s="74"/>
      <c r="AM1104" s="74"/>
      <c r="AQ1104" s="74"/>
      <c r="AT1104" s="124"/>
      <c r="AU1104" s="124"/>
    </row>
    <row r="1105" spans="2:47" s="123" customFormat="1">
      <c r="B1105" s="125"/>
      <c r="D1105" s="238"/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74"/>
      <c r="AE1105" s="124"/>
      <c r="AI1105" s="74"/>
      <c r="AM1105" s="74"/>
      <c r="AQ1105" s="74"/>
      <c r="AT1105" s="124"/>
      <c r="AU1105" s="124"/>
    </row>
    <row r="1106" spans="2:47" s="123" customFormat="1">
      <c r="B1106" s="125"/>
      <c r="D1106" s="238"/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74"/>
      <c r="AE1106" s="124"/>
      <c r="AI1106" s="74"/>
      <c r="AM1106" s="74"/>
      <c r="AQ1106" s="74"/>
      <c r="AT1106" s="124"/>
      <c r="AU1106" s="124"/>
    </row>
    <row r="1107" spans="2:47" s="123" customFormat="1">
      <c r="B1107" s="125"/>
      <c r="D1107" s="238"/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74"/>
      <c r="AE1107" s="124"/>
      <c r="AI1107" s="74"/>
      <c r="AM1107" s="74"/>
      <c r="AQ1107" s="74"/>
      <c r="AT1107" s="124"/>
      <c r="AU1107" s="124"/>
    </row>
    <row r="1108" spans="2:47" s="123" customFormat="1">
      <c r="B1108" s="125"/>
      <c r="D1108" s="238"/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74"/>
      <c r="AE1108" s="124"/>
      <c r="AI1108" s="74"/>
      <c r="AM1108" s="74"/>
      <c r="AQ1108" s="74"/>
      <c r="AT1108" s="124"/>
      <c r="AU1108" s="124"/>
    </row>
    <row r="1109" spans="2:47" s="123" customFormat="1">
      <c r="B1109" s="125"/>
      <c r="D1109" s="238"/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74"/>
      <c r="AE1109" s="124"/>
      <c r="AI1109" s="74"/>
      <c r="AM1109" s="74"/>
      <c r="AQ1109" s="74"/>
      <c r="AT1109" s="124"/>
      <c r="AU1109" s="124"/>
    </row>
    <row r="1110" spans="2:47" s="123" customFormat="1">
      <c r="B1110" s="125"/>
      <c r="D1110" s="238"/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74"/>
      <c r="AE1110" s="124"/>
      <c r="AI1110" s="74"/>
      <c r="AM1110" s="74"/>
      <c r="AQ1110" s="74"/>
      <c r="AT1110" s="124"/>
      <c r="AU1110" s="124"/>
    </row>
    <row r="1111" spans="2:47" s="123" customFormat="1">
      <c r="B1111" s="125"/>
      <c r="D1111" s="238"/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74"/>
      <c r="AE1111" s="124"/>
      <c r="AI1111" s="74"/>
      <c r="AM1111" s="74"/>
      <c r="AQ1111" s="74"/>
      <c r="AT1111" s="124"/>
      <c r="AU1111" s="124"/>
    </row>
    <row r="1112" spans="2:47" s="123" customFormat="1">
      <c r="B1112" s="125"/>
      <c r="D1112" s="238"/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74"/>
      <c r="AE1112" s="124"/>
      <c r="AI1112" s="74"/>
      <c r="AM1112" s="74"/>
      <c r="AQ1112" s="74"/>
      <c r="AT1112" s="124"/>
      <c r="AU1112" s="124"/>
    </row>
    <row r="1113" spans="2:47" s="123" customFormat="1">
      <c r="B1113" s="125"/>
      <c r="D1113" s="238"/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74"/>
      <c r="AE1113" s="124"/>
      <c r="AI1113" s="74"/>
      <c r="AM1113" s="74"/>
      <c r="AQ1113" s="74"/>
      <c r="AT1113" s="124"/>
      <c r="AU1113" s="124"/>
    </row>
    <row r="1114" spans="2:47" s="123" customFormat="1">
      <c r="B1114" s="125"/>
      <c r="D1114" s="238"/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74"/>
      <c r="AE1114" s="124"/>
      <c r="AI1114" s="74"/>
      <c r="AM1114" s="74"/>
      <c r="AQ1114" s="74"/>
      <c r="AT1114" s="124"/>
      <c r="AU1114" s="124"/>
    </row>
    <row r="1115" spans="2:47" s="123" customFormat="1">
      <c r="B1115" s="125"/>
      <c r="D1115" s="238"/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74"/>
      <c r="AE1115" s="124"/>
      <c r="AI1115" s="74"/>
      <c r="AM1115" s="74"/>
      <c r="AQ1115" s="74"/>
      <c r="AT1115" s="124"/>
      <c r="AU1115" s="124"/>
    </row>
    <row r="1116" spans="2:47" s="123" customFormat="1">
      <c r="B1116" s="125"/>
      <c r="D1116" s="238"/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74"/>
      <c r="AE1116" s="124"/>
      <c r="AI1116" s="74"/>
      <c r="AM1116" s="74"/>
      <c r="AQ1116" s="74"/>
      <c r="AT1116" s="124"/>
      <c r="AU1116" s="124"/>
    </row>
    <row r="1117" spans="2:47" s="123" customFormat="1">
      <c r="B1117" s="125"/>
      <c r="D1117" s="238"/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74"/>
      <c r="AE1117" s="124"/>
      <c r="AI1117" s="74"/>
      <c r="AM1117" s="74"/>
      <c r="AQ1117" s="74"/>
      <c r="AT1117" s="124"/>
      <c r="AU1117" s="124"/>
    </row>
    <row r="1118" spans="2:47" s="123" customFormat="1">
      <c r="B1118" s="125"/>
      <c r="D1118" s="238"/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74"/>
      <c r="AE1118" s="124"/>
      <c r="AI1118" s="74"/>
      <c r="AM1118" s="74"/>
      <c r="AQ1118" s="74"/>
      <c r="AT1118" s="124"/>
      <c r="AU1118" s="124"/>
    </row>
    <row r="1119" spans="2:47" s="123" customFormat="1">
      <c r="B1119" s="125"/>
      <c r="D1119" s="238"/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74"/>
      <c r="AE1119" s="124"/>
      <c r="AI1119" s="74"/>
      <c r="AM1119" s="74"/>
      <c r="AQ1119" s="74"/>
      <c r="AT1119" s="124"/>
      <c r="AU1119" s="124"/>
    </row>
    <row r="1120" spans="2:47" s="123" customFormat="1">
      <c r="B1120" s="125"/>
      <c r="D1120" s="238"/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74"/>
      <c r="AE1120" s="124"/>
      <c r="AI1120" s="74"/>
      <c r="AM1120" s="74"/>
      <c r="AQ1120" s="74"/>
      <c r="AT1120" s="124"/>
      <c r="AU1120" s="124"/>
    </row>
    <row r="1121" spans="2:47" s="123" customFormat="1">
      <c r="B1121" s="125"/>
      <c r="D1121" s="238"/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74"/>
      <c r="AE1121" s="124"/>
      <c r="AI1121" s="74"/>
      <c r="AM1121" s="74"/>
      <c r="AQ1121" s="74"/>
      <c r="AT1121" s="124"/>
      <c r="AU1121" s="124"/>
    </row>
    <row r="1122" spans="2:47" s="123" customFormat="1">
      <c r="B1122" s="125"/>
      <c r="D1122" s="238"/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74"/>
      <c r="AE1122" s="124"/>
      <c r="AI1122" s="74"/>
      <c r="AM1122" s="74"/>
      <c r="AQ1122" s="74"/>
      <c r="AT1122" s="124"/>
      <c r="AU1122" s="124"/>
    </row>
    <row r="1123" spans="2:47" s="123" customFormat="1">
      <c r="B1123" s="125"/>
      <c r="D1123" s="238"/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74"/>
      <c r="AE1123" s="124"/>
      <c r="AI1123" s="74"/>
      <c r="AM1123" s="74"/>
      <c r="AQ1123" s="74"/>
      <c r="AT1123" s="124"/>
      <c r="AU1123" s="124"/>
    </row>
    <row r="1124" spans="2:47" s="123" customFormat="1">
      <c r="B1124" s="125"/>
      <c r="D1124" s="238"/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74"/>
      <c r="AE1124" s="124"/>
      <c r="AI1124" s="74"/>
      <c r="AM1124" s="74"/>
      <c r="AQ1124" s="74"/>
      <c r="AT1124" s="124"/>
      <c r="AU1124" s="124"/>
    </row>
    <row r="1125" spans="2:47" s="123" customFormat="1">
      <c r="B1125" s="125"/>
      <c r="D1125" s="238"/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74"/>
      <c r="AE1125" s="124"/>
      <c r="AI1125" s="74"/>
      <c r="AM1125" s="74"/>
      <c r="AQ1125" s="74"/>
      <c r="AT1125" s="124"/>
      <c r="AU1125" s="124"/>
    </row>
    <row r="1126" spans="2:47" s="123" customFormat="1">
      <c r="B1126" s="125"/>
      <c r="D1126" s="238"/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74"/>
      <c r="AE1126" s="124"/>
      <c r="AI1126" s="74"/>
      <c r="AM1126" s="74"/>
      <c r="AQ1126" s="74"/>
      <c r="AT1126" s="124"/>
      <c r="AU1126" s="124"/>
    </row>
    <row r="1127" spans="2:47" s="123" customFormat="1">
      <c r="B1127" s="125"/>
      <c r="D1127" s="238"/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74"/>
      <c r="AE1127" s="124"/>
      <c r="AI1127" s="74"/>
      <c r="AM1127" s="74"/>
      <c r="AQ1127" s="74"/>
      <c r="AT1127" s="124"/>
      <c r="AU1127" s="124"/>
    </row>
    <row r="1128" spans="2:47" s="123" customFormat="1">
      <c r="B1128" s="125"/>
      <c r="D1128" s="238"/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74"/>
      <c r="AE1128" s="124"/>
      <c r="AI1128" s="74"/>
      <c r="AM1128" s="74"/>
      <c r="AQ1128" s="74"/>
      <c r="AT1128" s="124"/>
      <c r="AU1128" s="124"/>
    </row>
    <row r="1129" spans="2:47" s="123" customFormat="1">
      <c r="B1129" s="125"/>
      <c r="D1129" s="238"/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74"/>
      <c r="AE1129" s="124"/>
      <c r="AI1129" s="74"/>
      <c r="AM1129" s="74"/>
      <c r="AQ1129" s="74"/>
      <c r="AT1129" s="124"/>
      <c r="AU1129" s="124"/>
    </row>
    <row r="1130" spans="2:47" s="123" customFormat="1">
      <c r="B1130" s="125"/>
      <c r="D1130" s="238"/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74"/>
      <c r="AE1130" s="124"/>
      <c r="AI1130" s="74"/>
      <c r="AM1130" s="74"/>
      <c r="AQ1130" s="74"/>
      <c r="AT1130" s="124"/>
      <c r="AU1130" s="124"/>
    </row>
    <row r="1131" spans="2:47" s="123" customFormat="1">
      <c r="B1131" s="125"/>
      <c r="D1131" s="238"/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74"/>
      <c r="AE1131" s="124"/>
      <c r="AI1131" s="74"/>
      <c r="AM1131" s="74"/>
      <c r="AQ1131" s="74"/>
      <c r="AT1131" s="124"/>
      <c r="AU1131" s="124"/>
    </row>
    <row r="1132" spans="2:47" s="123" customFormat="1">
      <c r="B1132" s="125"/>
      <c r="D1132" s="238"/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74"/>
      <c r="AE1132" s="124"/>
      <c r="AI1132" s="74"/>
      <c r="AM1132" s="74"/>
      <c r="AQ1132" s="74"/>
      <c r="AT1132" s="124"/>
      <c r="AU1132" s="124"/>
    </row>
    <row r="1133" spans="2:47" s="123" customFormat="1">
      <c r="B1133" s="125"/>
      <c r="D1133" s="238"/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74"/>
      <c r="AE1133" s="124"/>
      <c r="AI1133" s="74"/>
      <c r="AM1133" s="74"/>
      <c r="AQ1133" s="74"/>
      <c r="AT1133" s="124"/>
      <c r="AU1133" s="124"/>
    </row>
    <row r="1134" spans="2:47" s="123" customFormat="1">
      <c r="B1134" s="125"/>
      <c r="D1134" s="238"/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74"/>
      <c r="AE1134" s="124"/>
      <c r="AI1134" s="74"/>
      <c r="AM1134" s="74"/>
      <c r="AQ1134" s="74"/>
      <c r="AT1134" s="124"/>
      <c r="AU1134" s="124"/>
    </row>
    <row r="1135" spans="2:47" s="123" customFormat="1">
      <c r="B1135" s="125"/>
      <c r="D1135" s="238"/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74"/>
      <c r="AE1135" s="124"/>
      <c r="AI1135" s="74"/>
      <c r="AM1135" s="74"/>
      <c r="AQ1135" s="74"/>
      <c r="AT1135" s="124"/>
      <c r="AU1135" s="124"/>
    </row>
    <row r="1136" spans="2:47" s="123" customFormat="1">
      <c r="B1136" s="125"/>
      <c r="D1136" s="238"/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74"/>
      <c r="AE1136" s="124"/>
      <c r="AI1136" s="74"/>
      <c r="AM1136" s="74"/>
      <c r="AQ1136" s="74"/>
      <c r="AT1136" s="124"/>
      <c r="AU1136" s="124"/>
    </row>
    <row r="1137" spans="2:47" s="123" customFormat="1">
      <c r="B1137" s="125"/>
      <c r="D1137" s="238"/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74"/>
      <c r="AE1137" s="124"/>
      <c r="AI1137" s="74"/>
      <c r="AM1137" s="74"/>
      <c r="AQ1137" s="74"/>
      <c r="AT1137" s="124"/>
      <c r="AU1137" s="124"/>
    </row>
    <row r="1138" spans="2:47" s="123" customFormat="1">
      <c r="B1138" s="125"/>
      <c r="D1138" s="238"/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74"/>
      <c r="AE1138" s="124"/>
      <c r="AI1138" s="74"/>
      <c r="AM1138" s="74"/>
      <c r="AQ1138" s="74"/>
      <c r="AT1138" s="124"/>
      <c r="AU1138" s="124"/>
    </row>
    <row r="1139" spans="2:47" s="123" customFormat="1">
      <c r="B1139" s="125"/>
      <c r="D1139" s="238"/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74"/>
      <c r="AE1139" s="124"/>
      <c r="AI1139" s="74"/>
      <c r="AM1139" s="74"/>
      <c r="AQ1139" s="74"/>
      <c r="AT1139" s="124"/>
      <c r="AU1139" s="124"/>
    </row>
    <row r="1140" spans="2:47" s="123" customFormat="1">
      <c r="B1140" s="125"/>
      <c r="D1140" s="238"/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74"/>
      <c r="AE1140" s="124"/>
      <c r="AI1140" s="74"/>
      <c r="AM1140" s="74"/>
      <c r="AQ1140" s="74"/>
      <c r="AT1140" s="124"/>
      <c r="AU1140" s="124"/>
    </row>
    <row r="1141" spans="2:47" s="123" customFormat="1">
      <c r="B1141" s="125"/>
      <c r="D1141" s="238"/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74"/>
      <c r="AE1141" s="124"/>
      <c r="AI1141" s="74"/>
      <c r="AM1141" s="74"/>
      <c r="AQ1141" s="74"/>
      <c r="AT1141" s="124"/>
      <c r="AU1141" s="124"/>
    </row>
    <row r="1142" spans="2:47" s="123" customFormat="1">
      <c r="B1142" s="125"/>
      <c r="D1142" s="238"/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74"/>
      <c r="AE1142" s="124"/>
      <c r="AI1142" s="74"/>
      <c r="AM1142" s="74"/>
      <c r="AQ1142" s="74"/>
      <c r="AT1142" s="124"/>
      <c r="AU1142" s="124"/>
    </row>
    <row r="1143" spans="2:47" s="123" customFormat="1">
      <c r="B1143" s="125"/>
      <c r="D1143" s="238"/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74"/>
      <c r="AE1143" s="124"/>
      <c r="AI1143" s="74"/>
      <c r="AM1143" s="74"/>
      <c r="AQ1143" s="74"/>
      <c r="AT1143" s="124"/>
      <c r="AU1143" s="124"/>
    </row>
    <row r="1144" spans="2:47" s="123" customFormat="1">
      <c r="B1144" s="125"/>
      <c r="D1144" s="238"/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74"/>
      <c r="AE1144" s="124"/>
      <c r="AI1144" s="74"/>
      <c r="AM1144" s="74"/>
      <c r="AQ1144" s="74"/>
      <c r="AT1144" s="124"/>
      <c r="AU1144" s="124"/>
    </row>
    <row r="1145" spans="2:47" s="123" customFormat="1">
      <c r="B1145" s="125"/>
      <c r="D1145" s="238"/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74"/>
      <c r="AE1145" s="124"/>
      <c r="AI1145" s="74"/>
      <c r="AM1145" s="74"/>
      <c r="AQ1145" s="74"/>
      <c r="AT1145" s="124"/>
      <c r="AU1145" s="124"/>
    </row>
    <row r="1146" spans="2:47" s="123" customFormat="1">
      <c r="B1146" s="125"/>
      <c r="D1146" s="238"/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74"/>
      <c r="AE1146" s="124"/>
      <c r="AI1146" s="74"/>
      <c r="AM1146" s="74"/>
      <c r="AQ1146" s="74"/>
      <c r="AT1146" s="124"/>
      <c r="AU1146" s="124"/>
    </row>
    <row r="1147" spans="2:47" s="123" customFormat="1">
      <c r="B1147" s="125"/>
      <c r="D1147" s="238"/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74"/>
      <c r="AE1147" s="124"/>
      <c r="AI1147" s="74"/>
      <c r="AM1147" s="74"/>
      <c r="AQ1147" s="74"/>
      <c r="AT1147" s="124"/>
      <c r="AU1147" s="124"/>
    </row>
    <row r="1148" spans="2:47" s="123" customFormat="1">
      <c r="B1148" s="125"/>
      <c r="D1148" s="238"/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74"/>
      <c r="AE1148" s="124"/>
      <c r="AI1148" s="74"/>
      <c r="AM1148" s="74"/>
      <c r="AQ1148" s="74"/>
      <c r="AT1148" s="124"/>
      <c r="AU1148" s="124"/>
    </row>
    <row r="1149" spans="2:47" s="123" customFormat="1">
      <c r="B1149" s="125"/>
      <c r="D1149" s="238"/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74"/>
      <c r="AE1149" s="124"/>
      <c r="AI1149" s="74"/>
      <c r="AM1149" s="74"/>
      <c r="AQ1149" s="74"/>
      <c r="AT1149" s="124"/>
      <c r="AU1149" s="124"/>
    </row>
    <row r="1150" spans="2:47" s="123" customFormat="1">
      <c r="B1150" s="125"/>
      <c r="D1150" s="238"/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74"/>
      <c r="AE1150" s="124"/>
      <c r="AI1150" s="74"/>
      <c r="AM1150" s="74"/>
      <c r="AQ1150" s="74"/>
      <c r="AT1150" s="124"/>
      <c r="AU1150" s="124"/>
    </row>
    <row r="1151" spans="2:47" s="123" customFormat="1">
      <c r="B1151" s="125"/>
      <c r="D1151" s="238"/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74"/>
      <c r="AE1151" s="124"/>
      <c r="AI1151" s="74"/>
      <c r="AM1151" s="74"/>
      <c r="AQ1151" s="74"/>
      <c r="AT1151" s="124"/>
      <c r="AU1151" s="124"/>
    </row>
    <row r="1152" spans="2:47" s="123" customFormat="1">
      <c r="B1152" s="125"/>
      <c r="D1152" s="238"/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74"/>
      <c r="AE1152" s="124"/>
      <c r="AI1152" s="74"/>
      <c r="AM1152" s="74"/>
      <c r="AQ1152" s="74"/>
      <c r="AT1152" s="124"/>
      <c r="AU1152" s="124"/>
    </row>
    <row r="1153" spans="2:47" s="123" customFormat="1">
      <c r="B1153" s="125"/>
      <c r="D1153" s="238"/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74"/>
      <c r="AE1153" s="124"/>
      <c r="AI1153" s="74"/>
      <c r="AM1153" s="74"/>
      <c r="AQ1153" s="74"/>
      <c r="AT1153" s="124"/>
      <c r="AU1153" s="124"/>
    </row>
    <row r="1154" spans="2:47" s="123" customFormat="1">
      <c r="B1154" s="125"/>
      <c r="D1154" s="238"/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74"/>
      <c r="AE1154" s="124"/>
      <c r="AI1154" s="74"/>
      <c r="AM1154" s="74"/>
      <c r="AQ1154" s="74"/>
      <c r="AT1154" s="124"/>
      <c r="AU1154" s="124"/>
    </row>
    <row r="1155" spans="2:47" s="123" customFormat="1">
      <c r="B1155" s="125"/>
      <c r="D1155" s="238"/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74"/>
      <c r="AE1155" s="124"/>
      <c r="AI1155" s="74"/>
      <c r="AM1155" s="74"/>
      <c r="AQ1155" s="74"/>
      <c r="AT1155" s="124"/>
      <c r="AU1155" s="124"/>
    </row>
    <row r="1156" spans="2:47" s="123" customFormat="1">
      <c r="B1156" s="125"/>
      <c r="D1156" s="238"/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74"/>
      <c r="AE1156" s="124"/>
      <c r="AI1156" s="74"/>
      <c r="AM1156" s="74"/>
      <c r="AQ1156" s="74"/>
      <c r="AT1156" s="124"/>
      <c r="AU1156" s="124"/>
    </row>
    <row r="1157" spans="2:47" s="123" customFormat="1">
      <c r="B1157" s="125"/>
      <c r="D1157" s="238"/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74"/>
      <c r="AE1157" s="124"/>
      <c r="AI1157" s="74"/>
      <c r="AM1157" s="74"/>
      <c r="AQ1157" s="74"/>
      <c r="AT1157" s="124"/>
      <c r="AU1157" s="124"/>
    </row>
    <row r="1158" spans="2:47" s="123" customFormat="1">
      <c r="B1158" s="125"/>
      <c r="D1158" s="238"/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74"/>
      <c r="AE1158" s="124"/>
      <c r="AI1158" s="74"/>
      <c r="AM1158" s="74"/>
      <c r="AQ1158" s="74"/>
      <c r="AT1158" s="124"/>
      <c r="AU1158" s="124"/>
    </row>
    <row r="1159" spans="2:47" s="123" customFormat="1">
      <c r="B1159" s="125"/>
      <c r="D1159" s="238"/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74"/>
      <c r="AE1159" s="124"/>
      <c r="AI1159" s="74"/>
      <c r="AM1159" s="74"/>
      <c r="AQ1159" s="74"/>
      <c r="AT1159" s="124"/>
      <c r="AU1159" s="124"/>
    </row>
    <row r="1160" spans="2:47" s="123" customFormat="1">
      <c r="B1160" s="125"/>
      <c r="D1160" s="238"/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74"/>
      <c r="AE1160" s="124"/>
      <c r="AI1160" s="74"/>
      <c r="AM1160" s="74"/>
      <c r="AQ1160" s="74"/>
      <c r="AT1160" s="124"/>
      <c r="AU1160" s="124"/>
    </row>
    <row r="1161" spans="2:47" s="123" customFormat="1">
      <c r="B1161" s="125"/>
      <c r="D1161" s="238"/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74"/>
      <c r="AE1161" s="124"/>
      <c r="AI1161" s="74"/>
      <c r="AM1161" s="74"/>
      <c r="AQ1161" s="74"/>
      <c r="AT1161" s="124"/>
      <c r="AU1161" s="124"/>
    </row>
    <row r="1162" spans="2:47" s="123" customFormat="1">
      <c r="B1162" s="125"/>
      <c r="D1162" s="238"/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74"/>
      <c r="AE1162" s="124"/>
      <c r="AI1162" s="74"/>
      <c r="AM1162" s="74"/>
      <c r="AQ1162" s="74"/>
      <c r="AT1162" s="124"/>
      <c r="AU1162" s="124"/>
    </row>
    <row r="1163" spans="2:47" s="123" customFormat="1">
      <c r="B1163" s="125"/>
      <c r="D1163" s="238"/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74"/>
      <c r="AE1163" s="124"/>
      <c r="AI1163" s="74"/>
      <c r="AM1163" s="74"/>
      <c r="AQ1163" s="74"/>
      <c r="AT1163" s="124"/>
      <c r="AU1163" s="124"/>
    </row>
    <row r="1164" spans="2:47" s="123" customFormat="1">
      <c r="B1164" s="125"/>
      <c r="D1164" s="238"/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74"/>
      <c r="AE1164" s="124"/>
      <c r="AI1164" s="74"/>
      <c r="AM1164" s="74"/>
      <c r="AQ1164" s="74"/>
      <c r="AT1164" s="124"/>
      <c r="AU1164" s="124"/>
    </row>
    <row r="1165" spans="2:47" s="123" customFormat="1">
      <c r="B1165" s="125"/>
      <c r="D1165" s="238"/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74"/>
      <c r="AE1165" s="124"/>
      <c r="AI1165" s="74"/>
      <c r="AM1165" s="74"/>
      <c r="AQ1165" s="74"/>
      <c r="AT1165" s="124"/>
      <c r="AU1165" s="124"/>
    </row>
    <row r="1166" spans="2:47" s="123" customFormat="1">
      <c r="B1166" s="125"/>
      <c r="D1166" s="238"/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74"/>
      <c r="AE1166" s="124"/>
      <c r="AI1166" s="74"/>
      <c r="AM1166" s="74"/>
      <c r="AQ1166" s="74"/>
      <c r="AT1166" s="124"/>
      <c r="AU1166" s="124"/>
    </row>
    <row r="1167" spans="2:47" s="123" customFormat="1">
      <c r="B1167" s="125"/>
      <c r="D1167" s="238"/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74"/>
      <c r="AE1167" s="124"/>
      <c r="AI1167" s="74"/>
      <c r="AM1167" s="74"/>
      <c r="AQ1167" s="74"/>
      <c r="AT1167" s="124"/>
      <c r="AU1167" s="124"/>
    </row>
    <row r="1168" spans="2:47" s="123" customFormat="1">
      <c r="B1168" s="125"/>
      <c r="D1168" s="238"/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74"/>
      <c r="AE1168" s="124"/>
      <c r="AI1168" s="74"/>
      <c r="AM1168" s="74"/>
      <c r="AQ1168" s="74"/>
      <c r="AT1168" s="124"/>
      <c r="AU1168" s="124"/>
    </row>
    <row r="1169" spans="2:47" s="123" customFormat="1">
      <c r="B1169" s="125"/>
      <c r="D1169" s="238"/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74"/>
      <c r="AE1169" s="124"/>
      <c r="AI1169" s="74"/>
      <c r="AM1169" s="74"/>
      <c r="AQ1169" s="74"/>
      <c r="AT1169" s="124"/>
      <c r="AU1169" s="124"/>
    </row>
    <row r="1170" spans="2:47" s="123" customFormat="1">
      <c r="B1170" s="125"/>
      <c r="D1170" s="238"/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74"/>
      <c r="AE1170" s="124"/>
      <c r="AI1170" s="74"/>
      <c r="AM1170" s="74"/>
      <c r="AQ1170" s="74"/>
      <c r="AT1170" s="124"/>
      <c r="AU1170" s="124"/>
    </row>
    <row r="1171" spans="2:47" s="123" customFormat="1">
      <c r="B1171" s="125"/>
      <c r="D1171" s="238"/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74"/>
      <c r="AE1171" s="124"/>
      <c r="AI1171" s="74"/>
      <c r="AM1171" s="74"/>
      <c r="AQ1171" s="74"/>
      <c r="AT1171" s="124"/>
      <c r="AU1171" s="124"/>
    </row>
    <row r="1172" spans="2:47" s="123" customFormat="1">
      <c r="B1172" s="125"/>
      <c r="D1172" s="238"/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74"/>
      <c r="AE1172" s="124"/>
      <c r="AI1172" s="74"/>
      <c r="AM1172" s="74"/>
      <c r="AQ1172" s="74"/>
      <c r="AT1172" s="124"/>
      <c r="AU1172" s="124"/>
    </row>
    <row r="1173" spans="2:47" s="123" customFormat="1">
      <c r="B1173" s="125"/>
      <c r="D1173" s="238"/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74"/>
      <c r="AE1173" s="124"/>
      <c r="AI1173" s="74"/>
      <c r="AM1173" s="74"/>
      <c r="AQ1173" s="74"/>
      <c r="AT1173" s="124"/>
      <c r="AU1173" s="124"/>
    </row>
    <row r="1174" spans="2:47" s="123" customFormat="1">
      <c r="B1174" s="125"/>
      <c r="D1174" s="238"/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74"/>
      <c r="AE1174" s="124"/>
      <c r="AI1174" s="74"/>
      <c r="AM1174" s="74"/>
      <c r="AQ1174" s="74"/>
      <c r="AT1174" s="124"/>
      <c r="AU1174" s="124"/>
    </row>
    <row r="1175" spans="2:47" s="123" customFormat="1">
      <c r="B1175" s="125"/>
      <c r="D1175" s="238"/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74"/>
      <c r="AE1175" s="124"/>
      <c r="AI1175" s="74"/>
      <c r="AM1175" s="74"/>
      <c r="AQ1175" s="74"/>
      <c r="AT1175" s="124"/>
      <c r="AU1175" s="124"/>
    </row>
    <row r="1176" spans="2:47" s="123" customFormat="1">
      <c r="B1176" s="125"/>
      <c r="D1176" s="238"/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74"/>
      <c r="AE1176" s="124"/>
      <c r="AI1176" s="74"/>
      <c r="AM1176" s="74"/>
      <c r="AQ1176" s="74"/>
      <c r="AT1176" s="124"/>
      <c r="AU1176" s="124"/>
    </row>
    <row r="1177" spans="2:47" s="123" customFormat="1">
      <c r="B1177" s="125"/>
      <c r="D1177" s="238"/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74"/>
      <c r="AE1177" s="124"/>
      <c r="AI1177" s="74"/>
      <c r="AM1177" s="74"/>
      <c r="AQ1177" s="74"/>
      <c r="AT1177" s="124"/>
      <c r="AU1177" s="124"/>
    </row>
    <row r="1178" spans="2:47" s="123" customFormat="1">
      <c r="B1178" s="125"/>
      <c r="D1178" s="238"/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74"/>
      <c r="AE1178" s="124"/>
      <c r="AI1178" s="74"/>
      <c r="AM1178" s="74"/>
      <c r="AQ1178" s="74"/>
      <c r="AT1178" s="124"/>
      <c r="AU1178" s="124"/>
    </row>
    <row r="1179" spans="2:47" s="123" customFormat="1">
      <c r="B1179" s="125"/>
      <c r="D1179" s="238"/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74"/>
      <c r="AE1179" s="124"/>
      <c r="AI1179" s="74"/>
      <c r="AM1179" s="74"/>
      <c r="AQ1179" s="74"/>
      <c r="AT1179" s="124"/>
      <c r="AU1179" s="124"/>
    </row>
    <row r="1180" spans="2:47" s="123" customFormat="1">
      <c r="B1180" s="125"/>
      <c r="D1180" s="238"/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74"/>
      <c r="AE1180" s="124"/>
      <c r="AI1180" s="74"/>
      <c r="AM1180" s="74"/>
      <c r="AQ1180" s="74"/>
      <c r="AT1180" s="124"/>
      <c r="AU1180" s="124"/>
    </row>
    <row r="1181" spans="2:47" s="123" customFormat="1">
      <c r="B1181" s="125"/>
      <c r="D1181" s="238"/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74"/>
      <c r="AE1181" s="124"/>
      <c r="AI1181" s="74"/>
      <c r="AM1181" s="74"/>
      <c r="AQ1181" s="74"/>
      <c r="AT1181" s="124"/>
      <c r="AU1181" s="124"/>
    </row>
    <row r="1182" spans="2:47" s="123" customFormat="1">
      <c r="B1182" s="125"/>
      <c r="D1182" s="238"/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74"/>
      <c r="AE1182" s="124"/>
      <c r="AI1182" s="74"/>
      <c r="AM1182" s="74"/>
      <c r="AQ1182" s="74"/>
      <c r="AT1182" s="124"/>
      <c r="AU1182" s="124"/>
    </row>
    <row r="1183" spans="2:47" s="123" customFormat="1">
      <c r="B1183" s="125"/>
      <c r="D1183" s="238"/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74"/>
      <c r="AE1183" s="124"/>
      <c r="AI1183" s="74"/>
      <c r="AM1183" s="74"/>
      <c r="AQ1183" s="74"/>
      <c r="AT1183" s="124"/>
      <c r="AU1183" s="124"/>
    </row>
    <row r="1184" spans="2:47" s="123" customFormat="1">
      <c r="B1184" s="125"/>
      <c r="D1184" s="238"/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74"/>
      <c r="AE1184" s="124"/>
      <c r="AI1184" s="74"/>
      <c r="AM1184" s="74"/>
      <c r="AQ1184" s="74"/>
      <c r="AT1184" s="124"/>
      <c r="AU1184" s="124"/>
    </row>
    <row r="1185" spans="2:47" s="123" customFormat="1">
      <c r="B1185" s="125"/>
      <c r="D1185" s="238"/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74"/>
      <c r="AE1185" s="124"/>
      <c r="AI1185" s="74"/>
      <c r="AM1185" s="74"/>
      <c r="AQ1185" s="74"/>
      <c r="AT1185" s="124"/>
      <c r="AU1185" s="124"/>
    </row>
    <row r="1186" spans="2:47" s="123" customFormat="1">
      <c r="B1186" s="125"/>
      <c r="D1186" s="238"/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74"/>
      <c r="AE1186" s="124"/>
      <c r="AI1186" s="74"/>
      <c r="AM1186" s="74"/>
      <c r="AQ1186" s="74"/>
      <c r="AT1186" s="124"/>
      <c r="AU1186" s="124"/>
    </row>
    <row r="1187" spans="2:47" s="123" customFormat="1">
      <c r="B1187" s="125"/>
      <c r="D1187" s="238"/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74"/>
      <c r="AE1187" s="124"/>
      <c r="AI1187" s="74"/>
      <c r="AM1187" s="74"/>
      <c r="AQ1187" s="74"/>
      <c r="AT1187" s="124"/>
      <c r="AU1187" s="124"/>
    </row>
    <row r="1188" spans="2:47" s="123" customFormat="1">
      <c r="B1188" s="125"/>
      <c r="D1188" s="238"/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74"/>
      <c r="AE1188" s="124"/>
      <c r="AI1188" s="74"/>
      <c r="AM1188" s="74"/>
      <c r="AQ1188" s="74"/>
      <c r="AT1188" s="124"/>
      <c r="AU1188" s="124"/>
    </row>
    <row r="1189" spans="2:47" s="123" customFormat="1">
      <c r="B1189" s="125"/>
      <c r="D1189" s="238"/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74"/>
      <c r="AE1189" s="124"/>
      <c r="AI1189" s="74"/>
      <c r="AM1189" s="74"/>
      <c r="AQ1189" s="74"/>
      <c r="AT1189" s="124"/>
      <c r="AU1189" s="124"/>
    </row>
    <row r="1190" spans="2:47" s="123" customFormat="1">
      <c r="B1190" s="125"/>
      <c r="D1190" s="238"/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74"/>
      <c r="AE1190" s="124"/>
      <c r="AI1190" s="74"/>
      <c r="AM1190" s="74"/>
      <c r="AQ1190" s="74"/>
      <c r="AT1190" s="124"/>
      <c r="AU1190" s="124"/>
    </row>
    <row r="1191" spans="2:47" s="123" customFormat="1">
      <c r="B1191" s="125"/>
      <c r="D1191" s="238"/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74"/>
      <c r="AE1191" s="124"/>
      <c r="AI1191" s="74"/>
      <c r="AM1191" s="74"/>
      <c r="AQ1191" s="74"/>
      <c r="AT1191" s="124"/>
      <c r="AU1191" s="124"/>
    </row>
    <row r="1192" spans="2:47" s="123" customFormat="1">
      <c r="B1192" s="125"/>
      <c r="D1192" s="238"/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74"/>
      <c r="AE1192" s="124"/>
      <c r="AI1192" s="74"/>
      <c r="AM1192" s="74"/>
      <c r="AQ1192" s="74"/>
      <c r="AT1192" s="124"/>
      <c r="AU1192" s="124"/>
    </row>
    <row r="1193" spans="2:47" s="123" customFormat="1">
      <c r="B1193" s="125"/>
      <c r="D1193" s="238"/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74"/>
      <c r="AE1193" s="124"/>
      <c r="AI1193" s="74"/>
      <c r="AM1193" s="74"/>
      <c r="AQ1193" s="74"/>
      <c r="AT1193" s="124"/>
      <c r="AU1193" s="124"/>
    </row>
    <row r="1194" spans="2:47" s="123" customFormat="1">
      <c r="B1194" s="125"/>
      <c r="D1194" s="238"/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74"/>
      <c r="AE1194" s="124"/>
      <c r="AI1194" s="74"/>
      <c r="AM1194" s="74"/>
      <c r="AQ1194" s="74"/>
      <c r="AT1194" s="124"/>
      <c r="AU1194" s="124"/>
    </row>
    <row r="1195" spans="2:47" s="123" customFormat="1">
      <c r="B1195" s="125"/>
      <c r="D1195" s="238"/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74"/>
      <c r="AE1195" s="124"/>
      <c r="AI1195" s="74"/>
      <c r="AM1195" s="74"/>
      <c r="AQ1195" s="74"/>
      <c r="AT1195" s="124"/>
      <c r="AU1195" s="124"/>
    </row>
    <row r="1196" spans="2:47" s="123" customFormat="1">
      <c r="B1196" s="125"/>
      <c r="D1196" s="238"/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74"/>
      <c r="AE1196" s="124"/>
      <c r="AI1196" s="74"/>
      <c r="AM1196" s="74"/>
      <c r="AQ1196" s="74"/>
      <c r="AT1196" s="124"/>
      <c r="AU1196" s="124"/>
    </row>
    <row r="1197" spans="2:47" s="123" customFormat="1">
      <c r="B1197" s="125"/>
      <c r="D1197" s="238"/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74"/>
      <c r="AE1197" s="124"/>
      <c r="AI1197" s="74"/>
      <c r="AM1197" s="74"/>
      <c r="AQ1197" s="74"/>
      <c r="AT1197" s="124"/>
      <c r="AU1197" s="124"/>
    </row>
    <row r="1198" spans="2:47" s="123" customFormat="1">
      <c r="B1198" s="125"/>
      <c r="D1198" s="238"/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74"/>
      <c r="AE1198" s="124"/>
      <c r="AI1198" s="74"/>
      <c r="AM1198" s="74"/>
      <c r="AQ1198" s="74"/>
      <c r="AT1198" s="124"/>
      <c r="AU1198" s="124"/>
    </row>
    <row r="1199" spans="2:47" s="123" customFormat="1">
      <c r="B1199" s="125"/>
      <c r="D1199" s="238"/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74"/>
      <c r="AE1199" s="124"/>
      <c r="AI1199" s="74"/>
      <c r="AM1199" s="74"/>
      <c r="AQ1199" s="74"/>
      <c r="AT1199" s="124"/>
      <c r="AU1199" s="124"/>
    </row>
    <row r="1200" spans="2:47" s="123" customFormat="1">
      <c r="B1200" s="125"/>
      <c r="D1200" s="238"/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74"/>
      <c r="AE1200" s="124"/>
      <c r="AI1200" s="74"/>
      <c r="AM1200" s="74"/>
      <c r="AQ1200" s="74"/>
      <c r="AT1200" s="124"/>
      <c r="AU1200" s="124"/>
    </row>
    <row r="1201" spans="2:47" s="123" customFormat="1">
      <c r="B1201" s="125"/>
      <c r="D1201" s="238"/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74"/>
      <c r="AE1201" s="124"/>
      <c r="AI1201" s="74"/>
      <c r="AM1201" s="74"/>
      <c r="AQ1201" s="74"/>
      <c r="AT1201" s="124"/>
      <c r="AU1201" s="124"/>
    </row>
    <row r="1202" spans="2:47" s="123" customFormat="1">
      <c r="B1202" s="125"/>
      <c r="D1202" s="238"/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74"/>
      <c r="AE1202" s="124"/>
      <c r="AI1202" s="74"/>
      <c r="AM1202" s="74"/>
      <c r="AQ1202" s="74"/>
      <c r="AT1202" s="124"/>
      <c r="AU1202" s="124"/>
    </row>
    <row r="1203" spans="2:47" s="123" customFormat="1">
      <c r="B1203" s="125"/>
      <c r="D1203" s="238"/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74"/>
      <c r="AE1203" s="124"/>
      <c r="AI1203" s="74"/>
      <c r="AM1203" s="74"/>
      <c r="AQ1203" s="74"/>
      <c r="AT1203" s="124"/>
      <c r="AU1203" s="124"/>
    </row>
    <row r="1204" spans="2:47" s="123" customFormat="1">
      <c r="B1204" s="125"/>
      <c r="D1204" s="238"/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74"/>
      <c r="AE1204" s="124"/>
      <c r="AI1204" s="74"/>
      <c r="AM1204" s="74"/>
      <c r="AQ1204" s="74"/>
      <c r="AT1204" s="124"/>
      <c r="AU1204" s="124"/>
    </row>
    <row r="1205" spans="2:47" s="123" customFormat="1">
      <c r="B1205" s="125"/>
      <c r="D1205" s="238"/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74"/>
      <c r="AE1205" s="124"/>
      <c r="AI1205" s="74"/>
      <c r="AM1205" s="74"/>
      <c r="AQ1205" s="74"/>
      <c r="AT1205" s="124"/>
      <c r="AU1205" s="124"/>
    </row>
    <row r="1206" spans="2:47" s="123" customFormat="1">
      <c r="B1206" s="125"/>
      <c r="D1206" s="238"/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74"/>
      <c r="AE1206" s="124"/>
      <c r="AI1206" s="74"/>
      <c r="AM1206" s="74"/>
      <c r="AQ1206" s="74"/>
      <c r="AT1206" s="124"/>
      <c r="AU1206" s="124"/>
    </row>
    <row r="1207" spans="2:47" s="123" customFormat="1">
      <c r="B1207" s="125"/>
      <c r="D1207" s="238"/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74"/>
      <c r="AE1207" s="124"/>
      <c r="AI1207" s="74"/>
      <c r="AM1207" s="74"/>
      <c r="AQ1207" s="74"/>
      <c r="AT1207" s="124"/>
      <c r="AU1207" s="124"/>
    </row>
    <row r="1208" spans="2:47" s="123" customFormat="1">
      <c r="B1208" s="125"/>
      <c r="D1208" s="238"/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74"/>
      <c r="AE1208" s="124"/>
      <c r="AI1208" s="74"/>
      <c r="AM1208" s="74"/>
      <c r="AQ1208" s="74"/>
      <c r="AT1208" s="124"/>
      <c r="AU1208" s="124"/>
    </row>
    <row r="1209" spans="2:47" s="123" customFormat="1">
      <c r="B1209" s="125"/>
      <c r="D1209" s="238"/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74"/>
      <c r="AE1209" s="124"/>
      <c r="AI1209" s="74"/>
      <c r="AM1209" s="74"/>
      <c r="AQ1209" s="74"/>
      <c r="AT1209" s="124"/>
      <c r="AU1209" s="124"/>
    </row>
    <row r="1210" spans="2:47" s="123" customFormat="1">
      <c r="B1210" s="125"/>
      <c r="D1210" s="238"/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74"/>
      <c r="AE1210" s="124"/>
      <c r="AI1210" s="74"/>
      <c r="AM1210" s="74"/>
      <c r="AQ1210" s="74"/>
      <c r="AT1210" s="124"/>
      <c r="AU1210" s="124"/>
    </row>
    <row r="1211" spans="2:47" s="123" customFormat="1">
      <c r="B1211" s="125"/>
      <c r="D1211" s="238"/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74"/>
      <c r="AE1211" s="124"/>
      <c r="AI1211" s="74"/>
      <c r="AM1211" s="74"/>
      <c r="AQ1211" s="74"/>
      <c r="AT1211" s="124"/>
      <c r="AU1211" s="124"/>
    </row>
    <row r="1212" spans="2:47" s="123" customFormat="1">
      <c r="B1212" s="125"/>
      <c r="D1212" s="238"/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74"/>
      <c r="AE1212" s="124"/>
      <c r="AI1212" s="74"/>
      <c r="AM1212" s="74"/>
      <c r="AQ1212" s="74"/>
      <c r="AT1212" s="124"/>
      <c r="AU1212" s="124"/>
    </row>
    <row r="1213" spans="2:47" s="123" customFormat="1">
      <c r="B1213" s="125"/>
      <c r="D1213" s="238"/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74"/>
      <c r="AE1213" s="124"/>
      <c r="AI1213" s="74"/>
      <c r="AM1213" s="74"/>
      <c r="AQ1213" s="74"/>
      <c r="AT1213" s="124"/>
      <c r="AU1213" s="124"/>
    </row>
    <row r="1214" spans="2:47" s="123" customFormat="1">
      <c r="B1214" s="125"/>
      <c r="D1214" s="238"/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74"/>
      <c r="AE1214" s="124"/>
      <c r="AI1214" s="74"/>
      <c r="AM1214" s="74"/>
      <c r="AQ1214" s="74"/>
      <c r="AT1214" s="124"/>
      <c r="AU1214" s="124"/>
    </row>
    <row r="1215" spans="2:47" s="123" customFormat="1">
      <c r="B1215" s="125"/>
      <c r="D1215" s="238"/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74"/>
      <c r="AE1215" s="124"/>
      <c r="AI1215" s="74"/>
      <c r="AM1215" s="74"/>
      <c r="AQ1215" s="74"/>
      <c r="AT1215" s="124"/>
      <c r="AU1215" s="124"/>
    </row>
    <row r="1216" spans="2:47" s="123" customFormat="1">
      <c r="B1216" s="125"/>
      <c r="D1216" s="238"/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74"/>
      <c r="AE1216" s="124"/>
      <c r="AI1216" s="74"/>
      <c r="AM1216" s="74"/>
      <c r="AQ1216" s="74"/>
      <c r="AT1216" s="124"/>
      <c r="AU1216" s="124"/>
    </row>
    <row r="1217" spans="2:47" s="123" customFormat="1">
      <c r="B1217" s="125"/>
      <c r="D1217" s="238"/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74"/>
      <c r="AE1217" s="124"/>
      <c r="AI1217" s="74"/>
      <c r="AM1217" s="74"/>
      <c r="AQ1217" s="74"/>
      <c r="AT1217" s="124"/>
      <c r="AU1217" s="124"/>
    </row>
    <row r="1218" spans="2:47" s="123" customFormat="1">
      <c r="B1218" s="125"/>
      <c r="D1218" s="238"/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74"/>
      <c r="AE1218" s="124"/>
      <c r="AI1218" s="74"/>
      <c r="AM1218" s="74"/>
      <c r="AQ1218" s="74"/>
      <c r="AT1218" s="124"/>
      <c r="AU1218" s="124"/>
    </row>
    <row r="1219" spans="2:47" s="123" customFormat="1">
      <c r="B1219" s="125"/>
      <c r="D1219" s="238"/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74"/>
      <c r="AE1219" s="124"/>
      <c r="AI1219" s="74"/>
      <c r="AM1219" s="74"/>
      <c r="AQ1219" s="74"/>
      <c r="AT1219" s="124"/>
      <c r="AU1219" s="124"/>
    </row>
    <row r="1220" spans="2:47" s="123" customFormat="1">
      <c r="B1220" s="125"/>
      <c r="D1220" s="238"/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74"/>
      <c r="AE1220" s="124"/>
      <c r="AI1220" s="74"/>
      <c r="AM1220" s="74"/>
      <c r="AQ1220" s="74"/>
      <c r="AT1220" s="124"/>
      <c r="AU1220" s="124"/>
    </row>
    <row r="1221" spans="2:47" s="123" customFormat="1">
      <c r="B1221" s="125"/>
      <c r="D1221" s="238"/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74"/>
      <c r="AE1221" s="124"/>
      <c r="AI1221" s="74"/>
      <c r="AM1221" s="74"/>
      <c r="AQ1221" s="74"/>
      <c r="AT1221" s="124"/>
      <c r="AU1221" s="124"/>
    </row>
    <row r="1222" spans="2:47" s="123" customFormat="1">
      <c r="B1222" s="125"/>
      <c r="D1222" s="238"/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74"/>
      <c r="AE1222" s="124"/>
      <c r="AI1222" s="74"/>
      <c r="AM1222" s="74"/>
      <c r="AQ1222" s="74"/>
      <c r="AT1222" s="124"/>
      <c r="AU1222" s="124"/>
    </row>
    <row r="1223" spans="2:47" s="123" customFormat="1">
      <c r="B1223" s="125"/>
      <c r="D1223" s="238"/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74"/>
      <c r="AE1223" s="124"/>
      <c r="AI1223" s="74"/>
      <c r="AM1223" s="74"/>
      <c r="AQ1223" s="74"/>
      <c r="AT1223" s="124"/>
      <c r="AU1223" s="124"/>
    </row>
    <row r="1224" spans="2:47" s="123" customFormat="1">
      <c r="B1224" s="125"/>
      <c r="D1224" s="238"/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74"/>
      <c r="AE1224" s="124"/>
      <c r="AI1224" s="74"/>
      <c r="AM1224" s="74"/>
      <c r="AQ1224" s="74"/>
      <c r="AT1224" s="124"/>
      <c r="AU1224" s="124"/>
    </row>
    <row r="1225" spans="2:47" s="123" customFormat="1">
      <c r="B1225" s="125"/>
      <c r="D1225" s="238"/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74"/>
      <c r="AE1225" s="124"/>
      <c r="AI1225" s="74"/>
      <c r="AM1225" s="74"/>
      <c r="AQ1225" s="74"/>
      <c r="AT1225" s="124"/>
      <c r="AU1225" s="124"/>
    </row>
    <row r="1226" spans="2:47" s="123" customFormat="1">
      <c r="B1226" s="125"/>
      <c r="D1226" s="238"/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74"/>
      <c r="AE1226" s="124"/>
      <c r="AI1226" s="74"/>
      <c r="AM1226" s="74"/>
      <c r="AQ1226" s="74"/>
      <c r="AT1226" s="124"/>
      <c r="AU1226" s="124"/>
    </row>
    <row r="1227" spans="2:47" s="123" customFormat="1">
      <c r="B1227" s="125"/>
      <c r="D1227" s="238"/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74"/>
      <c r="AE1227" s="124"/>
      <c r="AI1227" s="74"/>
      <c r="AM1227" s="74"/>
      <c r="AQ1227" s="74"/>
      <c r="AT1227" s="124"/>
      <c r="AU1227" s="124"/>
    </row>
    <row r="1228" spans="2:47" s="123" customFormat="1">
      <c r="B1228" s="125"/>
      <c r="D1228" s="238"/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74"/>
      <c r="AE1228" s="124"/>
      <c r="AI1228" s="74"/>
      <c r="AM1228" s="74"/>
      <c r="AQ1228" s="74"/>
      <c r="AT1228" s="124"/>
      <c r="AU1228" s="124"/>
    </row>
    <row r="1229" spans="2:47" s="123" customFormat="1">
      <c r="B1229" s="125"/>
      <c r="D1229" s="238"/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74"/>
      <c r="AE1229" s="124"/>
      <c r="AI1229" s="74"/>
      <c r="AM1229" s="74"/>
      <c r="AQ1229" s="74"/>
      <c r="AT1229" s="124"/>
      <c r="AU1229" s="124"/>
    </row>
    <row r="1230" spans="2:47" s="123" customFormat="1">
      <c r="B1230" s="125"/>
      <c r="D1230" s="238"/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74"/>
      <c r="AE1230" s="124"/>
      <c r="AI1230" s="74"/>
      <c r="AM1230" s="74"/>
      <c r="AQ1230" s="74"/>
      <c r="AT1230" s="124"/>
      <c r="AU1230" s="124"/>
    </row>
    <row r="1231" spans="2:47" s="123" customFormat="1">
      <c r="B1231" s="125"/>
      <c r="D1231" s="238"/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74"/>
      <c r="AE1231" s="124"/>
      <c r="AI1231" s="74"/>
      <c r="AM1231" s="74"/>
      <c r="AQ1231" s="74"/>
      <c r="AT1231" s="124"/>
      <c r="AU1231" s="124"/>
    </row>
    <row r="1232" spans="2:47" s="123" customFormat="1">
      <c r="B1232" s="125"/>
      <c r="D1232" s="238"/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74"/>
      <c r="AE1232" s="124"/>
      <c r="AI1232" s="74"/>
      <c r="AM1232" s="74"/>
      <c r="AQ1232" s="74"/>
      <c r="AT1232" s="124"/>
      <c r="AU1232" s="124"/>
    </row>
    <row r="1233" spans="2:47" s="123" customFormat="1">
      <c r="B1233" s="125"/>
      <c r="D1233" s="238"/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74"/>
      <c r="AE1233" s="124"/>
      <c r="AI1233" s="74"/>
      <c r="AM1233" s="74"/>
      <c r="AQ1233" s="74"/>
      <c r="AT1233" s="124"/>
      <c r="AU1233" s="124"/>
    </row>
    <row r="1234" spans="2:47" s="123" customFormat="1">
      <c r="B1234" s="125"/>
      <c r="D1234" s="238"/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74"/>
      <c r="AE1234" s="124"/>
      <c r="AI1234" s="74"/>
      <c r="AM1234" s="74"/>
      <c r="AQ1234" s="74"/>
      <c r="AT1234" s="124"/>
      <c r="AU1234" s="124"/>
    </row>
    <row r="1235" spans="2:47" s="123" customFormat="1">
      <c r="B1235" s="125"/>
      <c r="D1235" s="238"/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74"/>
      <c r="AE1235" s="124"/>
      <c r="AI1235" s="74"/>
      <c r="AM1235" s="74"/>
      <c r="AQ1235" s="74"/>
      <c r="AT1235" s="124"/>
      <c r="AU1235" s="124"/>
    </row>
    <row r="1236" spans="2:47" s="123" customFormat="1">
      <c r="B1236" s="125"/>
      <c r="D1236" s="238"/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74"/>
      <c r="AE1236" s="124"/>
      <c r="AI1236" s="74"/>
      <c r="AM1236" s="74"/>
      <c r="AQ1236" s="74"/>
      <c r="AT1236" s="124"/>
      <c r="AU1236" s="124"/>
    </row>
    <row r="1237" spans="2:47" s="123" customFormat="1">
      <c r="B1237" s="125"/>
      <c r="D1237" s="238"/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74"/>
      <c r="AE1237" s="124"/>
      <c r="AI1237" s="74"/>
      <c r="AM1237" s="74"/>
      <c r="AQ1237" s="74"/>
      <c r="AT1237" s="124"/>
      <c r="AU1237" s="124"/>
    </row>
    <row r="1238" spans="2:47" s="123" customFormat="1">
      <c r="B1238" s="125"/>
      <c r="D1238" s="238"/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74"/>
      <c r="AE1238" s="124"/>
      <c r="AI1238" s="74"/>
      <c r="AM1238" s="74"/>
      <c r="AQ1238" s="74"/>
      <c r="AT1238" s="124"/>
      <c r="AU1238" s="124"/>
    </row>
    <row r="1239" spans="2:47" s="123" customFormat="1">
      <c r="B1239" s="125"/>
      <c r="D1239" s="238"/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74"/>
      <c r="AE1239" s="124"/>
      <c r="AI1239" s="74"/>
      <c r="AM1239" s="74"/>
      <c r="AQ1239" s="74"/>
      <c r="AT1239" s="124"/>
      <c r="AU1239" s="124"/>
    </row>
    <row r="1240" spans="2:47" s="123" customFormat="1">
      <c r="B1240" s="125"/>
      <c r="D1240" s="238"/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74"/>
      <c r="AE1240" s="124"/>
      <c r="AI1240" s="74"/>
      <c r="AM1240" s="74"/>
      <c r="AQ1240" s="74"/>
      <c r="AT1240" s="124"/>
      <c r="AU1240" s="124"/>
    </row>
    <row r="1241" spans="2:47" s="123" customFormat="1">
      <c r="B1241" s="125"/>
      <c r="D1241" s="238"/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74"/>
      <c r="AE1241" s="124"/>
      <c r="AI1241" s="74"/>
      <c r="AM1241" s="74"/>
      <c r="AQ1241" s="74"/>
      <c r="AT1241" s="124"/>
      <c r="AU1241" s="124"/>
    </row>
    <row r="1242" spans="2:47" s="123" customFormat="1">
      <c r="B1242" s="125"/>
      <c r="D1242" s="238"/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74"/>
      <c r="AE1242" s="124"/>
      <c r="AI1242" s="74"/>
      <c r="AM1242" s="74"/>
      <c r="AQ1242" s="74"/>
      <c r="AT1242" s="124"/>
      <c r="AU1242" s="124"/>
    </row>
    <row r="1243" spans="2:47" s="123" customFormat="1">
      <c r="B1243" s="125"/>
      <c r="D1243" s="238"/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74"/>
      <c r="AE1243" s="124"/>
      <c r="AI1243" s="74"/>
      <c r="AM1243" s="74"/>
      <c r="AQ1243" s="74"/>
      <c r="AT1243" s="124"/>
      <c r="AU1243" s="124"/>
    </row>
    <row r="1244" spans="2:47" s="123" customFormat="1">
      <c r="B1244" s="125"/>
      <c r="D1244" s="238"/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74"/>
      <c r="AE1244" s="124"/>
      <c r="AI1244" s="74"/>
      <c r="AM1244" s="74"/>
      <c r="AQ1244" s="74"/>
      <c r="AT1244" s="124"/>
      <c r="AU1244" s="124"/>
    </row>
    <row r="1245" spans="2:47" s="123" customFormat="1">
      <c r="B1245" s="125"/>
      <c r="D1245" s="238"/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74"/>
      <c r="AE1245" s="124"/>
      <c r="AI1245" s="74"/>
      <c r="AM1245" s="74"/>
      <c r="AQ1245" s="74"/>
      <c r="AT1245" s="124"/>
      <c r="AU1245" s="124"/>
    </row>
    <row r="1246" spans="2:47" s="123" customFormat="1">
      <c r="B1246" s="125"/>
      <c r="D1246" s="238"/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74"/>
      <c r="AE1246" s="124"/>
      <c r="AI1246" s="74"/>
      <c r="AM1246" s="74"/>
      <c r="AQ1246" s="74"/>
      <c r="AT1246" s="124"/>
      <c r="AU1246" s="124"/>
    </row>
    <row r="1247" spans="2:47" s="123" customFormat="1">
      <c r="B1247" s="125"/>
      <c r="D1247" s="238"/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74"/>
      <c r="AE1247" s="124"/>
      <c r="AI1247" s="74"/>
      <c r="AM1247" s="74"/>
      <c r="AQ1247" s="74"/>
      <c r="AT1247" s="124"/>
      <c r="AU1247" s="124"/>
    </row>
    <row r="1248" spans="2:47" s="123" customFormat="1">
      <c r="B1248" s="125"/>
      <c r="D1248" s="238"/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74"/>
      <c r="AE1248" s="124"/>
      <c r="AI1248" s="74"/>
      <c r="AM1248" s="74"/>
      <c r="AQ1248" s="74"/>
      <c r="AT1248" s="124"/>
      <c r="AU1248" s="124"/>
    </row>
    <row r="1249" spans="2:47" s="123" customFormat="1">
      <c r="B1249" s="125"/>
      <c r="D1249" s="238"/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74"/>
      <c r="AE1249" s="124"/>
      <c r="AI1249" s="74"/>
      <c r="AM1249" s="74"/>
      <c r="AQ1249" s="74"/>
      <c r="AT1249" s="124"/>
      <c r="AU1249" s="124"/>
    </row>
    <row r="1250" spans="2:47" s="123" customFormat="1">
      <c r="B1250" s="125"/>
      <c r="D1250" s="238"/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74"/>
      <c r="AE1250" s="124"/>
      <c r="AI1250" s="74"/>
      <c r="AM1250" s="74"/>
      <c r="AQ1250" s="74"/>
      <c r="AT1250" s="124"/>
      <c r="AU1250" s="124"/>
    </row>
    <row r="1251" spans="2:47" s="123" customFormat="1">
      <c r="B1251" s="125"/>
      <c r="D1251" s="238"/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74"/>
      <c r="AE1251" s="124"/>
      <c r="AI1251" s="74"/>
      <c r="AM1251" s="74"/>
      <c r="AQ1251" s="74"/>
      <c r="AT1251" s="124"/>
      <c r="AU1251" s="124"/>
    </row>
    <row r="1252" spans="2:47" s="123" customFormat="1">
      <c r="B1252" s="125"/>
      <c r="D1252" s="238"/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74"/>
      <c r="AE1252" s="124"/>
      <c r="AI1252" s="74"/>
      <c r="AM1252" s="74"/>
      <c r="AQ1252" s="74"/>
      <c r="AT1252" s="124"/>
      <c r="AU1252" s="124"/>
    </row>
    <row r="1253" spans="2:47" s="123" customFormat="1">
      <c r="B1253" s="125"/>
      <c r="D1253" s="238"/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74"/>
      <c r="AE1253" s="124"/>
      <c r="AI1253" s="74"/>
      <c r="AM1253" s="74"/>
      <c r="AQ1253" s="74"/>
      <c r="AT1253" s="124"/>
      <c r="AU1253" s="124"/>
    </row>
    <row r="1254" spans="2:47" s="123" customFormat="1">
      <c r="B1254" s="125"/>
      <c r="D1254" s="238"/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74"/>
      <c r="AE1254" s="124"/>
      <c r="AI1254" s="74"/>
      <c r="AM1254" s="74"/>
      <c r="AQ1254" s="74"/>
      <c r="AT1254" s="124"/>
      <c r="AU1254" s="124"/>
    </row>
    <row r="1255" spans="2:47" s="123" customFormat="1">
      <c r="B1255" s="125"/>
      <c r="D1255" s="238"/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74"/>
      <c r="AE1255" s="124"/>
      <c r="AI1255" s="74"/>
      <c r="AM1255" s="74"/>
      <c r="AQ1255" s="74"/>
      <c r="AT1255" s="124"/>
      <c r="AU1255" s="124"/>
    </row>
    <row r="1256" spans="2:47" s="123" customFormat="1">
      <c r="B1256" s="125"/>
      <c r="D1256" s="238"/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74"/>
      <c r="AE1256" s="124"/>
      <c r="AI1256" s="74"/>
      <c r="AM1256" s="74"/>
      <c r="AQ1256" s="74"/>
      <c r="AT1256" s="124"/>
      <c r="AU1256" s="124"/>
    </row>
    <row r="1257" spans="2:47" s="123" customFormat="1">
      <c r="B1257" s="125"/>
      <c r="D1257" s="238"/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74"/>
      <c r="AE1257" s="124"/>
      <c r="AI1257" s="74"/>
      <c r="AM1257" s="74"/>
      <c r="AQ1257" s="74"/>
      <c r="AT1257" s="124"/>
      <c r="AU1257" s="124"/>
    </row>
    <row r="1258" spans="2:47" s="123" customFormat="1">
      <c r="B1258" s="125"/>
      <c r="D1258" s="238"/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74"/>
      <c r="AE1258" s="124"/>
      <c r="AI1258" s="74"/>
      <c r="AM1258" s="74"/>
      <c r="AQ1258" s="74"/>
      <c r="AT1258" s="124"/>
      <c r="AU1258" s="124"/>
    </row>
    <row r="1259" spans="2:47" s="123" customFormat="1">
      <c r="B1259" s="125"/>
      <c r="D1259" s="238"/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74"/>
      <c r="AE1259" s="124"/>
      <c r="AI1259" s="74"/>
      <c r="AM1259" s="74"/>
      <c r="AQ1259" s="74"/>
      <c r="AT1259" s="124"/>
      <c r="AU1259" s="124"/>
    </row>
    <row r="1260" spans="2:47" s="123" customFormat="1">
      <c r="B1260" s="125"/>
      <c r="D1260" s="238"/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74"/>
      <c r="AE1260" s="124"/>
      <c r="AI1260" s="74"/>
      <c r="AM1260" s="74"/>
      <c r="AQ1260" s="74"/>
      <c r="AT1260" s="124"/>
      <c r="AU1260" s="124"/>
    </row>
    <row r="1261" spans="2:47" s="123" customFormat="1">
      <c r="B1261" s="125"/>
      <c r="D1261" s="238"/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74"/>
      <c r="AE1261" s="124"/>
      <c r="AI1261" s="74"/>
      <c r="AM1261" s="74"/>
      <c r="AQ1261" s="74"/>
      <c r="AT1261" s="124"/>
      <c r="AU1261" s="124"/>
    </row>
    <row r="1262" spans="2:47" s="123" customFormat="1">
      <c r="B1262" s="125"/>
      <c r="D1262" s="238"/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74"/>
      <c r="AE1262" s="124"/>
      <c r="AI1262" s="74"/>
      <c r="AM1262" s="74"/>
      <c r="AQ1262" s="74"/>
      <c r="AT1262" s="124"/>
      <c r="AU1262" s="124"/>
    </row>
    <row r="1263" spans="2:47" s="123" customFormat="1">
      <c r="B1263" s="125"/>
      <c r="D1263" s="238"/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74"/>
      <c r="AE1263" s="124"/>
      <c r="AI1263" s="74"/>
      <c r="AM1263" s="74"/>
      <c r="AQ1263" s="74"/>
      <c r="AT1263" s="124"/>
      <c r="AU1263" s="124"/>
    </row>
    <row r="1264" spans="2:47" s="123" customFormat="1">
      <c r="B1264" s="125"/>
      <c r="D1264" s="238"/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74"/>
      <c r="AE1264" s="124"/>
      <c r="AI1264" s="74"/>
      <c r="AM1264" s="74"/>
      <c r="AQ1264" s="74"/>
      <c r="AT1264" s="124"/>
      <c r="AU1264" s="124"/>
    </row>
    <row r="1265" spans="2:47" s="123" customFormat="1">
      <c r="B1265" s="125"/>
      <c r="D1265" s="238"/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74"/>
      <c r="AE1265" s="124"/>
      <c r="AI1265" s="74"/>
      <c r="AM1265" s="74"/>
      <c r="AQ1265" s="74"/>
      <c r="AT1265" s="124"/>
      <c r="AU1265" s="124"/>
    </row>
    <row r="1266" spans="2:47" s="123" customFormat="1">
      <c r="B1266" s="125"/>
      <c r="D1266" s="238"/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74"/>
      <c r="AE1266" s="124"/>
      <c r="AI1266" s="74"/>
      <c r="AM1266" s="74"/>
      <c r="AQ1266" s="74"/>
      <c r="AT1266" s="124"/>
      <c r="AU1266" s="124"/>
    </row>
    <row r="1267" spans="2:47" s="123" customFormat="1">
      <c r="B1267" s="125"/>
      <c r="D1267" s="238"/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74"/>
      <c r="AE1267" s="124"/>
      <c r="AI1267" s="74"/>
      <c r="AM1267" s="74"/>
      <c r="AQ1267" s="74"/>
      <c r="AT1267" s="124"/>
      <c r="AU1267" s="124"/>
    </row>
    <row r="1268" spans="2:47" s="123" customFormat="1">
      <c r="B1268" s="125"/>
      <c r="D1268" s="238"/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74"/>
      <c r="AE1268" s="124"/>
      <c r="AI1268" s="74"/>
      <c r="AM1268" s="74"/>
      <c r="AQ1268" s="74"/>
      <c r="AT1268" s="124"/>
      <c r="AU1268" s="124"/>
    </row>
    <row r="1269" spans="2:47" s="123" customFormat="1">
      <c r="B1269" s="125"/>
      <c r="D1269" s="238"/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74"/>
      <c r="AE1269" s="124"/>
      <c r="AI1269" s="74"/>
      <c r="AM1269" s="74"/>
      <c r="AQ1269" s="74"/>
      <c r="AT1269" s="124"/>
      <c r="AU1269" s="124"/>
    </row>
    <row r="1270" spans="2:47" s="123" customFormat="1">
      <c r="B1270" s="125"/>
      <c r="D1270" s="238"/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74"/>
      <c r="AE1270" s="124"/>
      <c r="AI1270" s="74"/>
      <c r="AM1270" s="74"/>
      <c r="AQ1270" s="74"/>
      <c r="AT1270" s="124"/>
      <c r="AU1270" s="124"/>
    </row>
    <row r="1271" spans="2:47" s="123" customFormat="1">
      <c r="B1271" s="125"/>
      <c r="D1271" s="238"/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74"/>
      <c r="AE1271" s="124"/>
      <c r="AI1271" s="74"/>
      <c r="AM1271" s="74"/>
      <c r="AQ1271" s="74"/>
      <c r="AT1271" s="124"/>
      <c r="AU1271" s="124"/>
    </row>
    <row r="1272" spans="2:47" s="123" customFormat="1">
      <c r="B1272" s="125"/>
      <c r="D1272" s="238"/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74"/>
      <c r="AE1272" s="124"/>
      <c r="AI1272" s="74"/>
      <c r="AM1272" s="74"/>
      <c r="AQ1272" s="74"/>
      <c r="AT1272" s="124"/>
      <c r="AU1272" s="124"/>
    </row>
    <row r="1273" spans="2:47" s="123" customFormat="1">
      <c r="B1273" s="125"/>
      <c r="D1273" s="238"/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74"/>
      <c r="AE1273" s="124"/>
      <c r="AI1273" s="74"/>
      <c r="AM1273" s="74"/>
      <c r="AQ1273" s="74"/>
      <c r="AT1273" s="124"/>
      <c r="AU1273" s="124"/>
    </row>
    <row r="1274" spans="2:47" s="123" customFormat="1">
      <c r="B1274" s="125"/>
      <c r="D1274" s="238"/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74"/>
      <c r="AE1274" s="124"/>
      <c r="AI1274" s="74"/>
      <c r="AM1274" s="74"/>
      <c r="AQ1274" s="74"/>
      <c r="AT1274" s="124"/>
      <c r="AU1274" s="124"/>
    </row>
    <row r="1275" spans="2:47" s="123" customFormat="1">
      <c r="B1275" s="125"/>
      <c r="D1275" s="238"/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74"/>
      <c r="AE1275" s="124"/>
      <c r="AI1275" s="74"/>
      <c r="AM1275" s="74"/>
      <c r="AQ1275" s="74"/>
      <c r="AT1275" s="124"/>
      <c r="AU1275" s="124"/>
    </row>
    <row r="1276" spans="2:47" s="123" customFormat="1">
      <c r="B1276" s="125"/>
      <c r="D1276" s="238"/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74"/>
      <c r="AE1276" s="124"/>
      <c r="AI1276" s="74"/>
      <c r="AM1276" s="74"/>
      <c r="AQ1276" s="74"/>
      <c r="AT1276" s="124"/>
      <c r="AU1276" s="124"/>
    </row>
    <row r="1277" spans="2:47" s="123" customFormat="1">
      <c r="B1277" s="125"/>
      <c r="D1277" s="238"/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74"/>
      <c r="AE1277" s="124"/>
      <c r="AI1277" s="74"/>
      <c r="AM1277" s="74"/>
      <c r="AQ1277" s="74"/>
      <c r="AT1277" s="124"/>
      <c r="AU1277" s="124"/>
    </row>
    <row r="1278" spans="2:47" s="123" customFormat="1">
      <c r="B1278" s="125"/>
      <c r="D1278" s="238"/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74"/>
      <c r="AE1278" s="124"/>
      <c r="AI1278" s="74"/>
      <c r="AM1278" s="74"/>
      <c r="AQ1278" s="74"/>
      <c r="AT1278" s="124"/>
      <c r="AU1278" s="124"/>
    </row>
    <row r="1279" spans="2:47" s="123" customFormat="1">
      <c r="B1279" s="125"/>
      <c r="D1279" s="238"/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74"/>
      <c r="AE1279" s="124"/>
      <c r="AI1279" s="74"/>
      <c r="AM1279" s="74"/>
      <c r="AQ1279" s="74"/>
      <c r="AT1279" s="124"/>
      <c r="AU1279" s="124"/>
    </row>
    <row r="1280" spans="2:47" s="123" customFormat="1">
      <c r="B1280" s="125"/>
      <c r="D1280" s="238"/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74"/>
      <c r="AE1280" s="124"/>
      <c r="AI1280" s="74"/>
      <c r="AM1280" s="74"/>
      <c r="AQ1280" s="74"/>
      <c r="AT1280" s="124"/>
      <c r="AU1280" s="124"/>
    </row>
    <row r="1281" spans="2:47" s="123" customFormat="1">
      <c r="B1281" s="125"/>
      <c r="D1281" s="238"/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74"/>
      <c r="AE1281" s="124"/>
      <c r="AI1281" s="74"/>
      <c r="AM1281" s="74"/>
      <c r="AQ1281" s="74"/>
      <c r="AT1281" s="124"/>
      <c r="AU1281" s="124"/>
    </row>
    <row r="1282" spans="2:47" s="123" customFormat="1">
      <c r="B1282" s="125"/>
      <c r="D1282" s="238"/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74"/>
      <c r="AE1282" s="124"/>
      <c r="AI1282" s="74"/>
      <c r="AM1282" s="74"/>
      <c r="AQ1282" s="74"/>
      <c r="AT1282" s="124"/>
      <c r="AU1282" s="124"/>
    </row>
    <row r="1283" spans="2:47" s="123" customFormat="1">
      <c r="B1283" s="125"/>
      <c r="D1283" s="238"/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74"/>
      <c r="AE1283" s="124"/>
      <c r="AI1283" s="74"/>
      <c r="AM1283" s="74"/>
      <c r="AQ1283" s="74"/>
      <c r="AT1283" s="124"/>
      <c r="AU1283" s="124"/>
    </row>
    <row r="1284" spans="2:47" s="123" customFormat="1">
      <c r="B1284" s="125"/>
      <c r="D1284" s="238"/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74"/>
      <c r="AE1284" s="124"/>
      <c r="AI1284" s="74"/>
      <c r="AM1284" s="74"/>
      <c r="AQ1284" s="74"/>
      <c r="AT1284" s="124"/>
      <c r="AU1284" s="124"/>
    </row>
    <row r="1285" spans="2:47" s="123" customFormat="1">
      <c r="B1285" s="125"/>
      <c r="D1285" s="238"/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74"/>
      <c r="AE1285" s="124"/>
      <c r="AI1285" s="74"/>
      <c r="AM1285" s="74"/>
      <c r="AQ1285" s="74"/>
      <c r="AT1285" s="124"/>
      <c r="AU1285" s="124"/>
    </row>
    <row r="1286" spans="2:47" s="123" customFormat="1">
      <c r="B1286" s="125"/>
      <c r="D1286" s="238"/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74"/>
      <c r="AE1286" s="124"/>
      <c r="AI1286" s="74"/>
      <c r="AM1286" s="74"/>
      <c r="AQ1286" s="74"/>
      <c r="AT1286" s="124"/>
      <c r="AU1286" s="124"/>
    </row>
    <row r="1287" spans="2:47" s="123" customFormat="1">
      <c r="B1287" s="125"/>
      <c r="D1287" s="238"/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74"/>
      <c r="AE1287" s="124"/>
      <c r="AI1287" s="74"/>
      <c r="AM1287" s="74"/>
      <c r="AQ1287" s="74"/>
      <c r="AT1287" s="124"/>
      <c r="AU1287" s="124"/>
    </row>
    <row r="1288" spans="2:47" s="123" customFormat="1">
      <c r="B1288" s="125"/>
      <c r="D1288" s="238"/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74"/>
      <c r="AE1288" s="124"/>
      <c r="AI1288" s="74"/>
      <c r="AM1288" s="74"/>
      <c r="AQ1288" s="74"/>
      <c r="AT1288" s="124"/>
      <c r="AU1288" s="124"/>
    </row>
    <row r="1289" spans="2:47" s="123" customFormat="1">
      <c r="B1289" s="125"/>
      <c r="D1289" s="238"/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74"/>
      <c r="AE1289" s="124"/>
      <c r="AI1289" s="74"/>
      <c r="AM1289" s="74"/>
      <c r="AQ1289" s="74"/>
      <c r="AT1289" s="124"/>
      <c r="AU1289" s="124"/>
    </row>
    <row r="1290" spans="2:47" s="123" customFormat="1">
      <c r="B1290" s="125"/>
      <c r="D1290" s="238"/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74"/>
      <c r="AE1290" s="124"/>
      <c r="AI1290" s="74"/>
      <c r="AM1290" s="74"/>
      <c r="AQ1290" s="74"/>
      <c r="AT1290" s="124"/>
      <c r="AU1290" s="124"/>
    </row>
    <row r="1291" spans="2:47" s="123" customFormat="1">
      <c r="B1291" s="125"/>
      <c r="D1291" s="238"/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74"/>
      <c r="AE1291" s="124"/>
      <c r="AI1291" s="74"/>
      <c r="AM1291" s="74"/>
      <c r="AQ1291" s="74"/>
      <c r="AT1291" s="124"/>
      <c r="AU1291" s="124"/>
    </row>
    <row r="1292" spans="2:47" s="123" customFormat="1">
      <c r="B1292" s="125"/>
      <c r="D1292" s="238"/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74"/>
      <c r="AE1292" s="124"/>
      <c r="AI1292" s="74"/>
      <c r="AM1292" s="74"/>
      <c r="AQ1292" s="74"/>
      <c r="AT1292" s="124"/>
      <c r="AU1292" s="124"/>
    </row>
    <row r="1293" spans="2:47" s="123" customFormat="1">
      <c r="B1293" s="125"/>
      <c r="D1293" s="238"/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74"/>
      <c r="AE1293" s="124"/>
      <c r="AI1293" s="74"/>
      <c r="AM1293" s="74"/>
      <c r="AQ1293" s="74"/>
      <c r="AT1293" s="124"/>
      <c r="AU1293" s="124"/>
    </row>
    <row r="1294" spans="2:47" s="123" customFormat="1">
      <c r="B1294" s="125"/>
      <c r="D1294" s="238"/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74"/>
      <c r="AE1294" s="124"/>
      <c r="AI1294" s="74"/>
      <c r="AM1294" s="74"/>
      <c r="AQ1294" s="74"/>
      <c r="AT1294" s="124"/>
      <c r="AU1294" s="124"/>
    </row>
    <row r="1295" spans="2:47" s="123" customFormat="1">
      <c r="B1295" s="125"/>
      <c r="D1295" s="238"/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74"/>
      <c r="AE1295" s="124"/>
      <c r="AI1295" s="74"/>
      <c r="AM1295" s="74"/>
      <c r="AQ1295" s="74"/>
      <c r="AT1295" s="124"/>
      <c r="AU1295" s="124"/>
    </row>
    <row r="1296" spans="2:47" s="123" customFormat="1">
      <c r="B1296" s="125"/>
      <c r="D1296" s="238"/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74"/>
      <c r="AE1296" s="124"/>
      <c r="AI1296" s="74"/>
      <c r="AM1296" s="74"/>
      <c r="AQ1296" s="74"/>
      <c r="AT1296" s="124"/>
      <c r="AU1296" s="124"/>
    </row>
    <row r="1297" spans="2:47" s="123" customFormat="1">
      <c r="B1297" s="125"/>
      <c r="D1297" s="238"/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74"/>
      <c r="AE1297" s="124"/>
      <c r="AI1297" s="74"/>
      <c r="AM1297" s="74"/>
      <c r="AQ1297" s="74"/>
      <c r="AT1297" s="124"/>
      <c r="AU1297" s="124"/>
    </row>
    <row r="1298" spans="2:47" s="123" customFormat="1">
      <c r="B1298" s="125"/>
      <c r="D1298" s="238"/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74"/>
      <c r="AE1298" s="124"/>
      <c r="AI1298" s="74"/>
      <c r="AM1298" s="74"/>
      <c r="AQ1298" s="74"/>
      <c r="AT1298" s="124"/>
      <c r="AU1298" s="124"/>
    </row>
    <row r="1299" spans="2:47" s="123" customFormat="1">
      <c r="B1299" s="125"/>
      <c r="D1299" s="238"/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74"/>
      <c r="AE1299" s="124"/>
      <c r="AI1299" s="74"/>
      <c r="AM1299" s="74"/>
      <c r="AQ1299" s="74"/>
      <c r="AT1299" s="124"/>
      <c r="AU1299" s="124"/>
    </row>
    <row r="1300" spans="2:47" s="123" customFormat="1">
      <c r="B1300" s="125"/>
      <c r="D1300" s="238"/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74"/>
      <c r="AE1300" s="124"/>
      <c r="AI1300" s="74"/>
      <c r="AM1300" s="74"/>
      <c r="AQ1300" s="74"/>
      <c r="AT1300" s="124"/>
      <c r="AU1300" s="124"/>
    </row>
    <row r="1301" spans="2:47" s="123" customFormat="1">
      <c r="B1301" s="125"/>
      <c r="D1301" s="238"/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74"/>
      <c r="AE1301" s="124"/>
      <c r="AI1301" s="74"/>
      <c r="AM1301" s="74"/>
      <c r="AQ1301" s="74"/>
      <c r="AT1301" s="124"/>
      <c r="AU1301" s="124"/>
    </row>
    <row r="1302" spans="2:47" s="123" customFormat="1">
      <c r="B1302" s="125"/>
      <c r="D1302" s="238"/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74"/>
      <c r="AE1302" s="124"/>
      <c r="AI1302" s="74"/>
      <c r="AM1302" s="74"/>
      <c r="AQ1302" s="74"/>
      <c r="AT1302" s="124"/>
      <c r="AU1302" s="124"/>
    </row>
    <row r="1303" spans="2:47" s="123" customFormat="1">
      <c r="B1303" s="125"/>
      <c r="D1303" s="238"/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74"/>
      <c r="AE1303" s="124"/>
      <c r="AI1303" s="74"/>
      <c r="AM1303" s="74"/>
      <c r="AQ1303" s="74"/>
      <c r="AT1303" s="124"/>
      <c r="AU1303" s="124"/>
    </row>
    <row r="1304" spans="2:47" s="123" customFormat="1">
      <c r="B1304" s="125"/>
      <c r="D1304" s="238"/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74"/>
      <c r="AE1304" s="124"/>
      <c r="AI1304" s="74"/>
      <c r="AM1304" s="74"/>
      <c r="AQ1304" s="74"/>
      <c r="AT1304" s="124"/>
      <c r="AU1304" s="124"/>
    </row>
    <row r="1305" spans="2:47" s="123" customFormat="1">
      <c r="B1305" s="125"/>
      <c r="D1305" s="238"/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74"/>
      <c r="AE1305" s="124"/>
      <c r="AI1305" s="74"/>
      <c r="AM1305" s="74"/>
      <c r="AQ1305" s="74"/>
      <c r="AT1305" s="124"/>
      <c r="AU1305" s="124"/>
    </row>
    <row r="1306" spans="2:47" s="123" customFormat="1">
      <c r="B1306" s="125"/>
      <c r="D1306" s="238"/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74"/>
      <c r="AE1306" s="124"/>
      <c r="AI1306" s="74"/>
      <c r="AM1306" s="74"/>
      <c r="AQ1306" s="74"/>
      <c r="AT1306" s="124"/>
      <c r="AU1306" s="124"/>
    </row>
    <row r="1307" spans="2:47" s="123" customFormat="1">
      <c r="B1307" s="125"/>
      <c r="D1307" s="238"/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74"/>
      <c r="AE1307" s="124"/>
      <c r="AI1307" s="74"/>
      <c r="AM1307" s="74"/>
      <c r="AQ1307" s="74"/>
      <c r="AT1307" s="124"/>
      <c r="AU1307" s="124"/>
    </row>
    <row r="1308" spans="2:47" s="123" customFormat="1">
      <c r="B1308" s="125"/>
      <c r="D1308" s="238"/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74"/>
      <c r="AE1308" s="124"/>
      <c r="AI1308" s="74"/>
      <c r="AM1308" s="74"/>
      <c r="AQ1308" s="74"/>
      <c r="AT1308" s="124"/>
      <c r="AU1308" s="124"/>
    </row>
    <row r="1309" spans="2:47" s="123" customFormat="1">
      <c r="B1309" s="125"/>
      <c r="D1309" s="238"/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74"/>
      <c r="AE1309" s="124"/>
      <c r="AI1309" s="74"/>
      <c r="AM1309" s="74"/>
      <c r="AQ1309" s="74"/>
      <c r="AT1309" s="124"/>
      <c r="AU1309" s="124"/>
    </row>
    <row r="1310" spans="2:47" s="123" customFormat="1">
      <c r="B1310" s="125"/>
      <c r="D1310" s="238"/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74"/>
      <c r="AE1310" s="124"/>
      <c r="AI1310" s="74"/>
      <c r="AM1310" s="74"/>
      <c r="AQ1310" s="74"/>
      <c r="AT1310" s="124"/>
      <c r="AU1310" s="124"/>
    </row>
    <row r="1311" spans="2:47" s="123" customFormat="1">
      <c r="B1311" s="125"/>
      <c r="D1311" s="238"/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74"/>
      <c r="AE1311" s="124"/>
      <c r="AI1311" s="74"/>
      <c r="AM1311" s="74"/>
      <c r="AQ1311" s="74"/>
      <c r="AT1311" s="124"/>
      <c r="AU1311" s="124"/>
    </row>
    <row r="1312" spans="2:47" s="123" customFormat="1">
      <c r="B1312" s="125"/>
      <c r="D1312" s="238"/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74"/>
      <c r="AE1312" s="124"/>
      <c r="AI1312" s="74"/>
      <c r="AM1312" s="74"/>
      <c r="AQ1312" s="74"/>
      <c r="AT1312" s="124"/>
      <c r="AU1312" s="124"/>
    </row>
    <row r="1313" spans="2:47" s="123" customFormat="1">
      <c r="B1313" s="125"/>
      <c r="D1313" s="238"/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74"/>
      <c r="AE1313" s="124"/>
      <c r="AI1313" s="74"/>
      <c r="AM1313" s="74"/>
      <c r="AQ1313" s="74"/>
      <c r="AT1313" s="124"/>
      <c r="AU1313" s="124"/>
    </row>
    <row r="1314" spans="2:47" s="123" customFormat="1">
      <c r="B1314" s="125"/>
      <c r="D1314" s="238"/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74"/>
      <c r="AE1314" s="124"/>
      <c r="AI1314" s="74"/>
      <c r="AM1314" s="74"/>
      <c r="AQ1314" s="74"/>
      <c r="AT1314" s="124"/>
      <c r="AU1314" s="124"/>
    </row>
    <row r="1315" spans="2:47" s="123" customFormat="1">
      <c r="B1315" s="125"/>
      <c r="D1315" s="238"/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74"/>
      <c r="AE1315" s="124"/>
      <c r="AI1315" s="74"/>
      <c r="AM1315" s="74"/>
      <c r="AQ1315" s="74"/>
      <c r="AT1315" s="124"/>
      <c r="AU1315" s="124"/>
    </row>
    <row r="1316" spans="2:47" s="123" customFormat="1">
      <c r="B1316" s="125"/>
      <c r="D1316" s="238"/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74"/>
      <c r="AE1316" s="124"/>
      <c r="AI1316" s="74"/>
      <c r="AM1316" s="74"/>
      <c r="AQ1316" s="74"/>
      <c r="AT1316" s="124"/>
      <c r="AU1316" s="124"/>
    </row>
    <row r="1317" spans="2:47" s="123" customFormat="1">
      <c r="B1317" s="125"/>
      <c r="D1317" s="238"/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74"/>
      <c r="AE1317" s="124"/>
      <c r="AI1317" s="74"/>
      <c r="AM1317" s="74"/>
      <c r="AQ1317" s="74"/>
      <c r="AT1317" s="124"/>
      <c r="AU1317" s="124"/>
    </row>
    <row r="1318" spans="2:47" s="123" customFormat="1">
      <c r="B1318" s="125"/>
      <c r="D1318" s="238"/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74"/>
      <c r="AE1318" s="124"/>
      <c r="AI1318" s="74"/>
      <c r="AM1318" s="74"/>
      <c r="AQ1318" s="74"/>
      <c r="AT1318" s="124"/>
      <c r="AU1318" s="124"/>
    </row>
    <row r="1319" spans="2:47" s="123" customFormat="1">
      <c r="B1319" s="125"/>
      <c r="D1319" s="238"/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74"/>
      <c r="AE1319" s="124"/>
      <c r="AI1319" s="74"/>
      <c r="AM1319" s="74"/>
      <c r="AQ1319" s="74"/>
      <c r="AT1319" s="124"/>
      <c r="AU1319" s="124"/>
    </row>
    <row r="1320" spans="2:47" s="123" customFormat="1">
      <c r="B1320" s="125"/>
      <c r="D1320" s="238"/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74"/>
      <c r="AE1320" s="124"/>
      <c r="AI1320" s="74"/>
      <c r="AM1320" s="74"/>
      <c r="AQ1320" s="74"/>
      <c r="AT1320" s="124"/>
      <c r="AU1320" s="124"/>
    </row>
    <row r="1321" spans="2:47" s="123" customFormat="1">
      <c r="B1321" s="125"/>
      <c r="D1321" s="238"/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74"/>
      <c r="AE1321" s="124"/>
      <c r="AI1321" s="74"/>
      <c r="AM1321" s="74"/>
      <c r="AQ1321" s="74"/>
      <c r="AT1321" s="124"/>
      <c r="AU1321" s="124"/>
    </row>
    <row r="1322" spans="2:47" s="123" customFormat="1">
      <c r="B1322" s="125"/>
      <c r="D1322" s="238"/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74"/>
      <c r="AE1322" s="124"/>
      <c r="AI1322" s="74"/>
      <c r="AM1322" s="74"/>
      <c r="AQ1322" s="74"/>
      <c r="AT1322" s="124"/>
      <c r="AU1322" s="124"/>
    </row>
    <row r="1323" spans="2:47" s="123" customFormat="1">
      <c r="B1323" s="125"/>
      <c r="D1323" s="238"/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74"/>
      <c r="AE1323" s="124"/>
      <c r="AI1323" s="74"/>
      <c r="AM1323" s="74"/>
      <c r="AQ1323" s="74"/>
      <c r="AT1323" s="124"/>
      <c r="AU1323" s="124"/>
    </row>
    <row r="1324" spans="2:47" s="123" customFormat="1">
      <c r="B1324" s="125"/>
      <c r="D1324" s="238"/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74"/>
      <c r="AE1324" s="124"/>
      <c r="AI1324" s="74"/>
      <c r="AM1324" s="74"/>
      <c r="AQ1324" s="74"/>
      <c r="AT1324" s="124"/>
      <c r="AU1324" s="124"/>
    </row>
    <row r="1325" spans="2:47" s="123" customFormat="1">
      <c r="B1325" s="125"/>
      <c r="D1325" s="238"/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74"/>
      <c r="AE1325" s="124"/>
      <c r="AI1325" s="74"/>
      <c r="AM1325" s="74"/>
      <c r="AQ1325" s="74"/>
      <c r="AT1325" s="124"/>
      <c r="AU1325" s="124"/>
    </row>
    <row r="1326" spans="2:47" s="123" customFormat="1">
      <c r="B1326" s="125"/>
      <c r="D1326" s="238"/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74"/>
      <c r="AE1326" s="124"/>
      <c r="AI1326" s="74"/>
      <c r="AM1326" s="74"/>
      <c r="AQ1326" s="74"/>
      <c r="AT1326" s="124"/>
      <c r="AU1326" s="124"/>
    </row>
    <row r="1327" spans="2:47" s="123" customFormat="1">
      <c r="B1327" s="125"/>
      <c r="D1327" s="238"/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74"/>
      <c r="AE1327" s="124"/>
      <c r="AI1327" s="74"/>
      <c r="AM1327" s="74"/>
      <c r="AQ1327" s="74"/>
      <c r="AT1327" s="124"/>
      <c r="AU1327" s="124"/>
    </row>
    <row r="1328" spans="2:47" s="123" customFormat="1">
      <c r="B1328" s="125"/>
      <c r="D1328" s="238"/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74"/>
      <c r="AE1328" s="124"/>
      <c r="AI1328" s="74"/>
      <c r="AM1328" s="74"/>
      <c r="AQ1328" s="74"/>
      <c r="AT1328" s="124"/>
      <c r="AU1328" s="124"/>
    </row>
    <row r="1329" spans="2:47" s="123" customFormat="1">
      <c r="B1329" s="125"/>
      <c r="D1329" s="238"/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74"/>
      <c r="AE1329" s="124"/>
      <c r="AI1329" s="74"/>
      <c r="AM1329" s="74"/>
      <c r="AQ1329" s="74"/>
      <c r="AT1329" s="124"/>
      <c r="AU1329" s="124"/>
    </row>
    <row r="1330" spans="2:47" s="123" customFormat="1">
      <c r="B1330" s="125"/>
      <c r="D1330" s="238"/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74"/>
      <c r="AE1330" s="124"/>
      <c r="AI1330" s="74"/>
      <c r="AM1330" s="74"/>
      <c r="AQ1330" s="74"/>
      <c r="AT1330" s="124"/>
      <c r="AU1330" s="124"/>
    </row>
    <row r="1331" spans="2:47" s="123" customFormat="1">
      <c r="B1331" s="125"/>
      <c r="D1331" s="238"/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74"/>
      <c r="AE1331" s="124"/>
      <c r="AI1331" s="74"/>
      <c r="AM1331" s="74"/>
      <c r="AQ1331" s="74"/>
      <c r="AT1331" s="124"/>
      <c r="AU1331" s="124"/>
    </row>
    <row r="1332" spans="2:47" s="123" customFormat="1">
      <c r="B1332" s="125"/>
      <c r="D1332" s="238"/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74"/>
      <c r="AE1332" s="124"/>
      <c r="AI1332" s="74"/>
      <c r="AM1332" s="74"/>
      <c r="AQ1332" s="74"/>
      <c r="AT1332" s="124"/>
      <c r="AU1332" s="124"/>
    </row>
    <row r="1333" spans="2:47" s="123" customFormat="1">
      <c r="B1333" s="125"/>
      <c r="D1333" s="238"/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74"/>
      <c r="AE1333" s="124"/>
      <c r="AI1333" s="74"/>
      <c r="AM1333" s="74"/>
      <c r="AQ1333" s="74"/>
      <c r="AT1333" s="124"/>
      <c r="AU1333" s="124"/>
    </row>
    <row r="1334" spans="2:47" s="123" customFormat="1">
      <c r="B1334" s="125"/>
      <c r="D1334" s="238"/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74"/>
      <c r="AE1334" s="124"/>
      <c r="AI1334" s="74"/>
      <c r="AM1334" s="74"/>
      <c r="AQ1334" s="74"/>
      <c r="AT1334" s="124"/>
      <c r="AU1334" s="124"/>
    </row>
    <row r="1335" spans="2:47" s="123" customFormat="1">
      <c r="B1335" s="125"/>
      <c r="D1335" s="238"/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74"/>
      <c r="AE1335" s="124"/>
      <c r="AI1335" s="74"/>
      <c r="AM1335" s="74"/>
      <c r="AQ1335" s="74"/>
      <c r="AT1335" s="124"/>
      <c r="AU1335" s="124"/>
    </row>
    <row r="1336" spans="2:47" s="123" customFormat="1">
      <c r="B1336" s="125"/>
      <c r="D1336" s="238"/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74"/>
      <c r="AE1336" s="124"/>
      <c r="AI1336" s="74"/>
      <c r="AM1336" s="74"/>
      <c r="AQ1336" s="74"/>
      <c r="AT1336" s="124"/>
      <c r="AU1336" s="124"/>
    </row>
    <row r="1337" spans="2:47" s="123" customFormat="1">
      <c r="B1337" s="125"/>
      <c r="D1337" s="238"/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74"/>
      <c r="AE1337" s="124"/>
      <c r="AI1337" s="74"/>
      <c r="AM1337" s="74"/>
      <c r="AQ1337" s="74"/>
      <c r="AT1337" s="124"/>
      <c r="AU1337" s="124"/>
    </row>
    <row r="1338" spans="2:47" s="123" customFormat="1">
      <c r="B1338" s="125"/>
      <c r="D1338" s="238"/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74"/>
      <c r="AE1338" s="124"/>
      <c r="AI1338" s="74"/>
      <c r="AM1338" s="74"/>
      <c r="AQ1338" s="74"/>
      <c r="AT1338" s="124"/>
      <c r="AU1338" s="124"/>
    </row>
    <row r="1339" spans="2:47" s="123" customFormat="1">
      <c r="B1339" s="125"/>
      <c r="D1339" s="238"/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74"/>
      <c r="AE1339" s="124"/>
      <c r="AI1339" s="74"/>
      <c r="AM1339" s="74"/>
      <c r="AQ1339" s="74"/>
      <c r="AT1339" s="124"/>
      <c r="AU1339" s="124"/>
    </row>
    <row r="1340" spans="2:47" s="123" customFormat="1">
      <c r="B1340" s="125"/>
      <c r="D1340" s="238"/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74"/>
      <c r="AE1340" s="124"/>
      <c r="AI1340" s="74"/>
      <c r="AM1340" s="74"/>
      <c r="AQ1340" s="74"/>
      <c r="AT1340" s="124"/>
      <c r="AU1340" s="124"/>
    </row>
    <row r="1341" spans="2:47" s="123" customFormat="1">
      <c r="B1341" s="125"/>
      <c r="D1341" s="238"/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74"/>
      <c r="AE1341" s="124"/>
      <c r="AI1341" s="74"/>
      <c r="AM1341" s="74"/>
      <c r="AQ1341" s="74"/>
      <c r="AT1341" s="124"/>
      <c r="AU1341" s="124"/>
    </row>
    <row r="1342" spans="2:47" s="123" customFormat="1">
      <c r="B1342" s="125"/>
      <c r="D1342" s="238"/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74"/>
      <c r="AE1342" s="124"/>
      <c r="AI1342" s="74"/>
      <c r="AM1342" s="74"/>
      <c r="AQ1342" s="74"/>
      <c r="AT1342" s="124"/>
      <c r="AU1342" s="124"/>
    </row>
    <row r="1343" spans="2:47" s="123" customFormat="1">
      <c r="B1343" s="125"/>
      <c r="D1343" s="238"/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74"/>
      <c r="AE1343" s="124"/>
      <c r="AI1343" s="74"/>
      <c r="AM1343" s="74"/>
      <c r="AQ1343" s="74"/>
      <c r="AT1343" s="124"/>
      <c r="AU1343" s="124"/>
    </row>
    <row r="1344" spans="2:47" s="123" customFormat="1">
      <c r="B1344" s="125"/>
      <c r="D1344" s="238"/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74"/>
      <c r="AE1344" s="124"/>
      <c r="AI1344" s="74"/>
      <c r="AM1344" s="74"/>
      <c r="AQ1344" s="74"/>
      <c r="AT1344" s="124"/>
      <c r="AU1344" s="124"/>
    </row>
    <row r="1345" spans="2:47" s="123" customFormat="1">
      <c r="B1345" s="125"/>
      <c r="D1345" s="238"/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74"/>
      <c r="AE1345" s="124"/>
      <c r="AI1345" s="74"/>
      <c r="AM1345" s="74"/>
      <c r="AQ1345" s="74"/>
      <c r="AT1345" s="124"/>
      <c r="AU1345" s="124"/>
    </row>
    <row r="1346" spans="2:47" s="123" customFormat="1">
      <c r="B1346" s="125"/>
      <c r="D1346" s="238"/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74"/>
      <c r="AE1346" s="124"/>
      <c r="AI1346" s="74"/>
      <c r="AM1346" s="74"/>
      <c r="AQ1346" s="74"/>
      <c r="AT1346" s="124"/>
      <c r="AU1346" s="124"/>
    </row>
    <row r="1347" spans="2:47" s="123" customFormat="1">
      <c r="B1347" s="125"/>
      <c r="D1347" s="238"/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74"/>
      <c r="AE1347" s="124"/>
      <c r="AI1347" s="74"/>
      <c r="AM1347" s="74"/>
      <c r="AQ1347" s="74"/>
      <c r="AT1347" s="124"/>
      <c r="AU1347" s="124"/>
    </row>
    <row r="1348" spans="2:47" s="123" customFormat="1">
      <c r="B1348" s="125"/>
      <c r="D1348" s="238"/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74"/>
      <c r="AE1348" s="124"/>
      <c r="AI1348" s="74"/>
      <c r="AM1348" s="74"/>
      <c r="AQ1348" s="74"/>
      <c r="AT1348" s="124"/>
      <c r="AU1348" s="124"/>
    </row>
    <row r="1349" spans="2:47" s="123" customFormat="1">
      <c r="B1349" s="125"/>
      <c r="D1349" s="238"/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74"/>
      <c r="AE1349" s="124"/>
      <c r="AI1349" s="74"/>
      <c r="AM1349" s="74"/>
      <c r="AQ1349" s="74"/>
      <c r="AT1349" s="124"/>
      <c r="AU1349" s="124"/>
    </row>
    <row r="1350" spans="2:47" s="123" customFormat="1">
      <c r="B1350" s="125"/>
      <c r="D1350" s="238"/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74"/>
      <c r="AE1350" s="124"/>
      <c r="AI1350" s="74"/>
      <c r="AM1350" s="74"/>
      <c r="AQ1350" s="74"/>
      <c r="AT1350" s="124"/>
      <c r="AU1350" s="124"/>
    </row>
    <row r="1351" spans="2:47" s="123" customFormat="1">
      <c r="B1351" s="125"/>
      <c r="D1351" s="238"/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74"/>
      <c r="AE1351" s="124"/>
      <c r="AI1351" s="74"/>
      <c r="AM1351" s="74"/>
      <c r="AQ1351" s="74"/>
      <c r="AT1351" s="124"/>
      <c r="AU1351" s="124"/>
    </row>
    <row r="1352" spans="2:47" s="123" customFormat="1">
      <c r="B1352" s="125"/>
      <c r="D1352" s="238"/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74"/>
      <c r="AE1352" s="124"/>
      <c r="AI1352" s="74"/>
      <c r="AM1352" s="74"/>
      <c r="AQ1352" s="74"/>
      <c r="AT1352" s="124"/>
      <c r="AU1352" s="124"/>
    </row>
    <row r="1353" spans="2:47" s="123" customFormat="1">
      <c r="B1353" s="125"/>
      <c r="D1353" s="238"/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74"/>
      <c r="AE1353" s="124"/>
      <c r="AI1353" s="74"/>
      <c r="AM1353" s="74"/>
      <c r="AQ1353" s="74"/>
      <c r="AT1353" s="124"/>
      <c r="AU1353" s="124"/>
    </row>
    <row r="1354" spans="2:47" s="123" customFormat="1">
      <c r="B1354" s="125"/>
      <c r="D1354" s="238"/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74"/>
      <c r="AE1354" s="124"/>
      <c r="AI1354" s="74"/>
      <c r="AM1354" s="74"/>
      <c r="AQ1354" s="74"/>
      <c r="AT1354" s="124"/>
      <c r="AU1354" s="124"/>
    </row>
    <row r="1355" spans="2:47" s="123" customFormat="1">
      <c r="B1355" s="125"/>
      <c r="D1355" s="238"/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74"/>
      <c r="AE1355" s="124"/>
      <c r="AI1355" s="74"/>
      <c r="AM1355" s="74"/>
      <c r="AQ1355" s="74"/>
      <c r="AT1355" s="124"/>
      <c r="AU1355" s="124"/>
    </row>
    <row r="1356" spans="2:47" s="123" customFormat="1">
      <c r="B1356" s="125"/>
      <c r="D1356" s="238"/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74"/>
      <c r="AE1356" s="124"/>
      <c r="AI1356" s="74"/>
      <c r="AM1356" s="74"/>
      <c r="AQ1356" s="74"/>
      <c r="AT1356" s="124"/>
      <c r="AU1356" s="124"/>
    </row>
  </sheetData>
  <mergeCells count="16">
    <mergeCell ref="B8:AC8"/>
    <mergeCell ref="B1:AC2"/>
    <mergeCell ref="B3:AC4"/>
    <mergeCell ref="B5:AC5"/>
    <mergeCell ref="B6:AC6"/>
    <mergeCell ref="B7:AC7"/>
    <mergeCell ref="AD14:AG14"/>
    <mergeCell ref="AH14:AK14"/>
    <mergeCell ref="AL14:AO14"/>
    <mergeCell ref="AP14:AS14"/>
    <mergeCell ref="AT14:AU14"/>
    <mergeCell ref="B143:I143"/>
    <mergeCell ref="B144:E144"/>
    <mergeCell ref="B145:AC145"/>
    <mergeCell ref="B9:AC10"/>
    <mergeCell ref="Z14:AC14"/>
  </mergeCells>
  <conditionalFormatting sqref="D141:D142">
    <cfRule type="duplicateValues" dxfId="114" priority="1"/>
  </conditionalFormatting>
  <conditionalFormatting sqref="D16:D140">
    <cfRule type="duplicateValues" dxfId="113" priority="2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653"/>
  <sheetViews>
    <sheetView topLeftCell="A9" workbookViewId="0">
      <selection activeCell="B9" sqref="B9:AC10"/>
    </sheetView>
  </sheetViews>
  <sheetFormatPr baseColWidth="10" defaultColWidth="11.42578125" defaultRowHeight="11.25"/>
  <cols>
    <col min="1" max="1" width="5" style="123" customWidth="1"/>
    <col min="2" max="2" width="10.140625" style="86" customWidth="1"/>
    <col min="3" max="3" width="9.85546875" style="83" customWidth="1"/>
    <col min="4" max="4" width="11.42578125" style="86" customWidth="1"/>
    <col min="5" max="5" width="41.7109375" style="83" customWidth="1"/>
    <col min="6" max="6" width="13.140625" style="83" customWidth="1"/>
    <col min="7" max="7" width="11.28515625" style="83" customWidth="1"/>
    <col min="8" max="8" width="18.85546875" style="83" customWidth="1"/>
    <col min="9" max="9" width="13.140625" style="83" customWidth="1"/>
    <col min="10" max="10" width="9.7109375" style="83" customWidth="1"/>
    <col min="11" max="11" width="12" style="83" customWidth="1"/>
    <col min="12" max="12" width="12.28515625" style="83" customWidth="1"/>
    <col min="13" max="13" width="12" style="83" customWidth="1"/>
    <col min="14" max="14" width="15.28515625" style="83" customWidth="1"/>
    <col min="15" max="15" width="15" style="83" customWidth="1"/>
    <col min="16" max="16" width="14" style="83" customWidth="1"/>
    <col min="17" max="18" width="12.7109375" style="83" bestFit="1" customWidth="1"/>
    <col min="19" max="24" width="12" style="83" customWidth="1"/>
    <col min="25" max="25" width="13.42578125" style="83" customWidth="1"/>
    <col min="26" max="26" width="13.5703125" style="83" customWidth="1"/>
    <col min="27" max="27" width="10.140625" style="60" customWidth="1"/>
    <col min="28" max="30" width="10.140625" style="83" customWidth="1"/>
    <col min="31" max="31" width="10.140625" style="84" customWidth="1"/>
    <col min="32" max="33" width="10.140625" style="83" customWidth="1"/>
    <col min="34" max="34" width="12.5703125" style="83" customWidth="1"/>
    <col min="35" max="35" width="10.140625" style="60" customWidth="1"/>
    <col min="36" max="38" width="10.140625" style="83" customWidth="1"/>
    <col min="39" max="39" width="10.140625" style="60" customWidth="1"/>
    <col min="40" max="42" width="10.140625" style="83" customWidth="1"/>
    <col min="43" max="43" width="10.140625" style="60" customWidth="1"/>
    <col min="44" max="61" width="10.140625" style="83" customWidth="1"/>
    <col min="62" max="16384" width="11.42578125" style="83"/>
  </cols>
  <sheetData>
    <row r="1" spans="1:63" hidden="1">
      <c r="B1" s="738"/>
      <c r="C1" s="738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  <c r="W1" s="739"/>
      <c r="X1" s="739"/>
      <c r="Y1" s="739"/>
      <c r="Z1" s="739"/>
      <c r="AA1" s="739"/>
      <c r="AB1" s="739"/>
      <c r="AC1" s="739"/>
      <c r="AD1" s="80"/>
      <c r="AE1" s="81"/>
      <c r="AF1" s="80"/>
      <c r="AG1" s="80"/>
      <c r="AH1" s="80"/>
      <c r="AI1" s="82"/>
      <c r="AJ1" s="80"/>
      <c r="AK1" s="80"/>
      <c r="AL1" s="80"/>
      <c r="AM1" s="82"/>
      <c r="AN1" s="80"/>
      <c r="AO1" s="80"/>
      <c r="AP1" s="80"/>
      <c r="AQ1" s="82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</row>
    <row r="2" spans="1:63" hidden="1"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80"/>
      <c r="AE2" s="81"/>
      <c r="AF2" s="80"/>
      <c r="AG2" s="80"/>
      <c r="AH2" s="80"/>
      <c r="AI2" s="82"/>
      <c r="AJ2" s="80"/>
      <c r="AK2" s="80"/>
      <c r="AL2" s="80"/>
      <c r="AM2" s="82"/>
      <c r="AN2" s="80"/>
      <c r="AO2" s="80"/>
      <c r="AP2" s="80"/>
      <c r="AQ2" s="82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</row>
    <row r="3" spans="1:63" ht="12.75" hidden="1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1"/>
      <c r="AE3" s="2"/>
      <c r="AF3" s="1"/>
      <c r="AG3" s="1"/>
      <c r="AH3" s="1"/>
      <c r="AI3" s="3"/>
      <c r="AJ3" s="1"/>
      <c r="AK3" s="1"/>
      <c r="AL3" s="1"/>
      <c r="AM3" s="3"/>
      <c r="AN3" s="1"/>
      <c r="AO3" s="1"/>
      <c r="AP3" s="1"/>
      <c r="AQ3" s="3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</row>
    <row r="4" spans="1:63" ht="21.75" hidden="1" customHeight="1"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1"/>
      <c r="AE4" s="2"/>
      <c r="AF4" s="1"/>
      <c r="AG4" s="1"/>
      <c r="AH4" s="1"/>
      <c r="AI4" s="3"/>
      <c r="AJ4" s="1"/>
      <c r="AK4" s="1"/>
      <c r="AL4" s="1"/>
      <c r="AM4" s="3"/>
      <c r="AN4" s="1"/>
      <c r="AO4" s="1"/>
      <c r="AP4" s="1"/>
      <c r="AQ4" s="3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</row>
    <row r="5" spans="1:63" ht="11.25" hidden="1" customHeight="1">
      <c r="B5" s="740"/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1"/>
      <c r="AE5" s="2"/>
      <c r="AF5" s="1"/>
      <c r="AG5" s="1"/>
      <c r="AH5" s="1"/>
      <c r="AI5" s="3"/>
      <c r="AJ5" s="1"/>
      <c r="AK5" s="1"/>
      <c r="AL5" s="1"/>
      <c r="AM5" s="3"/>
      <c r="AN5" s="1"/>
      <c r="AO5" s="1"/>
      <c r="AP5" s="1"/>
      <c r="AQ5" s="3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</row>
    <row r="6" spans="1:63" ht="15" hidden="1" customHeight="1"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1"/>
      <c r="AE6" s="2"/>
      <c r="AF6" s="1"/>
      <c r="AG6" s="1"/>
      <c r="AH6" s="1"/>
      <c r="AI6" s="3"/>
      <c r="AJ6" s="1"/>
      <c r="AK6" s="1"/>
      <c r="AL6" s="1"/>
      <c r="AM6" s="3"/>
      <c r="AN6" s="1"/>
      <c r="AO6" s="1"/>
      <c r="AP6" s="1"/>
      <c r="AQ6" s="3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</row>
    <row r="7" spans="1:63" ht="21" hidden="1" customHeight="1"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1"/>
      <c r="AE7" s="2"/>
      <c r="AF7" s="1"/>
      <c r="AG7" s="1"/>
      <c r="AH7" s="1"/>
      <c r="AI7" s="3"/>
      <c r="AJ7" s="1"/>
      <c r="AK7" s="1"/>
      <c r="AL7" s="1"/>
      <c r="AM7" s="3"/>
      <c r="AN7" s="1"/>
      <c r="AO7" s="1"/>
      <c r="AP7" s="1"/>
      <c r="AQ7" s="3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</row>
    <row r="8" spans="1:63" ht="16.5" hidden="1" customHeight="1"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1"/>
      <c r="AE8" s="2"/>
      <c r="AF8" s="1"/>
      <c r="AG8" s="1"/>
      <c r="AH8" s="1"/>
      <c r="AI8" s="3"/>
      <c r="AJ8" s="1"/>
      <c r="AK8" s="1"/>
      <c r="AL8" s="1"/>
      <c r="AM8" s="3"/>
      <c r="AN8" s="1"/>
      <c r="AO8" s="1"/>
      <c r="AP8" s="1"/>
      <c r="AQ8" s="3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</row>
    <row r="9" spans="1:63" s="123" customFormat="1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61"/>
      <c r="AE9" s="62"/>
      <c r="AF9" s="61"/>
      <c r="AG9" s="61"/>
      <c r="AH9" s="61"/>
      <c r="AI9" s="63"/>
      <c r="AJ9" s="61"/>
      <c r="AK9" s="61"/>
      <c r="AL9" s="61"/>
      <c r="AM9" s="63"/>
      <c r="AN9" s="61"/>
      <c r="AO9" s="61"/>
      <c r="AP9" s="61"/>
      <c r="AQ9" s="63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</row>
    <row r="10" spans="1:63" s="123" customFormat="1" ht="11.25" customHeight="1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E10" s="124"/>
      <c r="AI10" s="74"/>
      <c r="AM10" s="74"/>
      <c r="AQ10" s="74"/>
    </row>
    <row r="11" spans="1:63" s="123" customFormat="1" ht="18.75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E11" s="124"/>
      <c r="AI11" s="74"/>
      <c r="AM11" s="74"/>
      <c r="AQ11" s="74"/>
    </row>
    <row r="12" spans="1:63" ht="22.5">
      <c r="B12" s="4" t="s">
        <v>1</v>
      </c>
      <c r="C12" s="4" t="s">
        <v>2</v>
      </c>
      <c r="D12" s="5" t="s">
        <v>3</v>
      </c>
      <c r="E12" s="6" t="s">
        <v>4</v>
      </c>
      <c r="F12" s="85"/>
      <c r="G12" s="65"/>
      <c r="H12" s="65"/>
      <c r="I12" s="8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123"/>
      <c r="AE12" s="124"/>
      <c r="AF12" s="123"/>
      <c r="AG12" s="123"/>
      <c r="AH12" s="123"/>
      <c r="AI12" s="74"/>
      <c r="AJ12" s="123"/>
      <c r="AK12" s="123"/>
      <c r="AL12" s="123"/>
      <c r="AM12" s="74"/>
      <c r="AN12" s="123"/>
      <c r="AO12" s="123"/>
      <c r="AP12" s="123"/>
      <c r="AQ12" s="7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</row>
    <row r="13" spans="1:63" ht="18.75">
      <c r="B13" s="8">
        <v>53587829</v>
      </c>
      <c r="C13" s="8">
        <v>37628309</v>
      </c>
      <c r="D13" s="8">
        <v>32852735</v>
      </c>
      <c r="E13" s="8">
        <f>+Y178</f>
        <v>12191179</v>
      </c>
      <c r="F13" s="126"/>
      <c r="G13" s="65"/>
      <c r="H13" s="65"/>
      <c r="I13" s="126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123"/>
      <c r="AE13" s="124"/>
      <c r="AF13" s="123"/>
      <c r="AG13" s="123"/>
      <c r="AH13" s="123"/>
      <c r="AI13" s="74"/>
      <c r="AJ13" s="123"/>
      <c r="AK13" s="123"/>
      <c r="AL13" s="123"/>
      <c r="AM13" s="74"/>
      <c r="AN13" s="123"/>
      <c r="AO13" s="123"/>
      <c r="AP13" s="123"/>
      <c r="AQ13" s="7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</row>
    <row r="14" spans="1:63" ht="15" customHeight="1">
      <c r="C14" s="9"/>
      <c r="D14" s="10"/>
      <c r="E14" s="9"/>
      <c r="F14" s="68"/>
      <c r="G14" s="123"/>
      <c r="H14" s="123"/>
      <c r="I14" s="68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736" t="s">
        <v>5</v>
      </c>
      <c r="AA14" s="737"/>
      <c r="AB14" s="737"/>
      <c r="AC14" s="737"/>
      <c r="AD14" s="728" t="s">
        <v>6</v>
      </c>
      <c r="AE14" s="729"/>
      <c r="AF14" s="729"/>
      <c r="AG14" s="729"/>
      <c r="AH14" s="728" t="s">
        <v>6</v>
      </c>
      <c r="AI14" s="729"/>
      <c r="AJ14" s="729"/>
      <c r="AK14" s="729"/>
      <c r="AL14" s="728" t="s">
        <v>6</v>
      </c>
      <c r="AM14" s="729"/>
      <c r="AN14" s="729"/>
      <c r="AO14" s="729"/>
      <c r="AP14" s="728" t="s">
        <v>6</v>
      </c>
      <c r="AQ14" s="729"/>
      <c r="AR14" s="729"/>
      <c r="AS14" s="729"/>
      <c r="AT14" s="728" t="s">
        <v>6</v>
      </c>
      <c r="AU14" s="729"/>
      <c r="AV14" s="729"/>
      <c r="AW14" s="729"/>
      <c r="AX14" s="728" t="s">
        <v>6</v>
      </c>
      <c r="AY14" s="729"/>
      <c r="AZ14" s="729"/>
      <c r="BA14" s="729"/>
      <c r="BB14" s="728" t="s">
        <v>6</v>
      </c>
      <c r="BC14" s="729"/>
      <c r="BD14" s="729"/>
      <c r="BE14" s="729"/>
      <c r="BF14" s="728" t="s">
        <v>6</v>
      </c>
      <c r="BG14" s="729"/>
      <c r="BH14" s="729"/>
      <c r="BI14" s="729"/>
      <c r="BJ14" s="729" t="s">
        <v>7</v>
      </c>
      <c r="BK14" s="729"/>
    </row>
    <row r="15" spans="1:63" s="96" customFormat="1" ht="55.5" customHeight="1">
      <c r="A15" s="39"/>
      <c r="B15" s="87" t="s">
        <v>8</v>
      </c>
      <c r="C15" s="87" t="s">
        <v>9</v>
      </c>
      <c r="D15" s="87" t="s">
        <v>10</v>
      </c>
      <c r="E15" s="6" t="s">
        <v>11</v>
      </c>
      <c r="F15" s="6" t="s">
        <v>12</v>
      </c>
      <c r="G15" s="6" t="s">
        <v>13</v>
      </c>
      <c r="H15" s="6" t="s">
        <v>14</v>
      </c>
      <c r="I15" s="6" t="s">
        <v>12</v>
      </c>
      <c r="J15" s="6" t="s">
        <v>16</v>
      </c>
      <c r="K15" s="6" t="s">
        <v>17</v>
      </c>
      <c r="L15" s="6" t="s">
        <v>18</v>
      </c>
      <c r="M15" s="88" t="s">
        <v>19</v>
      </c>
      <c r="N15" s="88" t="s">
        <v>20</v>
      </c>
      <c r="O15" s="88" t="s">
        <v>21</v>
      </c>
      <c r="P15" s="88" t="s">
        <v>22</v>
      </c>
      <c r="Q15" s="88" t="s">
        <v>23</v>
      </c>
      <c r="R15" s="89" t="s">
        <v>24</v>
      </c>
      <c r="S15" s="89" t="s">
        <v>25</v>
      </c>
      <c r="T15" s="89" t="s">
        <v>26</v>
      </c>
      <c r="U15" s="89" t="s">
        <v>27</v>
      </c>
      <c r="V15" s="89" t="s">
        <v>28</v>
      </c>
      <c r="W15" s="89" t="s">
        <v>29</v>
      </c>
      <c r="X15" s="89" t="s">
        <v>30</v>
      </c>
      <c r="Y15" s="130" t="s">
        <v>31</v>
      </c>
      <c r="Z15" s="92" t="s">
        <v>32</v>
      </c>
      <c r="AA15" s="91" t="s">
        <v>33</v>
      </c>
      <c r="AB15" s="92" t="s">
        <v>34</v>
      </c>
      <c r="AC15" s="92" t="s">
        <v>35</v>
      </c>
      <c r="AD15" s="94" t="s">
        <v>36</v>
      </c>
      <c r="AE15" s="93" t="s">
        <v>33</v>
      </c>
      <c r="AF15" s="94" t="s">
        <v>34</v>
      </c>
      <c r="AG15" s="94" t="s">
        <v>35</v>
      </c>
      <c r="AH15" s="94" t="s">
        <v>36</v>
      </c>
      <c r="AI15" s="93" t="s">
        <v>33</v>
      </c>
      <c r="AJ15" s="94" t="s">
        <v>34</v>
      </c>
      <c r="AK15" s="94" t="s">
        <v>35</v>
      </c>
      <c r="AL15" s="94" t="s">
        <v>36</v>
      </c>
      <c r="AM15" s="93" t="s">
        <v>33</v>
      </c>
      <c r="AN15" s="94" t="s">
        <v>34</v>
      </c>
      <c r="AO15" s="94" t="s">
        <v>35</v>
      </c>
      <c r="AP15" s="94" t="s">
        <v>36</v>
      </c>
      <c r="AQ15" s="93" t="s">
        <v>33</v>
      </c>
      <c r="AR15" s="94" t="s">
        <v>34</v>
      </c>
      <c r="AS15" s="94" t="s">
        <v>35</v>
      </c>
      <c r="AT15" s="94" t="s">
        <v>36</v>
      </c>
      <c r="AU15" s="93" t="s">
        <v>33</v>
      </c>
      <c r="AV15" s="94" t="s">
        <v>34</v>
      </c>
      <c r="AW15" s="94" t="s">
        <v>35</v>
      </c>
      <c r="AX15" s="94" t="s">
        <v>36</v>
      </c>
      <c r="AY15" s="93" t="s">
        <v>33</v>
      </c>
      <c r="AZ15" s="94" t="s">
        <v>34</v>
      </c>
      <c r="BA15" s="94" t="s">
        <v>35</v>
      </c>
      <c r="BB15" s="94" t="s">
        <v>36</v>
      </c>
      <c r="BC15" s="93" t="s">
        <v>33</v>
      </c>
      <c r="BD15" s="94" t="s">
        <v>34</v>
      </c>
      <c r="BE15" s="94" t="s">
        <v>35</v>
      </c>
      <c r="BF15" s="94" t="s">
        <v>36</v>
      </c>
      <c r="BG15" s="93" t="s">
        <v>33</v>
      </c>
      <c r="BH15" s="94" t="s">
        <v>34</v>
      </c>
      <c r="BI15" s="94" t="s">
        <v>35</v>
      </c>
      <c r="BJ15" s="95" t="s">
        <v>37</v>
      </c>
      <c r="BK15" s="95" t="s">
        <v>38</v>
      </c>
    </row>
    <row r="16" spans="1:63" s="39" customFormat="1">
      <c r="B16" s="97">
        <v>1</v>
      </c>
      <c r="C16" s="97" t="s">
        <v>39</v>
      </c>
      <c r="D16" s="301">
        <v>20189588</v>
      </c>
      <c r="E16" s="99" t="s">
        <v>1367</v>
      </c>
      <c r="F16" s="100" t="s">
        <v>51</v>
      </c>
      <c r="G16" s="27" t="s">
        <v>1368</v>
      </c>
      <c r="H16" s="26" t="s">
        <v>1369</v>
      </c>
      <c r="I16" s="49" t="s">
        <v>44</v>
      </c>
      <c r="J16" s="34">
        <v>4991139</v>
      </c>
      <c r="K16" s="34">
        <v>1878892</v>
      </c>
      <c r="L16" s="34">
        <v>1302647</v>
      </c>
      <c r="M16" s="34"/>
      <c r="N16" s="34">
        <v>133805</v>
      </c>
      <c r="O16" s="298">
        <v>32728</v>
      </c>
      <c r="P16" s="34">
        <v>86516</v>
      </c>
      <c r="Q16" s="34">
        <v>84287</v>
      </c>
      <c r="R16" s="34">
        <v>1600</v>
      </c>
      <c r="S16" s="34">
        <v>153541</v>
      </c>
      <c r="T16" s="34">
        <v>71740</v>
      </c>
      <c r="U16" s="34">
        <v>79435</v>
      </c>
      <c r="V16" s="34"/>
      <c r="W16" s="34"/>
      <c r="X16" s="34"/>
      <c r="Y16" s="31">
        <f>SUM(M16:X16)</f>
        <v>643652</v>
      </c>
      <c r="Z16" s="31">
        <v>1809600</v>
      </c>
      <c r="AA16" s="32">
        <v>1</v>
      </c>
      <c r="AB16" s="33">
        <v>44209</v>
      </c>
      <c r="AC16" s="33">
        <v>44225</v>
      </c>
      <c r="AD16" s="132">
        <v>6399</v>
      </c>
      <c r="AE16" s="35">
        <v>15</v>
      </c>
      <c r="AF16" s="33">
        <v>44322</v>
      </c>
      <c r="AG16" s="33">
        <v>44343</v>
      </c>
      <c r="AH16" s="132">
        <v>-714000</v>
      </c>
      <c r="AI16" s="32">
        <v>42</v>
      </c>
      <c r="AJ16" s="33">
        <v>44432</v>
      </c>
      <c r="AK16" s="36">
        <v>44449</v>
      </c>
      <c r="AL16" s="132"/>
      <c r="AM16" s="32"/>
      <c r="AN16" s="33"/>
      <c r="AO16" s="36"/>
      <c r="AP16" s="132"/>
      <c r="AQ16" s="32"/>
      <c r="AR16" s="33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7">
        <f>+Z16+AD16+AH16+AL16+AP16+AT16+AX16+BB16+BF16</f>
        <v>1101999</v>
      </c>
      <c r="BK16" s="38">
        <f>+BJ16-Y16</f>
        <v>458347</v>
      </c>
    </row>
    <row r="17" spans="2:63" s="39" customFormat="1" ht="22.5">
      <c r="B17" s="97">
        <v>2</v>
      </c>
      <c r="C17" s="97" t="s">
        <v>39</v>
      </c>
      <c r="D17" s="301">
        <v>30002544</v>
      </c>
      <c r="E17" s="99" t="s">
        <v>1370</v>
      </c>
      <c r="F17" s="100" t="s">
        <v>51</v>
      </c>
      <c r="G17" s="27" t="s">
        <v>1368</v>
      </c>
      <c r="H17" s="26" t="s">
        <v>1371</v>
      </c>
      <c r="I17" s="49" t="s">
        <v>44</v>
      </c>
      <c r="J17" s="34">
        <v>3348721</v>
      </c>
      <c r="K17" s="34">
        <v>3311359</v>
      </c>
      <c r="L17" s="34">
        <v>828</v>
      </c>
      <c r="M17" s="34"/>
      <c r="N17" s="298"/>
      <c r="O17" s="298">
        <v>36534</v>
      </c>
      <c r="P17" s="34"/>
      <c r="Q17" s="34"/>
      <c r="R17" s="34"/>
      <c r="S17" s="34"/>
      <c r="T17" s="34"/>
      <c r="U17" s="34"/>
      <c r="V17" s="34"/>
      <c r="W17" s="34"/>
      <c r="X17" s="34"/>
      <c r="Y17" s="31">
        <f t="shared" ref="Y17:Y80" si="0">SUM(M17:X17)</f>
        <v>36534</v>
      </c>
      <c r="Z17" s="31">
        <v>36534</v>
      </c>
      <c r="AA17" s="32">
        <v>1</v>
      </c>
      <c r="AB17" s="33">
        <v>44209</v>
      </c>
      <c r="AC17" s="33">
        <v>44225</v>
      </c>
      <c r="AD17" s="31"/>
      <c r="AE17" s="32"/>
      <c r="AF17" s="33"/>
      <c r="AG17" s="33"/>
      <c r="AH17" s="34"/>
      <c r="AI17" s="32"/>
      <c r="AJ17" s="33"/>
      <c r="AK17" s="36"/>
      <c r="AL17" s="34"/>
      <c r="AM17" s="32"/>
      <c r="AN17" s="33"/>
      <c r="AO17" s="36"/>
      <c r="AP17" s="34"/>
      <c r="AQ17" s="32"/>
      <c r="AR17" s="33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7">
        <f t="shared" ref="BJ17:BJ80" si="1">+Z17+AD17+AH17+AL17+AP17+AT17+AX17+BB17+BF17</f>
        <v>36534</v>
      </c>
      <c r="BK17" s="38">
        <f t="shared" ref="BK17:BK80" si="2">+BJ17-Y17</f>
        <v>0</v>
      </c>
    </row>
    <row r="18" spans="2:63" s="39" customFormat="1">
      <c r="B18" s="97">
        <v>3</v>
      </c>
      <c r="C18" s="97" t="s">
        <v>39</v>
      </c>
      <c r="D18" s="301">
        <v>30071340</v>
      </c>
      <c r="E18" s="99" t="s">
        <v>1372</v>
      </c>
      <c r="F18" s="100" t="s">
        <v>51</v>
      </c>
      <c r="G18" s="27" t="s">
        <v>1368</v>
      </c>
      <c r="H18" s="26" t="s">
        <v>1373</v>
      </c>
      <c r="I18" s="49" t="s">
        <v>44</v>
      </c>
      <c r="J18" s="34">
        <v>8375135</v>
      </c>
      <c r="K18" s="34">
        <v>320593</v>
      </c>
      <c r="L18" s="34">
        <v>1580500</v>
      </c>
      <c r="M18" s="34"/>
      <c r="N18" s="298"/>
      <c r="O18" s="298">
        <v>713</v>
      </c>
      <c r="P18" s="34">
        <v>672230</v>
      </c>
      <c r="Q18" s="34"/>
      <c r="R18" s="34"/>
      <c r="S18" s="34">
        <v>553918</v>
      </c>
      <c r="T18" s="34">
        <v>495710</v>
      </c>
      <c r="U18" s="34"/>
      <c r="V18" s="34"/>
      <c r="W18" s="34"/>
      <c r="X18" s="34"/>
      <c r="Y18" s="31">
        <f t="shared" si="0"/>
        <v>1722571</v>
      </c>
      <c r="Z18" s="31">
        <v>1200000</v>
      </c>
      <c r="AA18" s="32">
        <v>1</v>
      </c>
      <c r="AB18" s="33">
        <v>44209</v>
      </c>
      <c r="AC18" s="33">
        <v>44225</v>
      </c>
      <c r="AD18" s="31">
        <v>1000000</v>
      </c>
      <c r="AE18" s="32">
        <v>15</v>
      </c>
      <c r="AF18" s="33">
        <v>44322</v>
      </c>
      <c r="AG18" s="33">
        <v>44343</v>
      </c>
      <c r="AH18" s="34"/>
      <c r="AI18" s="32"/>
      <c r="AJ18" s="33"/>
      <c r="AK18" s="36"/>
      <c r="AL18" s="34"/>
      <c r="AM18" s="32"/>
      <c r="AN18" s="33"/>
      <c r="AO18" s="36"/>
      <c r="AP18" s="34"/>
      <c r="AQ18" s="32"/>
      <c r="AR18" s="33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7">
        <f t="shared" si="1"/>
        <v>2200000</v>
      </c>
      <c r="BK18" s="38">
        <f t="shared" si="2"/>
        <v>477429</v>
      </c>
    </row>
    <row r="19" spans="2:63" s="39" customFormat="1">
      <c r="B19" s="97">
        <v>4</v>
      </c>
      <c r="C19" s="97" t="s">
        <v>39</v>
      </c>
      <c r="D19" s="301">
        <v>30075224</v>
      </c>
      <c r="E19" s="99" t="s">
        <v>1374</v>
      </c>
      <c r="F19" s="100" t="s">
        <v>47</v>
      </c>
      <c r="G19" s="27" t="s">
        <v>1368</v>
      </c>
      <c r="H19" s="26" t="s">
        <v>1375</v>
      </c>
      <c r="I19" s="49" t="s">
        <v>44</v>
      </c>
      <c r="J19" s="34">
        <v>47978</v>
      </c>
      <c r="K19" s="34">
        <v>32087</v>
      </c>
      <c r="L19" s="34">
        <v>2442</v>
      </c>
      <c r="M19" s="34"/>
      <c r="N19" s="34"/>
      <c r="O19" s="34"/>
      <c r="P19" s="34"/>
      <c r="Q19" s="34"/>
      <c r="R19" s="34"/>
      <c r="S19" s="34">
        <v>13449</v>
      </c>
      <c r="T19" s="34"/>
      <c r="U19" s="34"/>
      <c r="V19" s="34"/>
      <c r="W19" s="34"/>
      <c r="X19" s="34"/>
      <c r="Y19" s="31">
        <f t="shared" si="0"/>
        <v>13449</v>
      </c>
      <c r="Z19" s="31">
        <v>13449</v>
      </c>
      <c r="AA19" s="32">
        <v>1</v>
      </c>
      <c r="AB19" s="33">
        <v>44209</v>
      </c>
      <c r="AC19" s="33">
        <v>44225</v>
      </c>
      <c r="AD19" s="31">
        <v>1566</v>
      </c>
      <c r="AE19" s="35">
        <v>42</v>
      </c>
      <c r="AF19" s="33">
        <v>44432</v>
      </c>
      <c r="AG19" s="33">
        <v>44449</v>
      </c>
      <c r="AH19" s="34"/>
      <c r="AI19" s="32"/>
      <c r="AJ19" s="33"/>
      <c r="AK19" s="36"/>
      <c r="AL19" s="34"/>
      <c r="AM19" s="32"/>
      <c r="AN19" s="33"/>
      <c r="AO19" s="36"/>
      <c r="AP19" s="34"/>
      <c r="AQ19" s="32"/>
      <c r="AR19" s="33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7">
        <f t="shared" si="1"/>
        <v>15015</v>
      </c>
      <c r="BK19" s="38">
        <f t="shared" si="2"/>
        <v>1566</v>
      </c>
    </row>
    <row r="20" spans="2:63" s="39" customFormat="1" ht="22.5">
      <c r="B20" s="97">
        <v>5</v>
      </c>
      <c r="C20" s="97" t="s">
        <v>39</v>
      </c>
      <c r="D20" s="301">
        <v>30095442</v>
      </c>
      <c r="E20" s="99" t="s">
        <v>1376</v>
      </c>
      <c r="F20" s="100" t="s">
        <v>47</v>
      </c>
      <c r="G20" s="27" t="s">
        <v>1368</v>
      </c>
      <c r="H20" s="26" t="s">
        <v>1377</v>
      </c>
      <c r="I20" s="49" t="s">
        <v>44</v>
      </c>
      <c r="J20" s="34">
        <v>77684</v>
      </c>
      <c r="K20" s="34">
        <v>62907</v>
      </c>
      <c r="L20" s="34">
        <v>5677</v>
      </c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1">
        <f t="shared" si="0"/>
        <v>0</v>
      </c>
      <c r="Z20" s="31">
        <v>9100</v>
      </c>
      <c r="AA20" s="32">
        <v>1</v>
      </c>
      <c r="AB20" s="33">
        <v>44209</v>
      </c>
      <c r="AC20" s="33">
        <v>44225</v>
      </c>
      <c r="AD20" s="31"/>
      <c r="AE20" s="35"/>
      <c r="AF20" s="27"/>
      <c r="AG20" s="33"/>
      <c r="AH20" s="31"/>
      <c r="AI20" s="32"/>
      <c r="AJ20" s="27"/>
      <c r="AK20" s="36"/>
      <c r="AL20" s="31"/>
      <c r="AM20" s="32"/>
      <c r="AN20" s="27"/>
      <c r="AO20" s="36"/>
      <c r="AP20" s="31"/>
      <c r="AQ20" s="32"/>
      <c r="AR20" s="27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7">
        <f t="shared" si="1"/>
        <v>9100</v>
      </c>
      <c r="BK20" s="38">
        <f t="shared" si="2"/>
        <v>9100</v>
      </c>
    </row>
    <row r="21" spans="2:63" s="39" customFormat="1">
      <c r="B21" s="97">
        <v>6</v>
      </c>
      <c r="C21" s="97" t="s">
        <v>39</v>
      </c>
      <c r="D21" s="301">
        <v>30103038</v>
      </c>
      <c r="E21" s="99" t="s">
        <v>1378</v>
      </c>
      <c r="F21" s="100" t="s">
        <v>51</v>
      </c>
      <c r="G21" s="27" t="s">
        <v>1368</v>
      </c>
      <c r="H21" s="26" t="s">
        <v>1379</v>
      </c>
      <c r="I21" s="49" t="s">
        <v>44</v>
      </c>
      <c r="J21" s="34">
        <v>4154230</v>
      </c>
      <c r="K21" s="34">
        <v>1328188</v>
      </c>
      <c r="L21" s="34">
        <v>1496454</v>
      </c>
      <c r="M21" s="34"/>
      <c r="N21" s="34">
        <v>62279</v>
      </c>
      <c r="O21" s="34">
        <v>132919</v>
      </c>
      <c r="P21" s="34">
        <v>358642</v>
      </c>
      <c r="Q21" s="34">
        <v>63691</v>
      </c>
      <c r="R21" s="34">
        <v>62052</v>
      </c>
      <c r="S21" s="34">
        <v>127462</v>
      </c>
      <c r="T21" s="34">
        <v>139685</v>
      </c>
      <c r="U21" s="34"/>
      <c r="V21" s="34"/>
      <c r="W21" s="34"/>
      <c r="X21" s="34"/>
      <c r="Y21" s="31">
        <f t="shared" si="0"/>
        <v>946730</v>
      </c>
      <c r="Z21" s="31">
        <v>1329588</v>
      </c>
      <c r="AA21" s="32">
        <v>1</v>
      </c>
      <c r="AB21" s="33">
        <v>44209</v>
      </c>
      <c r="AC21" s="33">
        <v>44225</v>
      </c>
      <c r="AD21" s="31">
        <v>500000</v>
      </c>
      <c r="AE21" s="35">
        <v>15</v>
      </c>
      <c r="AF21" s="33">
        <v>44322</v>
      </c>
      <c r="AG21" s="33">
        <v>44343</v>
      </c>
      <c r="AH21" s="31">
        <v>-200000</v>
      </c>
      <c r="AI21" s="35">
        <v>42</v>
      </c>
      <c r="AJ21" s="33">
        <v>44432</v>
      </c>
      <c r="AK21" s="33">
        <v>44449</v>
      </c>
      <c r="AL21" s="31"/>
      <c r="AM21" s="32"/>
      <c r="AN21" s="27"/>
      <c r="AO21" s="36"/>
      <c r="AP21" s="31"/>
      <c r="AQ21" s="32"/>
      <c r="AR21" s="27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7">
        <f t="shared" si="1"/>
        <v>1629588</v>
      </c>
      <c r="BK21" s="38">
        <f t="shared" si="2"/>
        <v>682858</v>
      </c>
    </row>
    <row r="22" spans="2:63" s="39" customFormat="1" ht="23.25" customHeight="1">
      <c r="B22" s="97">
        <v>7</v>
      </c>
      <c r="C22" s="97" t="s">
        <v>39</v>
      </c>
      <c r="D22" s="301">
        <v>30103399</v>
      </c>
      <c r="E22" s="99" t="s">
        <v>1380</v>
      </c>
      <c r="F22" s="100" t="s">
        <v>51</v>
      </c>
      <c r="G22" s="27" t="s">
        <v>1368</v>
      </c>
      <c r="H22" s="26" t="s">
        <v>1381</v>
      </c>
      <c r="I22" s="49" t="s">
        <v>44</v>
      </c>
      <c r="J22" s="34">
        <v>1394262</v>
      </c>
      <c r="K22" s="34">
        <v>730769</v>
      </c>
      <c r="L22" s="34">
        <v>28400</v>
      </c>
      <c r="M22" s="34"/>
      <c r="N22" s="34">
        <v>11114</v>
      </c>
      <c r="O22" s="34">
        <v>38114</v>
      </c>
      <c r="P22" s="34">
        <v>325052</v>
      </c>
      <c r="Q22" s="34">
        <v>16976</v>
      </c>
      <c r="R22" s="34">
        <v>51789</v>
      </c>
      <c r="S22" s="34">
        <v>49438</v>
      </c>
      <c r="T22" s="34">
        <v>60</v>
      </c>
      <c r="U22" s="34">
        <v>21607</v>
      </c>
      <c r="V22" s="34"/>
      <c r="W22" s="34"/>
      <c r="X22" s="34"/>
      <c r="Y22" s="31">
        <f t="shared" si="0"/>
        <v>514150</v>
      </c>
      <c r="Z22" s="31">
        <v>635093</v>
      </c>
      <c r="AA22" s="32">
        <v>1</v>
      </c>
      <c r="AB22" s="33">
        <v>44209</v>
      </c>
      <c r="AC22" s="33">
        <v>44225</v>
      </c>
      <c r="AD22" s="31">
        <v>16780</v>
      </c>
      <c r="AE22" s="35">
        <v>10</v>
      </c>
      <c r="AF22" s="33">
        <v>44284</v>
      </c>
      <c r="AG22" s="33">
        <v>44286</v>
      </c>
      <c r="AH22" s="31"/>
      <c r="AI22" s="35"/>
      <c r="AJ22" s="33"/>
      <c r="AK22" s="33"/>
      <c r="AL22" s="31"/>
      <c r="AM22" s="35"/>
      <c r="AN22" s="33"/>
      <c r="AO22" s="33"/>
      <c r="AP22" s="31"/>
      <c r="AQ22" s="32"/>
      <c r="AR22" s="27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7">
        <f t="shared" si="1"/>
        <v>651873</v>
      </c>
      <c r="BK22" s="38">
        <f t="shared" si="2"/>
        <v>137723</v>
      </c>
    </row>
    <row r="23" spans="2:63" s="39" customFormat="1">
      <c r="B23" s="97">
        <v>8</v>
      </c>
      <c r="C23" s="97" t="s">
        <v>39</v>
      </c>
      <c r="D23" s="301">
        <v>30109577</v>
      </c>
      <c r="E23" s="99" t="s">
        <v>1382</v>
      </c>
      <c r="F23" s="100" t="s">
        <v>51</v>
      </c>
      <c r="G23" s="27" t="s">
        <v>1368</v>
      </c>
      <c r="H23" s="26" t="s">
        <v>1383</v>
      </c>
      <c r="I23" s="49" t="s">
        <v>44</v>
      </c>
      <c r="J23" s="34">
        <v>2187470</v>
      </c>
      <c r="K23" s="34">
        <v>1890666</v>
      </c>
      <c r="L23" s="34">
        <v>13888</v>
      </c>
      <c r="M23" s="34"/>
      <c r="N23" s="34"/>
      <c r="O23" s="34"/>
      <c r="P23" s="34"/>
      <c r="Q23" s="34"/>
      <c r="R23" s="34">
        <v>3808</v>
      </c>
      <c r="S23" s="34"/>
      <c r="T23" s="34"/>
      <c r="U23" s="34"/>
      <c r="V23" s="34"/>
      <c r="W23" s="34"/>
      <c r="X23" s="34"/>
      <c r="Y23" s="31">
        <f t="shared" si="0"/>
        <v>3808</v>
      </c>
      <c r="Z23" s="31">
        <v>282916</v>
      </c>
      <c r="AA23" s="32">
        <v>1</v>
      </c>
      <c r="AB23" s="33">
        <v>44209</v>
      </c>
      <c r="AC23" s="33">
        <v>44225</v>
      </c>
      <c r="AD23" s="31"/>
      <c r="AE23" s="32"/>
      <c r="AF23" s="33"/>
      <c r="AG23" s="33"/>
      <c r="AH23" s="31"/>
      <c r="AI23" s="32"/>
      <c r="AJ23" s="27"/>
      <c r="AK23" s="36"/>
      <c r="AL23" s="31"/>
      <c r="AM23" s="32"/>
      <c r="AN23" s="27"/>
      <c r="AO23" s="36"/>
      <c r="AP23" s="31"/>
      <c r="AQ23" s="32"/>
      <c r="AR23" s="2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7">
        <f t="shared" si="1"/>
        <v>282916</v>
      </c>
      <c r="BK23" s="38">
        <f t="shared" si="2"/>
        <v>279108</v>
      </c>
    </row>
    <row r="24" spans="2:63" s="39" customFormat="1">
      <c r="B24" s="97">
        <v>9</v>
      </c>
      <c r="C24" s="97" t="s">
        <v>39</v>
      </c>
      <c r="D24" s="301">
        <v>30111136</v>
      </c>
      <c r="E24" s="99" t="s">
        <v>1384</v>
      </c>
      <c r="F24" s="100" t="s">
        <v>51</v>
      </c>
      <c r="G24" s="27" t="s">
        <v>1368</v>
      </c>
      <c r="H24" s="26" t="s">
        <v>1385</v>
      </c>
      <c r="I24" s="49" t="s">
        <v>44</v>
      </c>
      <c r="J24" s="34">
        <v>531186</v>
      </c>
      <c r="K24" s="34">
        <v>495895</v>
      </c>
      <c r="L24" s="34">
        <v>6</v>
      </c>
      <c r="M24" s="34"/>
      <c r="N24" s="34"/>
      <c r="O24" s="298"/>
      <c r="P24" s="34"/>
      <c r="Q24" s="34"/>
      <c r="R24" s="34">
        <v>9943</v>
      </c>
      <c r="S24" s="34"/>
      <c r="T24" s="34">
        <v>8931</v>
      </c>
      <c r="U24" s="34"/>
      <c r="V24" s="34"/>
      <c r="W24" s="34"/>
      <c r="X24" s="34"/>
      <c r="Y24" s="31">
        <f t="shared" si="0"/>
        <v>18874</v>
      </c>
      <c r="Z24" s="31">
        <v>35285</v>
      </c>
      <c r="AA24" s="32">
        <v>1</v>
      </c>
      <c r="AB24" s="33">
        <v>44209</v>
      </c>
      <c r="AC24" s="33">
        <v>44225</v>
      </c>
      <c r="AD24" s="31"/>
      <c r="AE24" s="32"/>
      <c r="AF24" s="33"/>
      <c r="AG24" s="33"/>
      <c r="AH24" s="31"/>
      <c r="AI24" s="32"/>
      <c r="AJ24" s="33"/>
      <c r="AK24" s="33"/>
      <c r="AL24" s="31"/>
      <c r="AM24" s="32"/>
      <c r="AN24" s="27"/>
      <c r="AO24" s="36"/>
      <c r="AP24" s="31"/>
      <c r="AQ24" s="32"/>
      <c r="AR24" s="2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7">
        <f t="shared" si="1"/>
        <v>35285</v>
      </c>
      <c r="BK24" s="38">
        <f t="shared" si="2"/>
        <v>16411</v>
      </c>
    </row>
    <row r="25" spans="2:63" s="39" customFormat="1">
      <c r="B25" s="97">
        <v>10</v>
      </c>
      <c r="C25" s="97" t="s">
        <v>39</v>
      </c>
      <c r="D25" s="301">
        <v>30118162</v>
      </c>
      <c r="E25" s="99" t="s">
        <v>1386</v>
      </c>
      <c r="F25" s="100" t="s">
        <v>51</v>
      </c>
      <c r="G25" s="27" t="s">
        <v>1368</v>
      </c>
      <c r="H25" s="26" t="s">
        <v>1387</v>
      </c>
      <c r="I25" s="49" t="s">
        <v>52</v>
      </c>
      <c r="J25" s="34">
        <v>310325</v>
      </c>
      <c r="K25" s="34">
        <v>0</v>
      </c>
      <c r="L25" s="34">
        <v>12329</v>
      </c>
      <c r="M25" s="34"/>
      <c r="N25" s="34"/>
      <c r="O25" s="34"/>
      <c r="P25" s="34">
        <v>19438</v>
      </c>
      <c r="Q25" s="34">
        <v>97211</v>
      </c>
      <c r="R25" s="34">
        <v>58843</v>
      </c>
      <c r="S25" s="34">
        <v>56557</v>
      </c>
      <c r="T25" s="34"/>
      <c r="U25" s="34"/>
      <c r="V25" s="34"/>
      <c r="W25" s="34"/>
      <c r="X25" s="34"/>
      <c r="Y25" s="31">
        <f t="shared" si="0"/>
        <v>232049</v>
      </c>
      <c r="Z25" s="31">
        <v>297996</v>
      </c>
      <c r="AA25" s="32">
        <v>1</v>
      </c>
      <c r="AB25" s="33">
        <v>44209</v>
      </c>
      <c r="AC25" s="33">
        <v>44225</v>
      </c>
      <c r="AD25" s="31"/>
      <c r="AE25" s="32"/>
      <c r="AF25" s="33"/>
      <c r="AG25" s="33"/>
      <c r="AH25" s="31"/>
      <c r="AI25" s="32"/>
      <c r="AJ25" s="27"/>
      <c r="AK25" s="36"/>
      <c r="AL25" s="31"/>
      <c r="AM25" s="32"/>
      <c r="AN25" s="27"/>
      <c r="AO25" s="36"/>
      <c r="AP25" s="31"/>
      <c r="AQ25" s="32"/>
      <c r="AR25" s="2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7">
        <f t="shared" si="1"/>
        <v>297996</v>
      </c>
      <c r="BK25" s="38">
        <f t="shared" si="2"/>
        <v>65947</v>
      </c>
    </row>
    <row r="26" spans="2:63" s="39" customFormat="1" ht="23.25" customHeight="1">
      <c r="B26" s="97">
        <v>11</v>
      </c>
      <c r="C26" s="97" t="s">
        <v>39</v>
      </c>
      <c r="D26" s="301">
        <v>30123468</v>
      </c>
      <c r="E26" s="99" t="s">
        <v>1388</v>
      </c>
      <c r="F26" s="100" t="s">
        <v>51</v>
      </c>
      <c r="G26" s="27" t="s">
        <v>1368</v>
      </c>
      <c r="H26" s="26" t="s">
        <v>1389</v>
      </c>
      <c r="I26" s="49" t="s">
        <v>44</v>
      </c>
      <c r="J26" s="34">
        <v>769786</v>
      </c>
      <c r="K26" s="34">
        <v>683138</v>
      </c>
      <c r="L26" s="34">
        <v>9472</v>
      </c>
      <c r="M26" s="34"/>
      <c r="N26" s="298"/>
      <c r="O26" s="34"/>
      <c r="P26" s="34"/>
      <c r="Q26" s="34"/>
      <c r="R26" s="34"/>
      <c r="S26" s="34"/>
      <c r="T26" s="34">
        <v>58340</v>
      </c>
      <c r="U26" s="34"/>
      <c r="V26" s="34"/>
      <c r="W26" s="34"/>
      <c r="X26" s="34"/>
      <c r="Y26" s="31">
        <f t="shared" si="0"/>
        <v>58340</v>
      </c>
      <c r="Z26" s="31">
        <v>77176</v>
      </c>
      <c r="AA26" s="32">
        <v>1</v>
      </c>
      <c r="AB26" s="33">
        <v>44209</v>
      </c>
      <c r="AC26" s="33">
        <v>44225</v>
      </c>
      <c r="AD26" s="31"/>
      <c r="AE26" s="35"/>
      <c r="AF26" s="33"/>
      <c r="AG26" s="33"/>
      <c r="AH26" s="31"/>
      <c r="AI26" s="35"/>
      <c r="AJ26" s="33"/>
      <c r="AK26" s="33"/>
      <c r="AL26" s="31"/>
      <c r="AM26" s="32"/>
      <c r="AN26" s="27"/>
      <c r="AO26" s="36"/>
      <c r="AP26" s="31"/>
      <c r="AQ26" s="32"/>
      <c r="AR26" s="2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7">
        <f t="shared" si="1"/>
        <v>77176</v>
      </c>
      <c r="BK26" s="38">
        <f t="shared" si="2"/>
        <v>18836</v>
      </c>
    </row>
    <row r="27" spans="2:63" s="39" customFormat="1">
      <c r="B27" s="97">
        <v>12</v>
      </c>
      <c r="C27" s="97" t="s">
        <v>39</v>
      </c>
      <c r="D27" s="301">
        <v>30133591</v>
      </c>
      <c r="E27" s="99" t="s">
        <v>1390</v>
      </c>
      <c r="F27" s="100" t="s">
        <v>51</v>
      </c>
      <c r="G27" s="27" t="s">
        <v>1368</v>
      </c>
      <c r="H27" s="26" t="s">
        <v>1391</v>
      </c>
      <c r="I27" s="49" t="s">
        <v>44</v>
      </c>
      <c r="J27" s="34">
        <v>5497004</v>
      </c>
      <c r="K27" s="34">
        <v>3398602</v>
      </c>
      <c r="L27" s="34">
        <v>673900</v>
      </c>
      <c r="M27" s="34"/>
      <c r="N27" s="298">
        <v>17962</v>
      </c>
      <c r="O27" s="298">
        <v>365046</v>
      </c>
      <c r="P27" s="34">
        <v>191600</v>
      </c>
      <c r="Q27" s="34">
        <v>219217</v>
      </c>
      <c r="R27" s="34">
        <v>92004</v>
      </c>
      <c r="S27" s="34">
        <v>2449</v>
      </c>
      <c r="T27" s="34">
        <v>128767</v>
      </c>
      <c r="U27" s="34">
        <v>243469</v>
      </c>
      <c r="V27" s="34"/>
      <c r="W27" s="34"/>
      <c r="X27" s="34"/>
      <c r="Y27" s="31">
        <f t="shared" si="0"/>
        <v>1260514</v>
      </c>
      <c r="Z27" s="31">
        <v>1424502</v>
      </c>
      <c r="AA27" s="32">
        <v>1</v>
      </c>
      <c r="AB27" s="33">
        <v>44209</v>
      </c>
      <c r="AC27" s="33">
        <v>44225</v>
      </c>
      <c r="AD27" s="31">
        <v>9999</v>
      </c>
      <c r="AE27" s="35">
        <v>2</v>
      </c>
      <c r="AF27" s="33">
        <v>44253</v>
      </c>
      <c r="AG27" s="33">
        <v>44273</v>
      </c>
      <c r="AH27" s="31">
        <v>194517</v>
      </c>
      <c r="AI27" s="32">
        <v>39</v>
      </c>
      <c r="AJ27" s="33">
        <v>44389</v>
      </c>
      <c r="AK27" s="36">
        <v>44410</v>
      </c>
      <c r="AL27" s="31"/>
      <c r="AM27" s="32"/>
      <c r="AN27" s="27"/>
      <c r="AO27" s="36"/>
      <c r="AP27" s="31"/>
      <c r="AQ27" s="32"/>
      <c r="AR27" s="2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7">
        <f t="shared" si="1"/>
        <v>1629018</v>
      </c>
      <c r="BK27" s="38">
        <f t="shared" si="2"/>
        <v>368504</v>
      </c>
    </row>
    <row r="28" spans="2:63" s="39" customFormat="1" ht="22.5">
      <c r="B28" s="97">
        <v>13</v>
      </c>
      <c r="C28" s="97" t="s">
        <v>39</v>
      </c>
      <c r="D28" s="302">
        <v>30133703</v>
      </c>
      <c r="E28" s="99" t="s">
        <v>1392</v>
      </c>
      <c r="F28" s="100" t="s">
        <v>51</v>
      </c>
      <c r="G28" s="27" t="s">
        <v>1368</v>
      </c>
      <c r="H28" s="26" t="s">
        <v>1393</v>
      </c>
      <c r="I28" s="49" t="s">
        <v>44</v>
      </c>
      <c r="J28" s="34">
        <v>1058250</v>
      </c>
      <c r="K28" s="34">
        <v>972664</v>
      </c>
      <c r="L28" s="34">
        <v>1883</v>
      </c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1">
        <f t="shared" si="0"/>
        <v>0</v>
      </c>
      <c r="Z28" s="31">
        <v>83703</v>
      </c>
      <c r="AA28" s="32">
        <v>1</v>
      </c>
      <c r="AB28" s="33">
        <v>44209</v>
      </c>
      <c r="AC28" s="33">
        <v>44225</v>
      </c>
      <c r="AD28" s="31"/>
      <c r="AE28" s="35"/>
      <c r="AF28" s="33"/>
      <c r="AG28" s="33"/>
      <c r="AH28" s="31"/>
      <c r="AI28" s="35"/>
      <c r="AJ28" s="33"/>
      <c r="AK28" s="33"/>
      <c r="AL28" s="31"/>
      <c r="AM28" s="32"/>
      <c r="AN28" s="27"/>
      <c r="AO28" s="36"/>
      <c r="AP28" s="31"/>
      <c r="AQ28" s="32"/>
      <c r="AR28" s="2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7">
        <f t="shared" si="1"/>
        <v>83703</v>
      </c>
      <c r="BK28" s="38">
        <f t="shared" si="2"/>
        <v>83703</v>
      </c>
    </row>
    <row r="29" spans="2:63" s="39" customFormat="1">
      <c r="B29" s="97">
        <v>14</v>
      </c>
      <c r="C29" s="97" t="s">
        <v>39</v>
      </c>
      <c r="D29" s="301">
        <v>30134244</v>
      </c>
      <c r="E29" s="99" t="s">
        <v>1394</v>
      </c>
      <c r="F29" s="100" t="s">
        <v>47</v>
      </c>
      <c r="G29" s="27" t="s">
        <v>1368</v>
      </c>
      <c r="H29" s="26" t="s">
        <v>1395</v>
      </c>
      <c r="I29" s="49" t="s">
        <v>44</v>
      </c>
      <c r="J29" s="34">
        <v>212891</v>
      </c>
      <c r="K29" s="34">
        <v>5397</v>
      </c>
      <c r="L29" s="34">
        <v>1756</v>
      </c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1">
        <f t="shared" si="0"/>
        <v>0</v>
      </c>
      <c r="Z29" s="31">
        <v>60105</v>
      </c>
      <c r="AA29" s="32">
        <v>1</v>
      </c>
      <c r="AB29" s="33">
        <v>44209</v>
      </c>
      <c r="AC29" s="33">
        <v>44225</v>
      </c>
      <c r="AD29" s="31"/>
      <c r="AE29" s="35"/>
      <c r="AF29" s="33"/>
      <c r="AG29" s="33"/>
      <c r="AH29" s="31"/>
      <c r="AI29" s="32"/>
      <c r="AJ29" s="33"/>
      <c r="AK29" s="33"/>
      <c r="AL29" s="31"/>
      <c r="AM29" s="35"/>
      <c r="AN29" s="33"/>
      <c r="AO29" s="33"/>
      <c r="AP29" s="31"/>
      <c r="AQ29" s="32"/>
      <c r="AR29" s="33"/>
      <c r="AS29" s="33"/>
      <c r="AT29" s="31"/>
      <c r="AU29" s="32"/>
      <c r="AV29" s="33"/>
      <c r="AW29" s="33"/>
      <c r="AX29" s="31"/>
      <c r="AY29" s="32"/>
      <c r="AZ29" s="33"/>
      <c r="BA29" s="33"/>
      <c r="BB29" s="36"/>
      <c r="BC29" s="36"/>
      <c r="BD29" s="36"/>
      <c r="BE29" s="36"/>
      <c r="BF29" s="36"/>
      <c r="BG29" s="36"/>
      <c r="BH29" s="36"/>
      <c r="BI29" s="36"/>
      <c r="BJ29" s="37">
        <f t="shared" si="1"/>
        <v>60105</v>
      </c>
      <c r="BK29" s="38">
        <f t="shared" si="2"/>
        <v>60105</v>
      </c>
    </row>
    <row r="30" spans="2:63" s="39" customFormat="1" ht="22.5">
      <c r="B30" s="97">
        <v>15</v>
      </c>
      <c r="C30" s="97" t="s">
        <v>39</v>
      </c>
      <c r="D30" s="301">
        <v>30146872</v>
      </c>
      <c r="E30" s="99" t="s">
        <v>1396</v>
      </c>
      <c r="F30" s="100" t="s">
        <v>51</v>
      </c>
      <c r="G30" s="27" t="s">
        <v>1368</v>
      </c>
      <c r="H30" s="26" t="s">
        <v>1397</v>
      </c>
      <c r="I30" s="49" t="s">
        <v>44</v>
      </c>
      <c r="J30" s="34">
        <v>1848998</v>
      </c>
      <c r="K30" s="34">
        <v>1296769</v>
      </c>
      <c r="L30" s="34">
        <v>146594</v>
      </c>
      <c r="M30" s="34"/>
      <c r="N30" s="34">
        <v>100459</v>
      </c>
      <c r="O30" s="34">
        <v>1532</v>
      </c>
      <c r="P30" s="34">
        <v>49692</v>
      </c>
      <c r="Q30" s="34">
        <v>79186</v>
      </c>
      <c r="R30" s="34">
        <v>67737</v>
      </c>
      <c r="S30" s="34"/>
      <c r="T30" s="34">
        <v>1016</v>
      </c>
      <c r="U30" s="34"/>
      <c r="V30" s="34"/>
      <c r="W30" s="34"/>
      <c r="X30" s="34"/>
      <c r="Y30" s="31">
        <f t="shared" si="0"/>
        <v>299622</v>
      </c>
      <c r="Z30" s="31">
        <v>405635</v>
      </c>
      <c r="AA30" s="32">
        <v>1</v>
      </c>
      <c r="AB30" s="33">
        <v>44209</v>
      </c>
      <c r="AC30" s="33">
        <v>44225</v>
      </c>
      <c r="AD30" s="31">
        <v>22171</v>
      </c>
      <c r="AE30" s="32">
        <v>42</v>
      </c>
      <c r="AF30" s="33">
        <v>44432</v>
      </c>
      <c r="AG30" s="33">
        <v>44449</v>
      </c>
      <c r="AH30" s="31"/>
      <c r="AI30" s="35"/>
      <c r="AJ30" s="33"/>
      <c r="AK30" s="33"/>
      <c r="AL30" s="31"/>
      <c r="AM30" s="35"/>
      <c r="AN30" s="33"/>
      <c r="AO30" s="33"/>
      <c r="AP30" s="31"/>
      <c r="AQ30" s="32"/>
      <c r="AR30" s="2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7">
        <f t="shared" si="1"/>
        <v>427806</v>
      </c>
      <c r="BK30" s="38">
        <f t="shared" si="2"/>
        <v>128184</v>
      </c>
    </row>
    <row r="31" spans="2:63" s="39" customFormat="1" ht="22.5">
      <c r="B31" s="97">
        <v>16</v>
      </c>
      <c r="C31" s="97" t="s">
        <v>39</v>
      </c>
      <c r="D31" s="301">
        <v>30153523</v>
      </c>
      <c r="E31" s="99" t="s">
        <v>1398</v>
      </c>
      <c r="F31" s="100" t="s">
        <v>51</v>
      </c>
      <c r="G31" s="27" t="s">
        <v>1368</v>
      </c>
      <c r="H31" s="26" t="s">
        <v>1399</v>
      </c>
      <c r="I31" s="49" t="s">
        <v>44</v>
      </c>
      <c r="J31" s="34">
        <v>2699362</v>
      </c>
      <c r="K31" s="34">
        <v>2367377</v>
      </c>
      <c r="L31" s="34">
        <v>66212</v>
      </c>
      <c r="M31" s="34"/>
      <c r="N31" s="34"/>
      <c r="O31" s="34"/>
      <c r="P31" s="34">
        <v>86535</v>
      </c>
      <c r="Q31" s="34"/>
      <c r="R31" s="34"/>
      <c r="S31" s="34">
        <v>214267</v>
      </c>
      <c r="T31" s="34"/>
      <c r="U31" s="34"/>
      <c r="V31" s="34"/>
      <c r="W31" s="34"/>
      <c r="X31" s="34"/>
      <c r="Y31" s="31">
        <f t="shared" si="0"/>
        <v>300802</v>
      </c>
      <c r="Z31" s="31">
        <v>265773</v>
      </c>
      <c r="AA31" s="32">
        <v>1</v>
      </c>
      <c r="AB31" s="33">
        <v>44209</v>
      </c>
      <c r="AC31" s="33">
        <v>44225</v>
      </c>
      <c r="AD31" s="31">
        <v>101367</v>
      </c>
      <c r="AE31" s="32">
        <v>15</v>
      </c>
      <c r="AF31" s="33">
        <v>44322</v>
      </c>
      <c r="AG31" s="33">
        <v>44343</v>
      </c>
      <c r="AH31" s="31"/>
      <c r="AI31" s="32"/>
      <c r="AJ31" s="27"/>
      <c r="AK31" s="36"/>
      <c r="AL31" s="31"/>
      <c r="AM31" s="32"/>
      <c r="AN31" s="27"/>
      <c r="AO31" s="36"/>
      <c r="AP31" s="31"/>
      <c r="AQ31" s="32"/>
      <c r="AR31" s="2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7">
        <f t="shared" si="1"/>
        <v>367140</v>
      </c>
      <c r="BK31" s="38">
        <f t="shared" si="2"/>
        <v>66338</v>
      </c>
    </row>
    <row r="32" spans="2:63" s="39" customFormat="1" ht="22.5">
      <c r="B32" s="97">
        <v>17</v>
      </c>
      <c r="C32" s="97" t="s">
        <v>39</v>
      </c>
      <c r="D32" s="301">
        <v>30178222</v>
      </c>
      <c r="E32" s="99" t="s">
        <v>1400</v>
      </c>
      <c r="F32" s="100" t="s">
        <v>47</v>
      </c>
      <c r="G32" s="27" t="s">
        <v>1368</v>
      </c>
      <c r="H32" s="26" t="s">
        <v>1379</v>
      </c>
      <c r="I32" s="49" t="s">
        <v>44</v>
      </c>
      <c r="J32" s="34">
        <v>120754</v>
      </c>
      <c r="K32" s="34">
        <v>69936</v>
      </c>
      <c r="L32" s="34">
        <v>32138</v>
      </c>
      <c r="M32" s="34"/>
      <c r="N32" s="298"/>
      <c r="O32" s="298"/>
      <c r="P32" s="34"/>
      <c r="Q32" s="34"/>
      <c r="R32" s="34"/>
      <c r="S32" s="34"/>
      <c r="T32" s="34"/>
      <c r="U32" s="34"/>
      <c r="V32" s="34"/>
      <c r="W32" s="34"/>
      <c r="X32" s="34"/>
      <c r="Y32" s="31">
        <f t="shared" si="0"/>
        <v>0</v>
      </c>
      <c r="Z32" s="31">
        <v>18680</v>
      </c>
      <c r="AA32" s="32">
        <v>1</v>
      </c>
      <c r="AB32" s="33">
        <v>44209</v>
      </c>
      <c r="AC32" s="33">
        <v>44225</v>
      </c>
      <c r="AD32" s="31"/>
      <c r="AE32" s="32"/>
      <c r="AF32" s="33"/>
      <c r="AG32" s="33"/>
      <c r="AH32" s="31"/>
      <c r="AI32" s="32"/>
      <c r="AJ32" s="27"/>
      <c r="AK32" s="36"/>
      <c r="AL32" s="31"/>
      <c r="AM32" s="32"/>
      <c r="AN32" s="27"/>
      <c r="AO32" s="36"/>
      <c r="AP32" s="31"/>
      <c r="AQ32" s="32"/>
      <c r="AR32" s="27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7">
        <f t="shared" si="1"/>
        <v>18680</v>
      </c>
      <c r="BK32" s="38">
        <f t="shared" si="2"/>
        <v>18680</v>
      </c>
    </row>
    <row r="33" spans="2:63" s="39" customFormat="1">
      <c r="B33" s="97">
        <v>18</v>
      </c>
      <c r="C33" s="97" t="s">
        <v>39</v>
      </c>
      <c r="D33" s="301">
        <v>30248573</v>
      </c>
      <c r="E33" s="99" t="s">
        <v>1401</v>
      </c>
      <c r="F33" s="100" t="s">
        <v>51</v>
      </c>
      <c r="G33" s="27" t="s">
        <v>1368</v>
      </c>
      <c r="H33" s="26" t="s">
        <v>1383</v>
      </c>
      <c r="I33" s="49" t="s">
        <v>44</v>
      </c>
      <c r="J33" s="34">
        <v>2847341</v>
      </c>
      <c r="K33" s="34">
        <v>1433538</v>
      </c>
      <c r="L33" s="34">
        <v>155819</v>
      </c>
      <c r="M33" s="34"/>
      <c r="N33" s="298">
        <v>74282</v>
      </c>
      <c r="O33" s="298">
        <v>1600</v>
      </c>
      <c r="P33" s="34">
        <v>87390</v>
      </c>
      <c r="Q33" s="34">
        <v>51667</v>
      </c>
      <c r="R33" s="34">
        <v>1600</v>
      </c>
      <c r="S33" s="34">
        <v>208787</v>
      </c>
      <c r="T33" s="34">
        <v>4302</v>
      </c>
      <c r="U33" s="34">
        <v>267634</v>
      </c>
      <c r="V33" s="34"/>
      <c r="W33" s="34"/>
      <c r="X33" s="34"/>
      <c r="Y33" s="31">
        <f t="shared" si="0"/>
        <v>697262</v>
      </c>
      <c r="Z33" s="31">
        <v>1257984</v>
      </c>
      <c r="AA33" s="32">
        <v>1</v>
      </c>
      <c r="AB33" s="33">
        <v>44209</v>
      </c>
      <c r="AC33" s="33">
        <v>44225</v>
      </c>
      <c r="AD33" s="31">
        <v>17210</v>
      </c>
      <c r="AE33" s="35">
        <v>12</v>
      </c>
      <c r="AF33" s="33">
        <v>44293</v>
      </c>
      <c r="AG33" s="33">
        <v>44313</v>
      </c>
      <c r="AH33" s="31"/>
      <c r="AI33" s="32"/>
      <c r="AJ33" s="33"/>
      <c r="AK33" s="36"/>
      <c r="AL33" s="31"/>
      <c r="AM33" s="32"/>
      <c r="AN33" s="27"/>
      <c r="AO33" s="36"/>
      <c r="AP33" s="31"/>
      <c r="AQ33" s="32"/>
      <c r="AR33" s="2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7">
        <f t="shared" si="1"/>
        <v>1275194</v>
      </c>
      <c r="BK33" s="38">
        <f t="shared" si="2"/>
        <v>577932</v>
      </c>
    </row>
    <row r="34" spans="2:63" s="39" customFormat="1">
      <c r="B34" s="97">
        <v>19</v>
      </c>
      <c r="C34" s="97" t="s">
        <v>39</v>
      </c>
      <c r="D34" s="301">
        <v>30255973</v>
      </c>
      <c r="E34" s="99" t="s">
        <v>1402</v>
      </c>
      <c r="F34" s="100" t="s">
        <v>47</v>
      </c>
      <c r="G34" s="27" t="s">
        <v>1368</v>
      </c>
      <c r="H34" s="26" t="s">
        <v>1371</v>
      </c>
      <c r="I34" s="49" t="s">
        <v>44</v>
      </c>
      <c r="J34" s="34">
        <v>240423</v>
      </c>
      <c r="K34" s="34">
        <v>197798</v>
      </c>
      <c r="L34" s="34">
        <v>19485</v>
      </c>
      <c r="M34" s="34"/>
      <c r="N34" s="298"/>
      <c r="O34" s="298"/>
      <c r="P34" s="34"/>
      <c r="Q34" s="34"/>
      <c r="R34" s="34"/>
      <c r="S34" s="34"/>
      <c r="T34" s="34"/>
      <c r="U34" s="34"/>
      <c r="V34" s="34"/>
      <c r="W34" s="34"/>
      <c r="X34" s="34"/>
      <c r="Y34" s="31">
        <f t="shared" si="0"/>
        <v>0</v>
      </c>
      <c r="Z34" s="31">
        <v>23140</v>
      </c>
      <c r="AA34" s="32">
        <v>1</v>
      </c>
      <c r="AB34" s="33">
        <v>44209</v>
      </c>
      <c r="AC34" s="33">
        <v>44225</v>
      </c>
      <c r="AD34" s="31"/>
      <c r="AE34" s="35"/>
      <c r="AF34" s="33"/>
      <c r="AG34" s="33"/>
      <c r="AH34" s="31"/>
      <c r="AI34" s="35"/>
      <c r="AJ34" s="33"/>
      <c r="AK34" s="33"/>
      <c r="AL34" s="31"/>
      <c r="AM34" s="32"/>
      <c r="AN34" s="27"/>
      <c r="AO34" s="36"/>
      <c r="AP34" s="31"/>
      <c r="AQ34" s="32"/>
      <c r="AR34" s="2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7">
        <f t="shared" si="1"/>
        <v>23140</v>
      </c>
      <c r="BK34" s="38">
        <f t="shared" si="2"/>
        <v>23140</v>
      </c>
    </row>
    <row r="35" spans="2:63" s="39" customFormat="1" ht="22.5">
      <c r="B35" s="97">
        <v>20</v>
      </c>
      <c r="C35" s="97" t="s">
        <v>39</v>
      </c>
      <c r="D35" s="301">
        <v>30271572</v>
      </c>
      <c r="E35" s="99" t="s">
        <v>1403</v>
      </c>
      <c r="F35" s="100" t="s">
        <v>51</v>
      </c>
      <c r="G35" s="27" t="s">
        <v>1368</v>
      </c>
      <c r="H35" s="26" t="s">
        <v>1369</v>
      </c>
      <c r="I35" s="49" t="s">
        <v>44</v>
      </c>
      <c r="J35" s="34">
        <v>357875</v>
      </c>
      <c r="K35" s="34">
        <v>0</v>
      </c>
      <c r="L35" s="34">
        <v>48716</v>
      </c>
      <c r="M35" s="34"/>
      <c r="N35" s="298"/>
      <c r="O35" s="298">
        <v>48899</v>
      </c>
      <c r="P35" s="34">
        <v>55367</v>
      </c>
      <c r="Q35" s="34">
        <v>94580</v>
      </c>
      <c r="R35" s="34"/>
      <c r="S35" s="34">
        <v>1666</v>
      </c>
      <c r="T35" s="34">
        <v>36890</v>
      </c>
      <c r="U35" s="34">
        <v>1111</v>
      </c>
      <c r="V35" s="34"/>
      <c r="W35" s="34"/>
      <c r="X35" s="34"/>
      <c r="Y35" s="31">
        <f t="shared" si="0"/>
        <v>238513</v>
      </c>
      <c r="Z35" s="31">
        <v>309159</v>
      </c>
      <c r="AA35" s="32">
        <v>1</v>
      </c>
      <c r="AB35" s="33">
        <v>44209</v>
      </c>
      <c r="AC35" s="33">
        <v>44225</v>
      </c>
      <c r="AD35" s="31">
        <v>1667</v>
      </c>
      <c r="AE35" s="35">
        <v>40</v>
      </c>
      <c r="AF35" s="33">
        <v>44417</v>
      </c>
      <c r="AG35" s="33">
        <v>44428</v>
      </c>
      <c r="AH35" s="31"/>
      <c r="AI35" s="35"/>
      <c r="AJ35" s="33"/>
      <c r="AK35" s="33"/>
      <c r="AL35" s="31"/>
      <c r="AM35" s="32"/>
      <c r="AN35" s="27"/>
      <c r="AO35" s="36"/>
      <c r="AP35" s="31"/>
      <c r="AQ35" s="32"/>
      <c r="AR35" s="2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7">
        <f t="shared" si="1"/>
        <v>310826</v>
      </c>
      <c r="BK35" s="38">
        <f t="shared" si="2"/>
        <v>72313</v>
      </c>
    </row>
    <row r="36" spans="2:63" s="39" customFormat="1" ht="22.5">
      <c r="B36" s="97">
        <v>21</v>
      </c>
      <c r="C36" s="97" t="s">
        <v>39</v>
      </c>
      <c r="D36" s="301">
        <v>30274926</v>
      </c>
      <c r="E36" s="99" t="s">
        <v>1404</v>
      </c>
      <c r="F36" s="100" t="s">
        <v>51</v>
      </c>
      <c r="G36" s="27" t="s">
        <v>1368</v>
      </c>
      <c r="H36" s="26" t="s">
        <v>1405</v>
      </c>
      <c r="I36" s="49" t="s">
        <v>44</v>
      </c>
      <c r="J36" s="34">
        <v>1879209</v>
      </c>
      <c r="K36" s="34">
        <v>413256</v>
      </c>
      <c r="L36" s="34">
        <v>1340353</v>
      </c>
      <c r="M36" s="34"/>
      <c r="N36" s="298"/>
      <c r="O36" s="298"/>
      <c r="P36" s="34"/>
      <c r="Q36" s="34"/>
      <c r="R36" s="34"/>
      <c r="S36" s="34"/>
      <c r="T36" s="34"/>
      <c r="U36" s="34"/>
      <c r="V36" s="34"/>
      <c r="W36" s="34"/>
      <c r="X36" s="34"/>
      <c r="Y36" s="31">
        <f t="shared" si="0"/>
        <v>0</v>
      </c>
      <c r="Z36" s="31">
        <v>125600</v>
      </c>
      <c r="AA36" s="32">
        <v>1</v>
      </c>
      <c r="AB36" s="33">
        <v>44209</v>
      </c>
      <c r="AC36" s="33">
        <v>44225</v>
      </c>
      <c r="AD36" s="31">
        <v>-125598</v>
      </c>
      <c r="AE36" s="35">
        <v>40</v>
      </c>
      <c r="AF36" s="33">
        <v>44417</v>
      </c>
      <c r="AG36" s="33">
        <v>44428</v>
      </c>
      <c r="AH36" s="31"/>
      <c r="AI36" s="35"/>
      <c r="AJ36" s="33"/>
      <c r="AK36" s="33"/>
      <c r="AL36" s="31"/>
      <c r="AM36" s="32"/>
      <c r="AN36" s="27"/>
      <c r="AO36" s="36"/>
      <c r="AP36" s="31"/>
      <c r="AQ36" s="32"/>
      <c r="AR36" s="27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7">
        <f t="shared" si="1"/>
        <v>2</v>
      </c>
      <c r="BK36" s="38">
        <f t="shared" si="2"/>
        <v>2</v>
      </c>
    </row>
    <row r="37" spans="2:63" s="39" customFormat="1" ht="22.5">
      <c r="B37" s="97">
        <v>22</v>
      </c>
      <c r="C37" s="97" t="s">
        <v>39</v>
      </c>
      <c r="D37" s="301">
        <v>30282922</v>
      </c>
      <c r="E37" s="99" t="s">
        <v>1406</v>
      </c>
      <c r="F37" s="100" t="s">
        <v>47</v>
      </c>
      <c r="G37" s="27" t="s">
        <v>1368</v>
      </c>
      <c r="H37" s="26" t="s">
        <v>1373</v>
      </c>
      <c r="I37" s="49" t="s">
        <v>44</v>
      </c>
      <c r="J37" s="34">
        <v>103107</v>
      </c>
      <c r="K37" s="34">
        <v>81839</v>
      </c>
      <c r="L37" s="34">
        <v>468</v>
      </c>
      <c r="M37" s="34"/>
      <c r="N37" s="34"/>
      <c r="O37" s="298">
        <v>20800</v>
      </c>
      <c r="P37" s="34"/>
      <c r="Q37" s="34"/>
      <c r="R37" s="34"/>
      <c r="S37" s="34"/>
      <c r="T37" s="34"/>
      <c r="U37" s="34"/>
      <c r="V37" s="34"/>
      <c r="W37" s="34"/>
      <c r="X37" s="34"/>
      <c r="Y37" s="31">
        <f t="shared" si="0"/>
        <v>20800</v>
      </c>
      <c r="Z37" s="31">
        <v>20800</v>
      </c>
      <c r="AA37" s="32">
        <v>1</v>
      </c>
      <c r="AB37" s="33">
        <v>44209</v>
      </c>
      <c r="AC37" s="33">
        <v>44225</v>
      </c>
      <c r="AD37" s="31"/>
      <c r="AE37" s="32"/>
      <c r="AF37" s="33"/>
      <c r="AG37" s="33"/>
      <c r="AH37" s="31"/>
      <c r="AI37" s="32"/>
      <c r="AJ37" s="27"/>
      <c r="AK37" s="36"/>
      <c r="AL37" s="31"/>
      <c r="AM37" s="32"/>
      <c r="AN37" s="27"/>
      <c r="AO37" s="36"/>
      <c r="AP37" s="31"/>
      <c r="AQ37" s="32"/>
      <c r="AR37" s="27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7">
        <f t="shared" si="1"/>
        <v>20800</v>
      </c>
      <c r="BK37" s="38">
        <f t="shared" si="2"/>
        <v>0</v>
      </c>
    </row>
    <row r="38" spans="2:63" s="39" customFormat="1" ht="22.5">
      <c r="B38" s="97">
        <v>23</v>
      </c>
      <c r="C38" s="97" t="s">
        <v>39</v>
      </c>
      <c r="D38" s="301">
        <v>30284322</v>
      </c>
      <c r="E38" s="99" t="s">
        <v>1407</v>
      </c>
      <c r="F38" s="100" t="s">
        <v>47</v>
      </c>
      <c r="G38" s="27" t="s">
        <v>1368</v>
      </c>
      <c r="H38" s="26" t="s">
        <v>1408</v>
      </c>
      <c r="I38" s="49" t="s">
        <v>44</v>
      </c>
      <c r="J38" s="34">
        <v>86414</v>
      </c>
      <c r="K38" s="34">
        <v>73509</v>
      </c>
      <c r="L38" s="34">
        <v>905</v>
      </c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1">
        <f t="shared" si="0"/>
        <v>0</v>
      </c>
      <c r="Z38" s="31">
        <v>12000</v>
      </c>
      <c r="AA38" s="32">
        <v>1</v>
      </c>
      <c r="AB38" s="33">
        <v>44209</v>
      </c>
      <c r="AC38" s="33">
        <v>44225</v>
      </c>
      <c r="AD38" s="31"/>
      <c r="AE38" s="35"/>
      <c r="AF38" s="33"/>
      <c r="AG38" s="33"/>
      <c r="AH38" s="31"/>
      <c r="AI38" s="35"/>
      <c r="AJ38" s="33"/>
      <c r="AK38" s="33"/>
      <c r="AL38" s="31"/>
      <c r="AM38" s="32"/>
      <c r="AN38" s="27"/>
      <c r="AO38" s="36"/>
      <c r="AP38" s="31"/>
      <c r="AQ38" s="32"/>
      <c r="AR38" s="2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7">
        <f t="shared" si="1"/>
        <v>12000</v>
      </c>
      <c r="BK38" s="38">
        <f t="shared" si="2"/>
        <v>12000</v>
      </c>
    </row>
    <row r="39" spans="2:63" s="39" customFormat="1" ht="24" customHeight="1">
      <c r="B39" s="97">
        <v>24</v>
      </c>
      <c r="C39" s="97" t="s">
        <v>65</v>
      </c>
      <c r="D39" s="301">
        <v>30364424</v>
      </c>
      <c r="E39" s="99" t="s">
        <v>1409</v>
      </c>
      <c r="F39" s="100" t="s">
        <v>51</v>
      </c>
      <c r="G39" s="27" t="s">
        <v>1368</v>
      </c>
      <c r="H39" s="26" t="s">
        <v>1373</v>
      </c>
      <c r="I39" s="49" t="s">
        <v>44</v>
      </c>
      <c r="J39" s="34">
        <v>674869</v>
      </c>
      <c r="K39" s="34">
        <v>443745</v>
      </c>
      <c r="L39" s="34">
        <v>5800</v>
      </c>
      <c r="M39" s="34"/>
      <c r="N39" s="34"/>
      <c r="O39" s="34">
        <v>81849</v>
      </c>
      <c r="P39" s="34">
        <v>77000</v>
      </c>
      <c r="Q39" s="34"/>
      <c r="R39" s="34"/>
      <c r="S39" s="34"/>
      <c r="T39" s="34"/>
      <c r="U39" s="34"/>
      <c r="V39" s="34"/>
      <c r="W39" s="34"/>
      <c r="X39" s="34"/>
      <c r="Y39" s="31">
        <f t="shared" si="0"/>
        <v>158849</v>
      </c>
      <c r="Z39" s="31">
        <v>225324</v>
      </c>
      <c r="AA39" s="32">
        <v>1</v>
      </c>
      <c r="AB39" s="33">
        <v>44209</v>
      </c>
      <c r="AC39" s="33">
        <v>44225</v>
      </c>
      <c r="AD39" s="31"/>
      <c r="AE39" s="35"/>
      <c r="AF39" s="33"/>
      <c r="AG39" s="33"/>
      <c r="AH39" s="31"/>
      <c r="AI39" s="35"/>
      <c r="AJ39" s="33"/>
      <c r="AK39" s="33"/>
      <c r="AL39" s="31"/>
      <c r="AM39" s="35"/>
      <c r="AN39" s="33"/>
      <c r="AO39" s="33"/>
      <c r="AP39" s="31"/>
      <c r="AQ39" s="32"/>
      <c r="AR39" s="2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7">
        <f t="shared" si="1"/>
        <v>225324</v>
      </c>
      <c r="BK39" s="38">
        <f t="shared" si="2"/>
        <v>66475</v>
      </c>
    </row>
    <row r="40" spans="2:63" s="39" customFormat="1" ht="23.25" customHeight="1">
      <c r="B40" s="97">
        <v>25</v>
      </c>
      <c r="C40" s="97" t="s">
        <v>39</v>
      </c>
      <c r="D40" s="301">
        <v>30370832</v>
      </c>
      <c r="E40" s="99" t="s">
        <v>1410</v>
      </c>
      <c r="F40" s="100" t="s">
        <v>51</v>
      </c>
      <c r="G40" s="27" t="s">
        <v>1368</v>
      </c>
      <c r="H40" s="26" t="s">
        <v>1373</v>
      </c>
      <c r="I40" s="49" t="s">
        <v>44</v>
      </c>
      <c r="J40" s="34">
        <v>2366419</v>
      </c>
      <c r="K40" s="34">
        <v>2039968</v>
      </c>
      <c r="L40" s="34">
        <v>107745</v>
      </c>
      <c r="M40" s="34"/>
      <c r="N40" s="34"/>
      <c r="O40" s="34"/>
      <c r="P40" s="34"/>
      <c r="Q40" s="34"/>
      <c r="R40" s="34">
        <v>196484</v>
      </c>
      <c r="S40" s="34"/>
      <c r="T40" s="34"/>
      <c r="U40" s="34"/>
      <c r="V40" s="34"/>
      <c r="W40" s="34"/>
      <c r="X40" s="34"/>
      <c r="Y40" s="31">
        <f t="shared" si="0"/>
        <v>196484</v>
      </c>
      <c r="Z40" s="31">
        <v>218706</v>
      </c>
      <c r="AA40" s="32">
        <v>1</v>
      </c>
      <c r="AB40" s="33">
        <v>44209</v>
      </c>
      <c r="AC40" s="33">
        <v>44225</v>
      </c>
      <c r="AD40" s="31">
        <v>-22219</v>
      </c>
      <c r="AE40" s="35">
        <v>42</v>
      </c>
      <c r="AF40" s="33">
        <v>44432</v>
      </c>
      <c r="AG40" s="33">
        <v>44449</v>
      </c>
      <c r="AH40" s="31"/>
      <c r="AI40" s="32"/>
      <c r="AJ40" s="27"/>
      <c r="AK40" s="36"/>
      <c r="AL40" s="31"/>
      <c r="AM40" s="32"/>
      <c r="AN40" s="27"/>
      <c r="AO40" s="36"/>
      <c r="AP40" s="31"/>
      <c r="AQ40" s="32"/>
      <c r="AR40" s="27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7">
        <f t="shared" si="1"/>
        <v>196487</v>
      </c>
      <c r="BK40" s="38">
        <f t="shared" si="2"/>
        <v>3</v>
      </c>
    </row>
    <row r="41" spans="2:63" s="39" customFormat="1">
      <c r="B41" s="97">
        <v>26</v>
      </c>
      <c r="C41" s="97" t="s">
        <v>39</v>
      </c>
      <c r="D41" s="301">
        <v>30395580</v>
      </c>
      <c r="E41" s="99" t="s">
        <v>1411</v>
      </c>
      <c r="F41" s="100" t="s">
        <v>47</v>
      </c>
      <c r="G41" s="27" t="s">
        <v>1368</v>
      </c>
      <c r="H41" s="26" t="s">
        <v>1373</v>
      </c>
      <c r="I41" s="49" t="s">
        <v>52</v>
      </c>
      <c r="J41" s="34">
        <v>311316</v>
      </c>
      <c r="K41" s="34">
        <v>2907</v>
      </c>
      <c r="L41" s="34">
        <v>280469</v>
      </c>
      <c r="M41" s="34"/>
      <c r="N41" s="298">
        <v>4656</v>
      </c>
      <c r="O41" s="298">
        <v>2796</v>
      </c>
      <c r="P41" s="34">
        <v>2795</v>
      </c>
      <c r="Q41" s="34">
        <v>2794</v>
      </c>
      <c r="R41" s="34">
        <v>2794</v>
      </c>
      <c r="S41" s="34">
        <v>2739</v>
      </c>
      <c r="T41" s="34">
        <v>1155</v>
      </c>
      <c r="U41" s="34">
        <v>1886</v>
      </c>
      <c r="V41" s="34"/>
      <c r="W41" s="34"/>
      <c r="X41" s="34"/>
      <c r="Y41" s="31">
        <f t="shared" si="0"/>
        <v>21615</v>
      </c>
      <c r="Z41" s="31">
        <v>27940</v>
      </c>
      <c r="AA41" s="32">
        <v>1</v>
      </c>
      <c r="AB41" s="33">
        <v>44209</v>
      </c>
      <c r="AC41" s="33">
        <v>44225</v>
      </c>
      <c r="AD41" s="31"/>
      <c r="AE41" s="35"/>
      <c r="AF41" s="27"/>
      <c r="AG41" s="33"/>
      <c r="AH41" s="31"/>
      <c r="AI41" s="32"/>
      <c r="AJ41" s="27"/>
      <c r="AK41" s="36"/>
      <c r="AL41" s="31"/>
      <c r="AM41" s="32"/>
      <c r="AN41" s="27"/>
      <c r="AO41" s="36"/>
      <c r="AP41" s="31"/>
      <c r="AQ41" s="32"/>
      <c r="AR41" s="27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7">
        <f t="shared" si="1"/>
        <v>27940</v>
      </c>
      <c r="BK41" s="38">
        <f t="shared" si="2"/>
        <v>6325</v>
      </c>
    </row>
    <row r="42" spans="2:63" s="39" customFormat="1" ht="23.25" customHeight="1">
      <c r="B42" s="97">
        <v>27</v>
      </c>
      <c r="C42" s="97" t="s">
        <v>39</v>
      </c>
      <c r="D42" s="301">
        <v>30397978</v>
      </c>
      <c r="E42" s="99" t="s">
        <v>1412</v>
      </c>
      <c r="F42" s="100" t="s">
        <v>51</v>
      </c>
      <c r="G42" s="27" t="s">
        <v>1368</v>
      </c>
      <c r="H42" s="26" t="s">
        <v>1413</v>
      </c>
      <c r="I42" s="49" t="s">
        <v>44</v>
      </c>
      <c r="J42" s="34">
        <v>1150968</v>
      </c>
      <c r="K42" s="34">
        <v>873854</v>
      </c>
      <c r="L42" s="34">
        <v>56098</v>
      </c>
      <c r="M42" s="34"/>
      <c r="N42" s="298">
        <v>85841</v>
      </c>
      <c r="O42" s="34"/>
      <c r="P42" s="34"/>
      <c r="Q42" s="34">
        <v>100013</v>
      </c>
      <c r="R42" s="34"/>
      <c r="S42" s="34"/>
      <c r="T42" s="34"/>
      <c r="U42" s="34"/>
      <c r="V42" s="34"/>
      <c r="W42" s="34"/>
      <c r="X42" s="34"/>
      <c r="Y42" s="31">
        <f t="shared" si="0"/>
        <v>185854</v>
      </c>
      <c r="Z42" s="31">
        <v>221016</v>
      </c>
      <c r="AA42" s="32">
        <v>1</v>
      </c>
      <c r="AB42" s="33">
        <v>44209</v>
      </c>
      <c r="AC42" s="33">
        <v>44225</v>
      </c>
      <c r="AD42" s="31">
        <v>30448</v>
      </c>
      <c r="AE42" s="35">
        <v>10</v>
      </c>
      <c r="AF42" s="33">
        <v>44284</v>
      </c>
      <c r="AG42" s="33">
        <v>44286</v>
      </c>
      <c r="AH42" s="31"/>
      <c r="AI42" s="35"/>
      <c r="AJ42" s="33"/>
      <c r="AK42" s="33"/>
      <c r="AL42" s="31"/>
      <c r="AM42" s="32"/>
      <c r="AN42" s="27"/>
      <c r="AO42" s="36"/>
      <c r="AP42" s="31"/>
      <c r="AQ42" s="32"/>
      <c r="AR42" s="27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7">
        <f t="shared" si="1"/>
        <v>251464</v>
      </c>
      <c r="BK42" s="38">
        <f t="shared" si="2"/>
        <v>65610</v>
      </c>
    </row>
    <row r="43" spans="2:63" s="39" customFormat="1">
      <c r="B43" s="97">
        <v>28</v>
      </c>
      <c r="C43" s="97" t="s">
        <v>39</v>
      </c>
      <c r="D43" s="302">
        <v>30429674</v>
      </c>
      <c r="E43" s="99" t="s">
        <v>1414</v>
      </c>
      <c r="F43" s="100" t="s">
        <v>51</v>
      </c>
      <c r="G43" s="27" t="s">
        <v>1368</v>
      </c>
      <c r="H43" s="26" t="s">
        <v>1413</v>
      </c>
      <c r="I43" s="49" t="s">
        <v>44</v>
      </c>
      <c r="J43" s="34">
        <v>864136</v>
      </c>
      <c r="K43" s="34">
        <v>818496</v>
      </c>
      <c r="L43" s="34">
        <v>3508</v>
      </c>
      <c r="M43" s="34"/>
      <c r="N43" s="34"/>
      <c r="O43" s="34"/>
      <c r="P43" s="34">
        <v>42130</v>
      </c>
      <c r="Q43" s="34"/>
      <c r="R43" s="34"/>
      <c r="S43" s="34"/>
      <c r="T43" s="34"/>
      <c r="U43" s="34"/>
      <c r="V43" s="34"/>
      <c r="W43" s="34"/>
      <c r="X43" s="34"/>
      <c r="Y43" s="31">
        <f t="shared" si="0"/>
        <v>42130</v>
      </c>
      <c r="Z43" s="31">
        <v>42132</v>
      </c>
      <c r="AA43" s="32">
        <v>1</v>
      </c>
      <c r="AB43" s="33">
        <v>44209</v>
      </c>
      <c r="AC43" s="33">
        <v>44225</v>
      </c>
      <c r="AD43" s="31"/>
      <c r="AE43" s="32"/>
      <c r="AF43" s="33"/>
      <c r="AG43" s="33"/>
      <c r="AH43" s="31"/>
      <c r="AI43" s="32"/>
      <c r="AJ43" s="33"/>
      <c r="AK43" s="33"/>
      <c r="AL43" s="31"/>
      <c r="AM43" s="32"/>
      <c r="AN43" s="33"/>
      <c r="AO43" s="33"/>
      <c r="AP43" s="31"/>
      <c r="AQ43" s="32"/>
      <c r="AR43" s="27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7">
        <f t="shared" si="1"/>
        <v>42132</v>
      </c>
      <c r="BK43" s="38">
        <f t="shared" si="2"/>
        <v>2</v>
      </c>
    </row>
    <row r="44" spans="2:63" s="39" customFormat="1" ht="23.25" customHeight="1">
      <c r="B44" s="97">
        <v>29</v>
      </c>
      <c r="C44" s="97" t="s">
        <v>39</v>
      </c>
      <c r="D44" s="301">
        <v>30437123</v>
      </c>
      <c r="E44" s="99" t="s">
        <v>1415</v>
      </c>
      <c r="F44" s="100" t="s">
        <v>51</v>
      </c>
      <c r="G44" s="27" t="s">
        <v>1368</v>
      </c>
      <c r="H44" s="26" t="s">
        <v>1416</v>
      </c>
      <c r="I44" s="49" t="s">
        <v>44</v>
      </c>
      <c r="J44" s="34">
        <v>732937</v>
      </c>
      <c r="K44" s="34">
        <v>694134</v>
      </c>
      <c r="L44" s="34">
        <v>4854</v>
      </c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1">
        <f t="shared" si="0"/>
        <v>0</v>
      </c>
      <c r="Z44" s="31">
        <v>33949</v>
      </c>
      <c r="AA44" s="32">
        <v>1</v>
      </c>
      <c r="AB44" s="33">
        <v>44209</v>
      </c>
      <c r="AC44" s="33">
        <v>44225</v>
      </c>
      <c r="AD44" s="31"/>
      <c r="AE44" s="32"/>
      <c r="AF44" s="33"/>
      <c r="AG44" s="33"/>
      <c r="AH44" s="31"/>
      <c r="AI44" s="32"/>
      <c r="AJ44" s="33"/>
      <c r="AK44" s="33"/>
      <c r="AL44" s="31"/>
      <c r="AM44" s="32"/>
      <c r="AN44" s="33"/>
      <c r="AO44" s="33"/>
      <c r="AP44" s="31"/>
      <c r="AQ44" s="32"/>
      <c r="AR44" s="27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7">
        <f t="shared" si="1"/>
        <v>33949</v>
      </c>
      <c r="BK44" s="38">
        <f t="shared" si="2"/>
        <v>33949</v>
      </c>
    </row>
    <row r="45" spans="2:63" s="39" customFormat="1" ht="24" customHeight="1">
      <c r="B45" s="97">
        <v>30</v>
      </c>
      <c r="C45" s="97" t="s">
        <v>39</v>
      </c>
      <c r="D45" s="301">
        <v>30438673</v>
      </c>
      <c r="E45" s="99" t="s">
        <v>1417</v>
      </c>
      <c r="F45" s="100" t="s">
        <v>51</v>
      </c>
      <c r="G45" s="27" t="s">
        <v>1368</v>
      </c>
      <c r="H45" s="26" t="s">
        <v>1373</v>
      </c>
      <c r="I45" s="49" t="s">
        <v>44</v>
      </c>
      <c r="J45" s="34">
        <v>2121953</v>
      </c>
      <c r="K45" s="34">
        <v>2047945</v>
      </c>
      <c r="L45" s="34">
        <v>10000</v>
      </c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1">
        <f t="shared" si="0"/>
        <v>0</v>
      </c>
      <c r="Z45" s="31">
        <v>64008</v>
      </c>
      <c r="AA45" s="32">
        <v>1</v>
      </c>
      <c r="AB45" s="33">
        <v>44209</v>
      </c>
      <c r="AC45" s="33">
        <v>44225</v>
      </c>
      <c r="AD45" s="31"/>
      <c r="AE45" s="35"/>
      <c r="AF45" s="27"/>
      <c r="AG45" s="33"/>
      <c r="AH45" s="31"/>
      <c r="AI45" s="32"/>
      <c r="AJ45" s="27"/>
      <c r="AK45" s="36"/>
      <c r="AL45" s="31"/>
      <c r="AM45" s="32"/>
      <c r="AN45" s="27"/>
      <c r="AO45" s="36"/>
      <c r="AP45" s="31"/>
      <c r="AQ45" s="32"/>
      <c r="AR45" s="27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7">
        <f t="shared" si="1"/>
        <v>64008</v>
      </c>
      <c r="BK45" s="38">
        <f t="shared" si="2"/>
        <v>64008</v>
      </c>
    </row>
    <row r="46" spans="2:63" s="39" customFormat="1" ht="22.5">
      <c r="B46" s="97">
        <v>31</v>
      </c>
      <c r="C46" s="97" t="s">
        <v>39</v>
      </c>
      <c r="D46" s="302">
        <v>30441375</v>
      </c>
      <c r="E46" s="99" t="s">
        <v>1418</v>
      </c>
      <c r="F46" s="100" t="s">
        <v>51</v>
      </c>
      <c r="G46" s="27" t="s">
        <v>1368</v>
      </c>
      <c r="H46" s="26" t="s">
        <v>1373</v>
      </c>
      <c r="I46" s="49" t="s">
        <v>44</v>
      </c>
      <c r="J46" s="34">
        <v>1050357</v>
      </c>
      <c r="K46" s="34">
        <v>286117</v>
      </c>
      <c r="L46" s="34">
        <v>270</v>
      </c>
      <c r="M46" s="34"/>
      <c r="N46" s="34"/>
      <c r="O46" s="34">
        <v>408774</v>
      </c>
      <c r="P46" s="34">
        <v>177413</v>
      </c>
      <c r="Q46" s="34"/>
      <c r="R46" s="34">
        <v>111810</v>
      </c>
      <c r="S46" s="34">
        <v>43462</v>
      </c>
      <c r="T46" s="34"/>
      <c r="U46" s="34"/>
      <c r="V46" s="34"/>
      <c r="W46" s="34"/>
      <c r="X46" s="34"/>
      <c r="Y46" s="31">
        <f t="shared" si="0"/>
        <v>741459</v>
      </c>
      <c r="Z46" s="31">
        <v>763970</v>
      </c>
      <c r="AA46" s="32">
        <v>1</v>
      </c>
      <c r="AB46" s="33">
        <v>44209</v>
      </c>
      <c r="AC46" s="33">
        <v>44225</v>
      </c>
      <c r="AD46" s="31"/>
      <c r="AE46" s="35"/>
      <c r="AF46" s="33"/>
      <c r="AG46" s="33"/>
      <c r="AH46" s="31"/>
      <c r="AI46" s="35"/>
      <c r="AJ46" s="33"/>
      <c r="AK46" s="33"/>
      <c r="AL46" s="31"/>
      <c r="AM46" s="35"/>
      <c r="AN46" s="33"/>
      <c r="AO46" s="33"/>
      <c r="AP46" s="31"/>
      <c r="AQ46" s="35"/>
      <c r="AR46" s="33"/>
      <c r="AS46" s="33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7">
        <f t="shared" si="1"/>
        <v>763970</v>
      </c>
      <c r="BK46" s="38">
        <f t="shared" si="2"/>
        <v>22511</v>
      </c>
    </row>
    <row r="47" spans="2:63" s="39" customFormat="1" ht="22.5">
      <c r="B47" s="97">
        <v>32</v>
      </c>
      <c r="C47" s="97" t="s">
        <v>39</v>
      </c>
      <c r="D47" s="301">
        <v>30441826</v>
      </c>
      <c r="E47" s="99" t="s">
        <v>1419</v>
      </c>
      <c r="F47" s="100" t="s">
        <v>51</v>
      </c>
      <c r="G47" s="27" t="s">
        <v>1368</v>
      </c>
      <c r="H47" s="26" t="s">
        <v>1420</v>
      </c>
      <c r="I47" s="49" t="s">
        <v>44</v>
      </c>
      <c r="J47" s="34">
        <v>906587</v>
      </c>
      <c r="K47" s="34">
        <v>811402</v>
      </c>
      <c r="L47" s="31">
        <v>89715</v>
      </c>
      <c r="M47" s="34"/>
      <c r="N47" s="34"/>
      <c r="O47" s="34">
        <v>5469</v>
      </c>
      <c r="P47" s="34"/>
      <c r="Q47" s="34"/>
      <c r="R47" s="34"/>
      <c r="S47" s="34"/>
      <c r="T47" s="34"/>
      <c r="U47" s="34"/>
      <c r="V47" s="34"/>
      <c r="W47" s="34"/>
      <c r="X47" s="34"/>
      <c r="Y47" s="31">
        <f t="shared" si="0"/>
        <v>5469</v>
      </c>
      <c r="Z47" s="31">
        <v>5470</v>
      </c>
      <c r="AA47" s="32">
        <v>1</v>
      </c>
      <c r="AB47" s="33">
        <v>44209</v>
      </c>
      <c r="AC47" s="33">
        <v>44225</v>
      </c>
      <c r="AD47" s="31"/>
      <c r="AE47" s="32"/>
      <c r="AF47" s="33"/>
      <c r="AG47" s="33"/>
      <c r="AH47" s="31"/>
      <c r="AI47" s="32"/>
      <c r="AJ47" s="27"/>
      <c r="AK47" s="36"/>
      <c r="AL47" s="31"/>
      <c r="AM47" s="32"/>
      <c r="AN47" s="27"/>
      <c r="AO47" s="36"/>
      <c r="AP47" s="31"/>
      <c r="AQ47" s="32"/>
      <c r="AR47" s="27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7">
        <f t="shared" si="1"/>
        <v>5470</v>
      </c>
      <c r="BK47" s="38">
        <f t="shared" si="2"/>
        <v>1</v>
      </c>
    </row>
    <row r="48" spans="2:63" s="39" customFormat="1">
      <c r="B48" s="97">
        <v>33</v>
      </c>
      <c r="C48" s="97" t="s">
        <v>39</v>
      </c>
      <c r="D48" s="301">
        <v>30445675</v>
      </c>
      <c r="E48" s="99" t="s">
        <v>1421</v>
      </c>
      <c r="F48" s="100" t="s">
        <v>47</v>
      </c>
      <c r="G48" s="27" t="s">
        <v>1368</v>
      </c>
      <c r="H48" s="26" t="s">
        <v>1393</v>
      </c>
      <c r="I48" s="49" t="s">
        <v>44</v>
      </c>
      <c r="J48" s="34">
        <v>177553</v>
      </c>
      <c r="K48" s="34">
        <v>61160</v>
      </c>
      <c r="L48" s="34">
        <v>40056</v>
      </c>
      <c r="M48" s="34"/>
      <c r="N48" s="34"/>
      <c r="O48" s="34"/>
      <c r="P48" s="34"/>
      <c r="Q48" s="34"/>
      <c r="R48" s="34"/>
      <c r="S48" s="34"/>
      <c r="T48" s="34">
        <v>76337</v>
      </c>
      <c r="U48" s="34"/>
      <c r="V48" s="34"/>
      <c r="W48" s="34"/>
      <c r="X48" s="34"/>
      <c r="Y48" s="31">
        <f t="shared" si="0"/>
        <v>76337</v>
      </c>
      <c r="Z48" s="31">
        <v>76337</v>
      </c>
      <c r="AA48" s="32">
        <v>1</v>
      </c>
      <c r="AB48" s="33">
        <v>44209</v>
      </c>
      <c r="AC48" s="33">
        <v>44225</v>
      </c>
      <c r="AD48" s="31"/>
      <c r="AE48" s="35"/>
      <c r="AF48" s="33"/>
      <c r="AG48" s="33"/>
      <c r="AH48" s="31"/>
      <c r="AI48" s="35"/>
      <c r="AJ48" s="33"/>
      <c r="AK48" s="33"/>
      <c r="AL48" s="31"/>
      <c r="AM48" s="32"/>
      <c r="AN48" s="27"/>
      <c r="AO48" s="36"/>
      <c r="AP48" s="31"/>
      <c r="AQ48" s="32"/>
      <c r="AR48" s="27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7">
        <f t="shared" si="1"/>
        <v>76337</v>
      </c>
      <c r="BK48" s="38">
        <f t="shared" si="2"/>
        <v>0</v>
      </c>
    </row>
    <row r="49" spans="2:63" s="39" customFormat="1" ht="24" customHeight="1">
      <c r="B49" s="97">
        <v>34</v>
      </c>
      <c r="C49" s="97" t="s">
        <v>39</v>
      </c>
      <c r="D49" s="98">
        <v>30459443</v>
      </c>
      <c r="E49" s="99" t="s">
        <v>1422</v>
      </c>
      <c r="F49" s="100" t="s">
        <v>47</v>
      </c>
      <c r="G49" s="27" t="s">
        <v>1368</v>
      </c>
      <c r="H49" s="26" t="s">
        <v>1423</v>
      </c>
      <c r="I49" s="49" t="s">
        <v>44</v>
      </c>
      <c r="J49" s="34">
        <v>95514</v>
      </c>
      <c r="K49" s="34">
        <v>62536</v>
      </c>
      <c r="L49" s="34">
        <v>19156</v>
      </c>
      <c r="M49" s="34"/>
      <c r="N49" s="298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1">
        <f t="shared" si="0"/>
        <v>0</v>
      </c>
      <c r="Z49" s="31">
        <v>13822</v>
      </c>
      <c r="AA49" s="32">
        <v>1</v>
      </c>
      <c r="AB49" s="33">
        <v>44209</v>
      </c>
      <c r="AC49" s="33">
        <v>44225</v>
      </c>
      <c r="AD49" s="31"/>
      <c r="AE49" s="32"/>
      <c r="AF49" s="33"/>
      <c r="AG49" s="33"/>
      <c r="AH49" s="31"/>
      <c r="AI49" s="32"/>
      <c r="AJ49" s="27"/>
      <c r="AK49" s="36"/>
      <c r="AL49" s="31"/>
      <c r="AM49" s="32"/>
      <c r="AN49" s="27"/>
      <c r="AO49" s="36"/>
      <c r="AP49" s="31"/>
      <c r="AQ49" s="32"/>
      <c r="AR49" s="27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7">
        <f t="shared" si="1"/>
        <v>13822</v>
      </c>
      <c r="BK49" s="38">
        <f t="shared" si="2"/>
        <v>13822</v>
      </c>
    </row>
    <row r="50" spans="2:63" s="39" customFormat="1" ht="24" customHeight="1">
      <c r="B50" s="97">
        <v>35</v>
      </c>
      <c r="C50" s="97" t="s">
        <v>39</v>
      </c>
      <c r="D50" s="98">
        <v>30459950</v>
      </c>
      <c r="E50" s="99" t="s">
        <v>1424</v>
      </c>
      <c r="F50" s="100" t="s">
        <v>47</v>
      </c>
      <c r="G50" s="27" t="s">
        <v>1368</v>
      </c>
      <c r="H50" s="26" t="s">
        <v>1425</v>
      </c>
      <c r="I50" s="49" t="s">
        <v>44</v>
      </c>
      <c r="J50" s="34">
        <v>64382</v>
      </c>
      <c r="K50" s="34">
        <v>18520</v>
      </c>
      <c r="L50" s="34">
        <v>23262</v>
      </c>
      <c r="M50" s="34"/>
      <c r="N50" s="298"/>
      <c r="O50" s="34"/>
      <c r="P50" s="34"/>
      <c r="Q50" s="34">
        <v>22600</v>
      </c>
      <c r="R50" s="34"/>
      <c r="S50" s="34"/>
      <c r="T50" s="34"/>
      <c r="U50" s="34">
        <v>11300</v>
      </c>
      <c r="V50" s="34"/>
      <c r="W50" s="34"/>
      <c r="X50" s="34"/>
      <c r="Y50" s="31">
        <f t="shared" si="0"/>
        <v>33900</v>
      </c>
      <c r="Z50" s="31">
        <v>22600</v>
      </c>
      <c r="AA50" s="32">
        <v>1</v>
      </c>
      <c r="AB50" s="33">
        <v>44209</v>
      </c>
      <c r="AC50" s="33">
        <v>44225</v>
      </c>
      <c r="AD50" s="31">
        <v>16950</v>
      </c>
      <c r="AE50" s="32">
        <v>15</v>
      </c>
      <c r="AF50" s="33">
        <v>44322</v>
      </c>
      <c r="AG50" s="33">
        <v>44343</v>
      </c>
      <c r="AH50" s="31"/>
      <c r="AI50" s="32"/>
      <c r="AJ50" s="33"/>
      <c r="AK50" s="33"/>
      <c r="AL50" s="31"/>
      <c r="AM50" s="32"/>
      <c r="AN50" s="27"/>
      <c r="AO50" s="36"/>
      <c r="AP50" s="31"/>
      <c r="AQ50" s="32"/>
      <c r="AR50" s="27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7">
        <f t="shared" si="1"/>
        <v>39550</v>
      </c>
      <c r="BK50" s="38">
        <f t="shared" si="2"/>
        <v>5650</v>
      </c>
    </row>
    <row r="51" spans="2:63" s="39" customFormat="1">
      <c r="B51" s="97">
        <v>36</v>
      </c>
      <c r="C51" s="97" t="s">
        <v>39</v>
      </c>
      <c r="D51" s="303">
        <v>30460859</v>
      </c>
      <c r="E51" s="99" t="s">
        <v>1426</v>
      </c>
      <c r="F51" s="100" t="s">
        <v>51</v>
      </c>
      <c r="G51" s="27" t="s">
        <v>1368</v>
      </c>
      <c r="H51" s="26" t="s">
        <v>1387</v>
      </c>
      <c r="I51" s="49" t="s">
        <v>44</v>
      </c>
      <c r="J51" s="34">
        <v>746333</v>
      </c>
      <c r="K51" s="34">
        <v>622245</v>
      </c>
      <c r="L51" s="34">
        <v>9572</v>
      </c>
      <c r="M51" s="34"/>
      <c r="N51" s="34"/>
      <c r="O51" s="34"/>
      <c r="P51" s="34"/>
      <c r="Q51" s="34"/>
      <c r="R51" s="34"/>
      <c r="S51" s="34"/>
      <c r="T51" s="34">
        <v>111723</v>
      </c>
      <c r="U51" s="34"/>
      <c r="V51" s="34"/>
      <c r="W51" s="34"/>
      <c r="X51" s="34"/>
      <c r="Y51" s="31">
        <f t="shared" si="0"/>
        <v>111723</v>
      </c>
      <c r="Z51" s="31">
        <v>114516</v>
      </c>
      <c r="AA51" s="32">
        <v>1</v>
      </c>
      <c r="AB51" s="33">
        <v>44209</v>
      </c>
      <c r="AC51" s="33">
        <v>44225</v>
      </c>
      <c r="AD51" s="31">
        <v>9572</v>
      </c>
      <c r="AE51" s="35">
        <v>39</v>
      </c>
      <c r="AF51" s="33">
        <v>44389</v>
      </c>
      <c r="AG51" s="33">
        <v>44410</v>
      </c>
      <c r="AH51" s="31"/>
      <c r="AI51" s="32"/>
      <c r="AJ51" s="27"/>
      <c r="AK51" s="36"/>
      <c r="AL51" s="31"/>
      <c r="AM51" s="32"/>
      <c r="AN51" s="27"/>
      <c r="AO51" s="36"/>
      <c r="AP51" s="31"/>
      <c r="AQ51" s="32"/>
      <c r="AR51" s="27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7">
        <f t="shared" si="1"/>
        <v>124088</v>
      </c>
      <c r="BK51" s="38">
        <f t="shared" si="2"/>
        <v>12365</v>
      </c>
    </row>
    <row r="52" spans="2:63" s="39" customFormat="1" ht="22.5">
      <c r="B52" s="97">
        <v>37</v>
      </c>
      <c r="C52" s="97" t="s">
        <v>39</v>
      </c>
      <c r="D52" s="98">
        <v>30461872</v>
      </c>
      <c r="E52" s="99" t="s">
        <v>1427</v>
      </c>
      <c r="F52" s="100" t="s">
        <v>51</v>
      </c>
      <c r="G52" s="27" t="s">
        <v>1368</v>
      </c>
      <c r="H52" s="26" t="s">
        <v>1408</v>
      </c>
      <c r="I52" s="49" t="s">
        <v>44</v>
      </c>
      <c r="J52" s="34">
        <v>1201454</v>
      </c>
      <c r="K52" s="34">
        <v>195068</v>
      </c>
      <c r="L52" s="34">
        <v>16203</v>
      </c>
      <c r="M52" s="34"/>
      <c r="N52" s="298">
        <v>20599</v>
      </c>
      <c r="O52" s="298">
        <v>14743</v>
      </c>
      <c r="P52" s="34"/>
      <c r="Q52" s="34"/>
      <c r="R52" s="34"/>
      <c r="S52" s="34"/>
      <c r="T52" s="34">
        <v>48350</v>
      </c>
      <c r="U52" s="34"/>
      <c r="V52" s="34"/>
      <c r="W52" s="34"/>
      <c r="X52" s="34"/>
      <c r="Y52" s="31">
        <f t="shared" si="0"/>
        <v>83692</v>
      </c>
      <c r="Z52" s="31">
        <v>990183</v>
      </c>
      <c r="AA52" s="32">
        <v>1</v>
      </c>
      <c r="AB52" s="33">
        <v>44209</v>
      </c>
      <c r="AC52" s="33">
        <v>44225</v>
      </c>
      <c r="AD52" s="31">
        <v>-500000</v>
      </c>
      <c r="AE52" s="32">
        <v>40</v>
      </c>
      <c r="AF52" s="33">
        <v>44417</v>
      </c>
      <c r="AG52" s="33">
        <v>44428</v>
      </c>
      <c r="AH52" s="31">
        <v>-286000</v>
      </c>
      <c r="AI52" s="32">
        <v>42</v>
      </c>
      <c r="AJ52" s="33">
        <v>44432</v>
      </c>
      <c r="AK52" s="36">
        <v>44449</v>
      </c>
      <c r="AL52" s="31"/>
      <c r="AM52" s="32"/>
      <c r="AN52" s="27"/>
      <c r="AO52" s="36"/>
      <c r="AP52" s="31"/>
      <c r="AQ52" s="32"/>
      <c r="AR52" s="27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7">
        <f t="shared" si="1"/>
        <v>204183</v>
      </c>
      <c r="BK52" s="38">
        <f t="shared" si="2"/>
        <v>120491</v>
      </c>
    </row>
    <row r="53" spans="2:63" s="39" customFormat="1" ht="23.25" customHeight="1">
      <c r="B53" s="97">
        <v>38</v>
      </c>
      <c r="C53" s="97" t="s">
        <v>39</v>
      </c>
      <c r="D53" s="98">
        <v>30462245</v>
      </c>
      <c r="E53" s="99" t="s">
        <v>1428</v>
      </c>
      <c r="F53" s="100" t="s">
        <v>47</v>
      </c>
      <c r="G53" s="27" t="s">
        <v>1368</v>
      </c>
      <c r="H53" s="26" t="s">
        <v>1393</v>
      </c>
      <c r="I53" s="49" t="s">
        <v>44</v>
      </c>
      <c r="J53" s="34">
        <v>35475</v>
      </c>
      <c r="K53" s="34">
        <v>6237</v>
      </c>
      <c r="L53" s="34">
        <v>23138</v>
      </c>
      <c r="M53" s="34"/>
      <c r="N53" s="298"/>
      <c r="O53" s="298"/>
      <c r="P53" s="34"/>
      <c r="Q53" s="34"/>
      <c r="R53" s="34">
        <v>6100</v>
      </c>
      <c r="S53" s="34"/>
      <c r="T53" s="34"/>
      <c r="U53" s="34"/>
      <c r="V53" s="34"/>
      <c r="W53" s="34"/>
      <c r="X53" s="34"/>
      <c r="Y53" s="31">
        <f t="shared" si="0"/>
        <v>6100</v>
      </c>
      <c r="Z53" s="31">
        <v>6100</v>
      </c>
      <c r="AA53" s="32">
        <v>1</v>
      </c>
      <c r="AB53" s="33">
        <v>44209</v>
      </c>
      <c r="AC53" s="33">
        <v>44225</v>
      </c>
      <c r="AD53" s="31">
        <v>9150</v>
      </c>
      <c r="AE53" s="35">
        <v>39</v>
      </c>
      <c r="AF53" s="33">
        <v>44389</v>
      </c>
      <c r="AG53" s="33">
        <v>44410</v>
      </c>
      <c r="AH53" s="31"/>
      <c r="AI53" s="32"/>
      <c r="AJ53" s="33"/>
      <c r="AK53" s="33"/>
      <c r="AL53" s="31"/>
      <c r="AM53" s="32"/>
      <c r="AN53" s="27"/>
      <c r="AO53" s="36"/>
      <c r="AP53" s="31"/>
      <c r="AQ53" s="32"/>
      <c r="AR53" s="27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7">
        <f t="shared" si="1"/>
        <v>15250</v>
      </c>
      <c r="BK53" s="38">
        <f t="shared" si="2"/>
        <v>9150</v>
      </c>
    </row>
    <row r="54" spans="2:63" s="39" customFormat="1" ht="23.25" customHeight="1">
      <c r="B54" s="97">
        <v>39</v>
      </c>
      <c r="C54" s="97" t="s">
        <v>39</v>
      </c>
      <c r="D54" s="98">
        <v>30480862</v>
      </c>
      <c r="E54" s="99" t="s">
        <v>1429</v>
      </c>
      <c r="F54" s="100" t="s">
        <v>51</v>
      </c>
      <c r="G54" s="27" t="s">
        <v>1368</v>
      </c>
      <c r="H54" s="26" t="s">
        <v>1430</v>
      </c>
      <c r="I54" s="49" t="s">
        <v>44</v>
      </c>
      <c r="J54" s="34">
        <v>888748</v>
      </c>
      <c r="K54" s="34">
        <v>0</v>
      </c>
      <c r="L54" s="34">
        <v>49721</v>
      </c>
      <c r="M54" s="34"/>
      <c r="N54" s="34"/>
      <c r="O54" s="34">
        <v>2884</v>
      </c>
      <c r="P54" s="34"/>
      <c r="Q54" s="34">
        <v>59230</v>
      </c>
      <c r="R54" s="34">
        <v>57355</v>
      </c>
      <c r="S54" s="34">
        <v>37010</v>
      </c>
      <c r="T54" s="34"/>
      <c r="U54" s="34">
        <v>41007</v>
      </c>
      <c r="V54" s="34"/>
      <c r="W54" s="34"/>
      <c r="X54" s="34"/>
      <c r="Y54" s="31">
        <f t="shared" si="0"/>
        <v>197486</v>
      </c>
      <c r="Z54" s="31">
        <v>839027</v>
      </c>
      <c r="AA54" s="32">
        <v>1</v>
      </c>
      <c r="AB54" s="33">
        <v>44209</v>
      </c>
      <c r="AC54" s="33">
        <v>44225</v>
      </c>
      <c r="AD54" s="31">
        <v>4326</v>
      </c>
      <c r="AE54" s="35">
        <v>10</v>
      </c>
      <c r="AF54" s="33">
        <v>44284</v>
      </c>
      <c r="AG54" s="33">
        <v>44286</v>
      </c>
      <c r="AH54" s="31"/>
      <c r="AI54" s="32"/>
      <c r="AJ54" s="33"/>
      <c r="AK54" s="36"/>
      <c r="AL54" s="31"/>
      <c r="AM54" s="32"/>
      <c r="AN54" s="27"/>
      <c r="AO54" s="36"/>
      <c r="AP54" s="31"/>
      <c r="AQ54" s="32"/>
      <c r="AR54" s="27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7">
        <f t="shared" si="1"/>
        <v>843353</v>
      </c>
      <c r="BK54" s="38">
        <f t="shared" si="2"/>
        <v>645867</v>
      </c>
    </row>
    <row r="55" spans="2:63" s="39" customFormat="1" ht="23.25" customHeight="1">
      <c r="B55" s="97">
        <v>40</v>
      </c>
      <c r="C55" s="97" t="s">
        <v>39</v>
      </c>
      <c r="D55" s="98">
        <v>30480895</v>
      </c>
      <c r="E55" s="99" t="s">
        <v>1431</v>
      </c>
      <c r="F55" s="100" t="s">
        <v>51</v>
      </c>
      <c r="G55" s="27" t="s">
        <v>1368</v>
      </c>
      <c r="H55" s="26" t="s">
        <v>1416</v>
      </c>
      <c r="I55" s="49" t="s">
        <v>44</v>
      </c>
      <c r="J55" s="34">
        <v>2355178</v>
      </c>
      <c r="K55" s="34">
        <v>2238918</v>
      </c>
      <c r="L55" s="34">
        <v>0</v>
      </c>
      <c r="M55" s="34"/>
      <c r="N55" s="34"/>
      <c r="O55" s="34"/>
      <c r="P55" s="34">
        <v>917</v>
      </c>
      <c r="Q55" s="34">
        <v>1188</v>
      </c>
      <c r="R55" s="34"/>
      <c r="S55" s="34">
        <v>973</v>
      </c>
      <c r="T55" s="34">
        <v>315</v>
      </c>
      <c r="U55" s="34"/>
      <c r="V55" s="34"/>
      <c r="W55" s="34"/>
      <c r="X55" s="34"/>
      <c r="Y55" s="31">
        <f t="shared" si="0"/>
        <v>3393</v>
      </c>
      <c r="Z55" s="31">
        <v>116260</v>
      </c>
      <c r="AA55" s="32">
        <v>1</v>
      </c>
      <c r="AB55" s="33">
        <v>44209</v>
      </c>
      <c r="AC55" s="33">
        <v>44225</v>
      </c>
      <c r="AD55" s="31">
        <v>-112703</v>
      </c>
      <c r="AE55" s="35">
        <v>40</v>
      </c>
      <c r="AF55" s="33">
        <v>44417</v>
      </c>
      <c r="AG55" s="33">
        <v>44428</v>
      </c>
      <c r="AH55" s="31"/>
      <c r="AI55" s="32"/>
      <c r="AJ55" s="27"/>
      <c r="AK55" s="36"/>
      <c r="AL55" s="31"/>
      <c r="AM55" s="32"/>
      <c r="AN55" s="27"/>
      <c r="AO55" s="36"/>
      <c r="AP55" s="31"/>
      <c r="AQ55" s="32"/>
      <c r="AR55" s="27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7">
        <f t="shared" si="1"/>
        <v>3557</v>
      </c>
      <c r="BK55" s="38">
        <f t="shared" si="2"/>
        <v>164</v>
      </c>
    </row>
    <row r="56" spans="2:63" s="39" customFormat="1" ht="23.25" customHeight="1">
      <c r="B56" s="97">
        <v>41</v>
      </c>
      <c r="C56" s="97" t="s">
        <v>39</v>
      </c>
      <c r="D56" s="98">
        <v>30483081</v>
      </c>
      <c r="E56" s="99" t="s">
        <v>1432</v>
      </c>
      <c r="F56" s="100" t="s">
        <v>47</v>
      </c>
      <c r="G56" s="27" t="s">
        <v>1368</v>
      </c>
      <c r="H56" s="26" t="s">
        <v>1373</v>
      </c>
      <c r="I56" s="49" t="s">
        <v>44</v>
      </c>
      <c r="J56" s="34">
        <v>19578</v>
      </c>
      <c r="K56" s="34">
        <v>0</v>
      </c>
      <c r="L56" s="34">
        <v>14277</v>
      </c>
      <c r="M56" s="34"/>
      <c r="N56" s="34"/>
      <c r="O56" s="34"/>
      <c r="P56" s="34">
        <v>5040</v>
      </c>
      <c r="Q56" s="34"/>
      <c r="R56" s="34"/>
      <c r="S56" s="34"/>
      <c r="T56" s="34">
        <v>6720</v>
      </c>
      <c r="U56" s="34"/>
      <c r="V56" s="34"/>
      <c r="W56" s="34"/>
      <c r="X56" s="34"/>
      <c r="Y56" s="31">
        <f t="shared" si="0"/>
        <v>11760</v>
      </c>
      <c r="Z56" s="31">
        <v>5301</v>
      </c>
      <c r="AA56" s="32">
        <v>1</v>
      </c>
      <c r="AB56" s="33">
        <v>44209</v>
      </c>
      <c r="AC56" s="33">
        <v>44225</v>
      </c>
      <c r="AD56" s="31">
        <v>7068</v>
      </c>
      <c r="AE56" s="32">
        <v>10</v>
      </c>
      <c r="AF56" s="33">
        <v>44284</v>
      </c>
      <c r="AG56" s="33">
        <v>44286</v>
      </c>
      <c r="AH56" s="31">
        <v>5301</v>
      </c>
      <c r="AI56" s="32">
        <v>42</v>
      </c>
      <c r="AJ56" s="33">
        <v>44432</v>
      </c>
      <c r="AK56" s="36">
        <v>44449</v>
      </c>
      <c r="AL56" s="31"/>
      <c r="AM56" s="32"/>
      <c r="AN56" s="27"/>
      <c r="AO56" s="36"/>
      <c r="AP56" s="31"/>
      <c r="AQ56" s="32"/>
      <c r="AR56" s="27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7">
        <f t="shared" si="1"/>
        <v>17670</v>
      </c>
      <c r="BK56" s="38">
        <f t="shared" si="2"/>
        <v>5910</v>
      </c>
    </row>
    <row r="57" spans="2:63" s="39" customFormat="1" ht="23.25" customHeight="1">
      <c r="B57" s="97">
        <v>42</v>
      </c>
      <c r="C57" s="97" t="s">
        <v>39</v>
      </c>
      <c r="D57" s="98">
        <v>30485212</v>
      </c>
      <c r="E57" s="99" t="s">
        <v>1433</v>
      </c>
      <c r="F57" s="100" t="s">
        <v>51</v>
      </c>
      <c r="G57" s="27" t="s">
        <v>1368</v>
      </c>
      <c r="H57" s="26" t="s">
        <v>1395</v>
      </c>
      <c r="I57" s="49" t="s">
        <v>44</v>
      </c>
      <c r="J57" s="34">
        <v>1202394</v>
      </c>
      <c r="K57" s="34">
        <v>748732</v>
      </c>
      <c r="L57" s="34">
        <v>30000</v>
      </c>
      <c r="M57" s="34"/>
      <c r="N57" s="34">
        <v>131851</v>
      </c>
      <c r="O57" s="34"/>
      <c r="P57" s="34">
        <v>293342</v>
      </c>
      <c r="Q57" s="34"/>
      <c r="R57" s="34"/>
      <c r="S57" s="34"/>
      <c r="T57" s="34"/>
      <c r="U57" s="34"/>
      <c r="V57" s="34"/>
      <c r="W57" s="34"/>
      <c r="X57" s="34"/>
      <c r="Y57" s="31">
        <f t="shared" si="0"/>
        <v>425193</v>
      </c>
      <c r="Z57" s="31">
        <v>423662</v>
      </c>
      <c r="AA57" s="32">
        <v>1</v>
      </c>
      <c r="AB57" s="33">
        <v>44209</v>
      </c>
      <c r="AC57" s="33">
        <v>44225</v>
      </c>
      <c r="AD57" s="31">
        <v>22977</v>
      </c>
      <c r="AE57" s="32">
        <v>10</v>
      </c>
      <c r="AF57" s="33">
        <v>44284</v>
      </c>
      <c r="AG57" s="33">
        <v>44286</v>
      </c>
      <c r="AH57" s="31"/>
      <c r="AI57" s="32"/>
      <c r="AJ57" s="27"/>
      <c r="AK57" s="36"/>
      <c r="AL57" s="31"/>
      <c r="AM57" s="32"/>
      <c r="AN57" s="27"/>
      <c r="AO57" s="36"/>
      <c r="AP57" s="31"/>
      <c r="AQ57" s="32"/>
      <c r="AR57" s="27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7">
        <f t="shared" si="1"/>
        <v>446639</v>
      </c>
      <c r="BK57" s="38">
        <f t="shared" si="2"/>
        <v>21446</v>
      </c>
    </row>
    <row r="58" spans="2:63" s="39" customFormat="1" ht="23.25" customHeight="1">
      <c r="B58" s="97">
        <v>43</v>
      </c>
      <c r="C58" s="97" t="s">
        <v>39</v>
      </c>
      <c r="D58" s="98">
        <v>40001663</v>
      </c>
      <c r="E58" s="99" t="s">
        <v>1434</v>
      </c>
      <c r="F58" s="100" t="s">
        <v>47</v>
      </c>
      <c r="G58" s="27" t="s">
        <v>1368</v>
      </c>
      <c r="H58" s="26" t="s">
        <v>1405</v>
      </c>
      <c r="I58" s="49" t="s">
        <v>52</v>
      </c>
      <c r="J58" s="34">
        <v>58644</v>
      </c>
      <c r="K58" s="34">
        <v>0</v>
      </c>
      <c r="L58" s="34">
        <v>21544</v>
      </c>
      <c r="M58" s="34"/>
      <c r="N58" s="298"/>
      <c r="O58" s="298">
        <v>15900</v>
      </c>
      <c r="P58" s="34">
        <v>21200</v>
      </c>
      <c r="Q58" s="34"/>
      <c r="R58" s="34"/>
      <c r="S58" s="34"/>
      <c r="T58" s="34">
        <v>15900</v>
      </c>
      <c r="U58" s="34"/>
      <c r="V58" s="34"/>
      <c r="W58" s="34"/>
      <c r="X58" s="34"/>
      <c r="Y58" s="31">
        <f t="shared" si="0"/>
        <v>53000</v>
      </c>
      <c r="Z58" s="31">
        <v>37100</v>
      </c>
      <c r="AA58" s="32">
        <v>1</v>
      </c>
      <c r="AB58" s="33">
        <v>44209</v>
      </c>
      <c r="AC58" s="33">
        <v>44225</v>
      </c>
      <c r="AD58" s="31">
        <v>15900</v>
      </c>
      <c r="AE58" s="32">
        <v>15</v>
      </c>
      <c r="AF58" s="33">
        <v>44322</v>
      </c>
      <c r="AG58" s="33">
        <v>44343</v>
      </c>
      <c r="AH58" s="31"/>
      <c r="AI58" s="32"/>
      <c r="AJ58" s="27"/>
      <c r="AK58" s="36"/>
      <c r="AL58" s="31"/>
      <c r="AM58" s="32"/>
      <c r="AN58" s="27"/>
      <c r="AO58" s="36"/>
      <c r="AP58" s="31"/>
      <c r="AQ58" s="32"/>
      <c r="AR58" s="27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7">
        <f t="shared" si="1"/>
        <v>53000</v>
      </c>
      <c r="BK58" s="38">
        <f t="shared" si="2"/>
        <v>0</v>
      </c>
    </row>
    <row r="59" spans="2:63" s="39" customFormat="1" ht="23.25" customHeight="1">
      <c r="B59" s="97">
        <v>44</v>
      </c>
      <c r="C59" s="97" t="s">
        <v>39</v>
      </c>
      <c r="D59" s="98">
        <v>40001871</v>
      </c>
      <c r="E59" s="99" t="s">
        <v>1435</v>
      </c>
      <c r="F59" s="100" t="s">
        <v>51</v>
      </c>
      <c r="G59" s="27" t="s">
        <v>1368</v>
      </c>
      <c r="H59" s="26" t="s">
        <v>1436</v>
      </c>
      <c r="I59" s="49" t="s">
        <v>44</v>
      </c>
      <c r="J59" s="34">
        <v>1184061</v>
      </c>
      <c r="K59" s="34">
        <v>975137</v>
      </c>
      <c r="L59" s="34">
        <v>16038</v>
      </c>
      <c r="M59" s="34"/>
      <c r="N59" s="298">
        <v>192883</v>
      </c>
      <c r="O59" s="298">
        <v>12959</v>
      </c>
      <c r="P59" s="34"/>
      <c r="Q59" s="34">
        <v>60151</v>
      </c>
      <c r="R59" s="34"/>
      <c r="S59" s="34"/>
      <c r="T59" s="34"/>
      <c r="U59" s="34"/>
      <c r="V59" s="34"/>
      <c r="W59" s="34"/>
      <c r="X59" s="34"/>
      <c r="Y59" s="31">
        <f t="shared" si="0"/>
        <v>265993</v>
      </c>
      <c r="Z59" s="31">
        <v>192886</v>
      </c>
      <c r="AA59" s="32">
        <v>1</v>
      </c>
      <c r="AB59" s="33">
        <v>44209</v>
      </c>
      <c r="AC59" s="33">
        <v>44225</v>
      </c>
      <c r="AD59" s="31">
        <v>73111</v>
      </c>
      <c r="AE59" s="35">
        <v>4</v>
      </c>
      <c r="AF59" s="33">
        <v>44263</v>
      </c>
      <c r="AG59" s="33">
        <v>44284</v>
      </c>
      <c r="AH59" s="31"/>
      <c r="AI59" s="32"/>
      <c r="AJ59" s="27"/>
      <c r="AK59" s="36"/>
      <c r="AL59" s="31"/>
      <c r="AM59" s="32"/>
      <c r="AN59" s="27"/>
      <c r="AO59" s="36"/>
      <c r="AP59" s="31"/>
      <c r="AQ59" s="32"/>
      <c r="AR59" s="27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7">
        <f t="shared" si="1"/>
        <v>265997</v>
      </c>
      <c r="BK59" s="38">
        <f t="shared" si="2"/>
        <v>4</v>
      </c>
    </row>
    <row r="60" spans="2:63" s="39" customFormat="1" ht="23.25" customHeight="1">
      <c r="B60" s="97">
        <v>45</v>
      </c>
      <c r="C60" s="97" t="s">
        <v>39</v>
      </c>
      <c r="D60" s="98">
        <v>40002025</v>
      </c>
      <c r="E60" s="99" t="s">
        <v>1437</v>
      </c>
      <c r="F60" s="100" t="s">
        <v>51</v>
      </c>
      <c r="G60" s="27" t="s">
        <v>1368</v>
      </c>
      <c r="H60" s="26" t="s">
        <v>1405</v>
      </c>
      <c r="I60" s="49" t="s">
        <v>44</v>
      </c>
      <c r="J60" s="34">
        <v>2111186</v>
      </c>
      <c r="K60" s="34">
        <v>1206560</v>
      </c>
      <c r="L60" s="34">
        <v>19906</v>
      </c>
      <c r="M60" s="34"/>
      <c r="N60" s="34">
        <v>53346</v>
      </c>
      <c r="O60" s="34">
        <v>223323</v>
      </c>
      <c r="P60" s="34">
        <v>113213</v>
      </c>
      <c r="Q60" s="34">
        <v>1500</v>
      </c>
      <c r="R60" s="34">
        <v>181725</v>
      </c>
      <c r="S60" s="34">
        <v>181854</v>
      </c>
      <c r="T60" s="34">
        <v>1350</v>
      </c>
      <c r="U60" s="34">
        <v>173395</v>
      </c>
      <c r="V60" s="34"/>
      <c r="W60" s="34"/>
      <c r="X60" s="34"/>
      <c r="Y60" s="31">
        <f t="shared" si="0"/>
        <v>929706</v>
      </c>
      <c r="Z60" s="31">
        <v>884720</v>
      </c>
      <c r="AA60" s="32">
        <v>1</v>
      </c>
      <c r="AB60" s="33">
        <v>44209</v>
      </c>
      <c r="AC60" s="33">
        <v>44225</v>
      </c>
      <c r="AD60" s="31">
        <v>148569</v>
      </c>
      <c r="AE60" s="32">
        <v>37</v>
      </c>
      <c r="AF60" s="33">
        <v>44379</v>
      </c>
      <c r="AG60" s="33">
        <v>44396</v>
      </c>
      <c r="AH60" s="31"/>
      <c r="AI60" s="32"/>
      <c r="AJ60" s="27"/>
      <c r="AK60" s="36"/>
      <c r="AL60" s="31"/>
      <c r="AM60" s="32"/>
      <c r="AN60" s="27"/>
      <c r="AO60" s="36"/>
      <c r="AP60" s="31"/>
      <c r="AQ60" s="32"/>
      <c r="AR60" s="27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7">
        <f t="shared" si="1"/>
        <v>1033289</v>
      </c>
      <c r="BK60" s="38">
        <f t="shared" si="2"/>
        <v>103583</v>
      </c>
    </row>
    <row r="61" spans="2:63" s="39" customFormat="1" ht="23.25" customHeight="1">
      <c r="B61" s="97">
        <v>46</v>
      </c>
      <c r="C61" s="97" t="s">
        <v>39</v>
      </c>
      <c r="D61" s="98">
        <v>40008614</v>
      </c>
      <c r="E61" s="99" t="s">
        <v>1438</v>
      </c>
      <c r="F61" s="100" t="s">
        <v>51</v>
      </c>
      <c r="G61" s="27" t="s">
        <v>1368</v>
      </c>
      <c r="H61" s="26" t="s">
        <v>1439</v>
      </c>
      <c r="I61" s="49" t="s">
        <v>44</v>
      </c>
      <c r="J61" s="34">
        <v>3508093</v>
      </c>
      <c r="K61" s="34">
        <v>23517</v>
      </c>
      <c r="L61" s="34">
        <v>2968780</v>
      </c>
      <c r="M61" s="34"/>
      <c r="N61" s="34"/>
      <c r="O61" s="34"/>
      <c r="P61" s="34"/>
      <c r="Q61" s="34"/>
      <c r="R61" s="34">
        <v>142049</v>
      </c>
      <c r="S61" s="34">
        <v>3795</v>
      </c>
      <c r="T61" s="34"/>
      <c r="U61" s="34">
        <v>341852</v>
      </c>
      <c r="V61" s="34"/>
      <c r="W61" s="34"/>
      <c r="X61" s="34"/>
      <c r="Y61" s="31">
        <f t="shared" si="0"/>
        <v>487696</v>
      </c>
      <c r="Z61" s="31">
        <v>515796</v>
      </c>
      <c r="AA61" s="32">
        <v>1</v>
      </c>
      <c r="AB61" s="33">
        <v>44209</v>
      </c>
      <c r="AC61" s="33">
        <v>44225</v>
      </c>
      <c r="AD61" s="31">
        <v>300000</v>
      </c>
      <c r="AE61" s="35">
        <v>15</v>
      </c>
      <c r="AF61" s="33">
        <v>44322</v>
      </c>
      <c r="AG61" s="33">
        <v>44343</v>
      </c>
      <c r="AH61" s="31">
        <v>27295</v>
      </c>
      <c r="AI61" s="32">
        <v>40</v>
      </c>
      <c r="AJ61" s="33">
        <v>44417</v>
      </c>
      <c r="AK61" s="36">
        <v>44428</v>
      </c>
      <c r="AL61" s="31">
        <v>116039</v>
      </c>
      <c r="AM61" s="32">
        <v>42</v>
      </c>
      <c r="AN61" s="33">
        <v>44432</v>
      </c>
      <c r="AO61" s="36">
        <v>44449</v>
      </c>
      <c r="AP61" s="31"/>
      <c r="AQ61" s="32"/>
      <c r="AR61" s="27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7">
        <f t="shared" si="1"/>
        <v>959130</v>
      </c>
      <c r="BK61" s="38">
        <f t="shared" si="2"/>
        <v>471434</v>
      </c>
    </row>
    <row r="62" spans="2:63" s="39" customFormat="1">
      <c r="B62" s="97">
        <v>47</v>
      </c>
      <c r="C62" s="97" t="s">
        <v>39</v>
      </c>
      <c r="D62" s="98">
        <v>30071516</v>
      </c>
      <c r="E62" s="99" t="s">
        <v>1440</v>
      </c>
      <c r="F62" s="100" t="s">
        <v>47</v>
      </c>
      <c r="G62" s="27" t="s">
        <v>1368</v>
      </c>
      <c r="H62" s="26" t="s">
        <v>1441</v>
      </c>
      <c r="I62" s="49" t="s">
        <v>44</v>
      </c>
      <c r="J62" s="34">
        <v>694375</v>
      </c>
      <c r="K62" s="34">
        <v>532530</v>
      </c>
      <c r="L62" s="34">
        <v>161844</v>
      </c>
      <c r="M62" s="34"/>
      <c r="N62" s="298"/>
      <c r="O62" s="298"/>
      <c r="P62" s="34"/>
      <c r="Q62" s="34"/>
      <c r="R62" s="34"/>
      <c r="S62" s="34"/>
      <c r="T62" s="34"/>
      <c r="U62" s="34"/>
      <c r="V62" s="34"/>
      <c r="W62" s="34"/>
      <c r="X62" s="34"/>
      <c r="Y62" s="31">
        <f t="shared" si="0"/>
        <v>0</v>
      </c>
      <c r="Z62" s="31">
        <v>1</v>
      </c>
      <c r="AA62" s="32">
        <v>2</v>
      </c>
      <c r="AB62" s="33">
        <v>44253</v>
      </c>
      <c r="AC62" s="33">
        <v>44273</v>
      </c>
      <c r="AD62" s="31"/>
      <c r="AE62" s="35"/>
      <c r="AF62" s="27"/>
      <c r="AG62" s="33"/>
      <c r="AH62" s="31"/>
      <c r="AI62" s="32"/>
      <c r="AJ62" s="27"/>
      <c r="AK62" s="36"/>
      <c r="AL62" s="31"/>
      <c r="AM62" s="32"/>
      <c r="AN62" s="27"/>
      <c r="AO62" s="36"/>
      <c r="AP62" s="31"/>
      <c r="AQ62" s="32"/>
      <c r="AR62" s="27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7">
        <f t="shared" si="1"/>
        <v>1</v>
      </c>
      <c r="BK62" s="38">
        <f t="shared" si="2"/>
        <v>1</v>
      </c>
    </row>
    <row r="63" spans="2:63" s="39" customFormat="1" ht="22.5">
      <c r="B63" s="97">
        <v>48</v>
      </c>
      <c r="C63" s="97" t="s">
        <v>39</v>
      </c>
      <c r="D63" s="98">
        <v>30096057</v>
      </c>
      <c r="E63" s="99" t="s">
        <v>1442</v>
      </c>
      <c r="F63" s="100" t="s">
        <v>51</v>
      </c>
      <c r="G63" s="27" t="s">
        <v>1368</v>
      </c>
      <c r="H63" s="26" t="s">
        <v>1389</v>
      </c>
      <c r="I63" s="49" t="s">
        <v>52</v>
      </c>
      <c r="J63" s="34">
        <v>2565977</v>
      </c>
      <c r="K63" s="34">
        <v>8350</v>
      </c>
      <c r="L63" s="34">
        <v>2045627</v>
      </c>
      <c r="M63" s="34"/>
      <c r="N63" s="298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1">
        <f t="shared" si="0"/>
        <v>0</v>
      </c>
      <c r="Z63" s="31">
        <v>512000</v>
      </c>
      <c r="AA63" s="32">
        <v>2</v>
      </c>
      <c r="AB63" s="33">
        <v>44253</v>
      </c>
      <c r="AC63" s="33">
        <v>44273</v>
      </c>
      <c r="AD63" s="31">
        <v>300000</v>
      </c>
      <c r="AE63" s="35">
        <v>15</v>
      </c>
      <c r="AF63" s="33">
        <v>44322</v>
      </c>
      <c r="AG63" s="33">
        <v>44343</v>
      </c>
      <c r="AH63" s="31">
        <v>-200000</v>
      </c>
      <c r="AI63" s="32">
        <v>40</v>
      </c>
      <c r="AJ63" s="27">
        <v>44417</v>
      </c>
      <c r="AK63" s="36">
        <v>44428</v>
      </c>
      <c r="AL63" s="31">
        <v>-150000</v>
      </c>
      <c r="AM63" s="32">
        <v>42</v>
      </c>
      <c r="AN63" s="33">
        <v>44432</v>
      </c>
      <c r="AO63" s="36">
        <v>44449</v>
      </c>
      <c r="AP63" s="31"/>
      <c r="AQ63" s="32"/>
      <c r="AR63" s="33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7">
        <f t="shared" si="1"/>
        <v>462000</v>
      </c>
      <c r="BK63" s="38">
        <f t="shared" si="2"/>
        <v>462000</v>
      </c>
    </row>
    <row r="64" spans="2:63" s="39" customFormat="1" ht="24" customHeight="1">
      <c r="B64" s="97">
        <v>49</v>
      </c>
      <c r="C64" s="97" t="s">
        <v>39</v>
      </c>
      <c r="D64" s="98">
        <v>30108153</v>
      </c>
      <c r="E64" s="304" t="s">
        <v>1443</v>
      </c>
      <c r="F64" s="100" t="s">
        <v>51</v>
      </c>
      <c r="G64" s="27" t="s">
        <v>1368</v>
      </c>
      <c r="H64" s="26" t="s">
        <v>1441</v>
      </c>
      <c r="I64" s="49" t="s">
        <v>52</v>
      </c>
      <c r="J64" s="34">
        <v>1937491</v>
      </c>
      <c r="K64" s="34">
        <v>0</v>
      </c>
      <c r="L64" s="34">
        <v>1429489</v>
      </c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1">
        <f t="shared" si="0"/>
        <v>0</v>
      </c>
      <c r="Z64" s="31">
        <v>508002</v>
      </c>
      <c r="AA64" s="32">
        <v>2</v>
      </c>
      <c r="AB64" s="33">
        <v>44253</v>
      </c>
      <c r="AC64" s="33">
        <v>44273</v>
      </c>
      <c r="AD64" s="31">
        <v>-400000</v>
      </c>
      <c r="AE64" s="35">
        <v>37</v>
      </c>
      <c r="AF64" s="33">
        <v>44379</v>
      </c>
      <c r="AG64" s="33">
        <v>44396</v>
      </c>
      <c r="AH64" s="31"/>
      <c r="AI64" s="32"/>
      <c r="AJ64" s="33"/>
      <c r="AK64" s="36"/>
      <c r="AL64" s="31"/>
      <c r="AM64" s="32"/>
      <c r="AN64" s="27"/>
      <c r="AO64" s="36"/>
      <c r="AP64" s="31"/>
      <c r="AQ64" s="32"/>
      <c r="AR64" s="27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7">
        <f t="shared" si="1"/>
        <v>108002</v>
      </c>
      <c r="BK64" s="38">
        <f t="shared" si="2"/>
        <v>108002</v>
      </c>
    </row>
    <row r="65" spans="2:63" s="39" customFormat="1" ht="24" customHeight="1">
      <c r="B65" s="97">
        <v>50</v>
      </c>
      <c r="C65" s="97" t="s">
        <v>39</v>
      </c>
      <c r="D65" s="98">
        <v>30133565</v>
      </c>
      <c r="E65" s="99" t="s">
        <v>1444</v>
      </c>
      <c r="F65" s="100" t="s">
        <v>51</v>
      </c>
      <c r="G65" s="27" t="s">
        <v>1368</v>
      </c>
      <c r="H65" s="26" t="s">
        <v>1391</v>
      </c>
      <c r="I65" s="49" t="s">
        <v>52</v>
      </c>
      <c r="J65" s="34">
        <v>266888</v>
      </c>
      <c r="K65" s="34">
        <v>0</v>
      </c>
      <c r="L65" s="34">
        <v>216886</v>
      </c>
      <c r="M65" s="34"/>
      <c r="N65" s="34"/>
      <c r="O65" s="298"/>
      <c r="P65" s="34"/>
      <c r="Q65" s="34"/>
      <c r="R65" s="34"/>
      <c r="S65" s="34"/>
      <c r="T65" s="34"/>
      <c r="U65" s="34"/>
      <c r="V65" s="34"/>
      <c r="W65" s="34"/>
      <c r="X65" s="34"/>
      <c r="Y65" s="31">
        <f t="shared" si="0"/>
        <v>0</v>
      </c>
      <c r="Z65" s="31">
        <v>50002</v>
      </c>
      <c r="AA65" s="32">
        <v>2</v>
      </c>
      <c r="AB65" s="33">
        <v>44253</v>
      </c>
      <c r="AC65" s="33">
        <v>44273</v>
      </c>
      <c r="AD65" s="31"/>
      <c r="AE65" s="32"/>
      <c r="AF65" s="33"/>
      <c r="AG65" s="33"/>
      <c r="AH65" s="31"/>
      <c r="AI65" s="32"/>
      <c r="AJ65" s="27"/>
      <c r="AK65" s="36"/>
      <c r="AL65" s="31"/>
      <c r="AM65" s="32"/>
      <c r="AN65" s="27"/>
      <c r="AO65" s="36"/>
      <c r="AP65" s="31"/>
      <c r="AQ65" s="32"/>
      <c r="AR65" s="27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7">
        <f t="shared" si="1"/>
        <v>50002</v>
      </c>
      <c r="BK65" s="38">
        <f t="shared" si="2"/>
        <v>50002</v>
      </c>
    </row>
    <row r="66" spans="2:63" s="39" customFormat="1" ht="24" customHeight="1">
      <c r="B66" s="97">
        <v>51</v>
      </c>
      <c r="C66" s="97" t="s">
        <v>39</v>
      </c>
      <c r="D66" s="98">
        <v>30133674</v>
      </c>
      <c r="E66" s="99" t="s">
        <v>1445</v>
      </c>
      <c r="F66" s="100" t="s">
        <v>51</v>
      </c>
      <c r="G66" s="27" t="s">
        <v>1368</v>
      </c>
      <c r="H66" s="26" t="s">
        <v>1408</v>
      </c>
      <c r="I66" s="49" t="s">
        <v>44</v>
      </c>
      <c r="J66" s="34">
        <v>1287998</v>
      </c>
      <c r="K66" s="34">
        <v>1156759</v>
      </c>
      <c r="L66" s="34">
        <v>46237</v>
      </c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1">
        <f t="shared" si="0"/>
        <v>0</v>
      </c>
      <c r="Z66" s="31">
        <v>85002</v>
      </c>
      <c r="AA66" s="32">
        <v>2</v>
      </c>
      <c r="AB66" s="33">
        <v>44253</v>
      </c>
      <c r="AC66" s="33">
        <v>44273</v>
      </c>
      <c r="AD66" s="31"/>
      <c r="AE66" s="35"/>
      <c r="AF66" s="27"/>
      <c r="AG66" s="33"/>
      <c r="AH66" s="31"/>
      <c r="AI66" s="32"/>
      <c r="AJ66" s="27"/>
      <c r="AK66" s="36"/>
      <c r="AL66" s="31"/>
      <c r="AM66" s="32"/>
      <c r="AN66" s="27"/>
      <c r="AO66" s="36"/>
      <c r="AP66" s="31"/>
      <c r="AQ66" s="32"/>
      <c r="AR66" s="27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7">
        <f t="shared" si="1"/>
        <v>85002</v>
      </c>
      <c r="BK66" s="38">
        <f t="shared" si="2"/>
        <v>85002</v>
      </c>
    </row>
    <row r="67" spans="2:63" s="39" customFormat="1" ht="24" customHeight="1">
      <c r="B67" s="97">
        <v>52</v>
      </c>
      <c r="C67" s="97" t="s">
        <v>39</v>
      </c>
      <c r="D67" s="98">
        <v>30145872</v>
      </c>
      <c r="E67" s="305" t="s">
        <v>1446</v>
      </c>
      <c r="F67" s="100" t="s">
        <v>51</v>
      </c>
      <c r="G67" s="27" t="s">
        <v>1368</v>
      </c>
      <c r="H67" s="26" t="s">
        <v>1395</v>
      </c>
      <c r="I67" s="49" t="s">
        <v>52</v>
      </c>
      <c r="J67" s="34">
        <v>1559516</v>
      </c>
      <c r="K67" s="34">
        <v>0</v>
      </c>
      <c r="L67" s="34">
        <v>1459516</v>
      </c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1">
        <f t="shared" si="0"/>
        <v>0</v>
      </c>
      <c r="Z67" s="31">
        <v>100000</v>
      </c>
      <c r="AA67" s="32">
        <v>2</v>
      </c>
      <c r="AB67" s="33">
        <v>44253</v>
      </c>
      <c r="AC67" s="33">
        <v>44273</v>
      </c>
      <c r="AD67" s="31"/>
      <c r="AE67" s="35"/>
      <c r="AF67" s="27"/>
      <c r="AG67" s="33"/>
      <c r="AH67" s="31"/>
      <c r="AI67" s="32"/>
      <c r="AJ67" s="27"/>
      <c r="AK67" s="36"/>
      <c r="AL67" s="31"/>
      <c r="AM67" s="32"/>
      <c r="AN67" s="27"/>
      <c r="AO67" s="36"/>
      <c r="AP67" s="31"/>
      <c r="AQ67" s="32"/>
      <c r="AR67" s="27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7">
        <f t="shared" si="1"/>
        <v>100000</v>
      </c>
      <c r="BK67" s="38">
        <f t="shared" si="2"/>
        <v>100000</v>
      </c>
    </row>
    <row r="68" spans="2:63" s="39" customFormat="1" ht="24" customHeight="1">
      <c r="B68" s="306">
        <v>54</v>
      </c>
      <c r="C68" s="97" t="s">
        <v>39</v>
      </c>
      <c r="D68" s="98">
        <v>40003276</v>
      </c>
      <c r="E68" s="305" t="s">
        <v>1447</v>
      </c>
      <c r="F68" s="100" t="s">
        <v>51</v>
      </c>
      <c r="G68" s="27" t="s">
        <v>1368</v>
      </c>
      <c r="H68" s="26" t="s">
        <v>342</v>
      </c>
      <c r="I68" s="49" t="s">
        <v>44</v>
      </c>
      <c r="J68" s="34">
        <v>7000000</v>
      </c>
      <c r="K68" s="34">
        <v>0</v>
      </c>
      <c r="L68" s="34">
        <v>6500000</v>
      </c>
      <c r="M68" s="34"/>
      <c r="N68" s="34"/>
      <c r="O68" s="34"/>
      <c r="P68" s="34"/>
      <c r="Q68" s="34"/>
      <c r="R68" s="34"/>
      <c r="S68" s="34"/>
      <c r="T68" s="34">
        <v>124103</v>
      </c>
      <c r="U68" s="34"/>
      <c r="V68" s="34"/>
      <c r="W68" s="34"/>
      <c r="X68" s="34"/>
      <c r="Y68" s="31">
        <f t="shared" si="0"/>
        <v>124103</v>
      </c>
      <c r="Z68" s="31">
        <v>500000</v>
      </c>
      <c r="AA68" s="32">
        <v>2</v>
      </c>
      <c r="AB68" s="33">
        <v>44253</v>
      </c>
      <c r="AC68" s="33">
        <v>44273</v>
      </c>
      <c r="AD68" s="31"/>
      <c r="AE68" s="35"/>
      <c r="AF68" s="33"/>
      <c r="AG68" s="33"/>
      <c r="AH68" s="31"/>
      <c r="AI68" s="32"/>
      <c r="AJ68" s="27"/>
      <c r="AK68" s="36"/>
      <c r="AL68" s="31"/>
      <c r="AM68" s="32"/>
      <c r="AN68" s="27"/>
      <c r="AO68" s="36"/>
      <c r="AP68" s="31"/>
      <c r="AQ68" s="32"/>
      <c r="AR68" s="27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7">
        <f t="shared" si="1"/>
        <v>500000</v>
      </c>
      <c r="BK68" s="38">
        <f t="shared" si="2"/>
        <v>375897</v>
      </c>
    </row>
    <row r="69" spans="2:63" s="300" customFormat="1" ht="24" customHeight="1">
      <c r="B69" s="306">
        <v>55</v>
      </c>
      <c r="C69" s="306" t="s">
        <v>1448</v>
      </c>
      <c r="D69" s="307">
        <v>20090722</v>
      </c>
      <c r="E69" s="308" t="s">
        <v>1449</v>
      </c>
      <c r="F69" s="165" t="s">
        <v>51</v>
      </c>
      <c r="G69" s="27" t="s">
        <v>1368</v>
      </c>
      <c r="H69" s="309" t="s">
        <v>1450</v>
      </c>
      <c r="I69" s="168" t="s">
        <v>44</v>
      </c>
      <c r="J69" s="310">
        <v>7966153</v>
      </c>
      <c r="K69" s="310">
        <v>4247567</v>
      </c>
      <c r="L69" s="310">
        <v>3718584</v>
      </c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">
        <f t="shared" si="0"/>
        <v>0</v>
      </c>
      <c r="Z69" s="311">
        <v>2</v>
      </c>
      <c r="AA69" s="312">
        <v>3</v>
      </c>
      <c r="AB69" s="313">
        <v>44373</v>
      </c>
      <c r="AC69" s="313">
        <v>44273</v>
      </c>
      <c r="AD69" s="311">
        <v>599999</v>
      </c>
      <c r="AE69" s="312">
        <v>39</v>
      </c>
      <c r="AF69" s="313">
        <v>44389</v>
      </c>
      <c r="AG69" s="313">
        <v>44410</v>
      </c>
      <c r="AH69" s="311">
        <v>-350000</v>
      </c>
      <c r="AI69" s="312">
        <v>42</v>
      </c>
      <c r="AJ69" s="314">
        <v>44432</v>
      </c>
      <c r="AK69" s="315">
        <v>44449</v>
      </c>
      <c r="AL69" s="311"/>
      <c r="AM69" s="312"/>
      <c r="AN69" s="316"/>
      <c r="AO69" s="315"/>
      <c r="AP69" s="311"/>
      <c r="AQ69" s="312"/>
      <c r="AR69" s="316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7">
        <f t="shared" si="1"/>
        <v>250001</v>
      </c>
      <c r="BK69" s="38">
        <f t="shared" si="2"/>
        <v>250001</v>
      </c>
    </row>
    <row r="70" spans="2:63" s="300" customFormat="1" ht="24" customHeight="1">
      <c r="B70" s="306">
        <v>56</v>
      </c>
      <c r="C70" s="306" t="s">
        <v>1448</v>
      </c>
      <c r="D70" s="307">
        <v>20183484</v>
      </c>
      <c r="E70" s="308" t="s">
        <v>1451</v>
      </c>
      <c r="F70" s="165" t="s">
        <v>47</v>
      </c>
      <c r="G70" s="27" t="s">
        <v>1368</v>
      </c>
      <c r="H70" s="317" t="s">
        <v>1423</v>
      </c>
      <c r="I70" s="168" t="s">
        <v>44</v>
      </c>
      <c r="J70" s="310">
        <v>858991</v>
      </c>
      <c r="K70" s="310">
        <v>639861</v>
      </c>
      <c r="L70" s="310">
        <v>33197</v>
      </c>
      <c r="M70" s="310"/>
      <c r="N70" s="310"/>
      <c r="O70" s="310"/>
      <c r="P70" s="310"/>
      <c r="Q70" s="310"/>
      <c r="R70" s="310">
        <v>48918</v>
      </c>
      <c r="S70" s="310"/>
      <c r="T70" s="310"/>
      <c r="U70" s="310"/>
      <c r="V70" s="310"/>
      <c r="W70" s="310"/>
      <c r="X70" s="310"/>
      <c r="Y70" s="31">
        <f t="shared" si="0"/>
        <v>48918</v>
      </c>
      <c r="Z70" s="311">
        <v>185933</v>
      </c>
      <c r="AA70" s="312">
        <v>3</v>
      </c>
      <c r="AB70" s="313">
        <v>44373</v>
      </c>
      <c r="AC70" s="313">
        <v>44273</v>
      </c>
      <c r="AD70" s="311">
        <v>14425</v>
      </c>
      <c r="AE70" s="318">
        <v>39</v>
      </c>
      <c r="AF70" s="313">
        <v>44389</v>
      </c>
      <c r="AG70" s="313">
        <v>44410</v>
      </c>
      <c r="AH70" s="311"/>
      <c r="AI70" s="312"/>
      <c r="AJ70" s="313"/>
      <c r="AK70" s="315"/>
      <c r="AL70" s="311"/>
      <c r="AM70" s="312"/>
      <c r="AN70" s="316"/>
      <c r="AO70" s="315"/>
      <c r="AP70" s="311"/>
      <c r="AQ70" s="312"/>
      <c r="AR70" s="316"/>
      <c r="AS70" s="315"/>
      <c r="AT70" s="315"/>
      <c r="AU70" s="315"/>
      <c r="AV70" s="315"/>
      <c r="AW70" s="315"/>
      <c r="AX70" s="315"/>
      <c r="AY70" s="315"/>
      <c r="AZ70" s="315"/>
      <c r="BA70" s="315"/>
      <c r="BB70" s="315"/>
      <c r="BC70" s="315"/>
      <c r="BD70" s="315"/>
      <c r="BE70" s="315"/>
      <c r="BF70" s="315"/>
      <c r="BG70" s="315"/>
      <c r="BH70" s="315"/>
      <c r="BI70" s="315"/>
      <c r="BJ70" s="37">
        <f t="shared" si="1"/>
        <v>200358</v>
      </c>
      <c r="BK70" s="38">
        <f t="shared" si="2"/>
        <v>151440</v>
      </c>
    </row>
    <row r="71" spans="2:63" s="300" customFormat="1" ht="24" customHeight="1">
      <c r="B71" s="306">
        <v>57</v>
      </c>
      <c r="C71" s="306" t="s">
        <v>1448</v>
      </c>
      <c r="D71" s="307">
        <v>30067364</v>
      </c>
      <c r="E71" s="308" t="s">
        <v>1452</v>
      </c>
      <c r="F71" s="165" t="s">
        <v>47</v>
      </c>
      <c r="G71" s="27" t="s">
        <v>1368</v>
      </c>
      <c r="H71" s="317" t="s">
        <v>1453</v>
      </c>
      <c r="I71" s="168" t="s">
        <v>44</v>
      </c>
      <c r="J71" s="310">
        <v>840063</v>
      </c>
      <c r="K71" s="310">
        <v>686688</v>
      </c>
      <c r="L71" s="310">
        <v>87710</v>
      </c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">
        <f t="shared" si="0"/>
        <v>0</v>
      </c>
      <c r="Z71" s="311">
        <v>65665</v>
      </c>
      <c r="AA71" s="312">
        <v>3</v>
      </c>
      <c r="AB71" s="313">
        <v>44373</v>
      </c>
      <c r="AC71" s="313">
        <v>44273</v>
      </c>
      <c r="AD71" s="311">
        <v>-65664</v>
      </c>
      <c r="AE71" s="318">
        <v>42</v>
      </c>
      <c r="AF71" s="313">
        <v>44432</v>
      </c>
      <c r="AG71" s="313">
        <v>44449</v>
      </c>
      <c r="AH71" s="311"/>
      <c r="AI71" s="312"/>
      <c r="AJ71" s="316"/>
      <c r="AK71" s="315"/>
      <c r="AL71" s="311"/>
      <c r="AM71" s="312"/>
      <c r="AN71" s="316"/>
      <c r="AO71" s="315"/>
      <c r="AP71" s="311"/>
      <c r="AQ71" s="312"/>
      <c r="AR71" s="316"/>
      <c r="AS71" s="315"/>
      <c r="AT71" s="315"/>
      <c r="AU71" s="315"/>
      <c r="AV71" s="315"/>
      <c r="AW71" s="315"/>
      <c r="AX71" s="315"/>
      <c r="AY71" s="315"/>
      <c r="AZ71" s="315"/>
      <c r="BA71" s="315"/>
      <c r="BB71" s="315"/>
      <c r="BC71" s="315"/>
      <c r="BD71" s="315"/>
      <c r="BE71" s="315"/>
      <c r="BF71" s="315"/>
      <c r="BG71" s="315"/>
      <c r="BH71" s="315"/>
      <c r="BI71" s="315"/>
      <c r="BJ71" s="37">
        <f t="shared" si="1"/>
        <v>1</v>
      </c>
      <c r="BK71" s="38">
        <f t="shared" si="2"/>
        <v>1</v>
      </c>
    </row>
    <row r="72" spans="2:63" s="300" customFormat="1" ht="24" customHeight="1">
      <c r="B72" s="97">
        <v>58</v>
      </c>
      <c r="C72" s="306" t="s">
        <v>1448</v>
      </c>
      <c r="D72" s="307">
        <v>30093680</v>
      </c>
      <c r="E72" s="308" t="s">
        <v>1454</v>
      </c>
      <c r="F72" s="165" t="s">
        <v>47</v>
      </c>
      <c r="G72" s="27" t="s">
        <v>1368</v>
      </c>
      <c r="H72" s="319" t="s">
        <v>1416</v>
      </c>
      <c r="I72" s="168" t="s">
        <v>44</v>
      </c>
      <c r="J72" s="310">
        <v>145349</v>
      </c>
      <c r="K72" s="310">
        <v>116572</v>
      </c>
      <c r="L72" s="310">
        <v>1597</v>
      </c>
      <c r="M72" s="310"/>
      <c r="N72" s="310"/>
      <c r="O72" s="310"/>
      <c r="P72" s="310"/>
      <c r="Q72" s="310"/>
      <c r="R72" s="310"/>
      <c r="S72" s="310"/>
      <c r="T72" s="310">
        <v>20385</v>
      </c>
      <c r="U72" s="310"/>
      <c r="V72" s="310"/>
      <c r="W72" s="310"/>
      <c r="X72" s="310"/>
      <c r="Y72" s="31">
        <f t="shared" si="0"/>
        <v>20385</v>
      </c>
      <c r="Z72" s="311">
        <v>27180</v>
      </c>
      <c r="AA72" s="312">
        <v>3</v>
      </c>
      <c r="AB72" s="313">
        <v>44373</v>
      </c>
      <c r="AC72" s="313">
        <v>44273</v>
      </c>
      <c r="AD72" s="311"/>
      <c r="AE72" s="312"/>
      <c r="AF72" s="313"/>
      <c r="AG72" s="313"/>
      <c r="AH72" s="311"/>
      <c r="AI72" s="312"/>
      <c r="AJ72" s="316"/>
      <c r="AK72" s="315"/>
      <c r="AL72" s="311"/>
      <c r="AM72" s="312"/>
      <c r="AN72" s="316"/>
      <c r="AO72" s="315"/>
      <c r="AP72" s="311"/>
      <c r="AQ72" s="312"/>
      <c r="AR72" s="316"/>
      <c r="AS72" s="315"/>
      <c r="AT72" s="315"/>
      <c r="AU72" s="315"/>
      <c r="AV72" s="315"/>
      <c r="AW72" s="315"/>
      <c r="AX72" s="315"/>
      <c r="AY72" s="315"/>
      <c r="AZ72" s="315"/>
      <c r="BA72" s="315"/>
      <c r="BB72" s="315"/>
      <c r="BC72" s="315"/>
      <c r="BD72" s="315"/>
      <c r="BE72" s="315"/>
      <c r="BF72" s="315"/>
      <c r="BG72" s="315"/>
      <c r="BH72" s="315"/>
      <c r="BI72" s="315"/>
      <c r="BJ72" s="37">
        <f t="shared" si="1"/>
        <v>27180</v>
      </c>
      <c r="BK72" s="38">
        <f t="shared" si="2"/>
        <v>6795</v>
      </c>
    </row>
    <row r="73" spans="2:63" s="300" customFormat="1" ht="24" customHeight="1">
      <c r="B73" s="97">
        <v>59</v>
      </c>
      <c r="C73" s="306" t="s">
        <v>1448</v>
      </c>
      <c r="D73" s="320">
        <v>30102525</v>
      </c>
      <c r="E73" s="308" t="s">
        <v>1455</v>
      </c>
      <c r="F73" s="165" t="s">
        <v>51</v>
      </c>
      <c r="G73" s="27" t="s">
        <v>1368</v>
      </c>
      <c r="H73" s="319" t="s">
        <v>1395</v>
      </c>
      <c r="I73" s="168" t="s">
        <v>44</v>
      </c>
      <c r="J73" s="310">
        <v>335142</v>
      </c>
      <c r="K73" s="310">
        <v>13937</v>
      </c>
      <c r="L73" s="310">
        <v>321202</v>
      </c>
      <c r="M73" s="310"/>
      <c r="N73" s="310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">
        <f t="shared" si="0"/>
        <v>0</v>
      </c>
      <c r="Z73" s="311">
        <v>3</v>
      </c>
      <c r="AA73" s="312">
        <v>3</v>
      </c>
      <c r="AB73" s="313">
        <v>44373</v>
      </c>
      <c r="AC73" s="313">
        <v>44273</v>
      </c>
      <c r="AD73" s="311"/>
      <c r="AE73" s="318"/>
      <c r="AF73" s="316"/>
      <c r="AG73" s="313"/>
      <c r="AH73" s="311"/>
      <c r="AI73" s="312"/>
      <c r="AJ73" s="316"/>
      <c r="AK73" s="315"/>
      <c r="AL73" s="311"/>
      <c r="AM73" s="312"/>
      <c r="AN73" s="316"/>
      <c r="AO73" s="315"/>
      <c r="AP73" s="311"/>
      <c r="AQ73" s="312"/>
      <c r="AR73" s="316"/>
      <c r="AS73" s="315"/>
      <c r="AT73" s="315"/>
      <c r="AU73" s="315"/>
      <c r="AV73" s="315"/>
      <c r="AW73" s="315"/>
      <c r="AX73" s="315"/>
      <c r="AY73" s="315"/>
      <c r="AZ73" s="315"/>
      <c r="BA73" s="315"/>
      <c r="BB73" s="315"/>
      <c r="BC73" s="315"/>
      <c r="BD73" s="315"/>
      <c r="BE73" s="315"/>
      <c r="BF73" s="315"/>
      <c r="BG73" s="315"/>
      <c r="BH73" s="315"/>
      <c r="BI73" s="315"/>
      <c r="BJ73" s="37">
        <f t="shared" si="1"/>
        <v>3</v>
      </c>
      <c r="BK73" s="38">
        <f t="shared" si="2"/>
        <v>3</v>
      </c>
    </row>
    <row r="74" spans="2:63" s="300" customFormat="1" ht="24" customHeight="1">
      <c r="B74" s="306">
        <v>60</v>
      </c>
      <c r="C74" s="306" t="s">
        <v>1448</v>
      </c>
      <c r="D74" s="307">
        <v>30103833</v>
      </c>
      <c r="E74" s="308" t="s">
        <v>1456</v>
      </c>
      <c r="F74" s="165" t="s">
        <v>47</v>
      </c>
      <c r="G74" s="27" t="s">
        <v>1368</v>
      </c>
      <c r="H74" s="319" t="s">
        <v>1381</v>
      </c>
      <c r="I74" s="168" t="s">
        <v>44</v>
      </c>
      <c r="J74" s="310">
        <v>154129</v>
      </c>
      <c r="K74" s="310">
        <v>42945</v>
      </c>
      <c r="L74" s="310">
        <v>83184</v>
      </c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">
        <f t="shared" si="0"/>
        <v>0</v>
      </c>
      <c r="Z74" s="311">
        <v>28000</v>
      </c>
      <c r="AA74" s="312">
        <v>3</v>
      </c>
      <c r="AB74" s="313">
        <v>44373</v>
      </c>
      <c r="AC74" s="313">
        <v>44273</v>
      </c>
      <c r="AD74" s="311"/>
      <c r="AE74" s="318"/>
      <c r="AF74" s="316"/>
      <c r="AG74" s="313"/>
      <c r="AH74" s="311"/>
      <c r="AI74" s="312"/>
      <c r="AJ74" s="316"/>
      <c r="AK74" s="315"/>
      <c r="AL74" s="311"/>
      <c r="AM74" s="312"/>
      <c r="AN74" s="316"/>
      <c r="AO74" s="315"/>
      <c r="AP74" s="311"/>
      <c r="AQ74" s="312"/>
      <c r="AR74" s="316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7">
        <f t="shared" si="1"/>
        <v>28000</v>
      </c>
      <c r="BK74" s="38">
        <f t="shared" si="2"/>
        <v>28000</v>
      </c>
    </row>
    <row r="75" spans="2:63" s="300" customFormat="1" ht="24" customHeight="1">
      <c r="B75" s="97">
        <v>61</v>
      </c>
      <c r="C75" s="306" t="s">
        <v>1448</v>
      </c>
      <c r="D75" s="307">
        <v>30108463</v>
      </c>
      <c r="E75" s="308" t="s">
        <v>1457</v>
      </c>
      <c r="F75" s="165" t="s">
        <v>51</v>
      </c>
      <c r="G75" s="27" t="s">
        <v>1368</v>
      </c>
      <c r="H75" s="319" t="s">
        <v>1413</v>
      </c>
      <c r="I75" s="168" t="s">
        <v>52</v>
      </c>
      <c r="J75" s="310">
        <v>3662327</v>
      </c>
      <c r="K75" s="310">
        <v>0</v>
      </c>
      <c r="L75" s="310">
        <v>3552325</v>
      </c>
      <c r="M75" s="310"/>
      <c r="N75" s="310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">
        <f t="shared" si="0"/>
        <v>0</v>
      </c>
      <c r="Z75" s="311">
        <v>110002</v>
      </c>
      <c r="AA75" s="312">
        <v>3</v>
      </c>
      <c r="AB75" s="313">
        <v>44373</v>
      </c>
      <c r="AC75" s="313">
        <v>44273</v>
      </c>
      <c r="AD75" s="311">
        <v>500000</v>
      </c>
      <c r="AE75" s="318">
        <v>39</v>
      </c>
      <c r="AF75" s="313">
        <v>44389</v>
      </c>
      <c r="AG75" s="313">
        <v>44410</v>
      </c>
      <c r="AH75" s="311"/>
      <c r="AI75" s="312"/>
      <c r="AJ75" s="313"/>
      <c r="AK75" s="315"/>
      <c r="AL75" s="311"/>
      <c r="AM75" s="312"/>
      <c r="AN75" s="316"/>
      <c r="AO75" s="315"/>
      <c r="AP75" s="311"/>
      <c r="AQ75" s="312"/>
      <c r="AR75" s="316"/>
      <c r="AS75" s="315"/>
      <c r="AT75" s="315"/>
      <c r="AU75" s="315"/>
      <c r="AV75" s="315"/>
      <c r="AW75" s="315"/>
      <c r="AX75" s="315"/>
      <c r="AY75" s="315"/>
      <c r="AZ75" s="315"/>
      <c r="BA75" s="315"/>
      <c r="BB75" s="315"/>
      <c r="BC75" s="315"/>
      <c r="BD75" s="315"/>
      <c r="BE75" s="315"/>
      <c r="BF75" s="315"/>
      <c r="BG75" s="315"/>
      <c r="BH75" s="315"/>
      <c r="BI75" s="315"/>
      <c r="BJ75" s="37">
        <f t="shared" si="1"/>
        <v>610002</v>
      </c>
      <c r="BK75" s="38">
        <f t="shared" si="2"/>
        <v>610002</v>
      </c>
    </row>
    <row r="76" spans="2:63" s="300" customFormat="1" ht="24" customHeight="1">
      <c r="B76" s="97">
        <v>62</v>
      </c>
      <c r="C76" s="306" t="s">
        <v>1448</v>
      </c>
      <c r="D76" s="307">
        <v>30128024</v>
      </c>
      <c r="E76" s="308" t="s">
        <v>1458</v>
      </c>
      <c r="F76" s="165" t="s">
        <v>51</v>
      </c>
      <c r="G76" s="27" t="s">
        <v>1368</v>
      </c>
      <c r="H76" s="319" t="s">
        <v>1423</v>
      </c>
      <c r="I76" s="168" t="s">
        <v>44</v>
      </c>
      <c r="J76" s="310">
        <v>2306234</v>
      </c>
      <c r="K76" s="310">
        <v>7857</v>
      </c>
      <c r="L76" s="310">
        <v>1636374</v>
      </c>
      <c r="M76" s="310"/>
      <c r="N76" s="310"/>
      <c r="O76" s="310">
        <v>36975</v>
      </c>
      <c r="P76" s="310"/>
      <c r="Q76" s="310">
        <v>108726</v>
      </c>
      <c r="R76" s="310">
        <v>107621</v>
      </c>
      <c r="S76" s="310">
        <v>95677</v>
      </c>
      <c r="T76" s="310">
        <v>76185</v>
      </c>
      <c r="U76" s="310">
        <v>117857</v>
      </c>
      <c r="V76" s="310"/>
      <c r="W76" s="310"/>
      <c r="X76" s="310"/>
      <c r="Y76" s="31">
        <f t="shared" si="0"/>
        <v>543041</v>
      </c>
      <c r="Z76" s="311">
        <v>662003</v>
      </c>
      <c r="AA76" s="312">
        <v>3</v>
      </c>
      <c r="AB76" s="313">
        <v>44373</v>
      </c>
      <c r="AC76" s="313">
        <v>44273</v>
      </c>
      <c r="AD76" s="311">
        <v>300000</v>
      </c>
      <c r="AE76" s="318">
        <v>37</v>
      </c>
      <c r="AF76" s="313">
        <v>44379</v>
      </c>
      <c r="AG76" s="313">
        <v>44396</v>
      </c>
      <c r="AH76" s="311"/>
      <c r="AI76" s="312"/>
      <c r="AJ76" s="313"/>
      <c r="AK76" s="315"/>
      <c r="AL76" s="311"/>
      <c r="AM76" s="312"/>
      <c r="AN76" s="316"/>
      <c r="AO76" s="315"/>
      <c r="AP76" s="311"/>
      <c r="AQ76" s="312"/>
      <c r="AR76" s="316"/>
      <c r="AS76" s="315"/>
      <c r="AT76" s="315"/>
      <c r="AU76" s="315"/>
      <c r="AV76" s="315"/>
      <c r="AW76" s="315"/>
      <c r="AX76" s="315"/>
      <c r="AY76" s="315"/>
      <c r="AZ76" s="315"/>
      <c r="BA76" s="315"/>
      <c r="BB76" s="315"/>
      <c r="BC76" s="315"/>
      <c r="BD76" s="315"/>
      <c r="BE76" s="315"/>
      <c r="BF76" s="315"/>
      <c r="BG76" s="315"/>
      <c r="BH76" s="315"/>
      <c r="BI76" s="315"/>
      <c r="BJ76" s="37">
        <f t="shared" si="1"/>
        <v>962003</v>
      </c>
      <c r="BK76" s="38">
        <f t="shared" si="2"/>
        <v>418962</v>
      </c>
    </row>
    <row r="77" spans="2:63" s="300" customFormat="1" ht="24" customHeight="1">
      <c r="B77" s="306">
        <v>63</v>
      </c>
      <c r="C77" s="306" t="s">
        <v>1448</v>
      </c>
      <c r="D77" s="307">
        <v>30131636</v>
      </c>
      <c r="E77" s="308" t="s">
        <v>1459</v>
      </c>
      <c r="F77" s="165" t="s">
        <v>47</v>
      </c>
      <c r="G77" s="27" t="s">
        <v>1368</v>
      </c>
      <c r="H77" s="319" t="s">
        <v>1441</v>
      </c>
      <c r="I77" s="168" t="s">
        <v>52</v>
      </c>
      <c r="J77" s="310">
        <v>30580</v>
      </c>
      <c r="K77" s="310">
        <v>0</v>
      </c>
      <c r="L77" s="310">
        <v>29929</v>
      </c>
      <c r="M77" s="310"/>
      <c r="N77" s="310"/>
      <c r="O77" s="310"/>
      <c r="P77" s="310"/>
      <c r="Q77" s="310"/>
      <c r="R77" s="310"/>
      <c r="S77" s="310"/>
      <c r="T77" s="310">
        <v>8150</v>
      </c>
      <c r="U77" s="310"/>
      <c r="V77" s="310"/>
      <c r="W77" s="310"/>
      <c r="X77" s="310"/>
      <c r="Y77" s="31">
        <f t="shared" si="0"/>
        <v>8150</v>
      </c>
      <c r="Z77" s="311">
        <v>651</v>
      </c>
      <c r="AA77" s="312">
        <v>3</v>
      </c>
      <c r="AB77" s="313">
        <v>44373</v>
      </c>
      <c r="AC77" s="313">
        <v>44273</v>
      </c>
      <c r="AD77" s="311">
        <v>8149</v>
      </c>
      <c r="AE77" s="318">
        <v>10</v>
      </c>
      <c r="AF77" s="313">
        <v>44284</v>
      </c>
      <c r="AG77" s="313">
        <v>44286</v>
      </c>
      <c r="AH77" s="311"/>
      <c r="AI77" s="312"/>
      <c r="AJ77" s="313"/>
      <c r="AK77" s="315"/>
      <c r="AL77" s="311"/>
      <c r="AM77" s="312"/>
      <c r="AN77" s="316"/>
      <c r="AO77" s="315"/>
      <c r="AP77" s="311"/>
      <c r="AQ77" s="312"/>
      <c r="AR77" s="316"/>
      <c r="AS77" s="315"/>
      <c r="AT77" s="315"/>
      <c r="AU77" s="315"/>
      <c r="AV77" s="315"/>
      <c r="AW77" s="315"/>
      <c r="AX77" s="315"/>
      <c r="AY77" s="315"/>
      <c r="AZ77" s="315"/>
      <c r="BA77" s="315"/>
      <c r="BB77" s="315"/>
      <c r="BC77" s="315"/>
      <c r="BD77" s="315"/>
      <c r="BE77" s="315"/>
      <c r="BF77" s="315"/>
      <c r="BG77" s="315"/>
      <c r="BH77" s="315"/>
      <c r="BI77" s="315"/>
      <c r="BJ77" s="37">
        <f t="shared" si="1"/>
        <v>8800</v>
      </c>
      <c r="BK77" s="38">
        <f t="shared" si="2"/>
        <v>650</v>
      </c>
    </row>
    <row r="78" spans="2:63" s="300" customFormat="1" ht="24" customHeight="1">
      <c r="B78" s="97">
        <v>64</v>
      </c>
      <c r="C78" s="306" t="s">
        <v>1448</v>
      </c>
      <c r="D78" s="307">
        <v>30133178</v>
      </c>
      <c r="E78" s="308" t="s">
        <v>1460</v>
      </c>
      <c r="F78" s="165" t="s">
        <v>47</v>
      </c>
      <c r="G78" s="27" t="s">
        <v>1368</v>
      </c>
      <c r="H78" s="319" t="s">
        <v>1461</v>
      </c>
      <c r="I78" s="168" t="s">
        <v>44</v>
      </c>
      <c r="J78" s="310">
        <v>57486</v>
      </c>
      <c r="K78" s="310">
        <v>22086</v>
      </c>
      <c r="L78" s="310">
        <v>0</v>
      </c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">
        <f t="shared" si="0"/>
        <v>0</v>
      </c>
      <c r="Z78" s="311">
        <v>35400</v>
      </c>
      <c r="AA78" s="312">
        <v>3</v>
      </c>
      <c r="AB78" s="313">
        <v>44373</v>
      </c>
      <c r="AC78" s="313">
        <v>44273</v>
      </c>
      <c r="AD78" s="311"/>
      <c r="AE78" s="318"/>
      <c r="AF78" s="316"/>
      <c r="AG78" s="313"/>
      <c r="AH78" s="311"/>
      <c r="AI78" s="312"/>
      <c r="AJ78" s="316"/>
      <c r="AK78" s="315"/>
      <c r="AL78" s="311"/>
      <c r="AM78" s="312"/>
      <c r="AN78" s="316"/>
      <c r="AO78" s="315"/>
      <c r="AP78" s="311"/>
      <c r="AQ78" s="312"/>
      <c r="AR78" s="316"/>
      <c r="AS78" s="315"/>
      <c r="AT78" s="315"/>
      <c r="AU78" s="315"/>
      <c r="AV78" s="315"/>
      <c r="AW78" s="315"/>
      <c r="AX78" s="315"/>
      <c r="AY78" s="315"/>
      <c r="AZ78" s="315"/>
      <c r="BA78" s="315"/>
      <c r="BB78" s="315"/>
      <c r="BC78" s="315"/>
      <c r="BD78" s="315"/>
      <c r="BE78" s="315"/>
      <c r="BF78" s="315"/>
      <c r="BG78" s="315"/>
      <c r="BH78" s="315"/>
      <c r="BI78" s="315"/>
      <c r="BJ78" s="37">
        <f t="shared" si="1"/>
        <v>35400</v>
      </c>
      <c r="BK78" s="38">
        <f t="shared" si="2"/>
        <v>35400</v>
      </c>
    </row>
    <row r="79" spans="2:63" s="300" customFormat="1" ht="24" customHeight="1">
      <c r="B79" s="97">
        <v>65</v>
      </c>
      <c r="C79" s="306" t="s">
        <v>1448</v>
      </c>
      <c r="D79" s="307">
        <v>30133613</v>
      </c>
      <c r="E79" s="308" t="s">
        <v>1462</v>
      </c>
      <c r="F79" s="165" t="s">
        <v>51</v>
      </c>
      <c r="G79" s="27" t="s">
        <v>1368</v>
      </c>
      <c r="H79" s="319" t="s">
        <v>1381</v>
      </c>
      <c r="I79" s="168" t="s">
        <v>44</v>
      </c>
      <c r="J79" s="310">
        <v>2150545</v>
      </c>
      <c r="K79" s="310">
        <v>2102960</v>
      </c>
      <c r="L79" s="310">
        <v>23542</v>
      </c>
      <c r="M79" s="310"/>
      <c r="N79" s="310"/>
      <c r="O79" s="310"/>
      <c r="P79" s="310">
        <v>24041</v>
      </c>
      <c r="Q79" s="310"/>
      <c r="R79" s="310"/>
      <c r="S79" s="310"/>
      <c r="T79" s="310"/>
      <c r="U79" s="310"/>
      <c r="V79" s="310"/>
      <c r="W79" s="310"/>
      <c r="X79" s="310"/>
      <c r="Y79" s="31">
        <f t="shared" si="0"/>
        <v>24041</v>
      </c>
      <c r="Z79" s="311">
        <v>24043</v>
      </c>
      <c r="AA79" s="312">
        <v>3</v>
      </c>
      <c r="AB79" s="313">
        <v>44373</v>
      </c>
      <c r="AC79" s="313">
        <v>44273</v>
      </c>
      <c r="AD79" s="311"/>
      <c r="AE79" s="318"/>
      <c r="AF79" s="316"/>
      <c r="AG79" s="313"/>
      <c r="AH79" s="311"/>
      <c r="AI79" s="312"/>
      <c r="AJ79" s="316"/>
      <c r="AK79" s="315"/>
      <c r="AL79" s="311"/>
      <c r="AM79" s="312"/>
      <c r="AN79" s="316"/>
      <c r="AO79" s="315"/>
      <c r="AP79" s="311"/>
      <c r="AQ79" s="312"/>
      <c r="AR79" s="316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7">
        <f t="shared" si="1"/>
        <v>24043</v>
      </c>
      <c r="BK79" s="38">
        <f t="shared" si="2"/>
        <v>2</v>
      </c>
    </row>
    <row r="80" spans="2:63" s="300" customFormat="1" ht="24" customHeight="1">
      <c r="B80" s="306">
        <v>66</v>
      </c>
      <c r="C80" s="306" t="s">
        <v>1448</v>
      </c>
      <c r="D80" s="307">
        <v>30134399</v>
      </c>
      <c r="E80" s="308" t="s">
        <v>1463</v>
      </c>
      <c r="F80" s="165" t="s">
        <v>51</v>
      </c>
      <c r="G80" s="27" t="s">
        <v>1368</v>
      </c>
      <c r="H80" s="319" t="s">
        <v>1381</v>
      </c>
      <c r="I80" s="168" t="s">
        <v>44</v>
      </c>
      <c r="J80" s="310">
        <v>984585</v>
      </c>
      <c r="K80" s="310">
        <v>0</v>
      </c>
      <c r="L80" s="310">
        <v>784585</v>
      </c>
      <c r="M80" s="310"/>
      <c r="N80" s="310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">
        <f t="shared" si="0"/>
        <v>0</v>
      </c>
      <c r="Z80" s="311">
        <v>200000</v>
      </c>
      <c r="AA80" s="312">
        <v>3</v>
      </c>
      <c r="AB80" s="313">
        <v>44373</v>
      </c>
      <c r="AC80" s="313">
        <v>44273</v>
      </c>
      <c r="AD80" s="311">
        <v>500000</v>
      </c>
      <c r="AE80" s="318">
        <v>10</v>
      </c>
      <c r="AF80" s="316">
        <v>44284</v>
      </c>
      <c r="AG80" s="313">
        <v>44286</v>
      </c>
      <c r="AH80" s="311"/>
      <c r="AI80" s="312"/>
      <c r="AJ80" s="316"/>
      <c r="AK80" s="315"/>
      <c r="AL80" s="311"/>
      <c r="AM80" s="312"/>
      <c r="AN80" s="316"/>
      <c r="AO80" s="315"/>
      <c r="AP80" s="311"/>
      <c r="AQ80" s="312"/>
      <c r="AR80" s="316"/>
      <c r="AS80" s="315"/>
      <c r="AT80" s="315"/>
      <c r="AU80" s="315"/>
      <c r="AV80" s="315"/>
      <c r="AW80" s="315"/>
      <c r="AX80" s="315"/>
      <c r="AY80" s="315"/>
      <c r="AZ80" s="315"/>
      <c r="BA80" s="315"/>
      <c r="BB80" s="315"/>
      <c r="BC80" s="315"/>
      <c r="BD80" s="315"/>
      <c r="BE80" s="315"/>
      <c r="BF80" s="315"/>
      <c r="BG80" s="315"/>
      <c r="BH80" s="315"/>
      <c r="BI80" s="315"/>
      <c r="BJ80" s="37">
        <f t="shared" si="1"/>
        <v>700000</v>
      </c>
      <c r="BK80" s="38">
        <f t="shared" si="2"/>
        <v>700000</v>
      </c>
    </row>
    <row r="81" spans="2:63" s="300" customFormat="1" ht="24" customHeight="1">
      <c r="B81" s="97">
        <v>67</v>
      </c>
      <c r="C81" s="306" t="s">
        <v>1448</v>
      </c>
      <c r="D81" s="307">
        <v>30287522</v>
      </c>
      <c r="E81" s="308" t="s">
        <v>1464</v>
      </c>
      <c r="F81" s="165" t="s">
        <v>51</v>
      </c>
      <c r="G81" s="27" t="s">
        <v>1368</v>
      </c>
      <c r="H81" s="319" t="s">
        <v>1416</v>
      </c>
      <c r="I81" s="168" t="s">
        <v>44</v>
      </c>
      <c r="J81" s="310">
        <v>1564694</v>
      </c>
      <c r="K81" s="310">
        <v>373768</v>
      </c>
      <c r="L81" s="310">
        <v>1190924</v>
      </c>
      <c r="M81" s="310"/>
      <c r="N81" s="310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">
        <f t="shared" ref="Y81:Y144" si="3">SUM(M81:X81)</f>
        <v>0</v>
      </c>
      <c r="Z81" s="311">
        <v>2</v>
      </c>
      <c r="AA81" s="312">
        <v>3</v>
      </c>
      <c r="AB81" s="313">
        <v>44373</v>
      </c>
      <c r="AC81" s="313">
        <v>44273</v>
      </c>
      <c r="AD81" s="311"/>
      <c r="AE81" s="318"/>
      <c r="AF81" s="316"/>
      <c r="AG81" s="313"/>
      <c r="AH81" s="311"/>
      <c r="AI81" s="312"/>
      <c r="AJ81" s="316"/>
      <c r="AK81" s="315"/>
      <c r="AL81" s="311"/>
      <c r="AM81" s="312"/>
      <c r="AN81" s="316"/>
      <c r="AO81" s="315"/>
      <c r="AP81" s="311"/>
      <c r="AQ81" s="312"/>
      <c r="AR81" s="316"/>
      <c r="AS81" s="315"/>
      <c r="AT81" s="315"/>
      <c r="AU81" s="315"/>
      <c r="AV81" s="315"/>
      <c r="AW81" s="315"/>
      <c r="AX81" s="315"/>
      <c r="AY81" s="315"/>
      <c r="AZ81" s="315"/>
      <c r="BA81" s="315"/>
      <c r="BB81" s="315"/>
      <c r="BC81" s="315"/>
      <c r="BD81" s="315"/>
      <c r="BE81" s="315"/>
      <c r="BF81" s="315"/>
      <c r="BG81" s="315"/>
      <c r="BH81" s="315"/>
      <c r="BI81" s="315"/>
      <c r="BJ81" s="37">
        <f t="shared" ref="BJ81:BJ144" si="4">+Z81+AD81+AH81+AL81+AP81+AT81+AX81+BB81+BF81</f>
        <v>2</v>
      </c>
      <c r="BK81" s="38">
        <f t="shared" ref="BK81:BK144" si="5">+BJ81-Y81</f>
        <v>2</v>
      </c>
    </row>
    <row r="82" spans="2:63" s="300" customFormat="1" ht="24" customHeight="1">
      <c r="B82" s="97">
        <v>68</v>
      </c>
      <c r="C82" s="306" t="s">
        <v>131</v>
      </c>
      <c r="D82" s="307">
        <v>30360522</v>
      </c>
      <c r="E82" s="308" t="s">
        <v>1465</v>
      </c>
      <c r="F82" s="165" t="s">
        <v>51</v>
      </c>
      <c r="G82" s="27" t="s">
        <v>1368</v>
      </c>
      <c r="H82" s="319" t="s">
        <v>1466</v>
      </c>
      <c r="I82" s="168" t="s">
        <v>44</v>
      </c>
      <c r="J82" s="310">
        <v>544513</v>
      </c>
      <c r="K82" s="310">
        <v>358298</v>
      </c>
      <c r="L82" s="310">
        <v>186060</v>
      </c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">
        <f t="shared" si="3"/>
        <v>0</v>
      </c>
      <c r="Z82" s="311">
        <v>155</v>
      </c>
      <c r="AA82" s="312">
        <v>3</v>
      </c>
      <c r="AB82" s="313">
        <v>44373</v>
      </c>
      <c r="AC82" s="313">
        <v>44273</v>
      </c>
      <c r="AD82" s="311"/>
      <c r="AE82" s="318"/>
      <c r="AF82" s="316"/>
      <c r="AG82" s="313"/>
      <c r="AH82" s="311"/>
      <c r="AI82" s="312"/>
      <c r="AJ82" s="316"/>
      <c r="AK82" s="315"/>
      <c r="AL82" s="311"/>
      <c r="AM82" s="312"/>
      <c r="AN82" s="316"/>
      <c r="AO82" s="315"/>
      <c r="AP82" s="311"/>
      <c r="AQ82" s="312"/>
      <c r="AR82" s="316"/>
      <c r="AS82" s="315"/>
      <c r="AT82" s="315"/>
      <c r="AU82" s="315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5"/>
      <c r="BI82" s="315"/>
      <c r="BJ82" s="37">
        <f t="shared" si="4"/>
        <v>155</v>
      </c>
      <c r="BK82" s="38">
        <f t="shared" si="5"/>
        <v>155</v>
      </c>
    </row>
    <row r="83" spans="2:63" s="300" customFormat="1" ht="24" customHeight="1">
      <c r="B83" s="306">
        <v>69</v>
      </c>
      <c r="C83" s="306" t="s">
        <v>1448</v>
      </c>
      <c r="D83" s="307">
        <v>30393577</v>
      </c>
      <c r="E83" s="308" t="s">
        <v>1467</v>
      </c>
      <c r="F83" s="165" t="s">
        <v>51</v>
      </c>
      <c r="G83" s="27" t="s">
        <v>1368</v>
      </c>
      <c r="H83" s="319" t="s">
        <v>1416</v>
      </c>
      <c r="I83" s="168" t="s">
        <v>52</v>
      </c>
      <c r="J83" s="310">
        <v>3828351</v>
      </c>
      <c r="K83" s="310">
        <v>0</v>
      </c>
      <c r="L83" s="310">
        <v>3828349</v>
      </c>
      <c r="M83" s="310"/>
      <c r="N83" s="310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">
        <f t="shared" si="3"/>
        <v>0</v>
      </c>
      <c r="Z83" s="311">
        <v>2</v>
      </c>
      <c r="AA83" s="312">
        <v>3</v>
      </c>
      <c r="AB83" s="313">
        <v>44373</v>
      </c>
      <c r="AC83" s="313">
        <v>44273</v>
      </c>
      <c r="AD83" s="311"/>
      <c r="AE83" s="318"/>
      <c r="AF83" s="316"/>
      <c r="AG83" s="313"/>
      <c r="AH83" s="311"/>
      <c r="AI83" s="312"/>
      <c r="AJ83" s="316"/>
      <c r="AK83" s="315"/>
      <c r="AL83" s="311"/>
      <c r="AM83" s="312"/>
      <c r="AN83" s="316"/>
      <c r="AO83" s="315"/>
      <c r="AP83" s="311"/>
      <c r="AQ83" s="312"/>
      <c r="AR83" s="316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15"/>
      <c r="BH83" s="315"/>
      <c r="BI83" s="315"/>
      <c r="BJ83" s="37">
        <f t="shared" si="4"/>
        <v>2</v>
      </c>
      <c r="BK83" s="38">
        <f t="shared" si="5"/>
        <v>2</v>
      </c>
    </row>
    <row r="84" spans="2:63" s="300" customFormat="1" ht="24" customHeight="1">
      <c r="B84" s="97">
        <v>70</v>
      </c>
      <c r="C84" s="306" t="s">
        <v>1448</v>
      </c>
      <c r="D84" s="307">
        <v>30405172</v>
      </c>
      <c r="E84" s="308" t="s">
        <v>1468</v>
      </c>
      <c r="F84" s="165" t="s">
        <v>47</v>
      </c>
      <c r="G84" s="27" t="s">
        <v>1368</v>
      </c>
      <c r="H84" s="319" t="s">
        <v>1423</v>
      </c>
      <c r="I84" s="168" t="s">
        <v>44</v>
      </c>
      <c r="J84" s="310">
        <v>192687</v>
      </c>
      <c r="K84" s="310">
        <v>174287</v>
      </c>
      <c r="L84" s="310">
        <v>0</v>
      </c>
      <c r="M84" s="310"/>
      <c r="N84" s="310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">
        <f t="shared" si="3"/>
        <v>0</v>
      </c>
      <c r="Z84" s="311">
        <v>18400</v>
      </c>
      <c r="AA84" s="312">
        <v>3</v>
      </c>
      <c r="AB84" s="313">
        <v>44373</v>
      </c>
      <c r="AC84" s="313">
        <v>44273</v>
      </c>
      <c r="AD84" s="311"/>
      <c r="AE84" s="318"/>
      <c r="AF84" s="316"/>
      <c r="AG84" s="313"/>
      <c r="AH84" s="311"/>
      <c r="AI84" s="312"/>
      <c r="AJ84" s="316"/>
      <c r="AK84" s="315"/>
      <c r="AL84" s="311"/>
      <c r="AM84" s="312"/>
      <c r="AN84" s="316"/>
      <c r="AO84" s="315"/>
      <c r="AP84" s="311"/>
      <c r="AQ84" s="312"/>
      <c r="AR84" s="316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7">
        <f t="shared" si="4"/>
        <v>18400</v>
      </c>
      <c r="BK84" s="38">
        <f t="shared" si="5"/>
        <v>18400</v>
      </c>
    </row>
    <row r="85" spans="2:63" s="300" customFormat="1" ht="24" customHeight="1">
      <c r="B85" s="97">
        <v>71</v>
      </c>
      <c r="C85" s="306" t="s">
        <v>65</v>
      </c>
      <c r="D85" s="307">
        <v>30415581</v>
      </c>
      <c r="E85" s="308" t="s">
        <v>1469</v>
      </c>
      <c r="F85" s="165" t="s">
        <v>51</v>
      </c>
      <c r="G85" s="27" t="s">
        <v>1368</v>
      </c>
      <c r="H85" s="319" t="s">
        <v>1453</v>
      </c>
      <c r="I85" s="168" t="s">
        <v>44</v>
      </c>
      <c r="J85" s="310">
        <v>1824975</v>
      </c>
      <c r="K85" s="310">
        <v>63251</v>
      </c>
      <c r="L85" s="310">
        <v>1688774</v>
      </c>
      <c r="M85" s="310"/>
      <c r="N85" s="310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">
        <f t="shared" si="3"/>
        <v>0</v>
      </c>
      <c r="Z85" s="311">
        <v>72950</v>
      </c>
      <c r="AA85" s="312">
        <v>3</v>
      </c>
      <c r="AB85" s="313">
        <v>44373</v>
      </c>
      <c r="AC85" s="313">
        <v>44273</v>
      </c>
      <c r="AD85" s="311"/>
      <c r="AE85" s="318"/>
      <c r="AF85" s="313"/>
      <c r="AG85" s="313"/>
      <c r="AH85" s="311"/>
      <c r="AI85" s="312"/>
      <c r="AJ85" s="316"/>
      <c r="AK85" s="315"/>
      <c r="AL85" s="311"/>
      <c r="AM85" s="312"/>
      <c r="AN85" s="316"/>
      <c r="AO85" s="315"/>
      <c r="AP85" s="311"/>
      <c r="AQ85" s="312"/>
      <c r="AR85" s="316"/>
      <c r="AS85" s="315"/>
      <c r="AT85" s="315"/>
      <c r="AU85" s="315"/>
      <c r="AV85" s="315"/>
      <c r="AW85" s="315"/>
      <c r="AX85" s="315"/>
      <c r="AY85" s="315"/>
      <c r="AZ85" s="315"/>
      <c r="BA85" s="315"/>
      <c r="BB85" s="315"/>
      <c r="BC85" s="315"/>
      <c r="BD85" s="315"/>
      <c r="BE85" s="315"/>
      <c r="BF85" s="315"/>
      <c r="BG85" s="315"/>
      <c r="BH85" s="315"/>
      <c r="BI85" s="315"/>
      <c r="BJ85" s="37">
        <f t="shared" si="4"/>
        <v>72950</v>
      </c>
      <c r="BK85" s="38">
        <f t="shared" si="5"/>
        <v>72950</v>
      </c>
    </row>
    <row r="86" spans="2:63" s="300" customFormat="1" ht="24" customHeight="1">
      <c r="B86" s="306">
        <v>72</v>
      </c>
      <c r="C86" s="306" t="s">
        <v>65</v>
      </c>
      <c r="D86" s="307">
        <v>30449124</v>
      </c>
      <c r="E86" s="308" t="s">
        <v>1470</v>
      </c>
      <c r="F86" s="165" t="s">
        <v>51</v>
      </c>
      <c r="G86" s="27" t="s">
        <v>1368</v>
      </c>
      <c r="H86" s="319" t="s">
        <v>1471</v>
      </c>
      <c r="I86" s="168" t="s">
        <v>52</v>
      </c>
      <c r="J86" s="310">
        <v>49888</v>
      </c>
      <c r="K86" s="310">
        <v>0</v>
      </c>
      <c r="L86" s="310">
        <v>49887</v>
      </c>
      <c r="M86" s="310"/>
      <c r="N86" s="310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">
        <f t="shared" si="3"/>
        <v>0</v>
      </c>
      <c r="Z86" s="311">
        <v>1</v>
      </c>
      <c r="AA86" s="312">
        <v>3</v>
      </c>
      <c r="AB86" s="313">
        <v>44373</v>
      </c>
      <c r="AC86" s="313">
        <v>44273</v>
      </c>
      <c r="AD86" s="311"/>
      <c r="AE86" s="318"/>
      <c r="AF86" s="316"/>
      <c r="AG86" s="313"/>
      <c r="AH86" s="311"/>
      <c r="AI86" s="312"/>
      <c r="AJ86" s="316"/>
      <c r="AK86" s="315"/>
      <c r="AL86" s="311"/>
      <c r="AM86" s="312"/>
      <c r="AN86" s="316"/>
      <c r="AO86" s="315"/>
      <c r="AP86" s="311"/>
      <c r="AQ86" s="312"/>
      <c r="AR86" s="316"/>
      <c r="AS86" s="315"/>
      <c r="AT86" s="315"/>
      <c r="AU86" s="315"/>
      <c r="AV86" s="315"/>
      <c r="AW86" s="315"/>
      <c r="AX86" s="315"/>
      <c r="AY86" s="315"/>
      <c r="AZ86" s="315"/>
      <c r="BA86" s="315"/>
      <c r="BB86" s="315"/>
      <c r="BC86" s="315"/>
      <c r="BD86" s="315"/>
      <c r="BE86" s="315"/>
      <c r="BF86" s="315"/>
      <c r="BG86" s="315"/>
      <c r="BH86" s="315"/>
      <c r="BI86" s="315"/>
      <c r="BJ86" s="37">
        <f t="shared" si="4"/>
        <v>1</v>
      </c>
      <c r="BK86" s="38">
        <f t="shared" si="5"/>
        <v>1</v>
      </c>
    </row>
    <row r="87" spans="2:63" s="300" customFormat="1" ht="24" customHeight="1">
      <c r="B87" s="97">
        <v>73</v>
      </c>
      <c r="C87" s="306" t="s">
        <v>65</v>
      </c>
      <c r="D87" s="307">
        <v>30461288</v>
      </c>
      <c r="E87" s="308" t="s">
        <v>1472</v>
      </c>
      <c r="F87" s="165" t="s">
        <v>51</v>
      </c>
      <c r="G87" s="27" t="s">
        <v>1368</v>
      </c>
      <c r="H87" s="319" t="s">
        <v>1473</v>
      </c>
      <c r="I87" s="168" t="s">
        <v>52</v>
      </c>
      <c r="J87" s="310">
        <v>43237</v>
      </c>
      <c r="K87" s="310">
        <v>0</v>
      </c>
      <c r="L87" s="310">
        <v>43236</v>
      </c>
      <c r="M87" s="310"/>
      <c r="N87" s="310"/>
      <c r="O87" s="310"/>
      <c r="P87" s="310"/>
      <c r="Q87" s="310"/>
      <c r="R87" s="310"/>
      <c r="S87" s="310"/>
      <c r="T87" s="310"/>
      <c r="U87" s="310"/>
      <c r="V87" s="310"/>
      <c r="W87" s="310"/>
      <c r="X87" s="310"/>
      <c r="Y87" s="31">
        <f t="shared" si="3"/>
        <v>0</v>
      </c>
      <c r="Z87" s="311">
        <v>1</v>
      </c>
      <c r="AA87" s="312">
        <v>3</v>
      </c>
      <c r="AB87" s="313">
        <v>44373</v>
      </c>
      <c r="AC87" s="313">
        <v>44273</v>
      </c>
      <c r="AD87" s="311"/>
      <c r="AE87" s="318"/>
      <c r="AF87" s="316"/>
      <c r="AG87" s="313"/>
      <c r="AH87" s="311"/>
      <c r="AI87" s="312"/>
      <c r="AJ87" s="316"/>
      <c r="AK87" s="315"/>
      <c r="AL87" s="311"/>
      <c r="AM87" s="312"/>
      <c r="AN87" s="316"/>
      <c r="AO87" s="315"/>
      <c r="AP87" s="311"/>
      <c r="AQ87" s="312"/>
      <c r="AR87" s="316"/>
      <c r="AS87" s="315"/>
      <c r="AT87" s="315"/>
      <c r="AU87" s="315"/>
      <c r="AV87" s="315"/>
      <c r="AW87" s="315"/>
      <c r="AX87" s="315"/>
      <c r="AY87" s="315"/>
      <c r="AZ87" s="315"/>
      <c r="BA87" s="315"/>
      <c r="BB87" s="315"/>
      <c r="BC87" s="315"/>
      <c r="BD87" s="315"/>
      <c r="BE87" s="315"/>
      <c r="BF87" s="315"/>
      <c r="BG87" s="315"/>
      <c r="BH87" s="315"/>
      <c r="BI87" s="315"/>
      <c r="BJ87" s="37">
        <f t="shared" si="4"/>
        <v>1</v>
      </c>
      <c r="BK87" s="38">
        <f t="shared" si="5"/>
        <v>1</v>
      </c>
    </row>
    <row r="88" spans="2:63" s="300" customFormat="1" ht="24" customHeight="1">
      <c r="B88" s="97">
        <v>74</v>
      </c>
      <c r="C88" s="306" t="s">
        <v>1448</v>
      </c>
      <c r="D88" s="307">
        <v>30462122</v>
      </c>
      <c r="E88" s="308" t="s">
        <v>1474</v>
      </c>
      <c r="F88" s="165" t="s">
        <v>47</v>
      </c>
      <c r="G88" s="27" t="s">
        <v>1368</v>
      </c>
      <c r="H88" s="319" t="s">
        <v>1395</v>
      </c>
      <c r="I88" s="168" t="s">
        <v>44</v>
      </c>
      <c r="J88" s="310">
        <v>18042</v>
      </c>
      <c r="K88" s="310">
        <v>0</v>
      </c>
      <c r="L88" s="310">
        <v>11218</v>
      </c>
      <c r="M88" s="310"/>
      <c r="N88" s="310"/>
      <c r="O88" s="310"/>
      <c r="P88" s="310"/>
      <c r="Q88" s="310"/>
      <c r="R88" s="310"/>
      <c r="S88" s="310">
        <v>3411</v>
      </c>
      <c r="T88" s="310"/>
      <c r="U88" s="310">
        <v>3411</v>
      </c>
      <c r="V88" s="310"/>
      <c r="W88" s="310"/>
      <c r="X88" s="310"/>
      <c r="Y88" s="31">
        <f t="shared" si="3"/>
        <v>6822</v>
      </c>
      <c r="Z88" s="311">
        <v>6824</v>
      </c>
      <c r="AA88" s="312">
        <v>3</v>
      </c>
      <c r="AB88" s="313">
        <v>44373</v>
      </c>
      <c r="AC88" s="313">
        <v>44273</v>
      </c>
      <c r="AD88" s="311"/>
      <c r="AE88" s="318"/>
      <c r="AF88" s="316"/>
      <c r="AG88" s="313"/>
      <c r="AH88" s="311"/>
      <c r="AI88" s="312"/>
      <c r="AJ88" s="316"/>
      <c r="AK88" s="315"/>
      <c r="AL88" s="311"/>
      <c r="AM88" s="312"/>
      <c r="AN88" s="316"/>
      <c r="AO88" s="315"/>
      <c r="AP88" s="311"/>
      <c r="AQ88" s="312"/>
      <c r="AR88" s="316"/>
      <c r="AS88" s="315"/>
      <c r="AT88" s="315"/>
      <c r="AU88" s="315"/>
      <c r="AV88" s="315"/>
      <c r="AW88" s="315"/>
      <c r="AX88" s="315"/>
      <c r="AY88" s="315"/>
      <c r="AZ88" s="315"/>
      <c r="BA88" s="315"/>
      <c r="BB88" s="315"/>
      <c r="BC88" s="315"/>
      <c r="BD88" s="315"/>
      <c r="BE88" s="315"/>
      <c r="BF88" s="315"/>
      <c r="BG88" s="315"/>
      <c r="BH88" s="315"/>
      <c r="BI88" s="315"/>
      <c r="BJ88" s="37">
        <f t="shared" si="4"/>
        <v>6824</v>
      </c>
      <c r="BK88" s="38">
        <f t="shared" si="5"/>
        <v>2</v>
      </c>
    </row>
    <row r="89" spans="2:63" s="300" customFormat="1" ht="24" customHeight="1">
      <c r="B89" s="306">
        <v>75</v>
      </c>
      <c r="C89" s="306" t="s">
        <v>1448</v>
      </c>
      <c r="D89" s="307">
        <v>30462490</v>
      </c>
      <c r="E89" s="308" t="s">
        <v>1475</v>
      </c>
      <c r="F89" s="165" t="s">
        <v>51</v>
      </c>
      <c r="G89" s="27" t="s">
        <v>1368</v>
      </c>
      <c r="H89" s="319" t="s">
        <v>1408</v>
      </c>
      <c r="I89" s="168" t="s">
        <v>52</v>
      </c>
      <c r="J89" s="310">
        <v>955508</v>
      </c>
      <c r="K89" s="310">
        <v>0</v>
      </c>
      <c r="L89" s="310">
        <v>795508</v>
      </c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">
        <f t="shared" si="3"/>
        <v>0</v>
      </c>
      <c r="Z89" s="311">
        <v>160000</v>
      </c>
      <c r="AA89" s="312">
        <v>3</v>
      </c>
      <c r="AB89" s="313">
        <v>44373</v>
      </c>
      <c r="AC89" s="313">
        <v>44273</v>
      </c>
      <c r="AD89" s="311">
        <v>300000</v>
      </c>
      <c r="AE89" s="318">
        <v>10</v>
      </c>
      <c r="AF89" s="313">
        <v>44284</v>
      </c>
      <c r="AG89" s="313">
        <v>44286</v>
      </c>
      <c r="AH89" s="311">
        <v>-300000</v>
      </c>
      <c r="AI89" s="312">
        <v>37</v>
      </c>
      <c r="AJ89" s="313">
        <v>44379</v>
      </c>
      <c r="AK89" s="315">
        <v>44396</v>
      </c>
      <c r="AL89" s="311">
        <v>-159998</v>
      </c>
      <c r="AM89" s="312">
        <v>42</v>
      </c>
      <c r="AN89" s="313">
        <v>44432</v>
      </c>
      <c r="AO89" s="315">
        <v>44449</v>
      </c>
      <c r="AP89" s="311"/>
      <c r="AQ89" s="312"/>
      <c r="AR89" s="316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7">
        <f t="shared" si="4"/>
        <v>2</v>
      </c>
      <c r="BK89" s="38">
        <f t="shared" si="5"/>
        <v>2</v>
      </c>
    </row>
    <row r="90" spans="2:63" s="300" customFormat="1" ht="24" customHeight="1">
      <c r="B90" s="97">
        <v>76</v>
      </c>
      <c r="C90" s="306" t="s">
        <v>1448</v>
      </c>
      <c r="D90" s="307">
        <v>40001638</v>
      </c>
      <c r="E90" s="308" t="s">
        <v>1476</v>
      </c>
      <c r="F90" s="165" t="s">
        <v>51</v>
      </c>
      <c r="G90" s="27" t="s">
        <v>1368</v>
      </c>
      <c r="H90" s="319" t="s">
        <v>1477</v>
      </c>
      <c r="I90" s="168" t="s">
        <v>44</v>
      </c>
      <c r="J90" s="310">
        <v>6093411</v>
      </c>
      <c r="K90" s="310">
        <v>5815975</v>
      </c>
      <c r="L90" s="310">
        <v>210000</v>
      </c>
      <c r="M90" s="310"/>
      <c r="N90" s="310"/>
      <c r="O90" s="310"/>
      <c r="P90" s="310"/>
      <c r="Q90" s="310"/>
      <c r="R90" s="310"/>
      <c r="S90" s="310"/>
      <c r="T90" s="310"/>
      <c r="U90" s="310"/>
      <c r="V90" s="310"/>
      <c r="W90" s="310"/>
      <c r="X90" s="310"/>
      <c r="Y90" s="31">
        <f t="shared" si="3"/>
        <v>0</v>
      </c>
      <c r="Z90" s="311">
        <v>67436</v>
      </c>
      <c r="AA90" s="312">
        <v>3</v>
      </c>
      <c r="AB90" s="313">
        <v>44373</v>
      </c>
      <c r="AC90" s="313">
        <v>44273</v>
      </c>
      <c r="AD90" s="311"/>
      <c r="AE90" s="318"/>
      <c r="AF90" s="316"/>
      <c r="AG90" s="313"/>
      <c r="AH90" s="311"/>
      <c r="AI90" s="312"/>
      <c r="AJ90" s="316"/>
      <c r="AK90" s="315"/>
      <c r="AL90" s="311"/>
      <c r="AM90" s="312"/>
      <c r="AN90" s="316"/>
      <c r="AO90" s="315"/>
      <c r="AP90" s="311"/>
      <c r="AQ90" s="312"/>
      <c r="AR90" s="316"/>
      <c r="AS90" s="315"/>
      <c r="AT90" s="315"/>
      <c r="AU90" s="315"/>
      <c r="AV90" s="315"/>
      <c r="AW90" s="315"/>
      <c r="AX90" s="315"/>
      <c r="AY90" s="315"/>
      <c r="AZ90" s="315"/>
      <c r="BA90" s="315"/>
      <c r="BB90" s="315"/>
      <c r="BC90" s="315"/>
      <c r="BD90" s="315"/>
      <c r="BE90" s="315"/>
      <c r="BF90" s="315"/>
      <c r="BG90" s="315"/>
      <c r="BH90" s="315"/>
      <c r="BI90" s="315"/>
      <c r="BJ90" s="37">
        <f t="shared" si="4"/>
        <v>67436</v>
      </c>
      <c r="BK90" s="38">
        <f t="shared" si="5"/>
        <v>67436</v>
      </c>
    </row>
    <row r="91" spans="2:63" s="300" customFormat="1" ht="24" customHeight="1">
      <c r="B91" s="97">
        <v>77</v>
      </c>
      <c r="C91" s="306" t="s">
        <v>65</v>
      </c>
      <c r="D91" s="307">
        <v>40010190</v>
      </c>
      <c r="E91" s="308" t="s">
        <v>1478</v>
      </c>
      <c r="F91" s="165" t="s">
        <v>51</v>
      </c>
      <c r="G91" s="27" t="s">
        <v>1368</v>
      </c>
      <c r="H91" s="319" t="s">
        <v>1479</v>
      </c>
      <c r="I91" s="168" t="s">
        <v>52</v>
      </c>
      <c r="J91" s="310">
        <v>29375</v>
      </c>
      <c r="K91" s="310">
        <v>0</v>
      </c>
      <c r="L91" s="310">
        <v>29373</v>
      </c>
      <c r="M91" s="310"/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">
        <f t="shared" si="3"/>
        <v>0</v>
      </c>
      <c r="Z91" s="311">
        <v>2</v>
      </c>
      <c r="AA91" s="312">
        <v>3</v>
      </c>
      <c r="AB91" s="313">
        <v>44373</v>
      </c>
      <c r="AC91" s="313">
        <v>44273</v>
      </c>
      <c r="AD91" s="311"/>
      <c r="AE91" s="318"/>
      <c r="AF91" s="313"/>
      <c r="AG91" s="313"/>
      <c r="AH91" s="311"/>
      <c r="AI91" s="312"/>
      <c r="AJ91" s="316"/>
      <c r="AK91" s="315"/>
      <c r="AL91" s="311"/>
      <c r="AM91" s="312"/>
      <c r="AN91" s="316"/>
      <c r="AO91" s="315"/>
      <c r="AP91" s="311"/>
      <c r="AQ91" s="312"/>
      <c r="AR91" s="316"/>
      <c r="AS91" s="315"/>
      <c r="AT91" s="315"/>
      <c r="AU91" s="315"/>
      <c r="AV91" s="315"/>
      <c r="AW91" s="315"/>
      <c r="AX91" s="315"/>
      <c r="AY91" s="315"/>
      <c r="AZ91" s="315"/>
      <c r="BA91" s="315"/>
      <c r="BB91" s="315"/>
      <c r="BC91" s="315"/>
      <c r="BD91" s="315"/>
      <c r="BE91" s="315"/>
      <c r="BF91" s="315"/>
      <c r="BG91" s="315"/>
      <c r="BH91" s="315"/>
      <c r="BI91" s="315"/>
      <c r="BJ91" s="37">
        <f t="shared" si="4"/>
        <v>2</v>
      </c>
      <c r="BK91" s="38">
        <f t="shared" si="5"/>
        <v>2</v>
      </c>
    </row>
    <row r="92" spans="2:63" s="300" customFormat="1" ht="24" customHeight="1">
      <c r="B92" s="306">
        <v>78</v>
      </c>
      <c r="C92" s="306" t="s">
        <v>131</v>
      </c>
      <c r="D92" s="307">
        <v>30084599</v>
      </c>
      <c r="E92" s="308" t="s">
        <v>1480</v>
      </c>
      <c r="F92" s="165" t="s">
        <v>51</v>
      </c>
      <c r="G92" s="27" t="s">
        <v>1368</v>
      </c>
      <c r="H92" s="319" t="s">
        <v>1383</v>
      </c>
      <c r="I92" s="168" t="s">
        <v>52</v>
      </c>
      <c r="J92" s="310">
        <v>317189</v>
      </c>
      <c r="K92" s="310">
        <v>0</v>
      </c>
      <c r="L92" s="310">
        <v>317186</v>
      </c>
      <c r="M92" s="310"/>
      <c r="N92" s="310"/>
      <c r="O92" s="310"/>
      <c r="P92" s="310"/>
      <c r="Q92" s="310"/>
      <c r="R92" s="310"/>
      <c r="S92" s="310"/>
      <c r="T92" s="310"/>
      <c r="U92" s="310"/>
      <c r="V92" s="310"/>
      <c r="W92" s="310"/>
      <c r="X92" s="310"/>
      <c r="Y92" s="31">
        <f t="shared" si="3"/>
        <v>0</v>
      </c>
      <c r="Z92" s="311">
        <v>3</v>
      </c>
      <c r="AA92" s="312">
        <v>4</v>
      </c>
      <c r="AB92" s="313">
        <v>44263</v>
      </c>
      <c r="AC92" s="313">
        <v>44284</v>
      </c>
      <c r="AD92" s="311">
        <v>40499</v>
      </c>
      <c r="AE92" s="318">
        <v>42</v>
      </c>
      <c r="AF92" s="313">
        <v>44432</v>
      </c>
      <c r="AG92" s="313">
        <v>44449</v>
      </c>
      <c r="AH92" s="311"/>
      <c r="AI92" s="312"/>
      <c r="AJ92" s="316"/>
      <c r="AK92" s="315"/>
      <c r="AL92" s="311"/>
      <c r="AM92" s="312"/>
      <c r="AN92" s="316"/>
      <c r="AO92" s="315"/>
      <c r="AP92" s="311"/>
      <c r="AQ92" s="312"/>
      <c r="AR92" s="316"/>
      <c r="AS92" s="315"/>
      <c r="AT92" s="315"/>
      <c r="AU92" s="315"/>
      <c r="AV92" s="315"/>
      <c r="AW92" s="315"/>
      <c r="AX92" s="315"/>
      <c r="AY92" s="315"/>
      <c r="AZ92" s="315"/>
      <c r="BA92" s="315"/>
      <c r="BB92" s="315"/>
      <c r="BC92" s="315"/>
      <c r="BD92" s="315"/>
      <c r="BE92" s="315"/>
      <c r="BF92" s="315"/>
      <c r="BG92" s="315"/>
      <c r="BH92" s="315"/>
      <c r="BI92" s="315"/>
      <c r="BJ92" s="37">
        <f t="shared" si="4"/>
        <v>40502</v>
      </c>
      <c r="BK92" s="38">
        <f t="shared" si="5"/>
        <v>40502</v>
      </c>
    </row>
    <row r="93" spans="2:63" s="300" customFormat="1" ht="24" customHeight="1">
      <c r="B93" s="97">
        <v>79</v>
      </c>
      <c r="C93" s="306" t="s">
        <v>131</v>
      </c>
      <c r="D93" s="307">
        <v>30085093</v>
      </c>
      <c r="E93" s="308" t="s">
        <v>1481</v>
      </c>
      <c r="F93" s="165" t="s">
        <v>51</v>
      </c>
      <c r="G93" s="27" t="s">
        <v>1368</v>
      </c>
      <c r="H93" s="319" t="s">
        <v>1371</v>
      </c>
      <c r="I93" s="168" t="s">
        <v>52</v>
      </c>
      <c r="J93" s="310">
        <v>87908</v>
      </c>
      <c r="K93" s="310">
        <v>0</v>
      </c>
      <c r="L93" s="310">
        <v>87905</v>
      </c>
      <c r="M93" s="310"/>
      <c r="N93" s="310"/>
      <c r="O93" s="310"/>
      <c r="P93" s="310"/>
      <c r="Q93" s="310"/>
      <c r="R93" s="310"/>
      <c r="S93" s="310"/>
      <c r="T93" s="310"/>
      <c r="U93" s="310"/>
      <c r="V93" s="310"/>
      <c r="W93" s="310"/>
      <c r="X93" s="310"/>
      <c r="Y93" s="31">
        <f t="shared" si="3"/>
        <v>0</v>
      </c>
      <c r="Z93" s="311">
        <v>3</v>
      </c>
      <c r="AA93" s="312">
        <v>4</v>
      </c>
      <c r="AB93" s="313">
        <v>44263</v>
      </c>
      <c r="AC93" s="313">
        <v>44284</v>
      </c>
      <c r="AD93" s="311"/>
      <c r="AE93" s="318"/>
      <c r="AF93" s="316"/>
      <c r="AG93" s="313"/>
      <c r="AH93" s="311"/>
      <c r="AI93" s="312"/>
      <c r="AJ93" s="316"/>
      <c r="AK93" s="315"/>
      <c r="AL93" s="311"/>
      <c r="AM93" s="312"/>
      <c r="AN93" s="316"/>
      <c r="AO93" s="315"/>
      <c r="AP93" s="311"/>
      <c r="AQ93" s="312"/>
      <c r="AR93" s="316"/>
      <c r="AS93" s="315"/>
      <c r="AT93" s="315"/>
      <c r="AU93" s="315"/>
      <c r="AV93" s="315"/>
      <c r="AW93" s="315"/>
      <c r="AX93" s="315"/>
      <c r="AY93" s="315"/>
      <c r="AZ93" s="315"/>
      <c r="BA93" s="315"/>
      <c r="BB93" s="315"/>
      <c r="BC93" s="315"/>
      <c r="BD93" s="315"/>
      <c r="BE93" s="315"/>
      <c r="BF93" s="315"/>
      <c r="BG93" s="315"/>
      <c r="BH93" s="315"/>
      <c r="BI93" s="315"/>
      <c r="BJ93" s="37">
        <f t="shared" si="4"/>
        <v>3</v>
      </c>
      <c r="BK93" s="38">
        <f t="shared" si="5"/>
        <v>3</v>
      </c>
    </row>
    <row r="94" spans="2:63" s="300" customFormat="1" ht="24" customHeight="1">
      <c r="B94" s="97">
        <v>80</v>
      </c>
      <c r="C94" s="306" t="s">
        <v>39</v>
      </c>
      <c r="D94" s="307">
        <v>30092591</v>
      </c>
      <c r="E94" s="308" t="s">
        <v>1482</v>
      </c>
      <c r="F94" s="165" t="s">
        <v>47</v>
      </c>
      <c r="G94" s="27" t="s">
        <v>1368</v>
      </c>
      <c r="H94" s="319" t="s">
        <v>1369</v>
      </c>
      <c r="I94" s="168" t="s">
        <v>44</v>
      </c>
      <c r="J94" s="310">
        <v>41993</v>
      </c>
      <c r="K94" s="310">
        <v>24279</v>
      </c>
      <c r="L94" s="310">
        <v>11939</v>
      </c>
      <c r="M94" s="310"/>
      <c r="N94" s="310"/>
      <c r="O94" s="310"/>
      <c r="P94" s="310"/>
      <c r="Q94" s="310"/>
      <c r="R94" s="310"/>
      <c r="S94" s="310"/>
      <c r="T94" s="310"/>
      <c r="U94" s="310"/>
      <c r="V94" s="310"/>
      <c r="W94" s="310"/>
      <c r="X94" s="310"/>
      <c r="Y94" s="31">
        <f t="shared" si="3"/>
        <v>0</v>
      </c>
      <c r="Z94" s="311">
        <v>5775</v>
      </c>
      <c r="AA94" s="312">
        <v>4</v>
      </c>
      <c r="AB94" s="313">
        <v>44263</v>
      </c>
      <c r="AC94" s="313">
        <v>44284</v>
      </c>
      <c r="AD94" s="311"/>
      <c r="AE94" s="318"/>
      <c r="AF94" s="316"/>
      <c r="AG94" s="313"/>
      <c r="AH94" s="311"/>
      <c r="AI94" s="312"/>
      <c r="AJ94" s="316"/>
      <c r="AK94" s="315"/>
      <c r="AL94" s="311"/>
      <c r="AM94" s="312"/>
      <c r="AN94" s="316"/>
      <c r="AO94" s="315"/>
      <c r="AP94" s="311"/>
      <c r="AQ94" s="312"/>
      <c r="AR94" s="316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7">
        <f t="shared" si="4"/>
        <v>5775</v>
      </c>
      <c r="BK94" s="38">
        <f t="shared" si="5"/>
        <v>5775</v>
      </c>
    </row>
    <row r="95" spans="2:63" s="300" customFormat="1" ht="24" customHeight="1">
      <c r="B95" s="306">
        <v>81</v>
      </c>
      <c r="C95" s="306" t="s">
        <v>39</v>
      </c>
      <c r="D95" s="307">
        <v>30093490</v>
      </c>
      <c r="E95" s="308" t="s">
        <v>1483</v>
      </c>
      <c r="F95" s="165" t="s">
        <v>51</v>
      </c>
      <c r="G95" s="27" t="s">
        <v>1368</v>
      </c>
      <c r="H95" s="319" t="s">
        <v>1484</v>
      </c>
      <c r="I95" s="168" t="s">
        <v>44</v>
      </c>
      <c r="J95" s="310">
        <v>16359426</v>
      </c>
      <c r="K95" s="310">
        <v>4544</v>
      </c>
      <c r="L95" s="310">
        <v>16354880</v>
      </c>
      <c r="M95" s="310"/>
      <c r="N95" s="310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">
        <f t="shared" si="3"/>
        <v>0</v>
      </c>
      <c r="Z95" s="311">
        <v>2</v>
      </c>
      <c r="AA95" s="312">
        <v>4</v>
      </c>
      <c r="AB95" s="313">
        <v>44263</v>
      </c>
      <c r="AC95" s="313">
        <v>44284</v>
      </c>
      <c r="AD95" s="311"/>
      <c r="AE95" s="318"/>
      <c r="AF95" s="316"/>
      <c r="AG95" s="313"/>
      <c r="AH95" s="311"/>
      <c r="AI95" s="312"/>
      <c r="AJ95" s="316"/>
      <c r="AK95" s="315"/>
      <c r="AL95" s="311"/>
      <c r="AM95" s="312"/>
      <c r="AN95" s="316"/>
      <c r="AO95" s="315"/>
      <c r="AP95" s="311"/>
      <c r="AQ95" s="312"/>
      <c r="AR95" s="316"/>
      <c r="AS95" s="315"/>
      <c r="AT95" s="315"/>
      <c r="AU95" s="315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5"/>
      <c r="BI95" s="315"/>
      <c r="BJ95" s="37">
        <f t="shared" si="4"/>
        <v>2</v>
      </c>
      <c r="BK95" s="38">
        <f t="shared" si="5"/>
        <v>2</v>
      </c>
    </row>
    <row r="96" spans="2:63" s="300" customFormat="1" ht="24" customHeight="1">
      <c r="B96" s="97">
        <v>82</v>
      </c>
      <c r="C96" s="306" t="s">
        <v>39</v>
      </c>
      <c r="D96" s="307">
        <v>30102014</v>
      </c>
      <c r="E96" s="308" t="s">
        <v>1485</v>
      </c>
      <c r="F96" s="165" t="s">
        <v>47</v>
      </c>
      <c r="G96" s="27" t="s">
        <v>1368</v>
      </c>
      <c r="H96" s="319" t="s">
        <v>1416</v>
      </c>
      <c r="I96" s="168" t="s">
        <v>44</v>
      </c>
      <c r="J96" s="310">
        <v>849541</v>
      </c>
      <c r="K96" s="310">
        <v>269611</v>
      </c>
      <c r="L96" s="310">
        <v>276956</v>
      </c>
      <c r="M96" s="310"/>
      <c r="N96" s="310"/>
      <c r="O96" s="310"/>
      <c r="P96" s="310"/>
      <c r="Q96" s="310"/>
      <c r="R96" s="310"/>
      <c r="S96" s="310"/>
      <c r="T96" s="310">
        <v>302974</v>
      </c>
      <c r="U96" s="310"/>
      <c r="V96" s="310"/>
      <c r="W96" s="310"/>
      <c r="X96" s="310"/>
      <c r="Y96" s="31">
        <f t="shared" si="3"/>
        <v>302974</v>
      </c>
      <c r="Z96" s="311">
        <v>302974</v>
      </c>
      <c r="AA96" s="312">
        <v>4</v>
      </c>
      <c r="AB96" s="313">
        <v>44263</v>
      </c>
      <c r="AC96" s="313">
        <v>44284</v>
      </c>
      <c r="AD96" s="311"/>
      <c r="AE96" s="318"/>
      <c r="AF96" s="316"/>
      <c r="AG96" s="313"/>
      <c r="AH96" s="311"/>
      <c r="AI96" s="312"/>
      <c r="AJ96" s="316"/>
      <c r="AK96" s="315"/>
      <c r="AL96" s="311"/>
      <c r="AM96" s="312"/>
      <c r="AN96" s="316"/>
      <c r="AO96" s="315"/>
      <c r="AP96" s="311"/>
      <c r="AQ96" s="312"/>
      <c r="AR96" s="316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315"/>
      <c r="BD96" s="315"/>
      <c r="BE96" s="315"/>
      <c r="BF96" s="315"/>
      <c r="BG96" s="315"/>
      <c r="BH96" s="315"/>
      <c r="BI96" s="315"/>
      <c r="BJ96" s="37">
        <f t="shared" si="4"/>
        <v>302974</v>
      </c>
      <c r="BK96" s="38">
        <f t="shared" si="5"/>
        <v>0</v>
      </c>
    </row>
    <row r="97" spans="2:63" s="300" customFormat="1" ht="24" customHeight="1">
      <c r="B97" s="97">
        <v>83</v>
      </c>
      <c r="C97" s="306" t="s">
        <v>39</v>
      </c>
      <c r="D97" s="307">
        <v>30113022</v>
      </c>
      <c r="E97" s="308" t="s">
        <v>1486</v>
      </c>
      <c r="F97" s="165" t="s">
        <v>51</v>
      </c>
      <c r="G97" s="27" t="s">
        <v>1368</v>
      </c>
      <c r="H97" s="319" t="s">
        <v>1487</v>
      </c>
      <c r="I97" s="168" t="s">
        <v>44</v>
      </c>
      <c r="J97" s="310">
        <v>1211806</v>
      </c>
      <c r="K97" s="310">
        <v>7086</v>
      </c>
      <c r="L97" s="310">
        <v>1204718</v>
      </c>
      <c r="M97" s="310"/>
      <c r="N97" s="310"/>
      <c r="O97" s="310"/>
      <c r="P97" s="310"/>
      <c r="Q97" s="310"/>
      <c r="R97" s="310"/>
      <c r="S97" s="310"/>
      <c r="T97" s="310"/>
      <c r="U97" s="310"/>
      <c r="V97" s="310"/>
      <c r="W97" s="310"/>
      <c r="X97" s="310"/>
      <c r="Y97" s="31">
        <f t="shared" si="3"/>
        <v>0</v>
      </c>
      <c r="Z97" s="311">
        <v>2</v>
      </c>
      <c r="AA97" s="312">
        <v>4</v>
      </c>
      <c r="AB97" s="313">
        <v>44263</v>
      </c>
      <c r="AC97" s="313">
        <v>44284</v>
      </c>
      <c r="AD97" s="311"/>
      <c r="AE97" s="318"/>
      <c r="AF97" s="316"/>
      <c r="AG97" s="313"/>
      <c r="AH97" s="311"/>
      <c r="AI97" s="312"/>
      <c r="AJ97" s="316"/>
      <c r="AK97" s="315"/>
      <c r="AL97" s="311"/>
      <c r="AM97" s="312"/>
      <c r="AN97" s="316"/>
      <c r="AO97" s="315"/>
      <c r="AP97" s="311"/>
      <c r="AQ97" s="312"/>
      <c r="AR97" s="316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315"/>
      <c r="BD97" s="315"/>
      <c r="BE97" s="315"/>
      <c r="BF97" s="315"/>
      <c r="BG97" s="315"/>
      <c r="BH97" s="315"/>
      <c r="BI97" s="315"/>
      <c r="BJ97" s="37">
        <f t="shared" si="4"/>
        <v>2</v>
      </c>
      <c r="BK97" s="38">
        <f t="shared" si="5"/>
        <v>2</v>
      </c>
    </row>
    <row r="98" spans="2:63" s="300" customFormat="1" ht="24" customHeight="1">
      <c r="B98" s="306">
        <v>84</v>
      </c>
      <c r="C98" s="306" t="s">
        <v>39</v>
      </c>
      <c r="D98" s="307">
        <v>30113025</v>
      </c>
      <c r="E98" s="308" t="s">
        <v>1488</v>
      </c>
      <c r="F98" s="165" t="s">
        <v>51</v>
      </c>
      <c r="G98" s="27" t="s">
        <v>1368</v>
      </c>
      <c r="H98" s="319" t="s">
        <v>1381</v>
      </c>
      <c r="I98" s="168" t="s">
        <v>52</v>
      </c>
      <c r="J98" s="310">
        <v>1144563</v>
      </c>
      <c r="K98" s="310">
        <v>0</v>
      </c>
      <c r="L98" s="310">
        <v>1144561</v>
      </c>
      <c r="M98" s="310"/>
      <c r="N98" s="310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">
        <f t="shared" si="3"/>
        <v>0</v>
      </c>
      <c r="Z98" s="311">
        <v>2</v>
      </c>
      <c r="AA98" s="312">
        <v>4</v>
      </c>
      <c r="AB98" s="313">
        <v>44263</v>
      </c>
      <c r="AC98" s="313">
        <v>44284</v>
      </c>
      <c r="AD98" s="311"/>
      <c r="AE98" s="318"/>
      <c r="AF98" s="316"/>
      <c r="AG98" s="313"/>
      <c r="AH98" s="311"/>
      <c r="AI98" s="312"/>
      <c r="AJ98" s="316"/>
      <c r="AK98" s="315"/>
      <c r="AL98" s="311"/>
      <c r="AM98" s="312"/>
      <c r="AN98" s="316"/>
      <c r="AO98" s="315"/>
      <c r="AP98" s="311"/>
      <c r="AQ98" s="312"/>
      <c r="AR98" s="316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15"/>
      <c r="BF98" s="315"/>
      <c r="BG98" s="315"/>
      <c r="BH98" s="315"/>
      <c r="BI98" s="315"/>
      <c r="BJ98" s="37">
        <f t="shared" si="4"/>
        <v>2</v>
      </c>
      <c r="BK98" s="38">
        <f t="shared" si="5"/>
        <v>2</v>
      </c>
    </row>
    <row r="99" spans="2:63" s="300" customFormat="1" ht="24" customHeight="1">
      <c r="B99" s="97">
        <v>85</v>
      </c>
      <c r="C99" s="306" t="s">
        <v>39</v>
      </c>
      <c r="D99" s="307">
        <v>30113031</v>
      </c>
      <c r="E99" s="308" t="s">
        <v>1489</v>
      </c>
      <c r="F99" s="165" t="s">
        <v>47</v>
      </c>
      <c r="G99" s="27" t="s">
        <v>1368</v>
      </c>
      <c r="H99" s="319" t="s">
        <v>1375</v>
      </c>
      <c r="I99" s="168" t="s">
        <v>52</v>
      </c>
      <c r="J99" s="310">
        <v>147994</v>
      </c>
      <c r="K99" s="310">
        <v>0</v>
      </c>
      <c r="L99" s="310">
        <v>147992</v>
      </c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">
        <f t="shared" si="3"/>
        <v>0</v>
      </c>
      <c r="Z99" s="311">
        <v>2</v>
      </c>
      <c r="AA99" s="312">
        <v>4</v>
      </c>
      <c r="AB99" s="313">
        <v>44263</v>
      </c>
      <c r="AC99" s="313">
        <v>44284</v>
      </c>
      <c r="AD99" s="311"/>
      <c r="AE99" s="318"/>
      <c r="AF99" s="316"/>
      <c r="AG99" s="313"/>
      <c r="AH99" s="311"/>
      <c r="AI99" s="312"/>
      <c r="AJ99" s="316"/>
      <c r="AK99" s="315"/>
      <c r="AL99" s="311"/>
      <c r="AM99" s="312"/>
      <c r="AN99" s="316"/>
      <c r="AO99" s="315"/>
      <c r="AP99" s="311"/>
      <c r="AQ99" s="312"/>
      <c r="AR99" s="316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7">
        <f t="shared" si="4"/>
        <v>2</v>
      </c>
      <c r="BK99" s="38">
        <f t="shared" si="5"/>
        <v>2</v>
      </c>
    </row>
    <row r="100" spans="2:63" s="300" customFormat="1" ht="24" customHeight="1">
      <c r="B100" s="97">
        <v>86</v>
      </c>
      <c r="C100" s="306" t="s">
        <v>39</v>
      </c>
      <c r="D100" s="307">
        <v>30123633</v>
      </c>
      <c r="E100" s="308" t="s">
        <v>1490</v>
      </c>
      <c r="F100" s="165" t="s">
        <v>51</v>
      </c>
      <c r="G100" s="27" t="s">
        <v>1368</v>
      </c>
      <c r="H100" s="319"/>
      <c r="I100" s="168" t="s">
        <v>44</v>
      </c>
      <c r="J100" s="310">
        <v>9611500</v>
      </c>
      <c r="K100" s="310">
        <v>0</v>
      </c>
      <c r="L100" s="310">
        <v>9611499</v>
      </c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">
        <f t="shared" si="3"/>
        <v>0</v>
      </c>
      <c r="Z100" s="311">
        <v>1</v>
      </c>
      <c r="AA100" s="312">
        <v>4</v>
      </c>
      <c r="AB100" s="313">
        <v>44263</v>
      </c>
      <c r="AC100" s="313">
        <v>44284</v>
      </c>
      <c r="AD100" s="311">
        <v>499999</v>
      </c>
      <c r="AE100" s="318">
        <v>37</v>
      </c>
      <c r="AF100" s="313">
        <v>44379</v>
      </c>
      <c r="AG100" s="313">
        <v>44396</v>
      </c>
      <c r="AH100" s="311"/>
      <c r="AI100" s="312"/>
      <c r="AJ100" s="316"/>
      <c r="AK100" s="315"/>
      <c r="AL100" s="311"/>
      <c r="AM100" s="312"/>
      <c r="AN100" s="316"/>
      <c r="AO100" s="315"/>
      <c r="AP100" s="311"/>
      <c r="AQ100" s="312"/>
      <c r="AR100" s="316"/>
      <c r="AS100" s="315"/>
      <c r="AT100" s="315"/>
      <c r="AU100" s="315"/>
      <c r="AV100" s="315"/>
      <c r="AW100" s="315"/>
      <c r="AX100" s="315"/>
      <c r="AY100" s="315"/>
      <c r="AZ100" s="315"/>
      <c r="BA100" s="315"/>
      <c r="BB100" s="315"/>
      <c r="BC100" s="315"/>
      <c r="BD100" s="315"/>
      <c r="BE100" s="315"/>
      <c r="BF100" s="315"/>
      <c r="BG100" s="315"/>
      <c r="BH100" s="315"/>
      <c r="BI100" s="315"/>
      <c r="BJ100" s="37">
        <f t="shared" si="4"/>
        <v>500000</v>
      </c>
      <c r="BK100" s="38">
        <f t="shared" si="5"/>
        <v>500000</v>
      </c>
    </row>
    <row r="101" spans="2:63" s="300" customFormat="1" ht="24" customHeight="1">
      <c r="B101" s="306">
        <v>87</v>
      </c>
      <c r="C101" s="306" t="s">
        <v>39</v>
      </c>
      <c r="D101" s="307">
        <v>30123757</v>
      </c>
      <c r="E101" s="308" t="s">
        <v>1491</v>
      </c>
      <c r="F101" s="165" t="s">
        <v>47</v>
      </c>
      <c r="G101" s="27" t="s">
        <v>1368</v>
      </c>
      <c r="H101" s="319" t="s">
        <v>1430</v>
      </c>
      <c r="I101" s="168" t="s">
        <v>44</v>
      </c>
      <c r="J101" s="310">
        <v>44921</v>
      </c>
      <c r="K101" s="310">
        <v>35267</v>
      </c>
      <c r="L101" s="310">
        <v>1800</v>
      </c>
      <c r="M101" s="310"/>
      <c r="N101" s="310"/>
      <c r="O101" s="310"/>
      <c r="P101" s="310"/>
      <c r="Q101" s="310"/>
      <c r="R101" s="310"/>
      <c r="S101" s="310"/>
      <c r="T101" s="310"/>
      <c r="U101" s="310"/>
      <c r="V101" s="310"/>
      <c r="W101" s="310"/>
      <c r="X101" s="310"/>
      <c r="Y101" s="31">
        <f t="shared" si="3"/>
        <v>0</v>
      </c>
      <c r="Z101" s="311">
        <v>7854</v>
      </c>
      <c r="AA101" s="312">
        <v>4</v>
      </c>
      <c r="AB101" s="313">
        <v>44263</v>
      </c>
      <c r="AC101" s="313">
        <v>44284</v>
      </c>
      <c r="AD101" s="311"/>
      <c r="AE101" s="318"/>
      <c r="AF101" s="316"/>
      <c r="AG101" s="313"/>
      <c r="AH101" s="311"/>
      <c r="AI101" s="312"/>
      <c r="AJ101" s="316"/>
      <c r="AK101" s="315"/>
      <c r="AL101" s="311"/>
      <c r="AM101" s="312"/>
      <c r="AN101" s="316"/>
      <c r="AO101" s="315"/>
      <c r="AP101" s="311"/>
      <c r="AQ101" s="312"/>
      <c r="AR101" s="316"/>
      <c r="AS101" s="315"/>
      <c r="AT101" s="315"/>
      <c r="AU101" s="315"/>
      <c r="AV101" s="315"/>
      <c r="AW101" s="315"/>
      <c r="AX101" s="315"/>
      <c r="AY101" s="315"/>
      <c r="AZ101" s="315"/>
      <c r="BA101" s="315"/>
      <c r="BB101" s="315"/>
      <c r="BC101" s="315"/>
      <c r="BD101" s="315"/>
      <c r="BE101" s="315"/>
      <c r="BF101" s="315"/>
      <c r="BG101" s="315"/>
      <c r="BH101" s="315"/>
      <c r="BI101" s="315"/>
      <c r="BJ101" s="37">
        <f t="shared" si="4"/>
        <v>7854</v>
      </c>
      <c r="BK101" s="38">
        <f t="shared" si="5"/>
        <v>7854</v>
      </c>
    </row>
    <row r="102" spans="2:63" s="300" customFormat="1" ht="24" customHeight="1">
      <c r="B102" s="97">
        <v>88</v>
      </c>
      <c r="C102" s="306" t="s">
        <v>39</v>
      </c>
      <c r="D102" s="307">
        <v>30123783</v>
      </c>
      <c r="E102" s="308" t="s">
        <v>1492</v>
      </c>
      <c r="F102" s="165" t="s">
        <v>51</v>
      </c>
      <c r="G102" s="27" t="s">
        <v>1368</v>
      </c>
      <c r="H102" s="319" t="s">
        <v>1493</v>
      </c>
      <c r="I102" s="168" t="s">
        <v>44</v>
      </c>
      <c r="J102" s="310">
        <v>2491828</v>
      </c>
      <c r="K102" s="310">
        <v>2319030</v>
      </c>
      <c r="L102" s="310">
        <v>0</v>
      </c>
      <c r="M102" s="310"/>
      <c r="N102" s="310"/>
      <c r="O102" s="310"/>
      <c r="P102" s="310"/>
      <c r="Q102" s="310"/>
      <c r="R102" s="310"/>
      <c r="S102" s="310"/>
      <c r="T102" s="310"/>
      <c r="U102" s="310"/>
      <c r="V102" s="310"/>
      <c r="W102" s="310"/>
      <c r="X102" s="310"/>
      <c r="Y102" s="31">
        <f t="shared" si="3"/>
        <v>0</v>
      </c>
      <c r="Z102" s="311">
        <v>172798</v>
      </c>
      <c r="AA102" s="312">
        <v>4</v>
      </c>
      <c r="AB102" s="313">
        <v>44263</v>
      </c>
      <c r="AC102" s="313">
        <v>44284</v>
      </c>
      <c r="AD102" s="311"/>
      <c r="AE102" s="318"/>
      <c r="AF102" s="316"/>
      <c r="AG102" s="313"/>
      <c r="AH102" s="311"/>
      <c r="AI102" s="312"/>
      <c r="AJ102" s="316"/>
      <c r="AK102" s="315"/>
      <c r="AL102" s="311"/>
      <c r="AM102" s="312"/>
      <c r="AN102" s="316"/>
      <c r="AO102" s="315"/>
      <c r="AP102" s="311"/>
      <c r="AQ102" s="312"/>
      <c r="AR102" s="316"/>
      <c r="AS102" s="315"/>
      <c r="AT102" s="315"/>
      <c r="AU102" s="315"/>
      <c r="AV102" s="315"/>
      <c r="AW102" s="315"/>
      <c r="AX102" s="315"/>
      <c r="AY102" s="315"/>
      <c r="AZ102" s="315"/>
      <c r="BA102" s="315"/>
      <c r="BB102" s="315"/>
      <c r="BC102" s="315"/>
      <c r="BD102" s="315"/>
      <c r="BE102" s="315"/>
      <c r="BF102" s="315"/>
      <c r="BG102" s="315"/>
      <c r="BH102" s="315"/>
      <c r="BI102" s="315"/>
      <c r="BJ102" s="37">
        <f t="shared" si="4"/>
        <v>172798</v>
      </c>
      <c r="BK102" s="38">
        <f t="shared" si="5"/>
        <v>172798</v>
      </c>
    </row>
    <row r="103" spans="2:63" s="300" customFormat="1" ht="24" customHeight="1">
      <c r="B103" s="97">
        <v>89</v>
      </c>
      <c r="C103" s="306" t="s">
        <v>39</v>
      </c>
      <c r="D103" s="307">
        <v>30125002</v>
      </c>
      <c r="E103" s="308" t="s">
        <v>1494</v>
      </c>
      <c r="F103" s="165" t="s">
        <v>51</v>
      </c>
      <c r="G103" s="27" t="s">
        <v>1368</v>
      </c>
      <c r="H103" s="319" t="s">
        <v>1395</v>
      </c>
      <c r="I103" s="168" t="s">
        <v>52</v>
      </c>
      <c r="J103" s="310">
        <v>2068969</v>
      </c>
      <c r="K103" s="310">
        <v>0</v>
      </c>
      <c r="L103" s="310">
        <v>2068964</v>
      </c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">
        <f t="shared" si="3"/>
        <v>0</v>
      </c>
      <c r="Z103" s="311">
        <v>5</v>
      </c>
      <c r="AA103" s="312">
        <v>4</v>
      </c>
      <c r="AB103" s="313">
        <v>44263</v>
      </c>
      <c r="AC103" s="313">
        <v>44284</v>
      </c>
      <c r="AD103" s="311">
        <v>9331</v>
      </c>
      <c r="AE103" s="318">
        <v>42</v>
      </c>
      <c r="AF103" s="313">
        <v>44432</v>
      </c>
      <c r="AG103" s="313">
        <v>44449</v>
      </c>
      <c r="AH103" s="311"/>
      <c r="AI103" s="312"/>
      <c r="AJ103" s="316"/>
      <c r="AK103" s="315"/>
      <c r="AL103" s="311"/>
      <c r="AM103" s="312"/>
      <c r="AN103" s="316"/>
      <c r="AO103" s="315"/>
      <c r="AP103" s="311"/>
      <c r="AQ103" s="312"/>
      <c r="AR103" s="316"/>
      <c r="AS103" s="315"/>
      <c r="AT103" s="315"/>
      <c r="AU103" s="315"/>
      <c r="AV103" s="315"/>
      <c r="AW103" s="315"/>
      <c r="AX103" s="315"/>
      <c r="AY103" s="315"/>
      <c r="AZ103" s="315"/>
      <c r="BA103" s="315"/>
      <c r="BB103" s="315"/>
      <c r="BC103" s="315"/>
      <c r="BD103" s="315"/>
      <c r="BE103" s="315"/>
      <c r="BF103" s="315"/>
      <c r="BG103" s="315"/>
      <c r="BH103" s="315"/>
      <c r="BI103" s="315"/>
      <c r="BJ103" s="37">
        <f t="shared" si="4"/>
        <v>9336</v>
      </c>
      <c r="BK103" s="38">
        <f t="shared" si="5"/>
        <v>9336</v>
      </c>
    </row>
    <row r="104" spans="2:63" s="300" customFormat="1" ht="24" customHeight="1">
      <c r="B104" s="306">
        <v>90</v>
      </c>
      <c r="C104" s="306" t="s">
        <v>39</v>
      </c>
      <c r="D104" s="307">
        <v>30126681</v>
      </c>
      <c r="E104" s="308" t="s">
        <v>1495</v>
      </c>
      <c r="F104" s="165" t="s">
        <v>51</v>
      </c>
      <c r="G104" s="27" t="s">
        <v>1368</v>
      </c>
      <c r="H104" s="319" t="s">
        <v>1496</v>
      </c>
      <c r="I104" s="168" t="s">
        <v>52</v>
      </c>
      <c r="J104" s="310">
        <v>3104785</v>
      </c>
      <c r="K104" s="310">
        <v>0</v>
      </c>
      <c r="L104" s="310">
        <v>3104781</v>
      </c>
      <c r="M104" s="310"/>
      <c r="N104" s="310"/>
      <c r="O104" s="310"/>
      <c r="P104" s="310"/>
      <c r="Q104" s="310"/>
      <c r="R104" s="310"/>
      <c r="S104" s="310"/>
      <c r="T104" s="310"/>
      <c r="U104" s="310"/>
      <c r="V104" s="310"/>
      <c r="W104" s="310"/>
      <c r="X104" s="310"/>
      <c r="Y104" s="31">
        <f t="shared" si="3"/>
        <v>0</v>
      </c>
      <c r="Z104" s="311">
        <v>4</v>
      </c>
      <c r="AA104" s="312">
        <v>4</v>
      </c>
      <c r="AB104" s="313">
        <v>44263</v>
      </c>
      <c r="AC104" s="313">
        <v>44284</v>
      </c>
      <c r="AD104" s="311">
        <v>6905</v>
      </c>
      <c r="AE104" s="318">
        <v>42</v>
      </c>
      <c r="AF104" s="313">
        <v>44432</v>
      </c>
      <c r="AG104" s="313">
        <v>44449</v>
      </c>
      <c r="AH104" s="311"/>
      <c r="AI104" s="312"/>
      <c r="AJ104" s="316"/>
      <c r="AK104" s="315"/>
      <c r="AL104" s="311"/>
      <c r="AM104" s="312"/>
      <c r="AN104" s="316"/>
      <c r="AO104" s="315"/>
      <c r="AP104" s="311"/>
      <c r="AQ104" s="312"/>
      <c r="AR104" s="316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7">
        <f t="shared" si="4"/>
        <v>6909</v>
      </c>
      <c r="BK104" s="38">
        <f t="shared" si="5"/>
        <v>6909</v>
      </c>
    </row>
    <row r="105" spans="2:63" s="300" customFormat="1" ht="24" customHeight="1">
      <c r="B105" s="97">
        <v>91</v>
      </c>
      <c r="C105" s="306" t="s">
        <v>39</v>
      </c>
      <c r="D105" s="307">
        <v>30131341</v>
      </c>
      <c r="E105" s="308" t="s">
        <v>1497</v>
      </c>
      <c r="F105" s="165" t="s">
        <v>51</v>
      </c>
      <c r="G105" s="27" t="s">
        <v>1368</v>
      </c>
      <c r="H105" s="319" t="s">
        <v>1395</v>
      </c>
      <c r="I105" s="168" t="s">
        <v>44</v>
      </c>
      <c r="J105" s="310">
        <v>1649197</v>
      </c>
      <c r="K105" s="310">
        <v>1428800</v>
      </c>
      <c r="L105" s="310">
        <v>62898</v>
      </c>
      <c r="M105" s="310"/>
      <c r="N105" s="310"/>
      <c r="O105" s="310"/>
      <c r="P105" s="310"/>
      <c r="Q105" s="310"/>
      <c r="R105" s="310"/>
      <c r="S105" s="310"/>
      <c r="T105" s="310"/>
      <c r="U105" s="310"/>
      <c r="V105" s="310"/>
      <c r="W105" s="310"/>
      <c r="X105" s="310"/>
      <c r="Y105" s="31">
        <f t="shared" si="3"/>
        <v>0</v>
      </c>
      <c r="Z105" s="311">
        <v>157499</v>
      </c>
      <c r="AA105" s="312">
        <v>4</v>
      </c>
      <c r="AB105" s="313">
        <v>44263</v>
      </c>
      <c r="AC105" s="313">
        <v>44284</v>
      </c>
      <c r="AD105" s="311"/>
      <c r="AE105" s="318"/>
      <c r="AF105" s="316"/>
      <c r="AG105" s="313"/>
      <c r="AH105" s="311"/>
      <c r="AI105" s="312"/>
      <c r="AJ105" s="316"/>
      <c r="AK105" s="315"/>
      <c r="AL105" s="311"/>
      <c r="AM105" s="312"/>
      <c r="AN105" s="316"/>
      <c r="AO105" s="315"/>
      <c r="AP105" s="311"/>
      <c r="AQ105" s="312"/>
      <c r="AR105" s="316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15"/>
      <c r="BD105" s="315"/>
      <c r="BE105" s="315"/>
      <c r="BF105" s="315"/>
      <c r="BG105" s="315"/>
      <c r="BH105" s="315"/>
      <c r="BI105" s="315"/>
      <c r="BJ105" s="37">
        <f t="shared" si="4"/>
        <v>157499</v>
      </c>
      <c r="BK105" s="38">
        <f t="shared" si="5"/>
        <v>157499</v>
      </c>
    </row>
    <row r="106" spans="2:63" s="300" customFormat="1" ht="24" customHeight="1">
      <c r="B106" s="97">
        <v>92</v>
      </c>
      <c r="C106" s="306" t="s">
        <v>39</v>
      </c>
      <c r="D106" s="307">
        <v>30131624</v>
      </c>
      <c r="E106" s="308" t="s">
        <v>1498</v>
      </c>
      <c r="F106" s="165" t="s">
        <v>47</v>
      </c>
      <c r="G106" s="27" t="s">
        <v>1368</v>
      </c>
      <c r="H106" s="319" t="s">
        <v>1441</v>
      </c>
      <c r="I106" s="168" t="s">
        <v>52</v>
      </c>
      <c r="J106" s="310">
        <v>111702</v>
      </c>
      <c r="K106" s="310">
        <v>0</v>
      </c>
      <c r="L106" s="310">
        <v>111700</v>
      </c>
      <c r="M106" s="310"/>
      <c r="N106" s="310"/>
      <c r="O106" s="310"/>
      <c r="P106" s="310"/>
      <c r="Q106" s="310"/>
      <c r="R106" s="310"/>
      <c r="S106" s="310"/>
      <c r="T106" s="310"/>
      <c r="U106" s="310"/>
      <c r="V106" s="310"/>
      <c r="W106" s="310"/>
      <c r="X106" s="310"/>
      <c r="Y106" s="31">
        <f t="shared" si="3"/>
        <v>0</v>
      </c>
      <c r="Z106" s="311">
        <v>2</v>
      </c>
      <c r="AA106" s="312">
        <v>4</v>
      </c>
      <c r="AB106" s="313">
        <v>44263</v>
      </c>
      <c r="AC106" s="313">
        <v>44284</v>
      </c>
      <c r="AD106" s="311">
        <v>732</v>
      </c>
      <c r="AE106" s="318">
        <v>15</v>
      </c>
      <c r="AF106" s="313">
        <v>44322</v>
      </c>
      <c r="AG106" s="313">
        <v>44343</v>
      </c>
      <c r="AH106" s="311">
        <v>158</v>
      </c>
      <c r="AI106" s="312">
        <v>37</v>
      </c>
      <c r="AJ106" s="313">
        <v>44379</v>
      </c>
      <c r="AK106" s="315">
        <v>44396</v>
      </c>
      <c r="AL106" s="311"/>
      <c r="AM106" s="312"/>
      <c r="AN106" s="316"/>
      <c r="AO106" s="315"/>
      <c r="AP106" s="311"/>
      <c r="AQ106" s="312"/>
      <c r="AR106" s="316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15"/>
      <c r="BD106" s="315"/>
      <c r="BE106" s="315"/>
      <c r="BF106" s="315"/>
      <c r="BG106" s="315"/>
      <c r="BH106" s="315"/>
      <c r="BI106" s="315"/>
      <c r="BJ106" s="37">
        <f t="shared" si="4"/>
        <v>892</v>
      </c>
      <c r="BK106" s="38">
        <f t="shared" si="5"/>
        <v>892</v>
      </c>
    </row>
    <row r="107" spans="2:63" s="300" customFormat="1" ht="24" customHeight="1">
      <c r="B107" s="306">
        <v>93</v>
      </c>
      <c r="C107" s="306" t="s">
        <v>39</v>
      </c>
      <c r="D107" s="307">
        <v>30132418</v>
      </c>
      <c r="E107" s="308" t="s">
        <v>1499</v>
      </c>
      <c r="F107" s="165" t="s">
        <v>51</v>
      </c>
      <c r="G107" s="27" t="s">
        <v>1368</v>
      </c>
      <c r="H107" s="319" t="s">
        <v>1500</v>
      </c>
      <c r="I107" s="168" t="s">
        <v>44</v>
      </c>
      <c r="J107" s="310">
        <v>2219814</v>
      </c>
      <c r="K107" s="310">
        <v>385757</v>
      </c>
      <c r="L107" s="310">
        <v>1834055</v>
      </c>
      <c r="M107" s="310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">
        <f t="shared" si="3"/>
        <v>0</v>
      </c>
      <c r="Z107" s="311">
        <v>2</v>
      </c>
      <c r="AA107" s="312">
        <v>4</v>
      </c>
      <c r="AB107" s="313">
        <v>44263</v>
      </c>
      <c r="AC107" s="313">
        <v>44284</v>
      </c>
      <c r="AD107" s="311"/>
      <c r="AE107" s="318"/>
      <c r="AF107" s="316"/>
      <c r="AG107" s="313"/>
      <c r="AH107" s="311"/>
      <c r="AI107" s="312"/>
      <c r="AJ107" s="316"/>
      <c r="AK107" s="315"/>
      <c r="AL107" s="311"/>
      <c r="AM107" s="312"/>
      <c r="AN107" s="316"/>
      <c r="AO107" s="315"/>
      <c r="AP107" s="311"/>
      <c r="AQ107" s="312"/>
      <c r="AR107" s="316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15"/>
      <c r="BH107" s="315"/>
      <c r="BI107" s="315"/>
      <c r="BJ107" s="37">
        <f t="shared" si="4"/>
        <v>2</v>
      </c>
      <c r="BK107" s="38">
        <f t="shared" si="5"/>
        <v>2</v>
      </c>
    </row>
    <row r="108" spans="2:63" s="300" customFormat="1" ht="24" customHeight="1">
      <c r="B108" s="97">
        <v>94</v>
      </c>
      <c r="C108" s="306" t="s">
        <v>39</v>
      </c>
      <c r="D108" s="307">
        <v>30133366</v>
      </c>
      <c r="E108" s="308" t="s">
        <v>1501</v>
      </c>
      <c r="F108" s="165" t="s">
        <v>51</v>
      </c>
      <c r="G108" s="27" t="s">
        <v>1368</v>
      </c>
      <c r="H108" s="319" t="s">
        <v>1375</v>
      </c>
      <c r="I108" s="168" t="s">
        <v>44</v>
      </c>
      <c r="J108" s="310">
        <v>1749571</v>
      </c>
      <c r="K108" s="310">
        <v>223891</v>
      </c>
      <c r="L108" s="310">
        <v>1525678</v>
      </c>
      <c r="M108" s="310"/>
      <c r="N108" s="310"/>
      <c r="O108" s="310"/>
      <c r="P108" s="310"/>
      <c r="Q108" s="310"/>
      <c r="R108" s="310"/>
      <c r="S108" s="310"/>
      <c r="T108" s="310"/>
      <c r="U108" s="310"/>
      <c r="V108" s="310"/>
      <c r="W108" s="310"/>
      <c r="X108" s="310"/>
      <c r="Y108" s="31">
        <f t="shared" si="3"/>
        <v>0</v>
      </c>
      <c r="Z108" s="311">
        <v>2</v>
      </c>
      <c r="AA108" s="312">
        <v>4</v>
      </c>
      <c r="AB108" s="313">
        <v>44263</v>
      </c>
      <c r="AC108" s="313">
        <v>44284</v>
      </c>
      <c r="AD108" s="311"/>
      <c r="AE108" s="318"/>
      <c r="AF108" s="316"/>
      <c r="AG108" s="313"/>
      <c r="AH108" s="311"/>
      <c r="AI108" s="312"/>
      <c r="AJ108" s="316"/>
      <c r="AK108" s="315"/>
      <c r="AL108" s="311"/>
      <c r="AM108" s="312"/>
      <c r="AN108" s="316"/>
      <c r="AO108" s="315"/>
      <c r="AP108" s="311"/>
      <c r="AQ108" s="312"/>
      <c r="AR108" s="316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5"/>
      <c r="BI108" s="315"/>
      <c r="BJ108" s="37">
        <f t="shared" si="4"/>
        <v>2</v>
      </c>
      <c r="BK108" s="38">
        <f t="shared" si="5"/>
        <v>2</v>
      </c>
    </row>
    <row r="109" spans="2:63" s="300" customFormat="1" ht="24" customHeight="1">
      <c r="B109" s="97">
        <v>95</v>
      </c>
      <c r="C109" s="306" t="s">
        <v>39</v>
      </c>
      <c r="D109" s="307">
        <v>30133684</v>
      </c>
      <c r="E109" s="308" t="s">
        <v>1502</v>
      </c>
      <c r="F109" s="165" t="s">
        <v>51</v>
      </c>
      <c r="G109" s="27" t="s">
        <v>1368</v>
      </c>
      <c r="H109" s="319" t="s">
        <v>1395</v>
      </c>
      <c r="I109" s="168" t="s">
        <v>52</v>
      </c>
      <c r="J109" s="310">
        <v>1632447</v>
      </c>
      <c r="K109" s="310">
        <v>0</v>
      </c>
      <c r="L109" s="310">
        <v>1632442</v>
      </c>
      <c r="M109" s="310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">
        <f t="shared" si="3"/>
        <v>0</v>
      </c>
      <c r="Z109" s="311">
        <v>5</v>
      </c>
      <c r="AA109" s="312">
        <v>4</v>
      </c>
      <c r="AB109" s="313">
        <v>44263</v>
      </c>
      <c r="AC109" s="313">
        <v>44284</v>
      </c>
      <c r="AD109" s="311"/>
      <c r="AE109" s="318"/>
      <c r="AF109" s="316"/>
      <c r="AG109" s="313"/>
      <c r="AH109" s="311"/>
      <c r="AI109" s="312"/>
      <c r="AJ109" s="316"/>
      <c r="AK109" s="315"/>
      <c r="AL109" s="311"/>
      <c r="AM109" s="312"/>
      <c r="AN109" s="316"/>
      <c r="AO109" s="315"/>
      <c r="AP109" s="311"/>
      <c r="AQ109" s="312"/>
      <c r="AR109" s="316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7">
        <f t="shared" si="4"/>
        <v>5</v>
      </c>
      <c r="BK109" s="38">
        <f t="shared" si="5"/>
        <v>5</v>
      </c>
    </row>
    <row r="110" spans="2:63" s="300" customFormat="1" ht="24" customHeight="1">
      <c r="B110" s="306">
        <v>96</v>
      </c>
      <c r="C110" s="306" t="s">
        <v>39</v>
      </c>
      <c r="D110" s="307">
        <v>30133970</v>
      </c>
      <c r="E110" s="308" t="s">
        <v>1503</v>
      </c>
      <c r="F110" s="165" t="s">
        <v>51</v>
      </c>
      <c r="G110" s="27" t="s">
        <v>1368</v>
      </c>
      <c r="H110" s="319" t="s">
        <v>1369</v>
      </c>
      <c r="I110" s="168" t="s">
        <v>44</v>
      </c>
      <c r="J110" s="310">
        <v>713449</v>
      </c>
      <c r="K110" s="310">
        <v>0</v>
      </c>
      <c r="L110" s="310">
        <v>713447</v>
      </c>
      <c r="M110" s="310"/>
      <c r="N110" s="310"/>
      <c r="O110" s="310"/>
      <c r="P110" s="310"/>
      <c r="Q110" s="310"/>
      <c r="R110" s="310"/>
      <c r="S110" s="310"/>
      <c r="T110" s="310"/>
      <c r="U110" s="310"/>
      <c r="V110" s="310"/>
      <c r="W110" s="310"/>
      <c r="X110" s="310"/>
      <c r="Y110" s="31">
        <f t="shared" si="3"/>
        <v>0</v>
      </c>
      <c r="Z110" s="311">
        <v>2</v>
      </c>
      <c r="AA110" s="312">
        <v>4</v>
      </c>
      <c r="AB110" s="313">
        <v>44263</v>
      </c>
      <c r="AC110" s="313">
        <v>44284</v>
      </c>
      <c r="AD110" s="311">
        <v>1499</v>
      </c>
      <c r="AE110" s="318">
        <v>10</v>
      </c>
      <c r="AF110" s="313">
        <v>44284</v>
      </c>
      <c r="AG110" s="313">
        <v>44286</v>
      </c>
      <c r="AH110" s="311"/>
      <c r="AI110" s="312"/>
      <c r="AJ110" s="316"/>
      <c r="AK110" s="315"/>
      <c r="AL110" s="311"/>
      <c r="AM110" s="312"/>
      <c r="AN110" s="316"/>
      <c r="AO110" s="315"/>
      <c r="AP110" s="311"/>
      <c r="AQ110" s="312"/>
      <c r="AR110" s="316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15"/>
      <c r="BD110" s="315"/>
      <c r="BE110" s="315"/>
      <c r="BF110" s="315"/>
      <c r="BG110" s="315"/>
      <c r="BH110" s="315"/>
      <c r="BI110" s="315"/>
      <c r="BJ110" s="37">
        <f t="shared" si="4"/>
        <v>1501</v>
      </c>
      <c r="BK110" s="38">
        <f t="shared" si="5"/>
        <v>1501</v>
      </c>
    </row>
    <row r="111" spans="2:63" s="300" customFormat="1" ht="24" customHeight="1">
      <c r="B111" s="97">
        <v>97</v>
      </c>
      <c r="C111" s="306" t="s">
        <v>39</v>
      </c>
      <c r="D111" s="307">
        <v>30284725</v>
      </c>
      <c r="E111" s="308" t="s">
        <v>1504</v>
      </c>
      <c r="F111" s="165" t="s">
        <v>51</v>
      </c>
      <c r="G111" s="27" t="s">
        <v>1368</v>
      </c>
      <c r="H111" s="319" t="s">
        <v>1439</v>
      </c>
      <c r="I111" s="168" t="s">
        <v>44</v>
      </c>
      <c r="J111" s="310">
        <v>2885289</v>
      </c>
      <c r="K111" s="310">
        <v>2421954</v>
      </c>
      <c r="L111" s="310">
        <v>463334</v>
      </c>
      <c r="M111" s="310"/>
      <c r="N111" s="310"/>
      <c r="O111" s="310"/>
      <c r="P111" s="310"/>
      <c r="Q111" s="310"/>
      <c r="R111" s="310"/>
      <c r="S111" s="310"/>
      <c r="T111" s="310"/>
      <c r="U111" s="310"/>
      <c r="V111" s="310"/>
      <c r="W111" s="310"/>
      <c r="X111" s="310"/>
      <c r="Y111" s="31">
        <f t="shared" si="3"/>
        <v>0</v>
      </c>
      <c r="Z111" s="311">
        <v>1</v>
      </c>
      <c r="AA111" s="312">
        <v>4</v>
      </c>
      <c r="AB111" s="313">
        <v>44263</v>
      </c>
      <c r="AC111" s="313">
        <v>44284</v>
      </c>
      <c r="AD111" s="311"/>
      <c r="AE111" s="318"/>
      <c r="AF111" s="316"/>
      <c r="AG111" s="313"/>
      <c r="AH111" s="311"/>
      <c r="AI111" s="312"/>
      <c r="AJ111" s="316"/>
      <c r="AK111" s="315"/>
      <c r="AL111" s="311"/>
      <c r="AM111" s="312"/>
      <c r="AN111" s="316"/>
      <c r="AO111" s="315"/>
      <c r="AP111" s="311"/>
      <c r="AQ111" s="312"/>
      <c r="AR111" s="316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315"/>
      <c r="BH111" s="315"/>
      <c r="BI111" s="315"/>
      <c r="BJ111" s="37">
        <f t="shared" si="4"/>
        <v>1</v>
      </c>
      <c r="BK111" s="38">
        <f t="shared" si="5"/>
        <v>1</v>
      </c>
    </row>
    <row r="112" spans="2:63" s="300" customFormat="1" ht="24" customHeight="1">
      <c r="B112" s="97">
        <v>98</v>
      </c>
      <c r="C112" s="306" t="s">
        <v>39</v>
      </c>
      <c r="D112" s="307">
        <v>30288722</v>
      </c>
      <c r="E112" s="308" t="s">
        <v>1505</v>
      </c>
      <c r="F112" s="165" t="s">
        <v>47</v>
      </c>
      <c r="G112" s="27" t="s">
        <v>1368</v>
      </c>
      <c r="H112" s="319" t="s">
        <v>1416</v>
      </c>
      <c r="I112" s="168" t="s">
        <v>44</v>
      </c>
      <c r="J112" s="310">
        <v>63655</v>
      </c>
      <c r="K112" s="310">
        <v>38233</v>
      </c>
      <c r="L112" s="310">
        <v>25420</v>
      </c>
      <c r="M112" s="310"/>
      <c r="N112" s="310"/>
      <c r="O112" s="31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">
        <f t="shared" si="3"/>
        <v>0</v>
      </c>
      <c r="Z112" s="311">
        <v>2</v>
      </c>
      <c r="AA112" s="312">
        <v>4</v>
      </c>
      <c r="AB112" s="313">
        <v>44263</v>
      </c>
      <c r="AC112" s="313">
        <v>44284</v>
      </c>
      <c r="AD112" s="311">
        <v>24239</v>
      </c>
      <c r="AE112" s="318">
        <v>42</v>
      </c>
      <c r="AF112" s="313">
        <v>44432</v>
      </c>
      <c r="AG112" s="313">
        <v>44449</v>
      </c>
      <c r="AH112" s="311"/>
      <c r="AI112" s="312"/>
      <c r="AJ112" s="316"/>
      <c r="AK112" s="315"/>
      <c r="AL112" s="311"/>
      <c r="AM112" s="312"/>
      <c r="AN112" s="316"/>
      <c r="AO112" s="315"/>
      <c r="AP112" s="311"/>
      <c r="AQ112" s="312"/>
      <c r="AR112" s="316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315"/>
      <c r="BH112" s="315"/>
      <c r="BI112" s="315"/>
      <c r="BJ112" s="37">
        <f t="shared" si="4"/>
        <v>24241</v>
      </c>
      <c r="BK112" s="38">
        <f t="shared" si="5"/>
        <v>24241</v>
      </c>
    </row>
    <row r="113" spans="2:63" s="300" customFormat="1" ht="24" customHeight="1">
      <c r="B113" s="306">
        <v>99</v>
      </c>
      <c r="C113" s="306" t="s">
        <v>39</v>
      </c>
      <c r="D113" s="307">
        <v>30289025</v>
      </c>
      <c r="E113" s="308" t="s">
        <v>1506</v>
      </c>
      <c r="F113" s="165" t="s">
        <v>51</v>
      </c>
      <c r="G113" s="27" t="s">
        <v>1368</v>
      </c>
      <c r="H113" s="319" t="s">
        <v>1507</v>
      </c>
      <c r="I113" s="168" t="s">
        <v>44</v>
      </c>
      <c r="J113" s="310">
        <v>1200411</v>
      </c>
      <c r="K113" s="310">
        <v>1196846</v>
      </c>
      <c r="L113" s="310">
        <v>3564</v>
      </c>
      <c r="M113" s="310"/>
      <c r="N113" s="310"/>
      <c r="O113" s="310"/>
      <c r="P113" s="310"/>
      <c r="Q113" s="310"/>
      <c r="R113" s="310"/>
      <c r="S113" s="310"/>
      <c r="T113" s="310"/>
      <c r="U113" s="310"/>
      <c r="V113" s="310"/>
      <c r="W113" s="310"/>
      <c r="X113" s="310"/>
      <c r="Y113" s="31">
        <f t="shared" si="3"/>
        <v>0</v>
      </c>
      <c r="Z113" s="311">
        <v>1</v>
      </c>
      <c r="AA113" s="312">
        <v>4</v>
      </c>
      <c r="AB113" s="313">
        <v>44263</v>
      </c>
      <c r="AC113" s="313">
        <v>44284</v>
      </c>
      <c r="AD113" s="311"/>
      <c r="AE113" s="318"/>
      <c r="AF113" s="316"/>
      <c r="AG113" s="313"/>
      <c r="AH113" s="311"/>
      <c r="AI113" s="312"/>
      <c r="AJ113" s="316"/>
      <c r="AK113" s="315"/>
      <c r="AL113" s="311"/>
      <c r="AM113" s="312"/>
      <c r="AN113" s="316"/>
      <c r="AO113" s="315"/>
      <c r="AP113" s="311"/>
      <c r="AQ113" s="312"/>
      <c r="AR113" s="316"/>
      <c r="AS113" s="315"/>
      <c r="AT113" s="315"/>
      <c r="AU113" s="315"/>
      <c r="AV113" s="315"/>
      <c r="AW113" s="315"/>
      <c r="AX113" s="315"/>
      <c r="AY113" s="315"/>
      <c r="AZ113" s="315"/>
      <c r="BA113" s="315"/>
      <c r="BB113" s="315"/>
      <c r="BC113" s="315"/>
      <c r="BD113" s="315"/>
      <c r="BE113" s="315"/>
      <c r="BF113" s="315"/>
      <c r="BG113" s="315"/>
      <c r="BH113" s="315"/>
      <c r="BI113" s="315"/>
      <c r="BJ113" s="37">
        <f t="shared" si="4"/>
        <v>1</v>
      </c>
      <c r="BK113" s="38">
        <f t="shared" si="5"/>
        <v>1</v>
      </c>
    </row>
    <row r="114" spans="2:63" s="300" customFormat="1" ht="24" customHeight="1">
      <c r="B114" s="97">
        <v>100</v>
      </c>
      <c r="C114" s="306" t="s">
        <v>39</v>
      </c>
      <c r="D114" s="307">
        <v>30348580</v>
      </c>
      <c r="E114" s="308" t="s">
        <v>1508</v>
      </c>
      <c r="F114" s="165" t="s">
        <v>47</v>
      </c>
      <c r="G114" s="27" t="s">
        <v>1368</v>
      </c>
      <c r="H114" s="319" t="s">
        <v>1397</v>
      </c>
      <c r="I114" s="168" t="s">
        <v>44</v>
      </c>
      <c r="J114" s="310">
        <v>52199</v>
      </c>
      <c r="K114" s="310">
        <v>17379</v>
      </c>
      <c r="L114" s="310">
        <v>24871</v>
      </c>
      <c r="M114" s="310"/>
      <c r="N114" s="310"/>
      <c r="O114" s="310"/>
      <c r="P114" s="310"/>
      <c r="Q114" s="310"/>
      <c r="R114" s="310"/>
      <c r="S114" s="310"/>
      <c r="T114" s="310"/>
      <c r="U114" s="310"/>
      <c r="V114" s="310"/>
      <c r="W114" s="310"/>
      <c r="X114" s="310"/>
      <c r="Y114" s="31">
        <f t="shared" si="3"/>
        <v>0</v>
      </c>
      <c r="Z114" s="311">
        <v>9949</v>
      </c>
      <c r="AA114" s="312">
        <v>4</v>
      </c>
      <c r="AB114" s="313">
        <v>44263</v>
      </c>
      <c r="AC114" s="313">
        <v>44284</v>
      </c>
      <c r="AD114" s="311">
        <v>-9948</v>
      </c>
      <c r="AE114" s="318">
        <v>42</v>
      </c>
      <c r="AF114" s="313">
        <v>44432</v>
      </c>
      <c r="AG114" s="313">
        <v>44449</v>
      </c>
      <c r="AH114" s="311"/>
      <c r="AI114" s="312"/>
      <c r="AJ114" s="316"/>
      <c r="AK114" s="315"/>
      <c r="AL114" s="311"/>
      <c r="AM114" s="312"/>
      <c r="AN114" s="316"/>
      <c r="AO114" s="315"/>
      <c r="AP114" s="311"/>
      <c r="AQ114" s="312"/>
      <c r="AR114" s="316"/>
      <c r="AS114" s="315"/>
      <c r="AT114" s="315"/>
      <c r="AU114" s="315"/>
      <c r="AV114" s="315"/>
      <c r="AW114" s="315"/>
      <c r="AX114" s="315"/>
      <c r="AY114" s="315"/>
      <c r="AZ114" s="315"/>
      <c r="BA114" s="315"/>
      <c r="BB114" s="315"/>
      <c r="BC114" s="315"/>
      <c r="BD114" s="315"/>
      <c r="BE114" s="315"/>
      <c r="BF114" s="315"/>
      <c r="BG114" s="315"/>
      <c r="BH114" s="315"/>
      <c r="BI114" s="315"/>
      <c r="BJ114" s="37">
        <f t="shared" si="4"/>
        <v>1</v>
      </c>
      <c r="BK114" s="38">
        <f t="shared" si="5"/>
        <v>1</v>
      </c>
    </row>
    <row r="115" spans="2:63" s="300" customFormat="1" ht="24" customHeight="1">
      <c r="B115" s="97">
        <v>101</v>
      </c>
      <c r="C115" s="306" t="s">
        <v>39</v>
      </c>
      <c r="D115" s="307">
        <v>30349123</v>
      </c>
      <c r="E115" s="308" t="s">
        <v>1509</v>
      </c>
      <c r="F115" s="165" t="s">
        <v>47</v>
      </c>
      <c r="G115" s="27" t="s">
        <v>1368</v>
      </c>
      <c r="H115" s="319" t="s">
        <v>1371</v>
      </c>
      <c r="I115" s="168" t="s">
        <v>44</v>
      </c>
      <c r="J115" s="310">
        <v>55278</v>
      </c>
      <c r="K115" s="310">
        <v>36003</v>
      </c>
      <c r="L115" s="310">
        <v>3000</v>
      </c>
      <c r="M115" s="310"/>
      <c r="N115" s="310"/>
      <c r="O115" s="310">
        <v>16276</v>
      </c>
      <c r="P115" s="310"/>
      <c r="Q115" s="310"/>
      <c r="R115" s="310"/>
      <c r="S115" s="310"/>
      <c r="T115" s="310"/>
      <c r="U115" s="310"/>
      <c r="V115" s="310"/>
      <c r="W115" s="310"/>
      <c r="X115" s="310"/>
      <c r="Y115" s="31">
        <f t="shared" si="3"/>
        <v>16276</v>
      </c>
      <c r="Z115" s="311">
        <v>16275</v>
      </c>
      <c r="AA115" s="312">
        <v>4</v>
      </c>
      <c r="AB115" s="313">
        <v>44263</v>
      </c>
      <c r="AC115" s="313">
        <v>44284</v>
      </c>
      <c r="AD115" s="311"/>
      <c r="AE115" s="318"/>
      <c r="AF115" s="316"/>
      <c r="AG115" s="313"/>
      <c r="AH115" s="311"/>
      <c r="AI115" s="312"/>
      <c r="AJ115" s="316"/>
      <c r="AK115" s="315"/>
      <c r="AL115" s="311"/>
      <c r="AM115" s="312"/>
      <c r="AN115" s="316"/>
      <c r="AO115" s="315"/>
      <c r="AP115" s="311"/>
      <c r="AQ115" s="312"/>
      <c r="AR115" s="316"/>
      <c r="AS115" s="315"/>
      <c r="AT115" s="315"/>
      <c r="AU115" s="315"/>
      <c r="AV115" s="315"/>
      <c r="AW115" s="315"/>
      <c r="AX115" s="315"/>
      <c r="AY115" s="315"/>
      <c r="AZ115" s="315"/>
      <c r="BA115" s="315"/>
      <c r="BB115" s="315"/>
      <c r="BC115" s="315"/>
      <c r="BD115" s="315"/>
      <c r="BE115" s="315"/>
      <c r="BF115" s="315"/>
      <c r="BG115" s="315"/>
      <c r="BH115" s="315"/>
      <c r="BI115" s="315"/>
      <c r="BJ115" s="37">
        <f t="shared" si="4"/>
        <v>16275</v>
      </c>
      <c r="BK115" s="38">
        <f t="shared" si="5"/>
        <v>-1</v>
      </c>
    </row>
    <row r="116" spans="2:63" s="300" customFormat="1" ht="24" customHeight="1">
      <c r="B116" s="306">
        <v>102</v>
      </c>
      <c r="C116" s="306" t="s">
        <v>39</v>
      </c>
      <c r="D116" s="307">
        <v>30350623</v>
      </c>
      <c r="E116" s="308" t="s">
        <v>1510</v>
      </c>
      <c r="F116" s="165" t="s">
        <v>47</v>
      </c>
      <c r="G116" s="27" t="s">
        <v>1368</v>
      </c>
      <c r="H116" s="319" t="s">
        <v>1496</v>
      </c>
      <c r="I116" s="168" t="s">
        <v>44</v>
      </c>
      <c r="J116" s="310">
        <v>142244</v>
      </c>
      <c r="K116" s="310">
        <v>43579</v>
      </c>
      <c r="L116" s="310">
        <v>79320</v>
      </c>
      <c r="M116" s="310"/>
      <c r="N116" s="310"/>
      <c r="O116" s="310"/>
      <c r="P116" s="310"/>
      <c r="Q116" s="310"/>
      <c r="R116" s="310"/>
      <c r="S116" s="310"/>
      <c r="T116" s="310"/>
      <c r="U116" s="310"/>
      <c r="V116" s="310"/>
      <c r="W116" s="310"/>
      <c r="X116" s="310"/>
      <c r="Y116" s="31">
        <f t="shared" si="3"/>
        <v>0</v>
      </c>
      <c r="Z116" s="311">
        <v>19345</v>
      </c>
      <c r="AA116" s="312">
        <v>4</v>
      </c>
      <c r="AB116" s="313">
        <v>44263</v>
      </c>
      <c r="AC116" s="313">
        <v>44284</v>
      </c>
      <c r="AD116" s="311"/>
      <c r="AE116" s="318"/>
      <c r="AF116" s="316"/>
      <c r="AG116" s="313"/>
      <c r="AH116" s="311"/>
      <c r="AI116" s="312"/>
      <c r="AJ116" s="316"/>
      <c r="AK116" s="315"/>
      <c r="AL116" s="311"/>
      <c r="AM116" s="312"/>
      <c r="AN116" s="316"/>
      <c r="AO116" s="315"/>
      <c r="AP116" s="311"/>
      <c r="AQ116" s="312"/>
      <c r="AR116" s="316"/>
      <c r="AS116" s="315"/>
      <c r="AT116" s="315"/>
      <c r="AU116" s="315"/>
      <c r="AV116" s="315"/>
      <c r="AW116" s="315"/>
      <c r="AX116" s="315"/>
      <c r="AY116" s="315"/>
      <c r="AZ116" s="315"/>
      <c r="BA116" s="315"/>
      <c r="BB116" s="315"/>
      <c r="BC116" s="315"/>
      <c r="BD116" s="315"/>
      <c r="BE116" s="315"/>
      <c r="BF116" s="315"/>
      <c r="BG116" s="315"/>
      <c r="BH116" s="315"/>
      <c r="BI116" s="315"/>
      <c r="BJ116" s="37">
        <f t="shared" si="4"/>
        <v>19345</v>
      </c>
      <c r="BK116" s="38">
        <f t="shared" si="5"/>
        <v>19345</v>
      </c>
    </row>
    <row r="117" spans="2:63" s="300" customFormat="1" ht="24" customHeight="1">
      <c r="B117" s="97">
        <v>103</v>
      </c>
      <c r="C117" s="306" t="s">
        <v>39</v>
      </c>
      <c r="D117" s="307">
        <v>30369426</v>
      </c>
      <c r="E117" s="308" t="s">
        <v>1511</v>
      </c>
      <c r="F117" s="165" t="s">
        <v>47</v>
      </c>
      <c r="G117" s="27" t="s">
        <v>1368</v>
      </c>
      <c r="H117" s="319" t="s">
        <v>1500</v>
      </c>
      <c r="I117" s="168" t="s">
        <v>44</v>
      </c>
      <c r="J117" s="310">
        <v>56110</v>
      </c>
      <c r="K117" s="310">
        <v>15381</v>
      </c>
      <c r="L117" s="310">
        <v>40727</v>
      </c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">
        <f t="shared" si="3"/>
        <v>0</v>
      </c>
      <c r="Z117" s="311">
        <v>2</v>
      </c>
      <c r="AA117" s="312">
        <v>4</v>
      </c>
      <c r="AB117" s="313">
        <v>44263</v>
      </c>
      <c r="AC117" s="313">
        <v>44284</v>
      </c>
      <c r="AD117" s="311"/>
      <c r="AE117" s="318"/>
      <c r="AF117" s="316"/>
      <c r="AG117" s="313"/>
      <c r="AH117" s="311"/>
      <c r="AI117" s="312"/>
      <c r="AJ117" s="316"/>
      <c r="AK117" s="315"/>
      <c r="AL117" s="311"/>
      <c r="AM117" s="312"/>
      <c r="AN117" s="316"/>
      <c r="AO117" s="315"/>
      <c r="AP117" s="311"/>
      <c r="AQ117" s="312"/>
      <c r="AR117" s="316"/>
      <c r="AS117" s="315"/>
      <c r="AT117" s="315"/>
      <c r="AU117" s="315"/>
      <c r="AV117" s="315"/>
      <c r="AW117" s="315"/>
      <c r="AX117" s="315"/>
      <c r="AY117" s="315"/>
      <c r="AZ117" s="315"/>
      <c r="BA117" s="315"/>
      <c r="BB117" s="315"/>
      <c r="BC117" s="315"/>
      <c r="BD117" s="315"/>
      <c r="BE117" s="315"/>
      <c r="BF117" s="315"/>
      <c r="BG117" s="315"/>
      <c r="BH117" s="315"/>
      <c r="BI117" s="315"/>
      <c r="BJ117" s="37">
        <f t="shared" si="4"/>
        <v>2</v>
      </c>
      <c r="BK117" s="38">
        <f t="shared" si="5"/>
        <v>2</v>
      </c>
    </row>
    <row r="118" spans="2:63" s="300" customFormat="1" ht="24" customHeight="1">
      <c r="B118" s="97">
        <v>104</v>
      </c>
      <c r="C118" s="306" t="s">
        <v>39</v>
      </c>
      <c r="D118" s="307">
        <v>30373372</v>
      </c>
      <c r="E118" s="308" t="s">
        <v>1512</v>
      </c>
      <c r="F118" s="165" t="s">
        <v>47</v>
      </c>
      <c r="G118" s="27" t="s">
        <v>1368</v>
      </c>
      <c r="H118" s="319" t="s">
        <v>1513</v>
      </c>
      <c r="I118" s="168" t="s">
        <v>44</v>
      </c>
      <c r="J118" s="310">
        <v>40894</v>
      </c>
      <c r="K118" s="310">
        <v>16886</v>
      </c>
      <c r="L118" s="310">
        <v>8355</v>
      </c>
      <c r="M118" s="310"/>
      <c r="N118" s="310"/>
      <c r="O118" s="310"/>
      <c r="P118" s="310"/>
      <c r="Q118" s="310"/>
      <c r="R118" s="310"/>
      <c r="S118" s="310"/>
      <c r="T118" s="310"/>
      <c r="U118" s="310"/>
      <c r="V118" s="310"/>
      <c r="W118" s="310"/>
      <c r="X118" s="310"/>
      <c r="Y118" s="31">
        <f t="shared" si="3"/>
        <v>0</v>
      </c>
      <c r="Z118" s="311">
        <v>15653</v>
      </c>
      <c r="AA118" s="312">
        <v>4</v>
      </c>
      <c r="AB118" s="313">
        <v>44263</v>
      </c>
      <c r="AC118" s="313">
        <v>44284</v>
      </c>
      <c r="AD118" s="311"/>
      <c r="AE118" s="318"/>
      <c r="AF118" s="316"/>
      <c r="AG118" s="313"/>
      <c r="AH118" s="311"/>
      <c r="AI118" s="312"/>
      <c r="AJ118" s="316"/>
      <c r="AK118" s="315"/>
      <c r="AL118" s="311"/>
      <c r="AM118" s="312"/>
      <c r="AN118" s="316"/>
      <c r="AO118" s="315"/>
      <c r="AP118" s="311"/>
      <c r="AQ118" s="312"/>
      <c r="AR118" s="316"/>
      <c r="AS118" s="315"/>
      <c r="AT118" s="315"/>
      <c r="AU118" s="315"/>
      <c r="AV118" s="315"/>
      <c r="AW118" s="315"/>
      <c r="AX118" s="315"/>
      <c r="AY118" s="315"/>
      <c r="AZ118" s="315"/>
      <c r="BA118" s="315"/>
      <c r="BB118" s="315"/>
      <c r="BC118" s="315"/>
      <c r="BD118" s="315"/>
      <c r="BE118" s="315"/>
      <c r="BF118" s="315"/>
      <c r="BG118" s="315"/>
      <c r="BH118" s="315"/>
      <c r="BI118" s="315"/>
      <c r="BJ118" s="37">
        <f t="shared" si="4"/>
        <v>15653</v>
      </c>
      <c r="BK118" s="38">
        <f t="shared" si="5"/>
        <v>15653</v>
      </c>
    </row>
    <row r="119" spans="2:63" s="300" customFormat="1" ht="24" customHeight="1">
      <c r="B119" s="306">
        <v>105</v>
      </c>
      <c r="C119" s="306" t="s">
        <v>39</v>
      </c>
      <c r="D119" s="307">
        <v>30388574</v>
      </c>
      <c r="E119" s="308" t="s">
        <v>1514</v>
      </c>
      <c r="F119" s="165" t="s">
        <v>47</v>
      </c>
      <c r="G119" s="27" t="s">
        <v>1368</v>
      </c>
      <c r="H119" s="319" t="s">
        <v>1397</v>
      </c>
      <c r="I119" s="168" t="s">
        <v>44</v>
      </c>
      <c r="J119" s="310">
        <v>33580</v>
      </c>
      <c r="K119" s="310">
        <v>11180</v>
      </c>
      <c r="L119" s="310">
        <v>16000</v>
      </c>
      <c r="M119" s="310"/>
      <c r="N119" s="310"/>
      <c r="O119" s="310"/>
      <c r="P119" s="310"/>
      <c r="Q119" s="310"/>
      <c r="R119" s="310"/>
      <c r="S119" s="310"/>
      <c r="T119" s="310"/>
      <c r="U119" s="310"/>
      <c r="V119" s="310"/>
      <c r="W119" s="310"/>
      <c r="X119" s="310"/>
      <c r="Y119" s="31">
        <f t="shared" si="3"/>
        <v>0</v>
      </c>
      <c r="Z119" s="311">
        <v>6400</v>
      </c>
      <c r="AA119" s="312">
        <v>4</v>
      </c>
      <c r="AB119" s="313">
        <v>44263</v>
      </c>
      <c r="AC119" s="313">
        <v>44284</v>
      </c>
      <c r="AD119" s="311"/>
      <c r="AE119" s="318"/>
      <c r="AF119" s="316"/>
      <c r="AG119" s="313"/>
      <c r="AH119" s="311"/>
      <c r="AI119" s="312"/>
      <c r="AJ119" s="316"/>
      <c r="AK119" s="315"/>
      <c r="AL119" s="311"/>
      <c r="AM119" s="312"/>
      <c r="AN119" s="316"/>
      <c r="AO119" s="315"/>
      <c r="AP119" s="311"/>
      <c r="AQ119" s="312"/>
      <c r="AR119" s="316"/>
      <c r="AS119" s="315"/>
      <c r="AT119" s="315"/>
      <c r="AU119" s="315"/>
      <c r="AV119" s="315"/>
      <c r="AW119" s="315"/>
      <c r="AX119" s="315"/>
      <c r="AY119" s="315"/>
      <c r="AZ119" s="315"/>
      <c r="BA119" s="315"/>
      <c r="BB119" s="315"/>
      <c r="BC119" s="315"/>
      <c r="BD119" s="315"/>
      <c r="BE119" s="315"/>
      <c r="BF119" s="315"/>
      <c r="BG119" s="315"/>
      <c r="BH119" s="315"/>
      <c r="BI119" s="315"/>
      <c r="BJ119" s="37">
        <f t="shared" si="4"/>
        <v>6400</v>
      </c>
      <c r="BK119" s="38">
        <f t="shared" si="5"/>
        <v>6400</v>
      </c>
    </row>
    <row r="120" spans="2:63" s="300" customFormat="1" ht="24" customHeight="1">
      <c r="B120" s="97">
        <v>106</v>
      </c>
      <c r="C120" s="306" t="s">
        <v>39</v>
      </c>
      <c r="D120" s="307">
        <v>30399028</v>
      </c>
      <c r="E120" s="308" t="s">
        <v>1515</v>
      </c>
      <c r="F120" s="165" t="s">
        <v>51</v>
      </c>
      <c r="G120" s="27" t="s">
        <v>1368</v>
      </c>
      <c r="H120" s="319" t="s">
        <v>1395</v>
      </c>
      <c r="I120" s="168" t="s">
        <v>44</v>
      </c>
      <c r="J120" s="310">
        <v>16061762</v>
      </c>
      <c r="K120" s="310">
        <v>0</v>
      </c>
      <c r="L120" s="310">
        <v>16061758</v>
      </c>
      <c r="M120" s="310"/>
      <c r="N120" s="310"/>
      <c r="O120" s="310"/>
      <c r="P120" s="310"/>
      <c r="Q120" s="310"/>
      <c r="R120" s="310"/>
      <c r="S120" s="310"/>
      <c r="T120" s="310"/>
      <c r="U120" s="310"/>
      <c r="V120" s="310"/>
      <c r="W120" s="310"/>
      <c r="X120" s="310"/>
      <c r="Y120" s="31">
        <f t="shared" si="3"/>
        <v>0</v>
      </c>
      <c r="Z120" s="311">
        <v>4</v>
      </c>
      <c r="AA120" s="312">
        <v>4</v>
      </c>
      <c r="AB120" s="313">
        <v>44263</v>
      </c>
      <c r="AC120" s="313">
        <v>44284</v>
      </c>
      <c r="AD120" s="311"/>
      <c r="AE120" s="318"/>
      <c r="AF120" s="316"/>
      <c r="AG120" s="313"/>
      <c r="AH120" s="311"/>
      <c r="AI120" s="312"/>
      <c r="AJ120" s="316"/>
      <c r="AK120" s="315"/>
      <c r="AL120" s="311"/>
      <c r="AM120" s="312"/>
      <c r="AN120" s="316"/>
      <c r="AO120" s="315"/>
      <c r="AP120" s="311"/>
      <c r="AQ120" s="312"/>
      <c r="AR120" s="316"/>
      <c r="AS120" s="315"/>
      <c r="AT120" s="315"/>
      <c r="AU120" s="315"/>
      <c r="AV120" s="315"/>
      <c r="AW120" s="315"/>
      <c r="AX120" s="315"/>
      <c r="AY120" s="315"/>
      <c r="AZ120" s="315"/>
      <c r="BA120" s="315"/>
      <c r="BB120" s="315"/>
      <c r="BC120" s="315"/>
      <c r="BD120" s="315"/>
      <c r="BE120" s="315"/>
      <c r="BF120" s="315"/>
      <c r="BG120" s="315"/>
      <c r="BH120" s="315"/>
      <c r="BI120" s="315"/>
      <c r="BJ120" s="37">
        <f t="shared" si="4"/>
        <v>4</v>
      </c>
      <c r="BK120" s="38">
        <f t="shared" si="5"/>
        <v>4</v>
      </c>
    </row>
    <row r="121" spans="2:63" s="300" customFormat="1" ht="24" customHeight="1">
      <c r="B121" s="97">
        <v>107</v>
      </c>
      <c r="C121" s="306" t="s">
        <v>39</v>
      </c>
      <c r="D121" s="307">
        <v>30400028</v>
      </c>
      <c r="E121" s="308" t="s">
        <v>1516</v>
      </c>
      <c r="F121" s="165" t="s">
        <v>51</v>
      </c>
      <c r="G121" s="27" t="s">
        <v>1368</v>
      </c>
      <c r="H121" s="319" t="s">
        <v>1471</v>
      </c>
      <c r="I121" s="168" t="s">
        <v>44</v>
      </c>
      <c r="J121" s="310">
        <v>3175731</v>
      </c>
      <c r="K121" s="310">
        <v>2686893</v>
      </c>
      <c r="L121" s="310">
        <v>488835</v>
      </c>
      <c r="M121" s="310"/>
      <c r="N121" s="310"/>
      <c r="O121" s="310"/>
      <c r="P121" s="310"/>
      <c r="Q121" s="310"/>
      <c r="R121" s="310"/>
      <c r="S121" s="310"/>
      <c r="T121" s="310"/>
      <c r="U121" s="310"/>
      <c r="V121" s="310"/>
      <c r="W121" s="310"/>
      <c r="X121" s="310"/>
      <c r="Y121" s="31">
        <f t="shared" si="3"/>
        <v>0</v>
      </c>
      <c r="Z121" s="311">
        <v>3</v>
      </c>
      <c r="AA121" s="312">
        <v>4</v>
      </c>
      <c r="AB121" s="313">
        <v>44263</v>
      </c>
      <c r="AC121" s="313">
        <v>44284</v>
      </c>
      <c r="AD121" s="311"/>
      <c r="AE121" s="318"/>
      <c r="AF121" s="316"/>
      <c r="AG121" s="313"/>
      <c r="AH121" s="311"/>
      <c r="AI121" s="312"/>
      <c r="AJ121" s="316"/>
      <c r="AK121" s="315"/>
      <c r="AL121" s="311"/>
      <c r="AM121" s="312"/>
      <c r="AN121" s="316"/>
      <c r="AO121" s="315"/>
      <c r="AP121" s="311"/>
      <c r="AQ121" s="312"/>
      <c r="AR121" s="316"/>
      <c r="AS121" s="315"/>
      <c r="AT121" s="315"/>
      <c r="AU121" s="315"/>
      <c r="AV121" s="315"/>
      <c r="AW121" s="315"/>
      <c r="AX121" s="315"/>
      <c r="AY121" s="315"/>
      <c r="AZ121" s="315"/>
      <c r="BA121" s="315"/>
      <c r="BB121" s="315"/>
      <c r="BC121" s="315"/>
      <c r="BD121" s="315"/>
      <c r="BE121" s="315"/>
      <c r="BF121" s="315"/>
      <c r="BG121" s="315"/>
      <c r="BH121" s="315"/>
      <c r="BI121" s="315"/>
      <c r="BJ121" s="37">
        <f t="shared" si="4"/>
        <v>3</v>
      </c>
      <c r="BK121" s="38">
        <f t="shared" si="5"/>
        <v>3</v>
      </c>
    </row>
    <row r="122" spans="2:63" s="300" customFormat="1" ht="24" customHeight="1">
      <c r="B122" s="306">
        <v>108</v>
      </c>
      <c r="C122" s="306" t="s">
        <v>39</v>
      </c>
      <c r="D122" s="307">
        <v>30480861</v>
      </c>
      <c r="E122" s="308" t="s">
        <v>1517</v>
      </c>
      <c r="F122" s="165" t="s">
        <v>51</v>
      </c>
      <c r="G122" s="27" t="s">
        <v>1368</v>
      </c>
      <c r="H122" s="319" t="s">
        <v>1473</v>
      </c>
      <c r="I122" s="168" t="s">
        <v>52</v>
      </c>
      <c r="J122" s="310">
        <v>897936</v>
      </c>
      <c r="K122" s="310">
        <v>0</v>
      </c>
      <c r="L122" s="310">
        <v>897934</v>
      </c>
      <c r="M122" s="310"/>
      <c r="N122" s="310"/>
      <c r="O122" s="310"/>
      <c r="P122" s="310"/>
      <c r="Q122" s="310"/>
      <c r="R122" s="310"/>
      <c r="S122" s="310"/>
      <c r="T122" s="310"/>
      <c r="U122" s="310"/>
      <c r="V122" s="310"/>
      <c r="W122" s="310"/>
      <c r="X122" s="310"/>
      <c r="Y122" s="31">
        <f t="shared" si="3"/>
        <v>0</v>
      </c>
      <c r="Z122" s="311">
        <v>2</v>
      </c>
      <c r="AA122" s="312">
        <v>4</v>
      </c>
      <c r="AB122" s="313">
        <v>44263</v>
      </c>
      <c r="AC122" s="313">
        <v>44284</v>
      </c>
      <c r="AD122" s="311"/>
      <c r="AE122" s="318"/>
      <c r="AF122" s="316"/>
      <c r="AG122" s="313"/>
      <c r="AH122" s="311"/>
      <c r="AI122" s="312"/>
      <c r="AJ122" s="316"/>
      <c r="AK122" s="315"/>
      <c r="AL122" s="311"/>
      <c r="AM122" s="312"/>
      <c r="AN122" s="316"/>
      <c r="AO122" s="315"/>
      <c r="AP122" s="311"/>
      <c r="AQ122" s="312"/>
      <c r="AR122" s="316"/>
      <c r="AS122" s="315"/>
      <c r="AT122" s="315"/>
      <c r="AU122" s="315"/>
      <c r="AV122" s="315"/>
      <c r="AW122" s="315"/>
      <c r="AX122" s="315"/>
      <c r="AY122" s="315"/>
      <c r="AZ122" s="315"/>
      <c r="BA122" s="315"/>
      <c r="BB122" s="315"/>
      <c r="BC122" s="315"/>
      <c r="BD122" s="315"/>
      <c r="BE122" s="315"/>
      <c r="BF122" s="315"/>
      <c r="BG122" s="315"/>
      <c r="BH122" s="315"/>
      <c r="BI122" s="315"/>
      <c r="BJ122" s="37">
        <f t="shared" si="4"/>
        <v>2</v>
      </c>
      <c r="BK122" s="38">
        <f t="shared" si="5"/>
        <v>2</v>
      </c>
    </row>
    <row r="123" spans="2:63" s="300" customFormat="1" ht="24" customHeight="1">
      <c r="B123" s="97">
        <v>109</v>
      </c>
      <c r="C123" s="306" t="s">
        <v>39</v>
      </c>
      <c r="D123" s="307">
        <v>30487025</v>
      </c>
      <c r="E123" s="308" t="s">
        <v>1518</v>
      </c>
      <c r="F123" s="165" t="s">
        <v>51</v>
      </c>
      <c r="G123" s="27" t="s">
        <v>1368</v>
      </c>
      <c r="H123" s="319" t="s">
        <v>1519</v>
      </c>
      <c r="I123" s="168" t="s">
        <v>52</v>
      </c>
      <c r="J123" s="310">
        <v>601805</v>
      </c>
      <c r="K123" s="310">
        <v>0</v>
      </c>
      <c r="L123" s="310">
        <v>601804</v>
      </c>
      <c r="M123" s="310"/>
      <c r="N123" s="310"/>
      <c r="O123" s="310"/>
      <c r="P123" s="310"/>
      <c r="Q123" s="310"/>
      <c r="R123" s="310"/>
      <c r="S123" s="310"/>
      <c r="T123" s="310"/>
      <c r="U123" s="310"/>
      <c r="V123" s="310"/>
      <c r="W123" s="310"/>
      <c r="X123" s="310"/>
      <c r="Y123" s="31">
        <f t="shared" si="3"/>
        <v>0</v>
      </c>
      <c r="Z123" s="311">
        <v>1</v>
      </c>
      <c r="AA123" s="312">
        <v>4</v>
      </c>
      <c r="AB123" s="313">
        <v>44263</v>
      </c>
      <c r="AC123" s="313">
        <v>44284</v>
      </c>
      <c r="AD123" s="311">
        <v>99999</v>
      </c>
      <c r="AE123" s="318">
        <v>39</v>
      </c>
      <c r="AF123" s="313">
        <v>44389</v>
      </c>
      <c r="AG123" s="313">
        <v>44410</v>
      </c>
      <c r="AH123" s="311"/>
      <c r="AI123" s="312"/>
      <c r="AJ123" s="313"/>
      <c r="AK123" s="315"/>
      <c r="AL123" s="311"/>
      <c r="AM123" s="312"/>
      <c r="AN123" s="316"/>
      <c r="AO123" s="315"/>
      <c r="AP123" s="311"/>
      <c r="AQ123" s="312"/>
      <c r="AR123" s="316"/>
      <c r="AS123" s="315"/>
      <c r="AT123" s="315"/>
      <c r="AU123" s="315"/>
      <c r="AV123" s="315"/>
      <c r="AW123" s="315"/>
      <c r="AX123" s="315"/>
      <c r="AY123" s="315"/>
      <c r="AZ123" s="315"/>
      <c r="BA123" s="315"/>
      <c r="BB123" s="315"/>
      <c r="BC123" s="315"/>
      <c r="BD123" s="315"/>
      <c r="BE123" s="315"/>
      <c r="BF123" s="315"/>
      <c r="BG123" s="315"/>
      <c r="BH123" s="315"/>
      <c r="BI123" s="315"/>
      <c r="BJ123" s="37">
        <f t="shared" si="4"/>
        <v>100000</v>
      </c>
      <c r="BK123" s="38">
        <f t="shared" si="5"/>
        <v>100000</v>
      </c>
    </row>
    <row r="124" spans="2:63" s="300" customFormat="1" ht="24" customHeight="1">
      <c r="B124" s="306">
        <v>110</v>
      </c>
      <c r="C124" s="306" t="s">
        <v>39</v>
      </c>
      <c r="D124" s="307">
        <v>30084787</v>
      </c>
      <c r="E124" s="308" t="s">
        <v>1520</v>
      </c>
      <c r="F124" s="165" t="s">
        <v>51</v>
      </c>
      <c r="G124" s="27" t="s">
        <v>1368</v>
      </c>
      <c r="H124" s="319" t="s">
        <v>1373</v>
      </c>
      <c r="I124" s="168" t="s">
        <v>44</v>
      </c>
      <c r="J124" s="310">
        <v>10737644</v>
      </c>
      <c r="K124" s="310">
        <v>10653297</v>
      </c>
      <c r="L124" s="310">
        <v>0</v>
      </c>
      <c r="M124" s="310"/>
      <c r="N124" s="310"/>
      <c r="O124" s="310"/>
      <c r="P124" s="310"/>
      <c r="Q124" s="310"/>
      <c r="R124" s="310"/>
      <c r="S124" s="310"/>
      <c r="T124" s="310"/>
      <c r="U124" s="310"/>
      <c r="V124" s="310"/>
      <c r="W124" s="310"/>
      <c r="X124" s="310"/>
      <c r="Y124" s="31">
        <f t="shared" si="3"/>
        <v>0</v>
      </c>
      <c r="Z124" s="311">
        <v>84347</v>
      </c>
      <c r="AA124" s="312">
        <v>8</v>
      </c>
      <c r="AB124" s="313">
        <v>44276</v>
      </c>
      <c r="AC124" s="313">
        <v>44299</v>
      </c>
      <c r="AD124" s="311"/>
      <c r="AE124" s="318"/>
      <c r="AF124" s="313"/>
      <c r="AG124" s="313"/>
      <c r="AH124" s="311"/>
      <c r="AI124" s="312"/>
      <c r="AJ124" s="316"/>
      <c r="AK124" s="315"/>
      <c r="AL124" s="311"/>
      <c r="AM124" s="312"/>
      <c r="AN124" s="316"/>
      <c r="AO124" s="315"/>
      <c r="AP124" s="311"/>
      <c r="AQ124" s="312"/>
      <c r="AR124" s="316"/>
      <c r="AS124" s="315"/>
      <c r="AT124" s="315"/>
      <c r="AU124" s="315"/>
      <c r="AV124" s="315"/>
      <c r="AW124" s="315"/>
      <c r="AX124" s="315"/>
      <c r="AY124" s="315"/>
      <c r="AZ124" s="315"/>
      <c r="BA124" s="315"/>
      <c r="BB124" s="315"/>
      <c r="BC124" s="315"/>
      <c r="BD124" s="315"/>
      <c r="BE124" s="315"/>
      <c r="BF124" s="315"/>
      <c r="BG124" s="315"/>
      <c r="BH124" s="315"/>
      <c r="BI124" s="315"/>
      <c r="BJ124" s="37">
        <f t="shared" si="4"/>
        <v>84347</v>
      </c>
      <c r="BK124" s="38">
        <f t="shared" si="5"/>
        <v>84347</v>
      </c>
    </row>
    <row r="125" spans="2:63" s="300" customFormat="1" ht="24" customHeight="1">
      <c r="B125" s="97">
        <v>111</v>
      </c>
      <c r="C125" s="306" t="s">
        <v>39</v>
      </c>
      <c r="D125" s="307">
        <v>30137544</v>
      </c>
      <c r="E125" s="308" t="s">
        <v>1521</v>
      </c>
      <c r="F125" s="165" t="s">
        <v>51</v>
      </c>
      <c r="G125" s="27" t="s">
        <v>1368</v>
      </c>
      <c r="H125" s="319" t="s">
        <v>1500</v>
      </c>
      <c r="I125" s="168" t="s">
        <v>44</v>
      </c>
      <c r="J125" s="310">
        <v>3457847</v>
      </c>
      <c r="K125" s="310">
        <v>3430658</v>
      </c>
      <c r="L125" s="310">
        <v>0</v>
      </c>
      <c r="M125" s="310"/>
      <c r="N125" s="310"/>
      <c r="O125" s="310"/>
      <c r="P125" s="310"/>
      <c r="Q125" s="310"/>
      <c r="R125" s="310"/>
      <c r="S125" s="310"/>
      <c r="T125" s="310"/>
      <c r="U125" s="310"/>
      <c r="V125" s="310"/>
      <c r="W125" s="310"/>
      <c r="X125" s="310"/>
      <c r="Y125" s="31">
        <f t="shared" si="3"/>
        <v>0</v>
      </c>
      <c r="Z125" s="311">
        <v>27189</v>
      </c>
      <c r="AA125" s="312">
        <v>8</v>
      </c>
      <c r="AB125" s="313">
        <v>44276</v>
      </c>
      <c r="AC125" s="313">
        <v>44299</v>
      </c>
      <c r="AD125" s="311"/>
      <c r="AE125" s="318"/>
      <c r="AF125" s="316"/>
      <c r="AG125" s="313"/>
      <c r="AH125" s="311"/>
      <c r="AI125" s="312"/>
      <c r="AJ125" s="316"/>
      <c r="AK125" s="315"/>
      <c r="AL125" s="311"/>
      <c r="AM125" s="312"/>
      <c r="AN125" s="316"/>
      <c r="AO125" s="315"/>
      <c r="AP125" s="311"/>
      <c r="AQ125" s="312"/>
      <c r="AR125" s="316"/>
      <c r="AS125" s="315"/>
      <c r="AT125" s="315"/>
      <c r="AU125" s="315"/>
      <c r="AV125" s="315"/>
      <c r="AW125" s="315"/>
      <c r="AX125" s="315"/>
      <c r="AY125" s="315"/>
      <c r="AZ125" s="315"/>
      <c r="BA125" s="315"/>
      <c r="BB125" s="315"/>
      <c r="BC125" s="315"/>
      <c r="BD125" s="315"/>
      <c r="BE125" s="315"/>
      <c r="BF125" s="315"/>
      <c r="BG125" s="315"/>
      <c r="BH125" s="315"/>
      <c r="BI125" s="315"/>
      <c r="BJ125" s="37">
        <f t="shared" si="4"/>
        <v>27189</v>
      </c>
      <c r="BK125" s="38">
        <f t="shared" si="5"/>
        <v>27189</v>
      </c>
    </row>
    <row r="126" spans="2:63" s="300" customFormat="1" ht="24" customHeight="1">
      <c r="B126" s="306">
        <v>112</v>
      </c>
      <c r="C126" s="306" t="s">
        <v>39</v>
      </c>
      <c r="D126" s="307">
        <v>40005057</v>
      </c>
      <c r="E126" s="308" t="s">
        <v>1522</v>
      </c>
      <c r="F126" s="165" t="s">
        <v>51</v>
      </c>
      <c r="G126" s="27" t="s">
        <v>1368</v>
      </c>
      <c r="H126" s="319" t="s">
        <v>1413</v>
      </c>
      <c r="I126" s="168" t="s">
        <v>52</v>
      </c>
      <c r="J126" s="310">
        <v>2760750</v>
      </c>
      <c r="K126" s="310">
        <v>0</v>
      </c>
      <c r="L126" s="310">
        <v>2760748</v>
      </c>
      <c r="M126" s="310"/>
      <c r="N126" s="310"/>
      <c r="O126" s="310"/>
      <c r="P126" s="310"/>
      <c r="Q126" s="310"/>
      <c r="R126" s="310"/>
      <c r="S126" s="310"/>
      <c r="T126" s="310"/>
      <c r="U126" s="310"/>
      <c r="V126" s="310"/>
      <c r="W126" s="310"/>
      <c r="X126" s="310"/>
      <c r="Y126" s="31">
        <f t="shared" si="3"/>
        <v>0</v>
      </c>
      <c r="Z126" s="311">
        <v>2</v>
      </c>
      <c r="AA126" s="312">
        <v>8</v>
      </c>
      <c r="AB126" s="313">
        <v>44276</v>
      </c>
      <c r="AC126" s="313">
        <v>44299</v>
      </c>
      <c r="AD126" s="311"/>
      <c r="AE126" s="318"/>
      <c r="AF126" s="316"/>
      <c r="AG126" s="313"/>
      <c r="AH126" s="311"/>
      <c r="AI126" s="312"/>
      <c r="AJ126" s="316"/>
      <c r="AK126" s="315"/>
      <c r="AL126" s="311"/>
      <c r="AM126" s="312"/>
      <c r="AN126" s="316"/>
      <c r="AO126" s="315"/>
      <c r="AP126" s="311"/>
      <c r="AQ126" s="312"/>
      <c r="AR126" s="316"/>
      <c r="AS126" s="315"/>
      <c r="AT126" s="315"/>
      <c r="AU126" s="315"/>
      <c r="AV126" s="315"/>
      <c r="AW126" s="315"/>
      <c r="AX126" s="315"/>
      <c r="AY126" s="315"/>
      <c r="AZ126" s="315"/>
      <c r="BA126" s="315"/>
      <c r="BB126" s="315"/>
      <c r="BC126" s="315"/>
      <c r="BD126" s="315"/>
      <c r="BE126" s="315"/>
      <c r="BF126" s="315"/>
      <c r="BG126" s="315"/>
      <c r="BH126" s="315"/>
      <c r="BI126" s="315"/>
      <c r="BJ126" s="37">
        <f t="shared" si="4"/>
        <v>2</v>
      </c>
      <c r="BK126" s="38">
        <f t="shared" si="5"/>
        <v>2</v>
      </c>
    </row>
    <row r="127" spans="2:63" s="300" customFormat="1" ht="24" customHeight="1">
      <c r="B127" s="97">
        <v>113</v>
      </c>
      <c r="C127" s="306" t="s">
        <v>39</v>
      </c>
      <c r="D127" s="307">
        <v>40010485</v>
      </c>
      <c r="E127" s="308" t="s">
        <v>1523</v>
      </c>
      <c r="F127" s="165" t="s">
        <v>51</v>
      </c>
      <c r="G127" s="27" t="s">
        <v>1368</v>
      </c>
      <c r="H127" s="319" t="s">
        <v>1436</v>
      </c>
      <c r="I127" s="168" t="s">
        <v>52</v>
      </c>
      <c r="J127" s="310">
        <v>1476527</v>
      </c>
      <c r="K127" s="310">
        <v>0</v>
      </c>
      <c r="L127" s="310">
        <v>1476523</v>
      </c>
      <c r="M127" s="310"/>
      <c r="N127" s="310"/>
      <c r="O127" s="310"/>
      <c r="P127" s="310"/>
      <c r="Q127" s="310"/>
      <c r="R127" s="310"/>
      <c r="S127" s="310"/>
      <c r="T127" s="310"/>
      <c r="U127" s="310"/>
      <c r="V127" s="310"/>
      <c r="W127" s="310"/>
      <c r="X127" s="310"/>
      <c r="Y127" s="31">
        <f t="shared" si="3"/>
        <v>0</v>
      </c>
      <c r="Z127" s="311">
        <v>4</v>
      </c>
      <c r="AA127" s="312">
        <v>8</v>
      </c>
      <c r="AB127" s="313">
        <v>44276</v>
      </c>
      <c r="AC127" s="313">
        <v>44299</v>
      </c>
      <c r="AD127" s="311"/>
      <c r="AE127" s="318"/>
      <c r="AF127" s="316"/>
      <c r="AG127" s="313"/>
      <c r="AH127" s="311"/>
      <c r="AI127" s="312"/>
      <c r="AJ127" s="316"/>
      <c r="AK127" s="315"/>
      <c r="AL127" s="311"/>
      <c r="AM127" s="312"/>
      <c r="AN127" s="316"/>
      <c r="AO127" s="315"/>
      <c r="AP127" s="311"/>
      <c r="AQ127" s="312"/>
      <c r="AR127" s="316"/>
      <c r="AS127" s="315"/>
      <c r="AT127" s="315"/>
      <c r="AU127" s="315"/>
      <c r="AV127" s="315"/>
      <c r="AW127" s="315"/>
      <c r="AX127" s="315"/>
      <c r="AY127" s="315"/>
      <c r="AZ127" s="315"/>
      <c r="BA127" s="315"/>
      <c r="BB127" s="315"/>
      <c r="BC127" s="315"/>
      <c r="BD127" s="315"/>
      <c r="BE127" s="315"/>
      <c r="BF127" s="315"/>
      <c r="BG127" s="315"/>
      <c r="BH127" s="315"/>
      <c r="BI127" s="315"/>
      <c r="BJ127" s="37">
        <f t="shared" si="4"/>
        <v>4</v>
      </c>
      <c r="BK127" s="38">
        <f t="shared" si="5"/>
        <v>4</v>
      </c>
    </row>
    <row r="128" spans="2:63" s="300" customFormat="1" ht="24" customHeight="1">
      <c r="B128" s="97">
        <v>114</v>
      </c>
      <c r="C128" s="306" t="s">
        <v>39</v>
      </c>
      <c r="D128" s="307">
        <v>30133616</v>
      </c>
      <c r="E128" s="308" t="s">
        <v>1524</v>
      </c>
      <c r="F128" s="165" t="s">
        <v>51</v>
      </c>
      <c r="G128" s="27" t="s">
        <v>1368</v>
      </c>
      <c r="H128" s="319" t="s">
        <v>1371</v>
      </c>
      <c r="I128" s="168" t="s">
        <v>52</v>
      </c>
      <c r="J128" s="310">
        <v>1302727</v>
      </c>
      <c r="K128" s="310">
        <v>0</v>
      </c>
      <c r="L128" s="310">
        <v>1302722</v>
      </c>
      <c r="M128" s="310"/>
      <c r="N128" s="310"/>
      <c r="O128" s="310"/>
      <c r="P128" s="310"/>
      <c r="Q128" s="310"/>
      <c r="R128" s="310"/>
      <c r="S128" s="310"/>
      <c r="T128" s="310"/>
      <c r="U128" s="310"/>
      <c r="V128" s="310"/>
      <c r="W128" s="310"/>
      <c r="X128" s="310"/>
      <c r="Y128" s="31">
        <f t="shared" si="3"/>
        <v>0</v>
      </c>
      <c r="Z128" s="311">
        <v>5</v>
      </c>
      <c r="AA128" s="312">
        <v>9</v>
      </c>
      <c r="AB128" s="313">
        <v>44279</v>
      </c>
      <c r="AC128" s="313">
        <v>44309</v>
      </c>
      <c r="AD128" s="311">
        <v>1229</v>
      </c>
      <c r="AE128" s="318">
        <v>42</v>
      </c>
      <c r="AF128" s="313">
        <v>44432</v>
      </c>
      <c r="AG128" s="313">
        <v>44449</v>
      </c>
      <c r="AH128" s="311"/>
      <c r="AI128" s="312"/>
      <c r="AJ128" s="316"/>
      <c r="AK128" s="315"/>
      <c r="AL128" s="311"/>
      <c r="AM128" s="312"/>
      <c r="AN128" s="316"/>
      <c r="AO128" s="315"/>
      <c r="AP128" s="311"/>
      <c r="AQ128" s="312"/>
      <c r="AR128" s="316"/>
      <c r="AS128" s="315"/>
      <c r="AT128" s="315"/>
      <c r="AU128" s="315"/>
      <c r="AV128" s="315"/>
      <c r="AW128" s="315"/>
      <c r="AX128" s="315"/>
      <c r="AY128" s="315"/>
      <c r="AZ128" s="315"/>
      <c r="BA128" s="315"/>
      <c r="BB128" s="315"/>
      <c r="BC128" s="315"/>
      <c r="BD128" s="315"/>
      <c r="BE128" s="315"/>
      <c r="BF128" s="315"/>
      <c r="BG128" s="315"/>
      <c r="BH128" s="315"/>
      <c r="BI128" s="315"/>
      <c r="BJ128" s="37">
        <f t="shared" si="4"/>
        <v>1234</v>
      </c>
      <c r="BK128" s="38">
        <f t="shared" si="5"/>
        <v>1234</v>
      </c>
    </row>
    <row r="129" spans="2:63" s="300" customFormat="1" ht="24" customHeight="1">
      <c r="B129" s="306">
        <v>115</v>
      </c>
      <c r="C129" s="306" t="s">
        <v>39</v>
      </c>
      <c r="D129" s="307">
        <v>30134107</v>
      </c>
      <c r="E129" s="308" t="s">
        <v>1525</v>
      </c>
      <c r="F129" s="165" t="s">
        <v>51</v>
      </c>
      <c r="G129" s="27" t="s">
        <v>1368</v>
      </c>
      <c r="H129" s="319" t="s">
        <v>1373</v>
      </c>
      <c r="I129" s="168" t="s">
        <v>52</v>
      </c>
      <c r="J129" s="310">
        <v>707050</v>
      </c>
      <c r="K129" s="310">
        <v>0</v>
      </c>
      <c r="L129" s="310">
        <v>707048</v>
      </c>
      <c r="M129" s="310"/>
      <c r="N129" s="310"/>
      <c r="O129" s="310"/>
      <c r="P129" s="310"/>
      <c r="Q129" s="310"/>
      <c r="R129" s="310"/>
      <c r="S129" s="310"/>
      <c r="T129" s="310"/>
      <c r="U129" s="310"/>
      <c r="V129" s="310"/>
      <c r="W129" s="310"/>
      <c r="X129" s="310"/>
      <c r="Y129" s="31">
        <f t="shared" si="3"/>
        <v>0</v>
      </c>
      <c r="Z129" s="311">
        <v>2</v>
      </c>
      <c r="AA129" s="312">
        <v>9</v>
      </c>
      <c r="AB129" s="313">
        <v>44279</v>
      </c>
      <c r="AC129" s="313">
        <v>44309</v>
      </c>
      <c r="AD129" s="311"/>
      <c r="AE129" s="318"/>
      <c r="AF129" s="316"/>
      <c r="AG129" s="313"/>
      <c r="AH129" s="311"/>
      <c r="AI129" s="312"/>
      <c r="AJ129" s="316"/>
      <c r="AK129" s="315"/>
      <c r="AL129" s="311"/>
      <c r="AM129" s="312"/>
      <c r="AN129" s="316"/>
      <c r="AO129" s="315"/>
      <c r="AP129" s="311"/>
      <c r="AQ129" s="312"/>
      <c r="AR129" s="316"/>
      <c r="AS129" s="315"/>
      <c r="AT129" s="315"/>
      <c r="AU129" s="315"/>
      <c r="AV129" s="315"/>
      <c r="AW129" s="315"/>
      <c r="AX129" s="315"/>
      <c r="AY129" s="315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7">
        <f t="shared" si="4"/>
        <v>2</v>
      </c>
      <c r="BK129" s="38">
        <f t="shared" si="5"/>
        <v>2</v>
      </c>
    </row>
    <row r="130" spans="2:63" s="300" customFormat="1" ht="24" customHeight="1">
      <c r="B130" s="97">
        <v>116</v>
      </c>
      <c r="C130" s="306" t="s">
        <v>39</v>
      </c>
      <c r="D130" s="307">
        <v>30258123</v>
      </c>
      <c r="E130" s="308" t="s">
        <v>1526</v>
      </c>
      <c r="F130" s="165" t="s">
        <v>47</v>
      </c>
      <c r="G130" s="27" t="s">
        <v>1368</v>
      </c>
      <c r="H130" s="319" t="s">
        <v>1473</v>
      </c>
      <c r="I130" s="168" t="s">
        <v>52</v>
      </c>
      <c r="J130" s="310">
        <v>83498</v>
      </c>
      <c r="K130" s="310">
        <v>0</v>
      </c>
      <c r="L130" s="310">
        <v>83496</v>
      </c>
      <c r="M130" s="310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">
        <f t="shared" si="3"/>
        <v>0</v>
      </c>
      <c r="Z130" s="311">
        <v>2</v>
      </c>
      <c r="AA130" s="312">
        <v>9</v>
      </c>
      <c r="AB130" s="313">
        <v>44279</v>
      </c>
      <c r="AC130" s="313">
        <v>44309</v>
      </c>
      <c r="AD130" s="311">
        <v>1910</v>
      </c>
      <c r="AE130" s="318">
        <v>42</v>
      </c>
      <c r="AF130" s="313">
        <v>44432</v>
      </c>
      <c r="AG130" s="313">
        <v>44449</v>
      </c>
      <c r="AH130" s="311"/>
      <c r="AI130" s="312"/>
      <c r="AJ130" s="316"/>
      <c r="AK130" s="315"/>
      <c r="AL130" s="311"/>
      <c r="AM130" s="312"/>
      <c r="AN130" s="316"/>
      <c r="AO130" s="315"/>
      <c r="AP130" s="311"/>
      <c r="AQ130" s="312"/>
      <c r="AR130" s="316"/>
      <c r="AS130" s="315"/>
      <c r="AT130" s="315"/>
      <c r="AU130" s="315"/>
      <c r="AV130" s="315"/>
      <c r="AW130" s="315"/>
      <c r="AX130" s="315"/>
      <c r="AY130" s="315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7">
        <f t="shared" si="4"/>
        <v>1912</v>
      </c>
      <c r="BK130" s="38">
        <f t="shared" si="5"/>
        <v>1912</v>
      </c>
    </row>
    <row r="131" spans="2:63" s="300" customFormat="1" ht="24" customHeight="1">
      <c r="B131" s="97">
        <v>117</v>
      </c>
      <c r="C131" s="306" t="s">
        <v>39</v>
      </c>
      <c r="D131" s="307">
        <v>30282572</v>
      </c>
      <c r="E131" s="308" t="s">
        <v>1527</v>
      </c>
      <c r="F131" s="165" t="s">
        <v>47</v>
      </c>
      <c r="G131" s="27" t="s">
        <v>1368</v>
      </c>
      <c r="H131" s="319" t="s">
        <v>1441</v>
      </c>
      <c r="I131" s="168" t="s">
        <v>52</v>
      </c>
      <c r="J131" s="310">
        <v>29892</v>
      </c>
      <c r="K131" s="310">
        <v>0</v>
      </c>
      <c r="L131" s="310">
        <v>29891</v>
      </c>
      <c r="M131" s="310"/>
      <c r="N131" s="310"/>
      <c r="O131" s="310"/>
      <c r="P131" s="310"/>
      <c r="Q131" s="310"/>
      <c r="R131" s="310"/>
      <c r="S131" s="310"/>
      <c r="T131" s="310"/>
      <c r="U131" s="310"/>
      <c r="V131" s="310"/>
      <c r="W131" s="310"/>
      <c r="X131" s="310"/>
      <c r="Y131" s="31">
        <f t="shared" si="3"/>
        <v>0</v>
      </c>
      <c r="Z131" s="311">
        <v>1</v>
      </c>
      <c r="AA131" s="312">
        <v>9</v>
      </c>
      <c r="AB131" s="313">
        <v>44279</v>
      </c>
      <c r="AC131" s="313">
        <v>44309</v>
      </c>
      <c r="AD131" s="311"/>
      <c r="AE131" s="318"/>
      <c r="AF131" s="316"/>
      <c r="AG131" s="313"/>
      <c r="AH131" s="311"/>
      <c r="AI131" s="312"/>
      <c r="AJ131" s="316"/>
      <c r="AK131" s="315"/>
      <c r="AL131" s="311"/>
      <c r="AM131" s="312"/>
      <c r="AN131" s="316"/>
      <c r="AO131" s="315"/>
      <c r="AP131" s="311"/>
      <c r="AQ131" s="312"/>
      <c r="AR131" s="316"/>
      <c r="AS131" s="315"/>
      <c r="AT131" s="315"/>
      <c r="AU131" s="315"/>
      <c r="AV131" s="315"/>
      <c r="AW131" s="315"/>
      <c r="AX131" s="315"/>
      <c r="AY131" s="315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7">
        <f t="shared" si="4"/>
        <v>1</v>
      </c>
      <c r="BK131" s="38">
        <f t="shared" si="5"/>
        <v>1</v>
      </c>
    </row>
    <row r="132" spans="2:63" s="300" customFormat="1" ht="24" customHeight="1">
      <c r="B132" s="306">
        <v>118</v>
      </c>
      <c r="C132" s="306" t="s">
        <v>39</v>
      </c>
      <c r="D132" s="307">
        <v>30288924</v>
      </c>
      <c r="E132" s="308" t="s">
        <v>1528</v>
      </c>
      <c r="F132" s="165" t="s">
        <v>51</v>
      </c>
      <c r="G132" s="27" t="s">
        <v>1368</v>
      </c>
      <c r="H132" s="319" t="s">
        <v>1519</v>
      </c>
      <c r="I132" s="168" t="s">
        <v>52</v>
      </c>
      <c r="J132" s="310">
        <v>1910085</v>
      </c>
      <c r="K132" s="310">
        <v>0</v>
      </c>
      <c r="L132" s="310">
        <v>1910084</v>
      </c>
      <c r="M132" s="310"/>
      <c r="N132" s="310"/>
      <c r="O132" s="310"/>
      <c r="P132" s="310"/>
      <c r="Q132" s="310"/>
      <c r="R132" s="310"/>
      <c r="S132" s="310"/>
      <c r="T132" s="310"/>
      <c r="U132" s="310"/>
      <c r="V132" s="310"/>
      <c r="W132" s="310"/>
      <c r="X132" s="310"/>
      <c r="Y132" s="31">
        <f t="shared" si="3"/>
        <v>0</v>
      </c>
      <c r="Z132" s="311">
        <v>1</v>
      </c>
      <c r="AA132" s="312">
        <v>9</v>
      </c>
      <c r="AB132" s="313">
        <v>44279</v>
      </c>
      <c r="AC132" s="313">
        <v>44309</v>
      </c>
      <c r="AD132" s="311"/>
      <c r="AE132" s="318"/>
      <c r="AF132" s="316"/>
      <c r="AG132" s="313"/>
      <c r="AH132" s="311"/>
      <c r="AI132" s="312"/>
      <c r="AJ132" s="316"/>
      <c r="AK132" s="315"/>
      <c r="AL132" s="311"/>
      <c r="AM132" s="312"/>
      <c r="AN132" s="316"/>
      <c r="AO132" s="315"/>
      <c r="AP132" s="311"/>
      <c r="AQ132" s="312"/>
      <c r="AR132" s="316"/>
      <c r="AS132" s="315"/>
      <c r="AT132" s="315"/>
      <c r="AU132" s="315"/>
      <c r="AV132" s="315"/>
      <c r="AW132" s="315"/>
      <c r="AX132" s="315"/>
      <c r="AY132" s="315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7">
        <f t="shared" si="4"/>
        <v>1</v>
      </c>
      <c r="BK132" s="38">
        <f t="shared" si="5"/>
        <v>1</v>
      </c>
    </row>
    <row r="133" spans="2:63" s="300" customFormat="1" ht="24" customHeight="1">
      <c r="B133" s="97">
        <v>119</v>
      </c>
      <c r="C133" s="306" t="s">
        <v>39</v>
      </c>
      <c r="D133" s="307">
        <v>30289024</v>
      </c>
      <c r="E133" s="308" t="s">
        <v>1529</v>
      </c>
      <c r="F133" s="165" t="s">
        <v>47</v>
      </c>
      <c r="G133" s="27" t="s">
        <v>1368</v>
      </c>
      <c r="H133" s="319" t="s">
        <v>1408</v>
      </c>
      <c r="I133" s="168" t="s">
        <v>52</v>
      </c>
      <c r="J133" s="310">
        <v>48631</v>
      </c>
      <c r="K133" s="310">
        <v>0</v>
      </c>
      <c r="L133" s="310">
        <v>48629</v>
      </c>
      <c r="M133" s="310"/>
      <c r="N133" s="310"/>
      <c r="O133" s="310"/>
      <c r="P133" s="310"/>
      <c r="Q133" s="310"/>
      <c r="R133" s="310"/>
      <c r="S133" s="310"/>
      <c r="T133" s="310"/>
      <c r="U133" s="310"/>
      <c r="V133" s="310"/>
      <c r="W133" s="310"/>
      <c r="X133" s="310"/>
      <c r="Y133" s="31">
        <f t="shared" si="3"/>
        <v>0</v>
      </c>
      <c r="Z133" s="311">
        <v>2</v>
      </c>
      <c r="AA133" s="312">
        <v>9</v>
      </c>
      <c r="AB133" s="313">
        <v>44279</v>
      </c>
      <c r="AC133" s="313">
        <v>44309</v>
      </c>
      <c r="AD133" s="311"/>
      <c r="AE133" s="318"/>
      <c r="AF133" s="316"/>
      <c r="AG133" s="313"/>
      <c r="AH133" s="311"/>
      <c r="AI133" s="312"/>
      <c r="AJ133" s="316"/>
      <c r="AK133" s="315"/>
      <c r="AL133" s="311"/>
      <c r="AM133" s="312"/>
      <c r="AN133" s="316"/>
      <c r="AO133" s="315"/>
      <c r="AP133" s="311"/>
      <c r="AQ133" s="312"/>
      <c r="AR133" s="316"/>
      <c r="AS133" s="315"/>
      <c r="AT133" s="315"/>
      <c r="AU133" s="315"/>
      <c r="AV133" s="315"/>
      <c r="AW133" s="315"/>
      <c r="AX133" s="315"/>
      <c r="AY133" s="315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7">
        <f t="shared" si="4"/>
        <v>2</v>
      </c>
      <c r="BK133" s="38">
        <f t="shared" si="5"/>
        <v>2</v>
      </c>
    </row>
    <row r="134" spans="2:63" s="300" customFormat="1" ht="24" customHeight="1">
      <c r="B134" s="97">
        <v>120</v>
      </c>
      <c r="C134" s="306" t="s">
        <v>39</v>
      </c>
      <c r="D134" s="307">
        <v>30479853</v>
      </c>
      <c r="E134" s="308" t="s">
        <v>1530</v>
      </c>
      <c r="F134" s="165" t="s">
        <v>51</v>
      </c>
      <c r="G134" s="27" t="s">
        <v>1368</v>
      </c>
      <c r="H134" s="319" t="s">
        <v>1473</v>
      </c>
      <c r="I134" s="168" t="s">
        <v>52</v>
      </c>
      <c r="J134" s="310">
        <v>628670</v>
      </c>
      <c r="K134" s="310">
        <v>0</v>
      </c>
      <c r="L134" s="310">
        <v>628668</v>
      </c>
      <c r="M134" s="310"/>
      <c r="N134" s="310"/>
      <c r="O134" s="310"/>
      <c r="P134" s="310"/>
      <c r="Q134" s="310"/>
      <c r="R134" s="310"/>
      <c r="S134" s="310"/>
      <c r="T134" s="310"/>
      <c r="U134" s="310"/>
      <c r="V134" s="310"/>
      <c r="W134" s="310"/>
      <c r="X134" s="310"/>
      <c r="Y134" s="31">
        <f t="shared" si="3"/>
        <v>0</v>
      </c>
      <c r="Z134" s="311">
        <v>2</v>
      </c>
      <c r="AA134" s="312">
        <v>9</v>
      </c>
      <c r="AB134" s="313">
        <v>44279</v>
      </c>
      <c r="AC134" s="313">
        <v>44309</v>
      </c>
      <c r="AD134" s="311"/>
      <c r="AE134" s="318"/>
      <c r="AF134" s="316"/>
      <c r="AG134" s="313"/>
      <c r="AH134" s="311"/>
      <c r="AI134" s="312"/>
      <c r="AJ134" s="316"/>
      <c r="AK134" s="315"/>
      <c r="AL134" s="311"/>
      <c r="AM134" s="312"/>
      <c r="AN134" s="316"/>
      <c r="AO134" s="315"/>
      <c r="AP134" s="311"/>
      <c r="AQ134" s="312"/>
      <c r="AR134" s="316"/>
      <c r="AS134" s="315"/>
      <c r="AT134" s="315"/>
      <c r="AU134" s="315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7">
        <f t="shared" si="4"/>
        <v>2</v>
      </c>
      <c r="BK134" s="38">
        <f t="shared" si="5"/>
        <v>2</v>
      </c>
    </row>
    <row r="135" spans="2:63" s="300" customFormat="1" ht="24" customHeight="1">
      <c r="B135" s="306">
        <v>121</v>
      </c>
      <c r="C135" s="306" t="s">
        <v>39</v>
      </c>
      <c r="D135" s="307">
        <v>30480657</v>
      </c>
      <c r="E135" s="308" t="s">
        <v>1531</v>
      </c>
      <c r="F135" s="165" t="s">
        <v>47</v>
      </c>
      <c r="G135" s="27" t="s">
        <v>1368</v>
      </c>
      <c r="H135" s="319" t="s">
        <v>1371</v>
      </c>
      <c r="I135" s="168" t="s">
        <v>52</v>
      </c>
      <c r="J135" s="310">
        <v>124168</v>
      </c>
      <c r="K135" s="310">
        <v>0</v>
      </c>
      <c r="L135" s="310">
        <v>124166</v>
      </c>
      <c r="M135" s="310"/>
      <c r="N135" s="310"/>
      <c r="O135" s="310"/>
      <c r="P135" s="310"/>
      <c r="Q135" s="310"/>
      <c r="R135" s="310"/>
      <c r="S135" s="310"/>
      <c r="T135" s="310"/>
      <c r="U135" s="310"/>
      <c r="V135" s="310"/>
      <c r="W135" s="310"/>
      <c r="X135" s="310"/>
      <c r="Y135" s="31">
        <f t="shared" si="3"/>
        <v>0</v>
      </c>
      <c r="Z135" s="311">
        <v>2</v>
      </c>
      <c r="AA135" s="312">
        <v>9</v>
      </c>
      <c r="AB135" s="313">
        <v>44279</v>
      </c>
      <c r="AC135" s="313">
        <v>44309</v>
      </c>
      <c r="AD135" s="311"/>
      <c r="AE135" s="318"/>
      <c r="AF135" s="316"/>
      <c r="AG135" s="313"/>
      <c r="AH135" s="311"/>
      <c r="AI135" s="312"/>
      <c r="AJ135" s="316"/>
      <c r="AK135" s="315"/>
      <c r="AL135" s="311"/>
      <c r="AM135" s="312"/>
      <c r="AN135" s="316"/>
      <c r="AO135" s="315"/>
      <c r="AP135" s="311"/>
      <c r="AQ135" s="312"/>
      <c r="AR135" s="316"/>
      <c r="AS135" s="315"/>
      <c r="AT135" s="315"/>
      <c r="AU135" s="315"/>
      <c r="AV135" s="315"/>
      <c r="AW135" s="315"/>
      <c r="AX135" s="315"/>
      <c r="AY135" s="315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7">
        <f t="shared" si="4"/>
        <v>2</v>
      </c>
      <c r="BK135" s="38">
        <f t="shared" si="5"/>
        <v>2</v>
      </c>
    </row>
    <row r="136" spans="2:63" s="300" customFormat="1" ht="24" customHeight="1">
      <c r="B136" s="97">
        <v>122</v>
      </c>
      <c r="C136" s="306" t="s">
        <v>65</v>
      </c>
      <c r="D136" s="307">
        <v>30480711</v>
      </c>
      <c r="E136" s="308" t="s">
        <v>1532</v>
      </c>
      <c r="F136" s="165" t="s">
        <v>51</v>
      </c>
      <c r="G136" s="27" t="s">
        <v>1368</v>
      </c>
      <c r="H136" s="319" t="s">
        <v>1479</v>
      </c>
      <c r="I136" s="168" t="s">
        <v>52</v>
      </c>
      <c r="J136" s="310">
        <v>158867</v>
      </c>
      <c r="K136" s="310">
        <v>0</v>
      </c>
      <c r="L136" s="310">
        <v>158866</v>
      </c>
      <c r="M136" s="310"/>
      <c r="N136" s="310"/>
      <c r="O136" s="310"/>
      <c r="P136" s="310"/>
      <c r="Q136" s="310"/>
      <c r="R136" s="310"/>
      <c r="S136" s="310"/>
      <c r="T136" s="310"/>
      <c r="U136" s="310"/>
      <c r="V136" s="310"/>
      <c r="W136" s="310"/>
      <c r="X136" s="310"/>
      <c r="Y136" s="31">
        <f t="shared" si="3"/>
        <v>0</v>
      </c>
      <c r="Z136" s="311">
        <v>1</v>
      </c>
      <c r="AA136" s="312">
        <v>9</v>
      </c>
      <c r="AB136" s="313">
        <v>44279</v>
      </c>
      <c r="AC136" s="313">
        <v>44309</v>
      </c>
      <c r="AD136" s="311"/>
      <c r="AE136" s="318"/>
      <c r="AF136" s="316"/>
      <c r="AG136" s="313"/>
      <c r="AH136" s="311"/>
      <c r="AI136" s="312"/>
      <c r="AJ136" s="316"/>
      <c r="AK136" s="315"/>
      <c r="AL136" s="311"/>
      <c r="AM136" s="312"/>
      <c r="AN136" s="316"/>
      <c r="AO136" s="315"/>
      <c r="AP136" s="311"/>
      <c r="AQ136" s="312"/>
      <c r="AR136" s="316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7">
        <f t="shared" si="4"/>
        <v>1</v>
      </c>
      <c r="BK136" s="38">
        <f t="shared" si="5"/>
        <v>1</v>
      </c>
    </row>
    <row r="137" spans="2:63" s="300" customFormat="1" ht="24" customHeight="1">
      <c r="B137" s="97">
        <v>123</v>
      </c>
      <c r="C137" s="306" t="s">
        <v>39</v>
      </c>
      <c r="D137" s="307">
        <v>30481078</v>
      </c>
      <c r="E137" s="308" t="s">
        <v>1533</v>
      </c>
      <c r="F137" s="165" t="s">
        <v>51</v>
      </c>
      <c r="G137" s="27" t="s">
        <v>1368</v>
      </c>
      <c r="H137" s="319" t="s">
        <v>1391</v>
      </c>
      <c r="I137" s="168" t="s">
        <v>52</v>
      </c>
      <c r="J137" s="310">
        <v>1036120</v>
      </c>
      <c r="K137" s="310">
        <v>0</v>
      </c>
      <c r="L137" s="310">
        <v>1036118</v>
      </c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">
        <f t="shared" si="3"/>
        <v>0</v>
      </c>
      <c r="Z137" s="311">
        <v>2</v>
      </c>
      <c r="AA137" s="312">
        <v>9</v>
      </c>
      <c r="AB137" s="313">
        <v>44279</v>
      </c>
      <c r="AC137" s="313">
        <v>44309</v>
      </c>
      <c r="AD137" s="311"/>
      <c r="AE137" s="318"/>
      <c r="AF137" s="316"/>
      <c r="AG137" s="313"/>
      <c r="AH137" s="311"/>
      <c r="AI137" s="312"/>
      <c r="AJ137" s="316"/>
      <c r="AK137" s="315"/>
      <c r="AL137" s="311"/>
      <c r="AM137" s="312"/>
      <c r="AN137" s="316"/>
      <c r="AO137" s="315"/>
      <c r="AP137" s="311"/>
      <c r="AQ137" s="312"/>
      <c r="AR137" s="316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7">
        <f t="shared" si="4"/>
        <v>2</v>
      </c>
      <c r="BK137" s="38">
        <f t="shared" si="5"/>
        <v>2</v>
      </c>
    </row>
    <row r="138" spans="2:63" s="300" customFormat="1" ht="24" customHeight="1">
      <c r="B138" s="306">
        <v>124</v>
      </c>
      <c r="C138" s="306" t="s">
        <v>65</v>
      </c>
      <c r="D138" s="307">
        <v>40002038</v>
      </c>
      <c r="E138" s="308" t="s">
        <v>1534</v>
      </c>
      <c r="F138" s="165" t="s">
        <v>51</v>
      </c>
      <c r="G138" s="27" t="s">
        <v>1368</v>
      </c>
      <c r="H138" s="319" t="s">
        <v>1461</v>
      </c>
      <c r="I138" s="168" t="s">
        <v>52</v>
      </c>
      <c r="J138" s="310">
        <v>251779</v>
      </c>
      <c r="K138" s="310">
        <v>0</v>
      </c>
      <c r="L138" s="310">
        <v>251778</v>
      </c>
      <c r="M138" s="310"/>
      <c r="N138" s="310"/>
      <c r="O138" s="310"/>
      <c r="P138" s="310"/>
      <c r="Q138" s="310"/>
      <c r="R138" s="310"/>
      <c r="S138" s="310"/>
      <c r="T138" s="310"/>
      <c r="U138" s="310"/>
      <c r="V138" s="310"/>
      <c r="W138" s="310"/>
      <c r="X138" s="310"/>
      <c r="Y138" s="31">
        <f t="shared" si="3"/>
        <v>0</v>
      </c>
      <c r="Z138" s="311">
        <v>1</v>
      </c>
      <c r="AA138" s="312">
        <v>9</v>
      </c>
      <c r="AB138" s="313">
        <v>44279</v>
      </c>
      <c r="AC138" s="313">
        <v>44309</v>
      </c>
      <c r="AD138" s="311"/>
      <c r="AE138" s="318"/>
      <c r="AF138" s="316"/>
      <c r="AG138" s="313"/>
      <c r="AH138" s="311"/>
      <c r="AI138" s="312"/>
      <c r="AJ138" s="316"/>
      <c r="AK138" s="315"/>
      <c r="AL138" s="311"/>
      <c r="AM138" s="312"/>
      <c r="AN138" s="316"/>
      <c r="AO138" s="315"/>
      <c r="AP138" s="311"/>
      <c r="AQ138" s="312"/>
      <c r="AR138" s="316"/>
      <c r="AS138" s="315"/>
      <c r="AT138" s="315"/>
      <c r="AU138" s="315"/>
      <c r="AV138" s="315"/>
      <c r="AW138" s="315"/>
      <c r="AX138" s="315"/>
      <c r="AY138" s="315"/>
      <c r="AZ138" s="315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7">
        <f t="shared" si="4"/>
        <v>1</v>
      </c>
      <c r="BK138" s="38">
        <f t="shared" si="5"/>
        <v>1</v>
      </c>
    </row>
    <row r="139" spans="2:63" s="300" customFormat="1" ht="24" customHeight="1">
      <c r="B139" s="97">
        <v>125</v>
      </c>
      <c r="C139" s="306" t="s">
        <v>39</v>
      </c>
      <c r="D139" s="307">
        <v>40002288</v>
      </c>
      <c r="E139" s="308" t="s">
        <v>1535</v>
      </c>
      <c r="F139" s="165" t="s">
        <v>51</v>
      </c>
      <c r="G139" s="27" t="s">
        <v>1368</v>
      </c>
      <c r="H139" s="319" t="s">
        <v>1473</v>
      </c>
      <c r="I139" s="168" t="s">
        <v>52</v>
      </c>
      <c r="J139" s="310">
        <v>831663</v>
      </c>
      <c r="K139" s="310">
        <v>0</v>
      </c>
      <c r="L139" s="310">
        <v>831661</v>
      </c>
      <c r="M139" s="310"/>
      <c r="N139" s="310"/>
      <c r="O139" s="310"/>
      <c r="P139" s="310"/>
      <c r="Q139" s="310"/>
      <c r="R139" s="310"/>
      <c r="S139" s="310"/>
      <c r="T139" s="310"/>
      <c r="U139" s="310"/>
      <c r="V139" s="310"/>
      <c r="W139" s="310"/>
      <c r="X139" s="310"/>
      <c r="Y139" s="31">
        <f t="shared" si="3"/>
        <v>0</v>
      </c>
      <c r="Z139" s="311">
        <v>2</v>
      </c>
      <c r="AA139" s="312">
        <v>9</v>
      </c>
      <c r="AB139" s="313">
        <v>44279</v>
      </c>
      <c r="AC139" s="313">
        <v>44309</v>
      </c>
      <c r="AD139" s="311"/>
      <c r="AE139" s="318"/>
      <c r="AF139" s="316"/>
      <c r="AG139" s="313"/>
      <c r="AH139" s="311"/>
      <c r="AI139" s="312"/>
      <c r="AJ139" s="316"/>
      <c r="AK139" s="315"/>
      <c r="AL139" s="311"/>
      <c r="AM139" s="312"/>
      <c r="AN139" s="316"/>
      <c r="AO139" s="315"/>
      <c r="AP139" s="311"/>
      <c r="AQ139" s="312"/>
      <c r="AR139" s="316"/>
      <c r="AS139" s="315"/>
      <c r="AT139" s="315"/>
      <c r="AU139" s="315"/>
      <c r="AV139" s="315"/>
      <c r="AW139" s="315"/>
      <c r="AX139" s="315"/>
      <c r="AY139" s="315"/>
      <c r="AZ139" s="315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7">
        <f t="shared" si="4"/>
        <v>2</v>
      </c>
      <c r="BK139" s="38">
        <f t="shared" si="5"/>
        <v>2</v>
      </c>
    </row>
    <row r="140" spans="2:63" s="300" customFormat="1" ht="24" customHeight="1">
      <c r="B140" s="97">
        <v>126</v>
      </c>
      <c r="C140" s="306" t="s">
        <v>65</v>
      </c>
      <c r="D140" s="307">
        <v>40009216</v>
      </c>
      <c r="E140" s="308" t="s">
        <v>1536</v>
      </c>
      <c r="F140" s="165" t="s">
        <v>51</v>
      </c>
      <c r="G140" s="27" t="s">
        <v>1368</v>
      </c>
      <c r="H140" s="319" t="s">
        <v>1373</v>
      </c>
      <c r="I140" s="168" t="s">
        <v>52</v>
      </c>
      <c r="J140" s="310">
        <v>1100243</v>
      </c>
      <c r="K140" s="310">
        <v>0</v>
      </c>
      <c r="L140" s="310">
        <v>1100241</v>
      </c>
      <c r="M140" s="310"/>
      <c r="N140" s="310"/>
      <c r="O140" s="310"/>
      <c r="P140" s="310"/>
      <c r="Q140" s="310"/>
      <c r="R140" s="310"/>
      <c r="S140" s="310"/>
      <c r="T140" s="310"/>
      <c r="U140" s="310"/>
      <c r="V140" s="310"/>
      <c r="W140" s="310"/>
      <c r="X140" s="310"/>
      <c r="Y140" s="31">
        <f t="shared" si="3"/>
        <v>0</v>
      </c>
      <c r="Z140" s="311">
        <v>2</v>
      </c>
      <c r="AA140" s="312">
        <v>9</v>
      </c>
      <c r="AB140" s="313">
        <v>44279</v>
      </c>
      <c r="AC140" s="313">
        <v>44309</v>
      </c>
      <c r="AD140" s="311"/>
      <c r="AE140" s="318"/>
      <c r="AF140" s="316"/>
      <c r="AG140" s="313"/>
      <c r="AH140" s="311"/>
      <c r="AI140" s="312"/>
      <c r="AJ140" s="316"/>
      <c r="AK140" s="315"/>
      <c r="AL140" s="311"/>
      <c r="AM140" s="312"/>
      <c r="AN140" s="316"/>
      <c r="AO140" s="315"/>
      <c r="AP140" s="311"/>
      <c r="AQ140" s="312"/>
      <c r="AR140" s="316"/>
      <c r="AS140" s="315"/>
      <c r="AT140" s="315"/>
      <c r="AU140" s="315"/>
      <c r="AV140" s="315"/>
      <c r="AW140" s="315"/>
      <c r="AX140" s="315"/>
      <c r="AY140" s="315"/>
      <c r="AZ140" s="315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7">
        <f t="shared" si="4"/>
        <v>2</v>
      </c>
      <c r="BK140" s="38">
        <f t="shared" si="5"/>
        <v>2</v>
      </c>
    </row>
    <row r="141" spans="2:63" s="300" customFormat="1" ht="24" customHeight="1">
      <c r="B141" s="306">
        <v>127</v>
      </c>
      <c r="C141" s="321" t="s">
        <v>39</v>
      </c>
      <c r="D141" s="307">
        <v>40020632</v>
      </c>
      <c r="E141" s="308" t="s">
        <v>1537</v>
      </c>
      <c r="F141" s="165" t="s">
        <v>47</v>
      </c>
      <c r="G141" s="27" t="s">
        <v>1368</v>
      </c>
      <c r="H141" s="319" t="s">
        <v>1461</v>
      </c>
      <c r="I141" s="168" t="s">
        <v>52</v>
      </c>
      <c r="J141" s="310">
        <v>80200</v>
      </c>
      <c r="K141" s="310">
        <v>0</v>
      </c>
      <c r="L141" s="310">
        <v>80199</v>
      </c>
      <c r="M141" s="310"/>
      <c r="N141" s="310"/>
      <c r="O141" s="310"/>
      <c r="P141" s="310"/>
      <c r="Q141" s="310"/>
      <c r="R141" s="310"/>
      <c r="S141" s="310"/>
      <c r="T141" s="310"/>
      <c r="U141" s="310"/>
      <c r="V141" s="310"/>
      <c r="W141" s="310"/>
      <c r="X141" s="310"/>
      <c r="Y141" s="31">
        <f t="shared" si="3"/>
        <v>0</v>
      </c>
      <c r="Z141" s="311">
        <v>1</v>
      </c>
      <c r="AA141" s="312">
        <v>9</v>
      </c>
      <c r="AB141" s="313">
        <v>44279</v>
      </c>
      <c r="AC141" s="313">
        <v>44309</v>
      </c>
      <c r="AD141" s="311"/>
      <c r="AE141" s="318"/>
      <c r="AF141" s="316"/>
      <c r="AG141" s="313"/>
      <c r="AH141" s="311"/>
      <c r="AI141" s="312"/>
      <c r="AJ141" s="316"/>
      <c r="AK141" s="315"/>
      <c r="AL141" s="311"/>
      <c r="AM141" s="312"/>
      <c r="AN141" s="316"/>
      <c r="AO141" s="315"/>
      <c r="AP141" s="311"/>
      <c r="AQ141" s="312"/>
      <c r="AR141" s="316"/>
      <c r="AS141" s="315"/>
      <c r="AT141" s="315"/>
      <c r="AU141" s="315"/>
      <c r="AV141" s="315"/>
      <c r="AW141" s="315"/>
      <c r="AX141" s="315"/>
      <c r="AY141" s="315"/>
      <c r="AZ141" s="315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7">
        <f t="shared" si="4"/>
        <v>1</v>
      </c>
      <c r="BK141" s="38">
        <f t="shared" si="5"/>
        <v>1</v>
      </c>
    </row>
    <row r="142" spans="2:63" s="300" customFormat="1" ht="24" customHeight="1">
      <c r="B142" s="97">
        <v>128</v>
      </c>
      <c r="C142" s="321" t="s">
        <v>39</v>
      </c>
      <c r="D142" s="307">
        <v>40020879</v>
      </c>
      <c r="E142" s="308" t="s">
        <v>1538</v>
      </c>
      <c r="F142" s="165" t="s">
        <v>51</v>
      </c>
      <c r="G142" s="27" t="s">
        <v>1368</v>
      </c>
      <c r="H142" s="319" t="s">
        <v>1379</v>
      </c>
      <c r="I142" s="168" t="s">
        <v>52</v>
      </c>
      <c r="J142" s="310">
        <v>706117</v>
      </c>
      <c r="K142" s="310">
        <v>0</v>
      </c>
      <c r="L142" s="310">
        <v>706113</v>
      </c>
      <c r="M142" s="310"/>
      <c r="N142" s="310"/>
      <c r="O142" s="310"/>
      <c r="P142" s="310"/>
      <c r="Q142" s="310"/>
      <c r="R142" s="310"/>
      <c r="S142" s="310"/>
      <c r="T142" s="310"/>
      <c r="U142" s="310"/>
      <c r="V142" s="310"/>
      <c r="W142" s="310"/>
      <c r="X142" s="310"/>
      <c r="Y142" s="31">
        <f t="shared" si="3"/>
        <v>0</v>
      </c>
      <c r="Z142" s="311">
        <v>4</v>
      </c>
      <c r="AA142" s="312">
        <v>9</v>
      </c>
      <c r="AB142" s="313">
        <v>44279</v>
      </c>
      <c r="AC142" s="313">
        <v>44309</v>
      </c>
      <c r="AD142" s="311"/>
      <c r="AE142" s="318"/>
      <c r="AF142" s="316"/>
      <c r="AG142" s="313"/>
      <c r="AH142" s="311"/>
      <c r="AI142" s="312"/>
      <c r="AJ142" s="316"/>
      <c r="AK142" s="315"/>
      <c r="AL142" s="311"/>
      <c r="AM142" s="312"/>
      <c r="AN142" s="316"/>
      <c r="AO142" s="315"/>
      <c r="AP142" s="311"/>
      <c r="AQ142" s="312"/>
      <c r="AR142" s="316"/>
      <c r="AS142" s="315"/>
      <c r="AT142" s="315"/>
      <c r="AU142" s="315"/>
      <c r="AV142" s="315"/>
      <c r="AW142" s="315"/>
      <c r="AX142" s="315"/>
      <c r="AY142" s="315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7">
        <f t="shared" si="4"/>
        <v>4</v>
      </c>
      <c r="BK142" s="38">
        <f t="shared" si="5"/>
        <v>4</v>
      </c>
    </row>
    <row r="143" spans="2:63" s="300" customFormat="1" ht="24" customHeight="1">
      <c r="B143" s="306">
        <v>129</v>
      </c>
      <c r="C143" s="321" t="s">
        <v>39</v>
      </c>
      <c r="D143" s="307">
        <v>30133612</v>
      </c>
      <c r="E143" s="308" t="s">
        <v>1539</v>
      </c>
      <c r="F143" s="165" t="s">
        <v>51</v>
      </c>
      <c r="G143" s="27" t="s">
        <v>1368</v>
      </c>
      <c r="H143" s="319" t="s">
        <v>1381</v>
      </c>
      <c r="I143" s="168" t="s">
        <v>44</v>
      </c>
      <c r="J143" s="310">
        <v>1639105</v>
      </c>
      <c r="K143" s="310">
        <v>1603669</v>
      </c>
      <c r="L143" s="310">
        <v>19</v>
      </c>
      <c r="M143" s="310"/>
      <c r="N143" s="310"/>
      <c r="O143" s="310"/>
      <c r="P143" s="310">
        <v>11187</v>
      </c>
      <c r="Q143" s="310">
        <v>7336</v>
      </c>
      <c r="R143" s="310"/>
      <c r="S143" s="310"/>
      <c r="T143" s="310"/>
      <c r="U143" s="310"/>
      <c r="V143" s="310"/>
      <c r="W143" s="310"/>
      <c r="X143" s="310"/>
      <c r="Y143" s="31">
        <f t="shared" si="3"/>
        <v>18523</v>
      </c>
      <c r="Z143" s="311">
        <v>35417</v>
      </c>
      <c r="AA143" s="312">
        <v>12</v>
      </c>
      <c r="AB143" s="313">
        <v>44290</v>
      </c>
      <c r="AC143" s="313">
        <v>44313</v>
      </c>
      <c r="AD143" s="311"/>
      <c r="AE143" s="318"/>
      <c r="AF143" s="316"/>
      <c r="AG143" s="313"/>
      <c r="AH143" s="311"/>
      <c r="AI143" s="312"/>
      <c r="AJ143" s="316"/>
      <c r="AK143" s="315"/>
      <c r="AL143" s="311"/>
      <c r="AM143" s="312"/>
      <c r="AN143" s="316"/>
      <c r="AO143" s="315"/>
      <c r="AP143" s="311"/>
      <c r="AQ143" s="312"/>
      <c r="AR143" s="316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7">
        <f t="shared" si="4"/>
        <v>35417</v>
      </c>
      <c r="BK143" s="38">
        <f t="shared" si="5"/>
        <v>16894</v>
      </c>
    </row>
    <row r="144" spans="2:63" s="300" customFormat="1" ht="24" customHeight="1">
      <c r="B144" s="306">
        <v>130</v>
      </c>
      <c r="C144" s="321" t="s">
        <v>39</v>
      </c>
      <c r="D144" s="307">
        <v>30242122</v>
      </c>
      <c r="E144" s="308" t="s">
        <v>1540</v>
      </c>
      <c r="F144" s="165" t="s">
        <v>47</v>
      </c>
      <c r="G144" s="27" t="s">
        <v>1368</v>
      </c>
      <c r="H144" s="319" t="s">
        <v>1441</v>
      </c>
      <c r="I144" s="168" t="s">
        <v>52</v>
      </c>
      <c r="J144" s="310">
        <v>64171</v>
      </c>
      <c r="K144" s="310">
        <v>0</v>
      </c>
      <c r="L144" s="310">
        <v>64169</v>
      </c>
      <c r="M144" s="310"/>
      <c r="N144" s="310"/>
      <c r="O144" s="310"/>
      <c r="P144" s="310"/>
      <c r="Q144" s="310"/>
      <c r="R144" s="310"/>
      <c r="S144" s="310"/>
      <c r="T144" s="310"/>
      <c r="U144" s="310"/>
      <c r="V144" s="310"/>
      <c r="W144" s="310"/>
      <c r="X144" s="310"/>
      <c r="Y144" s="31">
        <f t="shared" si="3"/>
        <v>0</v>
      </c>
      <c r="Z144" s="311">
        <v>2</v>
      </c>
      <c r="AA144" s="312">
        <v>12</v>
      </c>
      <c r="AB144" s="313">
        <v>44290</v>
      </c>
      <c r="AC144" s="313">
        <v>44313</v>
      </c>
      <c r="AD144" s="311">
        <v>2517</v>
      </c>
      <c r="AE144" s="318">
        <v>42</v>
      </c>
      <c r="AF144" s="313">
        <v>44432</v>
      </c>
      <c r="AG144" s="313">
        <v>44449</v>
      </c>
      <c r="AH144" s="311"/>
      <c r="AI144" s="312"/>
      <c r="AJ144" s="316"/>
      <c r="AK144" s="315"/>
      <c r="AL144" s="311"/>
      <c r="AM144" s="312"/>
      <c r="AN144" s="316"/>
      <c r="AO144" s="315"/>
      <c r="AP144" s="311"/>
      <c r="AQ144" s="312"/>
      <c r="AR144" s="316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7">
        <f t="shared" si="4"/>
        <v>2519</v>
      </c>
      <c r="BK144" s="38">
        <f t="shared" si="5"/>
        <v>2519</v>
      </c>
    </row>
    <row r="145" spans="2:63" s="300" customFormat="1" ht="24" customHeight="1">
      <c r="B145" s="97">
        <v>131</v>
      </c>
      <c r="C145" s="321" t="s">
        <v>39</v>
      </c>
      <c r="D145" s="307">
        <v>30249422</v>
      </c>
      <c r="E145" s="308" t="s">
        <v>1541</v>
      </c>
      <c r="F145" s="165" t="s">
        <v>47</v>
      </c>
      <c r="G145" s="27" t="s">
        <v>1368</v>
      </c>
      <c r="H145" s="319" t="s">
        <v>1385</v>
      </c>
      <c r="I145" s="168" t="s">
        <v>44</v>
      </c>
      <c r="J145" s="310">
        <v>54862</v>
      </c>
      <c r="K145" s="310">
        <v>22952</v>
      </c>
      <c r="L145" s="310">
        <v>31909</v>
      </c>
      <c r="M145" s="310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">
        <f t="shared" ref="Y145:Y175" si="6">SUM(M145:X145)</f>
        <v>0</v>
      </c>
      <c r="Z145" s="311">
        <v>1</v>
      </c>
      <c r="AA145" s="312">
        <v>12</v>
      </c>
      <c r="AB145" s="313">
        <v>44290</v>
      </c>
      <c r="AC145" s="313">
        <v>44313</v>
      </c>
      <c r="AD145" s="311"/>
      <c r="AE145" s="318"/>
      <c r="AF145" s="316"/>
      <c r="AG145" s="313"/>
      <c r="AH145" s="311"/>
      <c r="AI145" s="312"/>
      <c r="AJ145" s="316"/>
      <c r="AK145" s="315"/>
      <c r="AL145" s="311"/>
      <c r="AM145" s="312"/>
      <c r="AN145" s="316"/>
      <c r="AO145" s="315"/>
      <c r="AP145" s="311"/>
      <c r="AQ145" s="312"/>
      <c r="AR145" s="316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7">
        <f t="shared" ref="BJ145:BJ175" si="7">+Z145+AD145+AH145+AL145+AP145+AT145+AX145+BB145+BF145</f>
        <v>1</v>
      </c>
      <c r="BK145" s="38">
        <f t="shared" ref="BK145:BK174" si="8">+BJ145-Y145</f>
        <v>1</v>
      </c>
    </row>
    <row r="146" spans="2:63" s="300" customFormat="1" ht="24" customHeight="1">
      <c r="B146" s="306">
        <v>132</v>
      </c>
      <c r="C146" s="321" t="s">
        <v>39</v>
      </c>
      <c r="D146" s="307">
        <v>30275622</v>
      </c>
      <c r="E146" s="308" t="s">
        <v>1542</v>
      </c>
      <c r="F146" s="165" t="s">
        <v>51</v>
      </c>
      <c r="G146" s="27" t="s">
        <v>1368</v>
      </c>
      <c r="H146" s="319" t="s">
        <v>1423</v>
      </c>
      <c r="I146" s="168" t="s">
        <v>44</v>
      </c>
      <c r="J146" s="310">
        <v>389504</v>
      </c>
      <c r="K146" s="310">
        <v>280460</v>
      </c>
      <c r="L146" s="310">
        <v>109043</v>
      </c>
      <c r="M146" s="310"/>
      <c r="N146" s="310"/>
      <c r="O146" s="310"/>
      <c r="P146" s="310"/>
      <c r="Q146" s="310"/>
      <c r="R146" s="310"/>
      <c r="S146" s="310"/>
      <c r="T146" s="310"/>
      <c r="U146" s="310"/>
      <c r="V146" s="310"/>
      <c r="W146" s="310"/>
      <c r="X146" s="310"/>
      <c r="Y146" s="31">
        <f t="shared" si="6"/>
        <v>0</v>
      </c>
      <c r="Z146" s="311">
        <v>1</v>
      </c>
      <c r="AA146" s="312">
        <v>12</v>
      </c>
      <c r="AB146" s="313">
        <v>44290</v>
      </c>
      <c r="AC146" s="313">
        <v>44313</v>
      </c>
      <c r="AD146" s="311"/>
      <c r="AE146" s="318"/>
      <c r="AF146" s="316"/>
      <c r="AG146" s="313"/>
      <c r="AH146" s="311"/>
      <c r="AI146" s="312"/>
      <c r="AJ146" s="316"/>
      <c r="AK146" s="315"/>
      <c r="AL146" s="311"/>
      <c r="AM146" s="312"/>
      <c r="AN146" s="316"/>
      <c r="AO146" s="315"/>
      <c r="AP146" s="311"/>
      <c r="AQ146" s="312"/>
      <c r="AR146" s="316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7">
        <f t="shared" si="7"/>
        <v>1</v>
      </c>
      <c r="BK146" s="38">
        <f t="shared" si="8"/>
        <v>1</v>
      </c>
    </row>
    <row r="147" spans="2:63" s="300" customFormat="1" ht="24" customHeight="1">
      <c r="B147" s="306">
        <v>133</v>
      </c>
      <c r="C147" s="321" t="s">
        <v>39</v>
      </c>
      <c r="D147" s="307">
        <v>30305272</v>
      </c>
      <c r="E147" s="308" t="s">
        <v>1543</v>
      </c>
      <c r="F147" s="165" t="s">
        <v>47</v>
      </c>
      <c r="G147" s="27" t="s">
        <v>1368</v>
      </c>
      <c r="H147" s="319" t="s">
        <v>1399</v>
      </c>
      <c r="I147" s="168" t="s">
        <v>44</v>
      </c>
      <c r="J147" s="310">
        <v>104248</v>
      </c>
      <c r="K147" s="310">
        <v>38378</v>
      </c>
      <c r="L147" s="310">
        <v>21995</v>
      </c>
      <c r="M147" s="310"/>
      <c r="N147" s="310"/>
      <c r="O147" s="310"/>
      <c r="P147" s="310"/>
      <c r="Q147" s="310"/>
      <c r="R147" s="310"/>
      <c r="S147" s="310"/>
      <c r="T147" s="310"/>
      <c r="U147" s="310"/>
      <c r="V147" s="310"/>
      <c r="W147" s="310"/>
      <c r="X147" s="310"/>
      <c r="Y147" s="31">
        <f t="shared" si="6"/>
        <v>0</v>
      </c>
      <c r="Z147" s="311">
        <v>43875</v>
      </c>
      <c r="AA147" s="312">
        <v>12</v>
      </c>
      <c r="AB147" s="313">
        <v>44290</v>
      </c>
      <c r="AC147" s="313">
        <v>44313</v>
      </c>
      <c r="AD147" s="311"/>
      <c r="AE147" s="318"/>
      <c r="AF147" s="316"/>
      <c r="AG147" s="313"/>
      <c r="AH147" s="311"/>
      <c r="AI147" s="312"/>
      <c r="AJ147" s="316"/>
      <c r="AK147" s="315"/>
      <c r="AL147" s="311"/>
      <c r="AM147" s="312"/>
      <c r="AN147" s="316"/>
      <c r="AO147" s="315"/>
      <c r="AP147" s="311"/>
      <c r="AQ147" s="312"/>
      <c r="AR147" s="316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7">
        <f t="shared" si="7"/>
        <v>43875</v>
      </c>
      <c r="BK147" s="38">
        <f t="shared" si="8"/>
        <v>43875</v>
      </c>
    </row>
    <row r="148" spans="2:63" s="300" customFormat="1" ht="24" customHeight="1">
      <c r="B148" s="97">
        <v>134</v>
      </c>
      <c r="C148" s="321" t="s">
        <v>65</v>
      </c>
      <c r="D148" s="307">
        <v>30488008</v>
      </c>
      <c r="E148" s="308" t="s">
        <v>1544</v>
      </c>
      <c r="F148" s="165" t="s">
        <v>51</v>
      </c>
      <c r="G148" s="27" t="s">
        <v>1368</v>
      </c>
      <c r="H148" s="319" t="s">
        <v>1371</v>
      </c>
      <c r="I148" s="168" t="s">
        <v>52</v>
      </c>
      <c r="J148" s="310">
        <v>190069</v>
      </c>
      <c r="K148" s="310">
        <v>0</v>
      </c>
      <c r="L148" s="310">
        <v>190068</v>
      </c>
      <c r="M148" s="310"/>
      <c r="N148" s="310"/>
      <c r="O148" s="310"/>
      <c r="P148" s="310"/>
      <c r="Q148" s="310"/>
      <c r="R148" s="310"/>
      <c r="S148" s="310"/>
      <c r="T148" s="310"/>
      <c r="U148" s="310"/>
      <c r="V148" s="310"/>
      <c r="W148" s="310"/>
      <c r="X148" s="310"/>
      <c r="Y148" s="31">
        <f t="shared" si="6"/>
        <v>0</v>
      </c>
      <c r="Z148" s="311">
        <v>1</v>
      </c>
      <c r="AA148" s="312">
        <v>12</v>
      </c>
      <c r="AB148" s="313">
        <v>44290</v>
      </c>
      <c r="AC148" s="313">
        <v>44313</v>
      </c>
      <c r="AD148" s="311"/>
      <c r="AE148" s="318"/>
      <c r="AF148" s="316"/>
      <c r="AG148" s="313"/>
      <c r="AH148" s="311"/>
      <c r="AI148" s="312"/>
      <c r="AJ148" s="316"/>
      <c r="AK148" s="315"/>
      <c r="AL148" s="311"/>
      <c r="AM148" s="312"/>
      <c r="AN148" s="316"/>
      <c r="AO148" s="315"/>
      <c r="AP148" s="311"/>
      <c r="AQ148" s="312"/>
      <c r="AR148" s="316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7">
        <f t="shared" si="7"/>
        <v>1</v>
      </c>
      <c r="BK148" s="38">
        <f t="shared" si="8"/>
        <v>1</v>
      </c>
    </row>
    <row r="149" spans="2:63" s="300" customFormat="1" ht="24" customHeight="1">
      <c r="B149" s="306">
        <v>135</v>
      </c>
      <c r="C149" s="321" t="s">
        <v>39</v>
      </c>
      <c r="D149" s="307">
        <v>30448823</v>
      </c>
      <c r="E149" s="308" t="s">
        <v>1545</v>
      </c>
      <c r="F149" s="165" t="s">
        <v>51</v>
      </c>
      <c r="G149" s="27" t="s">
        <v>1368</v>
      </c>
      <c r="H149" s="319" t="s">
        <v>1513</v>
      </c>
      <c r="I149" s="168" t="s">
        <v>52</v>
      </c>
      <c r="J149" s="310">
        <v>622756</v>
      </c>
      <c r="K149" s="310">
        <v>0</v>
      </c>
      <c r="L149" s="310">
        <v>622754</v>
      </c>
      <c r="M149" s="310"/>
      <c r="N149" s="310"/>
      <c r="O149" s="310"/>
      <c r="P149" s="310"/>
      <c r="Q149" s="310"/>
      <c r="R149" s="310"/>
      <c r="S149" s="310"/>
      <c r="T149" s="310"/>
      <c r="U149" s="310"/>
      <c r="V149" s="310"/>
      <c r="W149" s="310"/>
      <c r="X149" s="310"/>
      <c r="Y149" s="31">
        <f t="shared" si="6"/>
        <v>0</v>
      </c>
      <c r="Z149" s="311">
        <v>2</v>
      </c>
      <c r="AA149" s="312">
        <v>12</v>
      </c>
      <c r="AB149" s="313">
        <v>44290</v>
      </c>
      <c r="AC149" s="313">
        <v>44313</v>
      </c>
      <c r="AD149" s="311"/>
      <c r="AE149" s="318"/>
      <c r="AF149" s="316"/>
      <c r="AG149" s="313"/>
      <c r="AH149" s="311"/>
      <c r="AI149" s="312"/>
      <c r="AJ149" s="316"/>
      <c r="AK149" s="315"/>
      <c r="AL149" s="311"/>
      <c r="AM149" s="312"/>
      <c r="AN149" s="316"/>
      <c r="AO149" s="315"/>
      <c r="AP149" s="311"/>
      <c r="AQ149" s="312"/>
      <c r="AR149" s="316"/>
      <c r="AS149" s="315"/>
      <c r="AT149" s="315"/>
      <c r="AU149" s="315"/>
      <c r="AV149" s="315"/>
      <c r="AW149" s="315"/>
      <c r="AX149" s="315"/>
      <c r="AY149" s="315"/>
      <c r="AZ149" s="315"/>
      <c r="BA149" s="315"/>
      <c r="BB149" s="315"/>
      <c r="BC149" s="315"/>
      <c r="BD149" s="315"/>
      <c r="BE149" s="315"/>
      <c r="BF149" s="315"/>
      <c r="BG149" s="315"/>
      <c r="BH149" s="315"/>
      <c r="BI149" s="315"/>
      <c r="BJ149" s="37">
        <f t="shared" si="7"/>
        <v>2</v>
      </c>
      <c r="BK149" s="38">
        <f t="shared" si="8"/>
        <v>2</v>
      </c>
    </row>
    <row r="150" spans="2:63" s="300" customFormat="1" ht="24" customHeight="1">
      <c r="B150" s="306">
        <v>136</v>
      </c>
      <c r="C150" s="321" t="s">
        <v>39</v>
      </c>
      <c r="D150" s="307">
        <v>40025962</v>
      </c>
      <c r="E150" s="308" t="s">
        <v>1546</v>
      </c>
      <c r="F150" s="165" t="s">
        <v>51</v>
      </c>
      <c r="G150" s="27" t="s">
        <v>1368</v>
      </c>
      <c r="H150" s="319" t="s">
        <v>1453</v>
      </c>
      <c r="I150" s="168" t="s">
        <v>52</v>
      </c>
      <c r="J150" s="310">
        <v>1014113</v>
      </c>
      <c r="K150" s="310">
        <v>1014113</v>
      </c>
      <c r="L150" s="310">
        <v>1014112</v>
      </c>
      <c r="M150" s="310"/>
      <c r="N150" s="310"/>
      <c r="O150" s="310"/>
      <c r="P150" s="310"/>
      <c r="Q150" s="310"/>
      <c r="R150" s="310"/>
      <c r="S150" s="310"/>
      <c r="T150" s="310"/>
      <c r="U150" s="310"/>
      <c r="V150" s="310"/>
      <c r="W150" s="310"/>
      <c r="X150" s="310"/>
      <c r="Y150" s="31">
        <f t="shared" si="6"/>
        <v>0</v>
      </c>
      <c r="Z150" s="311">
        <v>1</v>
      </c>
      <c r="AA150" s="312">
        <v>10</v>
      </c>
      <c r="AB150" s="313">
        <v>44284</v>
      </c>
      <c r="AC150" s="313">
        <v>44286</v>
      </c>
      <c r="AD150" s="311">
        <v>499999</v>
      </c>
      <c r="AE150" s="318">
        <v>15</v>
      </c>
      <c r="AF150" s="313">
        <v>44322</v>
      </c>
      <c r="AG150" s="313">
        <v>44343</v>
      </c>
      <c r="AH150" s="311">
        <v>-350000</v>
      </c>
      <c r="AI150" s="312">
        <v>42</v>
      </c>
      <c r="AJ150" s="313">
        <v>44432</v>
      </c>
      <c r="AK150" s="315">
        <v>44449</v>
      </c>
      <c r="AL150" s="311"/>
      <c r="AM150" s="312"/>
      <c r="AN150" s="313"/>
      <c r="AO150" s="315"/>
      <c r="AP150" s="311"/>
      <c r="AQ150" s="312"/>
      <c r="AR150" s="316"/>
      <c r="AS150" s="315"/>
      <c r="AT150" s="315"/>
      <c r="AU150" s="315"/>
      <c r="AV150" s="315"/>
      <c r="AW150" s="315"/>
      <c r="AX150" s="315"/>
      <c r="AY150" s="315"/>
      <c r="AZ150" s="315"/>
      <c r="BA150" s="315"/>
      <c r="BB150" s="315"/>
      <c r="BC150" s="315"/>
      <c r="BD150" s="315"/>
      <c r="BE150" s="315"/>
      <c r="BF150" s="315"/>
      <c r="BG150" s="315"/>
      <c r="BH150" s="315"/>
      <c r="BI150" s="315"/>
      <c r="BJ150" s="37">
        <f t="shared" si="7"/>
        <v>150000</v>
      </c>
      <c r="BK150" s="38">
        <f t="shared" si="8"/>
        <v>150000</v>
      </c>
    </row>
    <row r="151" spans="2:63" s="300" customFormat="1" ht="24" customHeight="1">
      <c r="B151" s="97">
        <v>137</v>
      </c>
      <c r="C151" s="321" t="s">
        <v>39</v>
      </c>
      <c r="D151" s="307">
        <v>40025963</v>
      </c>
      <c r="E151" s="308" t="s">
        <v>1547</v>
      </c>
      <c r="F151" s="165" t="s">
        <v>51</v>
      </c>
      <c r="G151" s="27" t="s">
        <v>1368</v>
      </c>
      <c r="H151" s="319" t="s">
        <v>1453</v>
      </c>
      <c r="I151" s="168" t="s">
        <v>52</v>
      </c>
      <c r="J151" s="310">
        <v>435895</v>
      </c>
      <c r="K151" s="310">
        <v>435895</v>
      </c>
      <c r="L151" s="310">
        <v>435894</v>
      </c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">
        <f t="shared" si="6"/>
        <v>0</v>
      </c>
      <c r="Z151" s="311">
        <v>1</v>
      </c>
      <c r="AA151" s="312">
        <v>10</v>
      </c>
      <c r="AB151" s="313">
        <v>44284</v>
      </c>
      <c r="AC151" s="313">
        <v>44286</v>
      </c>
      <c r="AD151" s="311">
        <v>249999</v>
      </c>
      <c r="AE151" s="318">
        <v>15</v>
      </c>
      <c r="AF151" s="313">
        <v>44322</v>
      </c>
      <c r="AG151" s="313">
        <v>44343</v>
      </c>
      <c r="AH151" s="311">
        <v>-170000</v>
      </c>
      <c r="AI151" s="312">
        <v>42</v>
      </c>
      <c r="AJ151" s="313">
        <v>44432</v>
      </c>
      <c r="AK151" s="315">
        <v>44449</v>
      </c>
      <c r="AL151" s="311"/>
      <c r="AM151" s="312"/>
      <c r="AN151" s="313"/>
      <c r="AO151" s="315"/>
      <c r="AP151" s="311"/>
      <c r="AQ151" s="312"/>
      <c r="AR151" s="316"/>
      <c r="AS151" s="315"/>
      <c r="AT151" s="315"/>
      <c r="AU151" s="315"/>
      <c r="AV151" s="315"/>
      <c r="AW151" s="315"/>
      <c r="AX151" s="315"/>
      <c r="AY151" s="315"/>
      <c r="AZ151" s="315"/>
      <c r="BA151" s="315"/>
      <c r="BB151" s="315"/>
      <c r="BC151" s="315"/>
      <c r="BD151" s="315"/>
      <c r="BE151" s="315"/>
      <c r="BF151" s="315"/>
      <c r="BG151" s="315"/>
      <c r="BH151" s="315"/>
      <c r="BI151" s="315"/>
      <c r="BJ151" s="37">
        <f t="shared" si="7"/>
        <v>80000</v>
      </c>
      <c r="BK151" s="38">
        <f t="shared" si="8"/>
        <v>80000</v>
      </c>
    </row>
    <row r="152" spans="2:63" s="300" customFormat="1" ht="24" customHeight="1">
      <c r="B152" s="306">
        <v>138</v>
      </c>
      <c r="C152" s="321" t="s">
        <v>39</v>
      </c>
      <c r="D152" s="322">
        <v>30208572</v>
      </c>
      <c r="E152" s="308" t="s">
        <v>1548</v>
      </c>
      <c r="F152" s="165" t="s">
        <v>83</v>
      </c>
      <c r="G152" s="27" t="s">
        <v>1368</v>
      </c>
      <c r="H152" s="319"/>
      <c r="I152" s="168" t="s">
        <v>52</v>
      </c>
      <c r="J152" s="310">
        <v>109237</v>
      </c>
      <c r="K152" s="310">
        <v>0</v>
      </c>
      <c r="L152" s="310">
        <v>109235</v>
      </c>
      <c r="M152" s="310"/>
      <c r="N152" s="310"/>
      <c r="O152" s="310"/>
      <c r="P152" s="310"/>
      <c r="Q152" s="310"/>
      <c r="R152" s="310"/>
      <c r="S152" s="310"/>
      <c r="T152" s="310"/>
      <c r="U152" s="310"/>
      <c r="V152" s="310"/>
      <c r="W152" s="310"/>
      <c r="X152" s="310"/>
      <c r="Y152" s="31">
        <f t="shared" si="6"/>
        <v>0</v>
      </c>
      <c r="Z152" s="311">
        <v>2</v>
      </c>
      <c r="AA152" s="312">
        <v>15</v>
      </c>
      <c r="AB152" s="313">
        <v>44322</v>
      </c>
      <c r="AC152" s="313">
        <v>44343</v>
      </c>
      <c r="AD152" s="311">
        <v>3667</v>
      </c>
      <c r="AE152" s="318">
        <v>42</v>
      </c>
      <c r="AF152" s="313">
        <v>44432</v>
      </c>
      <c r="AG152" s="313">
        <v>44449</v>
      </c>
      <c r="AH152" s="311"/>
      <c r="AI152" s="312"/>
      <c r="AJ152" s="316"/>
      <c r="AK152" s="315"/>
      <c r="AL152" s="311"/>
      <c r="AM152" s="312"/>
      <c r="AN152" s="316"/>
      <c r="AO152" s="315"/>
      <c r="AP152" s="311"/>
      <c r="AQ152" s="312"/>
      <c r="AR152" s="316"/>
      <c r="AS152" s="315"/>
      <c r="AT152" s="315"/>
      <c r="AU152" s="315"/>
      <c r="AV152" s="315"/>
      <c r="AW152" s="315"/>
      <c r="AX152" s="315"/>
      <c r="AY152" s="315"/>
      <c r="AZ152" s="315"/>
      <c r="BA152" s="315"/>
      <c r="BB152" s="315"/>
      <c r="BC152" s="315"/>
      <c r="BD152" s="315"/>
      <c r="BE152" s="315"/>
      <c r="BF152" s="315"/>
      <c r="BG152" s="315"/>
      <c r="BH152" s="315"/>
      <c r="BI152" s="315"/>
      <c r="BJ152" s="37">
        <f t="shared" si="7"/>
        <v>3669</v>
      </c>
      <c r="BK152" s="38">
        <f t="shared" si="8"/>
        <v>3669</v>
      </c>
    </row>
    <row r="153" spans="2:63" s="300" customFormat="1" ht="24" customHeight="1">
      <c r="B153" s="306">
        <v>139</v>
      </c>
      <c r="C153" s="321" t="s">
        <v>39</v>
      </c>
      <c r="D153" s="322">
        <v>30370325</v>
      </c>
      <c r="E153" s="308" t="s">
        <v>1549</v>
      </c>
      <c r="F153" s="165" t="s">
        <v>47</v>
      </c>
      <c r="G153" s="27" t="s">
        <v>1368</v>
      </c>
      <c r="H153" s="319" t="s">
        <v>1383</v>
      </c>
      <c r="I153" s="168" t="s">
        <v>44</v>
      </c>
      <c r="J153" s="310">
        <v>249128</v>
      </c>
      <c r="K153" s="310">
        <v>188335</v>
      </c>
      <c r="L153" s="310">
        <v>60792</v>
      </c>
      <c r="M153" s="310"/>
      <c r="N153" s="310"/>
      <c r="O153" s="310"/>
      <c r="P153" s="310"/>
      <c r="Q153" s="310"/>
      <c r="R153" s="310"/>
      <c r="S153" s="310"/>
      <c r="T153" s="310"/>
      <c r="U153" s="310"/>
      <c r="V153" s="310"/>
      <c r="W153" s="310"/>
      <c r="X153" s="310"/>
      <c r="Y153" s="31">
        <f t="shared" si="6"/>
        <v>0</v>
      </c>
      <c r="Z153" s="311">
        <v>1</v>
      </c>
      <c r="AA153" s="312">
        <v>15</v>
      </c>
      <c r="AB153" s="313">
        <v>44322</v>
      </c>
      <c r="AC153" s="313">
        <v>44343</v>
      </c>
      <c r="AD153" s="311"/>
      <c r="AE153" s="318"/>
      <c r="AF153" s="316"/>
      <c r="AG153" s="313"/>
      <c r="AH153" s="311"/>
      <c r="AI153" s="312"/>
      <c r="AJ153" s="316"/>
      <c r="AK153" s="315"/>
      <c r="AL153" s="311"/>
      <c r="AM153" s="312"/>
      <c r="AN153" s="316"/>
      <c r="AO153" s="315"/>
      <c r="AP153" s="311"/>
      <c r="AQ153" s="312"/>
      <c r="AR153" s="316"/>
      <c r="AS153" s="315"/>
      <c r="AT153" s="315"/>
      <c r="AU153" s="315"/>
      <c r="AV153" s="315"/>
      <c r="AW153" s="315"/>
      <c r="AX153" s="315"/>
      <c r="AY153" s="315"/>
      <c r="AZ153" s="315"/>
      <c r="BA153" s="315"/>
      <c r="BB153" s="315"/>
      <c r="BC153" s="315"/>
      <c r="BD153" s="315"/>
      <c r="BE153" s="315"/>
      <c r="BF153" s="315"/>
      <c r="BG153" s="315"/>
      <c r="BH153" s="315"/>
      <c r="BI153" s="315"/>
      <c r="BJ153" s="37">
        <f t="shared" si="7"/>
        <v>1</v>
      </c>
      <c r="BK153" s="38">
        <f t="shared" si="8"/>
        <v>1</v>
      </c>
    </row>
    <row r="154" spans="2:63" s="300" customFormat="1" ht="24" customHeight="1">
      <c r="B154" s="97">
        <v>140</v>
      </c>
      <c r="C154" s="321" t="s">
        <v>39</v>
      </c>
      <c r="D154" s="322">
        <v>30400228</v>
      </c>
      <c r="E154" s="308" t="s">
        <v>1550</v>
      </c>
      <c r="F154" s="165" t="s">
        <v>47</v>
      </c>
      <c r="G154" s="27" t="s">
        <v>1368</v>
      </c>
      <c r="H154" s="319" t="s">
        <v>1471</v>
      </c>
      <c r="I154" s="168" t="s">
        <v>44</v>
      </c>
      <c r="J154" s="310">
        <v>40044</v>
      </c>
      <c r="K154" s="310">
        <v>11481</v>
      </c>
      <c r="L154" s="310">
        <v>28562</v>
      </c>
      <c r="M154" s="310"/>
      <c r="N154" s="310"/>
      <c r="O154" s="310"/>
      <c r="P154" s="310"/>
      <c r="Q154" s="310"/>
      <c r="R154" s="310"/>
      <c r="S154" s="310"/>
      <c r="T154" s="310">
        <v>28562</v>
      </c>
      <c r="U154" s="310">
        <v>3875</v>
      </c>
      <c r="V154" s="310"/>
      <c r="W154" s="310"/>
      <c r="X154" s="310"/>
      <c r="Y154" s="31">
        <f t="shared" si="6"/>
        <v>32437</v>
      </c>
      <c r="Z154" s="311">
        <v>1</v>
      </c>
      <c r="AA154" s="312">
        <v>15</v>
      </c>
      <c r="AB154" s="313">
        <v>44322</v>
      </c>
      <c r="AC154" s="313">
        <v>44343</v>
      </c>
      <c r="AD154" s="311">
        <v>28562</v>
      </c>
      <c r="AE154" s="318">
        <v>39</v>
      </c>
      <c r="AF154" s="313">
        <v>44389</v>
      </c>
      <c r="AG154" s="313">
        <v>44410</v>
      </c>
      <c r="AH154" s="311">
        <v>3875</v>
      </c>
      <c r="AI154" s="312">
        <v>42</v>
      </c>
      <c r="AJ154" s="313">
        <v>44432</v>
      </c>
      <c r="AK154" s="315">
        <v>44449</v>
      </c>
      <c r="AL154" s="311"/>
      <c r="AM154" s="312"/>
      <c r="AN154" s="316"/>
      <c r="AO154" s="315"/>
      <c r="AP154" s="311"/>
      <c r="AQ154" s="312"/>
      <c r="AR154" s="316"/>
      <c r="AS154" s="315"/>
      <c r="AT154" s="315"/>
      <c r="AU154" s="315"/>
      <c r="AV154" s="315"/>
      <c r="AW154" s="315"/>
      <c r="AX154" s="315"/>
      <c r="AY154" s="315"/>
      <c r="AZ154" s="315"/>
      <c r="BA154" s="315"/>
      <c r="BB154" s="315"/>
      <c r="BC154" s="315"/>
      <c r="BD154" s="315"/>
      <c r="BE154" s="315"/>
      <c r="BF154" s="315"/>
      <c r="BG154" s="315"/>
      <c r="BH154" s="315"/>
      <c r="BI154" s="315"/>
      <c r="BJ154" s="37">
        <f t="shared" si="7"/>
        <v>32438</v>
      </c>
      <c r="BK154" s="38">
        <f t="shared" si="8"/>
        <v>1</v>
      </c>
    </row>
    <row r="155" spans="2:63" s="300" customFormat="1" ht="24" customHeight="1">
      <c r="B155" s="306">
        <v>141</v>
      </c>
      <c r="C155" s="321" t="s">
        <v>39</v>
      </c>
      <c r="D155" s="322">
        <v>40002239</v>
      </c>
      <c r="E155" s="308" t="s">
        <v>1551</v>
      </c>
      <c r="F155" s="165" t="s">
        <v>47</v>
      </c>
      <c r="G155" s="27" t="s">
        <v>1368</v>
      </c>
      <c r="H155" s="319" t="s">
        <v>1439</v>
      </c>
      <c r="I155" s="168" t="s">
        <v>52</v>
      </c>
      <c r="J155" s="310">
        <v>47208</v>
      </c>
      <c r="K155" s="310">
        <v>0</v>
      </c>
      <c r="L155" s="310">
        <v>47207</v>
      </c>
      <c r="M155" s="310"/>
      <c r="N155" s="310"/>
      <c r="O155" s="310"/>
      <c r="P155" s="310"/>
      <c r="Q155" s="310"/>
      <c r="R155" s="310"/>
      <c r="S155" s="310"/>
      <c r="T155" s="310"/>
      <c r="U155" s="310"/>
      <c r="V155" s="310"/>
      <c r="W155" s="310"/>
      <c r="X155" s="310"/>
      <c r="Y155" s="31">
        <f t="shared" si="6"/>
        <v>0</v>
      </c>
      <c r="Z155" s="311">
        <v>1</v>
      </c>
      <c r="AA155" s="312">
        <v>15</v>
      </c>
      <c r="AB155" s="313">
        <v>44322</v>
      </c>
      <c r="AC155" s="313">
        <v>44343</v>
      </c>
      <c r="AD155" s="311"/>
      <c r="AE155" s="318"/>
      <c r="AF155" s="316"/>
      <c r="AG155" s="313"/>
      <c r="AH155" s="311"/>
      <c r="AI155" s="312"/>
      <c r="AJ155" s="316"/>
      <c r="AK155" s="315"/>
      <c r="AL155" s="311"/>
      <c r="AM155" s="312"/>
      <c r="AN155" s="316"/>
      <c r="AO155" s="315"/>
      <c r="AP155" s="311"/>
      <c r="AQ155" s="312"/>
      <c r="AR155" s="316"/>
      <c r="AS155" s="315"/>
      <c r="AT155" s="315"/>
      <c r="AU155" s="315"/>
      <c r="AV155" s="315"/>
      <c r="AW155" s="315"/>
      <c r="AX155" s="315"/>
      <c r="AY155" s="315"/>
      <c r="AZ155" s="315"/>
      <c r="BA155" s="315"/>
      <c r="BB155" s="315"/>
      <c r="BC155" s="315"/>
      <c r="BD155" s="315"/>
      <c r="BE155" s="315"/>
      <c r="BF155" s="315"/>
      <c r="BG155" s="315"/>
      <c r="BH155" s="315"/>
      <c r="BI155" s="315"/>
      <c r="BJ155" s="37">
        <f t="shared" si="7"/>
        <v>1</v>
      </c>
      <c r="BK155" s="38">
        <f t="shared" si="8"/>
        <v>1</v>
      </c>
    </row>
    <row r="156" spans="2:63" s="300" customFormat="1" ht="24" customHeight="1">
      <c r="B156" s="306">
        <v>142</v>
      </c>
      <c r="C156" s="321" t="s">
        <v>131</v>
      </c>
      <c r="D156" s="307">
        <v>30084452</v>
      </c>
      <c r="E156" s="308" t="s">
        <v>1552</v>
      </c>
      <c r="F156" s="165" t="s">
        <v>51</v>
      </c>
      <c r="G156" s="27" t="s">
        <v>1368</v>
      </c>
      <c r="H156" s="319" t="s">
        <v>1369</v>
      </c>
      <c r="I156" s="168" t="s">
        <v>44</v>
      </c>
      <c r="J156" s="310">
        <v>326443</v>
      </c>
      <c r="K156" s="310">
        <v>59369</v>
      </c>
      <c r="L156" s="310">
        <v>267071</v>
      </c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">
        <f t="shared" si="6"/>
        <v>0</v>
      </c>
      <c r="Z156" s="311">
        <v>3</v>
      </c>
      <c r="AA156" s="312">
        <v>22</v>
      </c>
      <c r="AB156" s="313">
        <v>44348</v>
      </c>
      <c r="AC156" s="313">
        <v>44365</v>
      </c>
      <c r="AD156" s="311"/>
      <c r="AE156" s="318"/>
      <c r="AF156" s="316"/>
      <c r="AG156" s="313"/>
      <c r="AH156" s="311"/>
      <c r="AI156" s="312"/>
      <c r="AJ156" s="316"/>
      <c r="AK156" s="315"/>
      <c r="AL156" s="311"/>
      <c r="AM156" s="312"/>
      <c r="AN156" s="316"/>
      <c r="AO156" s="315"/>
      <c r="AP156" s="311"/>
      <c r="AQ156" s="312"/>
      <c r="AR156" s="316"/>
      <c r="AS156" s="315"/>
      <c r="AT156" s="315"/>
      <c r="AU156" s="315"/>
      <c r="AV156" s="315"/>
      <c r="AW156" s="315"/>
      <c r="AX156" s="315"/>
      <c r="AY156" s="315"/>
      <c r="AZ156" s="315"/>
      <c r="BA156" s="315"/>
      <c r="BB156" s="315"/>
      <c r="BC156" s="315"/>
      <c r="BD156" s="315"/>
      <c r="BE156" s="315"/>
      <c r="BF156" s="315"/>
      <c r="BG156" s="315"/>
      <c r="BH156" s="315"/>
      <c r="BI156" s="315"/>
      <c r="BJ156" s="37">
        <f t="shared" si="7"/>
        <v>3</v>
      </c>
      <c r="BK156" s="38">
        <f t="shared" si="8"/>
        <v>3</v>
      </c>
    </row>
    <row r="157" spans="2:63" s="300" customFormat="1" ht="24" customHeight="1">
      <c r="B157" s="97">
        <v>143</v>
      </c>
      <c r="C157" s="321" t="s">
        <v>39</v>
      </c>
      <c r="D157" s="307">
        <v>30132335</v>
      </c>
      <c r="E157" s="308" t="s">
        <v>1553</v>
      </c>
      <c r="F157" s="165" t="s">
        <v>51</v>
      </c>
      <c r="G157" s="27" t="s">
        <v>1368</v>
      </c>
      <c r="H157" s="319" t="s">
        <v>1383</v>
      </c>
      <c r="I157" s="168" t="s">
        <v>52</v>
      </c>
      <c r="J157" s="310">
        <v>4720285</v>
      </c>
      <c r="K157" s="310">
        <v>0</v>
      </c>
      <c r="L157" s="310">
        <v>4720281</v>
      </c>
      <c r="M157" s="310"/>
      <c r="N157" s="310"/>
      <c r="O157" s="310"/>
      <c r="P157" s="310"/>
      <c r="Q157" s="310"/>
      <c r="R157" s="310"/>
      <c r="S157" s="310"/>
      <c r="T157" s="310"/>
      <c r="U157" s="310"/>
      <c r="V157" s="310"/>
      <c r="W157" s="310"/>
      <c r="X157" s="310"/>
      <c r="Y157" s="31">
        <f t="shared" si="6"/>
        <v>0</v>
      </c>
      <c r="Z157" s="311">
        <v>4</v>
      </c>
      <c r="AA157" s="312">
        <v>22</v>
      </c>
      <c r="AB157" s="313">
        <v>44348</v>
      </c>
      <c r="AC157" s="313">
        <v>44365</v>
      </c>
      <c r="AD157" s="311"/>
      <c r="AE157" s="318"/>
      <c r="AF157" s="316"/>
      <c r="AG157" s="313"/>
      <c r="AH157" s="311"/>
      <c r="AI157" s="312"/>
      <c r="AJ157" s="316"/>
      <c r="AK157" s="315"/>
      <c r="AL157" s="311"/>
      <c r="AM157" s="312"/>
      <c r="AN157" s="316"/>
      <c r="AO157" s="315"/>
      <c r="AP157" s="311"/>
      <c r="AQ157" s="312"/>
      <c r="AR157" s="316"/>
      <c r="AS157" s="315"/>
      <c r="AT157" s="315"/>
      <c r="AU157" s="315"/>
      <c r="AV157" s="315"/>
      <c r="AW157" s="315"/>
      <c r="AX157" s="315"/>
      <c r="AY157" s="315"/>
      <c r="AZ157" s="315"/>
      <c r="BA157" s="315"/>
      <c r="BB157" s="315"/>
      <c r="BC157" s="315"/>
      <c r="BD157" s="315"/>
      <c r="BE157" s="315"/>
      <c r="BF157" s="315"/>
      <c r="BG157" s="315"/>
      <c r="BH157" s="315"/>
      <c r="BI157" s="315"/>
      <c r="BJ157" s="37">
        <f t="shared" si="7"/>
        <v>4</v>
      </c>
      <c r="BK157" s="38">
        <f t="shared" si="8"/>
        <v>4</v>
      </c>
    </row>
    <row r="158" spans="2:63" s="300" customFormat="1" ht="24" customHeight="1">
      <c r="B158" s="306">
        <v>144</v>
      </c>
      <c r="C158" s="321" t="s">
        <v>39</v>
      </c>
      <c r="D158" s="307">
        <v>30241923</v>
      </c>
      <c r="E158" s="308" t="s">
        <v>1554</v>
      </c>
      <c r="F158" s="165" t="s">
        <v>47</v>
      </c>
      <c r="G158" s="27" t="s">
        <v>1368</v>
      </c>
      <c r="H158" s="319" t="s">
        <v>1441</v>
      </c>
      <c r="I158" s="168" t="s">
        <v>52</v>
      </c>
      <c r="J158" s="310">
        <v>43066</v>
      </c>
      <c r="K158" s="310">
        <v>0</v>
      </c>
      <c r="L158" s="310">
        <v>42428</v>
      </c>
      <c r="M158" s="310"/>
      <c r="N158" s="310"/>
      <c r="O158" s="310"/>
      <c r="P158" s="310"/>
      <c r="Q158" s="310"/>
      <c r="R158" s="310"/>
      <c r="S158" s="310"/>
      <c r="T158" s="310"/>
      <c r="U158" s="310"/>
      <c r="V158" s="310"/>
      <c r="W158" s="310"/>
      <c r="X158" s="310"/>
      <c r="Y158" s="31">
        <f t="shared" si="6"/>
        <v>0</v>
      </c>
      <c r="Z158" s="311">
        <v>638</v>
      </c>
      <c r="AA158" s="312">
        <v>22</v>
      </c>
      <c r="AB158" s="313">
        <v>44348</v>
      </c>
      <c r="AC158" s="313">
        <v>44365</v>
      </c>
      <c r="AD158" s="311"/>
      <c r="AE158" s="318"/>
      <c r="AF158" s="316"/>
      <c r="AG158" s="313"/>
      <c r="AH158" s="311"/>
      <c r="AI158" s="312"/>
      <c r="AJ158" s="316"/>
      <c r="AK158" s="315"/>
      <c r="AL158" s="311"/>
      <c r="AM158" s="312"/>
      <c r="AN158" s="316"/>
      <c r="AO158" s="315"/>
      <c r="AP158" s="311"/>
      <c r="AQ158" s="312"/>
      <c r="AR158" s="316"/>
      <c r="AS158" s="315"/>
      <c r="AT158" s="315"/>
      <c r="AU158" s="315"/>
      <c r="AV158" s="315"/>
      <c r="AW158" s="315"/>
      <c r="AX158" s="315"/>
      <c r="AY158" s="315"/>
      <c r="AZ158" s="315"/>
      <c r="BA158" s="315"/>
      <c r="BB158" s="315"/>
      <c r="BC158" s="315"/>
      <c r="BD158" s="315"/>
      <c r="BE158" s="315"/>
      <c r="BF158" s="315"/>
      <c r="BG158" s="315"/>
      <c r="BH158" s="315"/>
      <c r="BI158" s="315"/>
      <c r="BJ158" s="37">
        <f t="shared" si="7"/>
        <v>638</v>
      </c>
      <c r="BK158" s="38">
        <f t="shared" si="8"/>
        <v>638</v>
      </c>
    </row>
    <row r="159" spans="2:63" s="300" customFormat="1" ht="24" customHeight="1">
      <c r="B159" s="306">
        <v>145</v>
      </c>
      <c r="C159" s="321" t="s">
        <v>39</v>
      </c>
      <c r="D159" s="307">
        <v>30250422</v>
      </c>
      <c r="E159" s="308" t="s">
        <v>1555</v>
      </c>
      <c r="F159" s="165" t="s">
        <v>47</v>
      </c>
      <c r="G159" s="27" t="s">
        <v>1368</v>
      </c>
      <c r="H159" s="319" t="s">
        <v>1369</v>
      </c>
      <c r="I159" s="168" t="s">
        <v>52</v>
      </c>
      <c r="J159" s="310">
        <v>103763</v>
      </c>
      <c r="K159" s="310">
        <v>0</v>
      </c>
      <c r="L159" s="310">
        <v>103761</v>
      </c>
      <c r="M159" s="310"/>
      <c r="N159" s="310"/>
      <c r="O159" s="310"/>
      <c r="P159" s="310"/>
      <c r="Q159" s="310"/>
      <c r="R159" s="310"/>
      <c r="S159" s="310"/>
      <c r="T159" s="310"/>
      <c r="U159" s="310"/>
      <c r="V159" s="310"/>
      <c r="W159" s="310"/>
      <c r="X159" s="310"/>
      <c r="Y159" s="31">
        <f t="shared" si="6"/>
        <v>0</v>
      </c>
      <c r="Z159" s="311">
        <v>2</v>
      </c>
      <c r="AA159" s="312">
        <v>22</v>
      </c>
      <c r="AB159" s="313">
        <v>44348</v>
      </c>
      <c r="AC159" s="313">
        <v>44365</v>
      </c>
      <c r="AD159" s="311"/>
      <c r="AE159" s="318"/>
      <c r="AF159" s="316"/>
      <c r="AG159" s="313"/>
      <c r="AH159" s="311"/>
      <c r="AI159" s="312"/>
      <c r="AJ159" s="316"/>
      <c r="AK159" s="315"/>
      <c r="AL159" s="311"/>
      <c r="AM159" s="312"/>
      <c r="AN159" s="316"/>
      <c r="AO159" s="315"/>
      <c r="AP159" s="311"/>
      <c r="AQ159" s="312"/>
      <c r="AR159" s="316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7">
        <f t="shared" si="7"/>
        <v>2</v>
      </c>
      <c r="BK159" s="38">
        <f t="shared" si="8"/>
        <v>2</v>
      </c>
    </row>
    <row r="160" spans="2:63" s="300" customFormat="1" ht="24" customHeight="1">
      <c r="B160" s="97">
        <v>146</v>
      </c>
      <c r="C160" s="321" t="s">
        <v>39</v>
      </c>
      <c r="D160" s="307">
        <v>30358372</v>
      </c>
      <c r="E160" s="308" t="s">
        <v>1556</v>
      </c>
      <c r="F160" s="165" t="s">
        <v>51</v>
      </c>
      <c r="G160" s="27" t="s">
        <v>1368</v>
      </c>
      <c r="H160" s="319" t="s">
        <v>1473</v>
      </c>
      <c r="I160" s="168" t="s">
        <v>52</v>
      </c>
      <c r="J160" s="310">
        <v>2421073</v>
      </c>
      <c r="K160" s="310">
        <v>0</v>
      </c>
      <c r="L160" s="310">
        <v>2421072</v>
      </c>
      <c r="M160" s="310"/>
      <c r="N160" s="310"/>
      <c r="O160" s="310"/>
      <c r="P160" s="310"/>
      <c r="Q160" s="310"/>
      <c r="R160" s="310"/>
      <c r="S160" s="310"/>
      <c r="T160" s="310"/>
      <c r="U160" s="310"/>
      <c r="V160" s="310"/>
      <c r="W160" s="310"/>
      <c r="X160" s="310"/>
      <c r="Y160" s="31">
        <f t="shared" si="6"/>
        <v>0</v>
      </c>
      <c r="Z160" s="311">
        <v>1</v>
      </c>
      <c r="AA160" s="312">
        <v>22</v>
      </c>
      <c r="AB160" s="313">
        <v>44348</v>
      </c>
      <c r="AC160" s="313">
        <v>44365</v>
      </c>
      <c r="AD160" s="311"/>
      <c r="AE160" s="318"/>
      <c r="AF160" s="316"/>
      <c r="AG160" s="313"/>
      <c r="AH160" s="311"/>
      <c r="AI160" s="312"/>
      <c r="AJ160" s="316"/>
      <c r="AK160" s="315"/>
      <c r="AL160" s="311"/>
      <c r="AM160" s="312"/>
      <c r="AN160" s="316"/>
      <c r="AO160" s="315"/>
      <c r="AP160" s="311"/>
      <c r="AQ160" s="312"/>
      <c r="AR160" s="316"/>
      <c r="AS160" s="315"/>
      <c r="AT160" s="315"/>
      <c r="AU160" s="315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5"/>
      <c r="BI160" s="315"/>
      <c r="BJ160" s="37">
        <f t="shared" si="7"/>
        <v>1</v>
      </c>
      <c r="BK160" s="38">
        <f t="shared" si="8"/>
        <v>1</v>
      </c>
    </row>
    <row r="161" spans="2:63" s="300" customFormat="1" ht="24" customHeight="1">
      <c r="B161" s="306">
        <v>147</v>
      </c>
      <c r="C161" s="321" t="s">
        <v>39</v>
      </c>
      <c r="D161" s="307">
        <v>30480665</v>
      </c>
      <c r="E161" s="308" t="s">
        <v>1557</v>
      </c>
      <c r="F161" s="165" t="s">
        <v>47</v>
      </c>
      <c r="G161" s="27" t="s">
        <v>1368</v>
      </c>
      <c r="H161" s="319" t="s">
        <v>1371</v>
      </c>
      <c r="I161" s="168" t="s">
        <v>52</v>
      </c>
      <c r="J161" s="310">
        <v>53988</v>
      </c>
      <c r="K161" s="310">
        <v>0</v>
      </c>
      <c r="L161" s="310">
        <v>53987</v>
      </c>
      <c r="M161" s="310"/>
      <c r="N161" s="310"/>
      <c r="O161" s="310"/>
      <c r="P161" s="310"/>
      <c r="Q161" s="310"/>
      <c r="R161" s="310"/>
      <c r="S161" s="310"/>
      <c r="T161" s="310"/>
      <c r="U161" s="310"/>
      <c r="V161" s="310"/>
      <c r="W161" s="310"/>
      <c r="X161" s="310"/>
      <c r="Y161" s="31">
        <f t="shared" si="6"/>
        <v>0</v>
      </c>
      <c r="Z161" s="311">
        <v>1</v>
      </c>
      <c r="AA161" s="312">
        <v>22</v>
      </c>
      <c r="AB161" s="313">
        <v>44348</v>
      </c>
      <c r="AC161" s="313">
        <v>44365</v>
      </c>
      <c r="AD161" s="311"/>
      <c r="AE161" s="318"/>
      <c r="AF161" s="316"/>
      <c r="AG161" s="313"/>
      <c r="AH161" s="311"/>
      <c r="AI161" s="312"/>
      <c r="AJ161" s="316"/>
      <c r="AK161" s="315"/>
      <c r="AL161" s="311"/>
      <c r="AM161" s="312"/>
      <c r="AN161" s="316"/>
      <c r="AO161" s="315"/>
      <c r="AP161" s="311"/>
      <c r="AQ161" s="312"/>
      <c r="AR161" s="316"/>
      <c r="AS161" s="315"/>
      <c r="AT161" s="315"/>
      <c r="AU161" s="315"/>
      <c r="AV161" s="315"/>
      <c r="AW161" s="315"/>
      <c r="AX161" s="315"/>
      <c r="AY161" s="315"/>
      <c r="AZ161" s="315"/>
      <c r="BA161" s="315"/>
      <c r="BB161" s="315"/>
      <c r="BC161" s="315"/>
      <c r="BD161" s="315"/>
      <c r="BE161" s="315"/>
      <c r="BF161" s="315"/>
      <c r="BG161" s="315"/>
      <c r="BH161" s="315"/>
      <c r="BI161" s="315"/>
      <c r="BJ161" s="37">
        <f t="shared" si="7"/>
        <v>1</v>
      </c>
      <c r="BK161" s="38">
        <f t="shared" si="8"/>
        <v>1</v>
      </c>
    </row>
    <row r="162" spans="2:63" s="300" customFormat="1" ht="24" customHeight="1">
      <c r="B162" s="306">
        <v>148</v>
      </c>
      <c r="C162" s="321" t="s">
        <v>39</v>
      </c>
      <c r="D162" s="307">
        <v>40002203</v>
      </c>
      <c r="E162" s="308" t="s">
        <v>1558</v>
      </c>
      <c r="F162" s="165" t="s">
        <v>47</v>
      </c>
      <c r="G162" s="27" t="s">
        <v>1368</v>
      </c>
      <c r="H162" s="319" t="s">
        <v>1413</v>
      </c>
      <c r="I162" s="168" t="s">
        <v>52</v>
      </c>
      <c r="J162" s="310">
        <v>60992</v>
      </c>
      <c r="K162" s="310">
        <v>0</v>
      </c>
      <c r="L162" s="310">
        <v>60990</v>
      </c>
      <c r="M162" s="310"/>
      <c r="N162" s="310"/>
      <c r="O162" s="310"/>
      <c r="P162" s="310"/>
      <c r="Q162" s="310"/>
      <c r="R162" s="310"/>
      <c r="S162" s="310"/>
      <c r="T162" s="310"/>
      <c r="U162" s="310"/>
      <c r="V162" s="310"/>
      <c r="W162" s="310"/>
      <c r="X162" s="310"/>
      <c r="Y162" s="31">
        <f t="shared" si="6"/>
        <v>0</v>
      </c>
      <c r="Z162" s="311">
        <v>2</v>
      </c>
      <c r="AA162" s="312">
        <v>22</v>
      </c>
      <c r="AB162" s="313">
        <v>44348</v>
      </c>
      <c r="AC162" s="313">
        <v>44365</v>
      </c>
      <c r="AD162" s="311"/>
      <c r="AE162" s="318"/>
      <c r="AF162" s="316"/>
      <c r="AG162" s="313"/>
      <c r="AH162" s="311"/>
      <c r="AI162" s="312"/>
      <c r="AJ162" s="316"/>
      <c r="AK162" s="315"/>
      <c r="AL162" s="311"/>
      <c r="AM162" s="312"/>
      <c r="AN162" s="316"/>
      <c r="AO162" s="315"/>
      <c r="AP162" s="311"/>
      <c r="AQ162" s="312"/>
      <c r="AR162" s="316"/>
      <c r="AS162" s="315"/>
      <c r="AT162" s="315"/>
      <c r="AU162" s="315"/>
      <c r="AV162" s="315"/>
      <c r="AW162" s="315"/>
      <c r="AX162" s="315"/>
      <c r="AY162" s="315"/>
      <c r="AZ162" s="315"/>
      <c r="BA162" s="315"/>
      <c r="BB162" s="315"/>
      <c r="BC162" s="315"/>
      <c r="BD162" s="315"/>
      <c r="BE162" s="315"/>
      <c r="BF162" s="315"/>
      <c r="BG162" s="315"/>
      <c r="BH162" s="315"/>
      <c r="BI162" s="315"/>
      <c r="BJ162" s="37">
        <f t="shared" si="7"/>
        <v>2</v>
      </c>
      <c r="BK162" s="38">
        <f t="shared" si="8"/>
        <v>2</v>
      </c>
    </row>
    <row r="163" spans="2:63" s="300" customFormat="1" ht="24" customHeight="1">
      <c r="B163" s="321">
        <v>149</v>
      </c>
      <c r="C163" s="321" t="s">
        <v>131</v>
      </c>
      <c r="D163" s="299">
        <v>40001539</v>
      </c>
      <c r="E163" s="323" t="s">
        <v>1559</v>
      </c>
      <c r="F163" s="324" t="s">
        <v>51</v>
      </c>
      <c r="G163" s="27" t="s">
        <v>1368</v>
      </c>
      <c r="H163" s="319" t="s">
        <v>1479</v>
      </c>
      <c r="I163" s="325" t="s">
        <v>52</v>
      </c>
      <c r="J163" s="310">
        <v>42798</v>
      </c>
      <c r="K163" s="310">
        <v>0</v>
      </c>
      <c r="L163" s="310">
        <v>42796</v>
      </c>
      <c r="M163" s="310"/>
      <c r="N163" s="310"/>
      <c r="O163" s="310"/>
      <c r="P163" s="310"/>
      <c r="Q163" s="310"/>
      <c r="R163" s="310"/>
      <c r="S163" s="310"/>
      <c r="T163" s="310"/>
      <c r="U163" s="310"/>
      <c r="V163" s="310"/>
      <c r="W163" s="310"/>
      <c r="X163" s="310"/>
      <c r="Y163" s="31">
        <f t="shared" si="6"/>
        <v>0</v>
      </c>
      <c r="Z163" s="311">
        <v>2</v>
      </c>
      <c r="AA163" s="312">
        <v>37</v>
      </c>
      <c r="AB163" s="313">
        <v>44379</v>
      </c>
      <c r="AC163" s="313">
        <v>44396</v>
      </c>
      <c r="AD163" s="311"/>
      <c r="AE163" s="318"/>
      <c r="AF163" s="316"/>
      <c r="AG163" s="313"/>
      <c r="AH163" s="311"/>
      <c r="AI163" s="312"/>
      <c r="AJ163" s="316"/>
      <c r="AK163" s="315"/>
      <c r="AL163" s="311"/>
      <c r="AM163" s="312"/>
      <c r="AN163" s="316"/>
      <c r="AO163" s="315"/>
      <c r="AP163" s="311"/>
      <c r="AQ163" s="312"/>
      <c r="AR163" s="316"/>
      <c r="AS163" s="315"/>
      <c r="AT163" s="315"/>
      <c r="AU163" s="315"/>
      <c r="AV163" s="315"/>
      <c r="AW163" s="315"/>
      <c r="AX163" s="315"/>
      <c r="AY163" s="315"/>
      <c r="AZ163" s="315"/>
      <c r="BA163" s="315"/>
      <c r="BB163" s="315"/>
      <c r="BC163" s="315"/>
      <c r="BD163" s="315"/>
      <c r="BE163" s="315"/>
      <c r="BF163" s="315"/>
      <c r="BG163" s="315"/>
      <c r="BH163" s="315"/>
      <c r="BI163" s="315"/>
      <c r="BJ163" s="37">
        <f t="shared" si="7"/>
        <v>2</v>
      </c>
      <c r="BK163" s="38">
        <f t="shared" si="8"/>
        <v>2</v>
      </c>
    </row>
    <row r="164" spans="2:63" s="300" customFormat="1" ht="24" customHeight="1">
      <c r="B164" s="321">
        <v>150</v>
      </c>
      <c r="C164" s="321" t="s">
        <v>39</v>
      </c>
      <c r="D164" s="299">
        <v>30482675</v>
      </c>
      <c r="E164" s="326" t="s">
        <v>1560</v>
      </c>
      <c r="F164" s="165" t="s">
        <v>51</v>
      </c>
      <c r="G164" s="27" t="s">
        <v>1368</v>
      </c>
      <c r="H164" s="319" t="s">
        <v>1561</v>
      </c>
      <c r="I164" s="325" t="s">
        <v>52</v>
      </c>
      <c r="J164" s="310">
        <v>1624347</v>
      </c>
      <c r="K164" s="310">
        <v>0</v>
      </c>
      <c r="L164" s="310">
        <v>1624344</v>
      </c>
      <c r="M164" s="310"/>
      <c r="N164" s="310"/>
      <c r="O164" s="310"/>
      <c r="P164" s="310"/>
      <c r="Q164" s="310"/>
      <c r="R164" s="310"/>
      <c r="S164" s="310"/>
      <c r="T164" s="310"/>
      <c r="U164" s="310"/>
      <c r="V164" s="310"/>
      <c r="W164" s="310"/>
      <c r="X164" s="310"/>
      <c r="Y164" s="31">
        <f t="shared" si="6"/>
        <v>0</v>
      </c>
      <c r="Z164" s="311">
        <v>3</v>
      </c>
      <c r="AA164" s="312">
        <v>37</v>
      </c>
      <c r="AB164" s="313">
        <v>44379</v>
      </c>
      <c r="AC164" s="313">
        <v>44396</v>
      </c>
      <c r="AD164" s="311"/>
      <c r="AE164" s="318"/>
      <c r="AF164" s="316"/>
      <c r="AG164" s="313"/>
      <c r="AH164" s="311"/>
      <c r="AI164" s="312"/>
      <c r="AJ164" s="316"/>
      <c r="AK164" s="315"/>
      <c r="AL164" s="311"/>
      <c r="AM164" s="312"/>
      <c r="AN164" s="316"/>
      <c r="AO164" s="315"/>
      <c r="AP164" s="311"/>
      <c r="AQ164" s="312"/>
      <c r="AR164" s="316"/>
      <c r="AS164" s="315"/>
      <c r="AT164" s="315"/>
      <c r="AU164" s="315"/>
      <c r="AV164" s="315"/>
      <c r="AW164" s="315"/>
      <c r="AX164" s="315"/>
      <c r="AY164" s="315"/>
      <c r="AZ164" s="315"/>
      <c r="BA164" s="315"/>
      <c r="BB164" s="315"/>
      <c r="BC164" s="315"/>
      <c r="BD164" s="315"/>
      <c r="BE164" s="315"/>
      <c r="BF164" s="315"/>
      <c r="BG164" s="315"/>
      <c r="BH164" s="315"/>
      <c r="BI164" s="315"/>
      <c r="BJ164" s="37">
        <f t="shared" si="7"/>
        <v>3</v>
      </c>
      <c r="BK164" s="38">
        <f t="shared" si="8"/>
        <v>3</v>
      </c>
    </row>
    <row r="165" spans="2:63" s="300" customFormat="1" ht="24" customHeight="1">
      <c r="B165" s="321">
        <v>151</v>
      </c>
      <c r="C165" s="321" t="s">
        <v>1562</v>
      </c>
      <c r="D165" s="299">
        <v>40002045</v>
      </c>
      <c r="E165" s="326" t="s">
        <v>1563</v>
      </c>
      <c r="F165" s="327" t="s">
        <v>51</v>
      </c>
      <c r="G165" s="27" t="s">
        <v>1368</v>
      </c>
      <c r="H165" s="319" t="s">
        <v>1564</v>
      </c>
      <c r="I165" s="325" t="s">
        <v>52</v>
      </c>
      <c r="J165" s="310">
        <v>641249</v>
      </c>
      <c r="K165" s="310">
        <v>0</v>
      </c>
      <c r="L165" s="310">
        <v>641247</v>
      </c>
      <c r="M165" s="310"/>
      <c r="N165" s="310"/>
      <c r="O165" s="310"/>
      <c r="P165" s="310"/>
      <c r="Q165" s="310"/>
      <c r="R165" s="310"/>
      <c r="S165" s="310"/>
      <c r="T165" s="310"/>
      <c r="U165" s="310"/>
      <c r="V165" s="310"/>
      <c r="W165" s="310"/>
      <c r="X165" s="310"/>
      <c r="Y165" s="31">
        <f t="shared" si="6"/>
        <v>0</v>
      </c>
      <c r="Z165" s="311">
        <v>2</v>
      </c>
      <c r="AA165" s="312">
        <v>39</v>
      </c>
      <c r="AB165" s="313">
        <v>44389</v>
      </c>
      <c r="AC165" s="313">
        <v>44410</v>
      </c>
      <c r="AD165" s="311"/>
      <c r="AE165" s="318"/>
      <c r="AF165" s="316"/>
      <c r="AG165" s="313"/>
      <c r="AH165" s="311"/>
      <c r="AI165" s="312"/>
      <c r="AJ165" s="316"/>
      <c r="AK165" s="315"/>
      <c r="AL165" s="311"/>
      <c r="AM165" s="312"/>
      <c r="AN165" s="316"/>
      <c r="AO165" s="315"/>
      <c r="AP165" s="311"/>
      <c r="AQ165" s="312"/>
      <c r="AR165" s="316"/>
      <c r="AS165" s="315"/>
      <c r="AT165" s="315"/>
      <c r="AU165" s="315"/>
      <c r="AV165" s="315"/>
      <c r="AW165" s="315"/>
      <c r="AX165" s="315"/>
      <c r="AY165" s="315"/>
      <c r="AZ165" s="315"/>
      <c r="BA165" s="315"/>
      <c r="BB165" s="315"/>
      <c r="BC165" s="315"/>
      <c r="BD165" s="315"/>
      <c r="BE165" s="315"/>
      <c r="BF165" s="315"/>
      <c r="BG165" s="315"/>
      <c r="BH165" s="315"/>
      <c r="BI165" s="315"/>
      <c r="BJ165" s="37">
        <f t="shared" si="7"/>
        <v>2</v>
      </c>
      <c r="BK165" s="38">
        <f t="shared" si="8"/>
        <v>2</v>
      </c>
    </row>
    <row r="166" spans="2:63" s="300" customFormat="1" ht="24" customHeight="1">
      <c r="B166" s="321">
        <v>152</v>
      </c>
      <c r="C166" s="321" t="s">
        <v>39</v>
      </c>
      <c r="D166" s="299">
        <v>40001933</v>
      </c>
      <c r="E166" s="326" t="s">
        <v>1565</v>
      </c>
      <c r="F166" s="327" t="s">
        <v>51</v>
      </c>
      <c r="G166" s="27" t="s">
        <v>1368</v>
      </c>
      <c r="H166" s="319" t="s">
        <v>1413</v>
      </c>
      <c r="I166" s="325" t="s">
        <v>52</v>
      </c>
      <c r="J166" s="310">
        <v>1496599</v>
      </c>
      <c r="K166" s="310">
        <v>0</v>
      </c>
      <c r="L166" s="310">
        <v>1496599</v>
      </c>
      <c r="M166" s="310"/>
      <c r="N166" s="310"/>
      <c r="O166" s="310"/>
      <c r="P166" s="310"/>
      <c r="Q166" s="310"/>
      <c r="R166" s="310"/>
      <c r="S166" s="310"/>
      <c r="T166" s="310"/>
      <c r="U166" s="310"/>
      <c r="V166" s="310"/>
      <c r="W166" s="310"/>
      <c r="X166" s="310"/>
      <c r="Y166" s="31">
        <f t="shared" si="6"/>
        <v>0</v>
      </c>
      <c r="Z166" s="311">
        <v>4</v>
      </c>
      <c r="AA166" s="312">
        <v>39</v>
      </c>
      <c r="AB166" s="313">
        <v>44389</v>
      </c>
      <c r="AC166" s="313">
        <v>44410</v>
      </c>
      <c r="AD166" s="311"/>
      <c r="AE166" s="318"/>
      <c r="AF166" s="316"/>
      <c r="AG166" s="313"/>
      <c r="AH166" s="311"/>
      <c r="AI166" s="312"/>
      <c r="AJ166" s="316"/>
      <c r="AK166" s="315"/>
      <c r="AL166" s="311"/>
      <c r="AM166" s="312"/>
      <c r="AN166" s="316"/>
      <c r="AO166" s="315"/>
      <c r="AP166" s="311"/>
      <c r="AQ166" s="312"/>
      <c r="AR166" s="316"/>
      <c r="AS166" s="315"/>
      <c r="AT166" s="315"/>
      <c r="AU166" s="315"/>
      <c r="AV166" s="315"/>
      <c r="AW166" s="315"/>
      <c r="AX166" s="315"/>
      <c r="AY166" s="315"/>
      <c r="AZ166" s="315"/>
      <c r="BA166" s="315"/>
      <c r="BB166" s="315"/>
      <c r="BC166" s="315"/>
      <c r="BD166" s="315"/>
      <c r="BE166" s="315"/>
      <c r="BF166" s="315"/>
      <c r="BG166" s="315"/>
      <c r="BH166" s="315"/>
      <c r="BI166" s="315"/>
      <c r="BJ166" s="37">
        <f t="shared" si="7"/>
        <v>4</v>
      </c>
      <c r="BK166" s="38">
        <f t="shared" si="8"/>
        <v>4</v>
      </c>
    </row>
    <row r="167" spans="2:63" s="300" customFormat="1" ht="24" customHeight="1">
      <c r="B167" s="321">
        <v>153</v>
      </c>
      <c r="C167" s="321" t="s">
        <v>39</v>
      </c>
      <c r="D167" s="299" t="s">
        <v>1566</v>
      </c>
      <c r="E167" s="326" t="s">
        <v>1509</v>
      </c>
      <c r="F167" s="327" t="s">
        <v>51</v>
      </c>
      <c r="G167" s="27" t="s">
        <v>1368</v>
      </c>
      <c r="H167" s="319" t="s">
        <v>1371</v>
      </c>
      <c r="I167" s="325" t="s">
        <v>52</v>
      </c>
      <c r="J167" s="310">
        <v>2327797</v>
      </c>
      <c r="K167" s="310">
        <v>0</v>
      </c>
      <c r="L167" s="310">
        <v>2327793</v>
      </c>
      <c r="M167" s="310"/>
      <c r="N167" s="310"/>
      <c r="O167" s="310"/>
      <c r="P167" s="310"/>
      <c r="Q167" s="310"/>
      <c r="R167" s="310"/>
      <c r="S167" s="310"/>
      <c r="T167" s="310"/>
      <c r="U167" s="310"/>
      <c r="V167" s="310"/>
      <c r="W167" s="310"/>
      <c r="X167" s="310"/>
      <c r="Y167" s="31">
        <f t="shared" si="6"/>
        <v>0</v>
      </c>
      <c r="Z167" s="311">
        <v>4</v>
      </c>
      <c r="AA167" s="312">
        <v>40</v>
      </c>
      <c r="AB167" s="313">
        <v>44417</v>
      </c>
      <c r="AC167" s="313">
        <v>44428</v>
      </c>
      <c r="AD167" s="311"/>
      <c r="AE167" s="318"/>
      <c r="AF167" s="316"/>
      <c r="AG167" s="313"/>
      <c r="AH167" s="311"/>
      <c r="AI167" s="312"/>
      <c r="AJ167" s="316"/>
      <c r="AK167" s="315"/>
      <c r="AL167" s="311"/>
      <c r="AM167" s="312"/>
      <c r="AN167" s="316"/>
      <c r="AO167" s="315"/>
      <c r="AP167" s="311"/>
      <c r="AQ167" s="312"/>
      <c r="AR167" s="316"/>
      <c r="AS167" s="315"/>
      <c r="AT167" s="315"/>
      <c r="AU167" s="315"/>
      <c r="AV167" s="315"/>
      <c r="AW167" s="315"/>
      <c r="AX167" s="315"/>
      <c r="AY167" s="315"/>
      <c r="AZ167" s="315"/>
      <c r="BA167" s="315"/>
      <c r="BB167" s="315"/>
      <c r="BC167" s="315"/>
      <c r="BD167" s="315"/>
      <c r="BE167" s="315"/>
      <c r="BF167" s="315"/>
      <c r="BG167" s="315"/>
      <c r="BH167" s="315"/>
      <c r="BI167" s="315"/>
      <c r="BJ167" s="37">
        <f t="shared" si="7"/>
        <v>4</v>
      </c>
      <c r="BK167" s="38">
        <f t="shared" si="8"/>
        <v>4</v>
      </c>
    </row>
    <row r="168" spans="2:63" s="300" customFormat="1" ht="24" customHeight="1">
      <c r="B168" s="321">
        <v>154</v>
      </c>
      <c r="C168" s="321" t="s">
        <v>39</v>
      </c>
      <c r="D168" s="299">
        <v>30385981</v>
      </c>
      <c r="E168" s="326" t="s">
        <v>1567</v>
      </c>
      <c r="F168" s="327" t="s">
        <v>51</v>
      </c>
      <c r="G168" s="27" t="s">
        <v>1368</v>
      </c>
      <c r="H168" s="319" t="s">
        <v>1513</v>
      </c>
      <c r="I168" s="325" t="s">
        <v>52</v>
      </c>
      <c r="J168" s="310">
        <v>1273317</v>
      </c>
      <c r="K168" s="310">
        <v>0</v>
      </c>
      <c r="L168" s="310">
        <v>1273311</v>
      </c>
      <c r="M168" s="310"/>
      <c r="N168" s="310"/>
      <c r="O168" s="310"/>
      <c r="P168" s="310"/>
      <c r="Q168" s="310"/>
      <c r="R168" s="310"/>
      <c r="S168" s="310"/>
      <c r="T168" s="310"/>
      <c r="U168" s="310"/>
      <c r="V168" s="310"/>
      <c r="W168" s="310"/>
      <c r="X168" s="310"/>
      <c r="Y168" s="31">
        <f t="shared" si="6"/>
        <v>0</v>
      </c>
      <c r="Z168" s="311">
        <v>6</v>
      </c>
      <c r="AA168" s="312">
        <v>40</v>
      </c>
      <c r="AB168" s="313">
        <v>44417</v>
      </c>
      <c r="AC168" s="313">
        <v>44428</v>
      </c>
      <c r="AD168" s="311"/>
      <c r="AE168" s="318"/>
      <c r="AF168" s="316"/>
      <c r="AG168" s="313"/>
      <c r="AH168" s="311"/>
      <c r="AI168" s="312"/>
      <c r="AJ168" s="316"/>
      <c r="AK168" s="315"/>
      <c r="AL168" s="311"/>
      <c r="AM168" s="312"/>
      <c r="AN168" s="316"/>
      <c r="AO168" s="315"/>
      <c r="AP168" s="311"/>
      <c r="AQ168" s="312"/>
      <c r="AR168" s="316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7">
        <f t="shared" si="7"/>
        <v>6</v>
      </c>
      <c r="BK168" s="38">
        <f t="shared" si="8"/>
        <v>6</v>
      </c>
    </row>
    <row r="169" spans="2:63" s="300" customFormat="1" ht="24" customHeight="1">
      <c r="B169" s="321">
        <v>155</v>
      </c>
      <c r="C169" s="321" t="s">
        <v>39</v>
      </c>
      <c r="D169" s="299">
        <v>30399499</v>
      </c>
      <c r="E169" s="326" t="s">
        <v>1568</v>
      </c>
      <c r="F169" s="327" t="s">
        <v>51</v>
      </c>
      <c r="G169" s="27" t="s">
        <v>1368</v>
      </c>
      <c r="H169" s="319" t="s">
        <v>1383</v>
      </c>
      <c r="I169" s="325" t="s">
        <v>52</v>
      </c>
      <c r="J169" s="310">
        <v>1180406</v>
      </c>
      <c r="K169" s="310">
        <v>0</v>
      </c>
      <c r="L169" s="310">
        <v>1180404</v>
      </c>
      <c r="M169" s="310"/>
      <c r="N169" s="310"/>
      <c r="O169" s="310"/>
      <c r="P169" s="310"/>
      <c r="Q169" s="310"/>
      <c r="R169" s="310"/>
      <c r="S169" s="310"/>
      <c r="T169" s="310"/>
      <c r="U169" s="310"/>
      <c r="V169" s="310"/>
      <c r="W169" s="310"/>
      <c r="X169" s="310"/>
      <c r="Y169" s="31">
        <f t="shared" si="6"/>
        <v>0</v>
      </c>
      <c r="Z169" s="311">
        <v>2</v>
      </c>
      <c r="AA169" s="312">
        <v>40</v>
      </c>
      <c r="AB169" s="313">
        <v>44417</v>
      </c>
      <c r="AC169" s="313">
        <v>44428</v>
      </c>
      <c r="AD169" s="311"/>
      <c r="AE169" s="318"/>
      <c r="AF169" s="316"/>
      <c r="AG169" s="313"/>
      <c r="AH169" s="311"/>
      <c r="AI169" s="312"/>
      <c r="AJ169" s="316"/>
      <c r="AK169" s="315"/>
      <c r="AL169" s="311"/>
      <c r="AM169" s="312"/>
      <c r="AN169" s="316"/>
      <c r="AO169" s="315"/>
      <c r="AP169" s="311"/>
      <c r="AQ169" s="312"/>
      <c r="AR169" s="316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7">
        <f t="shared" si="7"/>
        <v>2</v>
      </c>
      <c r="BK169" s="38">
        <f t="shared" si="8"/>
        <v>2</v>
      </c>
    </row>
    <row r="170" spans="2:63" s="300" customFormat="1" ht="24" customHeight="1">
      <c r="B170" s="321">
        <v>156</v>
      </c>
      <c r="C170" s="321" t="s">
        <v>39</v>
      </c>
      <c r="D170" s="299">
        <v>30485875</v>
      </c>
      <c r="E170" s="326" t="s">
        <v>1569</v>
      </c>
      <c r="F170" s="327" t="s">
        <v>83</v>
      </c>
      <c r="G170" s="27" t="s">
        <v>1368</v>
      </c>
      <c r="H170" s="319" t="s">
        <v>1389</v>
      </c>
      <c r="I170" s="325" t="s">
        <v>52</v>
      </c>
      <c r="J170" s="310">
        <v>54500</v>
      </c>
      <c r="K170" s="310">
        <v>0</v>
      </c>
      <c r="L170" s="310">
        <v>54498</v>
      </c>
      <c r="M170" s="310"/>
      <c r="N170" s="310"/>
      <c r="O170" s="310"/>
      <c r="P170" s="310"/>
      <c r="Q170" s="310"/>
      <c r="R170" s="310"/>
      <c r="S170" s="310"/>
      <c r="T170" s="310"/>
      <c r="U170" s="310"/>
      <c r="V170" s="310"/>
      <c r="W170" s="310"/>
      <c r="X170" s="310"/>
      <c r="Y170" s="31">
        <f t="shared" si="6"/>
        <v>0</v>
      </c>
      <c r="Z170" s="311">
        <v>2</v>
      </c>
      <c r="AA170" s="312">
        <v>40</v>
      </c>
      <c r="AB170" s="313">
        <v>44417</v>
      </c>
      <c r="AC170" s="313">
        <v>44428</v>
      </c>
      <c r="AD170" s="311"/>
      <c r="AE170" s="318"/>
      <c r="AF170" s="316"/>
      <c r="AG170" s="313"/>
      <c r="AH170" s="311"/>
      <c r="AI170" s="312"/>
      <c r="AJ170" s="316"/>
      <c r="AK170" s="315"/>
      <c r="AL170" s="311"/>
      <c r="AM170" s="312"/>
      <c r="AN170" s="316"/>
      <c r="AO170" s="315"/>
      <c r="AP170" s="311"/>
      <c r="AQ170" s="312"/>
      <c r="AR170" s="316"/>
      <c r="AS170" s="315"/>
      <c r="AT170" s="315"/>
      <c r="AU170" s="315"/>
      <c r="AV170" s="315"/>
      <c r="AW170" s="315"/>
      <c r="AX170" s="315"/>
      <c r="AY170" s="315"/>
      <c r="AZ170" s="315"/>
      <c r="BA170" s="315"/>
      <c r="BB170" s="315"/>
      <c r="BC170" s="315"/>
      <c r="BD170" s="315"/>
      <c r="BE170" s="315"/>
      <c r="BF170" s="315"/>
      <c r="BG170" s="315"/>
      <c r="BH170" s="315"/>
      <c r="BI170" s="315"/>
      <c r="BJ170" s="37">
        <f t="shared" si="7"/>
        <v>2</v>
      </c>
      <c r="BK170" s="38">
        <f t="shared" si="8"/>
        <v>2</v>
      </c>
    </row>
    <row r="171" spans="2:63" s="300" customFormat="1" ht="24" customHeight="1">
      <c r="B171" s="321">
        <v>157</v>
      </c>
      <c r="C171" s="321" t="s">
        <v>39</v>
      </c>
      <c r="D171" s="299">
        <v>40002184</v>
      </c>
      <c r="E171" s="328" t="s">
        <v>1570</v>
      </c>
      <c r="F171" s="327" t="s">
        <v>51</v>
      </c>
      <c r="G171" s="27" t="s">
        <v>1368</v>
      </c>
      <c r="H171" s="319" t="s">
        <v>1453</v>
      </c>
      <c r="I171" s="325" t="s">
        <v>52</v>
      </c>
      <c r="J171" s="310">
        <v>855249</v>
      </c>
      <c r="K171" s="310">
        <v>0</v>
      </c>
      <c r="L171" s="310">
        <v>855248</v>
      </c>
      <c r="M171" s="310"/>
      <c r="N171" s="310"/>
      <c r="O171" s="310"/>
      <c r="P171" s="310"/>
      <c r="Q171" s="310"/>
      <c r="R171" s="310"/>
      <c r="S171" s="310"/>
      <c r="T171" s="310"/>
      <c r="U171" s="310"/>
      <c r="V171" s="310"/>
      <c r="W171" s="310"/>
      <c r="X171" s="310"/>
      <c r="Y171" s="31">
        <f t="shared" si="6"/>
        <v>0</v>
      </c>
      <c r="Z171" s="311">
        <v>1</v>
      </c>
      <c r="AA171" s="312">
        <v>40</v>
      </c>
      <c r="AB171" s="313">
        <v>44417</v>
      </c>
      <c r="AC171" s="313">
        <v>44428</v>
      </c>
      <c r="AD171" s="311"/>
      <c r="AE171" s="318"/>
      <c r="AF171" s="316"/>
      <c r="AG171" s="313"/>
      <c r="AH171" s="311"/>
      <c r="AI171" s="312"/>
      <c r="AJ171" s="316"/>
      <c r="AK171" s="315"/>
      <c r="AL171" s="311"/>
      <c r="AM171" s="312"/>
      <c r="AN171" s="316"/>
      <c r="AO171" s="315"/>
      <c r="AP171" s="311"/>
      <c r="AQ171" s="312"/>
      <c r="AR171" s="316"/>
      <c r="AS171" s="315"/>
      <c r="AT171" s="315"/>
      <c r="AU171" s="315"/>
      <c r="AV171" s="315"/>
      <c r="AW171" s="315"/>
      <c r="AX171" s="315"/>
      <c r="AY171" s="315"/>
      <c r="AZ171" s="315"/>
      <c r="BA171" s="315"/>
      <c r="BB171" s="315"/>
      <c r="BC171" s="315"/>
      <c r="BD171" s="315"/>
      <c r="BE171" s="315"/>
      <c r="BF171" s="315"/>
      <c r="BG171" s="315"/>
      <c r="BH171" s="315"/>
      <c r="BI171" s="315"/>
      <c r="BJ171" s="37">
        <f t="shared" si="7"/>
        <v>1</v>
      </c>
      <c r="BK171" s="38">
        <f t="shared" si="8"/>
        <v>1</v>
      </c>
    </row>
    <row r="172" spans="2:63" s="300" customFormat="1" ht="24" customHeight="1">
      <c r="B172" s="321">
        <v>158</v>
      </c>
      <c r="C172" s="321" t="s">
        <v>39</v>
      </c>
      <c r="D172" s="299">
        <v>40029803</v>
      </c>
      <c r="E172" s="328" t="s">
        <v>1571</v>
      </c>
      <c r="F172" s="327" t="s">
        <v>51</v>
      </c>
      <c r="G172" s="27" t="s">
        <v>1368</v>
      </c>
      <c r="H172" s="319" t="s">
        <v>1453</v>
      </c>
      <c r="I172" s="325" t="s">
        <v>52</v>
      </c>
      <c r="J172" s="310">
        <v>643133</v>
      </c>
      <c r="K172" s="310">
        <v>0</v>
      </c>
      <c r="L172" s="310">
        <v>643129</v>
      </c>
      <c r="M172" s="310"/>
      <c r="N172" s="310"/>
      <c r="O172" s="310"/>
      <c r="P172" s="310"/>
      <c r="Q172" s="310"/>
      <c r="R172" s="310"/>
      <c r="S172" s="310"/>
      <c r="T172" s="310"/>
      <c r="U172" s="310"/>
      <c r="V172" s="310"/>
      <c r="W172" s="310"/>
      <c r="X172" s="310"/>
      <c r="Y172" s="31">
        <f t="shared" si="6"/>
        <v>0</v>
      </c>
      <c r="Z172" s="311">
        <v>4</v>
      </c>
      <c r="AA172" s="312">
        <v>40</v>
      </c>
      <c r="AB172" s="313">
        <v>44417</v>
      </c>
      <c r="AC172" s="313">
        <v>44428</v>
      </c>
      <c r="AD172" s="311"/>
      <c r="AE172" s="318"/>
      <c r="AF172" s="316"/>
      <c r="AG172" s="313"/>
      <c r="AH172" s="311"/>
      <c r="AI172" s="312"/>
      <c r="AJ172" s="316"/>
      <c r="AK172" s="315"/>
      <c r="AL172" s="311"/>
      <c r="AM172" s="312"/>
      <c r="AN172" s="316"/>
      <c r="AO172" s="315"/>
      <c r="AP172" s="311"/>
      <c r="AQ172" s="312"/>
      <c r="AR172" s="316"/>
      <c r="AS172" s="315"/>
      <c r="AT172" s="315"/>
      <c r="AU172" s="315"/>
      <c r="AV172" s="315"/>
      <c r="AW172" s="315"/>
      <c r="AX172" s="315"/>
      <c r="AY172" s="315"/>
      <c r="AZ172" s="315"/>
      <c r="BA172" s="315"/>
      <c r="BB172" s="315"/>
      <c r="BC172" s="315"/>
      <c r="BD172" s="315"/>
      <c r="BE172" s="315"/>
      <c r="BF172" s="315"/>
      <c r="BG172" s="315"/>
      <c r="BH172" s="315"/>
      <c r="BI172" s="315"/>
      <c r="BJ172" s="37">
        <f t="shared" si="7"/>
        <v>4</v>
      </c>
      <c r="BK172" s="38">
        <f t="shared" si="8"/>
        <v>4</v>
      </c>
    </row>
    <row r="173" spans="2:63" s="300" customFormat="1" ht="24" customHeight="1">
      <c r="B173" s="321">
        <v>159</v>
      </c>
      <c r="C173" s="321" t="s">
        <v>65</v>
      </c>
      <c r="D173" s="299">
        <v>40025840</v>
      </c>
      <c r="E173" s="328" t="s">
        <v>1572</v>
      </c>
      <c r="F173" s="327" t="s">
        <v>51</v>
      </c>
      <c r="G173" s="27" t="s">
        <v>1368</v>
      </c>
      <c r="H173" s="319" t="s">
        <v>1387</v>
      </c>
      <c r="I173" s="325" t="s">
        <v>52</v>
      </c>
      <c r="J173" s="310">
        <v>200410</v>
      </c>
      <c r="K173" s="310">
        <v>0</v>
      </c>
      <c r="L173" s="310">
        <v>200409</v>
      </c>
      <c r="M173" s="310"/>
      <c r="N173" s="310"/>
      <c r="O173" s="310"/>
      <c r="P173" s="310"/>
      <c r="Q173" s="310"/>
      <c r="R173" s="310"/>
      <c r="S173" s="310"/>
      <c r="T173" s="310"/>
      <c r="U173" s="310"/>
      <c r="V173" s="310"/>
      <c r="W173" s="310"/>
      <c r="X173" s="310"/>
      <c r="Y173" s="31">
        <f t="shared" si="6"/>
        <v>0</v>
      </c>
      <c r="Z173" s="311">
        <v>1</v>
      </c>
      <c r="AA173" s="312">
        <v>42</v>
      </c>
      <c r="AB173" s="313">
        <v>44432</v>
      </c>
      <c r="AC173" s="313">
        <v>44449</v>
      </c>
      <c r="AD173" s="311"/>
      <c r="AE173" s="318"/>
      <c r="AF173" s="316"/>
      <c r="AG173" s="313"/>
      <c r="AH173" s="311"/>
      <c r="AI173" s="312"/>
      <c r="AJ173" s="316"/>
      <c r="AK173" s="315"/>
      <c r="AL173" s="311"/>
      <c r="AM173" s="312"/>
      <c r="AN173" s="316"/>
      <c r="AO173" s="315"/>
      <c r="AP173" s="311"/>
      <c r="AQ173" s="312"/>
      <c r="AR173" s="316"/>
      <c r="AS173" s="315"/>
      <c r="AT173" s="315"/>
      <c r="AU173" s="315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5"/>
      <c r="BI173" s="315"/>
      <c r="BJ173" s="37">
        <f t="shared" si="7"/>
        <v>1</v>
      </c>
      <c r="BK173" s="38">
        <f t="shared" si="8"/>
        <v>1</v>
      </c>
    </row>
    <row r="174" spans="2:63" s="300" customFormat="1" ht="24" customHeight="1">
      <c r="B174" s="321">
        <v>160</v>
      </c>
      <c r="C174" s="321" t="s">
        <v>65</v>
      </c>
      <c r="D174" s="299">
        <v>30399498</v>
      </c>
      <c r="E174" s="328" t="s">
        <v>1573</v>
      </c>
      <c r="F174" s="327" t="s">
        <v>51</v>
      </c>
      <c r="G174" s="27" t="s">
        <v>1368</v>
      </c>
      <c r="H174" s="319" t="s">
        <v>1369</v>
      </c>
      <c r="I174" s="325" t="s">
        <v>52</v>
      </c>
      <c r="J174" s="310">
        <v>34194</v>
      </c>
      <c r="K174" s="310">
        <v>0</v>
      </c>
      <c r="L174" s="310">
        <v>34193</v>
      </c>
      <c r="M174" s="310"/>
      <c r="N174" s="310"/>
      <c r="O174" s="310"/>
      <c r="P174" s="310"/>
      <c r="Q174" s="310"/>
      <c r="R174" s="310"/>
      <c r="S174" s="310"/>
      <c r="T174" s="310"/>
      <c r="U174" s="310"/>
      <c r="V174" s="310"/>
      <c r="W174" s="310"/>
      <c r="X174" s="310"/>
      <c r="Y174" s="31">
        <f t="shared" si="6"/>
        <v>0</v>
      </c>
      <c r="Z174" s="311">
        <v>1</v>
      </c>
      <c r="AA174" s="312">
        <v>42</v>
      </c>
      <c r="AB174" s="313">
        <v>44432</v>
      </c>
      <c r="AC174" s="313">
        <v>44449</v>
      </c>
      <c r="AD174" s="311"/>
      <c r="AE174" s="318"/>
      <c r="AF174" s="316"/>
      <c r="AG174" s="313"/>
      <c r="AH174" s="311"/>
      <c r="AI174" s="312"/>
      <c r="AJ174" s="316"/>
      <c r="AK174" s="315"/>
      <c r="AL174" s="311"/>
      <c r="AM174" s="312"/>
      <c r="AN174" s="316"/>
      <c r="AO174" s="315"/>
      <c r="AP174" s="311"/>
      <c r="AQ174" s="312"/>
      <c r="AR174" s="316"/>
      <c r="AS174" s="315"/>
      <c r="AT174" s="315"/>
      <c r="AU174" s="315"/>
      <c r="AV174" s="315"/>
      <c r="AW174" s="315"/>
      <c r="AX174" s="315"/>
      <c r="AY174" s="315"/>
      <c r="AZ174" s="315"/>
      <c r="BA174" s="315"/>
      <c r="BB174" s="315"/>
      <c r="BC174" s="315"/>
      <c r="BD174" s="315"/>
      <c r="BE174" s="315"/>
      <c r="BF174" s="315"/>
      <c r="BG174" s="315"/>
      <c r="BH174" s="315"/>
      <c r="BI174" s="315"/>
      <c r="BJ174" s="37">
        <f t="shared" si="7"/>
        <v>1</v>
      </c>
      <c r="BK174" s="38">
        <f t="shared" si="8"/>
        <v>1</v>
      </c>
    </row>
    <row r="175" spans="2:63" s="300" customFormat="1" ht="24" customHeight="1">
      <c r="B175" s="321">
        <v>161</v>
      </c>
      <c r="C175" s="321" t="s">
        <v>39</v>
      </c>
      <c r="D175" s="299">
        <v>40009921</v>
      </c>
      <c r="E175" s="328" t="s">
        <v>1574</v>
      </c>
      <c r="F175" s="327" t="s">
        <v>51</v>
      </c>
      <c r="G175" s="27" t="s">
        <v>1368</v>
      </c>
      <c r="H175" s="319" t="s">
        <v>1436</v>
      </c>
      <c r="I175" s="325" t="s">
        <v>52</v>
      </c>
      <c r="J175" s="310">
        <v>200142</v>
      </c>
      <c r="K175" s="310">
        <v>0</v>
      </c>
      <c r="L175" s="310">
        <v>200142</v>
      </c>
      <c r="M175" s="310"/>
      <c r="N175" s="310"/>
      <c r="O175" s="310"/>
      <c r="P175" s="310"/>
      <c r="Q175" s="310"/>
      <c r="R175" s="310"/>
      <c r="S175" s="310"/>
      <c r="T175" s="310"/>
      <c r="U175" s="310"/>
      <c r="V175" s="310"/>
      <c r="W175" s="310"/>
      <c r="X175" s="310"/>
      <c r="Y175" s="31">
        <f t="shared" si="6"/>
        <v>0</v>
      </c>
      <c r="Z175" s="311">
        <v>200142</v>
      </c>
      <c r="AA175" s="312">
        <v>42</v>
      </c>
      <c r="AB175" s="313">
        <v>44432</v>
      </c>
      <c r="AC175" s="313">
        <v>44449</v>
      </c>
      <c r="AD175" s="311"/>
      <c r="AE175" s="318"/>
      <c r="AF175" s="316"/>
      <c r="AG175" s="313"/>
      <c r="AH175" s="311"/>
      <c r="AI175" s="312"/>
      <c r="AJ175" s="316"/>
      <c r="AK175" s="315"/>
      <c r="AL175" s="311"/>
      <c r="AM175" s="312"/>
      <c r="AN175" s="316"/>
      <c r="AO175" s="315"/>
      <c r="AP175" s="311"/>
      <c r="AQ175" s="312"/>
      <c r="AR175" s="316"/>
      <c r="AS175" s="315"/>
      <c r="AT175" s="315"/>
      <c r="AU175" s="315"/>
      <c r="AV175" s="315"/>
      <c r="AW175" s="315"/>
      <c r="AX175" s="315"/>
      <c r="AY175" s="315"/>
      <c r="AZ175" s="315"/>
      <c r="BA175" s="315"/>
      <c r="BB175" s="315"/>
      <c r="BC175" s="315"/>
      <c r="BD175" s="315"/>
      <c r="BE175" s="315"/>
      <c r="BF175" s="315"/>
      <c r="BG175" s="315"/>
      <c r="BH175" s="315"/>
      <c r="BI175" s="315"/>
      <c r="BJ175" s="37">
        <f t="shared" si="7"/>
        <v>200142</v>
      </c>
      <c r="BK175" s="38">
        <f>+BJ175-Y175</f>
        <v>200142</v>
      </c>
    </row>
    <row r="176" spans="2:63" s="300" customFormat="1" ht="24" customHeight="1">
      <c r="B176" s="321"/>
      <c r="C176" s="321"/>
      <c r="D176" s="299"/>
      <c r="E176" s="326"/>
      <c r="F176" s="327"/>
      <c r="G176" s="27"/>
      <c r="H176" s="319"/>
      <c r="I176" s="326"/>
      <c r="J176" s="310"/>
      <c r="K176" s="310"/>
      <c r="L176" s="310"/>
      <c r="M176" s="310"/>
      <c r="N176" s="310"/>
      <c r="O176" s="310"/>
      <c r="P176" s="310"/>
      <c r="Q176" s="310"/>
      <c r="R176" s="310"/>
      <c r="S176" s="310"/>
      <c r="T176" s="310"/>
      <c r="U176" s="310"/>
      <c r="V176" s="310"/>
      <c r="W176" s="310"/>
      <c r="X176" s="310"/>
      <c r="Y176" s="31"/>
      <c r="Z176" s="311"/>
      <c r="AA176" s="312"/>
      <c r="AB176" s="313"/>
      <c r="AC176" s="313"/>
      <c r="AD176" s="311"/>
      <c r="AE176" s="318"/>
      <c r="AF176" s="316"/>
      <c r="AG176" s="313"/>
      <c r="AH176" s="311"/>
      <c r="AI176" s="312"/>
      <c r="AJ176" s="316"/>
      <c r="AK176" s="315"/>
      <c r="AL176" s="311"/>
      <c r="AM176" s="312"/>
      <c r="AN176" s="316"/>
      <c r="AO176" s="315"/>
      <c r="AP176" s="311"/>
      <c r="AQ176" s="312"/>
      <c r="AR176" s="316"/>
      <c r="AS176" s="315"/>
      <c r="AT176" s="315"/>
      <c r="AU176" s="315"/>
      <c r="AV176" s="315"/>
      <c r="AW176" s="315"/>
      <c r="AX176" s="315"/>
      <c r="AY176" s="315"/>
      <c r="AZ176" s="315"/>
      <c r="BA176" s="315"/>
      <c r="BB176" s="315"/>
      <c r="BC176" s="315"/>
      <c r="BD176" s="315"/>
      <c r="BE176" s="315"/>
      <c r="BF176" s="315"/>
      <c r="BG176" s="315"/>
      <c r="BH176" s="315"/>
      <c r="BI176" s="315"/>
      <c r="BJ176" s="177"/>
      <c r="BK176" s="178"/>
    </row>
    <row r="177" spans="2:63" s="300" customFormat="1" ht="24" customHeight="1">
      <c r="B177" s="321"/>
      <c r="C177" s="321"/>
      <c r="D177" s="299"/>
      <c r="E177" s="326"/>
      <c r="F177" s="326"/>
      <c r="G177" s="319"/>
      <c r="H177" s="319"/>
      <c r="I177" s="325"/>
      <c r="J177" s="310"/>
      <c r="K177" s="310"/>
      <c r="L177" s="310"/>
      <c r="M177" s="310"/>
      <c r="N177" s="310"/>
      <c r="O177" s="310"/>
      <c r="P177" s="310"/>
      <c r="Q177" s="310"/>
      <c r="R177" s="310"/>
      <c r="S177" s="310"/>
      <c r="T177" s="310"/>
      <c r="U177" s="310"/>
      <c r="V177" s="310"/>
      <c r="W177" s="310"/>
      <c r="X177" s="310"/>
      <c r="Y177" s="31">
        <f t="shared" ref="Y177" si="9">SUM(M177:X177)</f>
        <v>0</v>
      </c>
      <c r="Z177" s="311"/>
      <c r="AA177" s="312"/>
      <c r="AB177" s="316"/>
      <c r="AC177" s="313"/>
      <c r="AD177" s="311"/>
      <c r="AE177" s="318"/>
      <c r="AF177" s="316"/>
      <c r="AG177" s="313"/>
      <c r="AH177" s="311"/>
      <c r="AI177" s="312"/>
      <c r="AJ177" s="316"/>
      <c r="AK177" s="315"/>
      <c r="AL177" s="311"/>
      <c r="AM177" s="312"/>
      <c r="AN177" s="316"/>
      <c r="AO177" s="315"/>
      <c r="AP177" s="311"/>
      <c r="AQ177" s="312"/>
      <c r="AR177" s="316"/>
      <c r="AS177" s="315"/>
      <c r="AT177" s="315"/>
      <c r="AU177" s="315"/>
      <c r="AV177" s="315"/>
      <c r="AW177" s="315"/>
      <c r="AX177" s="315"/>
      <c r="AY177" s="315"/>
      <c r="AZ177" s="315"/>
      <c r="BA177" s="315"/>
      <c r="BB177" s="315"/>
      <c r="BC177" s="315"/>
      <c r="BD177" s="315"/>
      <c r="BE177" s="315"/>
      <c r="BF177" s="315"/>
      <c r="BG177" s="315"/>
      <c r="BH177" s="315"/>
      <c r="BI177" s="315"/>
      <c r="BJ177" s="177"/>
      <c r="BK177" s="178"/>
    </row>
    <row r="178" spans="2:63" ht="15" customHeight="1">
      <c r="B178" s="732" t="s">
        <v>134</v>
      </c>
      <c r="C178" s="732"/>
      <c r="D178" s="732"/>
      <c r="E178" s="732"/>
      <c r="F178" s="732"/>
      <c r="G178" s="732"/>
      <c r="H178" s="732"/>
      <c r="I178" s="732"/>
      <c r="J178" s="121"/>
      <c r="K178" s="59">
        <f>SUBTOTAL(9,K16:K175)</f>
        <v>80507274</v>
      </c>
      <c r="L178" s="59">
        <f t="shared" ref="L178:Z178" si="10">SUBTOTAL(9,L16:L175)</f>
        <v>134060877</v>
      </c>
      <c r="M178" s="59">
        <f t="shared" si="10"/>
        <v>0</v>
      </c>
      <c r="N178" s="59">
        <f t="shared" si="10"/>
        <v>889077</v>
      </c>
      <c r="O178" s="59">
        <f t="shared" si="10"/>
        <v>1500833</v>
      </c>
      <c r="P178" s="59">
        <f t="shared" si="10"/>
        <v>2700740</v>
      </c>
      <c r="Q178" s="59">
        <f t="shared" si="10"/>
        <v>1070353</v>
      </c>
      <c r="R178" s="59">
        <f t="shared" si="10"/>
        <v>1204232</v>
      </c>
      <c r="S178" s="59">
        <f t="shared" si="10"/>
        <v>1750455</v>
      </c>
      <c r="T178" s="59">
        <f t="shared" si="10"/>
        <v>1767650</v>
      </c>
      <c r="U178" s="59">
        <f t="shared" si="10"/>
        <v>1307839</v>
      </c>
      <c r="V178" s="59">
        <f t="shared" si="10"/>
        <v>0</v>
      </c>
      <c r="W178" s="59">
        <f t="shared" si="10"/>
        <v>0</v>
      </c>
      <c r="X178" s="59">
        <f t="shared" si="10"/>
        <v>0</v>
      </c>
      <c r="Y178" s="59">
        <f t="shared" si="10"/>
        <v>12191179</v>
      </c>
      <c r="Z178" s="59">
        <f t="shared" si="10"/>
        <v>20100583</v>
      </c>
      <c r="AA178" s="59"/>
      <c r="AB178" s="59"/>
      <c r="AC178" s="59"/>
      <c r="AD178" s="59">
        <f t="shared" ref="AD178" si="11">SUBTOTAL(9,AD16:AD175)</f>
        <v>5072757</v>
      </c>
      <c r="AE178" s="59"/>
      <c r="AF178" s="59"/>
      <c r="AG178" s="59"/>
      <c r="AH178" s="59">
        <f t="shared" ref="AH178" si="12">SUBTOTAL(9,AH16:AH175)</f>
        <v>-2338854</v>
      </c>
      <c r="AI178" s="59"/>
      <c r="AJ178" s="59"/>
      <c r="AK178" s="59"/>
      <c r="AL178" s="59">
        <f t="shared" ref="AL178" si="13">SUBTOTAL(9,AL16:AL175)</f>
        <v>-193959</v>
      </c>
      <c r="AM178" s="59"/>
      <c r="AN178" s="59"/>
      <c r="AO178" s="59"/>
      <c r="AP178" s="59">
        <f t="shared" ref="AP178" si="14">SUBTOTAL(9,AP16:AP175)</f>
        <v>0</v>
      </c>
      <c r="AQ178" s="59"/>
      <c r="AR178" s="59"/>
      <c r="AS178" s="59"/>
      <c r="AT178" s="59">
        <f t="shared" ref="AT178" si="15">SUBTOTAL(9,AT16:AT175)</f>
        <v>0</v>
      </c>
      <c r="AU178" s="59"/>
      <c r="AV178" s="59"/>
      <c r="AW178" s="59"/>
      <c r="AX178" s="59">
        <f t="shared" ref="AX178" si="16">SUBTOTAL(9,AX16:AX175)</f>
        <v>0</v>
      </c>
      <c r="AY178" s="59"/>
      <c r="AZ178" s="59"/>
      <c r="BA178" s="59"/>
      <c r="BB178" s="59">
        <f t="shared" ref="BB178" si="17">SUBTOTAL(9,BB16:BB175)</f>
        <v>0</v>
      </c>
      <c r="BC178" s="59"/>
      <c r="BD178" s="59"/>
      <c r="BE178" s="59"/>
      <c r="BF178" s="59">
        <f t="shared" ref="BF178" si="18">SUBTOTAL(9,BF16:BF175)</f>
        <v>0</v>
      </c>
      <c r="BG178" s="59"/>
      <c r="BH178" s="59"/>
      <c r="BI178" s="59"/>
      <c r="BJ178" s="59">
        <f>SUBTOTAL(9,BJ16:BJ175)</f>
        <v>22640527</v>
      </c>
      <c r="BK178" s="59">
        <f>SUBTOTAL(9,BK16:BK142)</f>
        <v>9951558</v>
      </c>
    </row>
    <row r="179" spans="2:63" s="123" customFormat="1">
      <c r="B179" s="125"/>
      <c r="D179" s="125"/>
      <c r="AA179" s="74"/>
      <c r="AE179" s="124"/>
      <c r="AI179" s="74"/>
      <c r="AM179" s="74"/>
      <c r="AQ179" s="74"/>
    </row>
    <row r="180" spans="2:63" s="123" customFormat="1" ht="15">
      <c r="B180" s="125"/>
      <c r="D180" s="125"/>
      <c r="AA180" s="74"/>
      <c r="AE180" s="124"/>
      <c r="AI180" s="74"/>
      <c r="AM180" s="74"/>
      <c r="AQ180" s="74"/>
      <c r="BI180" s="123" t="s">
        <v>135</v>
      </c>
      <c r="BJ180" s="329">
        <f>19900414+4231639+200169-1691695</f>
        <v>22640527</v>
      </c>
    </row>
    <row r="181" spans="2:63" s="123" customFormat="1" ht="15">
      <c r="B181" s="125"/>
      <c r="D181" s="125"/>
      <c r="Z181" s="124"/>
      <c r="AA181" s="74"/>
      <c r="AE181" s="124"/>
      <c r="AI181" s="74"/>
      <c r="AM181" s="74"/>
      <c r="AQ181" s="74"/>
      <c r="BI181" s="123" t="s">
        <v>136</v>
      </c>
      <c r="BJ181" s="329">
        <v>22640527</v>
      </c>
    </row>
    <row r="182" spans="2:63" s="123" customFormat="1" ht="15">
      <c r="B182" s="125"/>
      <c r="D182" s="125"/>
      <c r="AA182" s="74"/>
      <c r="AE182" s="124"/>
      <c r="AI182" s="74"/>
      <c r="AM182" s="74"/>
      <c r="AQ182" s="74"/>
      <c r="BJ182" s="329">
        <f>+BJ180-BJ181</f>
        <v>0</v>
      </c>
    </row>
    <row r="183" spans="2:63" s="123" customFormat="1">
      <c r="B183" s="125"/>
      <c r="D183" s="125"/>
      <c r="Y183" s="297"/>
      <c r="AA183" s="74"/>
      <c r="AE183" s="124"/>
      <c r="AI183" s="74"/>
      <c r="AM183" s="74"/>
      <c r="AQ183" s="74"/>
      <c r="BJ183" s="124"/>
    </row>
    <row r="184" spans="2:63" s="123" customFormat="1">
      <c r="B184" s="125"/>
      <c r="D184" s="125"/>
      <c r="Y184" s="297"/>
      <c r="AA184" s="74"/>
      <c r="AE184" s="124"/>
      <c r="AI184" s="74"/>
      <c r="AM184" s="74"/>
      <c r="AQ184" s="74"/>
    </row>
    <row r="185" spans="2:63" s="123" customFormat="1">
      <c r="B185" s="125"/>
      <c r="D185" s="125"/>
      <c r="Y185" s="330"/>
      <c r="AA185" s="74"/>
      <c r="AE185" s="124"/>
      <c r="AI185" s="74"/>
      <c r="AM185" s="74"/>
      <c r="AQ185" s="74"/>
    </row>
    <row r="186" spans="2:63" s="123" customFormat="1">
      <c r="B186" s="125"/>
      <c r="D186" s="125"/>
      <c r="AA186" s="74"/>
      <c r="AE186" s="124"/>
      <c r="AI186" s="74"/>
      <c r="AM186" s="74"/>
      <c r="AQ186" s="74"/>
      <c r="BI186" s="142"/>
    </row>
    <row r="187" spans="2:63" s="123" customFormat="1">
      <c r="B187" s="125"/>
      <c r="D187" s="125"/>
      <c r="AA187" s="74"/>
      <c r="AE187" s="124"/>
      <c r="AI187" s="74"/>
      <c r="AM187" s="74"/>
      <c r="AQ187" s="74"/>
    </row>
    <row r="188" spans="2:63" s="123" customFormat="1">
      <c r="B188" s="125"/>
      <c r="D188" s="125"/>
      <c r="AA188" s="74"/>
      <c r="AE188" s="124"/>
      <c r="AI188" s="74"/>
      <c r="AM188" s="74"/>
      <c r="AQ188" s="74"/>
    </row>
    <row r="189" spans="2:63" s="123" customFormat="1">
      <c r="B189" s="125"/>
      <c r="D189" s="125"/>
      <c r="AA189" s="74"/>
      <c r="AE189" s="124"/>
      <c r="AI189" s="74"/>
      <c r="AM189" s="74"/>
      <c r="AQ189" s="74"/>
    </row>
    <row r="190" spans="2:63" s="123" customFormat="1">
      <c r="B190" s="125"/>
      <c r="D190" s="125"/>
      <c r="AA190" s="74"/>
      <c r="AE190" s="124"/>
      <c r="AI190" s="74"/>
      <c r="AM190" s="74"/>
      <c r="AQ190" s="74"/>
    </row>
    <row r="191" spans="2:63" s="123" customFormat="1">
      <c r="B191" s="125"/>
      <c r="D191" s="125"/>
      <c r="AA191" s="74"/>
      <c r="AE191" s="124"/>
      <c r="AI191" s="74"/>
      <c r="AM191" s="74"/>
      <c r="AQ191" s="74"/>
    </row>
    <row r="192" spans="2:63" s="123" customFormat="1">
      <c r="B192" s="125"/>
      <c r="D192" s="125"/>
      <c r="AA192" s="74"/>
      <c r="AE192" s="124"/>
      <c r="AI192" s="74"/>
      <c r="AM192" s="74"/>
      <c r="AQ192" s="74"/>
    </row>
    <row r="193" spans="2:62" s="123" customFormat="1">
      <c r="B193" s="125"/>
      <c r="D193" s="125"/>
      <c r="AA193" s="74"/>
      <c r="AE193" s="124"/>
      <c r="AI193" s="74"/>
      <c r="AM193" s="74"/>
      <c r="AQ193" s="74"/>
    </row>
    <row r="194" spans="2:62" s="123" customFormat="1">
      <c r="B194" s="125"/>
      <c r="D194" s="125"/>
      <c r="AA194" s="74"/>
      <c r="AE194" s="124"/>
      <c r="AI194" s="74"/>
      <c r="AM194" s="74"/>
      <c r="AQ194" s="74"/>
    </row>
    <row r="195" spans="2:62" s="123" customFormat="1">
      <c r="B195" s="125"/>
      <c r="D195" s="125"/>
      <c r="AA195" s="74"/>
      <c r="AE195" s="124"/>
      <c r="AI195" s="74"/>
      <c r="AM195" s="74"/>
      <c r="AQ195" s="74"/>
      <c r="BJ195" s="124"/>
    </row>
    <row r="196" spans="2:62" s="123" customFormat="1">
      <c r="B196" s="125"/>
      <c r="D196" s="125"/>
      <c r="AA196" s="74"/>
      <c r="AE196" s="124"/>
      <c r="AI196" s="74"/>
      <c r="AM196" s="74"/>
      <c r="AQ196" s="74"/>
    </row>
    <row r="197" spans="2:62" s="123" customFormat="1">
      <c r="B197" s="125"/>
      <c r="D197" s="125"/>
      <c r="AA197" s="74"/>
      <c r="AE197" s="124"/>
      <c r="AI197" s="74"/>
      <c r="AM197" s="74"/>
      <c r="AQ197" s="74"/>
    </row>
    <row r="198" spans="2:62" s="123" customFormat="1">
      <c r="B198" s="125"/>
      <c r="D198" s="125"/>
      <c r="AA198" s="74"/>
      <c r="AE198" s="124"/>
      <c r="AI198" s="74"/>
      <c r="AM198" s="74"/>
      <c r="AQ198" s="74"/>
    </row>
    <row r="199" spans="2:62" s="123" customFormat="1">
      <c r="B199" s="125"/>
      <c r="D199" s="125"/>
      <c r="AA199" s="74"/>
      <c r="AE199" s="124"/>
      <c r="AI199" s="74"/>
      <c r="AM199" s="74"/>
      <c r="AQ199" s="74"/>
    </row>
    <row r="200" spans="2:62" s="123" customFormat="1">
      <c r="B200" s="125"/>
      <c r="D200" s="125"/>
      <c r="AA200" s="74"/>
      <c r="AE200" s="124"/>
      <c r="AI200" s="74"/>
      <c r="AM200" s="74"/>
      <c r="AQ200" s="74"/>
    </row>
    <row r="201" spans="2:62" s="123" customFormat="1">
      <c r="B201" s="125"/>
      <c r="D201" s="125"/>
      <c r="AA201" s="74"/>
      <c r="AE201" s="124"/>
      <c r="AI201" s="74"/>
      <c r="AM201" s="74"/>
      <c r="AQ201" s="74"/>
    </row>
    <row r="202" spans="2:62" s="123" customFormat="1">
      <c r="B202" s="125"/>
      <c r="D202" s="125"/>
      <c r="AA202" s="74"/>
      <c r="AE202" s="124"/>
      <c r="AI202" s="74"/>
      <c r="AM202" s="74"/>
      <c r="AQ202" s="74"/>
    </row>
    <row r="203" spans="2:62" s="123" customFormat="1">
      <c r="B203" s="125"/>
      <c r="D203" s="125"/>
      <c r="AA203" s="74"/>
      <c r="AE203" s="124"/>
      <c r="AI203" s="74"/>
      <c r="AM203" s="74"/>
      <c r="AQ203" s="74"/>
    </row>
    <row r="204" spans="2:62" s="123" customFormat="1">
      <c r="B204" s="125"/>
      <c r="D204" s="125"/>
      <c r="AA204" s="74"/>
      <c r="AE204" s="124"/>
      <c r="AI204" s="74"/>
      <c r="AM204" s="74"/>
      <c r="AQ204" s="74"/>
    </row>
    <row r="205" spans="2:62" s="123" customFormat="1">
      <c r="B205" s="125"/>
      <c r="D205" s="125"/>
      <c r="AA205" s="74"/>
      <c r="AE205" s="124"/>
      <c r="AI205" s="74"/>
      <c r="AM205" s="74"/>
      <c r="AQ205" s="74"/>
    </row>
    <row r="206" spans="2:62" s="123" customFormat="1">
      <c r="B206" s="125"/>
      <c r="D206" s="125"/>
      <c r="AA206" s="74"/>
      <c r="AE206" s="124"/>
      <c r="AI206" s="74"/>
      <c r="AM206" s="74"/>
      <c r="AQ206" s="74"/>
    </row>
    <row r="207" spans="2:62" s="123" customFormat="1">
      <c r="B207" s="125"/>
      <c r="D207" s="125"/>
      <c r="AA207" s="74"/>
      <c r="AE207" s="124"/>
      <c r="AI207" s="74"/>
      <c r="AM207" s="74"/>
      <c r="AQ207" s="74"/>
    </row>
    <row r="208" spans="2:62" s="123" customFormat="1">
      <c r="B208" s="125"/>
      <c r="D208" s="125"/>
      <c r="AA208" s="74"/>
      <c r="AE208" s="124"/>
      <c r="AI208" s="74"/>
      <c r="AM208" s="74"/>
      <c r="AQ208" s="74"/>
    </row>
    <row r="209" spans="2:43" s="123" customFormat="1">
      <c r="B209" s="125"/>
      <c r="D209" s="125"/>
      <c r="AA209" s="74"/>
      <c r="AE209" s="124"/>
      <c r="AI209" s="74"/>
      <c r="AM209" s="74"/>
      <c r="AQ209" s="74"/>
    </row>
    <row r="210" spans="2:43" s="123" customFormat="1">
      <c r="B210" s="125"/>
      <c r="D210" s="125"/>
      <c r="AA210" s="74"/>
      <c r="AE210" s="124"/>
      <c r="AI210" s="74"/>
      <c r="AM210" s="74"/>
      <c r="AQ210" s="74"/>
    </row>
    <row r="211" spans="2:43" s="123" customFormat="1">
      <c r="B211" s="125"/>
      <c r="D211" s="125"/>
      <c r="AA211" s="74"/>
      <c r="AE211" s="124"/>
      <c r="AI211" s="74"/>
      <c r="AM211" s="74"/>
      <c r="AQ211" s="74"/>
    </row>
    <row r="212" spans="2:43" s="123" customFormat="1">
      <c r="B212" s="125"/>
      <c r="D212" s="125"/>
      <c r="AA212" s="74"/>
      <c r="AE212" s="124"/>
      <c r="AI212" s="74"/>
      <c r="AM212" s="74"/>
      <c r="AQ212" s="74"/>
    </row>
    <row r="213" spans="2:43" s="123" customFormat="1">
      <c r="B213" s="125"/>
      <c r="D213" s="125"/>
      <c r="AA213" s="74"/>
      <c r="AE213" s="124"/>
      <c r="AI213" s="74"/>
      <c r="AM213" s="74"/>
      <c r="AQ213" s="74"/>
    </row>
    <row r="214" spans="2:43" s="123" customFormat="1">
      <c r="B214" s="125"/>
      <c r="D214" s="125"/>
      <c r="AA214" s="74"/>
      <c r="AE214" s="124"/>
      <c r="AI214" s="74"/>
      <c r="AM214" s="74"/>
      <c r="AQ214" s="74"/>
    </row>
    <row r="215" spans="2:43" s="123" customFormat="1">
      <c r="B215" s="125"/>
      <c r="D215" s="125"/>
      <c r="AA215" s="74"/>
      <c r="AE215" s="124"/>
      <c r="AI215" s="74"/>
      <c r="AM215" s="74"/>
      <c r="AQ215" s="74"/>
    </row>
    <row r="216" spans="2:43" s="123" customFormat="1">
      <c r="B216" s="125"/>
      <c r="D216" s="125"/>
      <c r="AA216" s="74"/>
      <c r="AE216" s="124"/>
      <c r="AI216" s="74"/>
      <c r="AM216" s="74"/>
      <c r="AQ216" s="74"/>
    </row>
    <row r="217" spans="2:43" s="123" customFormat="1">
      <c r="B217" s="125"/>
      <c r="D217" s="125"/>
      <c r="AA217" s="74"/>
      <c r="AE217" s="124"/>
      <c r="AI217" s="74"/>
      <c r="AM217" s="74"/>
      <c r="AQ217" s="74"/>
    </row>
    <row r="218" spans="2:43" s="123" customFormat="1">
      <c r="B218" s="125"/>
      <c r="D218" s="125"/>
      <c r="AA218" s="74"/>
      <c r="AE218" s="124"/>
      <c r="AI218" s="74"/>
      <c r="AM218" s="74"/>
      <c r="AQ218" s="74"/>
    </row>
    <row r="219" spans="2:43" s="123" customFormat="1">
      <c r="B219" s="125"/>
      <c r="D219" s="125"/>
      <c r="AA219" s="74"/>
      <c r="AE219" s="124"/>
      <c r="AI219" s="74"/>
      <c r="AM219" s="74"/>
      <c r="AQ219" s="74"/>
    </row>
    <row r="220" spans="2:43" s="123" customFormat="1">
      <c r="B220" s="125"/>
      <c r="D220" s="125"/>
      <c r="AA220" s="74"/>
      <c r="AE220" s="124"/>
      <c r="AI220" s="74"/>
      <c r="AM220" s="74"/>
      <c r="AQ220" s="74"/>
    </row>
    <row r="221" spans="2:43" s="123" customFormat="1">
      <c r="B221" s="125"/>
      <c r="D221" s="125"/>
      <c r="AA221" s="74"/>
      <c r="AE221" s="124"/>
      <c r="AI221" s="74"/>
      <c r="AM221" s="74"/>
      <c r="AQ221" s="74"/>
    </row>
    <row r="222" spans="2:43" s="123" customFormat="1">
      <c r="B222" s="125"/>
      <c r="D222" s="125"/>
      <c r="AA222" s="74"/>
      <c r="AE222" s="124"/>
      <c r="AI222" s="74"/>
      <c r="AM222" s="74"/>
      <c r="AQ222" s="74"/>
    </row>
    <row r="223" spans="2:43" s="123" customFormat="1">
      <c r="B223" s="125"/>
      <c r="D223" s="125"/>
      <c r="AA223" s="74"/>
      <c r="AE223" s="124"/>
      <c r="AI223" s="74"/>
      <c r="AM223" s="74"/>
      <c r="AQ223" s="74"/>
    </row>
    <row r="224" spans="2:43" s="123" customFormat="1">
      <c r="B224" s="125"/>
      <c r="D224" s="125"/>
      <c r="AA224" s="74"/>
      <c r="AE224" s="124"/>
      <c r="AI224" s="74"/>
      <c r="AM224" s="74"/>
      <c r="AQ224" s="74"/>
    </row>
    <row r="225" spans="2:43" s="123" customFormat="1">
      <c r="B225" s="125"/>
      <c r="D225" s="125"/>
      <c r="AA225" s="74"/>
      <c r="AE225" s="124"/>
      <c r="AI225" s="74"/>
      <c r="AM225" s="74"/>
      <c r="AQ225" s="74"/>
    </row>
    <row r="226" spans="2:43" s="123" customFormat="1">
      <c r="B226" s="125"/>
      <c r="D226" s="125"/>
      <c r="AA226" s="74"/>
      <c r="AE226" s="124"/>
      <c r="AI226" s="74"/>
      <c r="AM226" s="74"/>
      <c r="AQ226" s="74"/>
    </row>
    <row r="227" spans="2:43" s="123" customFormat="1">
      <c r="B227" s="125"/>
      <c r="D227" s="125"/>
      <c r="AA227" s="74"/>
      <c r="AE227" s="124"/>
      <c r="AI227" s="74"/>
      <c r="AM227" s="74"/>
      <c r="AQ227" s="74"/>
    </row>
    <row r="228" spans="2:43" s="123" customFormat="1">
      <c r="B228" s="125"/>
      <c r="D228" s="125"/>
      <c r="AA228" s="74"/>
      <c r="AE228" s="124"/>
      <c r="AI228" s="74"/>
      <c r="AM228" s="74"/>
      <c r="AQ228" s="74"/>
    </row>
    <row r="229" spans="2:43" s="123" customFormat="1">
      <c r="B229" s="125"/>
      <c r="D229" s="125"/>
      <c r="AA229" s="74"/>
      <c r="AE229" s="124"/>
      <c r="AI229" s="74"/>
      <c r="AM229" s="74"/>
      <c r="AQ229" s="74"/>
    </row>
    <row r="230" spans="2:43" s="123" customFormat="1">
      <c r="B230" s="125"/>
      <c r="D230" s="125"/>
      <c r="AA230" s="74"/>
      <c r="AE230" s="124"/>
      <c r="AI230" s="74"/>
      <c r="AM230" s="74"/>
      <c r="AQ230" s="74"/>
    </row>
    <row r="231" spans="2:43" s="123" customFormat="1">
      <c r="B231" s="125"/>
      <c r="D231" s="125"/>
      <c r="AA231" s="74"/>
      <c r="AE231" s="124"/>
      <c r="AI231" s="74"/>
      <c r="AM231" s="74"/>
      <c r="AQ231" s="74"/>
    </row>
    <row r="232" spans="2:43" s="123" customFormat="1">
      <c r="B232" s="125"/>
      <c r="D232" s="125"/>
      <c r="AA232" s="74"/>
      <c r="AE232" s="124"/>
      <c r="AI232" s="74"/>
      <c r="AM232" s="74"/>
      <c r="AQ232" s="74"/>
    </row>
    <row r="233" spans="2:43" s="123" customFormat="1">
      <c r="B233" s="125"/>
      <c r="D233" s="125"/>
      <c r="AA233" s="74"/>
      <c r="AE233" s="124"/>
      <c r="AI233" s="74"/>
      <c r="AM233" s="74"/>
      <c r="AQ233" s="74"/>
    </row>
    <row r="234" spans="2:43" s="123" customFormat="1">
      <c r="B234" s="125"/>
      <c r="D234" s="125"/>
      <c r="AA234" s="74"/>
      <c r="AE234" s="124"/>
      <c r="AI234" s="74"/>
      <c r="AM234" s="74"/>
      <c r="AQ234" s="74"/>
    </row>
    <row r="235" spans="2:43" s="123" customFormat="1">
      <c r="B235" s="125"/>
      <c r="D235" s="125"/>
      <c r="AA235" s="74"/>
      <c r="AE235" s="124"/>
      <c r="AI235" s="74"/>
      <c r="AM235" s="74"/>
      <c r="AQ235" s="74"/>
    </row>
    <row r="236" spans="2:43" s="123" customFormat="1">
      <c r="B236" s="125"/>
      <c r="D236" s="125"/>
      <c r="AA236" s="74"/>
      <c r="AE236" s="124"/>
      <c r="AI236" s="74"/>
      <c r="AM236" s="74"/>
      <c r="AQ236" s="74"/>
    </row>
    <row r="237" spans="2:43" s="123" customFormat="1">
      <c r="B237" s="125"/>
      <c r="D237" s="125"/>
      <c r="AA237" s="74"/>
      <c r="AE237" s="124"/>
      <c r="AI237" s="74"/>
      <c r="AM237" s="74"/>
      <c r="AQ237" s="74"/>
    </row>
    <row r="238" spans="2:43" s="123" customFormat="1">
      <c r="B238" s="125"/>
      <c r="D238" s="125"/>
      <c r="AA238" s="74"/>
      <c r="AE238" s="124"/>
      <c r="AI238" s="74"/>
      <c r="AM238" s="74"/>
      <c r="AQ238" s="74"/>
    </row>
    <row r="239" spans="2:43" s="123" customFormat="1">
      <c r="B239" s="125"/>
      <c r="D239" s="125"/>
      <c r="AA239" s="74"/>
      <c r="AE239" s="124"/>
      <c r="AI239" s="74"/>
      <c r="AM239" s="74"/>
      <c r="AQ239" s="74"/>
    </row>
    <row r="240" spans="2:43" s="123" customFormat="1">
      <c r="B240" s="125"/>
      <c r="D240" s="125"/>
      <c r="AA240" s="74"/>
      <c r="AE240" s="124"/>
      <c r="AI240" s="74"/>
      <c r="AM240" s="74"/>
      <c r="AQ240" s="74"/>
    </row>
    <row r="241" spans="2:43" s="123" customFormat="1">
      <c r="B241" s="125"/>
      <c r="D241" s="125"/>
      <c r="AA241" s="74"/>
      <c r="AE241" s="124"/>
      <c r="AI241" s="74"/>
      <c r="AM241" s="74"/>
      <c r="AQ241" s="74"/>
    </row>
    <row r="242" spans="2:43" s="123" customFormat="1">
      <c r="B242" s="125"/>
      <c r="D242" s="125"/>
      <c r="AA242" s="74"/>
      <c r="AE242" s="124"/>
      <c r="AI242" s="74"/>
      <c r="AM242" s="74"/>
      <c r="AQ242" s="74"/>
    </row>
    <row r="243" spans="2:43" s="123" customFormat="1">
      <c r="B243" s="125"/>
      <c r="D243" s="125"/>
      <c r="AA243" s="74"/>
      <c r="AE243" s="124"/>
      <c r="AI243" s="74"/>
      <c r="AM243" s="74"/>
      <c r="AQ243" s="74"/>
    </row>
    <row r="244" spans="2:43" s="123" customFormat="1">
      <c r="B244" s="125"/>
      <c r="D244" s="125"/>
      <c r="AA244" s="74"/>
      <c r="AE244" s="124"/>
      <c r="AI244" s="74"/>
      <c r="AM244" s="74"/>
      <c r="AQ244" s="74"/>
    </row>
    <row r="245" spans="2:43" s="123" customFormat="1">
      <c r="B245" s="125"/>
      <c r="D245" s="125"/>
      <c r="AA245" s="74"/>
      <c r="AE245" s="124"/>
      <c r="AI245" s="74"/>
      <c r="AM245" s="74"/>
      <c r="AQ245" s="74"/>
    </row>
    <row r="246" spans="2:43" s="123" customFormat="1">
      <c r="B246" s="125"/>
      <c r="D246" s="125"/>
      <c r="AA246" s="74"/>
      <c r="AE246" s="124"/>
      <c r="AI246" s="74"/>
      <c r="AM246" s="74"/>
      <c r="AQ246" s="74"/>
    </row>
    <row r="247" spans="2:43" s="123" customFormat="1">
      <c r="B247" s="125"/>
      <c r="D247" s="125"/>
      <c r="AA247" s="74"/>
      <c r="AE247" s="124"/>
      <c r="AI247" s="74"/>
      <c r="AM247" s="74"/>
      <c r="AQ247" s="74"/>
    </row>
    <row r="248" spans="2:43" s="123" customFormat="1">
      <c r="B248" s="125"/>
      <c r="D248" s="125"/>
      <c r="AA248" s="74"/>
      <c r="AE248" s="124"/>
      <c r="AI248" s="74"/>
      <c r="AM248" s="74"/>
      <c r="AQ248" s="74"/>
    </row>
    <row r="249" spans="2:43" s="123" customFormat="1">
      <c r="B249" s="125"/>
      <c r="D249" s="125"/>
      <c r="AA249" s="74"/>
      <c r="AE249" s="124"/>
      <c r="AI249" s="74"/>
      <c r="AM249" s="74"/>
      <c r="AQ249" s="74"/>
    </row>
    <row r="250" spans="2:43" s="123" customFormat="1">
      <c r="B250" s="125"/>
      <c r="D250" s="125"/>
      <c r="AA250" s="74"/>
      <c r="AE250" s="124"/>
      <c r="AI250" s="74"/>
      <c r="AM250" s="74"/>
      <c r="AQ250" s="74"/>
    </row>
    <row r="251" spans="2:43" s="123" customFormat="1">
      <c r="B251" s="125"/>
      <c r="D251" s="125"/>
      <c r="AA251" s="74"/>
      <c r="AE251" s="124"/>
      <c r="AI251" s="74"/>
      <c r="AM251" s="74"/>
      <c r="AQ251" s="74"/>
    </row>
    <row r="252" spans="2:43" s="123" customFormat="1">
      <c r="B252" s="125"/>
      <c r="D252" s="125"/>
      <c r="AA252" s="74"/>
      <c r="AE252" s="124"/>
      <c r="AI252" s="74"/>
      <c r="AM252" s="74"/>
      <c r="AQ252" s="74"/>
    </row>
    <row r="253" spans="2:43" s="123" customFormat="1">
      <c r="B253" s="125"/>
      <c r="D253" s="125"/>
      <c r="AA253" s="74"/>
      <c r="AE253" s="124"/>
      <c r="AI253" s="74"/>
      <c r="AM253" s="74"/>
      <c r="AQ253" s="74"/>
    </row>
    <row r="254" spans="2:43" s="123" customFormat="1">
      <c r="B254" s="125"/>
      <c r="D254" s="125"/>
      <c r="AA254" s="74"/>
      <c r="AE254" s="124"/>
      <c r="AI254" s="74"/>
      <c r="AM254" s="74"/>
      <c r="AQ254" s="74"/>
    </row>
    <row r="255" spans="2:43" s="123" customFormat="1">
      <c r="B255" s="125"/>
      <c r="D255" s="125"/>
      <c r="AA255" s="74"/>
      <c r="AE255" s="124"/>
      <c r="AI255" s="74"/>
      <c r="AM255" s="74"/>
      <c r="AQ255" s="74"/>
    </row>
    <row r="256" spans="2:43" s="123" customFormat="1">
      <c r="B256" s="125"/>
      <c r="D256" s="125"/>
      <c r="AA256" s="74"/>
      <c r="AE256" s="124"/>
      <c r="AI256" s="74"/>
      <c r="AM256" s="74"/>
      <c r="AQ256" s="74"/>
    </row>
    <row r="257" spans="2:43" s="123" customFormat="1">
      <c r="B257" s="125"/>
      <c r="D257" s="125"/>
      <c r="AA257" s="74"/>
      <c r="AE257" s="124"/>
      <c r="AI257" s="74"/>
      <c r="AM257" s="74"/>
      <c r="AQ257" s="74"/>
    </row>
    <row r="258" spans="2:43" s="123" customFormat="1">
      <c r="B258" s="125"/>
      <c r="D258" s="125"/>
      <c r="AA258" s="74"/>
      <c r="AE258" s="124"/>
      <c r="AI258" s="74"/>
      <c r="AM258" s="74"/>
      <c r="AQ258" s="74"/>
    </row>
    <row r="259" spans="2:43" s="123" customFormat="1">
      <c r="B259" s="125"/>
      <c r="D259" s="125"/>
      <c r="AA259" s="74"/>
      <c r="AE259" s="124"/>
      <c r="AI259" s="74"/>
      <c r="AM259" s="74"/>
      <c r="AQ259" s="74"/>
    </row>
    <row r="260" spans="2:43" s="123" customFormat="1">
      <c r="B260" s="125"/>
      <c r="D260" s="125"/>
      <c r="AA260" s="74"/>
      <c r="AE260" s="124"/>
      <c r="AI260" s="74"/>
      <c r="AM260" s="74"/>
      <c r="AQ260" s="74"/>
    </row>
    <row r="261" spans="2:43" s="123" customFormat="1">
      <c r="B261" s="125"/>
      <c r="D261" s="125"/>
      <c r="AA261" s="74"/>
      <c r="AE261" s="124"/>
      <c r="AI261" s="74"/>
      <c r="AM261" s="74"/>
      <c r="AQ261" s="74"/>
    </row>
    <row r="262" spans="2:43" s="123" customFormat="1">
      <c r="B262" s="125"/>
      <c r="D262" s="125"/>
      <c r="AA262" s="74"/>
      <c r="AE262" s="124"/>
      <c r="AI262" s="74"/>
      <c r="AM262" s="74"/>
      <c r="AQ262" s="74"/>
    </row>
    <row r="263" spans="2:43" s="123" customFormat="1">
      <c r="B263" s="125"/>
      <c r="D263" s="125"/>
      <c r="AA263" s="74"/>
      <c r="AE263" s="124"/>
      <c r="AI263" s="74"/>
      <c r="AM263" s="74"/>
      <c r="AQ263" s="74"/>
    </row>
    <row r="264" spans="2:43" s="123" customFormat="1">
      <c r="B264" s="125"/>
      <c r="D264" s="125"/>
      <c r="AA264" s="74"/>
      <c r="AE264" s="124"/>
      <c r="AI264" s="74"/>
      <c r="AM264" s="74"/>
      <c r="AQ264" s="74"/>
    </row>
    <row r="265" spans="2:43" s="123" customFormat="1">
      <c r="B265" s="125"/>
      <c r="D265" s="125"/>
      <c r="AA265" s="74"/>
      <c r="AE265" s="124"/>
      <c r="AI265" s="74"/>
      <c r="AM265" s="74"/>
      <c r="AQ265" s="74"/>
    </row>
    <row r="266" spans="2:43" s="123" customFormat="1">
      <c r="B266" s="125"/>
      <c r="D266" s="125"/>
      <c r="AA266" s="74"/>
      <c r="AE266" s="124"/>
      <c r="AI266" s="74"/>
      <c r="AM266" s="74"/>
      <c r="AQ266" s="74"/>
    </row>
    <row r="267" spans="2:43" s="123" customFormat="1">
      <c r="B267" s="125"/>
      <c r="D267" s="125"/>
      <c r="AA267" s="74"/>
      <c r="AE267" s="124"/>
      <c r="AI267" s="74"/>
      <c r="AM267" s="74"/>
      <c r="AQ267" s="74"/>
    </row>
    <row r="268" spans="2:43" s="123" customFormat="1">
      <c r="B268" s="125"/>
      <c r="D268" s="125"/>
      <c r="AA268" s="74"/>
      <c r="AE268" s="124"/>
      <c r="AI268" s="74"/>
      <c r="AM268" s="74"/>
      <c r="AQ268" s="74"/>
    </row>
    <row r="269" spans="2:43" s="123" customFormat="1">
      <c r="B269" s="125"/>
      <c r="D269" s="125"/>
      <c r="AA269" s="74"/>
      <c r="AE269" s="124"/>
      <c r="AI269" s="74"/>
      <c r="AM269" s="74"/>
      <c r="AQ269" s="74"/>
    </row>
    <row r="270" spans="2:43" s="123" customFormat="1">
      <c r="B270" s="125"/>
      <c r="D270" s="125"/>
      <c r="AA270" s="74"/>
      <c r="AE270" s="124"/>
      <c r="AI270" s="74"/>
      <c r="AM270" s="74"/>
      <c r="AQ270" s="74"/>
    </row>
    <row r="271" spans="2:43" s="123" customFormat="1">
      <c r="B271" s="125"/>
      <c r="D271" s="125"/>
      <c r="AA271" s="74"/>
      <c r="AE271" s="124"/>
      <c r="AI271" s="74"/>
      <c r="AM271" s="74"/>
      <c r="AQ271" s="74"/>
    </row>
    <row r="272" spans="2:43" s="123" customFormat="1">
      <c r="B272" s="125"/>
      <c r="D272" s="125"/>
      <c r="AA272" s="74"/>
      <c r="AE272" s="124"/>
      <c r="AI272" s="74"/>
      <c r="AM272" s="74"/>
      <c r="AQ272" s="74"/>
    </row>
    <row r="273" spans="2:43" s="123" customFormat="1">
      <c r="B273" s="125"/>
      <c r="D273" s="125"/>
      <c r="AA273" s="74"/>
      <c r="AE273" s="124"/>
      <c r="AI273" s="74"/>
      <c r="AM273" s="74"/>
      <c r="AQ273" s="74"/>
    </row>
    <row r="274" spans="2:43" s="123" customFormat="1">
      <c r="B274" s="125"/>
      <c r="D274" s="125"/>
      <c r="AA274" s="74"/>
      <c r="AE274" s="124"/>
      <c r="AI274" s="74"/>
      <c r="AM274" s="74"/>
      <c r="AQ274" s="74"/>
    </row>
    <row r="275" spans="2:43" s="123" customFormat="1">
      <c r="B275" s="125"/>
      <c r="D275" s="125"/>
      <c r="AA275" s="74"/>
      <c r="AE275" s="124"/>
      <c r="AI275" s="74"/>
      <c r="AM275" s="74"/>
      <c r="AQ275" s="74"/>
    </row>
    <row r="276" spans="2:43" s="123" customFormat="1">
      <c r="B276" s="125"/>
      <c r="D276" s="125"/>
      <c r="AA276" s="74"/>
      <c r="AE276" s="124"/>
      <c r="AI276" s="74"/>
      <c r="AM276" s="74"/>
      <c r="AQ276" s="74"/>
    </row>
    <row r="277" spans="2:43" s="123" customFormat="1">
      <c r="B277" s="125"/>
      <c r="D277" s="125"/>
      <c r="AA277" s="74"/>
      <c r="AE277" s="124"/>
      <c r="AI277" s="74"/>
      <c r="AM277" s="74"/>
      <c r="AQ277" s="74"/>
    </row>
    <row r="278" spans="2:43" s="123" customFormat="1">
      <c r="B278" s="125"/>
      <c r="D278" s="125"/>
      <c r="AA278" s="74"/>
      <c r="AE278" s="124"/>
      <c r="AI278" s="74"/>
      <c r="AM278" s="74"/>
      <c r="AQ278" s="74"/>
    </row>
    <row r="279" spans="2:43" s="123" customFormat="1">
      <c r="B279" s="125"/>
      <c r="D279" s="125"/>
      <c r="AA279" s="74"/>
      <c r="AE279" s="124"/>
      <c r="AI279" s="74"/>
      <c r="AM279" s="74"/>
      <c r="AQ279" s="74"/>
    </row>
    <row r="280" spans="2:43" s="123" customFormat="1">
      <c r="B280" s="125"/>
      <c r="D280" s="125"/>
      <c r="AA280" s="74"/>
      <c r="AE280" s="124"/>
      <c r="AI280" s="74"/>
      <c r="AM280" s="74"/>
      <c r="AQ280" s="74"/>
    </row>
    <row r="281" spans="2:43" s="123" customFormat="1">
      <c r="B281" s="125"/>
      <c r="D281" s="125"/>
      <c r="AA281" s="74"/>
      <c r="AE281" s="124"/>
      <c r="AI281" s="74"/>
      <c r="AM281" s="74"/>
      <c r="AQ281" s="74"/>
    </row>
    <row r="282" spans="2:43" s="123" customFormat="1">
      <c r="B282" s="125"/>
      <c r="D282" s="125"/>
      <c r="AA282" s="74"/>
      <c r="AE282" s="124"/>
      <c r="AI282" s="74"/>
      <c r="AM282" s="74"/>
      <c r="AQ282" s="74"/>
    </row>
    <row r="283" spans="2:43" s="123" customFormat="1">
      <c r="B283" s="125"/>
      <c r="D283" s="125"/>
      <c r="AA283" s="74"/>
      <c r="AE283" s="124"/>
      <c r="AI283" s="74"/>
      <c r="AM283" s="74"/>
      <c r="AQ283" s="74"/>
    </row>
    <row r="284" spans="2:43" s="123" customFormat="1">
      <c r="B284" s="125"/>
      <c r="D284" s="125"/>
      <c r="AA284" s="74"/>
      <c r="AE284" s="124"/>
      <c r="AI284" s="74"/>
      <c r="AM284" s="74"/>
      <c r="AQ284" s="74"/>
    </row>
    <row r="285" spans="2:43" s="123" customFormat="1">
      <c r="B285" s="125"/>
      <c r="D285" s="125"/>
      <c r="AA285" s="74"/>
      <c r="AE285" s="124"/>
      <c r="AI285" s="74"/>
      <c r="AM285" s="74"/>
      <c r="AQ285" s="74"/>
    </row>
    <row r="286" spans="2:43" s="123" customFormat="1">
      <c r="B286" s="125"/>
      <c r="D286" s="125"/>
      <c r="AA286" s="74"/>
      <c r="AE286" s="124"/>
      <c r="AI286" s="74"/>
      <c r="AM286" s="74"/>
      <c r="AQ286" s="74"/>
    </row>
    <row r="287" spans="2:43" s="123" customFormat="1">
      <c r="B287" s="125"/>
      <c r="D287" s="125"/>
      <c r="AA287" s="74"/>
      <c r="AE287" s="124"/>
      <c r="AI287" s="74"/>
      <c r="AM287" s="74"/>
      <c r="AQ287" s="74"/>
    </row>
    <row r="288" spans="2:43" s="123" customFormat="1">
      <c r="B288" s="125"/>
      <c r="D288" s="125"/>
      <c r="AA288" s="74"/>
      <c r="AE288" s="124"/>
      <c r="AI288" s="74"/>
      <c r="AM288" s="74"/>
      <c r="AQ288" s="74"/>
    </row>
    <row r="289" spans="2:43" s="123" customFormat="1">
      <c r="B289" s="125"/>
      <c r="D289" s="125"/>
      <c r="AA289" s="74"/>
      <c r="AE289" s="124"/>
      <c r="AI289" s="74"/>
      <c r="AM289" s="74"/>
      <c r="AQ289" s="74"/>
    </row>
    <row r="290" spans="2:43" s="123" customFormat="1">
      <c r="B290" s="125"/>
      <c r="D290" s="125"/>
      <c r="AA290" s="74"/>
      <c r="AE290" s="124"/>
      <c r="AI290" s="74"/>
      <c r="AM290" s="74"/>
      <c r="AQ290" s="74"/>
    </row>
    <row r="291" spans="2:43" s="123" customFormat="1">
      <c r="B291" s="125"/>
      <c r="D291" s="125"/>
      <c r="AA291" s="74"/>
      <c r="AE291" s="124"/>
      <c r="AI291" s="74"/>
      <c r="AM291" s="74"/>
      <c r="AQ291" s="74"/>
    </row>
    <row r="292" spans="2:43" s="123" customFormat="1">
      <c r="B292" s="125"/>
      <c r="D292" s="125"/>
      <c r="AA292" s="74"/>
      <c r="AE292" s="124"/>
      <c r="AI292" s="74"/>
      <c r="AM292" s="74"/>
      <c r="AQ292" s="74"/>
    </row>
    <row r="293" spans="2:43" s="123" customFormat="1">
      <c r="B293" s="125"/>
      <c r="D293" s="125"/>
      <c r="AA293" s="74"/>
      <c r="AE293" s="124"/>
      <c r="AI293" s="74"/>
      <c r="AM293" s="74"/>
      <c r="AQ293" s="74"/>
    </row>
    <row r="294" spans="2:43" s="123" customFormat="1">
      <c r="B294" s="125"/>
      <c r="D294" s="125"/>
      <c r="AA294" s="74"/>
      <c r="AE294" s="124"/>
      <c r="AI294" s="74"/>
      <c r="AM294" s="74"/>
      <c r="AQ294" s="74"/>
    </row>
    <row r="295" spans="2:43" s="123" customFormat="1">
      <c r="B295" s="125"/>
      <c r="D295" s="125"/>
      <c r="AA295" s="74"/>
      <c r="AE295" s="124"/>
      <c r="AI295" s="74"/>
      <c r="AM295" s="74"/>
      <c r="AQ295" s="74"/>
    </row>
    <row r="296" spans="2:43" s="123" customFormat="1">
      <c r="B296" s="125"/>
      <c r="D296" s="125"/>
      <c r="AA296" s="74"/>
      <c r="AE296" s="124"/>
      <c r="AI296" s="74"/>
      <c r="AM296" s="74"/>
      <c r="AQ296" s="74"/>
    </row>
    <row r="297" spans="2:43" s="123" customFormat="1">
      <c r="B297" s="125"/>
      <c r="D297" s="125"/>
      <c r="AA297" s="74"/>
      <c r="AE297" s="124"/>
      <c r="AI297" s="74"/>
      <c r="AM297" s="74"/>
      <c r="AQ297" s="74"/>
    </row>
    <row r="298" spans="2:43" s="123" customFormat="1">
      <c r="B298" s="125"/>
      <c r="D298" s="125"/>
      <c r="AA298" s="74"/>
      <c r="AE298" s="124"/>
      <c r="AI298" s="74"/>
      <c r="AM298" s="74"/>
      <c r="AQ298" s="74"/>
    </row>
    <row r="299" spans="2:43" s="123" customFormat="1">
      <c r="B299" s="125"/>
      <c r="D299" s="125"/>
      <c r="AA299" s="74"/>
      <c r="AE299" s="124"/>
      <c r="AI299" s="74"/>
      <c r="AM299" s="74"/>
      <c r="AQ299" s="74"/>
    </row>
    <row r="300" spans="2:43" s="123" customFormat="1">
      <c r="B300" s="125"/>
      <c r="D300" s="125"/>
      <c r="AA300" s="74"/>
      <c r="AE300" s="124"/>
      <c r="AI300" s="74"/>
      <c r="AM300" s="74"/>
      <c r="AQ300" s="74"/>
    </row>
    <row r="301" spans="2:43" s="123" customFormat="1">
      <c r="B301" s="125"/>
      <c r="D301" s="125"/>
      <c r="AA301" s="74"/>
      <c r="AE301" s="124"/>
      <c r="AI301" s="74"/>
      <c r="AM301" s="74"/>
      <c r="AQ301" s="74"/>
    </row>
    <row r="302" spans="2:43" s="123" customFormat="1">
      <c r="B302" s="125"/>
      <c r="D302" s="125"/>
      <c r="AA302" s="74"/>
      <c r="AE302" s="124"/>
      <c r="AI302" s="74"/>
      <c r="AM302" s="74"/>
      <c r="AQ302" s="74"/>
    </row>
    <row r="303" spans="2:43" s="123" customFormat="1">
      <c r="B303" s="125"/>
      <c r="D303" s="125"/>
      <c r="AA303" s="74"/>
      <c r="AE303" s="124"/>
      <c r="AI303" s="74"/>
      <c r="AM303" s="74"/>
      <c r="AQ303" s="74"/>
    </row>
    <row r="304" spans="2:43" s="123" customFormat="1">
      <c r="B304" s="125"/>
      <c r="D304" s="125"/>
      <c r="AA304" s="74"/>
      <c r="AE304" s="124"/>
      <c r="AI304" s="74"/>
      <c r="AM304" s="74"/>
      <c r="AQ304" s="74"/>
    </row>
    <row r="305" spans="2:43" s="123" customFormat="1">
      <c r="B305" s="125"/>
      <c r="D305" s="125"/>
      <c r="AA305" s="74"/>
      <c r="AE305" s="124"/>
      <c r="AI305" s="74"/>
      <c r="AM305" s="74"/>
      <c r="AQ305" s="74"/>
    </row>
    <row r="306" spans="2:43" s="123" customFormat="1">
      <c r="B306" s="125"/>
      <c r="D306" s="125"/>
      <c r="AA306" s="74"/>
      <c r="AE306" s="124"/>
      <c r="AI306" s="74"/>
      <c r="AM306" s="74"/>
      <c r="AQ306" s="74"/>
    </row>
    <row r="307" spans="2:43" s="123" customFormat="1">
      <c r="B307" s="125"/>
      <c r="D307" s="125"/>
      <c r="AA307" s="74"/>
      <c r="AE307" s="124"/>
      <c r="AI307" s="74"/>
      <c r="AM307" s="74"/>
      <c r="AQ307" s="74"/>
    </row>
    <row r="308" spans="2:43" s="123" customFormat="1">
      <c r="B308" s="125"/>
      <c r="D308" s="125"/>
      <c r="AA308" s="74"/>
      <c r="AE308" s="124"/>
      <c r="AI308" s="74"/>
      <c r="AM308" s="74"/>
      <c r="AQ308" s="74"/>
    </row>
    <row r="309" spans="2:43" s="123" customFormat="1">
      <c r="B309" s="125"/>
      <c r="D309" s="125"/>
      <c r="AA309" s="74"/>
      <c r="AE309" s="124"/>
      <c r="AI309" s="74"/>
      <c r="AM309" s="74"/>
      <c r="AQ309" s="74"/>
    </row>
    <row r="310" spans="2:43" s="123" customFormat="1">
      <c r="B310" s="125"/>
      <c r="D310" s="125"/>
      <c r="AA310" s="74"/>
      <c r="AE310" s="124"/>
      <c r="AI310" s="74"/>
      <c r="AM310" s="74"/>
      <c r="AQ310" s="74"/>
    </row>
    <row r="311" spans="2:43" s="123" customFormat="1">
      <c r="B311" s="125"/>
      <c r="D311" s="125"/>
      <c r="AA311" s="74"/>
      <c r="AE311" s="124"/>
      <c r="AI311" s="74"/>
      <c r="AM311" s="74"/>
      <c r="AQ311" s="74"/>
    </row>
    <row r="312" spans="2:43" s="123" customFormat="1">
      <c r="B312" s="125"/>
      <c r="D312" s="125"/>
      <c r="AA312" s="74"/>
      <c r="AE312" s="124"/>
      <c r="AI312" s="74"/>
      <c r="AM312" s="74"/>
      <c r="AQ312" s="74"/>
    </row>
    <row r="313" spans="2:43" s="123" customFormat="1">
      <c r="B313" s="125"/>
      <c r="D313" s="125"/>
      <c r="AA313" s="74"/>
      <c r="AE313" s="124"/>
      <c r="AI313" s="74"/>
      <c r="AM313" s="74"/>
      <c r="AQ313" s="74"/>
    </row>
    <row r="314" spans="2:43" s="123" customFormat="1">
      <c r="B314" s="125"/>
      <c r="D314" s="125"/>
      <c r="AA314" s="74"/>
      <c r="AE314" s="124"/>
      <c r="AI314" s="74"/>
      <c r="AM314" s="74"/>
      <c r="AQ314" s="74"/>
    </row>
    <row r="315" spans="2:43" s="123" customFormat="1">
      <c r="B315" s="125"/>
      <c r="D315" s="125"/>
      <c r="AA315" s="74"/>
      <c r="AE315" s="124"/>
      <c r="AI315" s="74"/>
      <c r="AM315" s="74"/>
      <c r="AQ315" s="74"/>
    </row>
    <row r="316" spans="2:43" s="123" customFormat="1">
      <c r="B316" s="125"/>
      <c r="D316" s="125"/>
      <c r="AA316" s="74"/>
      <c r="AE316" s="124"/>
      <c r="AI316" s="74"/>
      <c r="AM316" s="74"/>
      <c r="AQ316" s="74"/>
    </row>
    <row r="317" spans="2:43" s="123" customFormat="1">
      <c r="B317" s="125"/>
      <c r="D317" s="125"/>
      <c r="AA317" s="74"/>
      <c r="AE317" s="124"/>
      <c r="AI317" s="74"/>
      <c r="AM317" s="74"/>
      <c r="AQ317" s="74"/>
    </row>
    <row r="318" spans="2:43" s="123" customFormat="1">
      <c r="B318" s="125"/>
      <c r="D318" s="125"/>
      <c r="AA318" s="74"/>
      <c r="AE318" s="124"/>
      <c r="AI318" s="74"/>
      <c r="AM318" s="74"/>
      <c r="AQ318" s="74"/>
    </row>
    <row r="319" spans="2:43" s="123" customFormat="1">
      <c r="B319" s="125"/>
      <c r="D319" s="125"/>
      <c r="AA319" s="74"/>
      <c r="AE319" s="124"/>
      <c r="AI319" s="74"/>
      <c r="AM319" s="74"/>
      <c r="AQ319" s="74"/>
    </row>
    <row r="320" spans="2:43" s="123" customFormat="1">
      <c r="B320" s="125"/>
      <c r="D320" s="125"/>
      <c r="AA320" s="74"/>
      <c r="AE320" s="124"/>
      <c r="AI320" s="74"/>
      <c r="AM320" s="74"/>
      <c r="AQ320" s="74"/>
    </row>
    <row r="321" spans="2:43" s="123" customFormat="1">
      <c r="B321" s="125"/>
      <c r="D321" s="125"/>
      <c r="AA321" s="74"/>
      <c r="AE321" s="124"/>
      <c r="AI321" s="74"/>
      <c r="AM321" s="74"/>
      <c r="AQ321" s="74"/>
    </row>
    <row r="322" spans="2:43" s="123" customFormat="1">
      <c r="B322" s="125"/>
      <c r="D322" s="125"/>
      <c r="AA322" s="74"/>
      <c r="AE322" s="124"/>
      <c r="AI322" s="74"/>
      <c r="AM322" s="74"/>
      <c r="AQ322" s="74"/>
    </row>
    <row r="323" spans="2:43" s="123" customFormat="1">
      <c r="B323" s="125"/>
      <c r="D323" s="125"/>
      <c r="AA323" s="74"/>
      <c r="AE323" s="124"/>
      <c r="AI323" s="74"/>
      <c r="AM323" s="74"/>
      <c r="AQ323" s="74"/>
    </row>
    <row r="324" spans="2:43" s="123" customFormat="1">
      <c r="B324" s="125"/>
      <c r="D324" s="125"/>
      <c r="AA324" s="74"/>
      <c r="AE324" s="124"/>
      <c r="AI324" s="74"/>
      <c r="AM324" s="74"/>
      <c r="AQ324" s="74"/>
    </row>
    <row r="325" spans="2:43" s="123" customFormat="1">
      <c r="B325" s="125"/>
      <c r="D325" s="125"/>
      <c r="AA325" s="74"/>
      <c r="AE325" s="124"/>
      <c r="AI325" s="74"/>
      <c r="AM325" s="74"/>
      <c r="AQ325" s="74"/>
    </row>
    <row r="326" spans="2:43" s="123" customFormat="1">
      <c r="B326" s="125"/>
      <c r="D326" s="125"/>
      <c r="AA326" s="74"/>
      <c r="AE326" s="124"/>
      <c r="AI326" s="74"/>
      <c r="AM326" s="74"/>
      <c r="AQ326" s="74"/>
    </row>
    <row r="327" spans="2:43" s="123" customFormat="1">
      <c r="B327" s="125"/>
      <c r="D327" s="125"/>
      <c r="AA327" s="74"/>
      <c r="AE327" s="124"/>
      <c r="AI327" s="74"/>
      <c r="AM327" s="74"/>
      <c r="AQ327" s="74"/>
    </row>
    <row r="328" spans="2:43" s="123" customFormat="1">
      <c r="B328" s="125"/>
      <c r="D328" s="125"/>
      <c r="AA328" s="74"/>
      <c r="AE328" s="124"/>
      <c r="AI328" s="74"/>
      <c r="AM328" s="74"/>
      <c r="AQ328" s="74"/>
    </row>
    <row r="329" spans="2:43" s="123" customFormat="1">
      <c r="B329" s="125"/>
      <c r="D329" s="125"/>
      <c r="AA329" s="74"/>
      <c r="AE329" s="124"/>
      <c r="AI329" s="74"/>
      <c r="AM329" s="74"/>
      <c r="AQ329" s="74"/>
    </row>
    <row r="330" spans="2:43" s="123" customFormat="1">
      <c r="B330" s="125"/>
      <c r="D330" s="125"/>
      <c r="AA330" s="74"/>
      <c r="AE330" s="124"/>
      <c r="AI330" s="74"/>
      <c r="AM330" s="74"/>
      <c r="AQ330" s="74"/>
    </row>
    <row r="331" spans="2:43" s="123" customFormat="1">
      <c r="B331" s="125"/>
      <c r="D331" s="125"/>
      <c r="AA331" s="74"/>
      <c r="AE331" s="124"/>
      <c r="AI331" s="74"/>
      <c r="AM331" s="74"/>
      <c r="AQ331" s="74"/>
    </row>
    <row r="332" spans="2:43" s="123" customFormat="1">
      <c r="B332" s="125"/>
      <c r="D332" s="125"/>
      <c r="AA332" s="74"/>
      <c r="AE332" s="124"/>
      <c r="AI332" s="74"/>
      <c r="AM332" s="74"/>
      <c r="AQ332" s="74"/>
    </row>
    <row r="333" spans="2:43" s="123" customFormat="1">
      <c r="B333" s="125"/>
      <c r="D333" s="125"/>
      <c r="AA333" s="74"/>
      <c r="AE333" s="124"/>
      <c r="AI333" s="74"/>
      <c r="AM333" s="74"/>
      <c r="AQ333" s="74"/>
    </row>
    <row r="334" spans="2:43" s="123" customFormat="1">
      <c r="B334" s="125"/>
      <c r="D334" s="125"/>
      <c r="AA334" s="74"/>
      <c r="AE334" s="124"/>
      <c r="AI334" s="74"/>
      <c r="AM334" s="74"/>
      <c r="AQ334" s="74"/>
    </row>
    <row r="335" spans="2:43" s="123" customFormat="1">
      <c r="B335" s="125"/>
      <c r="D335" s="125"/>
      <c r="AA335" s="74"/>
      <c r="AE335" s="124"/>
      <c r="AI335" s="74"/>
      <c r="AM335" s="74"/>
      <c r="AQ335" s="74"/>
    </row>
    <row r="336" spans="2:43" s="123" customFormat="1">
      <c r="B336" s="125"/>
      <c r="D336" s="125"/>
      <c r="AA336" s="74"/>
      <c r="AE336" s="124"/>
      <c r="AI336" s="74"/>
      <c r="AM336" s="74"/>
      <c r="AQ336" s="74"/>
    </row>
    <row r="337" spans="2:43" s="123" customFormat="1">
      <c r="B337" s="125"/>
      <c r="D337" s="125"/>
      <c r="AA337" s="74"/>
      <c r="AE337" s="124"/>
      <c r="AI337" s="74"/>
      <c r="AM337" s="74"/>
      <c r="AQ337" s="74"/>
    </row>
    <row r="338" spans="2:43" s="123" customFormat="1">
      <c r="B338" s="125"/>
      <c r="D338" s="125"/>
      <c r="AA338" s="74"/>
      <c r="AE338" s="124"/>
      <c r="AI338" s="74"/>
      <c r="AM338" s="74"/>
      <c r="AQ338" s="74"/>
    </row>
    <row r="339" spans="2:43" s="123" customFormat="1">
      <c r="B339" s="125"/>
      <c r="D339" s="125"/>
      <c r="AA339" s="74"/>
      <c r="AE339" s="124"/>
      <c r="AI339" s="74"/>
      <c r="AM339" s="74"/>
      <c r="AQ339" s="74"/>
    </row>
    <row r="340" spans="2:43" s="123" customFormat="1">
      <c r="B340" s="125"/>
      <c r="D340" s="125"/>
      <c r="AA340" s="74"/>
      <c r="AE340" s="124"/>
      <c r="AI340" s="74"/>
      <c r="AM340" s="74"/>
      <c r="AQ340" s="74"/>
    </row>
    <row r="341" spans="2:43" s="123" customFormat="1">
      <c r="B341" s="125"/>
      <c r="D341" s="125"/>
      <c r="AA341" s="74"/>
      <c r="AE341" s="124"/>
      <c r="AI341" s="74"/>
      <c r="AM341" s="74"/>
      <c r="AQ341" s="74"/>
    </row>
    <row r="342" spans="2:43" s="123" customFormat="1">
      <c r="B342" s="125"/>
      <c r="D342" s="125"/>
      <c r="AA342" s="74"/>
      <c r="AE342" s="124"/>
      <c r="AI342" s="74"/>
      <c r="AM342" s="74"/>
      <c r="AQ342" s="74"/>
    </row>
    <row r="343" spans="2:43" s="123" customFormat="1">
      <c r="B343" s="125"/>
      <c r="D343" s="125"/>
      <c r="AA343" s="74"/>
      <c r="AE343" s="124"/>
      <c r="AI343" s="74"/>
      <c r="AM343" s="74"/>
      <c r="AQ343" s="74"/>
    </row>
    <row r="344" spans="2:43" s="123" customFormat="1">
      <c r="B344" s="125"/>
      <c r="D344" s="125"/>
      <c r="AA344" s="74"/>
      <c r="AE344" s="124"/>
      <c r="AI344" s="74"/>
      <c r="AM344" s="74"/>
      <c r="AQ344" s="74"/>
    </row>
    <row r="345" spans="2:43" s="123" customFormat="1">
      <c r="B345" s="125"/>
      <c r="D345" s="125"/>
      <c r="AA345" s="74"/>
      <c r="AE345" s="124"/>
      <c r="AI345" s="74"/>
      <c r="AM345" s="74"/>
      <c r="AQ345" s="74"/>
    </row>
    <row r="346" spans="2:43" s="123" customFormat="1">
      <c r="B346" s="125"/>
      <c r="D346" s="125"/>
      <c r="AA346" s="74"/>
      <c r="AE346" s="124"/>
      <c r="AI346" s="74"/>
      <c r="AM346" s="74"/>
      <c r="AQ346" s="74"/>
    </row>
    <row r="347" spans="2:43" s="123" customFormat="1">
      <c r="B347" s="125"/>
      <c r="D347" s="125"/>
      <c r="AA347" s="74"/>
      <c r="AE347" s="124"/>
      <c r="AI347" s="74"/>
      <c r="AM347" s="74"/>
      <c r="AQ347" s="74"/>
    </row>
    <row r="348" spans="2:43" s="123" customFormat="1">
      <c r="B348" s="125"/>
      <c r="D348" s="125"/>
      <c r="AA348" s="74"/>
      <c r="AE348" s="124"/>
      <c r="AI348" s="74"/>
      <c r="AM348" s="74"/>
      <c r="AQ348" s="74"/>
    </row>
    <row r="349" spans="2:43" s="123" customFormat="1">
      <c r="B349" s="125"/>
      <c r="D349" s="125"/>
      <c r="AA349" s="74"/>
      <c r="AE349" s="124"/>
      <c r="AI349" s="74"/>
      <c r="AM349" s="74"/>
      <c r="AQ349" s="74"/>
    </row>
    <row r="350" spans="2:43" s="123" customFormat="1">
      <c r="B350" s="125"/>
      <c r="D350" s="125"/>
      <c r="AA350" s="74"/>
      <c r="AE350" s="124"/>
      <c r="AI350" s="74"/>
      <c r="AM350" s="74"/>
      <c r="AQ350" s="74"/>
    </row>
    <row r="351" spans="2:43" s="123" customFormat="1">
      <c r="B351" s="125"/>
      <c r="D351" s="125"/>
      <c r="AA351" s="74"/>
      <c r="AE351" s="124"/>
      <c r="AI351" s="74"/>
      <c r="AM351" s="74"/>
      <c r="AQ351" s="74"/>
    </row>
    <row r="352" spans="2:43" s="123" customFormat="1">
      <c r="B352" s="125"/>
      <c r="D352" s="125"/>
      <c r="AA352" s="74"/>
      <c r="AE352" s="124"/>
      <c r="AI352" s="74"/>
      <c r="AM352" s="74"/>
      <c r="AQ352" s="74"/>
    </row>
    <row r="353" spans="2:43" s="123" customFormat="1">
      <c r="B353" s="125"/>
      <c r="D353" s="125"/>
      <c r="AA353" s="74"/>
      <c r="AE353" s="124"/>
      <c r="AI353" s="74"/>
      <c r="AM353" s="74"/>
      <c r="AQ353" s="74"/>
    </row>
    <row r="354" spans="2:43" s="123" customFormat="1">
      <c r="B354" s="125"/>
      <c r="D354" s="125"/>
      <c r="AA354" s="74"/>
      <c r="AE354" s="124"/>
      <c r="AI354" s="74"/>
      <c r="AM354" s="74"/>
      <c r="AQ354" s="74"/>
    </row>
    <row r="355" spans="2:43" s="123" customFormat="1">
      <c r="B355" s="125"/>
      <c r="D355" s="125"/>
      <c r="AA355" s="74"/>
      <c r="AE355" s="124"/>
      <c r="AI355" s="74"/>
      <c r="AM355" s="74"/>
      <c r="AQ355" s="74"/>
    </row>
    <row r="356" spans="2:43" s="123" customFormat="1">
      <c r="B356" s="125"/>
      <c r="D356" s="125"/>
      <c r="AA356" s="74"/>
      <c r="AE356" s="124"/>
      <c r="AI356" s="74"/>
      <c r="AM356" s="74"/>
      <c r="AQ356" s="74"/>
    </row>
    <row r="357" spans="2:43" s="123" customFormat="1">
      <c r="B357" s="125"/>
      <c r="D357" s="125"/>
      <c r="AA357" s="74"/>
      <c r="AE357" s="124"/>
      <c r="AI357" s="74"/>
      <c r="AM357" s="74"/>
      <c r="AQ357" s="74"/>
    </row>
    <row r="358" spans="2:43" s="123" customFormat="1">
      <c r="B358" s="125"/>
      <c r="D358" s="125"/>
      <c r="AA358" s="74"/>
      <c r="AE358" s="124"/>
      <c r="AI358" s="74"/>
      <c r="AM358" s="74"/>
      <c r="AQ358" s="74"/>
    </row>
    <row r="359" spans="2:43" s="123" customFormat="1">
      <c r="B359" s="125"/>
      <c r="D359" s="125"/>
      <c r="AA359" s="74"/>
      <c r="AE359" s="124"/>
      <c r="AI359" s="74"/>
      <c r="AM359" s="74"/>
      <c r="AQ359" s="74"/>
    </row>
    <row r="360" spans="2:43" s="123" customFormat="1">
      <c r="B360" s="125"/>
      <c r="D360" s="125"/>
      <c r="AA360" s="74"/>
      <c r="AE360" s="124"/>
      <c r="AI360" s="74"/>
      <c r="AM360" s="74"/>
      <c r="AQ360" s="74"/>
    </row>
    <row r="361" spans="2:43" s="123" customFormat="1">
      <c r="B361" s="125"/>
      <c r="D361" s="125"/>
      <c r="AA361" s="74"/>
      <c r="AE361" s="124"/>
      <c r="AI361" s="74"/>
      <c r="AM361" s="74"/>
      <c r="AQ361" s="74"/>
    </row>
    <row r="362" spans="2:43" s="123" customFormat="1">
      <c r="B362" s="125"/>
      <c r="D362" s="125"/>
      <c r="AA362" s="74"/>
      <c r="AE362" s="124"/>
      <c r="AI362" s="74"/>
      <c r="AM362" s="74"/>
      <c r="AQ362" s="74"/>
    </row>
    <row r="363" spans="2:43" s="123" customFormat="1">
      <c r="B363" s="125"/>
      <c r="D363" s="125"/>
      <c r="AA363" s="74"/>
      <c r="AE363" s="124"/>
      <c r="AI363" s="74"/>
      <c r="AM363" s="74"/>
      <c r="AQ363" s="74"/>
    </row>
    <row r="364" spans="2:43" s="123" customFormat="1">
      <c r="B364" s="125"/>
      <c r="D364" s="125"/>
      <c r="AA364" s="74"/>
      <c r="AE364" s="124"/>
      <c r="AI364" s="74"/>
      <c r="AM364" s="74"/>
      <c r="AQ364" s="74"/>
    </row>
    <row r="365" spans="2:43" s="123" customFormat="1">
      <c r="B365" s="125"/>
      <c r="D365" s="125"/>
      <c r="AA365" s="74"/>
      <c r="AE365" s="124"/>
      <c r="AI365" s="74"/>
      <c r="AM365" s="74"/>
      <c r="AQ365" s="74"/>
    </row>
    <row r="366" spans="2:43" s="123" customFormat="1">
      <c r="B366" s="125"/>
      <c r="D366" s="125"/>
      <c r="AA366" s="74"/>
      <c r="AE366" s="124"/>
      <c r="AI366" s="74"/>
      <c r="AM366" s="74"/>
      <c r="AQ366" s="74"/>
    </row>
    <row r="367" spans="2:43" s="123" customFormat="1">
      <c r="B367" s="125"/>
      <c r="D367" s="125"/>
      <c r="AA367" s="74"/>
      <c r="AE367" s="124"/>
      <c r="AI367" s="74"/>
      <c r="AM367" s="74"/>
      <c r="AQ367" s="74"/>
    </row>
    <row r="368" spans="2:43" s="123" customFormat="1">
      <c r="B368" s="125"/>
      <c r="D368" s="125"/>
      <c r="AA368" s="74"/>
      <c r="AE368" s="124"/>
      <c r="AI368" s="74"/>
      <c r="AM368" s="74"/>
      <c r="AQ368" s="74"/>
    </row>
    <row r="369" spans="2:43" s="123" customFormat="1">
      <c r="B369" s="125"/>
      <c r="D369" s="125"/>
      <c r="AA369" s="74"/>
      <c r="AE369" s="124"/>
      <c r="AI369" s="74"/>
      <c r="AM369" s="74"/>
      <c r="AQ369" s="74"/>
    </row>
    <row r="370" spans="2:43" s="123" customFormat="1">
      <c r="B370" s="125"/>
      <c r="D370" s="125"/>
      <c r="AA370" s="74"/>
      <c r="AE370" s="124"/>
      <c r="AI370" s="74"/>
      <c r="AM370" s="74"/>
      <c r="AQ370" s="74"/>
    </row>
    <row r="371" spans="2:43" s="123" customFormat="1">
      <c r="B371" s="125"/>
      <c r="D371" s="125"/>
      <c r="AA371" s="74"/>
      <c r="AE371" s="124"/>
      <c r="AI371" s="74"/>
      <c r="AM371" s="74"/>
      <c r="AQ371" s="74"/>
    </row>
    <row r="372" spans="2:43" s="123" customFormat="1">
      <c r="B372" s="125"/>
      <c r="D372" s="125"/>
      <c r="AA372" s="74"/>
      <c r="AE372" s="124"/>
      <c r="AI372" s="74"/>
      <c r="AM372" s="74"/>
      <c r="AQ372" s="74"/>
    </row>
    <row r="373" spans="2:43" s="123" customFormat="1">
      <c r="B373" s="125"/>
      <c r="D373" s="125"/>
      <c r="AA373" s="74"/>
      <c r="AE373" s="124"/>
      <c r="AI373" s="74"/>
      <c r="AM373" s="74"/>
      <c r="AQ373" s="74"/>
    </row>
    <row r="374" spans="2:43" s="123" customFormat="1">
      <c r="B374" s="125"/>
      <c r="D374" s="125"/>
      <c r="AA374" s="74"/>
      <c r="AE374" s="124"/>
      <c r="AI374" s="74"/>
      <c r="AM374" s="74"/>
      <c r="AQ374" s="74"/>
    </row>
    <row r="375" spans="2:43" s="123" customFormat="1">
      <c r="B375" s="125"/>
      <c r="D375" s="125"/>
      <c r="AA375" s="74"/>
      <c r="AE375" s="124"/>
      <c r="AI375" s="74"/>
      <c r="AM375" s="74"/>
      <c r="AQ375" s="74"/>
    </row>
    <row r="376" spans="2:43" s="123" customFormat="1">
      <c r="B376" s="125"/>
      <c r="D376" s="125"/>
      <c r="AA376" s="74"/>
      <c r="AE376" s="124"/>
      <c r="AI376" s="74"/>
      <c r="AM376" s="74"/>
      <c r="AQ376" s="74"/>
    </row>
    <row r="377" spans="2:43" s="123" customFormat="1">
      <c r="B377" s="125"/>
      <c r="D377" s="125"/>
      <c r="AA377" s="74"/>
      <c r="AE377" s="124"/>
      <c r="AI377" s="74"/>
      <c r="AM377" s="74"/>
      <c r="AQ377" s="74"/>
    </row>
    <row r="378" spans="2:43" s="123" customFormat="1">
      <c r="B378" s="125"/>
      <c r="D378" s="125"/>
      <c r="AA378" s="74"/>
      <c r="AE378" s="124"/>
      <c r="AI378" s="74"/>
      <c r="AM378" s="74"/>
      <c r="AQ378" s="74"/>
    </row>
    <row r="379" spans="2:43" s="123" customFormat="1">
      <c r="B379" s="125"/>
      <c r="D379" s="125"/>
      <c r="AA379" s="74"/>
      <c r="AE379" s="124"/>
      <c r="AI379" s="74"/>
      <c r="AM379" s="74"/>
      <c r="AQ379" s="74"/>
    </row>
    <row r="380" spans="2:43" s="123" customFormat="1">
      <c r="B380" s="125"/>
      <c r="D380" s="125"/>
      <c r="AA380" s="74"/>
      <c r="AE380" s="124"/>
      <c r="AI380" s="74"/>
      <c r="AM380" s="74"/>
      <c r="AQ380" s="74"/>
    </row>
    <row r="381" spans="2:43" s="123" customFormat="1">
      <c r="B381" s="125"/>
      <c r="D381" s="125"/>
      <c r="AA381" s="74"/>
      <c r="AE381" s="124"/>
      <c r="AI381" s="74"/>
      <c r="AM381" s="74"/>
      <c r="AQ381" s="74"/>
    </row>
    <row r="382" spans="2:43" s="123" customFormat="1">
      <c r="B382" s="125"/>
      <c r="D382" s="125"/>
      <c r="AA382" s="74"/>
      <c r="AE382" s="124"/>
      <c r="AI382" s="74"/>
      <c r="AM382" s="74"/>
      <c r="AQ382" s="74"/>
    </row>
    <row r="383" spans="2:43" s="123" customFormat="1">
      <c r="B383" s="125"/>
      <c r="D383" s="125"/>
      <c r="AA383" s="74"/>
      <c r="AE383" s="124"/>
      <c r="AI383" s="74"/>
      <c r="AM383" s="74"/>
      <c r="AQ383" s="74"/>
    </row>
    <row r="384" spans="2:43" s="123" customFormat="1">
      <c r="B384" s="125"/>
      <c r="D384" s="125"/>
      <c r="AA384" s="74"/>
      <c r="AE384" s="124"/>
      <c r="AI384" s="74"/>
      <c r="AM384" s="74"/>
      <c r="AQ384" s="74"/>
    </row>
    <row r="385" spans="2:43" s="123" customFormat="1">
      <c r="B385" s="125"/>
      <c r="D385" s="125"/>
      <c r="AA385" s="74"/>
      <c r="AE385" s="124"/>
      <c r="AI385" s="74"/>
      <c r="AM385" s="74"/>
      <c r="AQ385" s="74"/>
    </row>
    <row r="386" spans="2:43" s="123" customFormat="1">
      <c r="B386" s="125"/>
      <c r="D386" s="125"/>
      <c r="AA386" s="74"/>
      <c r="AE386" s="124"/>
      <c r="AI386" s="74"/>
      <c r="AM386" s="74"/>
      <c r="AQ386" s="74"/>
    </row>
    <row r="387" spans="2:43" s="123" customFormat="1">
      <c r="B387" s="125"/>
      <c r="D387" s="125"/>
      <c r="AA387" s="74"/>
      <c r="AE387" s="124"/>
      <c r="AI387" s="74"/>
      <c r="AM387" s="74"/>
      <c r="AQ387" s="74"/>
    </row>
    <row r="388" spans="2:43" s="123" customFormat="1">
      <c r="B388" s="125"/>
      <c r="D388" s="125"/>
      <c r="AA388" s="74"/>
      <c r="AE388" s="124"/>
      <c r="AI388" s="74"/>
      <c r="AM388" s="74"/>
      <c r="AQ388" s="74"/>
    </row>
    <row r="389" spans="2:43" s="123" customFormat="1">
      <c r="B389" s="125"/>
      <c r="D389" s="125"/>
      <c r="AA389" s="74"/>
      <c r="AE389" s="124"/>
      <c r="AI389" s="74"/>
      <c r="AM389" s="74"/>
      <c r="AQ389" s="74"/>
    </row>
    <row r="390" spans="2:43" s="123" customFormat="1">
      <c r="B390" s="125"/>
      <c r="D390" s="125"/>
      <c r="AA390" s="74"/>
      <c r="AE390" s="124"/>
      <c r="AI390" s="74"/>
      <c r="AM390" s="74"/>
      <c r="AQ390" s="74"/>
    </row>
    <row r="391" spans="2:43" s="123" customFormat="1">
      <c r="B391" s="125"/>
      <c r="D391" s="125"/>
      <c r="AA391" s="74"/>
      <c r="AE391" s="124"/>
      <c r="AI391" s="74"/>
      <c r="AM391" s="74"/>
      <c r="AQ391" s="74"/>
    </row>
    <row r="392" spans="2:43" s="123" customFormat="1">
      <c r="B392" s="125"/>
      <c r="D392" s="125"/>
      <c r="AA392" s="74"/>
      <c r="AE392" s="124"/>
      <c r="AI392" s="74"/>
      <c r="AM392" s="74"/>
      <c r="AQ392" s="74"/>
    </row>
    <row r="393" spans="2:43" s="123" customFormat="1">
      <c r="B393" s="125"/>
      <c r="D393" s="125"/>
      <c r="AA393" s="74"/>
      <c r="AE393" s="124"/>
      <c r="AI393" s="74"/>
      <c r="AM393" s="74"/>
      <c r="AQ393" s="74"/>
    </row>
    <row r="394" spans="2:43" s="123" customFormat="1">
      <c r="B394" s="125"/>
      <c r="D394" s="125"/>
      <c r="AA394" s="74"/>
      <c r="AE394" s="124"/>
      <c r="AI394" s="74"/>
      <c r="AM394" s="74"/>
      <c r="AQ394" s="74"/>
    </row>
    <row r="395" spans="2:43" s="123" customFormat="1">
      <c r="B395" s="125"/>
      <c r="D395" s="125"/>
      <c r="AA395" s="74"/>
      <c r="AE395" s="124"/>
      <c r="AI395" s="74"/>
      <c r="AM395" s="74"/>
      <c r="AQ395" s="74"/>
    </row>
    <row r="396" spans="2:43" s="123" customFormat="1">
      <c r="B396" s="125"/>
      <c r="D396" s="125"/>
      <c r="AA396" s="74"/>
      <c r="AE396" s="124"/>
      <c r="AI396" s="74"/>
      <c r="AM396" s="74"/>
      <c r="AQ396" s="74"/>
    </row>
    <row r="397" spans="2:43" s="123" customFormat="1">
      <c r="B397" s="125"/>
      <c r="D397" s="125"/>
      <c r="AA397" s="74"/>
      <c r="AE397" s="124"/>
      <c r="AI397" s="74"/>
      <c r="AM397" s="74"/>
      <c r="AQ397" s="74"/>
    </row>
    <row r="398" spans="2:43" s="123" customFormat="1">
      <c r="B398" s="125"/>
      <c r="D398" s="125"/>
      <c r="AA398" s="74"/>
      <c r="AE398" s="124"/>
      <c r="AI398" s="74"/>
      <c r="AM398" s="74"/>
      <c r="AQ398" s="74"/>
    </row>
    <row r="399" spans="2:43" s="123" customFormat="1">
      <c r="B399" s="125"/>
      <c r="D399" s="125"/>
      <c r="AA399" s="74"/>
      <c r="AE399" s="124"/>
      <c r="AI399" s="74"/>
      <c r="AM399" s="74"/>
      <c r="AQ399" s="74"/>
    </row>
    <row r="400" spans="2:43" s="123" customFormat="1">
      <c r="B400" s="125"/>
      <c r="D400" s="125"/>
      <c r="AA400" s="74"/>
      <c r="AE400" s="124"/>
      <c r="AI400" s="74"/>
      <c r="AM400" s="74"/>
      <c r="AQ400" s="74"/>
    </row>
    <row r="401" spans="2:43" s="123" customFormat="1">
      <c r="B401" s="125"/>
      <c r="D401" s="125"/>
      <c r="AA401" s="74"/>
      <c r="AE401" s="124"/>
      <c r="AI401" s="74"/>
      <c r="AM401" s="74"/>
      <c r="AQ401" s="74"/>
    </row>
    <row r="402" spans="2:43" s="123" customFormat="1">
      <c r="B402" s="125"/>
      <c r="D402" s="125"/>
      <c r="AA402" s="74"/>
      <c r="AE402" s="124"/>
      <c r="AI402" s="74"/>
      <c r="AM402" s="74"/>
      <c r="AQ402" s="74"/>
    </row>
    <row r="403" spans="2:43" s="123" customFormat="1">
      <c r="B403" s="125"/>
      <c r="D403" s="125"/>
      <c r="AA403" s="74"/>
      <c r="AE403" s="124"/>
      <c r="AI403" s="74"/>
      <c r="AM403" s="74"/>
      <c r="AQ403" s="74"/>
    </row>
    <row r="404" spans="2:43" s="123" customFormat="1">
      <c r="B404" s="125"/>
      <c r="D404" s="125"/>
      <c r="AA404" s="74"/>
      <c r="AE404" s="124"/>
      <c r="AI404" s="74"/>
      <c r="AM404" s="74"/>
      <c r="AQ404" s="74"/>
    </row>
    <row r="405" spans="2:43" s="123" customFormat="1">
      <c r="B405" s="125"/>
      <c r="D405" s="125"/>
      <c r="AA405" s="74"/>
      <c r="AE405" s="124"/>
      <c r="AI405" s="74"/>
      <c r="AM405" s="74"/>
      <c r="AQ405" s="74"/>
    </row>
    <row r="406" spans="2:43" s="123" customFormat="1">
      <c r="B406" s="125"/>
      <c r="D406" s="125"/>
      <c r="AA406" s="74"/>
      <c r="AE406" s="124"/>
      <c r="AI406" s="74"/>
      <c r="AM406" s="74"/>
      <c r="AQ406" s="74"/>
    </row>
    <row r="407" spans="2:43" s="123" customFormat="1">
      <c r="B407" s="125"/>
      <c r="D407" s="125"/>
      <c r="AA407" s="74"/>
      <c r="AE407" s="124"/>
      <c r="AI407" s="74"/>
      <c r="AM407" s="74"/>
      <c r="AQ407" s="74"/>
    </row>
    <row r="408" spans="2:43" s="123" customFormat="1">
      <c r="B408" s="125"/>
      <c r="D408" s="125"/>
      <c r="AA408" s="74"/>
      <c r="AE408" s="124"/>
      <c r="AI408" s="74"/>
      <c r="AM408" s="74"/>
      <c r="AQ408" s="74"/>
    </row>
    <row r="409" spans="2:43" s="123" customFormat="1">
      <c r="B409" s="125"/>
      <c r="D409" s="125"/>
      <c r="AA409" s="74"/>
      <c r="AE409" s="124"/>
      <c r="AI409" s="74"/>
      <c r="AM409" s="74"/>
      <c r="AQ409" s="74"/>
    </row>
    <row r="410" spans="2:43" s="123" customFormat="1">
      <c r="B410" s="125"/>
      <c r="D410" s="125"/>
      <c r="AA410" s="74"/>
      <c r="AE410" s="124"/>
      <c r="AI410" s="74"/>
      <c r="AM410" s="74"/>
      <c r="AQ410" s="74"/>
    </row>
    <row r="411" spans="2:43" s="123" customFormat="1">
      <c r="B411" s="125"/>
      <c r="D411" s="125"/>
      <c r="AA411" s="74"/>
      <c r="AE411" s="124"/>
      <c r="AI411" s="74"/>
      <c r="AM411" s="74"/>
      <c r="AQ411" s="74"/>
    </row>
    <row r="412" spans="2:43" s="123" customFormat="1">
      <c r="B412" s="125"/>
      <c r="D412" s="125"/>
      <c r="AA412" s="74"/>
      <c r="AE412" s="124"/>
      <c r="AI412" s="74"/>
      <c r="AM412" s="74"/>
      <c r="AQ412" s="74"/>
    </row>
    <row r="413" spans="2:43" s="123" customFormat="1">
      <c r="B413" s="125"/>
      <c r="D413" s="125"/>
      <c r="AA413" s="74"/>
      <c r="AE413" s="124"/>
      <c r="AI413" s="74"/>
      <c r="AM413" s="74"/>
      <c r="AQ413" s="74"/>
    </row>
    <row r="414" spans="2:43" s="123" customFormat="1">
      <c r="B414" s="125"/>
      <c r="D414" s="125"/>
      <c r="AA414" s="74"/>
      <c r="AE414" s="124"/>
      <c r="AI414" s="74"/>
      <c r="AM414" s="74"/>
      <c r="AQ414" s="74"/>
    </row>
    <row r="415" spans="2:43" s="123" customFormat="1">
      <c r="B415" s="125"/>
      <c r="D415" s="125"/>
      <c r="AA415" s="74"/>
      <c r="AE415" s="124"/>
      <c r="AI415" s="74"/>
      <c r="AM415" s="74"/>
      <c r="AQ415" s="74"/>
    </row>
    <row r="416" spans="2:43" s="123" customFormat="1">
      <c r="B416" s="125"/>
      <c r="D416" s="125"/>
      <c r="AA416" s="74"/>
      <c r="AE416" s="124"/>
      <c r="AI416" s="74"/>
      <c r="AM416" s="74"/>
      <c r="AQ416" s="74"/>
    </row>
    <row r="417" spans="2:43" s="123" customFormat="1">
      <c r="B417" s="125"/>
      <c r="D417" s="125"/>
      <c r="AA417" s="74"/>
      <c r="AE417" s="124"/>
      <c r="AI417" s="74"/>
      <c r="AM417" s="74"/>
      <c r="AQ417" s="74"/>
    </row>
    <row r="418" spans="2:43" s="123" customFormat="1">
      <c r="B418" s="125"/>
      <c r="D418" s="125"/>
      <c r="AA418" s="74"/>
      <c r="AE418" s="124"/>
      <c r="AI418" s="74"/>
      <c r="AM418" s="74"/>
      <c r="AQ418" s="74"/>
    </row>
    <row r="419" spans="2:43" s="123" customFormat="1">
      <c r="B419" s="125"/>
      <c r="D419" s="125"/>
      <c r="AA419" s="74"/>
      <c r="AE419" s="124"/>
      <c r="AI419" s="74"/>
      <c r="AM419" s="74"/>
      <c r="AQ419" s="74"/>
    </row>
    <row r="420" spans="2:43" s="123" customFormat="1">
      <c r="B420" s="125"/>
      <c r="D420" s="125"/>
      <c r="AA420" s="74"/>
      <c r="AE420" s="124"/>
      <c r="AI420" s="74"/>
      <c r="AM420" s="74"/>
      <c r="AQ420" s="74"/>
    </row>
    <row r="421" spans="2:43" s="123" customFormat="1">
      <c r="B421" s="125"/>
      <c r="D421" s="125"/>
      <c r="AA421" s="74"/>
      <c r="AE421" s="124"/>
      <c r="AI421" s="74"/>
      <c r="AM421" s="74"/>
      <c r="AQ421" s="74"/>
    </row>
    <row r="422" spans="2:43" s="123" customFormat="1">
      <c r="B422" s="125"/>
      <c r="D422" s="125"/>
      <c r="AA422" s="74"/>
      <c r="AE422" s="124"/>
      <c r="AI422" s="74"/>
      <c r="AM422" s="74"/>
      <c r="AQ422" s="74"/>
    </row>
    <row r="423" spans="2:43" s="123" customFormat="1">
      <c r="B423" s="125"/>
      <c r="D423" s="125"/>
      <c r="AA423" s="74"/>
      <c r="AE423" s="124"/>
      <c r="AI423" s="74"/>
      <c r="AM423" s="74"/>
      <c r="AQ423" s="74"/>
    </row>
    <row r="424" spans="2:43" s="123" customFormat="1">
      <c r="B424" s="125"/>
      <c r="D424" s="125"/>
      <c r="AA424" s="74"/>
      <c r="AE424" s="124"/>
      <c r="AI424" s="74"/>
      <c r="AM424" s="74"/>
      <c r="AQ424" s="74"/>
    </row>
    <row r="425" spans="2:43" s="123" customFormat="1">
      <c r="B425" s="125"/>
      <c r="D425" s="125"/>
      <c r="AA425" s="74"/>
      <c r="AE425" s="124"/>
      <c r="AI425" s="74"/>
      <c r="AM425" s="74"/>
      <c r="AQ425" s="74"/>
    </row>
    <row r="426" spans="2:43" s="123" customFormat="1">
      <c r="B426" s="125"/>
      <c r="D426" s="125"/>
      <c r="AA426" s="74"/>
      <c r="AE426" s="124"/>
      <c r="AI426" s="74"/>
      <c r="AM426" s="74"/>
      <c r="AQ426" s="74"/>
    </row>
    <row r="427" spans="2:43" s="123" customFormat="1">
      <c r="B427" s="125"/>
      <c r="D427" s="125"/>
      <c r="AA427" s="74"/>
      <c r="AE427" s="124"/>
      <c r="AI427" s="74"/>
      <c r="AM427" s="74"/>
      <c r="AQ427" s="74"/>
    </row>
    <row r="428" spans="2:43" s="123" customFormat="1">
      <c r="B428" s="125"/>
      <c r="D428" s="125"/>
      <c r="AA428" s="74"/>
      <c r="AE428" s="124"/>
      <c r="AI428" s="74"/>
      <c r="AM428" s="74"/>
      <c r="AQ428" s="74"/>
    </row>
    <row r="429" spans="2:43" s="123" customFormat="1">
      <c r="B429" s="125"/>
      <c r="D429" s="125"/>
      <c r="AA429" s="74"/>
      <c r="AE429" s="124"/>
      <c r="AI429" s="74"/>
      <c r="AM429" s="74"/>
      <c r="AQ429" s="74"/>
    </row>
    <row r="430" spans="2:43" s="123" customFormat="1">
      <c r="B430" s="125"/>
      <c r="D430" s="125"/>
      <c r="AA430" s="74"/>
      <c r="AE430" s="124"/>
      <c r="AI430" s="74"/>
      <c r="AM430" s="74"/>
      <c r="AQ430" s="74"/>
    </row>
    <row r="431" spans="2:43" s="123" customFormat="1">
      <c r="B431" s="125"/>
      <c r="D431" s="125"/>
      <c r="AA431" s="74"/>
      <c r="AE431" s="124"/>
      <c r="AI431" s="74"/>
      <c r="AM431" s="74"/>
      <c r="AQ431" s="74"/>
    </row>
    <row r="432" spans="2:43" s="123" customFormat="1">
      <c r="B432" s="125"/>
      <c r="D432" s="125"/>
      <c r="AA432" s="74"/>
      <c r="AE432" s="124"/>
      <c r="AI432" s="74"/>
      <c r="AM432" s="74"/>
      <c r="AQ432" s="74"/>
    </row>
    <row r="433" spans="2:43" s="123" customFormat="1">
      <c r="B433" s="125"/>
      <c r="D433" s="125"/>
      <c r="AA433" s="74"/>
      <c r="AE433" s="124"/>
      <c r="AI433" s="74"/>
      <c r="AM433" s="74"/>
      <c r="AQ433" s="74"/>
    </row>
    <row r="434" spans="2:43" s="123" customFormat="1">
      <c r="B434" s="125"/>
      <c r="D434" s="125"/>
      <c r="AA434" s="74"/>
      <c r="AE434" s="124"/>
      <c r="AI434" s="74"/>
      <c r="AM434" s="74"/>
      <c r="AQ434" s="74"/>
    </row>
    <row r="435" spans="2:43" s="123" customFormat="1">
      <c r="B435" s="125"/>
      <c r="D435" s="125"/>
      <c r="AA435" s="74"/>
      <c r="AE435" s="124"/>
      <c r="AI435" s="74"/>
      <c r="AM435" s="74"/>
      <c r="AQ435" s="74"/>
    </row>
    <row r="436" spans="2:43" s="123" customFormat="1">
      <c r="B436" s="125"/>
      <c r="D436" s="125"/>
      <c r="AA436" s="74"/>
      <c r="AE436" s="124"/>
      <c r="AI436" s="74"/>
      <c r="AM436" s="74"/>
      <c r="AQ436" s="74"/>
    </row>
    <row r="437" spans="2:43" s="123" customFormat="1">
      <c r="B437" s="125"/>
      <c r="D437" s="125"/>
      <c r="AA437" s="74"/>
      <c r="AE437" s="124"/>
      <c r="AI437" s="74"/>
      <c r="AM437" s="74"/>
      <c r="AQ437" s="74"/>
    </row>
    <row r="438" spans="2:43" s="123" customFormat="1">
      <c r="B438" s="125"/>
      <c r="D438" s="125"/>
      <c r="AA438" s="74"/>
      <c r="AE438" s="124"/>
      <c r="AI438" s="74"/>
      <c r="AM438" s="74"/>
      <c r="AQ438" s="74"/>
    </row>
    <row r="439" spans="2:43" s="123" customFormat="1">
      <c r="B439" s="125"/>
      <c r="D439" s="125"/>
      <c r="AA439" s="74"/>
      <c r="AE439" s="124"/>
      <c r="AI439" s="74"/>
      <c r="AM439" s="74"/>
      <c r="AQ439" s="74"/>
    </row>
    <row r="440" spans="2:43" s="123" customFormat="1">
      <c r="B440" s="125"/>
      <c r="D440" s="125"/>
      <c r="AA440" s="74"/>
      <c r="AE440" s="124"/>
      <c r="AI440" s="74"/>
      <c r="AM440" s="74"/>
      <c r="AQ440" s="74"/>
    </row>
    <row r="441" spans="2:43" s="123" customFormat="1">
      <c r="B441" s="125"/>
      <c r="D441" s="125"/>
      <c r="AA441" s="74"/>
      <c r="AE441" s="124"/>
      <c r="AI441" s="74"/>
      <c r="AM441" s="74"/>
      <c r="AQ441" s="74"/>
    </row>
    <row r="442" spans="2:43" s="123" customFormat="1">
      <c r="B442" s="125"/>
      <c r="D442" s="125"/>
      <c r="AA442" s="74"/>
      <c r="AE442" s="124"/>
      <c r="AI442" s="74"/>
      <c r="AM442" s="74"/>
      <c r="AQ442" s="74"/>
    </row>
    <row r="443" spans="2:43" s="123" customFormat="1">
      <c r="B443" s="125"/>
      <c r="D443" s="125"/>
      <c r="AA443" s="74"/>
      <c r="AE443" s="124"/>
      <c r="AI443" s="74"/>
      <c r="AM443" s="74"/>
      <c r="AQ443" s="74"/>
    </row>
    <row r="444" spans="2:43" s="123" customFormat="1">
      <c r="B444" s="125"/>
      <c r="D444" s="125"/>
      <c r="AA444" s="74"/>
      <c r="AE444" s="124"/>
      <c r="AI444" s="74"/>
      <c r="AM444" s="74"/>
      <c r="AQ444" s="74"/>
    </row>
    <row r="445" spans="2:43" s="123" customFormat="1">
      <c r="B445" s="125"/>
      <c r="D445" s="125"/>
      <c r="AA445" s="74"/>
      <c r="AE445" s="124"/>
      <c r="AI445" s="74"/>
      <c r="AM445" s="74"/>
      <c r="AQ445" s="74"/>
    </row>
    <row r="446" spans="2:43" s="123" customFormat="1">
      <c r="B446" s="125"/>
      <c r="D446" s="125"/>
      <c r="AA446" s="74"/>
      <c r="AE446" s="124"/>
      <c r="AI446" s="74"/>
      <c r="AM446" s="74"/>
      <c r="AQ446" s="74"/>
    </row>
    <row r="447" spans="2:43" s="123" customFormat="1">
      <c r="B447" s="125"/>
      <c r="D447" s="125"/>
      <c r="AA447" s="74"/>
      <c r="AE447" s="124"/>
      <c r="AI447" s="74"/>
      <c r="AM447" s="74"/>
      <c r="AQ447" s="74"/>
    </row>
    <row r="448" spans="2:43" s="123" customFormat="1">
      <c r="B448" s="125"/>
      <c r="D448" s="125"/>
      <c r="AA448" s="74"/>
      <c r="AE448" s="124"/>
      <c r="AI448" s="74"/>
      <c r="AM448" s="74"/>
      <c r="AQ448" s="74"/>
    </row>
    <row r="449" spans="2:43" s="123" customFormat="1">
      <c r="B449" s="125"/>
      <c r="D449" s="125"/>
      <c r="AA449" s="74"/>
      <c r="AE449" s="124"/>
      <c r="AI449" s="74"/>
      <c r="AM449" s="74"/>
      <c r="AQ449" s="74"/>
    </row>
    <row r="450" spans="2:43" s="123" customFormat="1">
      <c r="B450" s="125"/>
      <c r="D450" s="125"/>
      <c r="AA450" s="74"/>
      <c r="AE450" s="124"/>
      <c r="AI450" s="74"/>
      <c r="AM450" s="74"/>
      <c r="AQ450" s="74"/>
    </row>
    <row r="451" spans="2:43" s="123" customFormat="1">
      <c r="B451" s="125"/>
      <c r="D451" s="125"/>
      <c r="AA451" s="74"/>
      <c r="AE451" s="124"/>
      <c r="AI451" s="74"/>
      <c r="AM451" s="74"/>
      <c r="AQ451" s="74"/>
    </row>
    <row r="452" spans="2:43" s="123" customFormat="1">
      <c r="B452" s="125"/>
      <c r="D452" s="125"/>
      <c r="AA452" s="74"/>
      <c r="AE452" s="124"/>
      <c r="AI452" s="74"/>
      <c r="AM452" s="74"/>
      <c r="AQ452" s="74"/>
    </row>
    <row r="453" spans="2:43" s="123" customFormat="1">
      <c r="B453" s="125"/>
      <c r="D453" s="125"/>
      <c r="AA453" s="74"/>
      <c r="AE453" s="124"/>
      <c r="AI453" s="74"/>
      <c r="AM453" s="74"/>
      <c r="AQ453" s="74"/>
    </row>
    <row r="454" spans="2:43" s="123" customFormat="1">
      <c r="B454" s="125"/>
      <c r="D454" s="125"/>
      <c r="AA454" s="74"/>
      <c r="AE454" s="124"/>
      <c r="AI454" s="74"/>
      <c r="AM454" s="74"/>
      <c r="AQ454" s="74"/>
    </row>
    <row r="455" spans="2:43" s="123" customFormat="1">
      <c r="B455" s="125"/>
      <c r="D455" s="125"/>
      <c r="AA455" s="74"/>
      <c r="AE455" s="124"/>
      <c r="AI455" s="74"/>
      <c r="AM455" s="74"/>
      <c r="AQ455" s="74"/>
    </row>
    <row r="456" spans="2:43" s="123" customFormat="1">
      <c r="B456" s="125"/>
      <c r="D456" s="125"/>
      <c r="AA456" s="74"/>
      <c r="AE456" s="124"/>
      <c r="AI456" s="74"/>
      <c r="AM456" s="74"/>
      <c r="AQ456" s="74"/>
    </row>
    <row r="457" spans="2:43" s="123" customFormat="1">
      <c r="B457" s="125"/>
      <c r="D457" s="125"/>
      <c r="AA457" s="74"/>
      <c r="AE457" s="124"/>
      <c r="AI457" s="74"/>
      <c r="AM457" s="74"/>
      <c r="AQ457" s="74"/>
    </row>
    <row r="458" spans="2:43" s="123" customFormat="1">
      <c r="B458" s="125"/>
      <c r="D458" s="125"/>
      <c r="AA458" s="74"/>
      <c r="AE458" s="124"/>
      <c r="AI458" s="74"/>
      <c r="AM458" s="74"/>
      <c r="AQ458" s="74"/>
    </row>
    <row r="459" spans="2:43" s="123" customFormat="1">
      <c r="B459" s="125"/>
      <c r="D459" s="125"/>
      <c r="AA459" s="74"/>
      <c r="AE459" s="124"/>
      <c r="AI459" s="74"/>
      <c r="AM459" s="74"/>
      <c r="AQ459" s="74"/>
    </row>
    <row r="460" spans="2:43" s="123" customFormat="1">
      <c r="B460" s="125"/>
      <c r="D460" s="125"/>
      <c r="AA460" s="74"/>
      <c r="AE460" s="124"/>
      <c r="AI460" s="74"/>
      <c r="AM460" s="74"/>
      <c r="AQ460" s="74"/>
    </row>
    <row r="461" spans="2:43" s="123" customFormat="1">
      <c r="B461" s="125"/>
      <c r="D461" s="125"/>
      <c r="AA461" s="74"/>
      <c r="AE461" s="124"/>
      <c r="AI461" s="74"/>
      <c r="AM461" s="74"/>
      <c r="AQ461" s="74"/>
    </row>
    <row r="462" spans="2:43" s="123" customFormat="1">
      <c r="B462" s="125"/>
      <c r="D462" s="125"/>
      <c r="AA462" s="74"/>
      <c r="AE462" s="124"/>
      <c r="AI462" s="74"/>
      <c r="AM462" s="74"/>
      <c r="AQ462" s="74"/>
    </row>
    <row r="463" spans="2:43" s="123" customFormat="1">
      <c r="B463" s="125"/>
      <c r="D463" s="125"/>
      <c r="AA463" s="74"/>
      <c r="AE463" s="124"/>
      <c r="AI463" s="74"/>
      <c r="AM463" s="74"/>
      <c r="AQ463" s="74"/>
    </row>
    <row r="464" spans="2:43" s="123" customFormat="1">
      <c r="B464" s="125"/>
      <c r="D464" s="125"/>
      <c r="AA464" s="74"/>
      <c r="AE464" s="124"/>
      <c r="AI464" s="74"/>
      <c r="AM464" s="74"/>
      <c r="AQ464" s="74"/>
    </row>
    <row r="465" spans="2:43" s="123" customFormat="1">
      <c r="B465" s="125"/>
      <c r="D465" s="125"/>
      <c r="AA465" s="74"/>
      <c r="AE465" s="124"/>
      <c r="AI465" s="74"/>
      <c r="AM465" s="74"/>
      <c r="AQ465" s="74"/>
    </row>
    <row r="466" spans="2:43" s="123" customFormat="1">
      <c r="B466" s="125"/>
      <c r="D466" s="125"/>
      <c r="AA466" s="74"/>
      <c r="AE466" s="124"/>
      <c r="AI466" s="74"/>
      <c r="AM466" s="74"/>
      <c r="AQ466" s="74"/>
    </row>
    <row r="467" spans="2:43" s="123" customFormat="1">
      <c r="B467" s="125"/>
      <c r="D467" s="125"/>
      <c r="AA467" s="74"/>
      <c r="AE467" s="124"/>
      <c r="AI467" s="74"/>
      <c r="AM467" s="74"/>
      <c r="AQ467" s="74"/>
    </row>
    <row r="468" spans="2:43" s="123" customFormat="1">
      <c r="B468" s="125"/>
      <c r="D468" s="125"/>
      <c r="AA468" s="74"/>
      <c r="AE468" s="124"/>
      <c r="AI468" s="74"/>
      <c r="AM468" s="74"/>
      <c r="AQ468" s="74"/>
    </row>
    <row r="469" spans="2:43" s="123" customFormat="1">
      <c r="B469" s="125"/>
      <c r="D469" s="125"/>
      <c r="AA469" s="74"/>
      <c r="AE469" s="124"/>
      <c r="AI469" s="74"/>
      <c r="AM469" s="74"/>
      <c r="AQ469" s="74"/>
    </row>
    <row r="470" spans="2:43" s="123" customFormat="1">
      <c r="B470" s="125"/>
      <c r="D470" s="125"/>
      <c r="AA470" s="74"/>
      <c r="AE470" s="124"/>
      <c r="AI470" s="74"/>
      <c r="AM470" s="74"/>
      <c r="AQ470" s="74"/>
    </row>
    <row r="471" spans="2:43" s="123" customFormat="1">
      <c r="B471" s="125"/>
      <c r="D471" s="125"/>
      <c r="AA471" s="74"/>
      <c r="AE471" s="124"/>
      <c r="AI471" s="74"/>
      <c r="AM471" s="74"/>
      <c r="AQ471" s="74"/>
    </row>
    <row r="472" spans="2:43" s="123" customFormat="1">
      <c r="B472" s="125"/>
      <c r="D472" s="125"/>
      <c r="AA472" s="74"/>
      <c r="AE472" s="124"/>
      <c r="AI472" s="74"/>
      <c r="AM472" s="74"/>
      <c r="AQ472" s="74"/>
    </row>
    <row r="473" spans="2:43" s="123" customFormat="1">
      <c r="B473" s="125"/>
      <c r="D473" s="125"/>
      <c r="AA473" s="74"/>
      <c r="AE473" s="124"/>
      <c r="AI473" s="74"/>
      <c r="AM473" s="74"/>
      <c r="AQ473" s="74"/>
    </row>
    <row r="474" spans="2:43" s="123" customFormat="1">
      <c r="B474" s="125"/>
      <c r="D474" s="125"/>
      <c r="AA474" s="74"/>
      <c r="AE474" s="124"/>
      <c r="AI474" s="74"/>
      <c r="AM474" s="74"/>
      <c r="AQ474" s="74"/>
    </row>
    <row r="475" spans="2:43" s="123" customFormat="1">
      <c r="B475" s="125"/>
      <c r="D475" s="125"/>
      <c r="AA475" s="74"/>
      <c r="AE475" s="124"/>
      <c r="AI475" s="74"/>
      <c r="AM475" s="74"/>
      <c r="AQ475" s="74"/>
    </row>
    <row r="476" spans="2:43" s="123" customFormat="1">
      <c r="B476" s="125"/>
      <c r="D476" s="125"/>
      <c r="AA476" s="74"/>
      <c r="AE476" s="124"/>
      <c r="AI476" s="74"/>
      <c r="AM476" s="74"/>
      <c r="AQ476" s="74"/>
    </row>
    <row r="477" spans="2:43" s="123" customFormat="1">
      <c r="B477" s="125"/>
      <c r="D477" s="125"/>
      <c r="AA477" s="74"/>
      <c r="AE477" s="124"/>
      <c r="AI477" s="74"/>
      <c r="AM477" s="74"/>
      <c r="AQ477" s="74"/>
    </row>
    <row r="478" spans="2:43" s="123" customFormat="1">
      <c r="B478" s="125"/>
      <c r="D478" s="125"/>
      <c r="AA478" s="74"/>
      <c r="AE478" s="124"/>
      <c r="AI478" s="74"/>
      <c r="AM478" s="74"/>
      <c r="AQ478" s="74"/>
    </row>
    <row r="479" spans="2:43" s="123" customFormat="1">
      <c r="B479" s="125"/>
      <c r="D479" s="125"/>
      <c r="AA479" s="74"/>
      <c r="AE479" s="124"/>
      <c r="AI479" s="74"/>
      <c r="AM479" s="74"/>
      <c r="AQ479" s="74"/>
    </row>
    <row r="480" spans="2:43" s="123" customFormat="1">
      <c r="B480" s="125"/>
      <c r="D480" s="125"/>
      <c r="AA480" s="74"/>
      <c r="AE480" s="124"/>
      <c r="AI480" s="74"/>
      <c r="AM480" s="74"/>
      <c r="AQ480" s="74"/>
    </row>
    <row r="481" spans="2:43" s="123" customFormat="1">
      <c r="B481" s="125"/>
      <c r="D481" s="125"/>
      <c r="AA481" s="74"/>
      <c r="AE481" s="124"/>
      <c r="AI481" s="74"/>
      <c r="AM481" s="74"/>
      <c r="AQ481" s="74"/>
    </row>
    <row r="482" spans="2:43" s="123" customFormat="1">
      <c r="B482" s="125"/>
      <c r="D482" s="125"/>
      <c r="AA482" s="74"/>
      <c r="AE482" s="124"/>
      <c r="AI482" s="74"/>
      <c r="AM482" s="74"/>
      <c r="AQ482" s="74"/>
    </row>
    <row r="483" spans="2:43" s="123" customFormat="1">
      <c r="B483" s="125"/>
      <c r="D483" s="125"/>
      <c r="AA483" s="74"/>
      <c r="AE483" s="124"/>
      <c r="AI483" s="74"/>
      <c r="AM483" s="74"/>
      <c r="AQ483" s="74"/>
    </row>
    <row r="484" spans="2:43" s="123" customFormat="1">
      <c r="B484" s="125"/>
      <c r="D484" s="125"/>
      <c r="AA484" s="74"/>
      <c r="AE484" s="124"/>
      <c r="AI484" s="74"/>
      <c r="AM484" s="74"/>
      <c r="AQ484" s="74"/>
    </row>
    <row r="485" spans="2:43" s="123" customFormat="1">
      <c r="B485" s="125"/>
      <c r="D485" s="125"/>
      <c r="AA485" s="74"/>
      <c r="AE485" s="124"/>
      <c r="AI485" s="74"/>
      <c r="AM485" s="74"/>
      <c r="AQ485" s="74"/>
    </row>
    <row r="486" spans="2:43" s="123" customFormat="1">
      <c r="B486" s="125"/>
      <c r="D486" s="125"/>
      <c r="AA486" s="74"/>
      <c r="AE486" s="124"/>
      <c r="AI486" s="74"/>
      <c r="AM486" s="74"/>
      <c r="AQ486" s="74"/>
    </row>
    <row r="487" spans="2:43" s="123" customFormat="1">
      <c r="B487" s="125"/>
      <c r="D487" s="125"/>
      <c r="AA487" s="74"/>
      <c r="AE487" s="124"/>
      <c r="AI487" s="74"/>
      <c r="AM487" s="74"/>
      <c r="AQ487" s="74"/>
    </row>
    <row r="488" spans="2:43" s="123" customFormat="1">
      <c r="B488" s="125"/>
      <c r="D488" s="125"/>
      <c r="AA488" s="74"/>
      <c r="AE488" s="124"/>
      <c r="AI488" s="74"/>
      <c r="AM488" s="74"/>
      <c r="AQ488" s="74"/>
    </row>
    <row r="489" spans="2:43" s="123" customFormat="1">
      <c r="B489" s="125"/>
      <c r="D489" s="125"/>
      <c r="AA489" s="74"/>
      <c r="AE489" s="124"/>
      <c r="AI489" s="74"/>
      <c r="AM489" s="74"/>
      <c r="AQ489" s="74"/>
    </row>
    <row r="490" spans="2:43" s="123" customFormat="1">
      <c r="B490" s="125"/>
      <c r="D490" s="125"/>
      <c r="AA490" s="74"/>
      <c r="AE490" s="124"/>
      <c r="AI490" s="74"/>
      <c r="AM490" s="74"/>
      <c r="AQ490" s="74"/>
    </row>
    <row r="491" spans="2:43" s="123" customFormat="1">
      <c r="B491" s="125"/>
      <c r="D491" s="125"/>
      <c r="AA491" s="74"/>
      <c r="AE491" s="124"/>
      <c r="AI491" s="74"/>
      <c r="AM491" s="74"/>
      <c r="AQ491" s="74"/>
    </row>
    <row r="492" spans="2:43" s="123" customFormat="1">
      <c r="B492" s="125"/>
      <c r="D492" s="125"/>
      <c r="AA492" s="74"/>
      <c r="AE492" s="124"/>
      <c r="AI492" s="74"/>
      <c r="AM492" s="74"/>
      <c r="AQ492" s="74"/>
    </row>
    <row r="493" spans="2:43" s="123" customFormat="1">
      <c r="B493" s="125"/>
      <c r="D493" s="125"/>
      <c r="AA493" s="74"/>
      <c r="AE493" s="124"/>
      <c r="AI493" s="74"/>
      <c r="AM493" s="74"/>
      <c r="AQ493" s="74"/>
    </row>
    <row r="494" spans="2:43" s="123" customFormat="1">
      <c r="B494" s="125"/>
      <c r="D494" s="125"/>
      <c r="AA494" s="74"/>
      <c r="AE494" s="124"/>
      <c r="AI494" s="74"/>
      <c r="AM494" s="74"/>
      <c r="AQ494" s="74"/>
    </row>
    <row r="495" spans="2:43" s="123" customFormat="1">
      <c r="B495" s="125"/>
      <c r="D495" s="125"/>
      <c r="AA495" s="74"/>
      <c r="AE495" s="124"/>
      <c r="AI495" s="74"/>
      <c r="AM495" s="74"/>
      <c r="AQ495" s="74"/>
    </row>
    <row r="496" spans="2:43" s="123" customFormat="1">
      <c r="B496" s="125"/>
      <c r="D496" s="125"/>
      <c r="AA496" s="74"/>
      <c r="AE496" s="124"/>
      <c r="AI496" s="74"/>
      <c r="AM496" s="74"/>
      <c r="AQ496" s="74"/>
    </row>
    <row r="497" spans="2:43" s="123" customFormat="1">
      <c r="B497" s="125"/>
      <c r="D497" s="125"/>
      <c r="AA497" s="74"/>
      <c r="AE497" s="124"/>
      <c r="AI497" s="74"/>
      <c r="AM497" s="74"/>
      <c r="AQ497" s="74"/>
    </row>
    <row r="498" spans="2:43" s="123" customFormat="1">
      <c r="B498" s="125"/>
      <c r="D498" s="125"/>
      <c r="AA498" s="74"/>
      <c r="AE498" s="124"/>
      <c r="AI498" s="74"/>
      <c r="AM498" s="74"/>
      <c r="AQ498" s="74"/>
    </row>
    <row r="499" spans="2:43" s="123" customFormat="1">
      <c r="B499" s="125"/>
      <c r="D499" s="125"/>
      <c r="AA499" s="74"/>
      <c r="AE499" s="124"/>
      <c r="AI499" s="74"/>
      <c r="AM499" s="74"/>
      <c r="AQ499" s="74"/>
    </row>
    <row r="500" spans="2:43" s="123" customFormat="1">
      <c r="B500" s="125"/>
      <c r="D500" s="125"/>
      <c r="AA500" s="74"/>
      <c r="AE500" s="124"/>
      <c r="AI500" s="74"/>
      <c r="AM500" s="74"/>
      <c r="AQ500" s="74"/>
    </row>
    <row r="501" spans="2:43" s="123" customFormat="1">
      <c r="B501" s="125"/>
      <c r="D501" s="125"/>
      <c r="AA501" s="74"/>
      <c r="AE501" s="124"/>
      <c r="AI501" s="74"/>
      <c r="AM501" s="74"/>
      <c r="AQ501" s="74"/>
    </row>
    <row r="502" spans="2:43" s="123" customFormat="1">
      <c r="B502" s="125"/>
      <c r="D502" s="125"/>
      <c r="AA502" s="74"/>
      <c r="AE502" s="124"/>
      <c r="AI502" s="74"/>
      <c r="AM502" s="74"/>
      <c r="AQ502" s="74"/>
    </row>
    <row r="503" spans="2:43" s="123" customFormat="1">
      <c r="B503" s="125"/>
      <c r="D503" s="125"/>
      <c r="AA503" s="74"/>
      <c r="AE503" s="124"/>
      <c r="AI503" s="74"/>
      <c r="AM503" s="74"/>
      <c r="AQ503" s="74"/>
    </row>
    <row r="504" spans="2:43" s="123" customFormat="1">
      <c r="B504" s="125"/>
      <c r="D504" s="125"/>
      <c r="AA504" s="74"/>
      <c r="AE504" s="124"/>
      <c r="AI504" s="74"/>
      <c r="AM504" s="74"/>
      <c r="AQ504" s="74"/>
    </row>
    <row r="505" spans="2:43" s="123" customFormat="1">
      <c r="B505" s="125"/>
      <c r="D505" s="125"/>
      <c r="AA505" s="74"/>
      <c r="AE505" s="124"/>
      <c r="AI505" s="74"/>
      <c r="AM505" s="74"/>
      <c r="AQ505" s="74"/>
    </row>
    <row r="506" spans="2:43" s="123" customFormat="1">
      <c r="B506" s="125"/>
      <c r="D506" s="125"/>
      <c r="AA506" s="74"/>
      <c r="AE506" s="124"/>
      <c r="AI506" s="74"/>
      <c r="AM506" s="74"/>
      <c r="AQ506" s="74"/>
    </row>
    <row r="507" spans="2:43" s="123" customFormat="1">
      <c r="B507" s="125"/>
      <c r="D507" s="125"/>
      <c r="AA507" s="74"/>
      <c r="AE507" s="124"/>
      <c r="AI507" s="74"/>
      <c r="AM507" s="74"/>
      <c r="AQ507" s="74"/>
    </row>
    <row r="508" spans="2:43" s="123" customFormat="1">
      <c r="B508" s="125"/>
      <c r="D508" s="125"/>
      <c r="AA508" s="74"/>
      <c r="AE508" s="124"/>
      <c r="AI508" s="74"/>
      <c r="AM508" s="74"/>
      <c r="AQ508" s="74"/>
    </row>
    <row r="509" spans="2:43" s="123" customFormat="1">
      <c r="B509" s="125"/>
      <c r="D509" s="125"/>
      <c r="AA509" s="74"/>
      <c r="AE509" s="124"/>
      <c r="AI509" s="74"/>
      <c r="AM509" s="74"/>
      <c r="AQ509" s="74"/>
    </row>
    <row r="510" spans="2:43" s="123" customFormat="1">
      <c r="B510" s="125"/>
      <c r="D510" s="125"/>
      <c r="AA510" s="74"/>
      <c r="AE510" s="124"/>
      <c r="AI510" s="74"/>
      <c r="AM510" s="74"/>
      <c r="AQ510" s="74"/>
    </row>
    <row r="511" spans="2:43" s="123" customFormat="1">
      <c r="B511" s="125"/>
      <c r="D511" s="125"/>
      <c r="AA511" s="74"/>
      <c r="AE511" s="124"/>
      <c r="AI511" s="74"/>
      <c r="AM511" s="74"/>
      <c r="AQ511" s="74"/>
    </row>
    <row r="512" spans="2:43" s="123" customFormat="1">
      <c r="B512" s="125"/>
      <c r="D512" s="125"/>
      <c r="AA512" s="74"/>
      <c r="AE512" s="124"/>
      <c r="AI512" s="74"/>
      <c r="AM512" s="74"/>
      <c r="AQ512" s="74"/>
    </row>
    <row r="513" spans="2:43" s="123" customFormat="1">
      <c r="B513" s="125"/>
      <c r="D513" s="125"/>
      <c r="AA513" s="74"/>
      <c r="AE513" s="124"/>
      <c r="AI513" s="74"/>
      <c r="AM513" s="74"/>
      <c r="AQ513" s="74"/>
    </row>
    <row r="514" spans="2:43" s="123" customFormat="1">
      <c r="B514" s="125"/>
      <c r="D514" s="125"/>
      <c r="AA514" s="74"/>
      <c r="AE514" s="124"/>
      <c r="AI514" s="74"/>
      <c r="AM514" s="74"/>
      <c r="AQ514" s="74"/>
    </row>
    <row r="515" spans="2:43" s="123" customFormat="1">
      <c r="B515" s="125"/>
      <c r="D515" s="125"/>
      <c r="AA515" s="74"/>
      <c r="AE515" s="124"/>
      <c r="AI515" s="74"/>
      <c r="AM515" s="74"/>
      <c r="AQ515" s="74"/>
    </row>
    <row r="516" spans="2:43" s="123" customFormat="1">
      <c r="B516" s="125"/>
      <c r="D516" s="125"/>
      <c r="AA516" s="74"/>
      <c r="AE516" s="124"/>
      <c r="AI516" s="74"/>
      <c r="AM516" s="74"/>
      <c r="AQ516" s="74"/>
    </row>
    <row r="517" spans="2:43" s="123" customFormat="1">
      <c r="B517" s="125"/>
      <c r="D517" s="125"/>
      <c r="AA517" s="74"/>
      <c r="AE517" s="124"/>
      <c r="AI517" s="74"/>
      <c r="AM517" s="74"/>
      <c r="AQ517" s="74"/>
    </row>
    <row r="518" spans="2:43" s="123" customFormat="1">
      <c r="B518" s="125"/>
      <c r="D518" s="125"/>
      <c r="AA518" s="74"/>
      <c r="AE518" s="124"/>
      <c r="AI518" s="74"/>
      <c r="AM518" s="74"/>
      <c r="AQ518" s="74"/>
    </row>
    <row r="519" spans="2:43" s="123" customFormat="1">
      <c r="B519" s="125"/>
      <c r="D519" s="125"/>
      <c r="AA519" s="74"/>
      <c r="AE519" s="124"/>
      <c r="AI519" s="74"/>
      <c r="AM519" s="74"/>
      <c r="AQ519" s="74"/>
    </row>
    <row r="520" spans="2:43" s="123" customFormat="1">
      <c r="B520" s="125"/>
      <c r="D520" s="125"/>
      <c r="AA520" s="74"/>
      <c r="AE520" s="124"/>
      <c r="AI520" s="74"/>
      <c r="AM520" s="74"/>
      <c r="AQ520" s="74"/>
    </row>
    <row r="521" spans="2:43" s="123" customFormat="1">
      <c r="B521" s="125"/>
      <c r="D521" s="125"/>
      <c r="AA521" s="74"/>
      <c r="AE521" s="124"/>
      <c r="AI521" s="74"/>
      <c r="AM521" s="74"/>
      <c r="AQ521" s="74"/>
    </row>
    <row r="522" spans="2:43" s="123" customFormat="1">
      <c r="B522" s="125"/>
      <c r="D522" s="125"/>
      <c r="AA522" s="74"/>
      <c r="AE522" s="124"/>
      <c r="AI522" s="74"/>
      <c r="AM522" s="74"/>
      <c r="AQ522" s="74"/>
    </row>
    <row r="523" spans="2:43" s="123" customFormat="1">
      <c r="B523" s="125"/>
      <c r="D523" s="125"/>
      <c r="AA523" s="74"/>
      <c r="AE523" s="124"/>
      <c r="AI523" s="74"/>
      <c r="AM523" s="74"/>
      <c r="AQ523" s="74"/>
    </row>
    <row r="524" spans="2:43" s="123" customFormat="1">
      <c r="B524" s="125"/>
      <c r="D524" s="125"/>
      <c r="AA524" s="74"/>
      <c r="AE524" s="124"/>
      <c r="AI524" s="74"/>
      <c r="AM524" s="74"/>
      <c r="AQ524" s="74"/>
    </row>
    <row r="525" spans="2:43" s="123" customFormat="1">
      <c r="B525" s="125"/>
      <c r="D525" s="125"/>
      <c r="AA525" s="74"/>
      <c r="AE525" s="124"/>
      <c r="AI525" s="74"/>
      <c r="AM525" s="74"/>
      <c r="AQ525" s="74"/>
    </row>
    <row r="526" spans="2:43" s="123" customFormat="1">
      <c r="B526" s="125"/>
      <c r="D526" s="125"/>
      <c r="AA526" s="74"/>
      <c r="AE526" s="124"/>
      <c r="AI526" s="74"/>
      <c r="AM526" s="74"/>
      <c r="AQ526" s="74"/>
    </row>
    <row r="527" spans="2:43" s="123" customFormat="1">
      <c r="B527" s="125"/>
      <c r="D527" s="125"/>
      <c r="AA527" s="74"/>
      <c r="AE527" s="124"/>
      <c r="AI527" s="74"/>
      <c r="AM527" s="74"/>
      <c r="AQ527" s="74"/>
    </row>
    <row r="528" spans="2:43" s="123" customFormat="1">
      <c r="B528" s="125"/>
      <c r="D528" s="125"/>
      <c r="AA528" s="74"/>
      <c r="AE528" s="124"/>
      <c r="AI528" s="74"/>
      <c r="AM528" s="74"/>
      <c r="AQ528" s="74"/>
    </row>
    <row r="529" spans="2:43" s="123" customFormat="1">
      <c r="B529" s="125"/>
      <c r="D529" s="125"/>
      <c r="AA529" s="74"/>
      <c r="AE529" s="124"/>
      <c r="AI529" s="74"/>
      <c r="AM529" s="74"/>
      <c r="AQ529" s="74"/>
    </row>
    <row r="530" spans="2:43" s="123" customFormat="1">
      <c r="B530" s="125"/>
      <c r="D530" s="125"/>
      <c r="AA530" s="74"/>
      <c r="AE530" s="124"/>
      <c r="AI530" s="74"/>
      <c r="AM530" s="74"/>
      <c r="AQ530" s="74"/>
    </row>
    <row r="531" spans="2:43" s="123" customFormat="1">
      <c r="B531" s="125"/>
      <c r="D531" s="125"/>
      <c r="AA531" s="74"/>
      <c r="AE531" s="124"/>
      <c r="AI531" s="74"/>
      <c r="AM531" s="74"/>
      <c r="AQ531" s="74"/>
    </row>
    <row r="532" spans="2:43" s="123" customFormat="1">
      <c r="B532" s="125"/>
      <c r="D532" s="125"/>
      <c r="AA532" s="74"/>
      <c r="AE532" s="124"/>
      <c r="AI532" s="74"/>
      <c r="AM532" s="74"/>
      <c r="AQ532" s="74"/>
    </row>
    <row r="533" spans="2:43" s="123" customFormat="1">
      <c r="B533" s="125"/>
      <c r="D533" s="125"/>
      <c r="AA533" s="74"/>
      <c r="AE533" s="124"/>
      <c r="AI533" s="74"/>
      <c r="AM533" s="74"/>
      <c r="AQ533" s="74"/>
    </row>
    <row r="534" spans="2:43" s="123" customFormat="1">
      <c r="B534" s="125"/>
      <c r="D534" s="125"/>
      <c r="AA534" s="74"/>
      <c r="AE534" s="124"/>
      <c r="AI534" s="74"/>
      <c r="AM534" s="74"/>
      <c r="AQ534" s="74"/>
    </row>
    <row r="535" spans="2:43" s="123" customFormat="1">
      <c r="B535" s="125"/>
      <c r="D535" s="125"/>
      <c r="AA535" s="74"/>
      <c r="AE535" s="124"/>
      <c r="AI535" s="74"/>
      <c r="AM535" s="74"/>
      <c r="AQ535" s="74"/>
    </row>
    <row r="536" spans="2:43" s="123" customFormat="1">
      <c r="B536" s="125"/>
      <c r="D536" s="125"/>
      <c r="AA536" s="74"/>
      <c r="AE536" s="124"/>
      <c r="AI536" s="74"/>
      <c r="AM536" s="74"/>
      <c r="AQ536" s="74"/>
    </row>
    <row r="537" spans="2:43" s="123" customFormat="1">
      <c r="B537" s="125"/>
      <c r="D537" s="125"/>
      <c r="AA537" s="74"/>
      <c r="AE537" s="124"/>
      <c r="AI537" s="74"/>
      <c r="AM537" s="74"/>
      <c r="AQ537" s="74"/>
    </row>
    <row r="538" spans="2:43" s="123" customFormat="1">
      <c r="B538" s="125"/>
      <c r="D538" s="125"/>
      <c r="AA538" s="74"/>
      <c r="AE538" s="124"/>
      <c r="AI538" s="74"/>
      <c r="AM538" s="74"/>
      <c r="AQ538" s="74"/>
    </row>
    <row r="539" spans="2:43" s="123" customFormat="1">
      <c r="B539" s="125"/>
      <c r="D539" s="125"/>
      <c r="AA539" s="74"/>
      <c r="AE539" s="124"/>
      <c r="AI539" s="74"/>
      <c r="AM539" s="74"/>
      <c r="AQ539" s="74"/>
    </row>
    <row r="540" spans="2:43" s="123" customFormat="1">
      <c r="B540" s="125"/>
      <c r="D540" s="125"/>
      <c r="AA540" s="74"/>
      <c r="AE540" s="124"/>
      <c r="AI540" s="74"/>
      <c r="AM540" s="74"/>
      <c r="AQ540" s="74"/>
    </row>
    <row r="541" spans="2:43" s="123" customFormat="1">
      <c r="B541" s="125"/>
      <c r="D541" s="125"/>
      <c r="AA541" s="74"/>
      <c r="AE541" s="124"/>
      <c r="AI541" s="74"/>
      <c r="AM541" s="74"/>
      <c r="AQ541" s="74"/>
    </row>
    <row r="542" spans="2:43" s="123" customFormat="1">
      <c r="B542" s="125"/>
      <c r="D542" s="125"/>
      <c r="AA542" s="74"/>
      <c r="AE542" s="124"/>
      <c r="AI542" s="74"/>
      <c r="AM542" s="74"/>
      <c r="AQ542" s="74"/>
    </row>
    <row r="543" spans="2:43" s="123" customFormat="1">
      <c r="B543" s="125"/>
      <c r="D543" s="125"/>
      <c r="AA543" s="74"/>
      <c r="AE543" s="124"/>
      <c r="AI543" s="74"/>
      <c r="AM543" s="74"/>
      <c r="AQ543" s="74"/>
    </row>
    <row r="544" spans="2:43" s="123" customFormat="1">
      <c r="B544" s="125"/>
      <c r="D544" s="125"/>
      <c r="AA544" s="74"/>
      <c r="AE544" s="124"/>
      <c r="AI544" s="74"/>
      <c r="AM544" s="74"/>
      <c r="AQ544" s="74"/>
    </row>
    <row r="545" spans="2:43" s="123" customFormat="1">
      <c r="B545" s="125"/>
      <c r="D545" s="125"/>
      <c r="AA545" s="74"/>
      <c r="AE545" s="124"/>
      <c r="AI545" s="74"/>
      <c r="AM545" s="74"/>
      <c r="AQ545" s="74"/>
    </row>
    <row r="546" spans="2:43" s="123" customFormat="1">
      <c r="B546" s="125"/>
      <c r="D546" s="125"/>
      <c r="AA546" s="74"/>
      <c r="AE546" s="124"/>
      <c r="AI546" s="74"/>
      <c r="AM546" s="74"/>
      <c r="AQ546" s="74"/>
    </row>
    <row r="547" spans="2:43" s="123" customFormat="1">
      <c r="B547" s="125"/>
      <c r="D547" s="125"/>
      <c r="AA547" s="74"/>
      <c r="AE547" s="124"/>
      <c r="AI547" s="74"/>
      <c r="AM547" s="74"/>
      <c r="AQ547" s="74"/>
    </row>
    <row r="548" spans="2:43" s="123" customFormat="1">
      <c r="B548" s="125"/>
      <c r="D548" s="125"/>
      <c r="AA548" s="74"/>
      <c r="AE548" s="124"/>
      <c r="AI548" s="74"/>
      <c r="AM548" s="74"/>
      <c r="AQ548" s="74"/>
    </row>
    <row r="549" spans="2:43" s="123" customFormat="1">
      <c r="B549" s="125"/>
      <c r="D549" s="125"/>
      <c r="AA549" s="74"/>
      <c r="AE549" s="124"/>
      <c r="AI549" s="74"/>
      <c r="AM549" s="74"/>
      <c r="AQ549" s="74"/>
    </row>
    <row r="550" spans="2:43" s="123" customFormat="1">
      <c r="B550" s="125"/>
      <c r="D550" s="125"/>
      <c r="AA550" s="74"/>
      <c r="AE550" s="124"/>
      <c r="AI550" s="74"/>
      <c r="AM550" s="74"/>
      <c r="AQ550" s="74"/>
    </row>
    <row r="551" spans="2:43" s="123" customFormat="1">
      <c r="B551" s="125"/>
      <c r="D551" s="125"/>
      <c r="AA551" s="74"/>
      <c r="AE551" s="124"/>
      <c r="AI551" s="74"/>
      <c r="AM551" s="74"/>
      <c r="AQ551" s="74"/>
    </row>
    <row r="552" spans="2:43" s="123" customFormat="1">
      <c r="B552" s="125"/>
      <c r="D552" s="125"/>
      <c r="AA552" s="74"/>
      <c r="AE552" s="124"/>
      <c r="AI552" s="74"/>
      <c r="AM552" s="74"/>
      <c r="AQ552" s="74"/>
    </row>
    <row r="553" spans="2:43" s="123" customFormat="1">
      <c r="B553" s="125"/>
      <c r="D553" s="125"/>
      <c r="AA553" s="74"/>
      <c r="AE553" s="124"/>
      <c r="AI553" s="74"/>
      <c r="AM553" s="74"/>
      <c r="AQ553" s="74"/>
    </row>
    <row r="554" spans="2:43" s="123" customFormat="1">
      <c r="B554" s="125"/>
      <c r="D554" s="125"/>
      <c r="AA554" s="74"/>
      <c r="AE554" s="124"/>
      <c r="AI554" s="74"/>
      <c r="AM554" s="74"/>
      <c r="AQ554" s="74"/>
    </row>
    <row r="555" spans="2:43" s="123" customFormat="1">
      <c r="B555" s="125"/>
      <c r="D555" s="125"/>
      <c r="AA555" s="74"/>
      <c r="AE555" s="124"/>
      <c r="AI555" s="74"/>
      <c r="AM555" s="74"/>
      <c r="AQ555" s="74"/>
    </row>
    <row r="556" spans="2:43" s="123" customFormat="1">
      <c r="B556" s="125"/>
      <c r="D556" s="125"/>
      <c r="AA556" s="74"/>
      <c r="AE556" s="124"/>
      <c r="AI556" s="74"/>
      <c r="AM556" s="74"/>
      <c r="AQ556" s="74"/>
    </row>
    <row r="557" spans="2:43" s="123" customFormat="1">
      <c r="B557" s="125"/>
      <c r="D557" s="125"/>
      <c r="AA557" s="74"/>
      <c r="AE557" s="124"/>
      <c r="AI557" s="74"/>
      <c r="AM557" s="74"/>
      <c r="AQ557" s="74"/>
    </row>
    <row r="558" spans="2:43" s="123" customFormat="1">
      <c r="B558" s="125"/>
      <c r="D558" s="125"/>
      <c r="AA558" s="74"/>
      <c r="AE558" s="124"/>
      <c r="AI558" s="74"/>
      <c r="AM558" s="74"/>
      <c r="AQ558" s="74"/>
    </row>
    <row r="559" spans="2:43" s="123" customFormat="1">
      <c r="B559" s="125"/>
      <c r="D559" s="125"/>
      <c r="AA559" s="74"/>
      <c r="AE559" s="124"/>
      <c r="AI559" s="74"/>
      <c r="AM559" s="74"/>
      <c r="AQ559" s="74"/>
    </row>
    <row r="560" spans="2:43" s="123" customFormat="1">
      <c r="B560" s="125"/>
      <c r="D560" s="125"/>
      <c r="AA560" s="74"/>
      <c r="AE560" s="124"/>
      <c r="AI560" s="74"/>
      <c r="AM560" s="74"/>
      <c r="AQ560" s="74"/>
    </row>
    <row r="561" spans="2:43" s="123" customFormat="1">
      <c r="B561" s="125"/>
      <c r="D561" s="125"/>
      <c r="AA561" s="74"/>
      <c r="AE561" s="124"/>
      <c r="AI561" s="74"/>
      <c r="AM561" s="74"/>
      <c r="AQ561" s="74"/>
    </row>
    <row r="562" spans="2:43" s="123" customFormat="1">
      <c r="B562" s="125"/>
      <c r="D562" s="125"/>
      <c r="AA562" s="74"/>
      <c r="AE562" s="124"/>
      <c r="AI562" s="74"/>
      <c r="AM562" s="74"/>
      <c r="AQ562" s="74"/>
    </row>
    <row r="563" spans="2:43" s="123" customFormat="1">
      <c r="B563" s="125"/>
      <c r="D563" s="125"/>
      <c r="AA563" s="74"/>
      <c r="AE563" s="124"/>
      <c r="AI563" s="74"/>
      <c r="AM563" s="74"/>
      <c r="AQ563" s="74"/>
    </row>
    <row r="564" spans="2:43" s="123" customFormat="1">
      <c r="B564" s="125"/>
      <c r="D564" s="125"/>
      <c r="AA564" s="74"/>
      <c r="AE564" s="124"/>
      <c r="AI564" s="74"/>
      <c r="AM564" s="74"/>
      <c r="AQ564" s="74"/>
    </row>
    <row r="565" spans="2:43" s="123" customFormat="1">
      <c r="B565" s="125"/>
      <c r="D565" s="125"/>
      <c r="AA565" s="74"/>
      <c r="AE565" s="124"/>
      <c r="AI565" s="74"/>
      <c r="AM565" s="74"/>
      <c r="AQ565" s="74"/>
    </row>
    <row r="566" spans="2:43" s="123" customFormat="1">
      <c r="B566" s="125"/>
      <c r="D566" s="125"/>
      <c r="AA566" s="74"/>
      <c r="AE566" s="124"/>
      <c r="AI566" s="74"/>
      <c r="AM566" s="74"/>
      <c r="AQ566" s="74"/>
    </row>
    <row r="567" spans="2:43" s="123" customFormat="1">
      <c r="B567" s="125"/>
      <c r="D567" s="125"/>
      <c r="AA567" s="74"/>
      <c r="AE567" s="124"/>
      <c r="AI567" s="74"/>
      <c r="AM567" s="74"/>
      <c r="AQ567" s="74"/>
    </row>
    <row r="568" spans="2:43" s="123" customFormat="1">
      <c r="B568" s="125"/>
      <c r="D568" s="125"/>
      <c r="AA568" s="74"/>
      <c r="AE568" s="124"/>
      <c r="AI568" s="74"/>
      <c r="AM568" s="74"/>
      <c r="AQ568" s="74"/>
    </row>
    <row r="569" spans="2:43" s="123" customFormat="1">
      <c r="B569" s="125"/>
      <c r="D569" s="125"/>
      <c r="AA569" s="74"/>
      <c r="AE569" s="124"/>
      <c r="AI569" s="74"/>
      <c r="AM569" s="74"/>
      <c r="AQ569" s="74"/>
    </row>
    <row r="570" spans="2:43" s="123" customFormat="1">
      <c r="B570" s="125"/>
      <c r="D570" s="125"/>
      <c r="AA570" s="74"/>
      <c r="AE570" s="124"/>
      <c r="AI570" s="74"/>
      <c r="AM570" s="74"/>
      <c r="AQ570" s="74"/>
    </row>
    <row r="571" spans="2:43" s="123" customFormat="1">
      <c r="B571" s="125"/>
      <c r="D571" s="125"/>
      <c r="AA571" s="74"/>
      <c r="AE571" s="124"/>
      <c r="AI571" s="74"/>
      <c r="AM571" s="74"/>
      <c r="AQ571" s="74"/>
    </row>
    <row r="572" spans="2:43" s="123" customFormat="1">
      <c r="B572" s="125"/>
      <c r="D572" s="125"/>
      <c r="AA572" s="74"/>
      <c r="AE572" s="124"/>
      <c r="AI572" s="74"/>
      <c r="AM572" s="74"/>
      <c r="AQ572" s="74"/>
    </row>
    <row r="573" spans="2:43" s="123" customFormat="1">
      <c r="B573" s="125"/>
      <c r="D573" s="125"/>
      <c r="AA573" s="74"/>
      <c r="AE573" s="124"/>
      <c r="AI573" s="74"/>
      <c r="AM573" s="74"/>
      <c r="AQ573" s="74"/>
    </row>
    <row r="574" spans="2:43" s="123" customFormat="1">
      <c r="B574" s="125"/>
      <c r="D574" s="125"/>
      <c r="AA574" s="74"/>
      <c r="AE574" s="124"/>
      <c r="AI574" s="74"/>
      <c r="AM574" s="74"/>
      <c r="AQ574" s="74"/>
    </row>
    <row r="575" spans="2:43" s="123" customFormat="1">
      <c r="B575" s="125"/>
      <c r="D575" s="125"/>
      <c r="AA575" s="74"/>
      <c r="AE575" s="124"/>
      <c r="AI575" s="74"/>
      <c r="AM575" s="74"/>
      <c r="AQ575" s="74"/>
    </row>
    <row r="576" spans="2:43" s="123" customFormat="1">
      <c r="B576" s="125"/>
      <c r="D576" s="125"/>
      <c r="AA576" s="74"/>
      <c r="AE576" s="124"/>
      <c r="AI576" s="74"/>
      <c r="AM576" s="74"/>
      <c r="AQ576" s="74"/>
    </row>
    <row r="577" spans="2:43" s="123" customFormat="1">
      <c r="B577" s="125"/>
      <c r="D577" s="125"/>
      <c r="AA577" s="74"/>
      <c r="AE577" s="124"/>
      <c r="AI577" s="74"/>
      <c r="AM577" s="74"/>
      <c r="AQ577" s="74"/>
    </row>
    <row r="578" spans="2:43" s="123" customFormat="1">
      <c r="B578" s="125"/>
      <c r="D578" s="125"/>
      <c r="AA578" s="74"/>
      <c r="AE578" s="124"/>
      <c r="AI578" s="74"/>
      <c r="AM578" s="74"/>
      <c r="AQ578" s="74"/>
    </row>
    <row r="579" spans="2:43" s="123" customFormat="1">
      <c r="B579" s="125"/>
      <c r="D579" s="125"/>
      <c r="AA579" s="74"/>
      <c r="AE579" s="124"/>
      <c r="AI579" s="74"/>
      <c r="AM579" s="74"/>
      <c r="AQ579" s="74"/>
    </row>
    <row r="580" spans="2:43" s="123" customFormat="1">
      <c r="B580" s="125"/>
      <c r="D580" s="125"/>
      <c r="AA580" s="74"/>
      <c r="AE580" s="124"/>
      <c r="AI580" s="74"/>
      <c r="AM580" s="74"/>
      <c r="AQ580" s="74"/>
    </row>
    <row r="581" spans="2:43" s="123" customFormat="1">
      <c r="B581" s="125"/>
      <c r="D581" s="125"/>
      <c r="AA581" s="74"/>
      <c r="AE581" s="124"/>
      <c r="AI581" s="74"/>
      <c r="AM581" s="74"/>
      <c r="AQ581" s="74"/>
    </row>
    <row r="582" spans="2:43" s="123" customFormat="1">
      <c r="B582" s="125"/>
      <c r="D582" s="125"/>
      <c r="AA582" s="74"/>
      <c r="AE582" s="124"/>
      <c r="AI582" s="74"/>
      <c r="AM582" s="74"/>
      <c r="AQ582" s="74"/>
    </row>
    <row r="583" spans="2:43" s="123" customFormat="1">
      <c r="B583" s="125"/>
      <c r="D583" s="125"/>
      <c r="AA583" s="74"/>
      <c r="AE583" s="124"/>
      <c r="AI583" s="74"/>
      <c r="AM583" s="74"/>
      <c r="AQ583" s="74"/>
    </row>
    <row r="584" spans="2:43" s="123" customFormat="1">
      <c r="B584" s="125"/>
      <c r="D584" s="125"/>
      <c r="AA584" s="74"/>
      <c r="AE584" s="124"/>
      <c r="AI584" s="74"/>
      <c r="AM584" s="74"/>
      <c r="AQ584" s="74"/>
    </row>
    <row r="585" spans="2:43" s="123" customFormat="1">
      <c r="B585" s="125"/>
      <c r="D585" s="125"/>
      <c r="AA585" s="74"/>
      <c r="AE585" s="124"/>
      <c r="AI585" s="74"/>
      <c r="AM585" s="74"/>
      <c r="AQ585" s="74"/>
    </row>
    <row r="586" spans="2:43" s="123" customFormat="1">
      <c r="B586" s="125"/>
      <c r="D586" s="125"/>
      <c r="AA586" s="74"/>
      <c r="AE586" s="124"/>
      <c r="AI586" s="74"/>
      <c r="AM586" s="74"/>
      <c r="AQ586" s="74"/>
    </row>
    <row r="587" spans="2:43" s="123" customFormat="1">
      <c r="B587" s="125"/>
      <c r="D587" s="125"/>
      <c r="AA587" s="74"/>
      <c r="AE587" s="124"/>
      <c r="AI587" s="74"/>
      <c r="AM587" s="74"/>
      <c r="AQ587" s="74"/>
    </row>
    <row r="588" spans="2:43" s="123" customFormat="1">
      <c r="B588" s="125"/>
      <c r="D588" s="125"/>
      <c r="AA588" s="74"/>
      <c r="AE588" s="124"/>
      <c r="AI588" s="74"/>
      <c r="AM588" s="74"/>
      <c r="AQ588" s="74"/>
    </row>
    <row r="589" spans="2:43" s="123" customFormat="1">
      <c r="B589" s="125"/>
      <c r="D589" s="125"/>
      <c r="AA589" s="74"/>
      <c r="AE589" s="124"/>
      <c r="AI589" s="74"/>
      <c r="AM589" s="74"/>
      <c r="AQ589" s="74"/>
    </row>
    <row r="590" spans="2:43" s="123" customFormat="1">
      <c r="B590" s="125"/>
      <c r="D590" s="125"/>
      <c r="AA590" s="74"/>
      <c r="AE590" s="124"/>
      <c r="AI590" s="74"/>
      <c r="AM590" s="74"/>
      <c r="AQ590" s="74"/>
    </row>
    <row r="591" spans="2:43" s="123" customFormat="1">
      <c r="B591" s="125"/>
      <c r="D591" s="125"/>
      <c r="AA591" s="74"/>
      <c r="AE591" s="124"/>
      <c r="AI591" s="74"/>
      <c r="AM591" s="74"/>
      <c r="AQ591" s="74"/>
    </row>
    <row r="592" spans="2:43" s="123" customFormat="1">
      <c r="B592" s="125"/>
      <c r="D592" s="125"/>
      <c r="AA592" s="74"/>
      <c r="AE592" s="124"/>
      <c r="AI592" s="74"/>
      <c r="AM592" s="74"/>
      <c r="AQ592" s="74"/>
    </row>
    <row r="593" spans="2:43" s="123" customFormat="1">
      <c r="B593" s="125"/>
      <c r="D593" s="125"/>
      <c r="AA593" s="74"/>
      <c r="AE593" s="124"/>
      <c r="AI593" s="74"/>
      <c r="AM593" s="74"/>
      <c r="AQ593" s="74"/>
    </row>
    <row r="594" spans="2:43" s="123" customFormat="1">
      <c r="B594" s="125"/>
      <c r="D594" s="125"/>
      <c r="AA594" s="74"/>
      <c r="AE594" s="124"/>
      <c r="AI594" s="74"/>
      <c r="AM594" s="74"/>
      <c r="AQ594" s="74"/>
    </row>
    <row r="595" spans="2:43" s="123" customFormat="1">
      <c r="B595" s="125"/>
      <c r="D595" s="125"/>
      <c r="AA595" s="74"/>
      <c r="AE595" s="124"/>
      <c r="AI595" s="74"/>
      <c r="AM595" s="74"/>
      <c r="AQ595" s="74"/>
    </row>
    <row r="596" spans="2:43" s="123" customFormat="1">
      <c r="B596" s="125"/>
      <c r="D596" s="125"/>
      <c r="AA596" s="74"/>
      <c r="AE596" s="124"/>
      <c r="AI596" s="74"/>
      <c r="AM596" s="74"/>
      <c r="AQ596" s="74"/>
    </row>
    <row r="597" spans="2:43" s="123" customFormat="1">
      <c r="B597" s="125"/>
      <c r="D597" s="125"/>
      <c r="AA597" s="74"/>
      <c r="AE597" s="124"/>
      <c r="AI597" s="74"/>
      <c r="AM597" s="74"/>
      <c r="AQ597" s="74"/>
    </row>
    <row r="598" spans="2:43" s="123" customFormat="1">
      <c r="B598" s="125"/>
      <c r="D598" s="125"/>
      <c r="AA598" s="74"/>
      <c r="AE598" s="124"/>
      <c r="AI598" s="74"/>
      <c r="AM598" s="74"/>
      <c r="AQ598" s="74"/>
    </row>
    <row r="599" spans="2:43" s="123" customFormat="1">
      <c r="B599" s="125"/>
      <c r="D599" s="125"/>
      <c r="AA599" s="74"/>
      <c r="AE599" s="124"/>
      <c r="AI599" s="74"/>
      <c r="AM599" s="74"/>
      <c r="AQ599" s="74"/>
    </row>
    <row r="600" spans="2:43" s="123" customFormat="1">
      <c r="B600" s="125"/>
      <c r="D600" s="125"/>
      <c r="AA600" s="74"/>
      <c r="AE600" s="124"/>
      <c r="AI600" s="74"/>
      <c r="AM600" s="74"/>
      <c r="AQ600" s="74"/>
    </row>
    <row r="601" spans="2:43" s="123" customFormat="1">
      <c r="B601" s="125"/>
      <c r="D601" s="125"/>
      <c r="AA601" s="74"/>
      <c r="AE601" s="124"/>
      <c r="AI601" s="74"/>
      <c r="AM601" s="74"/>
      <c r="AQ601" s="74"/>
    </row>
    <row r="602" spans="2:43" s="123" customFormat="1">
      <c r="B602" s="125"/>
      <c r="D602" s="125"/>
      <c r="AA602" s="74"/>
      <c r="AE602" s="124"/>
      <c r="AI602" s="74"/>
      <c r="AM602" s="74"/>
      <c r="AQ602" s="74"/>
    </row>
    <row r="603" spans="2:43" s="123" customFormat="1">
      <c r="B603" s="125"/>
      <c r="D603" s="125"/>
      <c r="AA603" s="74"/>
      <c r="AE603" s="124"/>
      <c r="AI603" s="74"/>
      <c r="AM603" s="74"/>
      <c r="AQ603" s="74"/>
    </row>
    <row r="604" spans="2:43" s="123" customFormat="1">
      <c r="B604" s="125"/>
      <c r="D604" s="125"/>
      <c r="AA604" s="74"/>
      <c r="AE604" s="124"/>
      <c r="AI604" s="74"/>
      <c r="AM604" s="74"/>
      <c r="AQ604" s="74"/>
    </row>
    <row r="605" spans="2:43" s="123" customFormat="1">
      <c r="B605" s="125"/>
      <c r="D605" s="125"/>
      <c r="AA605" s="74"/>
      <c r="AE605" s="124"/>
      <c r="AI605" s="74"/>
      <c r="AM605" s="74"/>
      <c r="AQ605" s="74"/>
    </row>
    <row r="606" spans="2:43" s="123" customFormat="1">
      <c r="B606" s="125"/>
      <c r="D606" s="125"/>
      <c r="AA606" s="74"/>
      <c r="AE606" s="124"/>
      <c r="AI606" s="74"/>
      <c r="AM606" s="74"/>
      <c r="AQ606" s="74"/>
    </row>
    <row r="607" spans="2:43" s="123" customFormat="1">
      <c r="B607" s="125"/>
      <c r="D607" s="125"/>
      <c r="AA607" s="74"/>
      <c r="AE607" s="124"/>
      <c r="AI607" s="74"/>
      <c r="AM607" s="74"/>
      <c r="AQ607" s="74"/>
    </row>
    <row r="608" spans="2:43" s="123" customFormat="1">
      <c r="B608" s="125"/>
      <c r="D608" s="125"/>
      <c r="AA608" s="74"/>
      <c r="AE608" s="124"/>
      <c r="AI608" s="74"/>
      <c r="AM608" s="74"/>
      <c r="AQ608" s="74"/>
    </row>
    <row r="609" spans="2:43" s="123" customFormat="1">
      <c r="B609" s="125"/>
      <c r="D609" s="125"/>
      <c r="AA609" s="74"/>
      <c r="AE609" s="124"/>
      <c r="AI609" s="74"/>
      <c r="AM609" s="74"/>
      <c r="AQ609" s="74"/>
    </row>
    <row r="610" spans="2:43" s="123" customFormat="1">
      <c r="B610" s="125"/>
      <c r="D610" s="125"/>
      <c r="AA610" s="74"/>
      <c r="AE610" s="124"/>
      <c r="AI610" s="74"/>
      <c r="AM610" s="74"/>
      <c r="AQ610" s="74"/>
    </row>
    <row r="611" spans="2:43" s="123" customFormat="1">
      <c r="B611" s="125"/>
      <c r="D611" s="125"/>
      <c r="AA611" s="74"/>
      <c r="AE611" s="124"/>
      <c r="AI611" s="74"/>
      <c r="AM611" s="74"/>
      <c r="AQ611" s="74"/>
    </row>
    <row r="612" spans="2:43" s="123" customFormat="1">
      <c r="B612" s="125"/>
      <c r="D612" s="125"/>
      <c r="AA612" s="74"/>
      <c r="AE612" s="124"/>
      <c r="AI612" s="74"/>
      <c r="AM612" s="74"/>
      <c r="AQ612" s="74"/>
    </row>
    <row r="613" spans="2:43" s="123" customFormat="1">
      <c r="B613" s="125"/>
      <c r="D613" s="125"/>
      <c r="AA613" s="74"/>
      <c r="AE613" s="124"/>
      <c r="AI613" s="74"/>
      <c r="AM613" s="74"/>
      <c r="AQ613" s="74"/>
    </row>
    <row r="614" spans="2:43" s="123" customFormat="1">
      <c r="B614" s="125"/>
      <c r="D614" s="125"/>
      <c r="AA614" s="74"/>
      <c r="AE614" s="124"/>
      <c r="AI614" s="74"/>
      <c r="AM614" s="74"/>
      <c r="AQ614" s="74"/>
    </row>
    <row r="615" spans="2:43" s="123" customFormat="1">
      <c r="B615" s="125"/>
      <c r="D615" s="125"/>
      <c r="AA615" s="74"/>
      <c r="AE615" s="124"/>
      <c r="AI615" s="74"/>
      <c r="AM615" s="74"/>
      <c r="AQ615" s="74"/>
    </row>
    <row r="616" spans="2:43" s="123" customFormat="1">
      <c r="B616" s="125"/>
      <c r="D616" s="125"/>
      <c r="AA616" s="74"/>
      <c r="AE616" s="124"/>
      <c r="AI616" s="74"/>
      <c r="AM616" s="74"/>
      <c r="AQ616" s="74"/>
    </row>
    <row r="617" spans="2:43" s="123" customFormat="1">
      <c r="B617" s="125"/>
      <c r="D617" s="125"/>
      <c r="AA617" s="74"/>
      <c r="AE617" s="124"/>
      <c r="AI617" s="74"/>
      <c r="AM617" s="74"/>
      <c r="AQ617" s="74"/>
    </row>
    <row r="618" spans="2:43" s="123" customFormat="1">
      <c r="B618" s="125"/>
      <c r="D618" s="125"/>
      <c r="AA618" s="74"/>
      <c r="AE618" s="124"/>
      <c r="AI618" s="74"/>
      <c r="AM618" s="74"/>
      <c r="AQ618" s="74"/>
    </row>
    <row r="619" spans="2:43" s="123" customFormat="1">
      <c r="B619" s="125"/>
      <c r="D619" s="125"/>
      <c r="AA619" s="74"/>
      <c r="AE619" s="124"/>
      <c r="AI619" s="74"/>
      <c r="AM619" s="74"/>
      <c r="AQ619" s="74"/>
    </row>
    <row r="620" spans="2:43" s="123" customFormat="1">
      <c r="B620" s="125"/>
      <c r="D620" s="125"/>
      <c r="AA620" s="74"/>
      <c r="AE620" s="124"/>
      <c r="AI620" s="74"/>
      <c r="AM620" s="74"/>
      <c r="AQ620" s="74"/>
    </row>
    <row r="621" spans="2:43" s="123" customFormat="1">
      <c r="B621" s="125"/>
      <c r="D621" s="125"/>
      <c r="AA621" s="74"/>
      <c r="AE621" s="124"/>
      <c r="AI621" s="74"/>
      <c r="AM621" s="74"/>
      <c r="AQ621" s="74"/>
    </row>
    <row r="622" spans="2:43" s="123" customFormat="1">
      <c r="B622" s="125"/>
      <c r="D622" s="125"/>
      <c r="AA622" s="74"/>
      <c r="AE622" s="124"/>
      <c r="AI622" s="74"/>
      <c r="AM622" s="74"/>
      <c r="AQ622" s="74"/>
    </row>
    <row r="623" spans="2:43" s="123" customFormat="1">
      <c r="B623" s="125"/>
      <c r="D623" s="125"/>
      <c r="AA623" s="74"/>
      <c r="AE623" s="124"/>
      <c r="AI623" s="74"/>
      <c r="AM623" s="74"/>
      <c r="AQ623" s="74"/>
    </row>
    <row r="624" spans="2:43" s="123" customFormat="1">
      <c r="B624" s="125"/>
      <c r="D624" s="125"/>
      <c r="AA624" s="74"/>
      <c r="AE624" s="124"/>
      <c r="AI624" s="74"/>
      <c r="AM624" s="74"/>
      <c r="AQ624" s="74"/>
    </row>
    <row r="625" spans="2:43" s="123" customFormat="1">
      <c r="B625" s="125"/>
      <c r="D625" s="125"/>
      <c r="AA625" s="74"/>
      <c r="AE625" s="124"/>
      <c r="AI625" s="74"/>
      <c r="AM625" s="74"/>
      <c r="AQ625" s="74"/>
    </row>
    <row r="626" spans="2:43" s="123" customFormat="1">
      <c r="B626" s="125"/>
      <c r="D626" s="125"/>
      <c r="AA626" s="74"/>
      <c r="AE626" s="124"/>
      <c r="AI626" s="74"/>
      <c r="AM626" s="74"/>
      <c r="AQ626" s="74"/>
    </row>
    <row r="627" spans="2:43" s="123" customFormat="1">
      <c r="B627" s="125"/>
      <c r="D627" s="125"/>
      <c r="AA627" s="74"/>
      <c r="AE627" s="124"/>
      <c r="AI627" s="74"/>
      <c r="AM627" s="74"/>
      <c r="AQ627" s="74"/>
    </row>
    <row r="628" spans="2:43" s="123" customFormat="1">
      <c r="B628" s="125"/>
      <c r="D628" s="125"/>
      <c r="AA628" s="74"/>
      <c r="AE628" s="124"/>
      <c r="AI628" s="74"/>
      <c r="AM628" s="74"/>
      <c r="AQ628" s="74"/>
    </row>
    <row r="629" spans="2:43" s="123" customFormat="1">
      <c r="B629" s="125"/>
      <c r="D629" s="125"/>
      <c r="AA629" s="74"/>
      <c r="AE629" s="124"/>
      <c r="AI629" s="74"/>
      <c r="AM629" s="74"/>
      <c r="AQ629" s="74"/>
    </row>
    <row r="630" spans="2:43" s="123" customFormat="1">
      <c r="B630" s="125"/>
      <c r="D630" s="125"/>
      <c r="AA630" s="74"/>
      <c r="AE630" s="124"/>
      <c r="AI630" s="74"/>
      <c r="AM630" s="74"/>
      <c r="AQ630" s="74"/>
    </row>
    <row r="631" spans="2:43" s="123" customFormat="1">
      <c r="B631" s="125"/>
      <c r="D631" s="125"/>
      <c r="AA631" s="74"/>
      <c r="AE631" s="124"/>
      <c r="AI631" s="74"/>
      <c r="AM631" s="74"/>
      <c r="AQ631" s="74"/>
    </row>
    <row r="632" spans="2:43" s="123" customFormat="1">
      <c r="B632" s="125"/>
      <c r="D632" s="125"/>
      <c r="AA632" s="74"/>
      <c r="AE632" s="124"/>
      <c r="AI632" s="74"/>
      <c r="AM632" s="74"/>
      <c r="AQ632" s="74"/>
    </row>
    <row r="633" spans="2:43" s="123" customFormat="1">
      <c r="B633" s="125"/>
      <c r="D633" s="125"/>
      <c r="AA633" s="74"/>
      <c r="AE633" s="124"/>
      <c r="AI633" s="74"/>
      <c r="AM633" s="74"/>
      <c r="AQ633" s="74"/>
    </row>
    <row r="634" spans="2:43" s="123" customFormat="1">
      <c r="B634" s="125"/>
      <c r="D634" s="125"/>
      <c r="AA634" s="74"/>
      <c r="AE634" s="124"/>
      <c r="AI634" s="74"/>
      <c r="AM634" s="74"/>
      <c r="AQ634" s="74"/>
    </row>
    <row r="635" spans="2:43" s="123" customFormat="1">
      <c r="B635" s="125"/>
      <c r="D635" s="125"/>
      <c r="AA635" s="74"/>
      <c r="AE635" s="124"/>
      <c r="AI635" s="74"/>
      <c r="AM635" s="74"/>
      <c r="AQ635" s="74"/>
    </row>
    <row r="636" spans="2:43" s="123" customFormat="1">
      <c r="B636" s="125"/>
      <c r="D636" s="125"/>
      <c r="AA636" s="74"/>
      <c r="AE636" s="124"/>
      <c r="AI636" s="74"/>
      <c r="AM636" s="74"/>
      <c r="AQ636" s="74"/>
    </row>
    <row r="637" spans="2:43" s="123" customFormat="1">
      <c r="B637" s="125"/>
      <c r="D637" s="125"/>
      <c r="AA637" s="74"/>
      <c r="AE637" s="124"/>
      <c r="AI637" s="74"/>
      <c r="AM637" s="74"/>
      <c r="AQ637" s="74"/>
    </row>
    <row r="638" spans="2:43" s="123" customFormat="1">
      <c r="B638" s="125"/>
      <c r="D638" s="125"/>
      <c r="AA638" s="74"/>
      <c r="AE638" s="124"/>
      <c r="AI638" s="74"/>
      <c r="AM638" s="74"/>
      <c r="AQ638" s="74"/>
    </row>
    <row r="639" spans="2:43" s="123" customFormat="1">
      <c r="B639" s="125"/>
      <c r="D639" s="125"/>
      <c r="AA639" s="74"/>
      <c r="AE639" s="124"/>
      <c r="AI639" s="74"/>
      <c r="AM639" s="74"/>
      <c r="AQ639" s="74"/>
    </row>
    <row r="640" spans="2:43" s="123" customFormat="1">
      <c r="B640" s="125"/>
      <c r="D640" s="125"/>
      <c r="AA640" s="74"/>
      <c r="AE640" s="124"/>
      <c r="AI640" s="74"/>
      <c r="AM640" s="74"/>
      <c r="AQ640" s="74"/>
    </row>
    <row r="641" spans="2:43" s="123" customFormat="1">
      <c r="B641" s="125"/>
      <c r="D641" s="125"/>
      <c r="AA641" s="74"/>
      <c r="AE641" s="124"/>
      <c r="AI641" s="74"/>
      <c r="AM641" s="74"/>
      <c r="AQ641" s="74"/>
    </row>
    <row r="642" spans="2:43" s="123" customFormat="1">
      <c r="B642" s="125"/>
      <c r="D642" s="125"/>
      <c r="AA642" s="74"/>
      <c r="AE642" s="124"/>
      <c r="AI642" s="74"/>
      <c r="AM642" s="74"/>
      <c r="AQ642" s="74"/>
    </row>
    <row r="643" spans="2:43" s="123" customFormat="1">
      <c r="B643" s="125"/>
      <c r="D643" s="125"/>
      <c r="AA643" s="74"/>
      <c r="AE643" s="124"/>
      <c r="AI643" s="74"/>
      <c r="AM643" s="74"/>
      <c r="AQ643" s="74"/>
    </row>
    <row r="644" spans="2:43" s="123" customFormat="1">
      <c r="B644" s="125"/>
      <c r="D644" s="125"/>
      <c r="AA644" s="74"/>
      <c r="AE644" s="124"/>
      <c r="AI644" s="74"/>
      <c r="AM644" s="74"/>
      <c r="AQ644" s="74"/>
    </row>
    <row r="645" spans="2:43" s="123" customFormat="1">
      <c r="B645" s="125"/>
      <c r="D645" s="125"/>
      <c r="AA645" s="74"/>
      <c r="AE645" s="124"/>
      <c r="AI645" s="74"/>
      <c r="AM645" s="74"/>
      <c r="AQ645" s="74"/>
    </row>
    <row r="646" spans="2:43" s="123" customFormat="1">
      <c r="B646" s="125"/>
      <c r="D646" s="125"/>
      <c r="AA646" s="74"/>
      <c r="AE646" s="124"/>
      <c r="AI646" s="74"/>
      <c r="AM646" s="74"/>
      <c r="AQ646" s="74"/>
    </row>
    <row r="647" spans="2:43" s="123" customFormat="1">
      <c r="B647" s="125"/>
      <c r="D647" s="125"/>
      <c r="AA647" s="74"/>
      <c r="AE647" s="124"/>
      <c r="AI647" s="74"/>
      <c r="AM647" s="74"/>
      <c r="AQ647" s="74"/>
    </row>
    <row r="648" spans="2:43" s="123" customFormat="1">
      <c r="B648" s="125"/>
      <c r="D648" s="125"/>
      <c r="AA648" s="74"/>
      <c r="AE648" s="124"/>
      <c r="AI648" s="74"/>
      <c r="AM648" s="74"/>
      <c r="AQ648" s="74"/>
    </row>
    <row r="649" spans="2:43" s="123" customFormat="1">
      <c r="B649" s="125"/>
      <c r="D649" s="125"/>
      <c r="AA649" s="74"/>
      <c r="AE649" s="124"/>
      <c r="AI649" s="74"/>
      <c r="AM649" s="74"/>
      <c r="AQ649" s="74"/>
    </row>
    <row r="650" spans="2:43" s="123" customFormat="1">
      <c r="B650" s="125"/>
      <c r="D650" s="125"/>
      <c r="AA650" s="74"/>
      <c r="AE650" s="124"/>
      <c r="AI650" s="74"/>
      <c r="AM650" s="74"/>
      <c r="AQ650" s="74"/>
    </row>
    <row r="651" spans="2:43" s="123" customFormat="1">
      <c r="B651" s="125"/>
      <c r="D651" s="125"/>
      <c r="AA651" s="74"/>
      <c r="AE651" s="124"/>
      <c r="AI651" s="74"/>
      <c r="AM651" s="74"/>
      <c r="AQ651" s="74"/>
    </row>
    <row r="652" spans="2:43" s="123" customFormat="1">
      <c r="B652" s="125"/>
      <c r="D652" s="125"/>
      <c r="AA652" s="74"/>
      <c r="AE652" s="124"/>
      <c r="AI652" s="74"/>
      <c r="AM652" s="74"/>
      <c r="AQ652" s="74"/>
    </row>
    <row r="653" spans="2:43" s="123" customFormat="1">
      <c r="B653" s="125"/>
      <c r="D653" s="125"/>
      <c r="AA653" s="74"/>
      <c r="AE653" s="124"/>
      <c r="AI653" s="74"/>
      <c r="AM653" s="74"/>
      <c r="AQ653" s="74"/>
    </row>
  </sheetData>
  <mergeCells count="18">
    <mergeCell ref="AL14:AO14"/>
    <mergeCell ref="AP14:AS14"/>
    <mergeCell ref="B1:AC2"/>
    <mergeCell ref="B3:AC4"/>
    <mergeCell ref="B5:AC5"/>
    <mergeCell ref="B6:AC6"/>
    <mergeCell ref="B7:AC7"/>
    <mergeCell ref="B8:AC8"/>
    <mergeCell ref="B178:I178"/>
    <mergeCell ref="B9:AC10"/>
    <mergeCell ref="Z14:AC14"/>
    <mergeCell ref="AD14:AG14"/>
    <mergeCell ref="AH14:AK14"/>
    <mergeCell ref="AT14:AW14"/>
    <mergeCell ref="AX14:BA14"/>
    <mergeCell ref="BB14:BE14"/>
    <mergeCell ref="BF14:BI14"/>
    <mergeCell ref="BJ14:BK14"/>
  </mergeCells>
  <conditionalFormatting sqref="D49:D52">
    <cfRule type="duplicateValues" dxfId="112" priority="45"/>
  </conditionalFormatting>
  <conditionalFormatting sqref="D177">
    <cfRule type="duplicateValues" dxfId="111" priority="46"/>
  </conditionalFormatting>
  <conditionalFormatting sqref="D48">
    <cfRule type="duplicateValues" dxfId="110" priority="43" stopIfTrue="1"/>
  </conditionalFormatting>
  <conditionalFormatting sqref="D45">
    <cfRule type="duplicateValues" dxfId="109" priority="38" stopIfTrue="1"/>
  </conditionalFormatting>
  <conditionalFormatting sqref="D30">
    <cfRule type="duplicateValues" dxfId="108" priority="37" stopIfTrue="1"/>
  </conditionalFormatting>
  <conditionalFormatting sqref="D40">
    <cfRule type="duplicateValues" dxfId="107" priority="36" stopIfTrue="1"/>
  </conditionalFormatting>
  <conditionalFormatting sqref="D47">
    <cfRule type="duplicateValues" dxfId="106" priority="39" stopIfTrue="1"/>
  </conditionalFormatting>
  <conditionalFormatting sqref="D31">
    <cfRule type="duplicateValues" dxfId="105" priority="40" stopIfTrue="1"/>
  </conditionalFormatting>
  <conditionalFormatting sqref="D42 D44">
    <cfRule type="duplicateValues" dxfId="104" priority="35" stopIfTrue="1"/>
  </conditionalFormatting>
  <conditionalFormatting sqref="D43">
    <cfRule type="duplicateValues" dxfId="103" priority="41" stopIfTrue="1"/>
  </conditionalFormatting>
  <conditionalFormatting sqref="D36">
    <cfRule type="duplicateValues" dxfId="102" priority="28" stopIfTrue="1"/>
  </conditionalFormatting>
  <conditionalFormatting sqref="D41">
    <cfRule type="duplicateValues" dxfId="101" priority="29" stopIfTrue="1"/>
  </conditionalFormatting>
  <conditionalFormatting sqref="D35">
    <cfRule type="duplicateValues" dxfId="100" priority="26" stopIfTrue="1"/>
  </conditionalFormatting>
  <conditionalFormatting sqref="D18">
    <cfRule type="duplicateValues" dxfId="99" priority="27" stopIfTrue="1"/>
  </conditionalFormatting>
  <conditionalFormatting sqref="D19">
    <cfRule type="duplicateValues" dxfId="98" priority="25" stopIfTrue="1"/>
  </conditionalFormatting>
  <conditionalFormatting sqref="D16:D17">
    <cfRule type="duplicateValues" dxfId="97" priority="30" stopIfTrue="1"/>
  </conditionalFormatting>
  <conditionalFormatting sqref="D23">
    <cfRule type="duplicateValues" dxfId="96" priority="31" stopIfTrue="1"/>
  </conditionalFormatting>
  <conditionalFormatting sqref="D38">
    <cfRule type="duplicateValues" dxfId="95" priority="32" stopIfTrue="1"/>
  </conditionalFormatting>
  <conditionalFormatting sqref="D28 D25">
    <cfRule type="duplicateValues" dxfId="94" priority="24" stopIfTrue="1"/>
  </conditionalFormatting>
  <conditionalFormatting sqref="D27">
    <cfRule type="duplicateValues" dxfId="93" priority="33" stopIfTrue="1"/>
  </conditionalFormatting>
  <conditionalFormatting sqref="D39 D37 D33">
    <cfRule type="duplicateValues" dxfId="92" priority="23" stopIfTrue="1"/>
  </conditionalFormatting>
  <conditionalFormatting sqref="D46">
    <cfRule type="duplicateValues" dxfId="91" priority="34" stopIfTrue="1"/>
  </conditionalFormatting>
  <conditionalFormatting sqref="D34">
    <cfRule type="duplicateValues" dxfId="90" priority="22" stopIfTrue="1"/>
  </conditionalFormatting>
  <conditionalFormatting sqref="D29">
    <cfRule type="duplicateValues" dxfId="89" priority="42" stopIfTrue="1"/>
  </conditionalFormatting>
  <conditionalFormatting sqref="D21:D22 D26 D24">
    <cfRule type="duplicateValues" dxfId="88" priority="44" stopIfTrue="1"/>
  </conditionalFormatting>
  <conditionalFormatting sqref="D60">
    <cfRule type="duplicateValues" dxfId="87" priority="20" stopIfTrue="1"/>
  </conditionalFormatting>
  <conditionalFormatting sqref="D53">
    <cfRule type="duplicateValues" dxfId="86" priority="19" stopIfTrue="1"/>
  </conditionalFormatting>
  <conditionalFormatting sqref="D58">
    <cfRule type="duplicateValues" dxfId="85" priority="17" stopIfTrue="1"/>
  </conditionalFormatting>
  <conditionalFormatting sqref="D61">
    <cfRule type="duplicateValues" dxfId="84" priority="18" stopIfTrue="1"/>
  </conditionalFormatting>
  <conditionalFormatting sqref="D57">
    <cfRule type="duplicateValues" dxfId="83" priority="16" stopIfTrue="1"/>
  </conditionalFormatting>
  <conditionalFormatting sqref="D59">
    <cfRule type="duplicateValues" dxfId="82" priority="15" stopIfTrue="1"/>
  </conditionalFormatting>
  <conditionalFormatting sqref="D56">
    <cfRule type="duplicateValues" dxfId="81" priority="14" stopIfTrue="1"/>
  </conditionalFormatting>
  <conditionalFormatting sqref="D54">
    <cfRule type="duplicateValues" dxfId="80" priority="21" stopIfTrue="1"/>
  </conditionalFormatting>
  <conditionalFormatting sqref="D63">
    <cfRule type="duplicateValues" dxfId="79" priority="13" stopIfTrue="1"/>
  </conditionalFormatting>
  <conditionalFormatting sqref="D62">
    <cfRule type="duplicateValues" dxfId="78" priority="12" stopIfTrue="1"/>
  </conditionalFormatting>
  <conditionalFormatting sqref="D64">
    <cfRule type="duplicateValues" dxfId="77" priority="11" stopIfTrue="1"/>
  </conditionalFormatting>
  <conditionalFormatting sqref="D66">
    <cfRule type="duplicateValues" dxfId="76" priority="10" stopIfTrue="1"/>
  </conditionalFormatting>
  <conditionalFormatting sqref="D65">
    <cfRule type="duplicateValues" dxfId="75" priority="9" stopIfTrue="1"/>
  </conditionalFormatting>
  <conditionalFormatting sqref="D68">
    <cfRule type="duplicateValues" dxfId="74" priority="8" stopIfTrue="1"/>
  </conditionalFormatting>
  <conditionalFormatting sqref="D67">
    <cfRule type="duplicateValues" dxfId="73" priority="7" stopIfTrue="1"/>
  </conditionalFormatting>
  <conditionalFormatting sqref="D69">
    <cfRule type="duplicateValues" dxfId="72" priority="6" stopIfTrue="1"/>
  </conditionalFormatting>
  <conditionalFormatting sqref="D70">
    <cfRule type="duplicateValues" dxfId="71" priority="5" stopIfTrue="1"/>
  </conditionalFormatting>
  <conditionalFormatting sqref="D71">
    <cfRule type="duplicateValues" dxfId="70" priority="4" stopIfTrue="1"/>
  </conditionalFormatting>
  <conditionalFormatting sqref="D72">
    <cfRule type="duplicateValues" dxfId="69" priority="3" stopIfTrue="1"/>
  </conditionalFormatting>
  <conditionalFormatting sqref="D74:D140">
    <cfRule type="duplicateValues" dxfId="68" priority="2" stopIfTrue="1"/>
  </conditionalFormatting>
  <conditionalFormatting sqref="D141">
    <cfRule type="duplicateValues" dxfId="67" priority="1" stopIfTrue="1"/>
  </conditionalFormatting>
  <conditionalFormatting sqref="D142:D151 D156:D162">
    <cfRule type="duplicateValues" dxfId="66" priority="47" stopIfTrue="1"/>
  </conditionalFormatting>
  <conditionalFormatting sqref="D163:D176 D49:D52">
    <cfRule type="duplicateValues" dxfId="65" priority="48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581"/>
  <sheetViews>
    <sheetView topLeftCell="Z9" workbookViewId="0">
      <selection activeCell="AF66" sqref="AF66"/>
    </sheetView>
  </sheetViews>
  <sheetFormatPr baseColWidth="10" defaultRowHeight="12"/>
  <cols>
    <col min="1" max="1" width="5" style="415" customWidth="1"/>
    <col min="2" max="2" width="10.140625" style="345" customWidth="1"/>
    <col min="3" max="3" width="9.85546875" style="335" customWidth="1"/>
    <col min="4" max="5" width="11.42578125" style="345" customWidth="1"/>
    <col min="6" max="6" width="57.85546875" style="335" customWidth="1"/>
    <col min="7" max="7" width="13.140625" style="335" customWidth="1"/>
    <col min="8" max="8" width="11.5703125" style="335" customWidth="1"/>
    <col min="9" max="9" width="18.85546875" style="335" customWidth="1"/>
    <col min="10" max="10" width="9.7109375" style="335" customWidth="1"/>
    <col min="11" max="11" width="15.85546875" style="346" customWidth="1"/>
    <col min="12" max="13" width="12" style="346" customWidth="1"/>
    <col min="14" max="14" width="12.140625" style="335" customWidth="1"/>
    <col min="15" max="15" width="13.85546875" style="335" customWidth="1"/>
    <col min="16" max="16" width="12.5703125" style="335" customWidth="1"/>
    <col min="17" max="19" width="13" style="335" customWidth="1"/>
    <col min="20" max="25" width="12" style="335" customWidth="1"/>
    <col min="26" max="26" width="13.140625" style="335" customWidth="1"/>
    <col min="27" max="27" width="15.5703125" style="335" customWidth="1"/>
    <col min="28" max="28" width="11.7109375" style="342" customWidth="1"/>
    <col min="29" max="29" width="17.28515625" style="341" customWidth="1"/>
    <col min="30" max="30" width="10.140625" style="335" customWidth="1"/>
    <col min="31" max="31" width="14" style="335" customWidth="1"/>
    <col min="32" max="32" width="10.140625" style="340" customWidth="1"/>
    <col min="33" max="33" width="10" style="341" customWidth="1"/>
    <col min="34" max="35" width="10.140625" style="335" customWidth="1"/>
    <col min="36" max="36" width="10.140625" style="342" customWidth="1"/>
    <col min="37" max="37" width="10.140625" style="341" customWidth="1"/>
    <col min="38" max="39" width="10.140625" style="335" customWidth="1"/>
    <col min="40" max="40" width="10.140625" style="342" customWidth="1"/>
    <col min="41" max="43" width="10.140625" style="335" customWidth="1"/>
    <col min="44" max="44" width="10.140625" style="342" customWidth="1"/>
    <col min="45" max="46" width="10.140625" style="335" customWidth="1"/>
    <col min="47" max="47" width="11.42578125" style="335" customWidth="1"/>
    <col min="48" max="48" width="12.5703125" style="335" bestFit="1" customWidth="1"/>
    <col min="49" max="90" width="11.42578125" style="415"/>
    <col min="91" max="16384" width="11.42578125" style="335"/>
  </cols>
  <sheetData>
    <row r="1" spans="1:90" hidden="1">
      <c r="B1" s="773"/>
      <c r="C1" s="773"/>
      <c r="D1" s="774"/>
      <c r="E1" s="774"/>
      <c r="F1" s="774"/>
      <c r="G1" s="774"/>
      <c r="H1" s="774"/>
      <c r="I1" s="774"/>
      <c r="J1" s="774"/>
      <c r="K1" s="774"/>
      <c r="L1" s="774"/>
      <c r="M1" s="774"/>
      <c r="N1" s="774"/>
      <c r="O1" s="774"/>
      <c r="P1" s="774"/>
      <c r="Q1" s="774"/>
      <c r="R1" s="774"/>
      <c r="S1" s="774"/>
      <c r="T1" s="774"/>
      <c r="U1" s="774"/>
      <c r="V1" s="774"/>
      <c r="W1" s="774"/>
      <c r="X1" s="774"/>
      <c r="Y1" s="774"/>
      <c r="Z1" s="774"/>
      <c r="AA1" s="774"/>
      <c r="AB1" s="774"/>
      <c r="AC1" s="774"/>
      <c r="AD1" s="774"/>
      <c r="AE1" s="331"/>
      <c r="AF1" s="332"/>
      <c r="AG1" s="333"/>
      <c r="AH1" s="331"/>
      <c r="AI1" s="331"/>
      <c r="AJ1" s="334"/>
      <c r="AK1" s="333"/>
      <c r="AL1" s="331"/>
      <c r="AM1" s="331"/>
      <c r="AN1" s="334"/>
      <c r="AO1" s="331"/>
      <c r="AP1" s="331"/>
      <c r="AQ1" s="331"/>
      <c r="AR1" s="334"/>
      <c r="AS1" s="331"/>
      <c r="AT1" s="331"/>
    </row>
    <row r="2" spans="1:90" hidden="1">
      <c r="B2" s="774"/>
      <c r="C2" s="774"/>
      <c r="D2" s="774"/>
      <c r="E2" s="774"/>
      <c r="F2" s="774"/>
      <c r="G2" s="774"/>
      <c r="H2" s="774"/>
      <c r="I2" s="774"/>
      <c r="J2" s="774"/>
      <c r="K2" s="774"/>
      <c r="L2" s="774"/>
      <c r="M2" s="774"/>
      <c r="N2" s="774"/>
      <c r="O2" s="774"/>
      <c r="P2" s="774"/>
      <c r="Q2" s="774"/>
      <c r="R2" s="774"/>
      <c r="S2" s="774"/>
      <c r="T2" s="774"/>
      <c r="U2" s="774"/>
      <c r="V2" s="774"/>
      <c r="W2" s="774"/>
      <c r="X2" s="774"/>
      <c r="Y2" s="774"/>
      <c r="Z2" s="774"/>
      <c r="AA2" s="774"/>
      <c r="AB2" s="774"/>
      <c r="AC2" s="774"/>
      <c r="AD2" s="774"/>
      <c r="AE2" s="331"/>
      <c r="AF2" s="332"/>
      <c r="AG2" s="333"/>
      <c r="AH2" s="331"/>
      <c r="AI2" s="331"/>
      <c r="AJ2" s="334"/>
      <c r="AK2" s="333"/>
      <c r="AL2" s="331"/>
      <c r="AM2" s="331"/>
      <c r="AN2" s="334"/>
      <c r="AO2" s="331"/>
      <c r="AP2" s="331"/>
      <c r="AQ2" s="331"/>
      <c r="AR2" s="334"/>
      <c r="AS2" s="331"/>
      <c r="AT2" s="331"/>
    </row>
    <row r="3" spans="1:90" ht="12.75" hidden="1" customHeight="1">
      <c r="B3" s="775"/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O3" s="775"/>
      <c r="P3" s="775"/>
      <c r="Q3" s="775"/>
      <c r="R3" s="775"/>
      <c r="S3" s="775"/>
      <c r="T3" s="775"/>
      <c r="U3" s="775"/>
      <c r="V3" s="775"/>
      <c r="W3" s="775"/>
      <c r="X3" s="775"/>
      <c r="Y3" s="775"/>
      <c r="Z3" s="775"/>
      <c r="AA3" s="775"/>
      <c r="AB3" s="775"/>
      <c r="AC3" s="775"/>
      <c r="AD3" s="775"/>
      <c r="AE3" s="336"/>
      <c r="AF3" s="337"/>
      <c r="AG3" s="338"/>
      <c r="AH3" s="336"/>
      <c r="AI3" s="336"/>
      <c r="AJ3" s="339"/>
      <c r="AK3" s="338"/>
      <c r="AL3" s="336"/>
      <c r="AM3" s="336"/>
      <c r="AN3" s="339"/>
      <c r="AO3" s="336"/>
      <c r="AP3" s="336"/>
      <c r="AQ3" s="336"/>
      <c r="AR3" s="339"/>
      <c r="AS3" s="336"/>
      <c r="AT3" s="336"/>
    </row>
    <row r="4" spans="1:90" ht="21.75" hidden="1" customHeight="1"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  <c r="Q4" s="775"/>
      <c r="R4" s="775"/>
      <c r="S4" s="775"/>
      <c r="T4" s="775"/>
      <c r="U4" s="775"/>
      <c r="V4" s="775"/>
      <c r="W4" s="775"/>
      <c r="X4" s="775"/>
      <c r="Y4" s="775"/>
      <c r="Z4" s="775"/>
      <c r="AA4" s="775"/>
      <c r="AB4" s="775"/>
      <c r="AC4" s="775"/>
      <c r="AD4" s="775"/>
      <c r="AE4" s="336"/>
      <c r="AF4" s="337"/>
      <c r="AG4" s="338"/>
      <c r="AH4" s="336"/>
      <c r="AI4" s="336"/>
      <c r="AJ4" s="339"/>
      <c r="AK4" s="338"/>
      <c r="AL4" s="336"/>
      <c r="AM4" s="336"/>
      <c r="AN4" s="339"/>
      <c r="AO4" s="336"/>
      <c r="AP4" s="336"/>
      <c r="AQ4" s="336"/>
      <c r="AR4" s="339"/>
      <c r="AS4" s="336"/>
      <c r="AT4" s="336"/>
    </row>
    <row r="5" spans="1:90" ht="11.25" hidden="1" customHeight="1">
      <c r="B5" s="775"/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75"/>
      <c r="Q5" s="775"/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5"/>
      <c r="AC5" s="775"/>
      <c r="AD5" s="775"/>
      <c r="AE5" s="336"/>
      <c r="AF5" s="337"/>
      <c r="AG5" s="338"/>
      <c r="AH5" s="336"/>
      <c r="AI5" s="336"/>
      <c r="AJ5" s="339"/>
      <c r="AK5" s="338"/>
      <c r="AL5" s="336"/>
      <c r="AM5" s="336"/>
      <c r="AN5" s="339"/>
      <c r="AO5" s="336"/>
      <c r="AP5" s="336"/>
      <c r="AQ5" s="336"/>
      <c r="AR5" s="339"/>
      <c r="AS5" s="336"/>
      <c r="AT5" s="336"/>
    </row>
    <row r="6" spans="1:90" ht="15" hidden="1" customHeight="1">
      <c r="B6" s="775"/>
      <c r="C6" s="775"/>
      <c r="D6" s="775"/>
      <c r="E6" s="775"/>
      <c r="F6" s="775"/>
      <c r="G6" s="775"/>
      <c r="H6" s="775"/>
      <c r="I6" s="775"/>
      <c r="J6" s="775"/>
      <c r="K6" s="775"/>
      <c r="L6" s="775"/>
      <c r="M6" s="775"/>
      <c r="N6" s="775"/>
      <c r="O6" s="775"/>
      <c r="P6" s="775"/>
      <c r="Q6" s="775"/>
      <c r="R6" s="775"/>
      <c r="S6" s="775"/>
      <c r="T6" s="775"/>
      <c r="U6" s="775"/>
      <c r="V6" s="775"/>
      <c r="W6" s="775"/>
      <c r="X6" s="775"/>
      <c r="Y6" s="775"/>
      <c r="Z6" s="775"/>
      <c r="AA6" s="775"/>
      <c r="AB6" s="775"/>
      <c r="AC6" s="775"/>
      <c r="AD6" s="775"/>
      <c r="AE6" s="336"/>
      <c r="AF6" s="337"/>
      <c r="AG6" s="338"/>
      <c r="AH6" s="336"/>
      <c r="AI6" s="336"/>
      <c r="AJ6" s="339"/>
      <c r="AK6" s="338"/>
      <c r="AL6" s="336"/>
      <c r="AM6" s="336"/>
      <c r="AN6" s="339"/>
      <c r="AO6" s="336"/>
      <c r="AP6" s="336"/>
      <c r="AQ6" s="336"/>
      <c r="AR6" s="339"/>
      <c r="AS6" s="336"/>
      <c r="AT6" s="336"/>
    </row>
    <row r="7" spans="1:90" ht="21" hidden="1" customHeight="1">
      <c r="B7" s="775"/>
      <c r="C7" s="775"/>
      <c r="D7" s="775"/>
      <c r="E7" s="775"/>
      <c r="F7" s="775"/>
      <c r="G7" s="775"/>
      <c r="H7" s="775"/>
      <c r="I7" s="775"/>
      <c r="J7" s="775"/>
      <c r="K7" s="775"/>
      <c r="L7" s="775"/>
      <c r="M7" s="775"/>
      <c r="N7" s="775"/>
      <c r="O7" s="775"/>
      <c r="P7" s="775"/>
      <c r="Q7" s="775"/>
      <c r="R7" s="775"/>
      <c r="S7" s="775"/>
      <c r="T7" s="775"/>
      <c r="U7" s="775"/>
      <c r="V7" s="775"/>
      <c r="W7" s="775"/>
      <c r="X7" s="775"/>
      <c r="Y7" s="775"/>
      <c r="Z7" s="775"/>
      <c r="AA7" s="775"/>
      <c r="AB7" s="775"/>
      <c r="AC7" s="775"/>
      <c r="AD7" s="775"/>
      <c r="AE7" s="336"/>
      <c r="AF7" s="337"/>
      <c r="AG7" s="338"/>
      <c r="AH7" s="336"/>
      <c r="AI7" s="336"/>
      <c r="AJ7" s="339"/>
      <c r="AK7" s="338"/>
      <c r="AL7" s="336"/>
      <c r="AM7" s="336"/>
      <c r="AN7" s="339"/>
      <c r="AO7" s="336"/>
      <c r="AP7" s="336"/>
      <c r="AQ7" s="336"/>
      <c r="AR7" s="339"/>
      <c r="AS7" s="336"/>
      <c r="AT7" s="336"/>
    </row>
    <row r="8" spans="1:90" ht="16.5" hidden="1" customHeight="1">
      <c r="B8" s="775"/>
      <c r="C8" s="775"/>
      <c r="D8" s="775"/>
      <c r="E8" s="775"/>
      <c r="F8" s="775"/>
      <c r="G8" s="775"/>
      <c r="H8" s="775"/>
      <c r="I8" s="775"/>
      <c r="J8" s="775"/>
      <c r="K8" s="775"/>
      <c r="L8" s="775"/>
      <c r="M8" s="775"/>
      <c r="N8" s="775"/>
      <c r="O8" s="775"/>
      <c r="P8" s="775"/>
      <c r="Q8" s="775"/>
      <c r="R8" s="775"/>
      <c r="S8" s="775"/>
      <c r="T8" s="775"/>
      <c r="U8" s="775"/>
      <c r="V8" s="775"/>
      <c r="W8" s="775"/>
      <c r="X8" s="775"/>
      <c r="Y8" s="775"/>
      <c r="Z8" s="775"/>
      <c r="AA8" s="775"/>
      <c r="AB8" s="775"/>
      <c r="AC8" s="775"/>
      <c r="AD8" s="775"/>
      <c r="AE8" s="336"/>
      <c r="AF8" s="337"/>
      <c r="AG8" s="338"/>
      <c r="AH8" s="336"/>
      <c r="AI8" s="336"/>
      <c r="AJ8" s="339"/>
      <c r="AK8" s="338"/>
      <c r="AL8" s="336"/>
      <c r="AM8" s="336"/>
      <c r="AN8" s="339"/>
      <c r="AO8" s="336"/>
      <c r="AP8" s="336"/>
      <c r="AQ8" s="336"/>
      <c r="AR8" s="339"/>
      <c r="AS8" s="336"/>
      <c r="AT8" s="336"/>
    </row>
    <row r="9" spans="1:90" ht="18.75" customHeight="1">
      <c r="B9" s="733" t="s">
        <v>0</v>
      </c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483"/>
      <c r="AE9" s="424"/>
      <c r="AF9" s="425"/>
      <c r="AG9" s="426"/>
      <c r="AH9" s="424"/>
      <c r="AI9" s="424"/>
      <c r="AJ9" s="427"/>
      <c r="AK9" s="426"/>
      <c r="AL9" s="424"/>
      <c r="AM9" s="424"/>
      <c r="AN9" s="427"/>
      <c r="AO9" s="424"/>
      <c r="AP9" s="424"/>
      <c r="AQ9" s="424"/>
      <c r="AR9" s="427"/>
      <c r="AS9" s="424"/>
      <c r="AT9" s="424"/>
      <c r="AU9" s="415"/>
      <c r="AV9" s="415"/>
    </row>
    <row r="10" spans="1:90">
      <c r="B10" s="733"/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D10" s="483"/>
      <c r="AE10" s="415"/>
      <c r="AF10" s="410"/>
      <c r="AG10" s="416"/>
      <c r="AH10" s="415"/>
      <c r="AI10" s="415"/>
      <c r="AJ10" s="417"/>
      <c r="AK10" s="416"/>
      <c r="AL10" s="415"/>
      <c r="AM10" s="415"/>
      <c r="AN10" s="417"/>
      <c r="AO10" s="415"/>
      <c r="AP10" s="415"/>
      <c r="AQ10" s="415"/>
      <c r="AR10" s="417"/>
      <c r="AS10" s="415"/>
      <c r="AT10" s="415"/>
      <c r="AU10" s="415"/>
      <c r="AV10" s="415"/>
    </row>
    <row r="11" spans="1:90">
      <c r="B11" s="419"/>
      <c r="C11" s="419"/>
      <c r="D11" s="419"/>
      <c r="E11" s="419"/>
      <c r="F11" s="419"/>
      <c r="G11" s="419"/>
      <c r="H11" s="419"/>
      <c r="I11" s="419"/>
      <c r="J11" s="419"/>
      <c r="K11" s="420"/>
      <c r="L11" s="420"/>
      <c r="M11" s="420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  <c r="Z11" s="419"/>
      <c r="AA11" s="419"/>
      <c r="AB11" s="419"/>
      <c r="AC11" s="421"/>
      <c r="AD11" s="419"/>
      <c r="AE11" s="415"/>
      <c r="AF11" s="410"/>
      <c r="AG11" s="416"/>
      <c r="AH11" s="415"/>
      <c r="AI11" s="415"/>
      <c r="AJ11" s="417"/>
      <c r="AK11" s="416"/>
      <c r="AL11" s="415"/>
      <c r="AM11" s="415"/>
      <c r="AN11" s="417"/>
      <c r="AO11" s="415"/>
      <c r="AP11" s="415"/>
      <c r="AQ11" s="415"/>
      <c r="AR11" s="417"/>
      <c r="AS11" s="415"/>
      <c r="AT11" s="415"/>
      <c r="AU11" s="415"/>
      <c r="AV11" s="415"/>
    </row>
    <row r="12" spans="1:90" ht="24">
      <c r="B12" s="70" t="s">
        <v>1</v>
      </c>
      <c r="C12" s="70" t="s">
        <v>2</v>
      </c>
      <c r="D12" s="71" t="s">
        <v>3</v>
      </c>
      <c r="E12" s="71"/>
      <c r="F12" s="72" t="s">
        <v>4</v>
      </c>
      <c r="G12" s="343"/>
      <c r="H12" s="419"/>
      <c r="I12" s="419"/>
      <c r="J12" s="419"/>
      <c r="K12" s="420"/>
      <c r="L12" s="420"/>
      <c r="M12" s="420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419"/>
      <c r="AC12" s="421"/>
      <c r="AD12" s="419"/>
      <c r="AE12" s="415"/>
      <c r="AF12" s="410"/>
      <c r="AG12" s="416"/>
      <c r="AH12" s="415"/>
      <c r="AI12" s="415"/>
      <c r="AJ12" s="417"/>
      <c r="AK12" s="416"/>
      <c r="AL12" s="415"/>
      <c r="AM12" s="415"/>
      <c r="AN12" s="417"/>
      <c r="AO12" s="415"/>
      <c r="AP12" s="415"/>
      <c r="AQ12" s="415"/>
      <c r="AR12" s="417"/>
      <c r="AS12" s="415"/>
      <c r="AT12" s="415"/>
      <c r="AU12" s="415"/>
      <c r="AV12" s="415"/>
    </row>
    <row r="13" spans="1:90">
      <c r="B13" s="344">
        <v>30792063</v>
      </c>
      <c r="C13" s="344">
        <v>30792063</v>
      </c>
      <c r="D13" s="344">
        <v>30792063</v>
      </c>
      <c r="E13" s="344"/>
      <c r="F13" s="344">
        <f>+Z295</f>
        <v>47768844</v>
      </c>
      <c r="G13" s="422"/>
      <c r="H13" s="419"/>
      <c r="I13" s="419"/>
      <c r="J13" s="419"/>
      <c r="K13" s="420"/>
      <c r="L13" s="420"/>
      <c r="M13" s="420"/>
      <c r="N13" s="419"/>
      <c r="O13" s="419"/>
      <c r="P13" s="419"/>
      <c r="Q13" s="419"/>
      <c r="R13" s="419"/>
      <c r="S13" s="419"/>
      <c r="T13" s="419"/>
      <c r="U13" s="419"/>
      <c r="V13" s="419"/>
      <c r="W13" s="419"/>
      <c r="X13" s="419"/>
      <c r="Y13" s="419"/>
      <c r="Z13" s="419"/>
      <c r="AA13" s="419"/>
      <c r="AB13" s="419"/>
      <c r="AC13" s="421"/>
      <c r="AD13" s="419"/>
      <c r="AE13" s="415"/>
      <c r="AF13" s="410"/>
      <c r="AG13" s="416"/>
      <c r="AH13" s="415"/>
      <c r="AI13" s="415"/>
      <c r="AJ13" s="417"/>
      <c r="AK13" s="416"/>
      <c r="AL13" s="415"/>
      <c r="AM13" s="415"/>
      <c r="AN13" s="417"/>
      <c r="AO13" s="415"/>
      <c r="AP13" s="415"/>
      <c r="AQ13" s="415"/>
      <c r="AR13" s="417"/>
      <c r="AS13" s="415"/>
      <c r="AT13" s="415"/>
      <c r="AU13" s="415"/>
      <c r="AV13" s="415"/>
    </row>
    <row r="14" spans="1:90" ht="15" customHeight="1">
      <c r="G14" s="415"/>
      <c r="H14" s="415"/>
      <c r="I14" s="415"/>
      <c r="J14" s="415"/>
      <c r="K14" s="423"/>
      <c r="L14" s="423"/>
      <c r="M14" s="423"/>
      <c r="N14" s="415"/>
      <c r="O14" s="415"/>
      <c r="P14" s="415"/>
      <c r="Q14" s="415"/>
      <c r="R14" s="415"/>
      <c r="S14" s="415"/>
      <c r="T14" s="415"/>
      <c r="U14" s="415"/>
      <c r="V14" s="415"/>
      <c r="W14" s="415"/>
      <c r="X14" s="415"/>
      <c r="Y14" s="415"/>
      <c r="Z14" s="415"/>
      <c r="AA14" s="766" t="s">
        <v>5</v>
      </c>
      <c r="AB14" s="767"/>
      <c r="AC14" s="768"/>
      <c r="AD14" s="769"/>
      <c r="AE14" s="770" t="s">
        <v>6</v>
      </c>
      <c r="AF14" s="771"/>
      <c r="AG14" s="771"/>
      <c r="AH14" s="772"/>
      <c r="AI14" s="770" t="s">
        <v>6</v>
      </c>
      <c r="AJ14" s="771"/>
      <c r="AK14" s="771"/>
      <c r="AL14" s="772"/>
      <c r="AM14" s="770" t="s">
        <v>6</v>
      </c>
      <c r="AN14" s="771"/>
      <c r="AO14" s="771"/>
      <c r="AP14" s="772"/>
      <c r="AQ14" s="770" t="s">
        <v>6</v>
      </c>
      <c r="AR14" s="771"/>
      <c r="AS14" s="771"/>
      <c r="AT14" s="772"/>
      <c r="AU14" s="761" t="s">
        <v>7</v>
      </c>
      <c r="AV14" s="761"/>
    </row>
    <row r="15" spans="1:90" s="359" customFormat="1" ht="48">
      <c r="A15" s="418"/>
      <c r="B15" s="347" t="s">
        <v>8</v>
      </c>
      <c r="C15" s="347" t="s">
        <v>9</v>
      </c>
      <c r="D15" s="348" t="s">
        <v>10</v>
      </c>
      <c r="E15" s="348" t="s">
        <v>1575</v>
      </c>
      <c r="F15" s="72" t="s">
        <v>11</v>
      </c>
      <c r="G15" s="72" t="s">
        <v>12</v>
      </c>
      <c r="H15" s="72" t="s">
        <v>13</v>
      </c>
      <c r="I15" s="349" t="s">
        <v>14</v>
      </c>
      <c r="J15" s="72" t="s">
        <v>15</v>
      </c>
      <c r="K15" s="350" t="s">
        <v>16</v>
      </c>
      <c r="L15" s="350" t="s">
        <v>17</v>
      </c>
      <c r="M15" s="350" t="s">
        <v>18</v>
      </c>
      <c r="N15" s="351" t="s">
        <v>19</v>
      </c>
      <c r="O15" s="351" t="s">
        <v>20</v>
      </c>
      <c r="P15" s="351" t="s">
        <v>21</v>
      </c>
      <c r="Q15" s="351" t="s">
        <v>22</v>
      </c>
      <c r="R15" s="351" t="s">
        <v>23</v>
      </c>
      <c r="S15" s="351" t="s">
        <v>24</v>
      </c>
      <c r="T15" s="351" t="s">
        <v>25</v>
      </c>
      <c r="U15" s="351" t="s">
        <v>26</v>
      </c>
      <c r="V15" s="351" t="s">
        <v>27</v>
      </c>
      <c r="W15" s="351" t="s">
        <v>28</v>
      </c>
      <c r="X15" s="351" t="s">
        <v>29</v>
      </c>
      <c r="Y15" s="351" t="s">
        <v>30</v>
      </c>
      <c r="Z15" s="352" t="s">
        <v>31</v>
      </c>
      <c r="AA15" s="353" t="s">
        <v>32</v>
      </c>
      <c r="AB15" s="354" t="s">
        <v>33</v>
      </c>
      <c r="AC15" s="355" t="s">
        <v>34</v>
      </c>
      <c r="AD15" s="353" t="s">
        <v>35</v>
      </c>
      <c r="AE15" s="356" t="s">
        <v>36</v>
      </c>
      <c r="AF15" s="357" t="s">
        <v>33</v>
      </c>
      <c r="AG15" s="358" t="s">
        <v>34</v>
      </c>
      <c r="AH15" s="356" t="s">
        <v>35</v>
      </c>
      <c r="AI15" s="356" t="s">
        <v>1576</v>
      </c>
      <c r="AJ15" s="357" t="s">
        <v>33</v>
      </c>
      <c r="AK15" s="358" t="s">
        <v>34</v>
      </c>
      <c r="AL15" s="356" t="s">
        <v>35</v>
      </c>
      <c r="AM15" s="356" t="s">
        <v>1577</v>
      </c>
      <c r="AN15" s="357" t="s">
        <v>33</v>
      </c>
      <c r="AO15" s="356" t="s">
        <v>34</v>
      </c>
      <c r="AP15" s="356" t="s">
        <v>35</v>
      </c>
      <c r="AQ15" s="356" t="s">
        <v>1578</v>
      </c>
      <c r="AR15" s="357" t="s">
        <v>33</v>
      </c>
      <c r="AS15" s="356" t="s">
        <v>34</v>
      </c>
      <c r="AT15" s="356" t="s">
        <v>35</v>
      </c>
      <c r="AU15" s="356" t="s">
        <v>37</v>
      </c>
      <c r="AV15" s="356" t="s">
        <v>38</v>
      </c>
      <c r="AW15" s="451"/>
      <c r="AX15" s="418"/>
      <c r="AY15" s="418"/>
      <c r="AZ15" s="418"/>
      <c r="BA15" s="418"/>
      <c r="BB15" s="418"/>
      <c r="BC15" s="418"/>
      <c r="BD15" s="418"/>
      <c r="BE15" s="418"/>
      <c r="BF15" s="418"/>
      <c r="BG15" s="418"/>
      <c r="BH15" s="418"/>
      <c r="BI15" s="418"/>
      <c r="BJ15" s="418"/>
      <c r="BK15" s="418"/>
      <c r="BL15" s="418"/>
      <c r="BM15" s="418"/>
      <c r="BN15" s="418"/>
      <c r="BO15" s="418"/>
      <c r="BP15" s="418"/>
      <c r="BQ15" s="418"/>
      <c r="BR15" s="418"/>
      <c r="BS15" s="418"/>
      <c r="BT15" s="418"/>
      <c r="BU15" s="418"/>
      <c r="BV15" s="418"/>
      <c r="BW15" s="418"/>
      <c r="BX15" s="418"/>
      <c r="BY15" s="418"/>
      <c r="BZ15" s="418"/>
      <c r="CA15" s="418"/>
      <c r="CB15" s="418"/>
      <c r="CC15" s="418"/>
      <c r="CD15" s="418"/>
      <c r="CE15" s="418"/>
      <c r="CF15" s="418"/>
      <c r="CG15" s="418"/>
      <c r="CH15" s="418"/>
      <c r="CI15" s="418"/>
      <c r="CJ15" s="418"/>
      <c r="CK15" s="418"/>
      <c r="CL15" s="418"/>
    </row>
    <row r="16" spans="1:90" s="418" customFormat="1" ht="24">
      <c r="B16" s="428">
        <v>1</v>
      </c>
      <c r="C16" s="429" t="s">
        <v>39</v>
      </c>
      <c r="D16" s="430">
        <v>20099555</v>
      </c>
      <c r="E16" s="430"/>
      <c r="F16" s="431" t="s">
        <v>1579</v>
      </c>
      <c r="G16" s="432" t="s">
        <v>146</v>
      </c>
      <c r="H16" s="433" t="s">
        <v>1580</v>
      </c>
      <c r="I16" s="434" t="s">
        <v>1581</v>
      </c>
      <c r="J16" s="435" t="s">
        <v>44</v>
      </c>
      <c r="K16" s="436">
        <v>1525964</v>
      </c>
      <c r="L16" s="437">
        <v>961661</v>
      </c>
      <c r="M16" s="438">
        <v>0</v>
      </c>
      <c r="N16" s="439">
        <v>0</v>
      </c>
      <c r="O16" s="439">
        <v>87929</v>
      </c>
      <c r="P16" s="439">
        <v>0</v>
      </c>
      <c r="Q16" s="439">
        <v>156040</v>
      </c>
      <c r="R16" s="439">
        <v>265789</v>
      </c>
      <c r="S16" s="440">
        <v>14291</v>
      </c>
      <c r="T16" s="441">
        <v>12401</v>
      </c>
      <c r="U16" s="441">
        <v>10576</v>
      </c>
      <c r="V16" s="441">
        <v>4856</v>
      </c>
      <c r="W16" s="441"/>
      <c r="X16" s="441"/>
      <c r="Y16" s="441"/>
      <c r="Z16" s="441">
        <f>SUM(N16:Y16)</f>
        <v>551882</v>
      </c>
      <c r="AA16" s="442">
        <v>243971</v>
      </c>
      <c r="AB16" s="443">
        <v>5</v>
      </c>
      <c r="AC16" s="444">
        <v>44224</v>
      </c>
      <c r="AD16" s="445">
        <v>44251</v>
      </c>
      <c r="AE16" s="442">
        <v>307913</v>
      </c>
      <c r="AF16" s="446">
        <v>22</v>
      </c>
      <c r="AG16" s="447">
        <v>44301</v>
      </c>
      <c r="AH16" s="445">
        <v>44313</v>
      </c>
      <c r="AI16" s="442"/>
      <c r="AJ16" s="443"/>
      <c r="AK16" s="447"/>
      <c r="AL16" s="445"/>
      <c r="AM16" s="442"/>
      <c r="AN16" s="443"/>
      <c r="AO16" s="448"/>
      <c r="AP16" s="445"/>
      <c r="AQ16" s="442"/>
      <c r="AR16" s="443"/>
      <c r="AS16" s="448"/>
      <c r="AT16" s="445"/>
      <c r="AU16" s="449">
        <f>(AA16+AE16+AI16+AM16+AQ16)</f>
        <v>551884</v>
      </c>
      <c r="AV16" s="450">
        <f t="shared" ref="AV16:AV79" si="0">AU16-Z16</f>
        <v>2</v>
      </c>
      <c r="AW16" s="451"/>
    </row>
    <row r="17" spans="2:49" s="418" customFormat="1" ht="24">
      <c r="B17" s="452">
        <f>+B16+1</f>
        <v>2</v>
      </c>
      <c r="C17" s="429" t="s">
        <v>39</v>
      </c>
      <c r="D17" s="430">
        <v>20116678</v>
      </c>
      <c r="E17" s="430"/>
      <c r="F17" s="431" t="s">
        <v>1582</v>
      </c>
      <c r="G17" s="432" t="s">
        <v>146</v>
      </c>
      <c r="H17" s="433" t="s">
        <v>1583</v>
      </c>
      <c r="I17" s="433" t="s">
        <v>1584</v>
      </c>
      <c r="J17" s="453"/>
      <c r="K17" s="454">
        <v>1555595</v>
      </c>
      <c r="L17" s="455">
        <v>0</v>
      </c>
      <c r="M17" s="456">
        <v>1335594</v>
      </c>
      <c r="N17" s="440">
        <v>0</v>
      </c>
      <c r="O17" s="440">
        <v>0</v>
      </c>
      <c r="P17" s="440">
        <v>0</v>
      </c>
      <c r="Q17" s="440">
        <v>0</v>
      </c>
      <c r="R17" s="440">
        <v>0</v>
      </c>
      <c r="S17" s="440">
        <v>0</v>
      </c>
      <c r="T17" s="441"/>
      <c r="U17" s="441"/>
      <c r="V17" s="441"/>
      <c r="W17" s="441"/>
      <c r="X17" s="441"/>
      <c r="Y17" s="441"/>
      <c r="Z17" s="441">
        <f t="shared" ref="Z17:Z44" si="1">SUM(N17:Y17)</f>
        <v>0</v>
      </c>
      <c r="AA17" s="442">
        <v>154000</v>
      </c>
      <c r="AB17" s="443">
        <v>39</v>
      </c>
      <c r="AC17" s="444">
        <v>44334</v>
      </c>
      <c r="AD17" s="445">
        <v>44342</v>
      </c>
      <c r="AE17" s="442">
        <v>66000</v>
      </c>
      <c r="AF17" s="446">
        <v>50</v>
      </c>
      <c r="AG17" s="447">
        <v>44356</v>
      </c>
      <c r="AH17" s="445">
        <v>44377</v>
      </c>
      <c r="AI17" s="442">
        <v>-165000</v>
      </c>
      <c r="AJ17" s="443">
        <v>86</v>
      </c>
      <c r="AK17" s="447">
        <v>44421</v>
      </c>
      <c r="AL17" s="447">
        <v>44435</v>
      </c>
      <c r="AM17" s="442"/>
      <c r="AN17" s="443"/>
      <c r="AO17" s="448"/>
      <c r="AP17" s="445"/>
      <c r="AQ17" s="442"/>
      <c r="AR17" s="443"/>
      <c r="AS17" s="448"/>
      <c r="AT17" s="445"/>
      <c r="AU17" s="449">
        <f t="shared" ref="AU17:AU80" si="2">(AA17+AE17+AI17+AM17+AQ17)</f>
        <v>55000</v>
      </c>
      <c r="AV17" s="457">
        <f t="shared" si="0"/>
        <v>55000</v>
      </c>
      <c r="AW17" s="451"/>
    </row>
    <row r="18" spans="2:49" s="418" customFormat="1">
      <c r="B18" s="452">
        <f t="shared" ref="B18:B81" si="3">+B17+1</f>
        <v>3</v>
      </c>
      <c r="C18" s="429" t="s">
        <v>39</v>
      </c>
      <c r="D18" s="430">
        <v>20155824</v>
      </c>
      <c r="E18" s="430"/>
      <c r="F18" s="431" t="s">
        <v>1585</v>
      </c>
      <c r="G18" s="432" t="s">
        <v>146</v>
      </c>
      <c r="H18" s="433" t="s">
        <v>1580</v>
      </c>
      <c r="I18" s="433" t="s">
        <v>1586</v>
      </c>
      <c r="J18" s="435" t="s">
        <v>44</v>
      </c>
      <c r="K18" s="454">
        <v>3625201</v>
      </c>
      <c r="L18" s="455">
        <v>3583373</v>
      </c>
      <c r="M18" s="456">
        <v>0</v>
      </c>
      <c r="N18" s="440">
        <v>0</v>
      </c>
      <c r="O18" s="440">
        <v>0</v>
      </c>
      <c r="P18" s="440">
        <v>0</v>
      </c>
      <c r="Q18" s="440">
        <v>0</v>
      </c>
      <c r="R18" s="440">
        <v>0</v>
      </c>
      <c r="S18" s="440">
        <v>0</v>
      </c>
      <c r="T18" s="441"/>
      <c r="U18" s="441"/>
      <c r="V18" s="441"/>
      <c r="W18" s="441"/>
      <c r="X18" s="441"/>
      <c r="Y18" s="441"/>
      <c r="Z18" s="441">
        <f t="shared" si="1"/>
        <v>0</v>
      </c>
      <c r="AA18" s="442">
        <v>2</v>
      </c>
      <c r="AB18" s="443">
        <v>9</v>
      </c>
      <c r="AC18" s="444">
        <v>44232</v>
      </c>
      <c r="AD18" s="445">
        <v>44251</v>
      </c>
      <c r="AE18" s="458"/>
      <c r="AF18" s="446"/>
      <c r="AG18" s="447"/>
      <c r="AH18" s="445"/>
      <c r="AI18" s="458"/>
      <c r="AJ18" s="443"/>
      <c r="AK18" s="447"/>
      <c r="AL18" s="445"/>
      <c r="AM18" s="458"/>
      <c r="AN18" s="443"/>
      <c r="AO18" s="448"/>
      <c r="AP18" s="445"/>
      <c r="AQ18" s="458"/>
      <c r="AR18" s="443"/>
      <c r="AS18" s="448"/>
      <c r="AT18" s="445"/>
      <c r="AU18" s="449">
        <f t="shared" si="2"/>
        <v>2</v>
      </c>
      <c r="AV18" s="457">
        <f t="shared" si="0"/>
        <v>2</v>
      </c>
      <c r="AW18" s="451"/>
    </row>
    <row r="19" spans="2:49" s="418" customFormat="1">
      <c r="B19" s="452">
        <f t="shared" si="3"/>
        <v>4</v>
      </c>
      <c r="C19" s="429" t="s">
        <v>39</v>
      </c>
      <c r="D19" s="430">
        <v>20156148</v>
      </c>
      <c r="E19" s="430"/>
      <c r="F19" s="431" t="s">
        <v>1587</v>
      </c>
      <c r="G19" s="432" t="s">
        <v>146</v>
      </c>
      <c r="H19" s="433" t="s">
        <v>1580</v>
      </c>
      <c r="I19" s="433" t="s">
        <v>1588</v>
      </c>
      <c r="J19" s="435" t="s">
        <v>44</v>
      </c>
      <c r="K19" s="454">
        <v>4460357</v>
      </c>
      <c r="L19" s="455">
        <v>10534</v>
      </c>
      <c r="M19" s="456">
        <v>3624015</v>
      </c>
      <c r="N19" s="439">
        <v>0</v>
      </c>
      <c r="O19" s="439">
        <v>120039</v>
      </c>
      <c r="P19" s="439">
        <v>137040</v>
      </c>
      <c r="Q19" s="439">
        <v>145671</v>
      </c>
      <c r="R19" s="439">
        <v>152379</v>
      </c>
      <c r="S19" s="440">
        <v>179088</v>
      </c>
      <c r="T19" s="441">
        <v>150069</v>
      </c>
      <c r="U19" s="441">
        <v>106641</v>
      </c>
      <c r="V19" s="441">
        <v>108205</v>
      </c>
      <c r="W19" s="441"/>
      <c r="X19" s="441"/>
      <c r="Y19" s="441"/>
      <c r="Z19" s="441">
        <f t="shared" si="1"/>
        <v>1099132</v>
      </c>
      <c r="AA19" s="442">
        <v>815000</v>
      </c>
      <c r="AB19" s="443">
        <v>9</v>
      </c>
      <c r="AC19" s="444">
        <v>44232</v>
      </c>
      <c r="AD19" s="445">
        <v>44251</v>
      </c>
      <c r="AE19" s="442">
        <v>1000002</v>
      </c>
      <c r="AF19" s="446">
        <v>39</v>
      </c>
      <c r="AG19" s="447">
        <v>44334</v>
      </c>
      <c r="AH19" s="445">
        <v>44342</v>
      </c>
      <c r="AI19" s="442"/>
      <c r="AJ19" s="443"/>
      <c r="AK19" s="447"/>
      <c r="AL19" s="445"/>
      <c r="AM19" s="442"/>
      <c r="AN19" s="443"/>
      <c r="AO19" s="448"/>
      <c r="AP19" s="445"/>
      <c r="AQ19" s="442"/>
      <c r="AR19" s="443"/>
      <c r="AS19" s="448"/>
      <c r="AT19" s="445"/>
      <c r="AU19" s="449">
        <f t="shared" si="2"/>
        <v>1815002</v>
      </c>
      <c r="AV19" s="457">
        <f t="shared" si="0"/>
        <v>715870</v>
      </c>
      <c r="AW19" s="451"/>
    </row>
    <row r="20" spans="2:49" s="418" customFormat="1">
      <c r="B20" s="452">
        <f t="shared" si="3"/>
        <v>5</v>
      </c>
      <c r="C20" s="429" t="s">
        <v>39</v>
      </c>
      <c r="D20" s="430">
        <v>20160270</v>
      </c>
      <c r="E20" s="430"/>
      <c r="F20" s="431" t="s">
        <v>1589</v>
      </c>
      <c r="G20" s="432" t="s">
        <v>146</v>
      </c>
      <c r="H20" s="433" t="s">
        <v>1580</v>
      </c>
      <c r="I20" s="433" t="s">
        <v>1590</v>
      </c>
      <c r="J20" s="435" t="s">
        <v>44</v>
      </c>
      <c r="K20" s="454">
        <v>1814141</v>
      </c>
      <c r="L20" s="455">
        <v>1274050</v>
      </c>
      <c r="M20" s="456">
        <v>4</v>
      </c>
      <c r="N20" s="439">
        <v>0</v>
      </c>
      <c r="O20" s="439">
        <v>0</v>
      </c>
      <c r="P20" s="439">
        <v>0</v>
      </c>
      <c r="Q20" s="439">
        <v>411299</v>
      </c>
      <c r="R20" s="439">
        <v>0</v>
      </c>
      <c r="S20" s="440">
        <v>222073</v>
      </c>
      <c r="T20" s="441"/>
      <c r="U20" s="441"/>
      <c r="V20" s="441"/>
      <c r="W20" s="441"/>
      <c r="X20" s="441"/>
      <c r="Y20" s="441"/>
      <c r="Z20" s="441">
        <f t="shared" si="1"/>
        <v>633372</v>
      </c>
      <c r="AA20" s="442">
        <v>538904</v>
      </c>
      <c r="AB20" s="443">
        <v>5</v>
      </c>
      <c r="AC20" s="444">
        <v>44224</v>
      </c>
      <c r="AD20" s="445">
        <v>44251</v>
      </c>
      <c r="AE20" s="442"/>
      <c r="AF20" s="446"/>
      <c r="AG20" s="447"/>
      <c r="AH20" s="445"/>
      <c r="AI20" s="442"/>
      <c r="AJ20" s="443"/>
      <c r="AK20" s="447"/>
      <c r="AL20" s="445"/>
      <c r="AM20" s="442"/>
      <c r="AN20" s="443"/>
      <c r="AO20" s="448"/>
      <c r="AP20" s="445"/>
      <c r="AQ20" s="442"/>
      <c r="AR20" s="443"/>
      <c r="AS20" s="448"/>
      <c r="AT20" s="445"/>
      <c r="AU20" s="449">
        <f t="shared" si="2"/>
        <v>538904</v>
      </c>
      <c r="AV20" s="457">
        <f t="shared" si="0"/>
        <v>-94468</v>
      </c>
    </row>
    <row r="21" spans="2:49" s="418" customFormat="1" ht="24">
      <c r="B21" s="452">
        <f t="shared" si="3"/>
        <v>6</v>
      </c>
      <c r="C21" s="429" t="s">
        <v>39</v>
      </c>
      <c r="D21" s="430">
        <v>20160278</v>
      </c>
      <c r="E21" s="430"/>
      <c r="F21" s="431" t="s">
        <v>1591</v>
      </c>
      <c r="G21" s="432" t="s">
        <v>158</v>
      </c>
      <c r="H21" s="433" t="s">
        <v>1580</v>
      </c>
      <c r="I21" s="433" t="s">
        <v>1592</v>
      </c>
      <c r="J21" s="435" t="s">
        <v>52</v>
      </c>
      <c r="K21" s="454">
        <v>78047</v>
      </c>
      <c r="L21" s="455">
        <v>0</v>
      </c>
      <c r="M21" s="456">
        <v>1718</v>
      </c>
      <c r="N21" s="439">
        <v>0</v>
      </c>
      <c r="O21" s="439">
        <v>0</v>
      </c>
      <c r="P21" s="439">
        <v>0</v>
      </c>
      <c r="Q21" s="439">
        <v>0</v>
      </c>
      <c r="R21" s="439">
        <v>0</v>
      </c>
      <c r="S21" s="440">
        <v>0</v>
      </c>
      <c r="T21" s="441"/>
      <c r="U21" s="441"/>
      <c r="V21" s="441">
        <v>20900</v>
      </c>
      <c r="W21" s="441"/>
      <c r="X21" s="441"/>
      <c r="Y21" s="441"/>
      <c r="Z21" s="441">
        <f t="shared" si="1"/>
        <v>20900</v>
      </c>
      <c r="AA21" s="442">
        <v>38165</v>
      </c>
      <c r="AB21" s="443">
        <v>5</v>
      </c>
      <c r="AC21" s="444">
        <v>44224</v>
      </c>
      <c r="AD21" s="445">
        <v>44251</v>
      </c>
      <c r="AE21" s="442">
        <v>-17265</v>
      </c>
      <c r="AF21" s="446">
        <v>50</v>
      </c>
      <c r="AG21" s="447">
        <v>44356</v>
      </c>
      <c r="AH21" s="445">
        <v>44377</v>
      </c>
      <c r="AI21" s="442"/>
      <c r="AJ21" s="443"/>
      <c r="AK21" s="447"/>
      <c r="AL21" s="445"/>
      <c r="AM21" s="442"/>
      <c r="AN21" s="443"/>
      <c r="AO21" s="448"/>
      <c r="AP21" s="445"/>
      <c r="AQ21" s="442"/>
      <c r="AR21" s="443"/>
      <c r="AS21" s="448"/>
      <c r="AT21" s="445"/>
      <c r="AU21" s="449">
        <f t="shared" si="2"/>
        <v>20900</v>
      </c>
      <c r="AV21" s="457">
        <f t="shared" si="0"/>
        <v>0</v>
      </c>
      <c r="AW21" s="451"/>
    </row>
    <row r="22" spans="2:49" s="418" customFormat="1">
      <c r="B22" s="452">
        <f t="shared" si="3"/>
        <v>7</v>
      </c>
      <c r="C22" s="429" t="s">
        <v>39</v>
      </c>
      <c r="D22" s="430">
        <v>20167712</v>
      </c>
      <c r="E22" s="430"/>
      <c r="F22" s="431" t="s">
        <v>1593</v>
      </c>
      <c r="G22" s="432" t="s">
        <v>146</v>
      </c>
      <c r="H22" s="433" t="s">
        <v>1580</v>
      </c>
      <c r="I22" s="434" t="s">
        <v>1594</v>
      </c>
      <c r="J22" s="435" t="s">
        <v>44</v>
      </c>
      <c r="K22" s="454">
        <v>1148821</v>
      </c>
      <c r="L22" s="455">
        <v>16316</v>
      </c>
      <c r="M22" s="456">
        <v>907503</v>
      </c>
      <c r="N22" s="440">
        <v>0</v>
      </c>
      <c r="O22" s="440">
        <v>0</v>
      </c>
      <c r="P22" s="440">
        <v>0</v>
      </c>
      <c r="Q22" s="440">
        <v>0</v>
      </c>
      <c r="R22" s="440">
        <v>0</v>
      </c>
      <c r="S22" s="440">
        <v>0</v>
      </c>
      <c r="T22" s="441"/>
      <c r="U22" s="441"/>
      <c r="V22" s="441"/>
      <c r="W22" s="441"/>
      <c r="X22" s="441"/>
      <c r="Y22" s="441"/>
      <c r="Z22" s="441">
        <f t="shared" si="1"/>
        <v>0</v>
      </c>
      <c r="AA22" s="442">
        <v>210002</v>
      </c>
      <c r="AB22" s="443">
        <v>3</v>
      </c>
      <c r="AC22" s="444">
        <v>44222</v>
      </c>
      <c r="AD22" s="445">
        <v>44225</v>
      </c>
      <c r="AE22" s="442"/>
      <c r="AF22" s="446"/>
      <c r="AG22" s="447"/>
      <c r="AH22" s="445"/>
      <c r="AI22" s="442"/>
      <c r="AJ22" s="443"/>
      <c r="AK22" s="447"/>
      <c r="AL22" s="445"/>
      <c r="AM22" s="442"/>
      <c r="AN22" s="443"/>
      <c r="AO22" s="448"/>
      <c r="AP22" s="445"/>
      <c r="AQ22" s="442"/>
      <c r="AR22" s="443"/>
      <c r="AS22" s="448"/>
      <c r="AT22" s="445"/>
      <c r="AU22" s="449">
        <f t="shared" si="2"/>
        <v>210002</v>
      </c>
      <c r="AV22" s="457">
        <f t="shared" si="0"/>
        <v>210002</v>
      </c>
      <c r="AW22" s="451"/>
    </row>
    <row r="23" spans="2:49" s="418" customFormat="1">
      <c r="B23" s="452">
        <f t="shared" si="3"/>
        <v>8</v>
      </c>
      <c r="C23" s="429" t="s">
        <v>39</v>
      </c>
      <c r="D23" s="430">
        <v>20177920</v>
      </c>
      <c r="E23" s="430"/>
      <c r="F23" s="431" t="s">
        <v>1595</v>
      </c>
      <c r="G23" s="432" t="s">
        <v>158</v>
      </c>
      <c r="H23" s="433" t="s">
        <v>1580</v>
      </c>
      <c r="I23" s="434" t="s">
        <v>1581</v>
      </c>
      <c r="J23" s="435" t="s">
        <v>52</v>
      </c>
      <c r="K23" s="454">
        <v>44990</v>
      </c>
      <c r="L23" s="455">
        <v>0</v>
      </c>
      <c r="M23" s="456">
        <v>990</v>
      </c>
      <c r="N23" s="440">
        <v>0</v>
      </c>
      <c r="O23" s="440">
        <v>0</v>
      </c>
      <c r="P23" s="440">
        <v>0</v>
      </c>
      <c r="Q23" s="440">
        <v>0</v>
      </c>
      <c r="R23" s="440">
        <v>0</v>
      </c>
      <c r="S23" s="440">
        <v>0</v>
      </c>
      <c r="T23" s="441"/>
      <c r="U23" s="441">
        <v>11133</v>
      </c>
      <c r="V23" s="441"/>
      <c r="W23" s="441"/>
      <c r="X23" s="441"/>
      <c r="Y23" s="441"/>
      <c r="Z23" s="441">
        <f t="shared" si="1"/>
        <v>11133</v>
      </c>
      <c r="AA23" s="442">
        <v>22000</v>
      </c>
      <c r="AB23" s="443">
        <v>5</v>
      </c>
      <c r="AC23" s="444">
        <v>44224</v>
      </c>
      <c r="AD23" s="445">
        <v>44251</v>
      </c>
      <c r="AE23" s="442">
        <v>0</v>
      </c>
      <c r="AF23" s="446">
        <v>22</v>
      </c>
      <c r="AG23" s="447">
        <v>44301</v>
      </c>
      <c r="AH23" s="445">
        <v>44313</v>
      </c>
      <c r="AI23" s="442"/>
      <c r="AJ23" s="443"/>
      <c r="AK23" s="447"/>
      <c r="AL23" s="445"/>
      <c r="AM23" s="442"/>
      <c r="AN23" s="443"/>
      <c r="AO23" s="448"/>
      <c r="AP23" s="445"/>
      <c r="AQ23" s="442"/>
      <c r="AR23" s="443"/>
      <c r="AS23" s="448"/>
      <c r="AT23" s="445"/>
      <c r="AU23" s="449">
        <f t="shared" si="2"/>
        <v>22000</v>
      </c>
      <c r="AV23" s="457">
        <f t="shared" si="0"/>
        <v>10867</v>
      </c>
      <c r="AW23" s="451"/>
    </row>
    <row r="24" spans="2:49" s="418" customFormat="1">
      <c r="B24" s="452">
        <f t="shared" si="3"/>
        <v>9</v>
      </c>
      <c r="C24" s="429" t="s">
        <v>39</v>
      </c>
      <c r="D24" s="430">
        <v>20178141</v>
      </c>
      <c r="E24" s="430"/>
      <c r="F24" s="431" t="s">
        <v>1596</v>
      </c>
      <c r="G24" s="432" t="s">
        <v>158</v>
      </c>
      <c r="H24" s="433" t="s">
        <v>1580</v>
      </c>
      <c r="I24" s="434" t="s">
        <v>1597</v>
      </c>
      <c r="J24" s="435" t="s">
        <v>44</v>
      </c>
      <c r="K24" s="454">
        <v>49222</v>
      </c>
      <c r="L24" s="455">
        <v>12512</v>
      </c>
      <c r="M24" s="456">
        <v>0</v>
      </c>
      <c r="N24" s="440">
        <v>0</v>
      </c>
      <c r="O24" s="440">
        <v>0</v>
      </c>
      <c r="P24" s="440">
        <v>0</v>
      </c>
      <c r="Q24" s="440">
        <v>0</v>
      </c>
      <c r="R24" s="440">
        <v>0</v>
      </c>
      <c r="S24" s="440">
        <v>0</v>
      </c>
      <c r="T24" s="441"/>
      <c r="U24" s="441"/>
      <c r="V24" s="441"/>
      <c r="W24" s="441"/>
      <c r="X24" s="441"/>
      <c r="Y24" s="441"/>
      <c r="Z24" s="441">
        <f t="shared" si="1"/>
        <v>0</v>
      </c>
      <c r="AA24" s="442">
        <v>36710</v>
      </c>
      <c r="AB24" s="443">
        <v>5</v>
      </c>
      <c r="AC24" s="444">
        <v>44224</v>
      </c>
      <c r="AD24" s="445">
        <v>44251</v>
      </c>
      <c r="AE24" s="442">
        <v>23705</v>
      </c>
      <c r="AF24" s="443">
        <v>22</v>
      </c>
      <c r="AG24" s="444">
        <v>44301</v>
      </c>
      <c r="AH24" s="445">
        <v>44313</v>
      </c>
      <c r="AI24" s="442">
        <v>-55520</v>
      </c>
      <c r="AJ24" s="443">
        <v>50</v>
      </c>
      <c r="AK24" s="447">
        <v>44334</v>
      </c>
      <c r="AL24" s="445">
        <v>44342</v>
      </c>
      <c r="AM24" s="442"/>
      <c r="AN24" s="443"/>
      <c r="AO24" s="448"/>
      <c r="AP24" s="445"/>
      <c r="AQ24" s="442"/>
      <c r="AR24" s="443"/>
      <c r="AS24" s="448"/>
      <c r="AT24" s="445"/>
      <c r="AU24" s="449">
        <f t="shared" si="2"/>
        <v>4895</v>
      </c>
      <c r="AV24" s="457">
        <f t="shared" si="0"/>
        <v>4895</v>
      </c>
      <c r="AW24" s="451"/>
    </row>
    <row r="25" spans="2:49" s="418" customFormat="1">
      <c r="B25" s="452">
        <f t="shared" si="3"/>
        <v>10</v>
      </c>
      <c r="C25" s="429" t="s">
        <v>39</v>
      </c>
      <c r="D25" s="430">
        <v>20189195</v>
      </c>
      <c r="E25" s="430"/>
      <c r="F25" s="431" t="s">
        <v>1598</v>
      </c>
      <c r="G25" s="432" t="s">
        <v>146</v>
      </c>
      <c r="H25" s="433" t="s">
        <v>1580</v>
      </c>
      <c r="I25" s="434" t="s">
        <v>1599</v>
      </c>
      <c r="J25" s="435" t="s">
        <v>52</v>
      </c>
      <c r="K25" s="454">
        <v>751944</v>
      </c>
      <c r="L25" s="455">
        <v>0</v>
      </c>
      <c r="M25" s="456">
        <v>10156</v>
      </c>
      <c r="N25" s="439">
        <v>0</v>
      </c>
      <c r="O25" s="439">
        <v>0</v>
      </c>
      <c r="P25" s="439">
        <v>138164</v>
      </c>
      <c r="Q25" s="439">
        <v>61569</v>
      </c>
      <c r="R25" s="439">
        <v>63545</v>
      </c>
      <c r="S25" s="440">
        <v>72176</v>
      </c>
      <c r="T25" s="441">
        <v>72695</v>
      </c>
      <c r="U25" s="441">
        <v>34726</v>
      </c>
      <c r="V25" s="441">
        <v>46585</v>
      </c>
      <c r="W25" s="441"/>
      <c r="X25" s="441"/>
      <c r="Y25" s="441"/>
      <c r="Z25" s="441">
        <f t="shared" si="1"/>
        <v>489460</v>
      </c>
      <c r="AA25" s="442">
        <v>741788</v>
      </c>
      <c r="AB25" s="443">
        <v>5</v>
      </c>
      <c r="AC25" s="444">
        <v>44224</v>
      </c>
      <c r="AD25" s="445">
        <v>44251</v>
      </c>
      <c r="AE25" s="442"/>
      <c r="AF25" s="446"/>
      <c r="AG25" s="447"/>
      <c r="AH25" s="445"/>
      <c r="AI25" s="442"/>
      <c r="AJ25" s="443"/>
      <c r="AK25" s="447"/>
      <c r="AL25" s="445"/>
      <c r="AM25" s="442"/>
      <c r="AN25" s="443"/>
      <c r="AO25" s="448"/>
      <c r="AP25" s="445"/>
      <c r="AQ25" s="442"/>
      <c r="AR25" s="443"/>
      <c r="AS25" s="448"/>
      <c r="AT25" s="445"/>
      <c r="AU25" s="449">
        <f t="shared" si="2"/>
        <v>741788</v>
      </c>
      <c r="AV25" s="457">
        <f t="shared" si="0"/>
        <v>252328</v>
      </c>
      <c r="AW25" s="451"/>
    </row>
    <row r="26" spans="2:49" s="418" customFormat="1" ht="24">
      <c r="B26" s="452">
        <f t="shared" si="3"/>
        <v>11</v>
      </c>
      <c r="C26" s="429" t="s">
        <v>39</v>
      </c>
      <c r="D26" s="430">
        <v>30005793</v>
      </c>
      <c r="E26" s="430"/>
      <c r="F26" s="431" t="s">
        <v>1600</v>
      </c>
      <c r="G26" s="432" t="s">
        <v>158</v>
      </c>
      <c r="H26" s="433" t="s">
        <v>1580</v>
      </c>
      <c r="I26" s="434" t="s">
        <v>1601</v>
      </c>
      <c r="J26" s="435" t="s">
        <v>52</v>
      </c>
      <c r="K26" s="454">
        <v>51824</v>
      </c>
      <c r="L26" s="455">
        <v>0</v>
      </c>
      <c r="M26" s="456">
        <v>50775</v>
      </c>
      <c r="N26" s="440">
        <v>0</v>
      </c>
      <c r="O26" s="440">
        <v>0</v>
      </c>
      <c r="P26" s="440">
        <v>0</v>
      </c>
      <c r="Q26" s="440">
        <v>0</v>
      </c>
      <c r="R26" s="440">
        <v>0</v>
      </c>
      <c r="S26" s="440">
        <v>0</v>
      </c>
      <c r="T26" s="441"/>
      <c r="U26" s="441"/>
      <c r="V26" s="441"/>
      <c r="W26" s="441"/>
      <c r="X26" s="441"/>
      <c r="Y26" s="441"/>
      <c r="Z26" s="441">
        <f t="shared" si="1"/>
        <v>0</v>
      </c>
      <c r="AA26" s="442">
        <v>1030</v>
      </c>
      <c r="AB26" s="443">
        <v>3</v>
      </c>
      <c r="AC26" s="444">
        <v>44222</v>
      </c>
      <c r="AD26" s="445">
        <v>44225</v>
      </c>
      <c r="AE26" s="442"/>
      <c r="AF26" s="446"/>
      <c r="AG26" s="447"/>
      <c r="AH26" s="445"/>
      <c r="AI26" s="442"/>
      <c r="AJ26" s="443"/>
      <c r="AK26" s="447"/>
      <c r="AL26" s="445"/>
      <c r="AM26" s="442"/>
      <c r="AN26" s="443"/>
      <c r="AO26" s="448"/>
      <c r="AP26" s="445"/>
      <c r="AQ26" s="442"/>
      <c r="AR26" s="443"/>
      <c r="AS26" s="448"/>
      <c r="AT26" s="445"/>
      <c r="AU26" s="449">
        <f t="shared" si="2"/>
        <v>1030</v>
      </c>
      <c r="AV26" s="457">
        <f t="shared" si="0"/>
        <v>1030</v>
      </c>
      <c r="AW26" s="451"/>
    </row>
    <row r="27" spans="2:49" s="418" customFormat="1">
      <c r="B27" s="452">
        <f t="shared" si="3"/>
        <v>12</v>
      </c>
      <c r="C27" s="429" t="s">
        <v>39</v>
      </c>
      <c r="D27" s="430">
        <v>30036236</v>
      </c>
      <c r="E27" s="430"/>
      <c r="F27" s="431" t="s">
        <v>1602</v>
      </c>
      <c r="G27" s="432" t="s">
        <v>158</v>
      </c>
      <c r="H27" s="433" t="s">
        <v>1580</v>
      </c>
      <c r="I27" s="434" t="s">
        <v>1603</v>
      </c>
      <c r="J27" s="435" t="s">
        <v>44</v>
      </c>
      <c r="K27" s="454">
        <v>80501</v>
      </c>
      <c r="L27" s="455">
        <v>35238</v>
      </c>
      <c r="M27" s="456">
        <v>0</v>
      </c>
      <c r="N27" s="440">
        <v>0</v>
      </c>
      <c r="O27" s="440">
        <v>0</v>
      </c>
      <c r="P27" s="440">
        <v>0</v>
      </c>
      <c r="Q27" s="440">
        <v>0</v>
      </c>
      <c r="R27" s="440">
        <v>0</v>
      </c>
      <c r="S27" s="440">
        <v>11903</v>
      </c>
      <c r="T27" s="441"/>
      <c r="U27" s="441">
        <v>12250</v>
      </c>
      <c r="V27" s="441"/>
      <c r="W27" s="441"/>
      <c r="X27" s="441"/>
      <c r="Y27" s="441"/>
      <c r="Z27" s="441">
        <f t="shared" si="1"/>
        <v>24153</v>
      </c>
      <c r="AA27" s="442">
        <v>45263</v>
      </c>
      <c r="AB27" s="443">
        <v>5</v>
      </c>
      <c r="AC27" s="444">
        <v>44224</v>
      </c>
      <c r="AD27" s="445">
        <v>44251</v>
      </c>
      <c r="AE27" s="442">
        <v>-15934</v>
      </c>
      <c r="AF27" s="446">
        <v>50</v>
      </c>
      <c r="AG27" s="447">
        <v>44356</v>
      </c>
      <c r="AH27" s="445">
        <v>44377</v>
      </c>
      <c r="AI27" s="442"/>
      <c r="AJ27" s="443"/>
      <c r="AK27" s="447"/>
      <c r="AL27" s="445"/>
      <c r="AM27" s="442"/>
      <c r="AN27" s="443"/>
      <c r="AO27" s="448"/>
      <c r="AP27" s="445"/>
      <c r="AQ27" s="442"/>
      <c r="AR27" s="443"/>
      <c r="AS27" s="448"/>
      <c r="AT27" s="445"/>
      <c r="AU27" s="449">
        <f t="shared" si="2"/>
        <v>29329</v>
      </c>
      <c r="AV27" s="457">
        <f t="shared" si="0"/>
        <v>5176</v>
      </c>
      <c r="AW27" s="451"/>
    </row>
    <row r="28" spans="2:49" s="418" customFormat="1" ht="24">
      <c r="B28" s="452">
        <f t="shared" si="3"/>
        <v>13</v>
      </c>
      <c r="C28" s="429" t="s">
        <v>39</v>
      </c>
      <c r="D28" s="430">
        <v>30036878</v>
      </c>
      <c r="E28" s="430"/>
      <c r="F28" s="431" t="s">
        <v>1604</v>
      </c>
      <c r="G28" s="432" t="s">
        <v>158</v>
      </c>
      <c r="H28" s="433" t="s">
        <v>1580</v>
      </c>
      <c r="I28" s="434" t="s">
        <v>1605</v>
      </c>
      <c r="J28" s="435" t="s">
        <v>52</v>
      </c>
      <c r="K28" s="454">
        <v>140886</v>
      </c>
      <c r="L28" s="455">
        <v>0</v>
      </c>
      <c r="M28" s="456">
        <v>116769</v>
      </c>
      <c r="N28" s="440">
        <v>0</v>
      </c>
      <c r="O28" s="440">
        <v>0</v>
      </c>
      <c r="P28" s="440">
        <v>0</v>
      </c>
      <c r="Q28" s="440">
        <v>0</v>
      </c>
      <c r="R28" s="440">
        <v>0</v>
      </c>
      <c r="S28" s="440">
        <v>0</v>
      </c>
      <c r="T28" s="441">
        <v>989</v>
      </c>
      <c r="U28" s="441">
        <v>17612</v>
      </c>
      <c r="V28" s="441">
        <v>1562</v>
      </c>
      <c r="W28" s="441"/>
      <c r="X28" s="441"/>
      <c r="Y28" s="441"/>
      <c r="Z28" s="441">
        <f t="shared" si="1"/>
        <v>20163</v>
      </c>
      <c r="AA28" s="442">
        <v>20450</v>
      </c>
      <c r="AB28" s="443">
        <v>3</v>
      </c>
      <c r="AC28" s="444">
        <v>44222</v>
      </c>
      <c r="AD28" s="445">
        <v>44225</v>
      </c>
      <c r="AE28" s="441">
        <v>1000</v>
      </c>
      <c r="AF28" s="446">
        <v>15</v>
      </c>
      <c r="AG28" s="445">
        <v>44259</v>
      </c>
      <c r="AH28" s="445">
        <v>44274</v>
      </c>
      <c r="AI28" s="441">
        <v>60000</v>
      </c>
      <c r="AJ28" s="443">
        <v>86</v>
      </c>
      <c r="AK28" s="445">
        <v>44421</v>
      </c>
      <c r="AL28" s="459">
        <v>44435</v>
      </c>
      <c r="AM28" s="442"/>
      <c r="AN28" s="443"/>
      <c r="AO28" s="448"/>
      <c r="AP28" s="445"/>
      <c r="AQ28" s="442"/>
      <c r="AR28" s="443"/>
      <c r="AS28" s="448"/>
      <c r="AT28" s="445"/>
      <c r="AU28" s="449">
        <f t="shared" si="2"/>
        <v>81450</v>
      </c>
      <c r="AV28" s="457">
        <f t="shared" si="0"/>
        <v>61287</v>
      </c>
      <c r="AW28" s="451"/>
    </row>
    <row r="29" spans="2:49" s="418" customFormat="1" ht="24">
      <c r="B29" s="452">
        <f t="shared" si="3"/>
        <v>14</v>
      </c>
      <c r="C29" s="429" t="s">
        <v>39</v>
      </c>
      <c r="D29" s="430">
        <v>30038126</v>
      </c>
      <c r="E29" s="430"/>
      <c r="F29" s="431" t="s">
        <v>1606</v>
      </c>
      <c r="G29" s="432" t="s">
        <v>158</v>
      </c>
      <c r="H29" s="433" t="s">
        <v>1583</v>
      </c>
      <c r="I29" s="434" t="s">
        <v>1607</v>
      </c>
      <c r="J29" s="435"/>
      <c r="K29" s="454">
        <v>40543</v>
      </c>
      <c r="L29" s="455">
        <v>0</v>
      </c>
      <c r="M29" s="456">
        <v>40542</v>
      </c>
      <c r="N29" s="440">
        <v>0</v>
      </c>
      <c r="O29" s="440">
        <v>0</v>
      </c>
      <c r="P29" s="440">
        <v>0</v>
      </c>
      <c r="Q29" s="440">
        <v>0</v>
      </c>
      <c r="R29" s="440">
        <v>0</v>
      </c>
      <c r="S29" s="440">
        <v>0</v>
      </c>
      <c r="T29" s="441"/>
      <c r="U29" s="441"/>
      <c r="V29" s="441"/>
      <c r="W29" s="441"/>
      <c r="X29" s="441"/>
      <c r="Y29" s="441"/>
      <c r="Z29" s="441">
        <f t="shared" si="1"/>
        <v>0</v>
      </c>
      <c r="AA29" s="442">
        <v>1</v>
      </c>
      <c r="AB29" s="443">
        <v>22</v>
      </c>
      <c r="AC29" s="444">
        <v>44301</v>
      </c>
      <c r="AD29" s="445">
        <v>44313</v>
      </c>
      <c r="AE29" s="442"/>
      <c r="AF29" s="446"/>
      <c r="AG29" s="447"/>
      <c r="AH29" s="445"/>
      <c r="AI29" s="442"/>
      <c r="AJ29" s="443"/>
      <c r="AK29" s="447"/>
      <c r="AL29" s="445"/>
      <c r="AM29" s="442"/>
      <c r="AN29" s="443"/>
      <c r="AO29" s="448"/>
      <c r="AP29" s="445"/>
      <c r="AQ29" s="442"/>
      <c r="AR29" s="443"/>
      <c r="AS29" s="448"/>
      <c r="AT29" s="445"/>
      <c r="AU29" s="449">
        <f t="shared" si="2"/>
        <v>1</v>
      </c>
      <c r="AV29" s="457">
        <f t="shared" si="0"/>
        <v>1</v>
      </c>
      <c r="AW29" s="451"/>
    </row>
    <row r="30" spans="2:49" s="418" customFormat="1">
      <c r="B30" s="452">
        <f t="shared" si="3"/>
        <v>15</v>
      </c>
      <c r="C30" s="429" t="s">
        <v>39</v>
      </c>
      <c r="D30" s="430">
        <v>30043540</v>
      </c>
      <c r="E30" s="430"/>
      <c r="F30" s="431" t="s">
        <v>1608</v>
      </c>
      <c r="G30" s="432" t="s">
        <v>146</v>
      </c>
      <c r="H30" s="433" t="s">
        <v>1580</v>
      </c>
      <c r="I30" s="434" t="s">
        <v>1605</v>
      </c>
      <c r="J30" s="435" t="s">
        <v>44</v>
      </c>
      <c r="K30" s="454">
        <v>767858</v>
      </c>
      <c r="L30" s="455">
        <v>479949</v>
      </c>
      <c r="M30" s="456">
        <v>0</v>
      </c>
      <c r="N30" s="440">
        <v>0</v>
      </c>
      <c r="O30" s="440">
        <v>0</v>
      </c>
      <c r="P30" s="440">
        <v>0</v>
      </c>
      <c r="Q30" s="440">
        <v>0</v>
      </c>
      <c r="R30" s="440">
        <v>0</v>
      </c>
      <c r="S30" s="440">
        <v>0</v>
      </c>
      <c r="T30" s="441"/>
      <c r="U30" s="441"/>
      <c r="V30" s="441"/>
      <c r="W30" s="441"/>
      <c r="X30" s="441"/>
      <c r="Y30" s="441"/>
      <c r="Z30" s="441">
        <f t="shared" si="1"/>
        <v>0</v>
      </c>
      <c r="AA30" s="442">
        <v>1</v>
      </c>
      <c r="AB30" s="443">
        <v>9</v>
      </c>
      <c r="AC30" s="444">
        <v>44232</v>
      </c>
      <c r="AD30" s="445">
        <v>44251</v>
      </c>
      <c r="AE30" s="442"/>
      <c r="AF30" s="446"/>
      <c r="AG30" s="447"/>
      <c r="AH30" s="445"/>
      <c r="AI30" s="442"/>
      <c r="AJ30" s="443"/>
      <c r="AK30" s="447"/>
      <c r="AL30" s="445"/>
      <c r="AM30" s="442"/>
      <c r="AN30" s="443"/>
      <c r="AO30" s="448"/>
      <c r="AP30" s="445"/>
      <c r="AQ30" s="442"/>
      <c r="AR30" s="443"/>
      <c r="AS30" s="448"/>
      <c r="AT30" s="445"/>
      <c r="AU30" s="449">
        <f t="shared" si="2"/>
        <v>1</v>
      </c>
      <c r="AV30" s="457">
        <f t="shared" si="0"/>
        <v>1</v>
      </c>
      <c r="AW30" s="451"/>
    </row>
    <row r="31" spans="2:49" s="418" customFormat="1" ht="24">
      <c r="B31" s="452">
        <f t="shared" si="3"/>
        <v>16</v>
      </c>
      <c r="C31" s="429" t="s">
        <v>39</v>
      </c>
      <c r="D31" s="430">
        <v>30044404</v>
      </c>
      <c r="E31" s="430"/>
      <c r="F31" s="431" t="s">
        <v>1609</v>
      </c>
      <c r="G31" s="432" t="s">
        <v>158</v>
      </c>
      <c r="H31" s="433" t="s">
        <v>1583</v>
      </c>
      <c r="I31" s="434" t="s">
        <v>1610</v>
      </c>
      <c r="J31" s="435"/>
      <c r="K31" s="454">
        <v>29585</v>
      </c>
      <c r="L31" s="455">
        <v>13335</v>
      </c>
      <c r="M31" s="456">
        <v>0</v>
      </c>
      <c r="N31" s="440">
        <v>0</v>
      </c>
      <c r="O31" s="440">
        <v>0</v>
      </c>
      <c r="P31" s="440">
        <v>0</v>
      </c>
      <c r="Q31" s="440">
        <v>0</v>
      </c>
      <c r="R31" s="440">
        <v>0</v>
      </c>
      <c r="S31" s="440">
        <v>0</v>
      </c>
      <c r="T31" s="441"/>
      <c r="U31" s="441"/>
      <c r="V31" s="441"/>
      <c r="W31" s="441"/>
      <c r="X31" s="441"/>
      <c r="Y31" s="441"/>
      <c r="Z31" s="441">
        <f t="shared" si="1"/>
        <v>0</v>
      </c>
      <c r="AA31" s="442">
        <v>16250</v>
      </c>
      <c r="AB31" s="443">
        <v>39</v>
      </c>
      <c r="AC31" s="444">
        <v>44334</v>
      </c>
      <c r="AD31" s="445">
        <v>44342</v>
      </c>
      <c r="AE31" s="442"/>
      <c r="AF31" s="446"/>
      <c r="AG31" s="447"/>
      <c r="AH31" s="445"/>
      <c r="AI31" s="442"/>
      <c r="AJ31" s="443"/>
      <c r="AK31" s="447"/>
      <c r="AL31" s="445"/>
      <c r="AM31" s="442"/>
      <c r="AN31" s="443"/>
      <c r="AO31" s="448"/>
      <c r="AP31" s="445"/>
      <c r="AQ31" s="442"/>
      <c r="AR31" s="443"/>
      <c r="AS31" s="448"/>
      <c r="AT31" s="445"/>
      <c r="AU31" s="449">
        <f t="shared" si="2"/>
        <v>16250</v>
      </c>
      <c r="AV31" s="457">
        <f t="shared" si="0"/>
        <v>16250</v>
      </c>
      <c r="AW31" s="451"/>
    </row>
    <row r="32" spans="2:49" s="418" customFormat="1">
      <c r="B32" s="452">
        <f t="shared" si="3"/>
        <v>17</v>
      </c>
      <c r="C32" s="429" t="s">
        <v>39</v>
      </c>
      <c r="D32" s="430">
        <v>30044470</v>
      </c>
      <c r="E32" s="430"/>
      <c r="F32" s="431" t="s">
        <v>1611</v>
      </c>
      <c r="G32" s="432" t="s">
        <v>146</v>
      </c>
      <c r="H32" s="433" t="s">
        <v>1580</v>
      </c>
      <c r="I32" s="434" t="s">
        <v>1612</v>
      </c>
      <c r="J32" s="435" t="s">
        <v>44</v>
      </c>
      <c r="K32" s="454">
        <v>4393917</v>
      </c>
      <c r="L32" s="455">
        <v>3108381</v>
      </c>
      <c r="M32" s="456">
        <v>0</v>
      </c>
      <c r="N32" s="439">
        <v>0</v>
      </c>
      <c r="O32" s="439">
        <v>284904</v>
      </c>
      <c r="P32" s="439">
        <v>153010</v>
      </c>
      <c r="Q32" s="439">
        <v>186664</v>
      </c>
      <c r="R32" s="439">
        <v>161090</v>
      </c>
      <c r="S32" s="439">
        <v>92354</v>
      </c>
      <c r="T32" s="441">
        <v>87619</v>
      </c>
      <c r="U32" s="441">
        <v>105922</v>
      </c>
      <c r="V32" s="441">
        <v>44028</v>
      </c>
      <c r="W32" s="441"/>
      <c r="X32" s="441"/>
      <c r="Y32" s="441"/>
      <c r="Z32" s="441">
        <f>SUM(N32:Y32)</f>
        <v>1115591</v>
      </c>
      <c r="AA32" s="442">
        <v>1166896</v>
      </c>
      <c r="AB32" s="443">
        <v>9</v>
      </c>
      <c r="AC32" s="444">
        <v>44232</v>
      </c>
      <c r="AD32" s="445">
        <v>44251</v>
      </c>
      <c r="AE32" s="442">
        <v>105592</v>
      </c>
      <c r="AF32" s="446">
        <v>39</v>
      </c>
      <c r="AG32" s="447">
        <v>44334</v>
      </c>
      <c r="AH32" s="445">
        <v>44342</v>
      </c>
      <c r="AI32" s="442"/>
      <c r="AJ32" s="443"/>
      <c r="AK32" s="447"/>
      <c r="AL32" s="445"/>
      <c r="AM32" s="442"/>
      <c r="AN32" s="443"/>
      <c r="AO32" s="448"/>
      <c r="AP32" s="445"/>
      <c r="AQ32" s="442"/>
      <c r="AR32" s="443"/>
      <c r="AS32" s="448"/>
      <c r="AT32" s="445"/>
      <c r="AU32" s="449">
        <f t="shared" si="2"/>
        <v>1272488</v>
      </c>
      <c r="AV32" s="457">
        <f t="shared" si="0"/>
        <v>156897</v>
      </c>
      <c r="AW32" s="451"/>
    </row>
    <row r="33" spans="2:49" s="418" customFormat="1" ht="24">
      <c r="B33" s="452">
        <f t="shared" si="3"/>
        <v>18</v>
      </c>
      <c r="C33" s="429" t="s">
        <v>39</v>
      </c>
      <c r="D33" s="430">
        <v>30045256</v>
      </c>
      <c r="E33" s="430"/>
      <c r="F33" s="431" t="s">
        <v>1613</v>
      </c>
      <c r="G33" s="432" t="s">
        <v>146</v>
      </c>
      <c r="H33" s="433" t="s">
        <v>1580</v>
      </c>
      <c r="I33" s="434" t="s">
        <v>1614</v>
      </c>
      <c r="J33" s="435" t="s">
        <v>44</v>
      </c>
      <c r="K33" s="454">
        <v>1954072</v>
      </c>
      <c r="L33" s="455">
        <v>787325</v>
      </c>
      <c r="M33" s="456">
        <v>2</v>
      </c>
      <c r="N33" s="439">
        <v>0</v>
      </c>
      <c r="O33" s="439">
        <v>331304</v>
      </c>
      <c r="P33" s="439">
        <v>171979</v>
      </c>
      <c r="Q33" s="439">
        <v>78222</v>
      </c>
      <c r="R33" s="439">
        <v>149564</v>
      </c>
      <c r="S33" s="439">
        <v>42095</v>
      </c>
      <c r="T33" s="441">
        <v>53624</v>
      </c>
      <c r="U33" s="441">
        <v>44260</v>
      </c>
      <c r="V33" s="441">
        <v>137454</v>
      </c>
      <c r="W33" s="441"/>
      <c r="X33" s="441"/>
      <c r="Y33" s="441"/>
      <c r="Z33" s="441">
        <f t="shared" si="1"/>
        <v>1008502</v>
      </c>
      <c r="AA33" s="442">
        <v>1166745</v>
      </c>
      <c r="AB33" s="443">
        <v>5</v>
      </c>
      <c r="AC33" s="444">
        <v>44224</v>
      </c>
      <c r="AD33" s="445">
        <v>44251</v>
      </c>
      <c r="AE33" s="442">
        <v>213355</v>
      </c>
      <c r="AF33" s="446">
        <v>50</v>
      </c>
      <c r="AG33" s="447">
        <v>44356</v>
      </c>
      <c r="AH33" s="445">
        <v>44377</v>
      </c>
      <c r="AI33" s="442"/>
      <c r="AJ33" s="443"/>
      <c r="AK33" s="447"/>
      <c r="AL33" s="445"/>
      <c r="AM33" s="442"/>
      <c r="AN33" s="443"/>
      <c r="AO33" s="448"/>
      <c r="AP33" s="445"/>
      <c r="AQ33" s="442"/>
      <c r="AR33" s="443"/>
      <c r="AS33" s="448"/>
      <c r="AT33" s="445"/>
      <c r="AU33" s="449">
        <f t="shared" si="2"/>
        <v>1380100</v>
      </c>
      <c r="AV33" s="457">
        <f t="shared" si="0"/>
        <v>371598</v>
      </c>
      <c r="AW33" s="451"/>
    </row>
    <row r="34" spans="2:49" s="418" customFormat="1" ht="24">
      <c r="B34" s="452">
        <f t="shared" si="3"/>
        <v>19</v>
      </c>
      <c r="C34" s="429" t="s">
        <v>39</v>
      </c>
      <c r="D34" s="430">
        <v>30045422</v>
      </c>
      <c r="E34" s="430"/>
      <c r="F34" s="431" t="s">
        <v>1615</v>
      </c>
      <c r="G34" s="432" t="s">
        <v>146</v>
      </c>
      <c r="H34" s="433" t="s">
        <v>1583</v>
      </c>
      <c r="I34" s="434" t="s">
        <v>1616</v>
      </c>
      <c r="J34" s="435"/>
      <c r="K34" s="454">
        <v>763815</v>
      </c>
      <c r="L34" s="455">
        <v>0</v>
      </c>
      <c r="M34" s="456">
        <v>543813</v>
      </c>
      <c r="N34" s="440">
        <v>0</v>
      </c>
      <c r="O34" s="440">
        <v>0</v>
      </c>
      <c r="P34" s="440">
        <v>0</v>
      </c>
      <c r="Q34" s="440">
        <v>0</v>
      </c>
      <c r="R34" s="440">
        <v>0</v>
      </c>
      <c r="S34" s="440">
        <v>0</v>
      </c>
      <c r="T34" s="441"/>
      <c r="U34" s="441"/>
      <c r="V34" s="441"/>
      <c r="W34" s="441"/>
      <c r="X34" s="441"/>
      <c r="Y34" s="441"/>
      <c r="Z34" s="441">
        <f t="shared" si="1"/>
        <v>0</v>
      </c>
      <c r="AA34" s="442">
        <v>110000</v>
      </c>
      <c r="AB34" s="443">
        <v>22</v>
      </c>
      <c r="AC34" s="444">
        <v>44301</v>
      </c>
      <c r="AD34" s="445">
        <v>44313</v>
      </c>
      <c r="AE34" s="442">
        <v>55000</v>
      </c>
      <c r="AF34" s="446">
        <v>50</v>
      </c>
      <c r="AG34" s="447">
        <v>44356</v>
      </c>
      <c r="AH34" s="445">
        <v>44377</v>
      </c>
      <c r="AI34" s="442">
        <v>-110000</v>
      </c>
      <c r="AJ34" s="443">
        <v>86</v>
      </c>
      <c r="AK34" s="447">
        <v>44421</v>
      </c>
      <c r="AL34" s="445">
        <v>44435</v>
      </c>
      <c r="AM34" s="442"/>
      <c r="AN34" s="443"/>
      <c r="AO34" s="448"/>
      <c r="AP34" s="445"/>
      <c r="AQ34" s="442"/>
      <c r="AR34" s="443"/>
      <c r="AS34" s="448"/>
      <c r="AT34" s="445"/>
      <c r="AU34" s="449">
        <f t="shared" si="2"/>
        <v>55000</v>
      </c>
      <c r="AV34" s="457">
        <f t="shared" si="0"/>
        <v>55000</v>
      </c>
      <c r="AW34" s="451"/>
    </row>
    <row r="35" spans="2:49" s="418" customFormat="1" ht="24">
      <c r="B35" s="452">
        <f t="shared" si="3"/>
        <v>20</v>
      </c>
      <c r="C35" s="429" t="s">
        <v>39</v>
      </c>
      <c r="D35" s="430">
        <v>30057859</v>
      </c>
      <c r="E35" s="430"/>
      <c r="F35" s="431" t="s">
        <v>1617</v>
      </c>
      <c r="G35" s="432" t="s">
        <v>158</v>
      </c>
      <c r="H35" s="433" t="s">
        <v>1580</v>
      </c>
      <c r="I35" s="434" t="s">
        <v>1592</v>
      </c>
      <c r="J35" s="435" t="s">
        <v>44</v>
      </c>
      <c r="K35" s="454">
        <v>36106</v>
      </c>
      <c r="L35" s="455">
        <v>12820</v>
      </c>
      <c r="M35" s="456">
        <v>1</v>
      </c>
      <c r="N35" s="440">
        <v>0</v>
      </c>
      <c r="O35" s="440">
        <v>0</v>
      </c>
      <c r="P35" s="440">
        <v>0</v>
      </c>
      <c r="Q35" s="440">
        <v>0</v>
      </c>
      <c r="R35" s="440">
        <v>7164</v>
      </c>
      <c r="S35" s="440">
        <v>0</v>
      </c>
      <c r="T35" s="441"/>
      <c r="U35" s="441"/>
      <c r="V35" s="441"/>
      <c r="W35" s="441"/>
      <c r="X35" s="441"/>
      <c r="Y35" s="441"/>
      <c r="Z35" s="441">
        <f t="shared" si="1"/>
        <v>7164</v>
      </c>
      <c r="AA35" s="442">
        <v>23285</v>
      </c>
      <c r="AB35" s="443">
        <v>5</v>
      </c>
      <c r="AC35" s="444">
        <v>44224</v>
      </c>
      <c r="AD35" s="445">
        <v>44251</v>
      </c>
      <c r="AE35" s="442">
        <v>-8059</v>
      </c>
      <c r="AF35" s="446">
        <v>50</v>
      </c>
      <c r="AG35" s="447">
        <v>44356</v>
      </c>
      <c r="AH35" s="445">
        <v>44377</v>
      </c>
      <c r="AI35" s="442"/>
      <c r="AJ35" s="443"/>
      <c r="AK35" s="447"/>
      <c r="AL35" s="445"/>
      <c r="AM35" s="442"/>
      <c r="AN35" s="443"/>
      <c r="AO35" s="448"/>
      <c r="AP35" s="445"/>
      <c r="AQ35" s="442"/>
      <c r="AR35" s="443"/>
      <c r="AS35" s="448"/>
      <c r="AT35" s="445"/>
      <c r="AU35" s="449">
        <f t="shared" si="2"/>
        <v>15226</v>
      </c>
      <c r="AV35" s="457">
        <f t="shared" si="0"/>
        <v>8062</v>
      </c>
      <c r="AW35" s="451"/>
    </row>
    <row r="36" spans="2:49" s="418" customFormat="1">
      <c r="B36" s="452">
        <f t="shared" si="3"/>
        <v>21</v>
      </c>
      <c r="C36" s="429" t="s">
        <v>39</v>
      </c>
      <c r="D36" s="430">
        <v>30057931</v>
      </c>
      <c r="E36" s="430"/>
      <c r="F36" s="431" t="s">
        <v>1618</v>
      </c>
      <c r="G36" s="432" t="s">
        <v>146</v>
      </c>
      <c r="H36" s="433" t="s">
        <v>1580</v>
      </c>
      <c r="I36" s="434" t="s">
        <v>1592</v>
      </c>
      <c r="J36" s="435" t="s">
        <v>44</v>
      </c>
      <c r="K36" s="454">
        <v>1995500</v>
      </c>
      <c r="L36" s="455">
        <v>1930799</v>
      </c>
      <c r="M36" s="456">
        <v>0</v>
      </c>
      <c r="N36" s="439">
        <v>0</v>
      </c>
      <c r="O36" s="439">
        <v>59186</v>
      </c>
      <c r="P36" s="439">
        <v>5512</v>
      </c>
      <c r="Q36" s="439">
        <v>0</v>
      </c>
      <c r="R36" s="439">
        <v>0</v>
      </c>
      <c r="S36" s="440">
        <v>20567</v>
      </c>
      <c r="T36" s="441">
        <v>30184</v>
      </c>
      <c r="U36" s="441">
        <v>59299</v>
      </c>
      <c r="V36" s="441">
        <v>98658</v>
      </c>
      <c r="W36" s="441"/>
      <c r="X36" s="441"/>
      <c r="Y36" s="441"/>
      <c r="Z36" s="441">
        <f t="shared" si="1"/>
        <v>273406</v>
      </c>
      <c r="AA36" s="442">
        <v>64699</v>
      </c>
      <c r="AB36" s="443">
        <v>5</v>
      </c>
      <c r="AC36" s="444">
        <v>44224</v>
      </c>
      <c r="AD36" s="445">
        <v>44251</v>
      </c>
      <c r="AE36" s="442">
        <v>231572</v>
      </c>
      <c r="AF36" s="446">
        <v>22</v>
      </c>
      <c r="AG36" s="447">
        <v>44301</v>
      </c>
      <c r="AH36" s="445">
        <v>44313</v>
      </c>
      <c r="AI36" s="442"/>
      <c r="AJ36" s="443"/>
      <c r="AK36" s="447"/>
      <c r="AL36" s="445"/>
      <c r="AM36" s="442"/>
      <c r="AN36" s="443"/>
      <c r="AO36" s="448"/>
      <c r="AP36" s="445"/>
      <c r="AQ36" s="442"/>
      <c r="AR36" s="443"/>
      <c r="AS36" s="448"/>
      <c r="AT36" s="445"/>
      <c r="AU36" s="449">
        <f t="shared" si="2"/>
        <v>296271</v>
      </c>
      <c r="AV36" s="457">
        <f t="shared" si="0"/>
        <v>22865</v>
      </c>
      <c r="AW36" s="451"/>
    </row>
    <row r="37" spans="2:49" s="418" customFormat="1" ht="24">
      <c r="B37" s="452">
        <f t="shared" si="3"/>
        <v>22</v>
      </c>
      <c r="C37" s="429" t="s">
        <v>39</v>
      </c>
      <c r="D37" s="430">
        <v>30064328</v>
      </c>
      <c r="E37" s="430"/>
      <c r="F37" s="431" t="s">
        <v>1619</v>
      </c>
      <c r="G37" s="432" t="s">
        <v>146</v>
      </c>
      <c r="H37" s="433" t="s">
        <v>1580</v>
      </c>
      <c r="I37" s="434" t="s">
        <v>1620</v>
      </c>
      <c r="J37" s="435" t="s">
        <v>44</v>
      </c>
      <c r="K37" s="454">
        <v>1881581</v>
      </c>
      <c r="L37" s="455">
        <v>1718618</v>
      </c>
      <c r="M37" s="456">
        <v>0</v>
      </c>
      <c r="N37" s="439">
        <v>0</v>
      </c>
      <c r="O37" s="439">
        <v>0</v>
      </c>
      <c r="P37" s="439">
        <v>54541</v>
      </c>
      <c r="Q37" s="439">
        <v>0</v>
      </c>
      <c r="R37" s="439">
        <v>0</v>
      </c>
      <c r="S37" s="440">
        <v>0</v>
      </c>
      <c r="T37" s="441"/>
      <c r="U37" s="441"/>
      <c r="V37" s="441"/>
      <c r="W37" s="441"/>
      <c r="X37" s="441"/>
      <c r="Y37" s="441"/>
      <c r="Z37" s="441">
        <f t="shared" si="1"/>
        <v>54541</v>
      </c>
      <c r="AA37" s="442">
        <v>54542</v>
      </c>
      <c r="AB37" s="443">
        <v>5</v>
      </c>
      <c r="AC37" s="444">
        <v>44224</v>
      </c>
      <c r="AD37" s="445">
        <v>44251</v>
      </c>
      <c r="AE37" s="442"/>
      <c r="AF37" s="446"/>
      <c r="AG37" s="447"/>
      <c r="AH37" s="445"/>
      <c r="AI37" s="442"/>
      <c r="AJ37" s="443"/>
      <c r="AK37" s="447"/>
      <c r="AL37" s="445"/>
      <c r="AM37" s="442"/>
      <c r="AN37" s="443"/>
      <c r="AO37" s="448"/>
      <c r="AP37" s="445"/>
      <c r="AQ37" s="442"/>
      <c r="AR37" s="443"/>
      <c r="AS37" s="448"/>
      <c r="AT37" s="445"/>
      <c r="AU37" s="449">
        <f t="shared" si="2"/>
        <v>54542</v>
      </c>
      <c r="AV37" s="457">
        <f t="shared" si="0"/>
        <v>1</v>
      </c>
      <c r="AW37" s="451"/>
    </row>
    <row r="38" spans="2:49" s="418" customFormat="1">
      <c r="B38" s="452">
        <f t="shared" si="3"/>
        <v>23</v>
      </c>
      <c r="C38" s="429" t="s">
        <v>39</v>
      </c>
      <c r="D38" s="430">
        <v>30064908</v>
      </c>
      <c r="E38" s="430"/>
      <c r="F38" s="431" t="s">
        <v>1621</v>
      </c>
      <c r="G38" s="432" t="s">
        <v>146</v>
      </c>
      <c r="H38" s="433" t="s">
        <v>1580</v>
      </c>
      <c r="I38" s="434" t="s">
        <v>1592</v>
      </c>
      <c r="J38" s="435" t="s">
        <v>52</v>
      </c>
      <c r="K38" s="454">
        <v>1467056</v>
      </c>
      <c r="L38" s="455">
        <v>0</v>
      </c>
      <c r="M38" s="456">
        <v>32281</v>
      </c>
      <c r="N38" s="440">
        <v>0</v>
      </c>
      <c r="O38" s="440">
        <v>0</v>
      </c>
      <c r="P38" s="440">
        <v>0</v>
      </c>
      <c r="Q38" s="440">
        <v>0</v>
      </c>
      <c r="R38" s="440">
        <v>0</v>
      </c>
      <c r="S38" s="440">
        <v>11681</v>
      </c>
      <c r="T38" s="441">
        <v>137776</v>
      </c>
      <c r="U38" s="441">
        <v>108146</v>
      </c>
      <c r="V38" s="441">
        <v>146896</v>
      </c>
      <c r="W38" s="441"/>
      <c r="X38" s="441"/>
      <c r="Y38" s="441"/>
      <c r="Z38" s="441">
        <f t="shared" si="1"/>
        <v>404499</v>
      </c>
      <c r="AA38" s="442">
        <v>880000</v>
      </c>
      <c r="AB38" s="443">
        <v>5</v>
      </c>
      <c r="AC38" s="444">
        <v>44224</v>
      </c>
      <c r="AD38" s="445">
        <v>44251</v>
      </c>
      <c r="AE38" s="442">
        <v>0</v>
      </c>
      <c r="AF38" s="446">
        <v>22</v>
      </c>
      <c r="AG38" s="447">
        <v>44301</v>
      </c>
      <c r="AH38" s="445">
        <v>44313</v>
      </c>
      <c r="AI38" s="442"/>
      <c r="AJ38" s="443"/>
      <c r="AK38" s="447"/>
      <c r="AL38" s="445"/>
      <c r="AM38" s="442"/>
      <c r="AN38" s="443"/>
      <c r="AO38" s="448"/>
      <c r="AP38" s="445"/>
      <c r="AQ38" s="442"/>
      <c r="AR38" s="443"/>
      <c r="AS38" s="448"/>
      <c r="AT38" s="445"/>
      <c r="AU38" s="449">
        <f t="shared" si="2"/>
        <v>880000</v>
      </c>
      <c r="AV38" s="457">
        <f t="shared" si="0"/>
        <v>475501</v>
      </c>
      <c r="AW38" s="451"/>
    </row>
    <row r="39" spans="2:49" s="418" customFormat="1" ht="24">
      <c r="B39" s="452">
        <f t="shared" si="3"/>
        <v>24</v>
      </c>
      <c r="C39" s="429" t="s">
        <v>39</v>
      </c>
      <c r="D39" s="430">
        <v>30065140</v>
      </c>
      <c r="E39" s="430"/>
      <c r="F39" s="431" t="s">
        <v>1622</v>
      </c>
      <c r="G39" s="432" t="s">
        <v>146</v>
      </c>
      <c r="H39" s="433" t="s">
        <v>1580</v>
      </c>
      <c r="I39" s="434" t="s">
        <v>1601</v>
      </c>
      <c r="J39" s="435" t="s">
        <v>44</v>
      </c>
      <c r="K39" s="454">
        <v>2575426</v>
      </c>
      <c r="L39" s="455">
        <v>2543381</v>
      </c>
      <c r="M39" s="456">
        <v>0</v>
      </c>
      <c r="N39" s="440">
        <v>0</v>
      </c>
      <c r="O39" s="440">
        <v>0</v>
      </c>
      <c r="P39" s="440">
        <v>0</v>
      </c>
      <c r="Q39" s="440">
        <v>0</v>
      </c>
      <c r="R39" s="440">
        <v>0</v>
      </c>
      <c r="S39" s="440">
        <v>0</v>
      </c>
      <c r="T39" s="441"/>
      <c r="U39" s="441"/>
      <c r="V39" s="441"/>
      <c r="W39" s="441"/>
      <c r="X39" s="441"/>
      <c r="Y39" s="441"/>
      <c r="Z39" s="441">
        <f t="shared" si="1"/>
        <v>0</v>
      </c>
      <c r="AA39" s="442">
        <v>32045</v>
      </c>
      <c r="AB39" s="443">
        <v>11</v>
      </c>
      <c r="AC39" s="444">
        <v>44237</v>
      </c>
      <c r="AD39" s="445">
        <v>44251</v>
      </c>
      <c r="AE39" s="442"/>
      <c r="AF39" s="446"/>
      <c r="AG39" s="447"/>
      <c r="AH39" s="445"/>
      <c r="AI39" s="442"/>
      <c r="AJ39" s="443"/>
      <c r="AK39" s="447"/>
      <c r="AL39" s="445"/>
      <c r="AM39" s="442"/>
      <c r="AN39" s="443"/>
      <c r="AO39" s="448"/>
      <c r="AP39" s="445"/>
      <c r="AQ39" s="442"/>
      <c r="AR39" s="443"/>
      <c r="AS39" s="448"/>
      <c r="AT39" s="445"/>
      <c r="AU39" s="449">
        <f t="shared" si="2"/>
        <v>32045</v>
      </c>
      <c r="AV39" s="457">
        <f t="shared" si="0"/>
        <v>32045</v>
      </c>
      <c r="AW39" s="451"/>
    </row>
    <row r="40" spans="2:49" s="418" customFormat="1">
      <c r="B40" s="452">
        <f t="shared" si="3"/>
        <v>25</v>
      </c>
      <c r="C40" s="429" t="s">
        <v>39</v>
      </c>
      <c r="D40" s="430">
        <v>30065299</v>
      </c>
      <c r="E40" s="430"/>
      <c r="F40" s="431" t="s">
        <v>1623</v>
      </c>
      <c r="G40" s="432" t="s">
        <v>146</v>
      </c>
      <c r="H40" s="433" t="s">
        <v>1580</v>
      </c>
      <c r="I40" s="434" t="s">
        <v>1624</v>
      </c>
      <c r="J40" s="435" t="s">
        <v>44</v>
      </c>
      <c r="K40" s="454">
        <v>479882</v>
      </c>
      <c r="L40" s="455">
        <v>464494</v>
      </c>
      <c r="M40" s="456">
        <v>0</v>
      </c>
      <c r="N40" s="439">
        <v>0</v>
      </c>
      <c r="O40" s="439">
        <v>0</v>
      </c>
      <c r="P40" s="439">
        <v>15048</v>
      </c>
      <c r="Q40" s="439">
        <v>0</v>
      </c>
      <c r="R40" s="439">
        <v>0</v>
      </c>
      <c r="S40" s="440">
        <v>0</v>
      </c>
      <c r="T40" s="441"/>
      <c r="U40" s="441"/>
      <c r="V40" s="441"/>
      <c r="W40" s="441"/>
      <c r="X40" s="441"/>
      <c r="Y40" s="441"/>
      <c r="Z40" s="441">
        <f t="shared" si="1"/>
        <v>15048</v>
      </c>
      <c r="AA40" s="442">
        <v>15048</v>
      </c>
      <c r="AB40" s="443">
        <v>9</v>
      </c>
      <c r="AC40" s="444">
        <v>44232</v>
      </c>
      <c r="AD40" s="445">
        <v>44251</v>
      </c>
      <c r="AE40" s="442"/>
      <c r="AF40" s="446"/>
      <c r="AG40" s="447"/>
      <c r="AH40" s="445"/>
      <c r="AI40" s="442"/>
      <c r="AJ40" s="443"/>
      <c r="AK40" s="447"/>
      <c r="AL40" s="445"/>
      <c r="AM40" s="442"/>
      <c r="AN40" s="443"/>
      <c r="AO40" s="448"/>
      <c r="AP40" s="445"/>
      <c r="AQ40" s="442"/>
      <c r="AR40" s="443"/>
      <c r="AS40" s="448"/>
      <c r="AT40" s="445"/>
      <c r="AU40" s="449">
        <f t="shared" si="2"/>
        <v>15048</v>
      </c>
      <c r="AV40" s="457">
        <f t="shared" si="0"/>
        <v>0</v>
      </c>
      <c r="AW40" s="451"/>
    </row>
    <row r="41" spans="2:49" s="418" customFormat="1" ht="24">
      <c r="B41" s="452">
        <f t="shared" si="3"/>
        <v>26</v>
      </c>
      <c r="C41" s="429" t="s">
        <v>39</v>
      </c>
      <c r="D41" s="430">
        <v>30067644</v>
      </c>
      <c r="E41" s="430"/>
      <c r="F41" s="431" t="s">
        <v>1625</v>
      </c>
      <c r="G41" s="432" t="s">
        <v>146</v>
      </c>
      <c r="H41" s="433" t="s">
        <v>1580</v>
      </c>
      <c r="I41" s="434" t="s">
        <v>1626</v>
      </c>
      <c r="J41" s="435" t="s">
        <v>52</v>
      </c>
      <c r="K41" s="454">
        <v>1353449</v>
      </c>
      <c r="L41" s="455">
        <v>0</v>
      </c>
      <c r="M41" s="456">
        <v>1241000</v>
      </c>
      <c r="N41" s="439">
        <v>0</v>
      </c>
      <c r="O41" s="439">
        <v>0</v>
      </c>
      <c r="P41" s="439">
        <v>0</v>
      </c>
      <c r="Q41" s="439">
        <v>0</v>
      </c>
      <c r="R41" s="439">
        <v>0</v>
      </c>
      <c r="S41" s="440">
        <v>0</v>
      </c>
      <c r="T41" s="441"/>
      <c r="U41" s="441"/>
      <c r="V41" s="441">
        <v>168583</v>
      </c>
      <c r="W41" s="441"/>
      <c r="X41" s="441"/>
      <c r="Y41" s="441"/>
      <c r="Z41" s="441">
        <f t="shared" si="1"/>
        <v>168583</v>
      </c>
      <c r="AA41" s="442">
        <v>112449</v>
      </c>
      <c r="AB41" s="443">
        <v>3</v>
      </c>
      <c r="AC41" s="444">
        <v>44222</v>
      </c>
      <c r="AD41" s="445">
        <v>44225</v>
      </c>
      <c r="AE41" s="442">
        <v>400000</v>
      </c>
      <c r="AF41" s="443">
        <v>86</v>
      </c>
      <c r="AG41" s="447">
        <v>44421</v>
      </c>
      <c r="AH41" s="445">
        <v>44435</v>
      </c>
      <c r="AI41" s="442"/>
      <c r="AJ41" s="443"/>
      <c r="AK41" s="447"/>
      <c r="AL41" s="445"/>
      <c r="AM41" s="442"/>
      <c r="AN41" s="443"/>
      <c r="AO41" s="448"/>
      <c r="AP41" s="445"/>
      <c r="AQ41" s="442"/>
      <c r="AR41" s="443"/>
      <c r="AS41" s="448"/>
      <c r="AT41" s="445"/>
      <c r="AU41" s="449">
        <f t="shared" si="2"/>
        <v>512449</v>
      </c>
      <c r="AV41" s="457">
        <f t="shared" si="0"/>
        <v>343866</v>
      </c>
      <c r="AW41" s="451"/>
    </row>
    <row r="42" spans="2:49" s="418" customFormat="1" ht="24">
      <c r="B42" s="452">
        <f t="shared" si="3"/>
        <v>27</v>
      </c>
      <c r="C42" s="429" t="s">
        <v>39</v>
      </c>
      <c r="D42" s="430">
        <v>30068032</v>
      </c>
      <c r="E42" s="430"/>
      <c r="F42" s="431" t="s">
        <v>1627</v>
      </c>
      <c r="G42" s="432" t="s">
        <v>146</v>
      </c>
      <c r="H42" s="433" t="s">
        <v>1580</v>
      </c>
      <c r="I42" s="434" t="s">
        <v>1628</v>
      </c>
      <c r="J42" s="435" t="s">
        <v>44</v>
      </c>
      <c r="K42" s="454">
        <v>1185369</v>
      </c>
      <c r="L42" s="455">
        <v>832315</v>
      </c>
      <c r="M42" s="456">
        <v>0</v>
      </c>
      <c r="N42" s="440">
        <v>0</v>
      </c>
      <c r="O42" s="440">
        <v>173790</v>
      </c>
      <c r="P42" s="440">
        <v>0</v>
      </c>
      <c r="Q42" s="440">
        <v>0</v>
      </c>
      <c r="R42" s="440">
        <v>80412</v>
      </c>
      <c r="S42" s="440">
        <v>65381</v>
      </c>
      <c r="T42" s="441"/>
      <c r="U42" s="441"/>
      <c r="V42" s="441"/>
      <c r="W42" s="441"/>
      <c r="X42" s="441"/>
      <c r="Y42" s="441"/>
      <c r="Z42" s="441">
        <f t="shared" si="1"/>
        <v>319583</v>
      </c>
      <c r="AA42" s="442">
        <v>353054</v>
      </c>
      <c r="AB42" s="443">
        <v>5</v>
      </c>
      <c r="AC42" s="444">
        <v>44224</v>
      </c>
      <c r="AD42" s="445">
        <v>44251</v>
      </c>
      <c r="AE42" s="442"/>
      <c r="AF42" s="446"/>
      <c r="AG42" s="447"/>
      <c r="AH42" s="445"/>
      <c r="AI42" s="442"/>
      <c r="AJ42" s="443"/>
      <c r="AK42" s="447"/>
      <c r="AL42" s="445"/>
      <c r="AM42" s="442"/>
      <c r="AN42" s="443"/>
      <c r="AO42" s="448"/>
      <c r="AP42" s="445"/>
      <c r="AQ42" s="442"/>
      <c r="AR42" s="443"/>
      <c r="AS42" s="448"/>
      <c r="AT42" s="445"/>
      <c r="AU42" s="449">
        <f t="shared" si="2"/>
        <v>353054</v>
      </c>
      <c r="AV42" s="457">
        <f t="shared" si="0"/>
        <v>33471</v>
      </c>
      <c r="AW42" s="451"/>
    </row>
    <row r="43" spans="2:49" s="418" customFormat="1">
      <c r="B43" s="452">
        <f t="shared" si="3"/>
        <v>28</v>
      </c>
      <c r="C43" s="429" t="s">
        <v>39</v>
      </c>
      <c r="D43" s="430">
        <v>30068457</v>
      </c>
      <c r="E43" s="430"/>
      <c r="F43" s="431" t="s">
        <v>1629</v>
      </c>
      <c r="G43" s="432" t="s">
        <v>146</v>
      </c>
      <c r="H43" s="433" t="s">
        <v>1580</v>
      </c>
      <c r="I43" s="434" t="s">
        <v>1630</v>
      </c>
      <c r="J43" s="435" t="s">
        <v>44</v>
      </c>
      <c r="K43" s="454">
        <v>2687609</v>
      </c>
      <c r="L43" s="455">
        <v>2643162</v>
      </c>
      <c r="M43" s="456">
        <v>0</v>
      </c>
      <c r="N43" s="440">
        <v>0</v>
      </c>
      <c r="O43" s="440">
        <v>38636</v>
      </c>
      <c r="P43" s="440">
        <v>0</v>
      </c>
      <c r="Q43" s="440">
        <v>0</v>
      </c>
      <c r="R43" s="440">
        <v>5810</v>
      </c>
      <c r="S43" s="440">
        <v>0</v>
      </c>
      <c r="T43" s="441"/>
      <c r="U43" s="441"/>
      <c r="V43" s="441"/>
      <c r="W43" s="441"/>
      <c r="X43" s="441"/>
      <c r="Y43" s="441"/>
      <c r="Z43" s="441">
        <f t="shared" si="1"/>
        <v>44446</v>
      </c>
      <c r="AA43" s="442">
        <v>44447</v>
      </c>
      <c r="AB43" s="443">
        <v>5</v>
      </c>
      <c r="AC43" s="444">
        <v>44224</v>
      </c>
      <c r="AD43" s="445">
        <v>44251</v>
      </c>
      <c r="AE43" s="442"/>
      <c r="AF43" s="446"/>
      <c r="AG43" s="447"/>
      <c r="AH43" s="445"/>
      <c r="AI43" s="442"/>
      <c r="AJ43" s="443"/>
      <c r="AK43" s="447"/>
      <c r="AL43" s="445"/>
      <c r="AM43" s="442"/>
      <c r="AN43" s="443"/>
      <c r="AO43" s="448"/>
      <c r="AP43" s="445"/>
      <c r="AQ43" s="442"/>
      <c r="AR43" s="443"/>
      <c r="AS43" s="448"/>
      <c r="AT43" s="445"/>
      <c r="AU43" s="449">
        <f t="shared" si="2"/>
        <v>44447</v>
      </c>
      <c r="AV43" s="457">
        <f t="shared" si="0"/>
        <v>1</v>
      </c>
      <c r="AW43" s="451"/>
    </row>
    <row r="44" spans="2:49" s="418" customFormat="1">
      <c r="B44" s="452">
        <f t="shared" si="3"/>
        <v>29</v>
      </c>
      <c r="C44" s="429" t="s">
        <v>39</v>
      </c>
      <c r="D44" s="430">
        <v>30068866</v>
      </c>
      <c r="E44" s="430"/>
      <c r="F44" s="431" t="s">
        <v>1631</v>
      </c>
      <c r="G44" s="432" t="s">
        <v>146</v>
      </c>
      <c r="H44" s="433" t="s">
        <v>1580</v>
      </c>
      <c r="I44" s="434" t="s">
        <v>1632</v>
      </c>
      <c r="J44" s="435" t="s">
        <v>44</v>
      </c>
      <c r="K44" s="454">
        <v>657911</v>
      </c>
      <c r="L44" s="455">
        <v>644882</v>
      </c>
      <c r="M44" s="456">
        <v>0</v>
      </c>
      <c r="N44" s="439">
        <v>0</v>
      </c>
      <c r="O44" s="439">
        <v>0</v>
      </c>
      <c r="P44" s="439">
        <v>0</v>
      </c>
      <c r="Q44" s="439">
        <v>3311</v>
      </c>
      <c r="R44" s="439">
        <v>0</v>
      </c>
      <c r="S44" s="440">
        <v>0</v>
      </c>
      <c r="T44" s="441"/>
      <c r="U44" s="441"/>
      <c r="V44" s="441"/>
      <c r="W44" s="441"/>
      <c r="X44" s="441"/>
      <c r="Y44" s="441"/>
      <c r="Z44" s="441">
        <f t="shared" si="1"/>
        <v>3311</v>
      </c>
      <c r="AA44" s="442">
        <v>13029</v>
      </c>
      <c r="AB44" s="443">
        <v>11</v>
      </c>
      <c r="AC44" s="444">
        <v>44237</v>
      </c>
      <c r="AD44" s="445">
        <v>44251</v>
      </c>
      <c r="AE44" s="442"/>
      <c r="AF44" s="446"/>
      <c r="AG44" s="447"/>
      <c r="AH44" s="445"/>
      <c r="AI44" s="442"/>
      <c r="AJ44" s="443"/>
      <c r="AK44" s="447"/>
      <c r="AL44" s="445"/>
      <c r="AM44" s="442"/>
      <c r="AN44" s="443"/>
      <c r="AO44" s="448"/>
      <c r="AP44" s="445"/>
      <c r="AQ44" s="442"/>
      <c r="AR44" s="443"/>
      <c r="AS44" s="448"/>
      <c r="AT44" s="445"/>
      <c r="AU44" s="449">
        <f t="shared" si="2"/>
        <v>13029</v>
      </c>
      <c r="AV44" s="457">
        <f t="shared" si="0"/>
        <v>9718</v>
      </c>
      <c r="AW44" s="451"/>
    </row>
    <row r="45" spans="2:49" s="418" customFormat="1" ht="12" customHeight="1">
      <c r="B45" s="452">
        <f t="shared" si="3"/>
        <v>30</v>
      </c>
      <c r="C45" s="429" t="s">
        <v>39</v>
      </c>
      <c r="D45" s="382">
        <v>30069841</v>
      </c>
      <c r="E45" s="430"/>
      <c r="F45" s="166" t="s">
        <v>1633</v>
      </c>
      <c r="G45" s="432" t="s">
        <v>317</v>
      </c>
      <c r="H45" s="433" t="s">
        <v>1583</v>
      </c>
      <c r="I45" s="434" t="s">
        <v>1634</v>
      </c>
      <c r="J45" s="435"/>
      <c r="K45" s="454">
        <v>3913355</v>
      </c>
      <c r="L45" s="455"/>
      <c r="M45" s="456">
        <v>3860437</v>
      </c>
      <c r="N45" s="440"/>
      <c r="O45" s="440"/>
      <c r="P45" s="440"/>
      <c r="Q45" s="440"/>
      <c r="R45" s="440"/>
      <c r="S45" s="440"/>
      <c r="T45" s="441"/>
      <c r="U45" s="441"/>
      <c r="V45" s="441"/>
      <c r="W45" s="441"/>
      <c r="X45" s="441"/>
      <c r="Y45" s="441"/>
      <c r="Z45" s="441"/>
      <c r="AA45" s="442">
        <v>52918</v>
      </c>
      <c r="AB45" s="443">
        <v>86</v>
      </c>
      <c r="AC45" s="444">
        <v>44421</v>
      </c>
      <c r="AD45" s="445">
        <v>44435</v>
      </c>
      <c r="AE45" s="442"/>
      <c r="AF45" s="446"/>
      <c r="AG45" s="447"/>
      <c r="AH45" s="445"/>
      <c r="AI45" s="442"/>
      <c r="AJ45" s="443"/>
      <c r="AK45" s="447"/>
      <c r="AL45" s="445"/>
      <c r="AM45" s="442"/>
      <c r="AN45" s="443"/>
      <c r="AO45" s="448"/>
      <c r="AP45" s="445"/>
      <c r="AQ45" s="442"/>
      <c r="AR45" s="443"/>
      <c r="AS45" s="448"/>
      <c r="AT45" s="445"/>
      <c r="AU45" s="449">
        <f t="shared" si="2"/>
        <v>52918</v>
      </c>
      <c r="AV45" s="457">
        <f t="shared" si="0"/>
        <v>52918</v>
      </c>
      <c r="AW45" s="451"/>
    </row>
    <row r="46" spans="2:49" s="418" customFormat="1">
      <c r="B46" s="452">
        <f t="shared" si="3"/>
        <v>31</v>
      </c>
      <c r="C46" s="429" t="s">
        <v>39</v>
      </c>
      <c r="D46" s="430">
        <v>30070555</v>
      </c>
      <c r="E46" s="430"/>
      <c r="F46" s="431" t="s">
        <v>1635</v>
      </c>
      <c r="G46" s="432" t="s">
        <v>146</v>
      </c>
      <c r="H46" s="433" t="s">
        <v>1580</v>
      </c>
      <c r="I46" s="434" t="s">
        <v>1616</v>
      </c>
      <c r="J46" s="435" t="s">
        <v>44</v>
      </c>
      <c r="K46" s="454">
        <v>6427827</v>
      </c>
      <c r="L46" s="455">
        <v>74575</v>
      </c>
      <c r="M46" s="456">
        <v>5523252</v>
      </c>
      <c r="N46" s="439">
        <v>0</v>
      </c>
      <c r="O46" s="439">
        <v>0</v>
      </c>
      <c r="P46" s="439">
        <v>0</v>
      </c>
      <c r="Q46" s="439">
        <v>101636</v>
      </c>
      <c r="R46" s="439">
        <v>236717</v>
      </c>
      <c r="S46" s="440">
        <v>119398</v>
      </c>
      <c r="T46" s="441">
        <v>204864</v>
      </c>
      <c r="U46" s="441">
        <v>289159</v>
      </c>
      <c r="V46" s="441">
        <v>266044</v>
      </c>
      <c r="W46" s="441"/>
      <c r="X46" s="441"/>
      <c r="Y46" s="441"/>
      <c r="Z46" s="441">
        <f t="shared" ref="Z46:Z97" si="4">SUM(N46:Y46)</f>
        <v>1217818</v>
      </c>
      <c r="AA46" s="442">
        <v>818000</v>
      </c>
      <c r="AB46" s="443">
        <v>9</v>
      </c>
      <c r="AC46" s="444">
        <v>44232</v>
      </c>
      <c r="AD46" s="445">
        <v>44251</v>
      </c>
      <c r="AE46" s="442">
        <v>1000001</v>
      </c>
      <c r="AF46" s="446">
        <v>39</v>
      </c>
      <c r="AG46" s="447">
        <v>44334</v>
      </c>
      <c r="AH46" s="445">
        <v>44342</v>
      </c>
      <c r="AI46" s="442"/>
      <c r="AJ46" s="443"/>
      <c r="AK46" s="447"/>
      <c r="AL46" s="445"/>
      <c r="AM46" s="442"/>
      <c r="AN46" s="443"/>
      <c r="AO46" s="448"/>
      <c r="AP46" s="445"/>
      <c r="AQ46" s="442"/>
      <c r="AR46" s="443"/>
      <c r="AS46" s="448"/>
      <c r="AT46" s="445"/>
      <c r="AU46" s="449">
        <f t="shared" si="2"/>
        <v>1818001</v>
      </c>
      <c r="AV46" s="457">
        <f t="shared" si="0"/>
        <v>600183</v>
      </c>
      <c r="AW46" s="451"/>
    </row>
    <row r="47" spans="2:49" s="418" customFormat="1">
      <c r="B47" s="452">
        <f t="shared" si="3"/>
        <v>32</v>
      </c>
      <c r="C47" s="429" t="s">
        <v>39</v>
      </c>
      <c r="D47" s="430">
        <v>30072803</v>
      </c>
      <c r="E47" s="430"/>
      <c r="F47" s="431" t="s">
        <v>1636</v>
      </c>
      <c r="G47" s="432" t="s">
        <v>146</v>
      </c>
      <c r="H47" s="433" t="s">
        <v>1580</v>
      </c>
      <c r="I47" s="434" t="s">
        <v>1637</v>
      </c>
      <c r="J47" s="435" t="s">
        <v>44</v>
      </c>
      <c r="K47" s="454">
        <v>617425</v>
      </c>
      <c r="L47" s="455">
        <v>112517</v>
      </c>
      <c r="M47" s="456">
        <v>0</v>
      </c>
      <c r="N47" s="439">
        <v>0</v>
      </c>
      <c r="O47" s="439">
        <v>0</v>
      </c>
      <c r="P47" s="439">
        <v>168</v>
      </c>
      <c r="Q47" s="439">
        <v>328</v>
      </c>
      <c r="R47" s="439">
        <v>1769</v>
      </c>
      <c r="S47" s="440">
        <v>50</v>
      </c>
      <c r="T47" s="441">
        <v>168</v>
      </c>
      <c r="U47" s="441"/>
      <c r="V47" s="441">
        <v>150</v>
      </c>
      <c r="W47" s="441"/>
      <c r="X47" s="441"/>
      <c r="Y47" s="441"/>
      <c r="Z47" s="441">
        <f t="shared" si="4"/>
        <v>2633</v>
      </c>
      <c r="AA47" s="442">
        <v>121532</v>
      </c>
      <c r="AB47" s="443">
        <v>11</v>
      </c>
      <c r="AC47" s="444">
        <v>44237</v>
      </c>
      <c r="AD47" s="445">
        <v>44251</v>
      </c>
      <c r="AE47" s="442">
        <v>-99000</v>
      </c>
      <c r="AF47" s="443">
        <v>86</v>
      </c>
      <c r="AG47" s="447">
        <v>44421</v>
      </c>
      <c r="AH47" s="447">
        <v>44435</v>
      </c>
      <c r="AI47" s="442"/>
      <c r="AJ47" s="443"/>
      <c r="AK47" s="447"/>
      <c r="AL47" s="445"/>
      <c r="AM47" s="442"/>
      <c r="AN47" s="443"/>
      <c r="AO47" s="448"/>
      <c r="AP47" s="445"/>
      <c r="AQ47" s="442"/>
      <c r="AR47" s="443"/>
      <c r="AS47" s="448"/>
      <c r="AT47" s="445"/>
      <c r="AU47" s="449">
        <f t="shared" si="2"/>
        <v>22532</v>
      </c>
      <c r="AV47" s="457">
        <f t="shared" si="0"/>
        <v>19899</v>
      </c>
      <c r="AW47" s="451"/>
    </row>
    <row r="48" spans="2:49" s="418" customFormat="1">
      <c r="B48" s="452">
        <f t="shared" si="3"/>
        <v>33</v>
      </c>
      <c r="C48" s="429" t="s">
        <v>39</v>
      </c>
      <c r="D48" s="430">
        <v>30072828</v>
      </c>
      <c r="E48" s="430"/>
      <c r="F48" s="431" t="s">
        <v>1638</v>
      </c>
      <c r="G48" s="432" t="s">
        <v>146</v>
      </c>
      <c r="H48" s="433" t="s">
        <v>1580</v>
      </c>
      <c r="I48" s="434" t="s">
        <v>1639</v>
      </c>
      <c r="J48" s="435" t="s">
        <v>44</v>
      </c>
      <c r="K48" s="454">
        <v>7860231</v>
      </c>
      <c r="L48" s="455">
        <v>652284</v>
      </c>
      <c r="M48" s="456">
        <v>6927945</v>
      </c>
      <c r="N48" s="439">
        <v>0</v>
      </c>
      <c r="O48" s="439">
        <v>112854</v>
      </c>
      <c r="P48" s="439">
        <v>67623</v>
      </c>
      <c r="Q48" s="439">
        <v>35082</v>
      </c>
      <c r="R48" s="439">
        <v>0</v>
      </c>
      <c r="S48" s="440">
        <v>0</v>
      </c>
      <c r="T48" s="441"/>
      <c r="U48" s="441"/>
      <c r="V48" s="441"/>
      <c r="W48" s="441"/>
      <c r="X48" s="441"/>
      <c r="Y48" s="441"/>
      <c r="Z48" s="441">
        <f t="shared" si="4"/>
        <v>215559</v>
      </c>
      <c r="AA48" s="442">
        <v>270002</v>
      </c>
      <c r="AB48" s="443">
        <v>9</v>
      </c>
      <c r="AC48" s="444">
        <v>44232</v>
      </c>
      <c r="AD48" s="445">
        <v>44251</v>
      </c>
      <c r="AE48" s="442"/>
      <c r="AF48" s="446"/>
      <c r="AG48" s="447"/>
      <c r="AH48" s="445"/>
      <c r="AI48" s="442"/>
      <c r="AJ48" s="443"/>
      <c r="AK48" s="447"/>
      <c r="AL48" s="445"/>
      <c r="AM48" s="442"/>
      <c r="AN48" s="443"/>
      <c r="AO48" s="448"/>
      <c r="AP48" s="445"/>
      <c r="AQ48" s="442"/>
      <c r="AR48" s="443"/>
      <c r="AS48" s="448"/>
      <c r="AT48" s="445"/>
      <c r="AU48" s="449">
        <f t="shared" si="2"/>
        <v>270002</v>
      </c>
      <c r="AV48" s="457">
        <f t="shared" si="0"/>
        <v>54443</v>
      </c>
      <c r="AW48" s="451"/>
    </row>
    <row r="49" spans="2:49" s="418" customFormat="1">
      <c r="B49" s="452">
        <f t="shared" si="3"/>
        <v>34</v>
      </c>
      <c r="C49" s="429" t="s">
        <v>39</v>
      </c>
      <c r="D49" s="430">
        <v>30073738</v>
      </c>
      <c r="E49" s="430"/>
      <c r="F49" s="431" t="s">
        <v>1640</v>
      </c>
      <c r="G49" s="432" t="s">
        <v>146</v>
      </c>
      <c r="H49" s="433" t="s">
        <v>1580</v>
      </c>
      <c r="I49" s="434" t="s">
        <v>1641</v>
      </c>
      <c r="J49" s="435" t="s">
        <v>44</v>
      </c>
      <c r="K49" s="454">
        <v>1017668</v>
      </c>
      <c r="L49" s="455">
        <v>753397</v>
      </c>
      <c r="M49" s="456">
        <v>38216</v>
      </c>
      <c r="N49" s="439">
        <v>0</v>
      </c>
      <c r="O49" s="439">
        <v>161017</v>
      </c>
      <c r="P49" s="439">
        <v>54822</v>
      </c>
      <c r="Q49" s="439">
        <v>6033</v>
      </c>
      <c r="R49" s="439">
        <v>1900</v>
      </c>
      <c r="S49" s="440">
        <v>1900</v>
      </c>
      <c r="T49" s="441"/>
      <c r="U49" s="441"/>
      <c r="V49" s="441"/>
      <c r="W49" s="441"/>
      <c r="X49" s="441"/>
      <c r="Y49" s="441"/>
      <c r="Z49" s="441">
        <f t="shared" si="4"/>
        <v>225672</v>
      </c>
      <c r="AA49" s="442">
        <v>226055</v>
      </c>
      <c r="AB49" s="443">
        <v>9</v>
      </c>
      <c r="AC49" s="444">
        <v>44232</v>
      </c>
      <c r="AD49" s="445">
        <v>44251</v>
      </c>
      <c r="AE49" s="442">
        <v>31728</v>
      </c>
      <c r="AF49" s="446">
        <v>39</v>
      </c>
      <c r="AG49" s="447">
        <v>44334</v>
      </c>
      <c r="AH49" s="445">
        <v>44342</v>
      </c>
      <c r="AI49" s="442"/>
      <c r="AJ49" s="443"/>
      <c r="AK49" s="447"/>
      <c r="AL49" s="445"/>
      <c r="AM49" s="442"/>
      <c r="AN49" s="443"/>
      <c r="AO49" s="448"/>
      <c r="AP49" s="445"/>
      <c r="AQ49" s="442"/>
      <c r="AR49" s="443"/>
      <c r="AS49" s="448"/>
      <c r="AT49" s="445"/>
      <c r="AU49" s="449">
        <f t="shared" si="2"/>
        <v>257783</v>
      </c>
      <c r="AV49" s="457">
        <f t="shared" si="0"/>
        <v>32111</v>
      </c>
      <c r="AW49" s="451"/>
    </row>
    <row r="50" spans="2:49" s="418" customFormat="1" ht="24">
      <c r="B50" s="452">
        <f t="shared" si="3"/>
        <v>35</v>
      </c>
      <c r="C50" s="429" t="s">
        <v>39</v>
      </c>
      <c r="D50" s="430">
        <v>30074166</v>
      </c>
      <c r="E50" s="430"/>
      <c r="F50" s="431" t="s">
        <v>1642</v>
      </c>
      <c r="G50" s="432" t="s">
        <v>146</v>
      </c>
      <c r="H50" s="433" t="s">
        <v>1580</v>
      </c>
      <c r="I50" s="434" t="s">
        <v>1643</v>
      </c>
      <c r="J50" s="435" t="s">
        <v>44</v>
      </c>
      <c r="K50" s="454">
        <v>1452026</v>
      </c>
      <c r="L50" s="455">
        <v>1124750</v>
      </c>
      <c r="M50" s="456">
        <v>0</v>
      </c>
      <c r="N50" s="439">
        <v>0</v>
      </c>
      <c r="O50" s="439">
        <v>104568</v>
      </c>
      <c r="P50" s="439">
        <v>109743</v>
      </c>
      <c r="Q50" s="439">
        <v>9903</v>
      </c>
      <c r="R50" s="439">
        <v>0</v>
      </c>
      <c r="S50" s="440">
        <v>0</v>
      </c>
      <c r="T50" s="441"/>
      <c r="U50" s="441">
        <v>36782</v>
      </c>
      <c r="V50" s="441"/>
      <c r="W50" s="441"/>
      <c r="X50" s="441"/>
      <c r="Y50" s="441"/>
      <c r="Z50" s="441">
        <f t="shared" si="4"/>
        <v>260996</v>
      </c>
      <c r="AA50" s="442">
        <v>263291</v>
      </c>
      <c r="AB50" s="443">
        <v>5</v>
      </c>
      <c r="AC50" s="444">
        <v>44224</v>
      </c>
      <c r="AD50" s="445">
        <v>44251</v>
      </c>
      <c r="AE50" s="442"/>
      <c r="AF50" s="446"/>
      <c r="AG50" s="447"/>
      <c r="AH50" s="445"/>
      <c r="AI50" s="442"/>
      <c r="AJ50" s="443"/>
      <c r="AK50" s="447"/>
      <c r="AL50" s="445"/>
      <c r="AM50" s="442"/>
      <c r="AN50" s="443"/>
      <c r="AO50" s="448"/>
      <c r="AP50" s="445"/>
      <c r="AQ50" s="442"/>
      <c r="AR50" s="443"/>
      <c r="AS50" s="448"/>
      <c r="AT50" s="445"/>
      <c r="AU50" s="449">
        <f t="shared" si="2"/>
        <v>263291</v>
      </c>
      <c r="AV50" s="457">
        <f t="shared" si="0"/>
        <v>2295</v>
      </c>
      <c r="AW50" s="451"/>
    </row>
    <row r="51" spans="2:49" s="418" customFormat="1" ht="24">
      <c r="B51" s="452">
        <f t="shared" si="3"/>
        <v>36</v>
      </c>
      <c r="C51" s="429" t="s">
        <v>39</v>
      </c>
      <c r="D51" s="430">
        <v>30074607</v>
      </c>
      <c r="E51" s="430"/>
      <c r="F51" s="431" t="s">
        <v>1644</v>
      </c>
      <c r="G51" s="432" t="s">
        <v>146</v>
      </c>
      <c r="H51" s="433" t="s">
        <v>1580</v>
      </c>
      <c r="I51" s="434" t="s">
        <v>1586</v>
      </c>
      <c r="J51" s="435" t="s">
        <v>44</v>
      </c>
      <c r="K51" s="454">
        <v>21796655</v>
      </c>
      <c r="L51" s="455">
        <v>19451899</v>
      </c>
      <c r="M51" s="456">
        <v>0</v>
      </c>
      <c r="N51" s="439">
        <v>0</v>
      </c>
      <c r="O51" s="439">
        <v>4200</v>
      </c>
      <c r="P51" s="439">
        <v>236528</v>
      </c>
      <c r="Q51" s="439">
        <v>12851</v>
      </c>
      <c r="R51" s="439">
        <v>59939</v>
      </c>
      <c r="S51" s="440">
        <v>82613</v>
      </c>
      <c r="T51" s="441">
        <v>72945</v>
      </c>
      <c r="U51" s="441">
        <v>9099</v>
      </c>
      <c r="V51" s="441">
        <v>10917</v>
      </c>
      <c r="W51" s="441"/>
      <c r="X51" s="441"/>
      <c r="Y51" s="441"/>
      <c r="Z51" s="441">
        <f t="shared" si="4"/>
        <v>489092</v>
      </c>
      <c r="AA51" s="442">
        <v>2344756</v>
      </c>
      <c r="AB51" s="443">
        <v>11</v>
      </c>
      <c r="AC51" s="444">
        <v>44237</v>
      </c>
      <c r="AD51" s="445">
        <v>44251</v>
      </c>
      <c r="AE51" s="442"/>
      <c r="AF51" s="446"/>
      <c r="AG51" s="447"/>
      <c r="AH51" s="445"/>
      <c r="AI51" s="442"/>
      <c r="AJ51" s="443"/>
      <c r="AK51" s="447"/>
      <c r="AL51" s="445"/>
      <c r="AM51" s="442"/>
      <c r="AN51" s="443"/>
      <c r="AO51" s="448"/>
      <c r="AP51" s="445"/>
      <c r="AQ51" s="442"/>
      <c r="AR51" s="443"/>
      <c r="AS51" s="448"/>
      <c r="AT51" s="445"/>
      <c r="AU51" s="449">
        <f t="shared" si="2"/>
        <v>2344756</v>
      </c>
      <c r="AV51" s="457">
        <f t="shared" si="0"/>
        <v>1855664</v>
      </c>
      <c r="AW51" s="451"/>
    </row>
    <row r="52" spans="2:49" s="418" customFormat="1">
      <c r="B52" s="452">
        <f t="shared" si="3"/>
        <v>37</v>
      </c>
      <c r="C52" s="429" t="s">
        <v>39</v>
      </c>
      <c r="D52" s="430">
        <v>30075290</v>
      </c>
      <c r="E52" s="430"/>
      <c r="F52" s="431" t="s">
        <v>1645</v>
      </c>
      <c r="G52" s="432" t="s">
        <v>146</v>
      </c>
      <c r="H52" s="433" t="s">
        <v>1580</v>
      </c>
      <c r="I52" s="434" t="s">
        <v>1607</v>
      </c>
      <c r="J52" s="435" t="s">
        <v>44</v>
      </c>
      <c r="K52" s="454">
        <v>19444262</v>
      </c>
      <c r="L52" s="455">
        <v>28920</v>
      </c>
      <c r="M52" s="456">
        <v>17241409</v>
      </c>
      <c r="N52" s="440">
        <v>0</v>
      </c>
      <c r="O52" s="440">
        <v>0</v>
      </c>
      <c r="P52" s="440">
        <v>0</v>
      </c>
      <c r="Q52" s="440">
        <v>0</v>
      </c>
      <c r="R52" s="440">
        <v>0</v>
      </c>
      <c r="S52" s="440">
        <v>0</v>
      </c>
      <c r="T52" s="441"/>
      <c r="U52" s="441"/>
      <c r="V52" s="441"/>
      <c r="W52" s="441"/>
      <c r="X52" s="441"/>
      <c r="Y52" s="441"/>
      <c r="Z52" s="441">
        <f t="shared" si="4"/>
        <v>0</v>
      </c>
      <c r="AA52" s="442">
        <v>2131793</v>
      </c>
      <c r="AB52" s="443">
        <v>15</v>
      </c>
      <c r="AC52" s="444">
        <v>44259</v>
      </c>
      <c r="AD52" s="445">
        <v>44274</v>
      </c>
      <c r="AE52" s="442">
        <v>31355</v>
      </c>
      <c r="AF52" s="446">
        <v>22</v>
      </c>
      <c r="AG52" s="447">
        <v>44301</v>
      </c>
      <c r="AH52" s="445">
        <v>44313</v>
      </c>
      <c r="AI52" s="442">
        <v>-1950000</v>
      </c>
      <c r="AJ52" s="443">
        <v>86</v>
      </c>
      <c r="AK52" s="447">
        <v>44421</v>
      </c>
      <c r="AL52" s="445">
        <v>44435</v>
      </c>
      <c r="AM52" s="442"/>
      <c r="AN52" s="443"/>
      <c r="AO52" s="448"/>
      <c r="AP52" s="445"/>
      <c r="AQ52" s="442"/>
      <c r="AR52" s="443"/>
      <c r="AS52" s="448"/>
      <c r="AT52" s="445"/>
      <c r="AU52" s="449">
        <f t="shared" si="2"/>
        <v>213148</v>
      </c>
      <c r="AV52" s="457">
        <f t="shared" si="0"/>
        <v>213148</v>
      </c>
      <c r="AW52" s="451"/>
    </row>
    <row r="53" spans="2:49" s="418" customFormat="1">
      <c r="B53" s="452">
        <f t="shared" si="3"/>
        <v>38</v>
      </c>
      <c r="C53" s="429" t="s">
        <v>39</v>
      </c>
      <c r="D53" s="430">
        <v>30076987</v>
      </c>
      <c r="E53" s="430"/>
      <c r="F53" s="431" t="s">
        <v>1646</v>
      </c>
      <c r="G53" s="432" t="s">
        <v>146</v>
      </c>
      <c r="H53" s="433" t="s">
        <v>1580</v>
      </c>
      <c r="I53" s="434" t="s">
        <v>1647</v>
      </c>
      <c r="J53" s="435" t="s">
        <v>44</v>
      </c>
      <c r="K53" s="454">
        <v>2687921</v>
      </c>
      <c r="L53" s="455">
        <v>2673375</v>
      </c>
      <c r="M53" s="456">
        <v>0</v>
      </c>
      <c r="N53" s="440">
        <v>0</v>
      </c>
      <c r="O53" s="440">
        <v>0</v>
      </c>
      <c r="P53" s="440">
        <v>0</v>
      </c>
      <c r="Q53" s="440">
        <v>0</v>
      </c>
      <c r="R53" s="440">
        <v>0</v>
      </c>
      <c r="S53" s="440">
        <v>0</v>
      </c>
      <c r="T53" s="441"/>
      <c r="U53" s="441"/>
      <c r="V53" s="441"/>
      <c r="W53" s="441"/>
      <c r="X53" s="441"/>
      <c r="Y53" s="441"/>
      <c r="Z53" s="441">
        <f t="shared" si="4"/>
        <v>0</v>
      </c>
      <c r="AA53" s="442">
        <v>14546</v>
      </c>
      <c r="AB53" s="443">
        <v>11</v>
      </c>
      <c r="AC53" s="444">
        <v>44237</v>
      </c>
      <c r="AD53" s="445">
        <v>44251</v>
      </c>
      <c r="AE53" s="442"/>
      <c r="AF53" s="446"/>
      <c r="AG53" s="447"/>
      <c r="AH53" s="445"/>
      <c r="AI53" s="442"/>
      <c r="AJ53" s="443"/>
      <c r="AK53" s="447"/>
      <c r="AL53" s="445"/>
      <c r="AM53" s="442"/>
      <c r="AN53" s="443"/>
      <c r="AO53" s="448"/>
      <c r="AP53" s="445"/>
      <c r="AQ53" s="442"/>
      <c r="AR53" s="443"/>
      <c r="AS53" s="448"/>
      <c r="AT53" s="445"/>
      <c r="AU53" s="449">
        <f t="shared" si="2"/>
        <v>14546</v>
      </c>
      <c r="AV53" s="457">
        <f t="shared" si="0"/>
        <v>14546</v>
      </c>
      <c r="AW53" s="451"/>
    </row>
    <row r="54" spans="2:49" s="418" customFormat="1" ht="24">
      <c r="B54" s="452">
        <f t="shared" si="3"/>
        <v>39</v>
      </c>
      <c r="C54" s="429" t="s">
        <v>39</v>
      </c>
      <c r="D54" s="430">
        <v>30077682</v>
      </c>
      <c r="E54" s="430"/>
      <c r="F54" s="431" t="s">
        <v>1648</v>
      </c>
      <c r="G54" s="432" t="s">
        <v>146</v>
      </c>
      <c r="H54" s="433" t="s">
        <v>1580</v>
      </c>
      <c r="I54" s="434" t="s">
        <v>1649</v>
      </c>
      <c r="J54" s="435" t="s">
        <v>44</v>
      </c>
      <c r="K54" s="454">
        <v>1018163</v>
      </c>
      <c r="L54" s="455">
        <v>1009456</v>
      </c>
      <c r="M54" s="456">
        <v>0</v>
      </c>
      <c r="N54" s="439">
        <v>0</v>
      </c>
      <c r="O54" s="439">
        <v>0</v>
      </c>
      <c r="P54" s="439">
        <v>0</v>
      </c>
      <c r="Q54" s="439">
        <v>8706</v>
      </c>
      <c r="R54" s="439">
        <v>0</v>
      </c>
      <c r="S54" s="440">
        <v>0</v>
      </c>
      <c r="T54" s="441"/>
      <c r="U54" s="441"/>
      <c r="V54" s="441"/>
      <c r="W54" s="441"/>
      <c r="X54" s="441"/>
      <c r="Y54" s="441"/>
      <c r="Z54" s="441">
        <f t="shared" si="4"/>
        <v>8706</v>
      </c>
      <c r="AA54" s="442">
        <v>8707</v>
      </c>
      <c r="AB54" s="443">
        <v>5</v>
      </c>
      <c r="AC54" s="444">
        <v>44224</v>
      </c>
      <c r="AD54" s="445">
        <v>44251</v>
      </c>
      <c r="AE54" s="442"/>
      <c r="AF54" s="446"/>
      <c r="AG54" s="447"/>
      <c r="AH54" s="445"/>
      <c r="AI54" s="442"/>
      <c r="AJ54" s="443"/>
      <c r="AK54" s="447"/>
      <c r="AL54" s="445"/>
      <c r="AM54" s="442"/>
      <c r="AN54" s="443"/>
      <c r="AO54" s="448"/>
      <c r="AP54" s="445"/>
      <c r="AQ54" s="442"/>
      <c r="AR54" s="443"/>
      <c r="AS54" s="448"/>
      <c r="AT54" s="445"/>
      <c r="AU54" s="449">
        <f t="shared" si="2"/>
        <v>8707</v>
      </c>
      <c r="AV54" s="457">
        <f t="shared" si="0"/>
        <v>1</v>
      </c>
      <c r="AW54" s="451"/>
    </row>
    <row r="55" spans="2:49" s="418" customFormat="1" ht="10.5" customHeight="1">
      <c r="B55" s="452">
        <f t="shared" si="3"/>
        <v>40</v>
      </c>
      <c r="C55" s="429" t="s">
        <v>39</v>
      </c>
      <c r="D55" s="430">
        <v>30077924</v>
      </c>
      <c r="E55" s="430"/>
      <c r="F55" s="431" t="s">
        <v>1650</v>
      </c>
      <c r="G55" s="432" t="s">
        <v>146</v>
      </c>
      <c r="H55" s="433" t="s">
        <v>1580</v>
      </c>
      <c r="I55" s="434" t="s">
        <v>1651</v>
      </c>
      <c r="J55" s="435" t="s">
        <v>44</v>
      </c>
      <c r="K55" s="454">
        <v>892259</v>
      </c>
      <c r="L55" s="455">
        <v>689639</v>
      </c>
      <c r="M55" s="456">
        <v>0</v>
      </c>
      <c r="N55" s="439">
        <v>0</v>
      </c>
      <c r="O55" s="439">
        <v>122888</v>
      </c>
      <c r="P55" s="439">
        <v>52019</v>
      </c>
      <c r="Q55" s="439">
        <v>21545</v>
      </c>
      <c r="R55" s="439">
        <v>0</v>
      </c>
      <c r="S55" s="440">
        <v>27313</v>
      </c>
      <c r="T55" s="441"/>
      <c r="U55" s="441">
        <v>843</v>
      </c>
      <c r="V55" s="441"/>
      <c r="W55" s="441"/>
      <c r="X55" s="441"/>
      <c r="Y55" s="441"/>
      <c r="Z55" s="441">
        <f t="shared" si="4"/>
        <v>224608</v>
      </c>
      <c r="AA55" s="442">
        <v>202620</v>
      </c>
      <c r="AB55" s="443">
        <v>5</v>
      </c>
      <c r="AC55" s="444">
        <v>44224</v>
      </c>
      <c r="AD55" s="445">
        <v>44251</v>
      </c>
      <c r="AE55" s="442">
        <v>21989</v>
      </c>
      <c r="AF55" s="446">
        <v>39</v>
      </c>
      <c r="AG55" s="447">
        <v>44334</v>
      </c>
      <c r="AH55" s="445">
        <v>44342</v>
      </c>
      <c r="AI55" s="442"/>
      <c r="AJ55" s="443"/>
      <c r="AK55" s="447"/>
      <c r="AL55" s="445"/>
      <c r="AM55" s="442"/>
      <c r="AN55" s="443"/>
      <c r="AO55" s="448"/>
      <c r="AP55" s="445"/>
      <c r="AQ55" s="442"/>
      <c r="AR55" s="443"/>
      <c r="AS55" s="448"/>
      <c r="AT55" s="445"/>
      <c r="AU55" s="449">
        <f t="shared" si="2"/>
        <v>224609</v>
      </c>
      <c r="AV55" s="457">
        <f t="shared" si="0"/>
        <v>1</v>
      </c>
      <c r="AW55" s="451"/>
    </row>
    <row r="56" spans="2:49" s="418" customFormat="1">
      <c r="B56" s="452">
        <f t="shared" si="3"/>
        <v>41</v>
      </c>
      <c r="C56" s="429" t="s">
        <v>39</v>
      </c>
      <c r="D56" s="430">
        <v>30079057</v>
      </c>
      <c r="E56" s="430"/>
      <c r="F56" s="431" t="s">
        <v>1652</v>
      </c>
      <c r="G56" s="432" t="s">
        <v>146</v>
      </c>
      <c r="H56" s="433" t="s">
        <v>1580</v>
      </c>
      <c r="I56" s="434" t="s">
        <v>1653</v>
      </c>
      <c r="J56" s="435" t="s">
        <v>44</v>
      </c>
      <c r="K56" s="454">
        <v>1341180</v>
      </c>
      <c r="L56" s="455">
        <v>849185</v>
      </c>
      <c r="M56" s="456">
        <v>2</v>
      </c>
      <c r="N56" s="439">
        <v>0</v>
      </c>
      <c r="O56" s="439">
        <v>188296</v>
      </c>
      <c r="P56" s="439">
        <v>85978</v>
      </c>
      <c r="Q56" s="439">
        <v>70618</v>
      </c>
      <c r="R56" s="439">
        <v>53916</v>
      </c>
      <c r="S56" s="440">
        <v>60407</v>
      </c>
      <c r="T56" s="441">
        <v>15055</v>
      </c>
      <c r="U56" s="441">
        <v>6248</v>
      </c>
      <c r="V56" s="441"/>
      <c r="W56" s="441"/>
      <c r="X56" s="441"/>
      <c r="Y56" s="441"/>
      <c r="Z56" s="441">
        <f t="shared" si="4"/>
        <v>480518</v>
      </c>
      <c r="AA56" s="442">
        <v>491993</v>
      </c>
      <c r="AB56" s="443">
        <v>5</v>
      </c>
      <c r="AC56" s="444">
        <v>44224</v>
      </c>
      <c r="AD56" s="445">
        <v>44251</v>
      </c>
      <c r="AE56" s="442"/>
      <c r="AF56" s="446"/>
      <c r="AG56" s="447"/>
      <c r="AH56" s="445"/>
      <c r="AI56" s="442"/>
      <c r="AJ56" s="443"/>
      <c r="AK56" s="447"/>
      <c r="AL56" s="445"/>
      <c r="AM56" s="442"/>
      <c r="AN56" s="443"/>
      <c r="AO56" s="448"/>
      <c r="AP56" s="445"/>
      <c r="AQ56" s="442"/>
      <c r="AR56" s="443"/>
      <c r="AS56" s="448"/>
      <c r="AT56" s="445"/>
      <c r="AU56" s="449">
        <f t="shared" si="2"/>
        <v>491993</v>
      </c>
      <c r="AV56" s="457">
        <f t="shared" si="0"/>
        <v>11475</v>
      </c>
      <c r="AW56" s="451"/>
    </row>
    <row r="57" spans="2:49" s="418" customFormat="1">
      <c r="B57" s="452">
        <f t="shared" si="3"/>
        <v>42</v>
      </c>
      <c r="C57" s="429" t="s">
        <v>39</v>
      </c>
      <c r="D57" s="430">
        <v>30080556</v>
      </c>
      <c r="E57" s="430"/>
      <c r="F57" s="431" t="s">
        <v>1654</v>
      </c>
      <c r="G57" s="432" t="s">
        <v>146</v>
      </c>
      <c r="H57" s="433" t="s">
        <v>1580</v>
      </c>
      <c r="I57" s="434" t="s">
        <v>1655</v>
      </c>
      <c r="J57" s="435" t="s">
        <v>52</v>
      </c>
      <c r="K57" s="454">
        <v>3596890</v>
      </c>
      <c r="L57" s="455">
        <v>0</v>
      </c>
      <c r="M57" s="456">
        <v>3285306</v>
      </c>
      <c r="N57" s="440">
        <v>0</v>
      </c>
      <c r="O57" s="440">
        <v>0</v>
      </c>
      <c r="P57" s="440">
        <v>0</v>
      </c>
      <c r="Q57" s="440">
        <v>0</v>
      </c>
      <c r="R57" s="440">
        <v>0</v>
      </c>
      <c r="S57" s="440">
        <v>3000</v>
      </c>
      <c r="T57" s="441">
        <v>1500</v>
      </c>
      <c r="U57" s="441">
        <v>1500</v>
      </c>
      <c r="V57" s="441">
        <v>3000</v>
      </c>
      <c r="W57" s="441"/>
      <c r="X57" s="441"/>
      <c r="Y57" s="441"/>
      <c r="Z57" s="441">
        <f t="shared" si="4"/>
        <v>9000</v>
      </c>
      <c r="AA57" s="442">
        <v>311550</v>
      </c>
      <c r="AB57" s="443">
        <v>3</v>
      </c>
      <c r="AC57" s="444">
        <v>44222</v>
      </c>
      <c r="AD57" s="445">
        <v>44225</v>
      </c>
      <c r="AE57" s="442">
        <v>500000</v>
      </c>
      <c r="AF57" s="446">
        <v>39</v>
      </c>
      <c r="AG57" s="447">
        <v>44334</v>
      </c>
      <c r="AH57" s="445">
        <v>44342</v>
      </c>
      <c r="AI57" s="442">
        <v>-200000</v>
      </c>
      <c r="AJ57" s="443">
        <v>86</v>
      </c>
      <c r="AK57" s="447">
        <v>44421</v>
      </c>
      <c r="AL57" s="445">
        <v>44435</v>
      </c>
      <c r="AM57" s="442"/>
      <c r="AN57" s="443"/>
      <c r="AO57" s="448"/>
      <c r="AP57" s="445"/>
      <c r="AQ57" s="442"/>
      <c r="AR57" s="443"/>
      <c r="AS57" s="448"/>
      <c r="AT57" s="445"/>
      <c r="AU57" s="449">
        <f t="shared" si="2"/>
        <v>611550</v>
      </c>
      <c r="AV57" s="457">
        <f t="shared" si="0"/>
        <v>602550</v>
      </c>
      <c r="AW57" s="451"/>
    </row>
    <row r="58" spans="2:49" s="418" customFormat="1">
      <c r="B58" s="452">
        <f t="shared" si="3"/>
        <v>43</v>
      </c>
      <c r="C58" s="429" t="s">
        <v>39</v>
      </c>
      <c r="D58" s="430">
        <v>30080581</v>
      </c>
      <c r="E58" s="430"/>
      <c r="F58" s="431" t="s">
        <v>1656</v>
      </c>
      <c r="G58" s="432" t="s">
        <v>158</v>
      </c>
      <c r="H58" s="433" t="s">
        <v>1580</v>
      </c>
      <c r="I58" s="434" t="s">
        <v>1630</v>
      </c>
      <c r="J58" s="435" t="s">
        <v>44</v>
      </c>
      <c r="K58" s="454">
        <v>55792</v>
      </c>
      <c r="L58" s="455">
        <v>34034</v>
      </c>
      <c r="M58" s="456">
        <v>0</v>
      </c>
      <c r="N58" s="440">
        <v>0</v>
      </c>
      <c r="O58" s="440">
        <v>0</v>
      </c>
      <c r="P58" s="440">
        <v>0</v>
      </c>
      <c r="Q58" s="440">
        <v>0</v>
      </c>
      <c r="R58" s="440">
        <v>0</v>
      </c>
      <c r="S58" s="440">
        <v>0</v>
      </c>
      <c r="T58" s="441"/>
      <c r="U58" s="441"/>
      <c r="V58" s="441"/>
      <c r="W58" s="441"/>
      <c r="X58" s="441"/>
      <c r="Y58" s="441"/>
      <c r="Z58" s="441">
        <f t="shared" si="4"/>
        <v>0</v>
      </c>
      <c r="AA58" s="442">
        <v>21758</v>
      </c>
      <c r="AB58" s="443">
        <v>5</v>
      </c>
      <c r="AC58" s="444">
        <v>44224</v>
      </c>
      <c r="AD58" s="445">
        <v>44251</v>
      </c>
      <c r="AE58" s="442"/>
      <c r="AF58" s="446"/>
      <c r="AG58" s="447"/>
      <c r="AH58" s="445"/>
      <c r="AI58" s="442"/>
      <c r="AJ58" s="443"/>
      <c r="AK58" s="447"/>
      <c r="AL58" s="445"/>
      <c r="AM58" s="442"/>
      <c r="AN58" s="443"/>
      <c r="AO58" s="448"/>
      <c r="AP58" s="445"/>
      <c r="AQ58" s="442"/>
      <c r="AR58" s="443"/>
      <c r="AS58" s="448"/>
      <c r="AT58" s="445"/>
      <c r="AU58" s="449">
        <f t="shared" si="2"/>
        <v>21758</v>
      </c>
      <c r="AV58" s="457">
        <f t="shared" si="0"/>
        <v>21758</v>
      </c>
      <c r="AW58" s="451"/>
    </row>
    <row r="59" spans="2:49" s="418" customFormat="1" ht="24">
      <c r="B59" s="452">
        <f t="shared" si="3"/>
        <v>44</v>
      </c>
      <c r="C59" s="429" t="s">
        <v>39</v>
      </c>
      <c r="D59" s="430">
        <v>30080600</v>
      </c>
      <c r="E59" s="430"/>
      <c r="F59" s="431" t="s">
        <v>1657</v>
      </c>
      <c r="G59" s="432" t="s">
        <v>146</v>
      </c>
      <c r="H59" s="433" t="s">
        <v>1583</v>
      </c>
      <c r="I59" s="434" t="s">
        <v>1601</v>
      </c>
      <c r="J59" s="435"/>
      <c r="K59" s="454">
        <v>8820259</v>
      </c>
      <c r="L59" s="455">
        <v>8764171</v>
      </c>
      <c r="M59" s="456">
        <v>0</v>
      </c>
      <c r="N59" s="440">
        <v>0</v>
      </c>
      <c r="O59" s="440">
        <v>0</v>
      </c>
      <c r="P59" s="440">
        <v>0</v>
      </c>
      <c r="Q59" s="440">
        <v>0</v>
      </c>
      <c r="R59" s="440">
        <v>0</v>
      </c>
      <c r="S59" s="440">
        <v>0</v>
      </c>
      <c r="T59" s="441"/>
      <c r="U59" s="441"/>
      <c r="V59" s="441"/>
      <c r="W59" s="441"/>
      <c r="X59" s="441"/>
      <c r="Y59" s="441"/>
      <c r="Z59" s="441">
        <f t="shared" si="4"/>
        <v>0</v>
      </c>
      <c r="AA59" s="442">
        <v>144</v>
      </c>
      <c r="AB59" s="443">
        <v>25</v>
      </c>
      <c r="AC59" s="444">
        <v>44314</v>
      </c>
      <c r="AD59" s="445">
        <v>44326</v>
      </c>
      <c r="AE59" s="442">
        <v>55944</v>
      </c>
      <c r="AF59" s="446">
        <v>86</v>
      </c>
      <c r="AG59" s="447">
        <v>44421</v>
      </c>
      <c r="AH59" s="445">
        <v>44435</v>
      </c>
      <c r="AI59" s="442"/>
      <c r="AJ59" s="443"/>
      <c r="AK59" s="447"/>
      <c r="AL59" s="445"/>
      <c r="AM59" s="442"/>
      <c r="AN59" s="443"/>
      <c r="AO59" s="448"/>
      <c r="AP59" s="445"/>
      <c r="AQ59" s="442"/>
      <c r="AR59" s="443"/>
      <c r="AS59" s="448"/>
      <c r="AT59" s="445"/>
      <c r="AU59" s="449">
        <f t="shared" si="2"/>
        <v>56088</v>
      </c>
      <c r="AV59" s="457">
        <f t="shared" si="0"/>
        <v>56088</v>
      </c>
      <c r="AW59" s="451"/>
    </row>
    <row r="60" spans="2:49" s="418" customFormat="1">
      <c r="B60" s="452">
        <f t="shared" si="3"/>
        <v>45</v>
      </c>
      <c r="C60" s="429" t="s">
        <v>39</v>
      </c>
      <c r="D60" s="430">
        <v>30080997</v>
      </c>
      <c r="E60" s="430"/>
      <c r="F60" s="431" t="s">
        <v>1658</v>
      </c>
      <c r="G60" s="432" t="s">
        <v>146</v>
      </c>
      <c r="H60" s="433" t="s">
        <v>1580</v>
      </c>
      <c r="I60" s="434" t="s">
        <v>1659</v>
      </c>
      <c r="J60" s="435" t="s">
        <v>44</v>
      </c>
      <c r="K60" s="454">
        <v>1097787</v>
      </c>
      <c r="L60" s="455">
        <v>1092453</v>
      </c>
      <c r="M60" s="456">
        <v>0</v>
      </c>
      <c r="N60" s="440">
        <v>0</v>
      </c>
      <c r="O60" s="440">
        <v>0</v>
      </c>
      <c r="P60" s="440">
        <v>0</v>
      </c>
      <c r="Q60" s="440">
        <v>0</v>
      </c>
      <c r="R60" s="440">
        <v>0</v>
      </c>
      <c r="S60" s="440">
        <v>0</v>
      </c>
      <c r="T60" s="441"/>
      <c r="U60" s="441"/>
      <c r="V60" s="441"/>
      <c r="W60" s="441"/>
      <c r="X60" s="441"/>
      <c r="Y60" s="441"/>
      <c r="Z60" s="441">
        <f t="shared" si="4"/>
        <v>0</v>
      </c>
      <c r="AA60" s="442">
        <v>5334</v>
      </c>
      <c r="AB60" s="443">
        <v>9</v>
      </c>
      <c r="AC60" s="444">
        <v>44232</v>
      </c>
      <c r="AD60" s="445">
        <v>44251</v>
      </c>
      <c r="AE60" s="442"/>
      <c r="AF60" s="446"/>
      <c r="AG60" s="447"/>
      <c r="AH60" s="445"/>
      <c r="AI60" s="442"/>
      <c r="AJ60" s="443"/>
      <c r="AK60" s="447"/>
      <c r="AL60" s="445"/>
      <c r="AM60" s="442"/>
      <c r="AN60" s="443"/>
      <c r="AO60" s="448"/>
      <c r="AP60" s="445"/>
      <c r="AQ60" s="442"/>
      <c r="AR60" s="443"/>
      <c r="AS60" s="448"/>
      <c r="AT60" s="445"/>
      <c r="AU60" s="449">
        <f t="shared" si="2"/>
        <v>5334</v>
      </c>
      <c r="AV60" s="457">
        <f t="shared" si="0"/>
        <v>5334</v>
      </c>
      <c r="AW60" s="451"/>
    </row>
    <row r="61" spans="2:49" s="418" customFormat="1">
      <c r="B61" s="452">
        <f t="shared" si="3"/>
        <v>46</v>
      </c>
      <c r="C61" s="429" t="s">
        <v>39</v>
      </c>
      <c r="D61" s="430">
        <v>30081030</v>
      </c>
      <c r="E61" s="430"/>
      <c r="F61" s="431" t="s">
        <v>1660</v>
      </c>
      <c r="G61" s="432" t="s">
        <v>146</v>
      </c>
      <c r="H61" s="433" t="s">
        <v>1580</v>
      </c>
      <c r="I61" s="434" t="s">
        <v>1661</v>
      </c>
      <c r="J61" s="435" t="s">
        <v>44</v>
      </c>
      <c r="K61" s="454">
        <v>5848986</v>
      </c>
      <c r="L61" s="455">
        <v>5617006</v>
      </c>
      <c r="M61" s="456">
        <v>3</v>
      </c>
      <c r="N61" s="440">
        <v>0</v>
      </c>
      <c r="O61" s="440">
        <v>91460</v>
      </c>
      <c r="P61" s="440">
        <v>1750</v>
      </c>
      <c r="Q61" s="440">
        <v>408</v>
      </c>
      <c r="R61" s="440">
        <v>0</v>
      </c>
      <c r="S61" s="440">
        <v>0</v>
      </c>
      <c r="T61" s="441"/>
      <c r="U61" s="441"/>
      <c r="V61" s="441"/>
      <c r="W61" s="441"/>
      <c r="X61" s="441"/>
      <c r="Y61" s="441"/>
      <c r="Z61" s="441">
        <f t="shared" si="4"/>
        <v>93618</v>
      </c>
      <c r="AA61" s="442">
        <v>219142</v>
      </c>
      <c r="AB61" s="443">
        <v>11</v>
      </c>
      <c r="AC61" s="444">
        <v>44237</v>
      </c>
      <c r="AD61" s="445">
        <v>44251</v>
      </c>
      <c r="AE61" s="442"/>
      <c r="AF61" s="446"/>
      <c r="AG61" s="447"/>
      <c r="AH61" s="445"/>
      <c r="AI61" s="442"/>
      <c r="AJ61" s="443"/>
      <c r="AK61" s="447"/>
      <c r="AL61" s="445"/>
      <c r="AM61" s="442"/>
      <c r="AN61" s="443"/>
      <c r="AO61" s="448"/>
      <c r="AP61" s="445"/>
      <c r="AQ61" s="442"/>
      <c r="AR61" s="443"/>
      <c r="AS61" s="448"/>
      <c r="AT61" s="445"/>
      <c r="AU61" s="449">
        <f t="shared" si="2"/>
        <v>219142</v>
      </c>
      <c r="AV61" s="457">
        <f t="shared" si="0"/>
        <v>125524</v>
      </c>
      <c r="AW61" s="451"/>
    </row>
    <row r="62" spans="2:49" s="418" customFormat="1">
      <c r="B62" s="452"/>
      <c r="C62" s="429"/>
      <c r="D62" s="430">
        <v>30081138</v>
      </c>
      <c r="E62" s="430"/>
      <c r="F62" s="431" t="s">
        <v>1662</v>
      </c>
      <c r="G62" s="432" t="s">
        <v>146</v>
      </c>
      <c r="H62" s="433" t="s">
        <v>1580</v>
      </c>
      <c r="I62" s="434" t="s">
        <v>1663</v>
      </c>
      <c r="J62" s="435" t="s">
        <v>44</v>
      </c>
      <c r="K62" s="454">
        <v>13540448</v>
      </c>
      <c r="L62" s="455">
        <v>11778256</v>
      </c>
      <c r="M62" s="456"/>
      <c r="N62" s="439">
        <v>0</v>
      </c>
      <c r="O62" s="439">
        <v>0</v>
      </c>
      <c r="P62" s="439">
        <v>643325</v>
      </c>
      <c r="Q62" s="439">
        <v>118820</v>
      </c>
      <c r="R62" s="439">
        <v>0</v>
      </c>
      <c r="S62" s="440">
        <v>212339</v>
      </c>
      <c r="T62" s="441"/>
      <c r="U62" s="441">
        <v>46985</v>
      </c>
      <c r="V62" s="441">
        <v>119393</v>
      </c>
      <c r="W62" s="441"/>
      <c r="X62" s="441"/>
      <c r="Y62" s="441"/>
      <c r="Z62" s="441">
        <f t="shared" si="4"/>
        <v>1140862</v>
      </c>
      <c r="AA62" s="442">
        <v>1762192</v>
      </c>
      <c r="AB62" s="443">
        <v>11</v>
      </c>
      <c r="AC62" s="444">
        <v>44237</v>
      </c>
      <c r="AD62" s="445">
        <v>44251</v>
      </c>
      <c r="AE62" s="442">
        <v>100000</v>
      </c>
      <c r="AF62" s="446">
        <v>15</v>
      </c>
      <c r="AG62" s="447">
        <v>44259</v>
      </c>
      <c r="AH62" s="445">
        <v>44274</v>
      </c>
      <c r="AI62" s="442"/>
      <c r="AJ62" s="443"/>
      <c r="AK62" s="447"/>
      <c r="AL62" s="445"/>
      <c r="AM62" s="442"/>
      <c r="AN62" s="443"/>
      <c r="AO62" s="448"/>
      <c r="AP62" s="445"/>
      <c r="AQ62" s="442"/>
      <c r="AR62" s="443"/>
      <c r="AS62" s="448"/>
      <c r="AT62" s="445"/>
      <c r="AU62" s="449">
        <f t="shared" si="2"/>
        <v>1862192</v>
      </c>
      <c r="AV62" s="457">
        <f t="shared" si="0"/>
        <v>721330</v>
      </c>
      <c r="AW62" s="451"/>
    </row>
    <row r="63" spans="2:49" s="418" customFormat="1">
      <c r="B63" s="452">
        <f>+B61+1</f>
        <v>47</v>
      </c>
      <c r="C63" s="429" t="s">
        <v>39</v>
      </c>
      <c r="D63" s="430">
        <v>30084192</v>
      </c>
      <c r="E63" s="430"/>
      <c r="F63" s="431" t="s">
        <v>1664</v>
      </c>
      <c r="G63" s="432"/>
      <c r="H63" s="433"/>
      <c r="I63" s="434"/>
      <c r="J63" s="435"/>
      <c r="K63" s="454"/>
      <c r="L63" s="455"/>
      <c r="M63" s="456"/>
      <c r="N63" s="439">
        <v>0</v>
      </c>
      <c r="O63" s="439">
        <v>0</v>
      </c>
      <c r="P63" s="439">
        <v>2000</v>
      </c>
      <c r="Q63" s="439">
        <v>0</v>
      </c>
      <c r="R63" s="439">
        <v>0</v>
      </c>
      <c r="S63" s="440">
        <v>0</v>
      </c>
      <c r="T63" s="441"/>
      <c r="U63" s="441"/>
      <c r="V63" s="441"/>
      <c r="W63" s="441"/>
      <c r="X63" s="441"/>
      <c r="Y63" s="441"/>
      <c r="Z63" s="441">
        <f t="shared" si="4"/>
        <v>2000</v>
      </c>
      <c r="AA63" s="442"/>
      <c r="AB63" s="443"/>
      <c r="AC63" s="444"/>
      <c r="AD63" s="445"/>
      <c r="AE63" s="442"/>
      <c r="AF63" s="446"/>
      <c r="AG63" s="447"/>
      <c r="AH63" s="445"/>
      <c r="AI63" s="442"/>
      <c r="AJ63" s="443"/>
      <c r="AK63" s="447"/>
      <c r="AL63" s="445"/>
      <c r="AM63" s="442"/>
      <c r="AN63" s="443"/>
      <c r="AO63" s="448"/>
      <c r="AP63" s="445"/>
      <c r="AQ63" s="442"/>
      <c r="AR63" s="443"/>
      <c r="AS63" s="448"/>
      <c r="AT63" s="445"/>
      <c r="AU63" s="449">
        <f t="shared" si="2"/>
        <v>0</v>
      </c>
      <c r="AV63" s="457">
        <f t="shared" si="0"/>
        <v>-2000</v>
      </c>
      <c r="AW63" s="451"/>
    </row>
    <row r="64" spans="2:49" s="418" customFormat="1">
      <c r="B64" s="452">
        <f t="shared" si="3"/>
        <v>48</v>
      </c>
      <c r="C64" s="429" t="s">
        <v>39</v>
      </c>
      <c r="D64" s="430">
        <v>30084193</v>
      </c>
      <c r="E64" s="430"/>
      <c r="F64" s="431" t="s">
        <v>1665</v>
      </c>
      <c r="G64" s="432" t="s">
        <v>146</v>
      </c>
      <c r="H64" s="433" t="s">
        <v>1580</v>
      </c>
      <c r="I64" s="434" t="s">
        <v>1581</v>
      </c>
      <c r="J64" s="435" t="s">
        <v>44</v>
      </c>
      <c r="K64" s="454">
        <v>1276741</v>
      </c>
      <c r="L64" s="455">
        <v>1012275</v>
      </c>
      <c r="M64" s="456">
        <v>0</v>
      </c>
      <c r="N64" s="439">
        <v>0</v>
      </c>
      <c r="O64" s="439">
        <v>92811</v>
      </c>
      <c r="P64" s="439">
        <v>112858</v>
      </c>
      <c r="Q64" s="439">
        <v>0</v>
      </c>
      <c r="R64" s="439">
        <v>0</v>
      </c>
      <c r="S64" s="440">
        <v>0</v>
      </c>
      <c r="T64" s="441"/>
      <c r="U64" s="441">
        <v>6926</v>
      </c>
      <c r="V64" s="441">
        <v>7043</v>
      </c>
      <c r="W64" s="441"/>
      <c r="X64" s="441"/>
      <c r="Y64" s="441"/>
      <c r="Z64" s="441">
        <f t="shared" si="4"/>
        <v>219638</v>
      </c>
      <c r="AA64" s="442">
        <v>226895</v>
      </c>
      <c r="AB64" s="443">
        <v>5</v>
      </c>
      <c r="AC64" s="444">
        <v>44224</v>
      </c>
      <c r="AD64" s="445">
        <v>44251</v>
      </c>
      <c r="AE64" s="442"/>
      <c r="AF64" s="446"/>
      <c r="AG64" s="447"/>
      <c r="AH64" s="445"/>
      <c r="AI64" s="442"/>
      <c r="AJ64" s="443"/>
      <c r="AK64" s="447"/>
      <c r="AL64" s="445"/>
      <c r="AM64" s="442"/>
      <c r="AN64" s="443"/>
      <c r="AO64" s="448"/>
      <c r="AP64" s="445"/>
      <c r="AQ64" s="442"/>
      <c r="AR64" s="443"/>
      <c r="AS64" s="448"/>
      <c r="AT64" s="445"/>
      <c r="AU64" s="449">
        <f t="shared" si="2"/>
        <v>226895</v>
      </c>
      <c r="AV64" s="457">
        <f t="shared" si="0"/>
        <v>7257</v>
      </c>
      <c r="AW64" s="451"/>
    </row>
    <row r="65" spans="2:49" s="418" customFormat="1" ht="24">
      <c r="B65" s="452">
        <f t="shared" si="3"/>
        <v>49</v>
      </c>
      <c r="C65" s="429" t="s">
        <v>39</v>
      </c>
      <c r="D65" s="430">
        <v>30084194</v>
      </c>
      <c r="E65" s="430"/>
      <c r="F65" s="431" t="s">
        <v>1666</v>
      </c>
      <c r="G65" s="432" t="s">
        <v>146</v>
      </c>
      <c r="H65" s="433" t="s">
        <v>1580</v>
      </c>
      <c r="I65" s="434" t="s">
        <v>1581</v>
      </c>
      <c r="J65" s="435" t="s">
        <v>44</v>
      </c>
      <c r="K65" s="454">
        <v>1046330</v>
      </c>
      <c r="L65" s="455">
        <v>224950</v>
      </c>
      <c r="M65" s="456">
        <v>2</v>
      </c>
      <c r="N65" s="439">
        <v>0</v>
      </c>
      <c r="O65" s="439">
        <v>139351</v>
      </c>
      <c r="P65" s="439">
        <v>219790</v>
      </c>
      <c r="Q65" s="439">
        <v>56551</v>
      </c>
      <c r="R65" s="439">
        <v>89305</v>
      </c>
      <c r="S65" s="440">
        <v>39927</v>
      </c>
      <c r="T65" s="441">
        <v>23692</v>
      </c>
      <c r="U65" s="441">
        <v>33295</v>
      </c>
      <c r="V65" s="441">
        <v>132926</v>
      </c>
      <c r="W65" s="441"/>
      <c r="X65" s="441"/>
      <c r="Y65" s="441"/>
      <c r="Z65" s="441">
        <f t="shared" si="4"/>
        <v>734837</v>
      </c>
      <c r="AA65" s="442">
        <v>682262</v>
      </c>
      <c r="AB65" s="443">
        <v>5</v>
      </c>
      <c r="AC65" s="444">
        <v>44224</v>
      </c>
      <c r="AD65" s="445">
        <v>44251</v>
      </c>
      <c r="AE65" s="442">
        <v>143561</v>
      </c>
      <c r="AF65" s="446">
        <v>86</v>
      </c>
      <c r="AG65" s="447">
        <v>44421</v>
      </c>
      <c r="AH65" s="445">
        <v>44435</v>
      </c>
      <c r="AI65" s="442"/>
      <c r="AJ65" s="443"/>
      <c r="AK65" s="447"/>
      <c r="AL65" s="445"/>
      <c r="AM65" s="442"/>
      <c r="AN65" s="443"/>
      <c r="AO65" s="448"/>
      <c r="AP65" s="445"/>
      <c r="AQ65" s="442"/>
      <c r="AR65" s="443"/>
      <c r="AS65" s="448"/>
      <c r="AT65" s="445"/>
      <c r="AU65" s="449">
        <f t="shared" si="2"/>
        <v>825823</v>
      </c>
      <c r="AV65" s="457">
        <f t="shared" si="0"/>
        <v>90986</v>
      </c>
      <c r="AW65" s="451"/>
    </row>
    <row r="66" spans="2:49" s="418" customFormat="1">
      <c r="B66" s="452">
        <f t="shared" si="3"/>
        <v>50</v>
      </c>
      <c r="C66" s="429" t="s">
        <v>39</v>
      </c>
      <c r="D66" s="430">
        <v>30084212</v>
      </c>
      <c r="E66" s="430"/>
      <c r="F66" s="431" t="s">
        <v>1667</v>
      </c>
      <c r="G66" s="432" t="s">
        <v>146</v>
      </c>
      <c r="H66" s="433" t="s">
        <v>1580</v>
      </c>
      <c r="I66" s="434" t="s">
        <v>1581</v>
      </c>
      <c r="J66" s="435" t="s">
        <v>44</v>
      </c>
      <c r="K66" s="454">
        <v>1806821</v>
      </c>
      <c r="L66" s="455">
        <v>562375</v>
      </c>
      <c r="M66" s="456">
        <v>2</v>
      </c>
      <c r="N66" s="439">
        <v>0</v>
      </c>
      <c r="O66" s="439">
        <v>259005</v>
      </c>
      <c r="P66" s="439">
        <v>98986</v>
      </c>
      <c r="Q66" s="439">
        <v>64152</v>
      </c>
      <c r="R66" s="439">
        <v>56231</v>
      </c>
      <c r="S66" s="440">
        <v>47818</v>
      </c>
      <c r="T66" s="441">
        <v>55947</v>
      </c>
      <c r="U66" s="441">
        <v>60705</v>
      </c>
      <c r="V66" s="441">
        <v>190630</v>
      </c>
      <c r="W66" s="441"/>
      <c r="X66" s="441"/>
      <c r="Y66" s="441"/>
      <c r="Z66" s="441">
        <f t="shared" si="4"/>
        <v>833474</v>
      </c>
      <c r="AA66" s="442">
        <v>954313</v>
      </c>
      <c r="AB66" s="443">
        <v>5</v>
      </c>
      <c r="AC66" s="444">
        <v>44224</v>
      </c>
      <c r="AD66" s="445">
        <v>44251</v>
      </c>
      <c r="AE66" s="442">
        <v>302510</v>
      </c>
      <c r="AF66" s="446">
        <v>86</v>
      </c>
      <c r="AG66" s="447">
        <v>44421</v>
      </c>
      <c r="AH66" s="445">
        <v>44435</v>
      </c>
      <c r="AI66" s="442"/>
      <c r="AJ66" s="443"/>
      <c r="AK66" s="447"/>
      <c r="AL66" s="445"/>
      <c r="AM66" s="442"/>
      <c r="AN66" s="443"/>
      <c r="AO66" s="448"/>
      <c r="AP66" s="445"/>
      <c r="AQ66" s="442"/>
      <c r="AR66" s="443"/>
      <c r="AS66" s="448"/>
      <c r="AT66" s="445"/>
      <c r="AU66" s="449">
        <f t="shared" si="2"/>
        <v>1256823</v>
      </c>
      <c r="AV66" s="457">
        <f t="shared" si="0"/>
        <v>423349</v>
      </c>
      <c r="AW66" s="451"/>
    </row>
    <row r="67" spans="2:49" s="418" customFormat="1">
      <c r="B67" s="452">
        <f t="shared" si="3"/>
        <v>51</v>
      </c>
      <c r="C67" s="429" t="s">
        <v>39</v>
      </c>
      <c r="D67" s="430">
        <v>30084551</v>
      </c>
      <c r="E67" s="430"/>
      <c r="F67" s="431" t="s">
        <v>1668</v>
      </c>
      <c r="G67" s="432" t="s">
        <v>146</v>
      </c>
      <c r="H67" s="433" t="s">
        <v>1580</v>
      </c>
      <c r="I67" s="434" t="s">
        <v>1584</v>
      </c>
      <c r="J67" s="435" t="s">
        <v>44</v>
      </c>
      <c r="K67" s="454">
        <v>5188085</v>
      </c>
      <c r="L67" s="455">
        <v>497530</v>
      </c>
      <c r="M67" s="456">
        <v>2967669</v>
      </c>
      <c r="N67" s="439">
        <v>0</v>
      </c>
      <c r="O67" s="439">
        <v>107216</v>
      </c>
      <c r="P67" s="439">
        <v>29128</v>
      </c>
      <c r="Q67" s="439">
        <v>349900</v>
      </c>
      <c r="R67" s="439">
        <v>178827</v>
      </c>
      <c r="S67" s="440">
        <v>230377</v>
      </c>
      <c r="T67" s="441">
        <v>259165</v>
      </c>
      <c r="U67" s="441">
        <v>101964</v>
      </c>
      <c r="V67" s="441">
        <v>185888</v>
      </c>
      <c r="W67" s="441"/>
      <c r="X67" s="441"/>
      <c r="Y67" s="441"/>
      <c r="Z67" s="441">
        <f t="shared" si="4"/>
        <v>1442465</v>
      </c>
      <c r="AA67" s="442">
        <v>1722802</v>
      </c>
      <c r="AB67" s="443">
        <v>11</v>
      </c>
      <c r="AC67" s="444">
        <v>44237</v>
      </c>
      <c r="AD67" s="445">
        <v>44251</v>
      </c>
      <c r="AE67" s="442">
        <v>500000</v>
      </c>
      <c r="AF67" s="446">
        <v>86</v>
      </c>
      <c r="AG67" s="447">
        <v>44421</v>
      </c>
      <c r="AH67" s="445">
        <v>44435</v>
      </c>
      <c r="AI67" s="442"/>
      <c r="AJ67" s="443"/>
      <c r="AK67" s="447"/>
      <c r="AL67" s="445"/>
      <c r="AM67" s="442"/>
      <c r="AN67" s="443"/>
      <c r="AO67" s="448"/>
      <c r="AP67" s="445"/>
      <c r="AQ67" s="442"/>
      <c r="AR67" s="443"/>
      <c r="AS67" s="448"/>
      <c r="AT67" s="445"/>
      <c r="AU67" s="449">
        <f t="shared" si="2"/>
        <v>2222802</v>
      </c>
      <c r="AV67" s="457">
        <f t="shared" si="0"/>
        <v>780337</v>
      </c>
      <c r="AW67" s="451"/>
    </row>
    <row r="68" spans="2:49" s="418" customFormat="1" ht="24">
      <c r="B68" s="452">
        <f t="shared" si="3"/>
        <v>52</v>
      </c>
      <c r="C68" s="429" t="s">
        <v>39</v>
      </c>
      <c r="D68" s="430">
        <v>30084956</v>
      </c>
      <c r="E68" s="430"/>
      <c r="F68" s="431" t="s">
        <v>1669</v>
      </c>
      <c r="G68" s="432" t="s">
        <v>51</v>
      </c>
      <c r="H68" s="433" t="s">
        <v>1583</v>
      </c>
      <c r="I68" s="434" t="s">
        <v>1655</v>
      </c>
      <c r="J68" s="435"/>
      <c r="K68" s="454">
        <v>1487944</v>
      </c>
      <c r="L68" s="455">
        <v>0</v>
      </c>
      <c r="M68" s="456">
        <v>1267944</v>
      </c>
      <c r="N68" s="439">
        <v>0</v>
      </c>
      <c r="O68" s="439">
        <v>0</v>
      </c>
      <c r="P68" s="439">
        <v>0</v>
      </c>
      <c r="Q68" s="439">
        <v>0</v>
      </c>
      <c r="R68" s="439">
        <v>0</v>
      </c>
      <c r="S68" s="440">
        <v>0</v>
      </c>
      <c r="T68" s="441"/>
      <c r="U68" s="441"/>
      <c r="V68" s="441"/>
      <c r="W68" s="441"/>
      <c r="X68" s="441"/>
      <c r="Y68" s="441"/>
      <c r="Z68" s="441">
        <f t="shared" si="4"/>
        <v>0</v>
      </c>
      <c r="AA68" s="442">
        <v>220000</v>
      </c>
      <c r="AB68" s="443">
        <v>50</v>
      </c>
      <c r="AC68" s="444">
        <v>44356</v>
      </c>
      <c r="AD68" s="445">
        <v>44377</v>
      </c>
      <c r="AE68" s="442">
        <v>-219998</v>
      </c>
      <c r="AF68" s="446">
        <v>86</v>
      </c>
      <c r="AG68" s="447">
        <v>44421</v>
      </c>
      <c r="AH68" s="445">
        <v>44435</v>
      </c>
      <c r="AI68" s="442"/>
      <c r="AJ68" s="443"/>
      <c r="AK68" s="447"/>
      <c r="AL68" s="445"/>
      <c r="AM68" s="442"/>
      <c r="AN68" s="443"/>
      <c r="AO68" s="448"/>
      <c r="AP68" s="445"/>
      <c r="AQ68" s="442"/>
      <c r="AR68" s="443"/>
      <c r="AS68" s="448"/>
      <c r="AT68" s="445"/>
      <c r="AU68" s="449">
        <f t="shared" si="2"/>
        <v>2</v>
      </c>
      <c r="AV68" s="457">
        <f t="shared" si="0"/>
        <v>2</v>
      </c>
      <c r="AW68" s="451"/>
    </row>
    <row r="69" spans="2:49" s="418" customFormat="1">
      <c r="B69" s="452">
        <f t="shared" si="3"/>
        <v>53</v>
      </c>
      <c r="C69" s="429" t="s">
        <v>39</v>
      </c>
      <c r="D69" s="430">
        <v>30085715</v>
      </c>
      <c r="E69" s="430"/>
      <c r="F69" s="431" t="s">
        <v>1670</v>
      </c>
      <c r="G69" s="432" t="s">
        <v>146</v>
      </c>
      <c r="H69" s="433" t="s">
        <v>1580</v>
      </c>
      <c r="I69" s="434" t="s">
        <v>1671</v>
      </c>
      <c r="J69" s="435" t="s">
        <v>52</v>
      </c>
      <c r="K69" s="454">
        <v>3120132</v>
      </c>
      <c r="L69" s="455">
        <v>9723</v>
      </c>
      <c r="M69" s="456">
        <v>2896197</v>
      </c>
      <c r="N69" s="439">
        <v>0</v>
      </c>
      <c r="O69" s="439">
        <v>0</v>
      </c>
      <c r="P69" s="439">
        <v>3165</v>
      </c>
      <c r="Q69" s="439">
        <v>0</v>
      </c>
      <c r="R69" s="439">
        <v>0</v>
      </c>
      <c r="S69" s="440">
        <v>0</v>
      </c>
      <c r="T69" s="441"/>
      <c r="U69" s="441"/>
      <c r="V69" s="441"/>
      <c r="W69" s="441"/>
      <c r="X69" s="441"/>
      <c r="Y69" s="441"/>
      <c r="Z69" s="441">
        <f t="shared" si="4"/>
        <v>3165</v>
      </c>
      <c r="AA69" s="442">
        <v>213168</v>
      </c>
      <c r="AB69" s="443">
        <v>3</v>
      </c>
      <c r="AC69" s="444">
        <v>44222</v>
      </c>
      <c r="AD69" s="445">
        <v>44225</v>
      </c>
      <c r="AE69" s="442"/>
      <c r="AF69" s="446"/>
      <c r="AG69" s="447"/>
      <c r="AH69" s="445"/>
      <c r="AI69" s="442"/>
      <c r="AJ69" s="443"/>
      <c r="AK69" s="447"/>
      <c r="AL69" s="445"/>
      <c r="AM69" s="442"/>
      <c r="AN69" s="443"/>
      <c r="AO69" s="448"/>
      <c r="AP69" s="445"/>
      <c r="AQ69" s="442"/>
      <c r="AR69" s="443"/>
      <c r="AS69" s="448"/>
      <c r="AT69" s="445"/>
      <c r="AU69" s="449">
        <f t="shared" si="2"/>
        <v>213168</v>
      </c>
      <c r="AV69" s="457">
        <f t="shared" si="0"/>
        <v>210003</v>
      </c>
      <c r="AW69" s="451"/>
    </row>
    <row r="70" spans="2:49" s="418" customFormat="1" ht="24">
      <c r="B70" s="452">
        <f t="shared" si="3"/>
        <v>54</v>
      </c>
      <c r="C70" s="429" t="s">
        <v>39</v>
      </c>
      <c r="D70" s="430">
        <v>30086068</v>
      </c>
      <c r="E70" s="430"/>
      <c r="F70" s="431" t="s">
        <v>1672</v>
      </c>
      <c r="G70" s="432" t="s">
        <v>146</v>
      </c>
      <c r="H70" s="433" t="s">
        <v>1580</v>
      </c>
      <c r="I70" s="434" t="s">
        <v>1592</v>
      </c>
      <c r="J70" s="435" t="s">
        <v>44</v>
      </c>
      <c r="K70" s="454">
        <v>3847756</v>
      </c>
      <c r="L70" s="455">
        <v>3823426</v>
      </c>
      <c r="M70" s="456">
        <v>0</v>
      </c>
      <c r="N70" s="440">
        <v>0</v>
      </c>
      <c r="O70" s="440">
        <v>0</v>
      </c>
      <c r="P70" s="440">
        <v>0</v>
      </c>
      <c r="Q70" s="440">
        <v>0</v>
      </c>
      <c r="R70" s="440">
        <v>0</v>
      </c>
      <c r="S70" s="440">
        <v>22118</v>
      </c>
      <c r="T70" s="441">
        <v>2212</v>
      </c>
      <c r="U70" s="441"/>
      <c r="V70" s="441"/>
      <c r="W70" s="441"/>
      <c r="X70" s="441"/>
      <c r="Y70" s="441"/>
      <c r="Z70" s="441">
        <f t="shared" si="4"/>
        <v>24330</v>
      </c>
      <c r="AA70" s="442">
        <v>24330</v>
      </c>
      <c r="AB70" s="443">
        <v>5</v>
      </c>
      <c r="AC70" s="444">
        <v>44224</v>
      </c>
      <c r="AD70" s="445">
        <v>44251</v>
      </c>
      <c r="AE70" s="442"/>
      <c r="AF70" s="446"/>
      <c r="AG70" s="447"/>
      <c r="AH70" s="445"/>
      <c r="AI70" s="442"/>
      <c r="AJ70" s="443"/>
      <c r="AK70" s="447"/>
      <c r="AL70" s="445"/>
      <c r="AM70" s="442"/>
      <c r="AN70" s="443"/>
      <c r="AO70" s="448"/>
      <c r="AP70" s="445"/>
      <c r="AQ70" s="442"/>
      <c r="AR70" s="443"/>
      <c r="AS70" s="448"/>
      <c r="AT70" s="445"/>
      <c r="AU70" s="449">
        <f t="shared" si="2"/>
        <v>24330</v>
      </c>
      <c r="AV70" s="457">
        <f t="shared" si="0"/>
        <v>0</v>
      </c>
      <c r="AW70" s="451"/>
    </row>
    <row r="71" spans="2:49" s="418" customFormat="1">
      <c r="B71" s="452">
        <f t="shared" si="3"/>
        <v>55</v>
      </c>
      <c r="C71" s="429" t="s">
        <v>39</v>
      </c>
      <c r="D71" s="430">
        <v>30087927</v>
      </c>
      <c r="E71" s="430"/>
      <c r="F71" s="431" t="s">
        <v>1673</v>
      </c>
      <c r="G71" s="432" t="s">
        <v>146</v>
      </c>
      <c r="H71" s="433" t="s">
        <v>1580</v>
      </c>
      <c r="I71" s="434" t="s">
        <v>1655</v>
      </c>
      <c r="J71" s="435" t="s">
        <v>44</v>
      </c>
      <c r="K71" s="454">
        <v>1406372</v>
      </c>
      <c r="L71" s="455">
        <v>1336666</v>
      </c>
      <c r="M71" s="456">
        <v>0</v>
      </c>
      <c r="N71" s="439">
        <v>0</v>
      </c>
      <c r="O71" s="439">
        <v>797</v>
      </c>
      <c r="P71" s="439">
        <v>4440</v>
      </c>
      <c r="Q71" s="439">
        <v>7946</v>
      </c>
      <c r="R71" s="439">
        <v>0</v>
      </c>
      <c r="S71" s="440">
        <v>0</v>
      </c>
      <c r="T71" s="441"/>
      <c r="U71" s="441"/>
      <c r="V71" s="441"/>
      <c r="W71" s="441"/>
      <c r="X71" s="441"/>
      <c r="Y71" s="441"/>
      <c r="Z71" s="441">
        <f t="shared" si="4"/>
        <v>13183</v>
      </c>
      <c r="AA71" s="442">
        <v>69706</v>
      </c>
      <c r="AB71" s="443">
        <v>11</v>
      </c>
      <c r="AC71" s="444">
        <v>44237</v>
      </c>
      <c r="AD71" s="445">
        <v>44251</v>
      </c>
      <c r="AE71" s="442">
        <v>50545</v>
      </c>
      <c r="AF71" s="446">
        <v>86</v>
      </c>
      <c r="AG71" s="447">
        <v>44421</v>
      </c>
      <c r="AH71" s="445">
        <v>44435</v>
      </c>
      <c r="AI71" s="442"/>
      <c r="AJ71" s="443"/>
      <c r="AK71" s="447"/>
      <c r="AL71" s="445"/>
      <c r="AM71" s="442"/>
      <c r="AN71" s="443"/>
      <c r="AO71" s="448"/>
      <c r="AP71" s="445"/>
      <c r="AQ71" s="442"/>
      <c r="AR71" s="443"/>
      <c r="AS71" s="448"/>
      <c r="AT71" s="445"/>
      <c r="AU71" s="449">
        <f t="shared" si="2"/>
        <v>120251</v>
      </c>
      <c r="AV71" s="457">
        <f t="shared" si="0"/>
        <v>107068</v>
      </c>
      <c r="AW71" s="451"/>
    </row>
    <row r="72" spans="2:49" s="418" customFormat="1" ht="24">
      <c r="B72" s="452">
        <f t="shared" si="3"/>
        <v>56</v>
      </c>
      <c r="C72" s="429" t="s">
        <v>39</v>
      </c>
      <c r="D72" s="430">
        <v>30091981</v>
      </c>
      <c r="E72" s="430"/>
      <c r="F72" s="431" t="s">
        <v>1674</v>
      </c>
      <c r="G72" s="432" t="s">
        <v>146</v>
      </c>
      <c r="H72" s="433" t="s">
        <v>1580</v>
      </c>
      <c r="I72" s="434" t="s">
        <v>1620</v>
      </c>
      <c r="J72" s="435" t="s">
        <v>52</v>
      </c>
      <c r="K72" s="454">
        <v>5790499</v>
      </c>
      <c r="L72" s="455">
        <v>0</v>
      </c>
      <c r="M72" s="456">
        <v>5354499</v>
      </c>
      <c r="N72" s="440">
        <v>0</v>
      </c>
      <c r="O72" s="440">
        <v>0</v>
      </c>
      <c r="P72" s="440">
        <v>0</v>
      </c>
      <c r="Q72" s="440">
        <v>0</v>
      </c>
      <c r="R72" s="440">
        <v>0</v>
      </c>
      <c r="S72" s="440">
        <v>0</v>
      </c>
      <c r="T72" s="441"/>
      <c r="U72" s="441"/>
      <c r="V72" s="441"/>
      <c r="W72" s="441"/>
      <c r="X72" s="441"/>
      <c r="Y72" s="441"/>
      <c r="Z72" s="441">
        <f t="shared" si="4"/>
        <v>0</v>
      </c>
      <c r="AA72" s="442">
        <v>2218008</v>
      </c>
      <c r="AB72" s="443">
        <v>5</v>
      </c>
      <c r="AC72" s="444">
        <v>44224</v>
      </c>
      <c r="AD72" s="445">
        <v>44251</v>
      </c>
      <c r="AE72" s="442">
        <v>-1214617</v>
      </c>
      <c r="AF72" s="446">
        <v>22</v>
      </c>
      <c r="AG72" s="447">
        <v>44301</v>
      </c>
      <c r="AH72" s="445">
        <v>44313</v>
      </c>
      <c r="AI72" s="442">
        <v>-267381</v>
      </c>
      <c r="AJ72" s="443">
        <v>50</v>
      </c>
      <c r="AK72" s="447">
        <v>44356</v>
      </c>
      <c r="AL72" s="445">
        <v>44377</v>
      </c>
      <c r="AM72" s="442"/>
      <c r="AN72" s="443"/>
      <c r="AO72" s="448"/>
      <c r="AP72" s="445"/>
      <c r="AQ72" s="442"/>
      <c r="AR72" s="443"/>
      <c r="AS72" s="448"/>
      <c r="AT72" s="445"/>
      <c r="AU72" s="449">
        <f t="shared" si="2"/>
        <v>736010</v>
      </c>
      <c r="AV72" s="457">
        <f t="shared" si="0"/>
        <v>736010</v>
      </c>
      <c r="AW72" s="451"/>
    </row>
    <row r="73" spans="2:49" s="418" customFormat="1">
      <c r="B73" s="452">
        <f t="shared" si="3"/>
        <v>57</v>
      </c>
      <c r="C73" s="429" t="s">
        <v>39</v>
      </c>
      <c r="D73" s="430">
        <v>30092176</v>
      </c>
      <c r="E73" s="430"/>
      <c r="F73" s="431" t="s">
        <v>1675</v>
      </c>
      <c r="G73" s="432" t="s">
        <v>146</v>
      </c>
      <c r="H73" s="433" t="s">
        <v>1580</v>
      </c>
      <c r="I73" s="434" t="s">
        <v>1676</v>
      </c>
      <c r="J73" s="435" t="s">
        <v>44</v>
      </c>
      <c r="K73" s="454">
        <v>3822417</v>
      </c>
      <c r="L73" s="455">
        <v>3815877</v>
      </c>
      <c r="M73" s="456">
        <v>0</v>
      </c>
      <c r="N73" s="440">
        <v>0</v>
      </c>
      <c r="O73" s="440">
        <v>0</v>
      </c>
      <c r="P73" s="440">
        <v>0</v>
      </c>
      <c r="Q73" s="440">
        <v>0</v>
      </c>
      <c r="R73" s="440">
        <v>0</v>
      </c>
      <c r="S73" s="440">
        <v>0</v>
      </c>
      <c r="T73" s="441"/>
      <c r="U73" s="441"/>
      <c r="V73" s="441"/>
      <c r="W73" s="441"/>
      <c r="X73" s="441"/>
      <c r="Y73" s="441"/>
      <c r="Z73" s="441">
        <f t="shared" si="4"/>
        <v>0</v>
      </c>
      <c r="AA73" s="442">
        <v>6540</v>
      </c>
      <c r="AB73" s="443">
        <v>11</v>
      </c>
      <c r="AC73" s="444">
        <v>44237</v>
      </c>
      <c r="AD73" s="445">
        <v>44251</v>
      </c>
      <c r="AE73" s="442"/>
      <c r="AF73" s="446"/>
      <c r="AG73" s="447"/>
      <c r="AH73" s="445"/>
      <c r="AI73" s="442"/>
      <c r="AJ73" s="443"/>
      <c r="AK73" s="447"/>
      <c r="AL73" s="445"/>
      <c r="AM73" s="442"/>
      <c r="AN73" s="443"/>
      <c r="AO73" s="448"/>
      <c r="AP73" s="445"/>
      <c r="AQ73" s="442"/>
      <c r="AR73" s="443"/>
      <c r="AS73" s="448"/>
      <c r="AT73" s="445"/>
      <c r="AU73" s="449">
        <f t="shared" si="2"/>
        <v>6540</v>
      </c>
      <c r="AV73" s="457">
        <f t="shared" si="0"/>
        <v>6540</v>
      </c>
      <c r="AW73" s="451"/>
    </row>
    <row r="74" spans="2:49" s="418" customFormat="1">
      <c r="B74" s="452">
        <f t="shared" si="3"/>
        <v>58</v>
      </c>
      <c r="C74" s="429" t="s">
        <v>39</v>
      </c>
      <c r="D74" s="430">
        <v>30093247</v>
      </c>
      <c r="E74" s="430"/>
      <c r="F74" s="431" t="s">
        <v>1677</v>
      </c>
      <c r="G74" s="432" t="s">
        <v>146</v>
      </c>
      <c r="H74" s="433" t="s">
        <v>1580</v>
      </c>
      <c r="I74" s="434" t="s">
        <v>1647</v>
      </c>
      <c r="J74" s="435" t="s">
        <v>44</v>
      </c>
      <c r="K74" s="454">
        <v>1263979</v>
      </c>
      <c r="L74" s="455">
        <v>1254912</v>
      </c>
      <c r="M74" s="456">
        <v>0</v>
      </c>
      <c r="N74" s="440">
        <v>0</v>
      </c>
      <c r="O74" s="440">
        <v>0</v>
      </c>
      <c r="P74" s="440">
        <v>0</v>
      </c>
      <c r="Q74" s="440">
        <v>0</v>
      </c>
      <c r="R74" s="440">
        <v>0</v>
      </c>
      <c r="S74" s="440">
        <v>0</v>
      </c>
      <c r="T74" s="441"/>
      <c r="U74" s="441"/>
      <c r="V74" s="441"/>
      <c r="W74" s="441"/>
      <c r="X74" s="441"/>
      <c r="Y74" s="441"/>
      <c r="Z74" s="441">
        <f t="shared" si="4"/>
        <v>0</v>
      </c>
      <c r="AA74" s="442">
        <v>9067</v>
      </c>
      <c r="AB74" s="443">
        <v>11</v>
      </c>
      <c r="AC74" s="444">
        <v>44237</v>
      </c>
      <c r="AD74" s="445">
        <v>44251</v>
      </c>
      <c r="AE74" s="442"/>
      <c r="AF74" s="446"/>
      <c r="AG74" s="447"/>
      <c r="AH74" s="445"/>
      <c r="AI74" s="442"/>
      <c r="AJ74" s="443"/>
      <c r="AK74" s="447"/>
      <c r="AL74" s="445"/>
      <c r="AM74" s="442"/>
      <c r="AN74" s="443"/>
      <c r="AO74" s="448"/>
      <c r="AP74" s="445"/>
      <c r="AQ74" s="442"/>
      <c r="AR74" s="443"/>
      <c r="AS74" s="448"/>
      <c r="AT74" s="445"/>
      <c r="AU74" s="449">
        <f t="shared" si="2"/>
        <v>9067</v>
      </c>
      <c r="AV74" s="457">
        <f t="shared" si="0"/>
        <v>9067</v>
      </c>
      <c r="AW74" s="451"/>
    </row>
    <row r="75" spans="2:49" s="418" customFormat="1">
      <c r="B75" s="452">
        <f t="shared" si="3"/>
        <v>59</v>
      </c>
      <c r="C75" s="429" t="s">
        <v>39</v>
      </c>
      <c r="D75" s="430">
        <v>30094632</v>
      </c>
      <c r="E75" s="430"/>
      <c r="F75" s="431" t="s">
        <v>1678</v>
      </c>
      <c r="G75" s="432" t="s">
        <v>146</v>
      </c>
      <c r="H75" s="433" t="s">
        <v>1580</v>
      </c>
      <c r="I75" s="434" t="s">
        <v>1679</v>
      </c>
      <c r="J75" s="435" t="s">
        <v>44</v>
      </c>
      <c r="K75" s="454">
        <v>1184615</v>
      </c>
      <c r="L75" s="455">
        <v>697345</v>
      </c>
      <c r="M75" s="456">
        <v>0</v>
      </c>
      <c r="N75" s="439">
        <v>0</v>
      </c>
      <c r="O75" s="439">
        <v>102827</v>
      </c>
      <c r="P75" s="439">
        <v>38485</v>
      </c>
      <c r="Q75" s="439">
        <v>39994</v>
      </c>
      <c r="R75" s="439">
        <v>0</v>
      </c>
      <c r="S75" s="440">
        <v>1837</v>
      </c>
      <c r="T75" s="441"/>
      <c r="U75" s="441">
        <v>1226</v>
      </c>
      <c r="V75" s="441">
        <v>30633</v>
      </c>
      <c r="W75" s="441"/>
      <c r="X75" s="441"/>
      <c r="Y75" s="441"/>
      <c r="Z75" s="441">
        <f t="shared" si="4"/>
        <v>215002</v>
      </c>
      <c r="AA75" s="442">
        <v>481109</v>
      </c>
      <c r="AB75" s="443">
        <v>5</v>
      </c>
      <c r="AC75" s="444">
        <v>44224</v>
      </c>
      <c r="AD75" s="445">
        <v>44251</v>
      </c>
      <c r="AE75" s="442">
        <v>330000</v>
      </c>
      <c r="AF75" s="446">
        <v>86</v>
      </c>
      <c r="AG75" s="447">
        <v>44421</v>
      </c>
      <c r="AH75" s="445">
        <v>44435</v>
      </c>
      <c r="AI75" s="442"/>
      <c r="AJ75" s="443"/>
      <c r="AK75" s="447"/>
      <c r="AL75" s="445"/>
      <c r="AM75" s="442"/>
      <c r="AN75" s="443"/>
      <c r="AO75" s="448"/>
      <c r="AP75" s="445"/>
      <c r="AQ75" s="442"/>
      <c r="AR75" s="443"/>
      <c r="AS75" s="448"/>
      <c r="AT75" s="445"/>
      <c r="AU75" s="449">
        <f t="shared" si="2"/>
        <v>811109</v>
      </c>
      <c r="AV75" s="457">
        <f t="shared" si="0"/>
        <v>596107</v>
      </c>
      <c r="AW75" s="451"/>
    </row>
    <row r="76" spans="2:49" s="418" customFormat="1">
      <c r="B76" s="452">
        <f t="shared" si="3"/>
        <v>60</v>
      </c>
      <c r="C76" s="429" t="s">
        <v>39</v>
      </c>
      <c r="D76" s="430">
        <v>30095197</v>
      </c>
      <c r="E76" s="430"/>
      <c r="F76" s="431" t="s">
        <v>1680</v>
      </c>
      <c r="G76" s="432" t="s">
        <v>146</v>
      </c>
      <c r="H76" s="433" t="s">
        <v>1580</v>
      </c>
      <c r="I76" s="434" t="s">
        <v>1624</v>
      </c>
      <c r="J76" s="435" t="s">
        <v>44</v>
      </c>
      <c r="K76" s="454">
        <v>56956382</v>
      </c>
      <c r="L76" s="455">
        <v>40969229</v>
      </c>
      <c r="M76" s="456">
        <v>0</v>
      </c>
      <c r="N76" s="439">
        <v>0</v>
      </c>
      <c r="O76" s="439">
        <v>0</v>
      </c>
      <c r="P76" s="439">
        <v>0</v>
      </c>
      <c r="Q76" s="439">
        <v>306638</v>
      </c>
      <c r="R76" s="439">
        <v>1023351</v>
      </c>
      <c r="S76" s="440">
        <v>1064178</v>
      </c>
      <c r="T76" s="441">
        <v>452455</v>
      </c>
      <c r="U76" s="441">
        <v>898051</v>
      </c>
      <c r="V76" s="441">
        <v>1198894</v>
      </c>
      <c r="W76" s="441"/>
      <c r="X76" s="441"/>
      <c r="Y76" s="441"/>
      <c r="Z76" s="441">
        <f t="shared" si="4"/>
        <v>4943567</v>
      </c>
      <c r="AA76" s="442">
        <v>3100000</v>
      </c>
      <c r="AB76" s="443">
        <v>9</v>
      </c>
      <c r="AC76" s="444">
        <v>44232</v>
      </c>
      <c r="AD76" s="445">
        <v>44251</v>
      </c>
      <c r="AE76" s="442">
        <v>3000000</v>
      </c>
      <c r="AF76" s="446">
        <v>86</v>
      </c>
      <c r="AG76" s="447">
        <v>44421</v>
      </c>
      <c r="AH76" s="445">
        <v>44435</v>
      </c>
      <c r="AI76" s="442"/>
      <c r="AJ76" s="443"/>
      <c r="AK76" s="447"/>
      <c r="AL76" s="445"/>
      <c r="AM76" s="442"/>
      <c r="AN76" s="443"/>
      <c r="AO76" s="448"/>
      <c r="AP76" s="445"/>
      <c r="AQ76" s="442"/>
      <c r="AR76" s="443"/>
      <c r="AS76" s="448"/>
      <c r="AT76" s="445"/>
      <c r="AU76" s="449">
        <f t="shared" si="2"/>
        <v>6100000</v>
      </c>
      <c r="AV76" s="457">
        <f t="shared" si="0"/>
        <v>1156433</v>
      </c>
      <c r="AW76" s="451"/>
    </row>
    <row r="77" spans="2:49" s="418" customFormat="1" ht="24">
      <c r="B77" s="452">
        <f t="shared" si="3"/>
        <v>61</v>
      </c>
      <c r="C77" s="429" t="s">
        <v>39</v>
      </c>
      <c r="D77" s="430">
        <v>30096015</v>
      </c>
      <c r="E77" s="430"/>
      <c r="F77" s="431" t="s">
        <v>1681</v>
      </c>
      <c r="G77" s="432" t="s">
        <v>146</v>
      </c>
      <c r="H77" s="433" t="s">
        <v>1583</v>
      </c>
      <c r="I77" s="434" t="s">
        <v>1605</v>
      </c>
      <c r="J77" s="435"/>
      <c r="K77" s="454">
        <v>1365471</v>
      </c>
      <c r="L77" s="455">
        <v>926941</v>
      </c>
      <c r="M77" s="456">
        <v>0</v>
      </c>
      <c r="N77" s="439">
        <v>0</v>
      </c>
      <c r="O77" s="439">
        <v>0</v>
      </c>
      <c r="P77" s="439">
        <v>0</v>
      </c>
      <c r="Q77" s="439">
        <v>0</v>
      </c>
      <c r="R77" s="439">
        <v>75660</v>
      </c>
      <c r="S77" s="440">
        <v>56642</v>
      </c>
      <c r="T77" s="441">
        <v>55536</v>
      </c>
      <c r="U77" s="441">
        <v>54746</v>
      </c>
      <c r="V77" s="441">
        <v>58995</v>
      </c>
      <c r="W77" s="441"/>
      <c r="X77" s="441"/>
      <c r="Y77" s="441"/>
      <c r="Z77" s="441">
        <f t="shared" si="4"/>
        <v>301579</v>
      </c>
      <c r="AA77" s="442">
        <v>448516</v>
      </c>
      <c r="AB77" s="443">
        <v>22</v>
      </c>
      <c r="AC77" s="444">
        <v>44301</v>
      </c>
      <c r="AD77" s="445">
        <v>44313</v>
      </c>
      <c r="AE77" s="442">
        <v>17051</v>
      </c>
      <c r="AF77" s="446">
        <v>39</v>
      </c>
      <c r="AG77" s="447">
        <v>44334</v>
      </c>
      <c r="AH77" s="445">
        <v>44342</v>
      </c>
      <c r="AI77" s="442"/>
      <c r="AJ77" s="443"/>
      <c r="AK77" s="447"/>
      <c r="AL77" s="445"/>
      <c r="AM77" s="442"/>
      <c r="AN77" s="443"/>
      <c r="AO77" s="448"/>
      <c r="AP77" s="445"/>
      <c r="AQ77" s="442"/>
      <c r="AR77" s="443"/>
      <c r="AS77" s="448"/>
      <c r="AT77" s="445"/>
      <c r="AU77" s="449">
        <f t="shared" si="2"/>
        <v>465567</v>
      </c>
      <c r="AV77" s="457">
        <f t="shared" si="0"/>
        <v>163988</v>
      </c>
      <c r="AW77" s="451"/>
    </row>
    <row r="78" spans="2:49" s="418" customFormat="1" ht="24">
      <c r="B78" s="452">
        <f t="shared" si="3"/>
        <v>62</v>
      </c>
      <c r="C78" s="429" t="s">
        <v>39</v>
      </c>
      <c r="D78" s="430">
        <v>30096109</v>
      </c>
      <c r="E78" s="430"/>
      <c r="F78" s="431" t="s">
        <v>1682</v>
      </c>
      <c r="G78" s="432" t="s">
        <v>146</v>
      </c>
      <c r="H78" s="433" t="s">
        <v>1583</v>
      </c>
      <c r="I78" s="434" t="s">
        <v>1683</v>
      </c>
      <c r="J78" s="435"/>
      <c r="K78" s="454">
        <v>3190996</v>
      </c>
      <c r="L78" s="455">
        <v>3157596</v>
      </c>
      <c r="M78" s="456">
        <v>0</v>
      </c>
      <c r="N78" s="440">
        <v>0</v>
      </c>
      <c r="O78" s="440">
        <v>0</v>
      </c>
      <c r="P78" s="440">
        <v>0</v>
      </c>
      <c r="Q78" s="440">
        <v>0</v>
      </c>
      <c r="R78" s="440">
        <v>0</v>
      </c>
      <c r="S78" s="440">
        <v>0</v>
      </c>
      <c r="T78" s="441"/>
      <c r="U78" s="441">
        <v>1530</v>
      </c>
      <c r="V78" s="441"/>
      <c r="W78" s="441"/>
      <c r="X78" s="441"/>
      <c r="Y78" s="441"/>
      <c r="Z78" s="441">
        <f t="shared" si="4"/>
        <v>1530</v>
      </c>
      <c r="AA78" s="442">
        <v>5101</v>
      </c>
      <c r="AB78" s="443">
        <v>25</v>
      </c>
      <c r="AC78" s="444">
        <v>44314</v>
      </c>
      <c r="AD78" s="445">
        <v>44326</v>
      </c>
      <c r="AE78" s="442"/>
      <c r="AF78" s="446"/>
      <c r="AG78" s="447"/>
      <c r="AH78" s="445"/>
      <c r="AI78" s="442"/>
      <c r="AJ78" s="443"/>
      <c r="AK78" s="447"/>
      <c r="AL78" s="445"/>
      <c r="AM78" s="442"/>
      <c r="AN78" s="443"/>
      <c r="AO78" s="448"/>
      <c r="AP78" s="445"/>
      <c r="AQ78" s="442"/>
      <c r="AR78" s="443"/>
      <c r="AS78" s="448"/>
      <c r="AT78" s="445"/>
      <c r="AU78" s="449">
        <f t="shared" si="2"/>
        <v>5101</v>
      </c>
      <c r="AV78" s="457">
        <f t="shared" si="0"/>
        <v>3571</v>
      </c>
      <c r="AW78" s="451"/>
    </row>
    <row r="79" spans="2:49" s="418" customFormat="1">
      <c r="B79" s="452">
        <f t="shared" si="3"/>
        <v>63</v>
      </c>
      <c r="C79" s="429" t="s">
        <v>39</v>
      </c>
      <c r="D79" s="430">
        <v>30096155</v>
      </c>
      <c r="E79" s="430"/>
      <c r="F79" s="431" t="s">
        <v>1684</v>
      </c>
      <c r="G79" s="432" t="s">
        <v>146</v>
      </c>
      <c r="H79" s="433" t="s">
        <v>1580</v>
      </c>
      <c r="I79" s="434" t="s">
        <v>1630</v>
      </c>
      <c r="J79" s="435" t="s">
        <v>44</v>
      </c>
      <c r="K79" s="454">
        <v>1317559</v>
      </c>
      <c r="L79" s="455">
        <v>1012275</v>
      </c>
      <c r="M79" s="456">
        <v>0</v>
      </c>
      <c r="N79" s="439">
        <v>0</v>
      </c>
      <c r="O79" s="439">
        <v>111092</v>
      </c>
      <c r="P79" s="439">
        <v>81079</v>
      </c>
      <c r="Q79" s="439">
        <v>49366</v>
      </c>
      <c r="R79" s="439">
        <v>34165</v>
      </c>
      <c r="S79" s="440">
        <v>8130</v>
      </c>
      <c r="T79" s="441">
        <v>5102</v>
      </c>
      <c r="U79" s="441">
        <v>9630</v>
      </c>
      <c r="V79" s="441"/>
      <c r="W79" s="441"/>
      <c r="X79" s="441"/>
      <c r="Y79" s="441"/>
      <c r="Z79" s="441">
        <f t="shared" si="4"/>
        <v>298564</v>
      </c>
      <c r="AA79" s="442">
        <v>298566</v>
      </c>
      <c r="AB79" s="443">
        <v>5</v>
      </c>
      <c r="AC79" s="444">
        <v>44224</v>
      </c>
      <c r="AD79" s="445">
        <v>44251</v>
      </c>
      <c r="AE79" s="442"/>
      <c r="AF79" s="446"/>
      <c r="AG79" s="447"/>
      <c r="AH79" s="445"/>
      <c r="AI79" s="442"/>
      <c r="AJ79" s="443"/>
      <c r="AK79" s="447"/>
      <c r="AL79" s="445"/>
      <c r="AM79" s="442"/>
      <c r="AN79" s="443"/>
      <c r="AO79" s="448"/>
      <c r="AP79" s="445"/>
      <c r="AQ79" s="442"/>
      <c r="AR79" s="443"/>
      <c r="AS79" s="448"/>
      <c r="AT79" s="445"/>
      <c r="AU79" s="449">
        <f t="shared" si="2"/>
        <v>298566</v>
      </c>
      <c r="AV79" s="457">
        <f t="shared" si="0"/>
        <v>2</v>
      </c>
      <c r="AW79" s="451"/>
    </row>
    <row r="80" spans="2:49" s="418" customFormat="1">
      <c r="B80" s="452">
        <f t="shared" si="3"/>
        <v>64</v>
      </c>
      <c r="C80" s="429" t="s">
        <v>39</v>
      </c>
      <c r="D80" s="430">
        <v>30096275</v>
      </c>
      <c r="E80" s="430"/>
      <c r="F80" s="431" t="s">
        <v>1685</v>
      </c>
      <c r="G80" s="432" t="s">
        <v>146</v>
      </c>
      <c r="H80" s="433" t="s">
        <v>1580</v>
      </c>
      <c r="I80" s="434" t="s">
        <v>1639</v>
      </c>
      <c r="J80" s="435" t="s">
        <v>44</v>
      </c>
      <c r="K80" s="454">
        <v>362900</v>
      </c>
      <c r="L80" s="455">
        <v>314285</v>
      </c>
      <c r="M80" s="456">
        <v>0</v>
      </c>
      <c r="N80" s="440">
        <v>0</v>
      </c>
      <c r="O80" s="440">
        <v>0</v>
      </c>
      <c r="P80" s="440">
        <v>0</v>
      </c>
      <c r="Q80" s="440">
        <v>0</v>
      </c>
      <c r="R80" s="440">
        <v>0</v>
      </c>
      <c r="S80" s="440">
        <v>0</v>
      </c>
      <c r="T80" s="441"/>
      <c r="U80" s="441"/>
      <c r="V80" s="441"/>
      <c r="W80" s="441"/>
      <c r="X80" s="441"/>
      <c r="Y80" s="441"/>
      <c r="Z80" s="441">
        <f t="shared" si="4"/>
        <v>0</v>
      </c>
      <c r="AA80" s="442">
        <v>1</v>
      </c>
      <c r="AB80" s="443">
        <v>9</v>
      </c>
      <c r="AC80" s="444">
        <v>44232</v>
      </c>
      <c r="AD80" s="445">
        <v>44251</v>
      </c>
      <c r="AE80" s="442"/>
      <c r="AF80" s="446"/>
      <c r="AG80" s="447"/>
      <c r="AH80" s="445"/>
      <c r="AI80" s="442"/>
      <c r="AJ80" s="443"/>
      <c r="AK80" s="447"/>
      <c r="AL80" s="445"/>
      <c r="AM80" s="442"/>
      <c r="AN80" s="443"/>
      <c r="AO80" s="448"/>
      <c r="AP80" s="445"/>
      <c r="AQ80" s="442"/>
      <c r="AR80" s="443"/>
      <c r="AS80" s="448"/>
      <c r="AT80" s="445"/>
      <c r="AU80" s="449">
        <f t="shared" si="2"/>
        <v>1</v>
      </c>
      <c r="AV80" s="457">
        <f t="shared" ref="AV80:AV143" si="5">AU80-Z80</f>
        <v>1</v>
      </c>
      <c r="AW80" s="451"/>
    </row>
    <row r="81" spans="2:49" s="418" customFormat="1">
      <c r="B81" s="452">
        <f t="shared" si="3"/>
        <v>65</v>
      </c>
      <c r="C81" s="429" t="s">
        <v>39</v>
      </c>
      <c r="D81" s="430">
        <v>30096407</v>
      </c>
      <c r="E81" s="430"/>
      <c r="F81" s="431" t="s">
        <v>1686</v>
      </c>
      <c r="G81" s="432" t="s">
        <v>146</v>
      </c>
      <c r="H81" s="433" t="s">
        <v>1580</v>
      </c>
      <c r="I81" s="434" t="s">
        <v>1687</v>
      </c>
      <c r="J81" s="435" t="s">
        <v>52</v>
      </c>
      <c r="K81" s="454">
        <v>571678</v>
      </c>
      <c r="L81" s="455">
        <v>0</v>
      </c>
      <c r="M81" s="456">
        <v>404816</v>
      </c>
      <c r="N81" s="440">
        <v>0</v>
      </c>
      <c r="O81" s="440">
        <v>0</v>
      </c>
      <c r="P81" s="440">
        <v>0</v>
      </c>
      <c r="Q81" s="440">
        <v>0</v>
      </c>
      <c r="R81" s="440">
        <v>0</v>
      </c>
      <c r="S81" s="440">
        <v>0</v>
      </c>
      <c r="T81" s="441">
        <v>6148</v>
      </c>
      <c r="U81" s="441"/>
      <c r="V81" s="441"/>
      <c r="W81" s="441"/>
      <c r="X81" s="441"/>
      <c r="Y81" s="441"/>
      <c r="Z81" s="441">
        <f t="shared" si="4"/>
        <v>6148</v>
      </c>
      <c r="AA81" s="442">
        <v>111002</v>
      </c>
      <c r="AB81" s="443">
        <v>15</v>
      </c>
      <c r="AC81" s="444">
        <v>44259</v>
      </c>
      <c r="AD81" s="445">
        <v>44274</v>
      </c>
      <c r="AE81" s="442">
        <v>5148</v>
      </c>
      <c r="AF81" s="446">
        <v>50</v>
      </c>
      <c r="AG81" s="447">
        <v>44356</v>
      </c>
      <c r="AH81" s="445">
        <v>44377</v>
      </c>
      <c r="AI81" s="442"/>
      <c r="AJ81" s="443"/>
      <c r="AK81" s="447"/>
      <c r="AL81" s="445"/>
      <c r="AM81" s="442"/>
      <c r="AN81" s="443"/>
      <c r="AO81" s="448"/>
      <c r="AP81" s="445"/>
      <c r="AQ81" s="442"/>
      <c r="AR81" s="443"/>
      <c r="AS81" s="448"/>
      <c r="AT81" s="445"/>
      <c r="AU81" s="449">
        <f t="shared" ref="AU81:AU144" si="6">(AA81+AE81+AI81+AM81+AQ81)</f>
        <v>116150</v>
      </c>
      <c r="AV81" s="457">
        <f t="shared" si="5"/>
        <v>110002</v>
      </c>
      <c r="AW81" s="451"/>
    </row>
    <row r="82" spans="2:49" s="418" customFormat="1" ht="24">
      <c r="B82" s="452">
        <f t="shared" ref="B82:B145" si="7">+B81+1</f>
        <v>66</v>
      </c>
      <c r="C82" s="429" t="s">
        <v>39</v>
      </c>
      <c r="D82" s="430">
        <v>30096781</v>
      </c>
      <c r="E82" s="430"/>
      <c r="F82" s="431" t="s">
        <v>1688</v>
      </c>
      <c r="G82" s="432" t="s">
        <v>158</v>
      </c>
      <c r="H82" s="433" t="s">
        <v>1580</v>
      </c>
      <c r="I82" s="434" t="s">
        <v>1689</v>
      </c>
      <c r="J82" s="435" t="s">
        <v>44</v>
      </c>
      <c r="K82" s="454">
        <v>50403</v>
      </c>
      <c r="L82" s="455">
        <v>23681</v>
      </c>
      <c r="M82" s="456">
        <v>0</v>
      </c>
      <c r="N82" s="440">
        <v>0</v>
      </c>
      <c r="O82" s="440">
        <v>0</v>
      </c>
      <c r="P82" s="440">
        <v>0</v>
      </c>
      <c r="Q82" s="440">
        <v>9475</v>
      </c>
      <c r="R82" s="440">
        <v>0</v>
      </c>
      <c r="S82" s="440">
        <v>0</v>
      </c>
      <c r="T82" s="441"/>
      <c r="U82" s="441"/>
      <c r="V82" s="441"/>
      <c r="W82" s="441"/>
      <c r="X82" s="441"/>
      <c r="Y82" s="441"/>
      <c r="Z82" s="441">
        <f t="shared" si="4"/>
        <v>9475</v>
      </c>
      <c r="AA82" s="442">
        <v>18950</v>
      </c>
      <c r="AB82" s="443">
        <v>5</v>
      </c>
      <c r="AC82" s="444">
        <v>44224</v>
      </c>
      <c r="AD82" s="445">
        <v>44251</v>
      </c>
      <c r="AE82" s="442"/>
      <c r="AF82" s="446"/>
      <c r="AG82" s="447"/>
      <c r="AH82" s="445"/>
      <c r="AI82" s="442"/>
      <c r="AJ82" s="443"/>
      <c r="AK82" s="447"/>
      <c r="AL82" s="445"/>
      <c r="AM82" s="442"/>
      <c r="AN82" s="443"/>
      <c r="AO82" s="448"/>
      <c r="AP82" s="445"/>
      <c r="AQ82" s="442"/>
      <c r="AR82" s="443"/>
      <c r="AS82" s="448"/>
      <c r="AT82" s="445"/>
      <c r="AU82" s="449">
        <f t="shared" si="6"/>
        <v>18950</v>
      </c>
      <c r="AV82" s="457">
        <f t="shared" si="5"/>
        <v>9475</v>
      </c>
      <c r="AW82" s="451"/>
    </row>
    <row r="83" spans="2:49" s="418" customFormat="1" ht="24">
      <c r="B83" s="452">
        <f t="shared" si="7"/>
        <v>67</v>
      </c>
      <c r="C83" s="429" t="s">
        <v>39</v>
      </c>
      <c r="D83" s="430">
        <v>30099207</v>
      </c>
      <c r="E83" s="430"/>
      <c r="F83" s="431" t="s">
        <v>1690</v>
      </c>
      <c r="G83" s="432" t="s">
        <v>146</v>
      </c>
      <c r="H83" s="433" t="s">
        <v>1583</v>
      </c>
      <c r="I83" s="434" t="s">
        <v>1610</v>
      </c>
      <c r="J83" s="435"/>
      <c r="K83" s="454">
        <v>6022451</v>
      </c>
      <c r="L83" s="455">
        <v>6009332</v>
      </c>
      <c r="M83" s="456">
        <v>0</v>
      </c>
      <c r="N83" s="440">
        <v>0</v>
      </c>
      <c r="O83" s="440">
        <v>0</v>
      </c>
      <c r="P83" s="440">
        <v>0</v>
      </c>
      <c r="Q83" s="440">
        <v>0</v>
      </c>
      <c r="R83" s="440">
        <v>0</v>
      </c>
      <c r="S83" s="440">
        <v>0</v>
      </c>
      <c r="T83" s="441"/>
      <c r="U83" s="441"/>
      <c r="V83" s="441"/>
      <c r="W83" s="441"/>
      <c r="X83" s="441"/>
      <c r="Y83" s="441"/>
      <c r="Z83" s="441">
        <f t="shared" si="4"/>
        <v>0</v>
      </c>
      <c r="AA83" s="442">
        <v>13119</v>
      </c>
      <c r="AB83" s="443">
        <v>25</v>
      </c>
      <c r="AC83" s="444">
        <v>44314</v>
      </c>
      <c r="AD83" s="445">
        <v>44326</v>
      </c>
      <c r="AE83" s="442"/>
      <c r="AF83" s="446"/>
      <c r="AG83" s="447"/>
      <c r="AH83" s="445"/>
      <c r="AI83" s="442"/>
      <c r="AJ83" s="443"/>
      <c r="AK83" s="447"/>
      <c r="AL83" s="445"/>
      <c r="AM83" s="442"/>
      <c r="AN83" s="443"/>
      <c r="AO83" s="448"/>
      <c r="AP83" s="445"/>
      <c r="AQ83" s="442"/>
      <c r="AR83" s="443"/>
      <c r="AS83" s="448"/>
      <c r="AT83" s="445"/>
      <c r="AU83" s="449">
        <f t="shared" si="6"/>
        <v>13119</v>
      </c>
      <c r="AV83" s="457">
        <f t="shared" si="5"/>
        <v>13119</v>
      </c>
      <c r="AW83" s="451"/>
    </row>
    <row r="84" spans="2:49" s="418" customFormat="1">
      <c r="B84" s="452">
        <f t="shared" si="7"/>
        <v>68</v>
      </c>
      <c r="C84" s="429" t="s">
        <v>39</v>
      </c>
      <c r="D84" s="430">
        <v>30100340</v>
      </c>
      <c r="E84" s="430"/>
      <c r="F84" s="431" t="s">
        <v>1691</v>
      </c>
      <c r="G84" s="432" t="s">
        <v>158</v>
      </c>
      <c r="H84" s="433" t="s">
        <v>1580</v>
      </c>
      <c r="I84" s="434" t="s">
        <v>1581</v>
      </c>
      <c r="J84" s="435" t="s">
        <v>44</v>
      </c>
      <c r="K84" s="454">
        <v>37675</v>
      </c>
      <c r="L84" s="455">
        <v>13377</v>
      </c>
      <c r="M84" s="456">
        <v>1</v>
      </c>
      <c r="N84" s="440">
        <v>0</v>
      </c>
      <c r="O84" s="440">
        <v>0</v>
      </c>
      <c r="P84" s="440">
        <v>0</v>
      </c>
      <c r="Q84" s="440">
        <v>0</v>
      </c>
      <c r="R84" s="440">
        <v>7476</v>
      </c>
      <c r="S84" s="440">
        <v>0</v>
      </c>
      <c r="T84" s="441"/>
      <c r="U84" s="441"/>
      <c r="V84" s="441"/>
      <c r="W84" s="441"/>
      <c r="X84" s="441"/>
      <c r="Y84" s="441"/>
      <c r="Z84" s="441">
        <f t="shared" si="4"/>
        <v>7476</v>
      </c>
      <c r="AA84" s="442">
        <v>24297</v>
      </c>
      <c r="AB84" s="443">
        <v>5</v>
      </c>
      <c r="AC84" s="444">
        <v>44224</v>
      </c>
      <c r="AD84" s="445">
        <v>44251</v>
      </c>
      <c r="AE84" s="442">
        <v>-8409</v>
      </c>
      <c r="AF84" s="446">
        <v>50</v>
      </c>
      <c r="AG84" s="447">
        <v>44356</v>
      </c>
      <c r="AH84" s="445">
        <v>44377</v>
      </c>
      <c r="AI84" s="442"/>
      <c r="AJ84" s="443"/>
      <c r="AK84" s="447"/>
      <c r="AL84" s="445"/>
      <c r="AM84" s="442"/>
      <c r="AN84" s="443"/>
      <c r="AO84" s="448"/>
      <c r="AP84" s="445"/>
      <c r="AQ84" s="442"/>
      <c r="AR84" s="443"/>
      <c r="AS84" s="448"/>
      <c r="AT84" s="445"/>
      <c r="AU84" s="449">
        <f t="shared" si="6"/>
        <v>15888</v>
      </c>
      <c r="AV84" s="457">
        <f t="shared" si="5"/>
        <v>8412</v>
      </c>
      <c r="AW84" s="451"/>
    </row>
    <row r="85" spans="2:49" s="418" customFormat="1">
      <c r="B85" s="452">
        <f t="shared" si="7"/>
        <v>69</v>
      </c>
      <c r="C85" s="429" t="s">
        <v>39</v>
      </c>
      <c r="D85" s="430">
        <v>30100364</v>
      </c>
      <c r="E85" s="430"/>
      <c r="F85" s="431" t="s">
        <v>1692</v>
      </c>
      <c r="G85" s="432" t="s">
        <v>146</v>
      </c>
      <c r="H85" s="433" t="s">
        <v>1580</v>
      </c>
      <c r="I85" s="434" t="s">
        <v>1581</v>
      </c>
      <c r="J85" s="435" t="s">
        <v>44</v>
      </c>
      <c r="K85" s="454">
        <v>1102742</v>
      </c>
      <c r="L85" s="455">
        <v>763705</v>
      </c>
      <c r="M85" s="456">
        <v>0</v>
      </c>
      <c r="N85" s="439">
        <v>0</v>
      </c>
      <c r="O85" s="439">
        <v>70155</v>
      </c>
      <c r="P85" s="439">
        <v>162216</v>
      </c>
      <c r="Q85" s="439">
        <v>0</v>
      </c>
      <c r="R85" s="439">
        <v>0</v>
      </c>
      <c r="S85" s="440">
        <v>94584</v>
      </c>
      <c r="T85" s="441">
        <v>4619</v>
      </c>
      <c r="U85" s="441"/>
      <c r="V85" s="441"/>
      <c r="W85" s="441"/>
      <c r="X85" s="441"/>
      <c r="Y85" s="441"/>
      <c r="Z85" s="441">
        <f t="shared" si="4"/>
        <v>331574</v>
      </c>
      <c r="AA85" s="442">
        <v>233736</v>
      </c>
      <c r="AB85" s="443">
        <v>5</v>
      </c>
      <c r="AC85" s="444">
        <v>44224</v>
      </c>
      <c r="AD85" s="445">
        <v>44251</v>
      </c>
      <c r="AE85" s="442">
        <v>97841</v>
      </c>
      <c r="AF85" s="446">
        <v>39</v>
      </c>
      <c r="AG85" s="447">
        <v>44334</v>
      </c>
      <c r="AH85" s="445">
        <v>44342</v>
      </c>
      <c r="AI85" s="442"/>
      <c r="AJ85" s="443"/>
      <c r="AK85" s="447"/>
      <c r="AL85" s="445"/>
      <c r="AM85" s="442"/>
      <c r="AN85" s="443"/>
      <c r="AO85" s="448"/>
      <c r="AP85" s="445"/>
      <c r="AQ85" s="442"/>
      <c r="AR85" s="443"/>
      <c r="AS85" s="448"/>
      <c r="AT85" s="445"/>
      <c r="AU85" s="449">
        <f t="shared" si="6"/>
        <v>331577</v>
      </c>
      <c r="AV85" s="457">
        <f t="shared" si="5"/>
        <v>3</v>
      </c>
      <c r="AW85" s="451"/>
    </row>
    <row r="86" spans="2:49" s="418" customFormat="1">
      <c r="B86" s="452">
        <f t="shared" si="7"/>
        <v>70</v>
      </c>
      <c r="C86" s="429" t="s">
        <v>39</v>
      </c>
      <c r="D86" s="430">
        <v>30102680</v>
      </c>
      <c r="E86" s="430"/>
      <c r="F86" s="431" t="s">
        <v>1693</v>
      </c>
      <c r="G86" s="432" t="s">
        <v>146</v>
      </c>
      <c r="H86" s="433" t="s">
        <v>1580</v>
      </c>
      <c r="I86" s="434" t="s">
        <v>1628</v>
      </c>
      <c r="J86" s="435" t="s">
        <v>52</v>
      </c>
      <c r="K86" s="454">
        <v>1124198</v>
      </c>
      <c r="L86" s="455">
        <v>0</v>
      </c>
      <c r="M86" s="456">
        <v>93194</v>
      </c>
      <c r="N86" s="439">
        <v>0</v>
      </c>
      <c r="O86" s="439">
        <v>0</v>
      </c>
      <c r="P86" s="439">
        <v>300041</v>
      </c>
      <c r="Q86" s="439">
        <v>134229</v>
      </c>
      <c r="R86" s="439">
        <v>120171</v>
      </c>
      <c r="S86" s="440">
        <v>98169</v>
      </c>
      <c r="T86" s="441">
        <v>106680</v>
      </c>
      <c r="U86" s="441">
        <v>54797</v>
      </c>
      <c r="V86" s="441">
        <v>60210</v>
      </c>
      <c r="W86" s="441"/>
      <c r="X86" s="441"/>
      <c r="Y86" s="441"/>
      <c r="Z86" s="441">
        <f t="shared" si="4"/>
        <v>874297</v>
      </c>
      <c r="AA86" s="442">
        <v>1031004</v>
      </c>
      <c r="AB86" s="443">
        <v>5</v>
      </c>
      <c r="AC86" s="444">
        <v>44224</v>
      </c>
      <c r="AD86" s="445">
        <v>44251</v>
      </c>
      <c r="AE86" s="442"/>
      <c r="AF86" s="446"/>
      <c r="AG86" s="447"/>
      <c r="AH86" s="445"/>
      <c r="AI86" s="442"/>
      <c r="AJ86" s="443"/>
      <c r="AK86" s="447"/>
      <c r="AL86" s="445"/>
      <c r="AM86" s="442"/>
      <c r="AN86" s="443"/>
      <c r="AO86" s="448"/>
      <c r="AP86" s="445"/>
      <c r="AQ86" s="442"/>
      <c r="AR86" s="443"/>
      <c r="AS86" s="448"/>
      <c r="AT86" s="445"/>
      <c r="AU86" s="449">
        <f t="shared" si="6"/>
        <v>1031004</v>
      </c>
      <c r="AV86" s="457">
        <f t="shared" si="5"/>
        <v>156707</v>
      </c>
      <c r="AW86" s="451"/>
    </row>
    <row r="87" spans="2:49" s="418" customFormat="1" ht="24">
      <c r="B87" s="452">
        <f t="shared" si="7"/>
        <v>71</v>
      </c>
      <c r="C87" s="429" t="s">
        <v>39</v>
      </c>
      <c r="D87" s="430">
        <v>30102693</v>
      </c>
      <c r="E87" s="430"/>
      <c r="F87" s="431" t="s">
        <v>1694</v>
      </c>
      <c r="G87" s="432" t="s">
        <v>146</v>
      </c>
      <c r="H87" s="433" t="s">
        <v>1583</v>
      </c>
      <c r="I87" s="434" t="s">
        <v>1695</v>
      </c>
      <c r="J87" s="435"/>
      <c r="K87" s="454">
        <v>1663411</v>
      </c>
      <c r="L87" s="455">
        <v>0</v>
      </c>
      <c r="M87" s="456">
        <v>1443411</v>
      </c>
      <c r="N87" s="439">
        <v>0</v>
      </c>
      <c r="O87" s="439">
        <v>0</v>
      </c>
      <c r="P87" s="439">
        <v>0</v>
      </c>
      <c r="Q87" s="439">
        <v>0</v>
      </c>
      <c r="R87" s="439">
        <v>0</v>
      </c>
      <c r="S87" s="440">
        <v>0</v>
      </c>
      <c r="T87" s="441"/>
      <c r="U87" s="441"/>
      <c r="V87" s="441"/>
      <c r="W87" s="441"/>
      <c r="X87" s="441"/>
      <c r="Y87" s="441"/>
      <c r="Z87" s="441">
        <f t="shared" si="4"/>
        <v>0</v>
      </c>
      <c r="AA87" s="442">
        <v>165000</v>
      </c>
      <c r="AB87" s="443">
        <v>39</v>
      </c>
      <c r="AC87" s="444">
        <v>44334</v>
      </c>
      <c r="AD87" s="445">
        <v>44342</v>
      </c>
      <c r="AE87" s="442">
        <v>55000</v>
      </c>
      <c r="AF87" s="446">
        <v>50</v>
      </c>
      <c r="AG87" s="447">
        <v>44356</v>
      </c>
      <c r="AH87" s="445">
        <v>44377</v>
      </c>
      <c r="AI87" s="442">
        <v>-165000</v>
      </c>
      <c r="AJ87" s="443">
        <v>86</v>
      </c>
      <c r="AK87" s="447">
        <v>44421</v>
      </c>
      <c r="AL87" s="445">
        <v>44435</v>
      </c>
      <c r="AM87" s="442"/>
      <c r="AN87" s="443"/>
      <c r="AO87" s="448"/>
      <c r="AP87" s="445"/>
      <c r="AQ87" s="442"/>
      <c r="AR87" s="443"/>
      <c r="AS87" s="448"/>
      <c r="AT87" s="445"/>
      <c r="AU87" s="449">
        <f t="shared" si="6"/>
        <v>55000</v>
      </c>
      <c r="AV87" s="457">
        <f t="shared" si="5"/>
        <v>55000</v>
      </c>
      <c r="AW87" s="451"/>
    </row>
    <row r="88" spans="2:49" s="418" customFormat="1">
      <c r="B88" s="452">
        <f t="shared" si="7"/>
        <v>72</v>
      </c>
      <c r="C88" s="429" t="s">
        <v>39</v>
      </c>
      <c r="D88" s="430">
        <v>30103883</v>
      </c>
      <c r="E88" s="430"/>
      <c r="F88" s="431" t="s">
        <v>1696</v>
      </c>
      <c r="G88" s="432" t="s">
        <v>146</v>
      </c>
      <c r="H88" s="433" t="s">
        <v>1580</v>
      </c>
      <c r="I88" s="434" t="s">
        <v>1659</v>
      </c>
      <c r="J88" s="435" t="s">
        <v>44</v>
      </c>
      <c r="K88" s="454">
        <v>4094343</v>
      </c>
      <c r="L88" s="455">
        <v>25466</v>
      </c>
      <c r="M88" s="456">
        <v>3788454</v>
      </c>
      <c r="N88" s="440">
        <v>0</v>
      </c>
      <c r="O88" s="440">
        <v>0</v>
      </c>
      <c r="P88" s="440">
        <v>0</v>
      </c>
      <c r="Q88" s="440">
        <v>0</v>
      </c>
      <c r="R88" s="440">
        <v>0</v>
      </c>
      <c r="S88" s="440">
        <v>0</v>
      </c>
      <c r="T88" s="441"/>
      <c r="U88" s="441"/>
      <c r="V88" s="441"/>
      <c r="W88" s="441"/>
      <c r="X88" s="441"/>
      <c r="Y88" s="441"/>
      <c r="Z88" s="441">
        <f t="shared" si="4"/>
        <v>0</v>
      </c>
      <c r="AA88" s="442">
        <v>260002</v>
      </c>
      <c r="AB88" s="443">
        <v>3</v>
      </c>
      <c r="AC88" s="444">
        <v>44222</v>
      </c>
      <c r="AD88" s="445">
        <v>44225</v>
      </c>
      <c r="AE88" s="442"/>
      <c r="AF88" s="446"/>
      <c r="AG88" s="447"/>
      <c r="AH88" s="445"/>
      <c r="AI88" s="442">
        <v>-258000</v>
      </c>
      <c r="AJ88" s="443">
        <v>86</v>
      </c>
      <c r="AK88" s="447">
        <v>44421</v>
      </c>
      <c r="AL88" s="445">
        <v>44435</v>
      </c>
      <c r="AM88" s="442"/>
      <c r="AN88" s="443"/>
      <c r="AO88" s="448"/>
      <c r="AP88" s="445"/>
      <c r="AQ88" s="442"/>
      <c r="AR88" s="443"/>
      <c r="AS88" s="448"/>
      <c r="AT88" s="445"/>
      <c r="AU88" s="449">
        <f t="shared" si="6"/>
        <v>2002</v>
      </c>
      <c r="AV88" s="457">
        <f t="shared" si="5"/>
        <v>2002</v>
      </c>
      <c r="AW88" s="451"/>
    </row>
    <row r="89" spans="2:49" s="418" customFormat="1" ht="24">
      <c r="B89" s="452">
        <f t="shared" si="7"/>
        <v>73</v>
      </c>
      <c r="C89" s="429" t="s">
        <v>131</v>
      </c>
      <c r="D89" s="430">
        <v>30103935</v>
      </c>
      <c r="E89" s="430"/>
      <c r="F89" s="431" t="s">
        <v>1697</v>
      </c>
      <c r="G89" s="432" t="s">
        <v>158</v>
      </c>
      <c r="H89" s="433" t="s">
        <v>1580</v>
      </c>
      <c r="I89" s="434" t="s">
        <v>1628</v>
      </c>
      <c r="J89" s="435" t="s">
        <v>44</v>
      </c>
      <c r="K89" s="454">
        <v>39516</v>
      </c>
      <c r="L89" s="455">
        <v>30834</v>
      </c>
      <c r="M89" s="456">
        <v>0</v>
      </c>
      <c r="N89" s="440">
        <v>0</v>
      </c>
      <c r="O89" s="440">
        <v>0</v>
      </c>
      <c r="P89" s="440">
        <v>0</v>
      </c>
      <c r="Q89" s="440">
        <v>0</v>
      </c>
      <c r="R89" s="440">
        <v>0</v>
      </c>
      <c r="S89" s="440">
        <v>0</v>
      </c>
      <c r="T89" s="441"/>
      <c r="U89" s="441"/>
      <c r="V89" s="441"/>
      <c r="W89" s="441"/>
      <c r="X89" s="441"/>
      <c r="Y89" s="441"/>
      <c r="Z89" s="441">
        <f t="shared" si="4"/>
        <v>0</v>
      </c>
      <c r="AA89" s="442">
        <v>8682</v>
      </c>
      <c r="AB89" s="443">
        <v>5</v>
      </c>
      <c r="AC89" s="444">
        <v>44224</v>
      </c>
      <c r="AD89" s="445">
        <v>44251</v>
      </c>
      <c r="AE89" s="442"/>
      <c r="AF89" s="446"/>
      <c r="AG89" s="447"/>
      <c r="AH89" s="445"/>
      <c r="AI89" s="442"/>
      <c r="AJ89" s="443"/>
      <c r="AK89" s="447"/>
      <c r="AL89" s="445"/>
      <c r="AM89" s="442"/>
      <c r="AN89" s="443"/>
      <c r="AO89" s="448"/>
      <c r="AP89" s="445"/>
      <c r="AQ89" s="442"/>
      <c r="AR89" s="443"/>
      <c r="AS89" s="448"/>
      <c r="AT89" s="445"/>
      <c r="AU89" s="449">
        <f t="shared" si="6"/>
        <v>8682</v>
      </c>
      <c r="AV89" s="457">
        <f t="shared" si="5"/>
        <v>8682</v>
      </c>
      <c r="AW89" s="451"/>
    </row>
    <row r="90" spans="2:49" s="418" customFormat="1" ht="24">
      <c r="B90" s="452">
        <f t="shared" si="7"/>
        <v>74</v>
      </c>
      <c r="C90" s="429" t="s">
        <v>39</v>
      </c>
      <c r="D90" s="430">
        <v>30104157</v>
      </c>
      <c r="E90" s="430"/>
      <c r="F90" s="431" t="s">
        <v>1698</v>
      </c>
      <c r="G90" s="432" t="s">
        <v>146</v>
      </c>
      <c r="H90" s="433" t="s">
        <v>1580</v>
      </c>
      <c r="I90" s="434" t="s">
        <v>1628</v>
      </c>
      <c r="J90" s="435"/>
      <c r="K90" s="454">
        <v>469687</v>
      </c>
      <c r="L90" s="455">
        <v>19533</v>
      </c>
      <c r="M90" s="456">
        <v>394838</v>
      </c>
      <c r="N90" s="440">
        <v>0</v>
      </c>
      <c r="O90" s="440">
        <v>0</v>
      </c>
      <c r="P90" s="440">
        <v>0</v>
      </c>
      <c r="Q90" s="440">
        <v>0</v>
      </c>
      <c r="R90" s="440">
        <v>0</v>
      </c>
      <c r="S90" s="440">
        <v>0</v>
      </c>
      <c r="T90" s="441"/>
      <c r="U90" s="441"/>
      <c r="V90" s="441">
        <v>11589</v>
      </c>
      <c r="W90" s="441"/>
      <c r="X90" s="441"/>
      <c r="Y90" s="441"/>
      <c r="Z90" s="441">
        <f t="shared" si="4"/>
        <v>11589</v>
      </c>
      <c r="AA90" s="442">
        <v>42818</v>
      </c>
      <c r="AB90" s="443">
        <v>11</v>
      </c>
      <c r="AC90" s="444">
        <v>44237</v>
      </c>
      <c r="AD90" s="445">
        <v>44251</v>
      </c>
      <c r="AE90" s="442"/>
      <c r="AF90" s="446"/>
      <c r="AG90" s="447"/>
      <c r="AH90" s="445"/>
      <c r="AI90" s="442"/>
      <c r="AJ90" s="443"/>
      <c r="AK90" s="447"/>
      <c r="AL90" s="445"/>
      <c r="AM90" s="442"/>
      <c r="AN90" s="443"/>
      <c r="AO90" s="448"/>
      <c r="AP90" s="445"/>
      <c r="AQ90" s="442"/>
      <c r="AR90" s="443"/>
      <c r="AS90" s="448"/>
      <c r="AT90" s="445"/>
      <c r="AU90" s="449">
        <f t="shared" si="6"/>
        <v>42818</v>
      </c>
      <c r="AV90" s="457">
        <f t="shared" si="5"/>
        <v>31229</v>
      </c>
      <c r="AW90" s="451"/>
    </row>
    <row r="91" spans="2:49" s="418" customFormat="1" ht="24">
      <c r="B91" s="452">
        <f t="shared" si="7"/>
        <v>75</v>
      </c>
      <c r="C91" s="429" t="s">
        <v>39</v>
      </c>
      <c r="D91" s="430">
        <v>30104202</v>
      </c>
      <c r="E91" s="430"/>
      <c r="F91" s="431" t="s">
        <v>1699</v>
      </c>
      <c r="G91" s="432" t="s">
        <v>146</v>
      </c>
      <c r="H91" s="433" t="s">
        <v>1580</v>
      </c>
      <c r="I91" s="434" t="s">
        <v>1643</v>
      </c>
      <c r="J91" s="435" t="s">
        <v>44</v>
      </c>
      <c r="K91" s="454">
        <v>885222</v>
      </c>
      <c r="L91" s="455">
        <v>734011</v>
      </c>
      <c r="M91" s="456">
        <v>0</v>
      </c>
      <c r="N91" s="439">
        <v>0</v>
      </c>
      <c r="O91" s="439">
        <v>0</v>
      </c>
      <c r="P91" s="439">
        <v>0</v>
      </c>
      <c r="Q91" s="439">
        <v>0</v>
      </c>
      <c r="R91" s="439">
        <v>0</v>
      </c>
      <c r="S91" s="440">
        <v>127309</v>
      </c>
      <c r="T91" s="441">
        <v>26197</v>
      </c>
      <c r="U91" s="441">
        <v>5972</v>
      </c>
      <c r="V91" s="441"/>
      <c r="W91" s="441"/>
      <c r="X91" s="441"/>
      <c r="Y91" s="441"/>
      <c r="Z91" s="441">
        <f t="shared" si="4"/>
        <v>159478</v>
      </c>
      <c r="AA91" s="442">
        <v>151211</v>
      </c>
      <c r="AB91" s="443">
        <v>5</v>
      </c>
      <c r="AC91" s="444">
        <v>44224</v>
      </c>
      <c r="AD91" s="445">
        <v>44251</v>
      </c>
      <c r="AE91" s="442">
        <v>10718</v>
      </c>
      <c r="AF91" s="446">
        <v>22</v>
      </c>
      <c r="AG91" s="447">
        <v>44301</v>
      </c>
      <c r="AH91" s="445">
        <v>44313</v>
      </c>
      <c r="AI91" s="442">
        <v>112</v>
      </c>
      <c r="AJ91" s="443">
        <v>86</v>
      </c>
      <c r="AK91" s="447">
        <v>44421</v>
      </c>
      <c r="AL91" s="445">
        <v>44435</v>
      </c>
      <c r="AM91" s="442"/>
      <c r="AN91" s="443"/>
      <c r="AO91" s="448"/>
      <c r="AP91" s="445"/>
      <c r="AQ91" s="442"/>
      <c r="AR91" s="443"/>
      <c r="AS91" s="448"/>
      <c r="AT91" s="445"/>
      <c r="AU91" s="449">
        <f t="shared" si="6"/>
        <v>162041</v>
      </c>
      <c r="AV91" s="457">
        <f t="shared" si="5"/>
        <v>2563</v>
      </c>
      <c r="AW91" s="451"/>
    </row>
    <row r="92" spans="2:49" s="418" customFormat="1">
      <c r="B92" s="452">
        <f t="shared" si="7"/>
        <v>76</v>
      </c>
      <c r="C92" s="429" t="s">
        <v>39</v>
      </c>
      <c r="D92" s="430">
        <v>30104260</v>
      </c>
      <c r="E92" s="430"/>
      <c r="F92" s="431" t="s">
        <v>1700</v>
      </c>
      <c r="G92" s="432" t="s">
        <v>146</v>
      </c>
      <c r="H92" s="433" t="s">
        <v>1580</v>
      </c>
      <c r="I92" s="434" t="s">
        <v>1659</v>
      </c>
      <c r="J92" s="435" t="s">
        <v>44</v>
      </c>
      <c r="K92" s="454">
        <v>1126321</v>
      </c>
      <c r="L92" s="455">
        <v>407969</v>
      </c>
      <c r="M92" s="456">
        <v>0</v>
      </c>
      <c r="N92" s="439">
        <v>0</v>
      </c>
      <c r="O92" s="439">
        <v>24744</v>
      </c>
      <c r="P92" s="439">
        <v>21458</v>
      </c>
      <c r="Q92" s="439">
        <v>303</v>
      </c>
      <c r="R92" s="439">
        <v>36566</v>
      </c>
      <c r="S92" s="440">
        <v>34665</v>
      </c>
      <c r="T92" s="441">
        <v>81267</v>
      </c>
      <c r="U92" s="441">
        <v>93975</v>
      </c>
      <c r="V92" s="441">
        <v>103</v>
      </c>
      <c r="W92" s="441"/>
      <c r="X92" s="441"/>
      <c r="Y92" s="441"/>
      <c r="Z92" s="441">
        <f t="shared" si="4"/>
        <v>293081</v>
      </c>
      <c r="AA92" s="442">
        <v>374447</v>
      </c>
      <c r="AB92" s="443">
        <v>11</v>
      </c>
      <c r="AC92" s="444">
        <v>44237</v>
      </c>
      <c r="AD92" s="445">
        <v>44251</v>
      </c>
      <c r="AE92" s="442">
        <v>6802</v>
      </c>
      <c r="AF92" s="446">
        <v>22</v>
      </c>
      <c r="AG92" s="447">
        <v>44301</v>
      </c>
      <c r="AH92" s="445">
        <v>44313</v>
      </c>
      <c r="AI92" s="442"/>
      <c r="AJ92" s="443"/>
      <c r="AK92" s="447"/>
      <c r="AL92" s="445"/>
      <c r="AM92" s="442"/>
      <c r="AN92" s="443"/>
      <c r="AO92" s="448"/>
      <c r="AP92" s="445"/>
      <c r="AQ92" s="442"/>
      <c r="AR92" s="443"/>
      <c r="AS92" s="448"/>
      <c r="AT92" s="445"/>
      <c r="AU92" s="449">
        <f t="shared" si="6"/>
        <v>381249</v>
      </c>
      <c r="AV92" s="457">
        <f t="shared" si="5"/>
        <v>88168</v>
      </c>
      <c r="AW92" s="451"/>
    </row>
    <row r="93" spans="2:49" s="418" customFormat="1">
      <c r="B93" s="452">
        <f t="shared" si="7"/>
        <v>77</v>
      </c>
      <c r="C93" s="429" t="s">
        <v>39</v>
      </c>
      <c r="D93" s="430">
        <v>30104313</v>
      </c>
      <c r="E93" s="430"/>
      <c r="F93" s="431" t="s">
        <v>1701</v>
      </c>
      <c r="G93" s="432" t="s">
        <v>146</v>
      </c>
      <c r="H93" s="433" t="s">
        <v>1580</v>
      </c>
      <c r="I93" s="434" t="s">
        <v>1584</v>
      </c>
      <c r="J93" s="435" t="s">
        <v>44</v>
      </c>
      <c r="K93" s="454">
        <v>2037656</v>
      </c>
      <c r="L93" s="455">
        <v>2009573</v>
      </c>
      <c r="M93" s="456">
        <v>1174</v>
      </c>
      <c r="N93" s="439">
        <v>0</v>
      </c>
      <c r="O93" s="439">
        <v>0</v>
      </c>
      <c r="P93" s="439">
        <v>0</v>
      </c>
      <c r="Q93" s="439">
        <v>0</v>
      </c>
      <c r="R93" s="439">
        <v>0</v>
      </c>
      <c r="S93" s="440">
        <v>0</v>
      </c>
      <c r="T93" s="441"/>
      <c r="U93" s="441">
        <v>3392</v>
      </c>
      <c r="V93" s="441">
        <v>3850</v>
      </c>
      <c r="W93" s="441"/>
      <c r="X93" s="441"/>
      <c r="Y93" s="441"/>
      <c r="Z93" s="441">
        <f t="shared" si="4"/>
        <v>7242</v>
      </c>
      <c r="AA93" s="442">
        <v>26908</v>
      </c>
      <c r="AB93" s="443">
        <v>11</v>
      </c>
      <c r="AC93" s="444">
        <v>44237</v>
      </c>
      <c r="AD93" s="445">
        <v>44251</v>
      </c>
      <c r="AE93" s="442"/>
      <c r="AF93" s="446"/>
      <c r="AG93" s="447"/>
      <c r="AH93" s="445"/>
      <c r="AI93" s="442"/>
      <c r="AJ93" s="443"/>
      <c r="AK93" s="447"/>
      <c r="AL93" s="445"/>
      <c r="AM93" s="442"/>
      <c r="AN93" s="443"/>
      <c r="AO93" s="448"/>
      <c r="AP93" s="445"/>
      <c r="AQ93" s="442"/>
      <c r="AR93" s="443"/>
      <c r="AS93" s="448"/>
      <c r="AT93" s="445"/>
      <c r="AU93" s="449">
        <f t="shared" si="6"/>
        <v>26908</v>
      </c>
      <c r="AV93" s="457">
        <f t="shared" si="5"/>
        <v>19666</v>
      </c>
      <c r="AW93" s="451"/>
    </row>
    <row r="94" spans="2:49" s="418" customFormat="1">
      <c r="B94" s="452">
        <f t="shared" si="7"/>
        <v>78</v>
      </c>
      <c r="C94" s="429" t="s">
        <v>39</v>
      </c>
      <c r="D94" s="430">
        <v>30104322</v>
      </c>
      <c r="E94" s="430"/>
      <c r="F94" s="431" t="s">
        <v>1702</v>
      </c>
      <c r="G94" s="432" t="s">
        <v>146</v>
      </c>
      <c r="H94" s="433" t="s">
        <v>1580</v>
      </c>
      <c r="I94" s="434" t="s">
        <v>1703</v>
      </c>
      <c r="J94" s="435" t="s">
        <v>44</v>
      </c>
      <c r="K94" s="454">
        <v>778080</v>
      </c>
      <c r="L94" s="455">
        <v>96461</v>
      </c>
      <c r="M94" s="456">
        <v>0</v>
      </c>
      <c r="N94" s="439">
        <v>0</v>
      </c>
      <c r="O94" s="439">
        <v>0</v>
      </c>
      <c r="P94" s="439">
        <v>234</v>
      </c>
      <c r="Q94" s="439">
        <v>570</v>
      </c>
      <c r="R94" s="439">
        <v>136</v>
      </c>
      <c r="S94" s="440">
        <v>31280</v>
      </c>
      <c r="T94" s="441">
        <v>31022</v>
      </c>
      <c r="U94" s="441">
        <v>50078</v>
      </c>
      <c r="V94" s="441">
        <v>53135</v>
      </c>
      <c r="W94" s="441"/>
      <c r="X94" s="441"/>
      <c r="Y94" s="441"/>
      <c r="Z94" s="441">
        <f t="shared" si="4"/>
        <v>166455</v>
      </c>
      <c r="AA94" s="442">
        <v>339038</v>
      </c>
      <c r="AB94" s="443">
        <v>11</v>
      </c>
      <c r="AC94" s="444">
        <v>44237</v>
      </c>
      <c r="AD94" s="445">
        <v>44251</v>
      </c>
      <c r="AE94" s="442"/>
      <c r="AF94" s="446"/>
      <c r="AG94" s="447"/>
      <c r="AH94" s="445"/>
      <c r="AI94" s="442"/>
      <c r="AJ94" s="443"/>
      <c r="AK94" s="447"/>
      <c r="AL94" s="445"/>
      <c r="AM94" s="442"/>
      <c r="AN94" s="443"/>
      <c r="AO94" s="448"/>
      <c r="AP94" s="445"/>
      <c r="AQ94" s="442"/>
      <c r="AR94" s="443"/>
      <c r="AS94" s="448"/>
      <c r="AT94" s="445"/>
      <c r="AU94" s="449">
        <f t="shared" si="6"/>
        <v>339038</v>
      </c>
      <c r="AV94" s="457">
        <f t="shared" si="5"/>
        <v>172583</v>
      </c>
      <c r="AW94" s="451"/>
    </row>
    <row r="95" spans="2:49" s="418" customFormat="1">
      <c r="B95" s="452">
        <f t="shared" si="7"/>
        <v>79</v>
      </c>
      <c r="C95" s="429" t="s">
        <v>39</v>
      </c>
      <c r="D95" s="430">
        <v>30104336</v>
      </c>
      <c r="E95" s="430"/>
      <c r="F95" s="431" t="s">
        <v>1704</v>
      </c>
      <c r="G95" s="432" t="s">
        <v>146</v>
      </c>
      <c r="H95" s="433" t="s">
        <v>1580</v>
      </c>
      <c r="I95" s="434" t="s">
        <v>1637</v>
      </c>
      <c r="J95" s="435" t="s">
        <v>44</v>
      </c>
      <c r="K95" s="454">
        <v>620781</v>
      </c>
      <c r="L95" s="455">
        <v>614549</v>
      </c>
      <c r="M95" s="456">
        <v>0</v>
      </c>
      <c r="N95" s="440">
        <v>0</v>
      </c>
      <c r="O95" s="440">
        <v>0</v>
      </c>
      <c r="P95" s="440">
        <v>0</v>
      </c>
      <c r="Q95" s="440">
        <v>0</v>
      </c>
      <c r="R95" s="440">
        <v>0</v>
      </c>
      <c r="S95" s="440">
        <v>0</v>
      </c>
      <c r="T95" s="441"/>
      <c r="U95" s="441"/>
      <c r="V95" s="441"/>
      <c r="W95" s="441"/>
      <c r="X95" s="441"/>
      <c r="Y95" s="441"/>
      <c r="Z95" s="441">
        <f t="shared" si="4"/>
        <v>0</v>
      </c>
      <c r="AA95" s="442">
        <v>6232</v>
      </c>
      <c r="AB95" s="443">
        <v>11</v>
      </c>
      <c r="AC95" s="444">
        <v>44237</v>
      </c>
      <c r="AD95" s="445">
        <v>44251</v>
      </c>
      <c r="AE95" s="442"/>
      <c r="AF95" s="446"/>
      <c r="AG95" s="447"/>
      <c r="AH95" s="445"/>
      <c r="AI95" s="442"/>
      <c r="AJ95" s="443"/>
      <c r="AK95" s="447"/>
      <c r="AL95" s="445"/>
      <c r="AM95" s="442"/>
      <c r="AN95" s="443"/>
      <c r="AO95" s="448"/>
      <c r="AP95" s="445"/>
      <c r="AQ95" s="442"/>
      <c r="AR95" s="443"/>
      <c r="AS95" s="448"/>
      <c r="AT95" s="445"/>
      <c r="AU95" s="449">
        <f t="shared" si="6"/>
        <v>6232</v>
      </c>
      <c r="AV95" s="457">
        <f t="shared" si="5"/>
        <v>6232</v>
      </c>
      <c r="AW95" s="451"/>
    </row>
    <row r="96" spans="2:49" s="418" customFormat="1">
      <c r="B96" s="452">
        <f t="shared" si="7"/>
        <v>80</v>
      </c>
      <c r="C96" s="429" t="s">
        <v>39</v>
      </c>
      <c r="D96" s="430">
        <v>30104345</v>
      </c>
      <c r="E96" s="430"/>
      <c r="F96" s="431" t="s">
        <v>1705</v>
      </c>
      <c r="G96" s="432" t="s">
        <v>146</v>
      </c>
      <c r="H96" s="433" t="s">
        <v>1580</v>
      </c>
      <c r="I96" s="434" t="s">
        <v>1620</v>
      </c>
      <c r="J96" s="435" t="s">
        <v>52</v>
      </c>
      <c r="K96" s="454">
        <v>789521</v>
      </c>
      <c r="L96" s="455">
        <v>0</v>
      </c>
      <c r="M96" s="456">
        <v>2</v>
      </c>
      <c r="N96" s="439">
        <v>0</v>
      </c>
      <c r="O96" s="439">
        <v>0</v>
      </c>
      <c r="P96" s="439">
        <v>0</v>
      </c>
      <c r="Q96" s="439">
        <v>0</v>
      </c>
      <c r="R96" s="439">
        <v>1938</v>
      </c>
      <c r="S96" s="440">
        <v>65740</v>
      </c>
      <c r="T96" s="441">
        <v>69065</v>
      </c>
      <c r="U96" s="441">
        <v>72118</v>
      </c>
      <c r="V96" s="441">
        <v>51877</v>
      </c>
      <c r="W96" s="441"/>
      <c r="X96" s="441"/>
      <c r="Y96" s="441"/>
      <c r="Z96" s="441">
        <f t="shared" si="4"/>
        <v>260738</v>
      </c>
      <c r="AA96" s="442">
        <v>827635</v>
      </c>
      <c r="AB96" s="443">
        <v>5</v>
      </c>
      <c r="AC96" s="444">
        <v>44224</v>
      </c>
      <c r="AD96" s="445">
        <v>44251</v>
      </c>
      <c r="AE96" s="442">
        <v>-82807</v>
      </c>
      <c r="AF96" s="446">
        <v>22</v>
      </c>
      <c r="AG96" s="447">
        <v>44301</v>
      </c>
      <c r="AH96" s="445">
        <v>44313</v>
      </c>
      <c r="AI96" s="442"/>
      <c r="AJ96" s="443"/>
      <c r="AK96" s="447"/>
      <c r="AL96" s="445"/>
      <c r="AM96" s="442"/>
      <c r="AN96" s="443"/>
      <c r="AO96" s="448"/>
      <c r="AP96" s="445"/>
      <c r="AQ96" s="442"/>
      <c r="AR96" s="443"/>
      <c r="AS96" s="448"/>
      <c r="AT96" s="445"/>
      <c r="AU96" s="449">
        <f t="shared" si="6"/>
        <v>744828</v>
      </c>
      <c r="AV96" s="457">
        <f t="shared" si="5"/>
        <v>484090</v>
      </c>
      <c r="AW96" s="451"/>
    </row>
    <row r="97" spans="2:49" s="418" customFormat="1">
      <c r="B97" s="452">
        <f t="shared" si="7"/>
        <v>81</v>
      </c>
      <c r="C97" s="429" t="s">
        <v>39</v>
      </c>
      <c r="D97" s="430">
        <v>30105840</v>
      </c>
      <c r="E97" s="430"/>
      <c r="F97" s="431" t="s">
        <v>1706</v>
      </c>
      <c r="G97" s="432" t="s">
        <v>158</v>
      </c>
      <c r="H97" s="433" t="s">
        <v>1580</v>
      </c>
      <c r="I97" s="434" t="s">
        <v>1683</v>
      </c>
      <c r="J97" s="435" t="s">
        <v>52</v>
      </c>
      <c r="K97" s="454">
        <v>87413</v>
      </c>
      <c r="L97" s="455">
        <v>0</v>
      </c>
      <c r="M97" s="456">
        <v>74136</v>
      </c>
      <c r="N97" s="439">
        <v>0</v>
      </c>
      <c r="O97" s="439">
        <v>0</v>
      </c>
      <c r="P97" s="439">
        <v>0</v>
      </c>
      <c r="Q97" s="439">
        <v>0</v>
      </c>
      <c r="R97" s="439">
        <v>0</v>
      </c>
      <c r="S97" s="440">
        <v>0</v>
      </c>
      <c r="T97" s="441"/>
      <c r="U97" s="441"/>
      <c r="V97" s="441"/>
      <c r="W97" s="441"/>
      <c r="X97" s="441"/>
      <c r="Y97" s="441"/>
      <c r="Z97" s="441">
        <f t="shared" si="4"/>
        <v>0</v>
      </c>
      <c r="AA97" s="442">
        <v>10000</v>
      </c>
      <c r="AB97" s="443">
        <v>3</v>
      </c>
      <c r="AC97" s="444">
        <v>44222</v>
      </c>
      <c r="AD97" s="445">
        <v>44225</v>
      </c>
      <c r="AE97" s="442"/>
      <c r="AF97" s="446"/>
      <c r="AG97" s="447"/>
      <c r="AH97" s="445"/>
      <c r="AI97" s="442"/>
      <c r="AJ97" s="443"/>
      <c r="AK97" s="447"/>
      <c r="AL97" s="445"/>
      <c r="AM97" s="442"/>
      <c r="AN97" s="443"/>
      <c r="AO97" s="448"/>
      <c r="AP97" s="445"/>
      <c r="AQ97" s="442"/>
      <c r="AR97" s="443"/>
      <c r="AS97" s="448"/>
      <c r="AT97" s="445"/>
      <c r="AU97" s="449">
        <f t="shared" si="6"/>
        <v>10000</v>
      </c>
      <c r="AV97" s="457">
        <f t="shared" si="5"/>
        <v>10000</v>
      </c>
      <c r="AW97" s="451"/>
    </row>
    <row r="98" spans="2:49" s="418" customFormat="1" ht="12" customHeight="1">
      <c r="B98" s="452">
        <f t="shared" si="7"/>
        <v>82</v>
      </c>
      <c r="C98" s="429" t="s">
        <v>39</v>
      </c>
      <c r="D98" s="382">
        <v>30112980</v>
      </c>
      <c r="E98" s="430"/>
      <c r="F98" s="166" t="s">
        <v>1707</v>
      </c>
      <c r="G98" s="432" t="s">
        <v>317</v>
      </c>
      <c r="H98" s="433" t="s">
        <v>1583</v>
      </c>
      <c r="I98" s="434" t="s">
        <v>1624</v>
      </c>
      <c r="J98" s="435"/>
      <c r="K98" s="454">
        <v>998352</v>
      </c>
      <c r="L98" s="455"/>
      <c r="M98" s="456">
        <v>980352</v>
      </c>
      <c r="N98" s="440"/>
      <c r="O98" s="440"/>
      <c r="P98" s="440"/>
      <c r="Q98" s="440"/>
      <c r="R98" s="440"/>
      <c r="S98" s="440"/>
      <c r="T98" s="441"/>
      <c r="U98" s="441"/>
      <c r="V98" s="441"/>
      <c r="W98" s="441"/>
      <c r="X98" s="441"/>
      <c r="Y98" s="441"/>
      <c r="Z98" s="441"/>
      <c r="AA98" s="442">
        <v>18000</v>
      </c>
      <c r="AB98" s="443">
        <v>86</v>
      </c>
      <c r="AC98" s="444">
        <v>44421</v>
      </c>
      <c r="AD98" s="445">
        <v>44435</v>
      </c>
      <c r="AE98" s="442"/>
      <c r="AF98" s="446"/>
      <c r="AG98" s="447"/>
      <c r="AH98" s="445"/>
      <c r="AI98" s="442"/>
      <c r="AJ98" s="443"/>
      <c r="AK98" s="447"/>
      <c r="AL98" s="445"/>
      <c r="AM98" s="442"/>
      <c r="AN98" s="443"/>
      <c r="AO98" s="448"/>
      <c r="AP98" s="445"/>
      <c r="AQ98" s="442"/>
      <c r="AR98" s="443"/>
      <c r="AS98" s="448"/>
      <c r="AT98" s="445"/>
      <c r="AU98" s="449">
        <f t="shared" si="6"/>
        <v>18000</v>
      </c>
      <c r="AV98" s="457">
        <f t="shared" si="5"/>
        <v>18000</v>
      </c>
      <c r="AW98" s="451"/>
    </row>
    <row r="99" spans="2:49" s="418" customFormat="1" ht="24">
      <c r="B99" s="452">
        <f t="shared" si="7"/>
        <v>83</v>
      </c>
      <c r="C99" s="429" t="s">
        <v>39</v>
      </c>
      <c r="D99" s="430">
        <v>30113074</v>
      </c>
      <c r="E99" s="430"/>
      <c r="F99" s="431" t="s">
        <v>1708</v>
      </c>
      <c r="G99" s="432" t="s">
        <v>146</v>
      </c>
      <c r="H99" s="433" t="s">
        <v>1583</v>
      </c>
      <c r="I99" s="434" t="s">
        <v>1624</v>
      </c>
      <c r="J99" s="435"/>
      <c r="K99" s="454">
        <v>568602</v>
      </c>
      <c r="L99" s="455">
        <v>0</v>
      </c>
      <c r="M99" s="456">
        <v>0</v>
      </c>
      <c r="N99" s="439">
        <v>0</v>
      </c>
      <c r="O99" s="439">
        <v>0</v>
      </c>
      <c r="P99" s="439">
        <v>0</v>
      </c>
      <c r="Q99" s="439">
        <v>0</v>
      </c>
      <c r="R99" s="439">
        <v>0</v>
      </c>
      <c r="S99" s="440">
        <v>0</v>
      </c>
      <c r="T99" s="441"/>
      <c r="U99" s="441"/>
      <c r="V99" s="441"/>
      <c r="W99" s="441"/>
      <c r="X99" s="441"/>
      <c r="Y99" s="441"/>
      <c r="Z99" s="441">
        <f t="shared" ref="Z99:Z145" si="8">SUM(N99:Y99)</f>
        <v>0</v>
      </c>
      <c r="AA99" s="442">
        <v>158300</v>
      </c>
      <c r="AB99" s="443">
        <v>22</v>
      </c>
      <c r="AC99" s="444">
        <v>44301</v>
      </c>
      <c r="AD99" s="445">
        <v>44313</v>
      </c>
      <c r="AE99" s="442"/>
      <c r="AF99" s="446"/>
      <c r="AG99" s="447"/>
      <c r="AH99" s="445"/>
      <c r="AI99" s="442"/>
      <c r="AJ99" s="443"/>
      <c r="AK99" s="447"/>
      <c r="AL99" s="445"/>
      <c r="AM99" s="442"/>
      <c r="AN99" s="443"/>
      <c r="AO99" s="448"/>
      <c r="AP99" s="445"/>
      <c r="AQ99" s="442"/>
      <c r="AR99" s="443"/>
      <c r="AS99" s="448"/>
      <c r="AT99" s="445"/>
      <c r="AU99" s="449">
        <f t="shared" si="6"/>
        <v>158300</v>
      </c>
      <c r="AV99" s="457">
        <f t="shared" si="5"/>
        <v>158300</v>
      </c>
      <c r="AW99" s="451"/>
    </row>
    <row r="100" spans="2:49" s="418" customFormat="1">
      <c r="B100" s="452">
        <f t="shared" si="7"/>
        <v>84</v>
      </c>
      <c r="C100" s="429" t="s">
        <v>39</v>
      </c>
      <c r="D100" s="430">
        <v>30120122</v>
      </c>
      <c r="E100" s="430"/>
      <c r="F100" s="431" t="s">
        <v>1709</v>
      </c>
      <c r="G100" s="432" t="s">
        <v>158</v>
      </c>
      <c r="H100" s="433" t="s">
        <v>1580</v>
      </c>
      <c r="I100" s="434" t="s">
        <v>1586</v>
      </c>
      <c r="J100" s="435" t="s">
        <v>52</v>
      </c>
      <c r="K100" s="454">
        <v>354951</v>
      </c>
      <c r="L100" s="455">
        <v>4160</v>
      </c>
      <c r="M100" s="456">
        <v>280791</v>
      </c>
      <c r="N100" s="440">
        <v>0</v>
      </c>
      <c r="O100" s="440">
        <v>0</v>
      </c>
      <c r="P100" s="440">
        <v>6120</v>
      </c>
      <c r="Q100" s="440">
        <v>3060</v>
      </c>
      <c r="R100" s="440">
        <v>37455</v>
      </c>
      <c r="S100" s="440">
        <v>37455</v>
      </c>
      <c r="T100" s="441">
        <v>3060</v>
      </c>
      <c r="U100" s="441">
        <v>3060</v>
      </c>
      <c r="V100" s="441">
        <v>48920</v>
      </c>
      <c r="W100" s="441"/>
      <c r="X100" s="441"/>
      <c r="Y100" s="441"/>
      <c r="Z100" s="441">
        <f t="shared" si="8"/>
        <v>139130</v>
      </c>
      <c r="AA100" s="442">
        <v>70000</v>
      </c>
      <c r="AB100" s="443">
        <v>3</v>
      </c>
      <c r="AC100" s="444">
        <v>44222</v>
      </c>
      <c r="AD100" s="445">
        <v>44225</v>
      </c>
      <c r="AE100" s="442">
        <v>121110</v>
      </c>
      <c r="AF100" s="446">
        <v>22</v>
      </c>
      <c r="AG100" s="447">
        <v>44301</v>
      </c>
      <c r="AH100" s="445">
        <v>44313</v>
      </c>
      <c r="AI100" s="442"/>
      <c r="AJ100" s="443"/>
      <c r="AK100" s="447"/>
      <c r="AL100" s="445"/>
      <c r="AM100" s="442"/>
      <c r="AN100" s="443"/>
      <c r="AO100" s="448"/>
      <c r="AP100" s="445"/>
      <c r="AQ100" s="442"/>
      <c r="AR100" s="443"/>
      <c r="AS100" s="448"/>
      <c r="AT100" s="445"/>
      <c r="AU100" s="449">
        <f t="shared" si="6"/>
        <v>191110</v>
      </c>
      <c r="AV100" s="457">
        <f t="shared" si="5"/>
        <v>51980</v>
      </c>
      <c r="AW100" s="451"/>
    </row>
    <row r="101" spans="2:49" s="418" customFormat="1">
      <c r="B101" s="452">
        <f t="shared" si="7"/>
        <v>85</v>
      </c>
      <c r="C101" s="429" t="s">
        <v>39</v>
      </c>
      <c r="D101" s="430">
        <v>30121360</v>
      </c>
      <c r="E101" s="430"/>
      <c r="F101" s="431" t="s">
        <v>1710</v>
      </c>
      <c r="G101" s="432" t="s">
        <v>146</v>
      </c>
      <c r="H101" s="433" t="s">
        <v>1580</v>
      </c>
      <c r="I101" s="434" t="s">
        <v>1659</v>
      </c>
      <c r="J101" s="435" t="s">
        <v>44</v>
      </c>
      <c r="K101" s="454">
        <v>2004064</v>
      </c>
      <c r="L101" s="455">
        <v>967553</v>
      </c>
      <c r="M101" s="456">
        <v>0</v>
      </c>
      <c r="N101" s="439">
        <v>0</v>
      </c>
      <c r="O101" s="439">
        <v>1467</v>
      </c>
      <c r="P101" s="439">
        <v>19707</v>
      </c>
      <c r="Q101" s="439">
        <v>0</v>
      </c>
      <c r="R101" s="439">
        <v>131460</v>
      </c>
      <c r="S101" s="440">
        <v>137510</v>
      </c>
      <c r="T101" s="441">
        <v>39758</v>
      </c>
      <c r="U101" s="441">
        <v>1500</v>
      </c>
      <c r="V101" s="441">
        <v>40089</v>
      </c>
      <c r="W101" s="441"/>
      <c r="X101" s="441"/>
      <c r="Y101" s="441"/>
      <c r="Z101" s="441">
        <f t="shared" si="8"/>
        <v>371491</v>
      </c>
      <c r="AA101" s="442">
        <v>702934</v>
      </c>
      <c r="AB101" s="443">
        <v>11</v>
      </c>
      <c r="AC101" s="444">
        <v>44237</v>
      </c>
      <c r="AD101" s="445">
        <v>44251</v>
      </c>
      <c r="AE101" s="442">
        <v>12000</v>
      </c>
      <c r="AF101" s="446">
        <v>22</v>
      </c>
      <c r="AG101" s="447">
        <v>44301</v>
      </c>
      <c r="AH101" s="445">
        <v>44313</v>
      </c>
      <c r="AI101" s="442"/>
      <c r="AJ101" s="443"/>
      <c r="AK101" s="447"/>
      <c r="AL101" s="445"/>
      <c r="AM101" s="442"/>
      <c r="AN101" s="443"/>
      <c r="AO101" s="448"/>
      <c r="AP101" s="445"/>
      <c r="AQ101" s="442"/>
      <c r="AR101" s="443"/>
      <c r="AS101" s="448"/>
      <c r="AT101" s="445"/>
      <c r="AU101" s="449">
        <f t="shared" si="6"/>
        <v>714934</v>
      </c>
      <c r="AV101" s="457">
        <f t="shared" si="5"/>
        <v>343443</v>
      </c>
      <c r="AW101" s="451"/>
    </row>
    <row r="102" spans="2:49" s="418" customFormat="1" ht="24">
      <c r="B102" s="452">
        <f t="shared" si="7"/>
        <v>86</v>
      </c>
      <c r="C102" s="429" t="s">
        <v>39</v>
      </c>
      <c r="D102" s="430">
        <v>30121363</v>
      </c>
      <c r="E102" s="430"/>
      <c r="F102" s="431" t="s">
        <v>1711</v>
      </c>
      <c r="G102" s="432" t="s">
        <v>146</v>
      </c>
      <c r="H102" s="433" t="s">
        <v>1580</v>
      </c>
      <c r="I102" s="434" t="s">
        <v>1624</v>
      </c>
      <c r="J102" s="435" t="s">
        <v>44</v>
      </c>
      <c r="K102" s="454">
        <v>28491391</v>
      </c>
      <c r="L102" s="455">
        <v>19814357</v>
      </c>
      <c r="M102" s="456">
        <v>0</v>
      </c>
      <c r="N102" s="439">
        <v>0</v>
      </c>
      <c r="O102" s="439">
        <v>894752</v>
      </c>
      <c r="P102" s="439">
        <v>963506</v>
      </c>
      <c r="Q102" s="439">
        <v>507949</v>
      </c>
      <c r="R102" s="439">
        <v>1162717</v>
      </c>
      <c r="S102" s="440">
        <v>12955</v>
      </c>
      <c r="T102" s="441">
        <v>407083</v>
      </c>
      <c r="U102" s="441">
        <v>55985</v>
      </c>
      <c r="V102" s="441"/>
      <c r="W102" s="441"/>
      <c r="X102" s="441"/>
      <c r="Y102" s="441"/>
      <c r="Z102" s="441">
        <f t="shared" si="8"/>
        <v>4004947</v>
      </c>
      <c r="AA102" s="442">
        <v>5200000</v>
      </c>
      <c r="AB102" s="443">
        <v>11</v>
      </c>
      <c r="AC102" s="444">
        <v>44237</v>
      </c>
      <c r="AD102" s="445">
        <v>44251</v>
      </c>
      <c r="AE102" s="442"/>
      <c r="AF102" s="446"/>
      <c r="AG102" s="447"/>
      <c r="AH102" s="445"/>
      <c r="AI102" s="442"/>
      <c r="AJ102" s="443"/>
      <c r="AK102" s="447"/>
      <c r="AL102" s="445"/>
      <c r="AM102" s="442"/>
      <c r="AN102" s="443"/>
      <c r="AO102" s="448"/>
      <c r="AP102" s="445"/>
      <c r="AQ102" s="442"/>
      <c r="AR102" s="443"/>
      <c r="AS102" s="448"/>
      <c r="AT102" s="445"/>
      <c r="AU102" s="449">
        <f t="shared" si="6"/>
        <v>5200000</v>
      </c>
      <c r="AV102" s="457">
        <f t="shared" si="5"/>
        <v>1195053</v>
      </c>
      <c r="AW102" s="451"/>
    </row>
    <row r="103" spans="2:49" s="418" customFormat="1">
      <c r="B103" s="452">
        <f t="shared" si="7"/>
        <v>87</v>
      </c>
      <c r="C103" s="429" t="s">
        <v>39</v>
      </c>
      <c r="D103" s="430">
        <v>30121509</v>
      </c>
      <c r="E103" s="430"/>
      <c r="F103" s="431" t="s">
        <v>1712</v>
      </c>
      <c r="G103" s="432" t="s">
        <v>146</v>
      </c>
      <c r="H103" s="433" t="s">
        <v>1580</v>
      </c>
      <c r="I103" s="434" t="s">
        <v>1624</v>
      </c>
      <c r="J103" s="435" t="s">
        <v>52</v>
      </c>
      <c r="K103" s="454">
        <v>8503680</v>
      </c>
      <c r="L103" s="455">
        <v>0</v>
      </c>
      <c r="M103" s="456">
        <v>8485979</v>
      </c>
      <c r="N103" s="439">
        <v>0</v>
      </c>
      <c r="O103" s="439">
        <v>0</v>
      </c>
      <c r="P103" s="439">
        <v>0</v>
      </c>
      <c r="Q103" s="439">
        <v>0</v>
      </c>
      <c r="R103" s="439">
        <v>0</v>
      </c>
      <c r="S103" s="440">
        <v>0</v>
      </c>
      <c r="T103" s="441"/>
      <c r="U103" s="441"/>
      <c r="V103" s="441"/>
      <c r="W103" s="441"/>
      <c r="X103" s="441"/>
      <c r="Y103" s="441"/>
      <c r="Z103" s="441">
        <f t="shared" si="8"/>
        <v>0</v>
      </c>
      <c r="AA103" s="442">
        <v>10002</v>
      </c>
      <c r="AB103" s="443">
        <v>3</v>
      </c>
      <c r="AC103" s="444">
        <v>44222</v>
      </c>
      <c r="AD103" s="445">
        <v>44225</v>
      </c>
      <c r="AE103" s="442"/>
      <c r="AF103" s="446"/>
      <c r="AG103" s="447"/>
      <c r="AH103" s="445"/>
      <c r="AI103" s="442"/>
      <c r="AJ103" s="443"/>
      <c r="AK103" s="447"/>
      <c r="AL103" s="445"/>
      <c r="AM103" s="442"/>
      <c r="AN103" s="443"/>
      <c r="AO103" s="448"/>
      <c r="AP103" s="445"/>
      <c r="AQ103" s="442"/>
      <c r="AR103" s="443"/>
      <c r="AS103" s="448"/>
      <c r="AT103" s="445"/>
      <c r="AU103" s="449">
        <f t="shared" si="6"/>
        <v>10002</v>
      </c>
      <c r="AV103" s="457">
        <f t="shared" si="5"/>
        <v>10002</v>
      </c>
      <c r="AW103" s="451"/>
    </row>
    <row r="104" spans="2:49" s="418" customFormat="1" ht="24">
      <c r="B104" s="452">
        <f t="shared" si="7"/>
        <v>88</v>
      </c>
      <c r="C104" s="429" t="s">
        <v>39</v>
      </c>
      <c r="D104" s="430">
        <v>30122283</v>
      </c>
      <c r="E104" s="430"/>
      <c r="F104" s="431" t="s">
        <v>1713</v>
      </c>
      <c r="G104" s="432" t="s">
        <v>146</v>
      </c>
      <c r="H104" s="433" t="s">
        <v>1583</v>
      </c>
      <c r="I104" s="434" t="s">
        <v>1714</v>
      </c>
      <c r="J104" s="435"/>
      <c r="K104" s="454">
        <v>5947330</v>
      </c>
      <c r="L104" s="455">
        <v>5943157</v>
      </c>
      <c r="M104" s="456">
        <v>0</v>
      </c>
      <c r="N104" s="439">
        <v>0</v>
      </c>
      <c r="O104" s="439">
        <v>0</v>
      </c>
      <c r="P104" s="439">
        <v>0</v>
      </c>
      <c r="Q104" s="439">
        <v>0</v>
      </c>
      <c r="R104" s="439">
        <v>0</v>
      </c>
      <c r="S104" s="440">
        <v>3602</v>
      </c>
      <c r="T104" s="441"/>
      <c r="U104" s="441"/>
      <c r="V104" s="441">
        <v>548</v>
      </c>
      <c r="W104" s="441"/>
      <c r="X104" s="441"/>
      <c r="Y104" s="441"/>
      <c r="Z104" s="441">
        <f t="shared" si="8"/>
        <v>4150</v>
      </c>
      <c r="AA104" s="442">
        <v>4173</v>
      </c>
      <c r="AB104" s="443">
        <v>25</v>
      </c>
      <c r="AC104" s="444">
        <v>44314</v>
      </c>
      <c r="AD104" s="445">
        <v>44326</v>
      </c>
      <c r="AE104" s="442"/>
      <c r="AF104" s="446"/>
      <c r="AG104" s="447"/>
      <c r="AH104" s="445"/>
      <c r="AI104" s="442"/>
      <c r="AJ104" s="443"/>
      <c r="AK104" s="447"/>
      <c r="AL104" s="445"/>
      <c r="AM104" s="442"/>
      <c r="AN104" s="443"/>
      <c r="AO104" s="448"/>
      <c r="AP104" s="445"/>
      <c r="AQ104" s="442"/>
      <c r="AR104" s="443"/>
      <c r="AS104" s="448"/>
      <c r="AT104" s="445"/>
      <c r="AU104" s="449">
        <f t="shared" si="6"/>
        <v>4173</v>
      </c>
      <c r="AV104" s="457">
        <f t="shared" si="5"/>
        <v>23</v>
      </c>
      <c r="AW104" s="451"/>
    </row>
    <row r="105" spans="2:49" s="418" customFormat="1" ht="24">
      <c r="B105" s="452">
        <f t="shared" si="7"/>
        <v>89</v>
      </c>
      <c r="C105" s="429" t="s">
        <v>39</v>
      </c>
      <c r="D105" s="430">
        <v>30124436</v>
      </c>
      <c r="E105" s="430"/>
      <c r="F105" s="431" t="s">
        <v>1715</v>
      </c>
      <c r="G105" s="432" t="s">
        <v>146</v>
      </c>
      <c r="H105" s="433" t="s">
        <v>1580</v>
      </c>
      <c r="I105" s="434" t="s">
        <v>1689</v>
      </c>
      <c r="J105" s="435" t="s">
        <v>44</v>
      </c>
      <c r="K105" s="454">
        <v>2542865</v>
      </c>
      <c r="L105" s="455">
        <v>2241225</v>
      </c>
      <c r="M105" s="456">
        <v>0</v>
      </c>
      <c r="N105" s="439">
        <v>0</v>
      </c>
      <c r="O105" s="439">
        <v>95072</v>
      </c>
      <c r="P105" s="439">
        <v>44009</v>
      </c>
      <c r="Q105" s="439">
        <v>42011</v>
      </c>
      <c r="R105" s="439">
        <v>58558</v>
      </c>
      <c r="S105" s="440">
        <v>26425</v>
      </c>
      <c r="T105" s="441">
        <v>23358</v>
      </c>
      <c r="U105" s="441">
        <v>7292</v>
      </c>
      <c r="V105" s="441">
        <v>4913</v>
      </c>
      <c r="W105" s="441"/>
      <c r="X105" s="441"/>
      <c r="Y105" s="441"/>
      <c r="Z105" s="441">
        <f t="shared" si="8"/>
        <v>301638</v>
      </c>
      <c r="AA105" s="442">
        <v>301640</v>
      </c>
      <c r="AB105" s="443">
        <v>5</v>
      </c>
      <c r="AC105" s="444">
        <v>44224</v>
      </c>
      <c r="AD105" s="445">
        <v>44251</v>
      </c>
      <c r="AE105" s="442"/>
      <c r="AF105" s="446"/>
      <c r="AG105" s="447"/>
      <c r="AH105" s="445"/>
      <c r="AI105" s="442"/>
      <c r="AJ105" s="443"/>
      <c r="AK105" s="447"/>
      <c r="AL105" s="445"/>
      <c r="AM105" s="442"/>
      <c r="AN105" s="443"/>
      <c r="AO105" s="448"/>
      <c r="AP105" s="445"/>
      <c r="AQ105" s="442"/>
      <c r="AR105" s="443"/>
      <c r="AS105" s="448"/>
      <c r="AT105" s="445"/>
      <c r="AU105" s="449">
        <f t="shared" si="6"/>
        <v>301640</v>
      </c>
      <c r="AV105" s="457">
        <f t="shared" si="5"/>
        <v>2</v>
      </c>
      <c r="AW105" s="451"/>
    </row>
    <row r="106" spans="2:49" s="418" customFormat="1">
      <c r="B106" s="452">
        <f t="shared" si="7"/>
        <v>90</v>
      </c>
      <c r="C106" s="429" t="s">
        <v>39</v>
      </c>
      <c r="D106" s="430">
        <v>30126057</v>
      </c>
      <c r="E106" s="430"/>
      <c r="F106" s="431" t="s">
        <v>1716</v>
      </c>
      <c r="G106" s="432" t="s">
        <v>146</v>
      </c>
      <c r="H106" s="433" t="s">
        <v>1580</v>
      </c>
      <c r="I106" s="434" t="s">
        <v>1612</v>
      </c>
      <c r="J106" s="435" t="s">
        <v>44</v>
      </c>
      <c r="K106" s="454">
        <v>798504</v>
      </c>
      <c r="L106" s="455">
        <v>279609</v>
      </c>
      <c r="M106" s="456">
        <v>0</v>
      </c>
      <c r="N106" s="439">
        <v>0</v>
      </c>
      <c r="O106" s="439">
        <v>66950</v>
      </c>
      <c r="P106" s="439">
        <v>1932</v>
      </c>
      <c r="Q106" s="439">
        <v>77355</v>
      </c>
      <c r="R106" s="439">
        <v>16641</v>
      </c>
      <c r="S106" s="440">
        <v>29676</v>
      </c>
      <c r="T106" s="441">
        <v>22803</v>
      </c>
      <c r="U106" s="441">
        <v>41800</v>
      </c>
      <c r="V106" s="441">
        <v>13024</v>
      </c>
      <c r="W106" s="441"/>
      <c r="X106" s="441"/>
      <c r="Y106" s="441"/>
      <c r="Z106" s="441">
        <f t="shared" si="8"/>
        <v>270181</v>
      </c>
      <c r="AA106" s="442">
        <v>518571</v>
      </c>
      <c r="AB106" s="443">
        <v>11</v>
      </c>
      <c r="AC106" s="444">
        <v>44237</v>
      </c>
      <c r="AD106" s="445">
        <v>44251</v>
      </c>
      <c r="AE106" s="442"/>
      <c r="AF106" s="446"/>
      <c r="AG106" s="447"/>
      <c r="AH106" s="445"/>
      <c r="AI106" s="442"/>
      <c r="AJ106" s="443"/>
      <c r="AK106" s="447"/>
      <c r="AL106" s="445"/>
      <c r="AM106" s="442"/>
      <c r="AN106" s="443"/>
      <c r="AO106" s="448"/>
      <c r="AP106" s="445"/>
      <c r="AQ106" s="442"/>
      <c r="AR106" s="443"/>
      <c r="AS106" s="448"/>
      <c r="AT106" s="445"/>
      <c r="AU106" s="449">
        <f t="shared" si="6"/>
        <v>518571</v>
      </c>
      <c r="AV106" s="457">
        <f t="shared" si="5"/>
        <v>248390</v>
      </c>
      <c r="AW106" s="451"/>
    </row>
    <row r="107" spans="2:49" s="418" customFormat="1">
      <c r="B107" s="452">
        <f t="shared" si="7"/>
        <v>91</v>
      </c>
      <c r="C107" s="429" t="s">
        <v>39</v>
      </c>
      <c r="D107" s="430">
        <v>30126622</v>
      </c>
      <c r="E107" s="430"/>
      <c r="F107" s="431" t="s">
        <v>1717</v>
      </c>
      <c r="G107" s="432" t="s">
        <v>146</v>
      </c>
      <c r="H107" s="433" t="s">
        <v>1580</v>
      </c>
      <c r="I107" s="434" t="s">
        <v>1647</v>
      </c>
      <c r="J107" s="435" t="s">
        <v>44</v>
      </c>
      <c r="K107" s="454">
        <v>7105567</v>
      </c>
      <c r="L107" s="455">
        <v>8666</v>
      </c>
      <c r="M107" s="456">
        <v>5076900</v>
      </c>
      <c r="N107" s="439">
        <v>0</v>
      </c>
      <c r="O107" s="439">
        <v>0</v>
      </c>
      <c r="P107" s="439">
        <v>117664</v>
      </c>
      <c r="Q107" s="439">
        <v>180249</v>
      </c>
      <c r="R107" s="439">
        <v>288088</v>
      </c>
      <c r="S107" s="440">
        <v>293437</v>
      </c>
      <c r="T107" s="441">
        <v>346332</v>
      </c>
      <c r="U107" s="441">
        <v>414427</v>
      </c>
      <c r="V107" s="441">
        <v>374039</v>
      </c>
      <c r="W107" s="441"/>
      <c r="X107" s="441"/>
      <c r="Y107" s="441"/>
      <c r="Z107" s="441">
        <f t="shared" si="8"/>
        <v>2014236</v>
      </c>
      <c r="AA107" s="442">
        <v>1020000</v>
      </c>
      <c r="AB107" s="443">
        <v>9</v>
      </c>
      <c r="AC107" s="444">
        <v>44232</v>
      </c>
      <c r="AD107" s="445">
        <v>44251</v>
      </c>
      <c r="AE107" s="442">
        <v>1000000</v>
      </c>
      <c r="AF107" s="446">
        <v>39</v>
      </c>
      <c r="AG107" s="447">
        <v>44334</v>
      </c>
      <c r="AH107" s="445">
        <v>44342</v>
      </c>
      <c r="AI107" s="442">
        <v>2</v>
      </c>
      <c r="AJ107" s="443">
        <v>50</v>
      </c>
      <c r="AK107" s="447">
        <v>44356</v>
      </c>
      <c r="AL107" s="445">
        <v>44377</v>
      </c>
      <c r="AM107" s="442">
        <v>39998</v>
      </c>
      <c r="AN107" s="443">
        <v>86</v>
      </c>
      <c r="AO107" s="445">
        <v>44421</v>
      </c>
      <c r="AP107" s="445">
        <v>44435</v>
      </c>
      <c r="AQ107" s="442"/>
      <c r="AR107" s="443"/>
      <c r="AS107" s="448"/>
      <c r="AT107" s="445"/>
      <c r="AU107" s="449">
        <f t="shared" si="6"/>
        <v>2060000</v>
      </c>
      <c r="AV107" s="457">
        <f t="shared" si="5"/>
        <v>45764</v>
      </c>
      <c r="AW107" s="451"/>
    </row>
    <row r="108" spans="2:49" s="418" customFormat="1">
      <c r="B108" s="452">
        <f t="shared" si="7"/>
        <v>92</v>
      </c>
      <c r="C108" s="429" t="s">
        <v>39</v>
      </c>
      <c r="D108" s="430">
        <v>30126701</v>
      </c>
      <c r="E108" s="430"/>
      <c r="F108" s="431" t="s">
        <v>1718</v>
      </c>
      <c r="G108" s="432" t="s">
        <v>146</v>
      </c>
      <c r="H108" s="433" t="s">
        <v>1580</v>
      </c>
      <c r="I108" s="434" t="s">
        <v>1703</v>
      </c>
      <c r="J108" s="435" t="s">
        <v>52</v>
      </c>
      <c r="K108" s="454">
        <v>717594</v>
      </c>
      <c r="L108" s="455">
        <v>0</v>
      </c>
      <c r="M108" s="456">
        <v>623396</v>
      </c>
      <c r="N108" s="439">
        <v>0</v>
      </c>
      <c r="O108" s="439">
        <v>0</v>
      </c>
      <c r="P108" s="439">
        <v>0</v>
      </c>
      <c r="Q108" s="439">
        <v>0</v>
      </c>
      <c r="R108" s="439">
        <v>0</v>
      </c>
      <c r="S108" s="440">
        <v>0</v>
      </c>
      <c r="T108" s="441"/>
      <c r="U108" s="441"/>
      <c r="V108" s="441"/>
      <c r="W108" s="441"/>
      <c r="X108" s="441"/>
      <c r="Y108" s="441"/>
      <c r="Z108" s="441">
        <f t="shared" si="8"/>
        <v>0</v>
      </c>
      <c r="AA108" s="442">
        <v>94106</v>
      </c>
      <c r="AB108" s="443">
        <v>3</v>
      </c>
      <c r="AC108" s="444">
        <v>44222</v>
      </c>
      <c r="AD108" s="445">
        <v>44225</v>
      </c>
      <c r="AE108" s="442">
        <v>-88000</v>
      </c>
      <c r="AF108" s="446">
        <v>86</v>
      </c>
      <c r="AG108" s="447">
        <v>44421</v>
      </c>
      <c r="AH108" s="445">
        <v>44435</v>
      </c>
      <c r="AI108" s="442"/>
      <c r="AJ108" s="443"/>
      <c r="AK108" s="447"/>
      <c r="AL108" s="445"/>
      <c r="AM108" s="442"/>
      <c r="AN108" s="443"/>
      <c r="AO108" s="448"/>
      <c r="AP108" s="445"/>
      <c r="AQ108" s="442"/>
      <c r="AR108" s="443"/>
      <c r="AS108" s="448"/>
      <c r="AT108" s="445"/>
      <c r="AU108" s="449">
        <f t="shared" si="6"/>
        <v>6106</v>
      </c>
      <c r="AV108" s="457">
        <f t="shared" si="5"/>
        <v>6106</v>
      </c>
      <c r="AW108" s="451"/>
    </row>
    <row r="109" spans="2:49" s="418" customFormat="1" ht="24">
      <c r="B109" s="452">
        <f t="shared" si="7"/>
        <v>93</v>
      </c>
      <c r="C109" s="429" t="s">
        <v>39</v>
      </c>
      <c r="D109" s="430">
        <v>30129336</v>
      </c>
      <c r="E109" s="430"/>
      <c r="F109" s="431" t="s">
        <v>1719</v>
      </c>
      <c r="G109" s="432" t="s">
        <v>158</v>
      </c>
      <c r="H109" s="433" t="s">
        <v>1580</v>
      </c>
      <c r="I109" s="434" t="s">
        <v>1603</v>
      </c>
      <c r="J109" s="435" t="s">
        <v>52</v>
      </c>
      <c r="K109" s="454">
        <v>45021</v>
      </c>
      <c r="L109" s="455">
        <v>0</v>
      </c>
      <c r="M109" s="456">
        <v>990</v>
      </c>
      <c r="N109" s="440">
        <v>0</v>
      </c>
      <c r="O109" s="440">
        <v>0</v>
      </c>
      <c r="P109" s="440">
        <v>0</v>
      </c>
      <c r="Q109" s="440">
        <v>0</v>
      </c>
      <c r="R109" s="440">
        <v>0</v>
      </c>
      <c r="S109" s="440">
        <v>0</v>
      </c>
      <c r="T109" s="441"/>
      <c r="U109" s="441"/>
      <c r="V109" s="441">
        <v>12100</v>
      </c>
      <c r="W109" s="441"/>
      <c r="X109" s="441"/>
      <c r="Y109" s="441"/>
      <c r="Z109" s="441">
        <f t="shared" si="8"/>
        <v>12100</v>
      </c>
      <c r="AA109" s="442">
        <v>22016</v>
      </c>
      <c r="AB109" s="443">
        <v>5</v>
      </c>
      <c r="AC109" s="444">
        <v>44224</v>
      </c>
      <c r="AD109" s="445">
        <v>44251</v>
      </c>
      <c r="AE109" s="442">
        <v>-7496</v>
      </c>
      <c r="AF109" s="446">
        <v>50</v>
      </c>
      <c r="AG109" s="447">
        <v>44356</v>
      </c>
      <c r="AH109" s="445">
        <v>44377</v>
      </c>
      <c r="AI109" s="442"/>
      <c r="AJ109" s="443"/>
      <c r="AK109" s="447"/>
      <c r="AL109" s="445"/>
      <c r="AM109" s="442"/>
      <c r="AN109" s="443"/>
      <c r="AO109" s="448"/>
      <c r="AP109" s="445"/>
      <c r="AQ109" s="442"/>
      <c r="AR109" s="443"/>
      <c r="AS109" s="448"/>
      <c r="AT109" s="445"/>
      <c r="AU109" s="449">
        <f t="shared" si="6"/>
        <v>14520</v>
      </c>
      <c r="AV109" s="457">
        <f t="shared" si="5"/>
        <v>2420</v>
      </c>
      <c r="AW109" s="451"/>
    </row>
    <row r="110" spans="2:49" s="418" customFormat="1" ht="24">
      <c r="B110" s="452">
        <f t="shared" si="7"/>
        <v>94</v>
      </c>
      <c r="C110" s="429" t="s">
        <v>39</v>
      </c>
      <c r="D110" s="430">
        <v>30129998</v>
      </c>
      <c r="E110" s="430"/>
      <c r="F110" s="431" t="s">
        <v>1720</v>
      </c>
      <c r="G110" s="432" t="s">
        <v>146</v>
      </c>
      <c r="H110" s="433" t="s">
        <v>1580</v>
      </c>
      <c r="I110" s="434" t="s">
        <v>1605</v>
      </c>
      <c r="J110" s="435" t="s">
        <v>44</v>
      </c>
      <c r="K110" s="454">
        <v>1640993</v>
      </c>
      <c r="L110" s="455">
        <v>1288338</v>
      </c>
      <c r="M110" s="456">
        <v>0</v>
      </c>
      <c r="N110" s="440">
        <v>0</v>
      </c>
      <c r="O110" s="440">
        <v>0</v>
      </c>
      <c r="P110" s="440">
        <v>85692</v>
      </c>
      <c r="Q110" s="440">
        <v>59365</v>
      </c>
      <c r="R110" s="440">
        <v>0</v>
      </c>
      <c r="S110" s="440">
        <v>0</v>
      </c>
      <c r="T110" s="441"/>
      <c r="U110" s="441">
        <v>63650</v>
      </c>
      <c r="V110" s="441"/>
      <c r="W110" s="441"/>
      <c r="X110" s="441"/>
      <c r="Y110" s="441"/>
      <c r="Z110" s="441">
        <f t="shared" si="8"/>
        <v>208707</v>
      </c>
      <c r="AA110" s="442">
        <v>278048</v>
      </c>
      <c r="AB110" s="443">
        <v>15</v>
      </c>
      <c r="AC110" s="444">
        <v>44259</v>
      </c>
      <c r="AD110" s="445">
        <v>44274</v>
      </c>
      <c r="AE110" s="442">
        <v>74607</v>
      </c>
      <c r="AF110" s="446">
        <v>22</v>
      </c>
      <c r="AG110" s="447">
        <v>44301</v>
      </c>
      <c r="AH110" s="445">
        <v>44313</v>
      </c>
      <c r="AI110" s="442"/>
      <c r="AJ110" s="443"/>
      <c r="AK110" s="447"/>
      <c r="AL110" s="445"/>
      <c r="AM110" s="442"/>
      <c r="AN110" s="443"/>
      <c r="AO110" s="448"/>
      <c r="AP110" s="445"/>
      <c r="AQ110" s="442"/>
      <c r="AR110" s="443"/>
      <c r="AS110" s="448"/>
      <c r="AT110" s="445"/>
      <c r="AU110" s="449">
        <f t="shared" si="6"/>
        <v>352655</v>
      </c>
      <c r="AV110" s="457">
        <f t="shared" si="5"/>
        <v>143948</v>
      </c>
      <c r="AW110" s="451"/>
    </row>
    <row r="111" spans="2:49" s="418" customFormat="1" ht="24">
      <c r="B111" s="452">
        <f t="shared" si="7"/>
        <v>95</v>
      </c>
      <c r="C111" s="429" t="s">
        <v>39</v>
      </c>
      <c r="D111" s="430">
        <v>30130354</v>
      </c>
      <c r="E111" s="430"/>
      <c r="F111" s="431" t="s">
        <v>1721</v>
      </c>
      <c r="G111" s="432" t="s">
        <v>146</v>
      </c>
      <c r="H111" s="433" t="s">
        <v>1580</v>
      </c>
      <c r="I111" s="434" t="s">
        <v>1722</v>
      </c>
      <c r="J111" s="435" t="s">
        <v>52</v>
      </c>
      <c r="K111" s="454">
        <v>782332</v>
      </c>
      <c r="L111" s="455">
        <v>0</v>
      </c>
      <c r="M111" s="456">
        <v>477845</v>
      </c>
      <c r="N111" s="440">
        <v>0</v>
      </c>
      <c r="O111" s="440">
        <v>0</v>
      </c>
      <c r="P111" s="440">
        <v>0</v>
      </c>
      <c r="Q111" s="440">
        <v>0</v>
      </c>
      <c r="R111" s="440">
        <v>0</v>
      </c>
      <c r="S111" s="440">
        <v>0</v>
      </c>
      <c r="T111" s="441"/>
      <c r="U111" s="441"/>
      <c r="V111" s="441">
        <v>34840</v>
      </c>
      <c r="W111" s="441"/>
      <c r="X111" s="441"/>
      <c r="Y111" s="441"/>
      <c r="Z111" s="441">
        <f t="shared" si="8"/>
        <v>34840</v>
      </c>
      <c r="AA111" s="442">
        <v>304388</v>
      </c>
      <c r="AB111" s="443">
        <v>3</v>
      </c>
      <c r="AC111" s="444">
        <v>44222</v>
      </c>
      <c r="AD111" s="445">
        <v>44225</v>
      </c>
      <c r="AE111" s="442"/>
      <c r="AF111" s="446"/>
      <c r="AG111" s="447"/>
      <c r="AH111" s="445"/>
      <c r="AI111" s="442"/>
      <c r="AJ111" s="443"/>
      <c r="AK111" s="447"/>
      <c r="AL111" s="445"/>
      <c r="AM111" s="442"/>
      <c r="AN111" s="443"/>
      <c r="AO111" s="448"/>
      <c r="AP111" s="445"/>
      <c r="AQ111" s="442"/>
      <c r="AR111" s="443"/>
      <c r="AS111" s="448"/>
      <c r="AT111" s="445"/>
      <c r="AU111" s="449">
        <f t="shared" si="6"/>
        <v>304388</v>
      </c>
      <c r="AV111" s="457">
        <f t="shared" si="5"/>
        <v>269548</v>
      </c>
      <c r="AW111" s="451"/>
    </row>
    <row r="112" spans="2:49" s="418" customFormat="1" ht="24">
      <c r="B112" s="452">
        <f t="shared" si="7"/>
        <v>96</v>
      </c>
      <c r="C112" s="429" t="s">
        <v>39</v>
      </c>
      <c r="D112" s="430">
        <v>30130586</v>
      </c>
      <c r="E112" s="430"/>
      <c r="F112" s="431" t="s">
        <v>1723</v>
      </c>
      <c r="G112" s="432" t="s">
        <v>158</v>
      </c>
      <c r="H112" s="433" t="s">
        <v>1580</v>
      </c>
      <c r="I112" s="434" t="s">
        <v>1628</v>
      </c>
      <c r="J112" s="435" t="s">
        <v>52</v>
      </c>
      <c r="K112" s="454">
        <v>55617</v>
      </c>
      <c r="L112" s="455">
        <v>0</v>
      </c>
      <c r="M112" s="456">
        <v>1</v>
      </c>
      <c r="N112" s="440">
        <v>0</v>
      </c>
      <c r="O112" s="440">
        <v>0</v>
      </c>
      <c r="P112" s="440">
        <v>12381</v>
      </c>
      <c r="Q112" s="440">
        <v>0</v>
      </c>
      <c r="R112" s="440">
        <v>0</v>
      </c>
      <c r="S112" s="440">
        <v>14858</v>
      </c>
      <c r="T112" s="441"/>
      <c r="U112" s="441"/>
      <c r="V112" s="441"/>
      <c r="W112" s="441"/>
      <c r="X112" s="441"/>
      <c r="Y112" s="441"/>
      <c r="Z112" s="441">
        <f t="shared" si="8"/>
        <v>27239</v>
      </c>
      <c r="AA112" s="442">
        <v>49526</v>
      </c>
      <c r="AB112" s="443">
        <v>5</v>
      </c>
      <c r="AC112" s="444">
        <v>44224</v>
      </c>
      <c r="AD112" s="445">
        <v>44251</v>
      </c>
      <c r="AE112" s="442"/>
      <c r="AF112" s="446"/>
      <c r="AG112" s="447"/>
      <c r="AH112" s="445"/>
      <c r="AI112" s="442"/>
      <c r="AJ112" s="443"/>
      <c r="AK112" s="447"/>
      <c r="AL112" s="445"/>
      <c r="AM112" s="442"/>
      <c r="AN112" s="443"/>
      <c r="AO112" s="448"/>
      <c r="AP112" s="445"/>
      <c r="AQ112" s="442"/>
      <c r="AR112" s="443"/>
      <c r="AS112" s="448"/>
      <c r="AT112" s="445"/>
      <c r="AU112" s="449">
        <f t="shared" si="6"/>
        <v>49526</v>
      </c>
      <c r="AV112" s="457">
        <f t="shared" si="5"/>
        <v>22287</v>
      </c>
      <c r="AW112" s="451"/>
    </row>
    <row r="113" spans="2:49" s="418" customFormat="1">
      <c r="B113" s="452">
        <f t="shared" si="7"/>
        <v>97</v>
      </c>
      <c r="C113" s="429" t="s">
        <v>39</v>
      </c>
      <c r="D113" s="430">
        <v>30131751</v>
      </c>
      <c r="E113" s="430"/>
      <c r="F113" s="431" t="s">
        <v>1724</v>
      </c>
      <c r="G113" s="432" t="s">
        <v>146</v>
      </c>
      <c r="H113" s="433" t="s">
        <v>1580</v>
      </c>
      <c r="I113" s="434" t="s">
        <v>1725</v>
      </c>
      <c r="J113" s="435" t="s">
        <v>44</v>
      </c>
      <c r="K113" s="454">
        <v>1486856</v>
      </c>
      <c r="L113" s="455">
        <v>1415290</v>
      </c>
      <c r="M113" s="456">
        <v>0</v>
      </c>
      <c r="N113" s="440">
        <v>0</v>
      </c>
      <c r="O113" s="440">
        <v>0</v>
      </c>
      <c r="P113" s="440">
        <v>0</v>
      </c>
      <c r="Q113" s="440">
        <v>0</v>
      </c>
      <c r="R113" s="440">
        <v>0</v>
      </c>
      <c r="S113" s="440">
        <v>0</v>
      </c>
      <c r="T113" s="441"/>
      <c r="U113" s="441"/>
      <c r="V113" s="441"/>
      <c r="W113" s="441"/>
      <c r="X113" s="441"/>
      <c r="Y113" s="441"/>
      <c r="Z113" s="441">
        <f t="shared" si="8"/>
        <v>0</v>
      </c>
      <c r="AA113" s="442">
        <v>71566</v>
      </c>
      <c r="AB113" s="443">
        <v>5</v>
      </c>
      <c r="AC113" s="444">
        <v>44224</v>
      </c>
      <c r="AD113" s="445">
        <v>44251</v>
      </c>
      <c r="AE113" s="442"/>
      <c r="AF113" s="446"/>
      <c r="AG113" s="447"/>
      <c r="AH113" s="445"/>
      <c r="AI113" s="442"/>
      <c r="AJ113" s="443"/>
      <c r="AK113" s="447"/>
      <c r="AL113" s="445"/>
      <c r="AM113" s="442"/>
      <c r="AN113" s="443"/>
      <c r="AO113" s="448"/>
      <c r="AP113" s="445"/>
      <c r="AQ113" s="442"/>
      <c r="AR113" s="443"/>
      <c r="AS113" s="448"/>
      <c r="AT113" s="445"/>
      <c r="AU113" s="449">
        <f t="shared" si="6"/>
        <v>71566</v>
      </c>
      <c r="AV113" s="457">
        <f t="shared" si="5"/>
        <v>71566</v>
      </c>
      <c r="AW113" s="451"/>
    </row>
    <row r="114" spans="2:49" s="418" customFormat="1">
      <c r="B114" s="452">
        <f t="shared" si="7"/>
        <v>98</v>
      </c>
      <c r="C114" s="429" t="s">
        <v>39</v>
      </c>
      <c r="D114" s="430">
        <v>30132531</v>
      </c>
      <c r="E114" s="430"/>
      <c r="F114" s="431" t="s">
        <v>1726</v>
      </c>
      <c r="G114" s="432" t="s">
        <v>1727</v>
      </c>
      <c r="H114" s="433" t="s">
        <v>1580</v>
      </c>
      <c r="I114" s="434" t="s">
        <v>1588</v>
      </c>
      <c r="J114" s="435" t="s">
        <v>44</v>
      </c>
      <c r="K114" s="454">
        <v>110795</v>
      </c>
      <c r="L114" s="455">
        <v>45473</v>
      </c>
      <c r="M114" s="456">
        <v>0</v>
      </c>
      <c r="N114" s="440">
        <v>0</v>
      </c>
      <c r="O114" s="440">
        <v>0</v>
      </c>
      <c r="P114" s="440">
        <v>0</v>
      </c>
      <c r="Q114" s="440">
        <v>14960</v>
      </c>
      <c r="R114" s="440">
        <v>0</v>
      </c>
      <c r="S114" s="440">
        <v>0</v>
      </c>
      <c r="T114" s="441"/>
      <c r="U114" s="441"/>
      <c r="V114" s="441"/>
      <c r="W114" s="441"/>
      <c r="X114" s="441"/>
      <c r="Y114" s="441"/>
      <c r="Z114" s="441">
        <f t="shared" si="8"/>
        <v>14960</v>
      </c>
      <c r="AA114" s="442">
        <v>39031</v>
      </c>
      <c r="AB114" s="443">
        <v>11</v>
      </c>
      <c r="AC114" s="444">
        <v>44237</v>
      </c>
      <c r="AD114" s="445">
        <v>44251</v>
      </c>
      <c r="AE114" s="442"/>
      <c r="AF114" s="446"/>
      <c r="AG114" s="447"/>
      <c r="AH114" s="445"/>
      <c r="AI114" s="442"/>
      <c r="AJ114" s="443"/>
      <c r="AK114" s="447"/>
      <c r="AL114" s="445"/>
      <c r="AM114" s="442"/>
      <c r="AN114" s="443"/>
      <c r="AO114" s="448"/>
      <c r="AP114" s="445"/>
      <c r="AQ114" s="442"/>
      <c r="AR114" s="443"/>
      <c r="AS114" s="448"/>
      <c r="AT114" s="445"/>
      <c r="AU114" s="449">
        <f t="shared" si="6"/>
        <v>39031</v>
      </c>
      <c r="AV114" s="457">
        <f t="shared" si="5"/>
        <v>24071</v>
      </c>
      <c r="AW114" s="451"/>
    </row>
    <row r="115" spans="2:49" s="418" customFormat="1" ht="24">
      <c r="B115" s="452">
        <f t="shared" si="7"/>
        <v>99</v>
      </c>
      <c r="C115" s="429" t="s">
        <v>39</v>
      </c>
      <c r="D115" s="430">
        <v>30132928</v>
      </c>
      <c r="E115" s="430"/>
      <c r="F115" s="431" t="s">
        <v>1728</v>
      </c>
      <c r="G115" s="432" t="s">
        <v>146</v>
      </c>
      <c r="H115" s="433" t="s">
        <v>1580</v>
      </c>
      <c r="I115" s="434" t="s">
        <v>1624</v>
      </c>
      <c r="J115" s="435" t="s">
        <v>52</v>
      </c>
      <c r="K115" s="454">
        <v>1383596</v>
      </c>
      <c r="L115" s="455">
        <v>0</v>
      </c>
      <c r="M115" s="456">
        <v>1156526</v>
      </c>
      <c r="N115" s="439">
        <v>0</v>
      </c>
      <c r="O115" s="439">
        <v>0</v>
      </c>
      <c r="P115" s="439">
        <v>0</v>
      </c>
      <c r="Q115" s="439">
        <v>0</v>
      </c>
      <c r="R115" s="439">
        <v>0</v>
      </c>
      <c r="S115" s="440">
        <v>0</v>
      </c>
      <c r="T115" s="441"/>
      <c r="U115" s="441"/>
      <c r="V115" s="441">
        <v>39715</v>
      </c>
      <c r="W115" s="441"/>
      <c r="X115" s="441"/>
      <c r="Y115" s="441"/>
      <c r="Z115" s="441">
        <f t="shared" si="8"/>
        <v>39715</v>
      </c>
      <c r="AA115" s="442">
        <v>227070</v>
      </c>
      <c r="AB115" s="443">
        <v>3</v>
      </c>
      <c r="AC115" s="444">
        <v>44222</v>
      </c>
      <c r="AD115" s="445">
        <v>44225</v>
      </c>
      <c r="AE115" s="442">
        <v>435374</v>
      </c>
      <c r="AF115" s="446">
        <v>86</v>
      </c>
      <c r="AG115" s="447">
        <v>44421</v>
      </c>
      <c r="AH115" s="445">
        <v>44435</v>
      </c>
      <c r="AI115" s="442"/>
      <c r="AJ115" s="443"/>
      <c r="AK115" s="447"/>
      <c r="AL115" s="445"/>
      <c r="AM115" s="442"/>
      <c r="AN115" s="443"/>
      <c r="AO115" s="448"/>
      <c r="AP115" s="445"/>
      <c r="AQ115" s="442"/>
      <c r="AR115" s="443"/>
      <c r="AS115" s="448"/>
      <c r="AT115" s="445"/>
      <c r="AU115" s="449">
        <f t="shared" si="6"/>
        <v>662444</v>
      </c>
      <c r="AV115" s="457">
        <f t="shared" si="5"/>
        <v>622729</v>
      </c>
      <c r="AW115" s="451"/>
    </row>
    <row r="116" spans="2:49" s="418" customFormat="1">
      <c r="B116" s="452">
        <f t="shared" si="7"/>
        <v>100</v>
      </c>
      <c r="C116" s="429" t="s">
        <v>39</v>
      </c>
      <c r="D116" s="430">
        <v>30135312</v>
      </c>
      <c r="E116" s="430"/>
      <c r="F116" s="431" t="s">
        <v>1729</v>
      </c>
      <c r="G116" s="432" t="s">
        <v>146</v>
      </c>
      <c r="H116" s="433" t="s">
        <v>1580</v>
      </c>
      <c r="I116" s="434" t="s">
        <v>1730</v>
      </c>
      <c r="J116" s="435"/>
      <c r="K116" s="454">
        <v>116123</v>
      </c>
      <c r="L116" s="455"/>
      <c r="M116" s="456">
        <v>116122</v>
      </c>
      <c r="N116" s="439">
        <v>0</v>
      </c>
      <c r="O116" s="439">
        <v>0</v>
      </c>
      <c r="P116" s="439">
        <v>0</v>
      </c>
      <c r="Q116" s="439">
        <v>0</v>
      </c>
      <c r="R116" s="439">
        <v>0</v>
      </c>
      <c r="S116" s="440">
        <v>0</v>
      </c>
      <c r="T116" s="441"/>
      <c r="U116" s="441"/>
      <c r="V116" s="441"/>
      <c r="W116" s="441"/>
      <c r="X116" s="441"/>
      <c r="Y116" s="441"/>
      <c r="Z116" s="441">
        <f t="shared" si="8"/>
        <v>0</v>
      </c>
      <c r="AA116" s="442">
        <v>110000</v>
      </c>
      <c r="AB116" s="443">
        <v>22</v>
      </c>
      <c r="AC116" s="444">
        <v>44301</v>
      </c>
      <c r="AD116" s="445">
        <v>44313</v>
      </c>
      <c r="AE116" s="442"/>
      <c r="AF116" s="446"/>
      <c r="AG116" s="447"/>
      <c r="AH116" s="445"/>
      <c r="AI116" s="442"/>
      <c r="AJ116" s="443"/>
      <c r="AK116" s="447"/>
      <c r="AL116" s="445"/>
      <c r="AM116" s="442"/>
      <c r="AN116" s="443"/>
      <c r="AO116" s="448"/>
      <c r="AP116" s="445"/>
      <c r="AQ116" s="442"/>
      <c r="AR116" s="443"/>
      <c r="AS116" s="448"/>
      <c r="AT116" s="445"/>
      <c r="AU116" s="449">
        <f t="shared" si="6"/>
        <v>110000</v>
      </c>
      <c r="AV116" s="457">
        <f t="shared" si="5"/>
        <v>110000</v>
      </c>
      <c r="AW116" s="451"/>
    </row>
    <row r="117" spans="2:49" s="418" customFormat="1">
      <c r="B117" s="452">
        <f t="shared" si="7"/>
        <v>101</v>
      </c>
      <c r="C117" s="429" t="s">
        <v>39</v>
      </c>
      <c r="D117" s="430">
        <v>30135708</v>
      </c>
      <c r="E117" s="430"/>
      <c r="F117" s="431" t="s">
        <v>1731</v>
      </c>
      <c r="G117" s="432" t="s">
        <v>146</v>
      </c>
      <c r="H117" s="433" t="s">
        <v>1580</v>
      </c>
      <c r="I117" s="434" t="s">
        <v>1732</v>
      </c>
      <c r="J117" s="435" t="s">
        <v>44</v>
      </c>
      <c r="K117" s="454">
        <v>1156188</v>
      </c>
      <c r="L117" s="455">
        <v>1125554</v>
      </c>
      <c r="M117" s="456">
        <v>1277</v>
      </c>
      <c r="N117" s="439">
        <v>0</v>
      </c>
      <c r="O117" s="439">
        <v>1569</v>
      </c>
      <c r="P117" s="439">
        <v>19316</v>
      </c>
      <c r="Q117" s="439">
        <v>6950</v>
      </c>
      <c r="R117" s="439">
        <v>0</v>
      </c>
      <c r="S117" s="440">
        <v>0</v>
      </c>
      <c r="T117" s="441"/>
      <c r="U117" s="441"/>
      <c r="V117" s="441"/>
      <c r="W117" s="441"/>
      <c r="X117" s="441"/>
      <c r="Y117" s="441"/>
      <c r="Z117" s="441">
        <f t="shared" si="8"/>
        <v>27835</v>
      </c>
      <c r="AA117" s="442">
        <v>28041</v>
      </c>
      <c r="AB117" s="443">
        <v>11</v>
      </c>
      <c r="AC117" s="444">
        <v>44237</v>
      </c>
      <c r="AD117" s="445">
        <v>44251</v>
      </c>
      <c r="AE117" s="442"/>
      <c r="AF117" s="446"/>
      <c r="AG117" s="447"/>
      <c r="AH117" s="445"/>
      <c r="AI117" s="442"/>
      <c r="AJ117" s="443"/>
      <c r="AK117" s="447"/>
      <c r="AL117" s="445"/>
      <c r="AM117" s="442"/>
      <c r="AN117" s="443"/>
      <c r="AO117" s="448"/>
      <c r="AP117" s="445"/>
      <c r="AQ117" s="442"/>
      <c r="AR117" s="443"/>
      <c r="AS117" s="448"/>
      <c r="AT117" s="445"/>
      <c r="AU117" s="449">
        <f t="shared" si="6"/>
        <v>28041</v>
      </c>
      <c r="AV117" s="457">
        <f t="shared" si="5"/>
        <v>206</v>
      </c>
      <c r="AW117" s="451"/>
    </row>
    <row r="118" spans="2:49" s="418" customFormat="1">
      <c r="B118" s="452">
        <f t="shared" si="7"/>
        <v>102</v>
      </c>
      <c r="C118" s="429" t="s">
        <v>39</v>
      </c>
      <c r="D118" s="430">
        <v>30136315</v>
      </c>
      <c r="E118" s="430"/>
      <c r="F118" s="431" t="s">
        <v>1733</v>
      </c>
      <c r="G118" s="432" t="s">
        <v>146</v>
      </c>
      <c r="H118" s="433" t="s">
        <v>1580</v>
      </c>
      <c r="I118" s="434" t="s">
        <v>1661</v>
      </c>
      <c r="J118" s="435" t="s">
        <v>44</v>
      </c>
      <c r="K118" s="454">
        <v>2421289</v>
      </c>
      <c r="L118" s="455">
        <v>10653</v>
      </c>
      <c r="M118" s="456">
        <v>1598636</v>
      </c>
      <c r="N118" s="440">
        <v>0</v>
      </c>
      <c r="O118" s="440">
        <v>0</v>
      </c>
      <c r="P118" s="440">
        <v>0</v>
      </c>
      <c r="Q118" s="440">
        <v>0</v>
      </c>
      <c r="R118" s="440">
        <v>0</v>
      </c>
      <c r="S118" s="440">
        <v>0</v>
      </c>
      <c r="T118" s="441"/>
      <c r="U118" s="441">
        <v>116554</v>
      </c>
      <c r="V118" s="441">
        <v>174755</v>
      </c>
      <c r="W118" s="441"/>
      <c r="X118" s="441"/>
      <c r="Y118" s="441"/>
      <c r="Z118" s="441">
        <f t="shared" si="8"/>
        <v>291309</v>
      </c>
      <c r="AA118" s="442">
        <v>812000</v>
      </c>
      <c r="AB118" s="443">
        <v>9</v>
      </c>
      <c r="AC118" s="444">
        <v>44232</v>
      </c>
      <c r="AD118" s="445">
        <v>44251</v>
      </c>
      <c r="AE118" s="442"/>
      <c r="AF118" s="446"/>
      <c r="AG118" s="447"/>
      <c r="AH118" s="445"/>
      <c r="AI118" s="442"/>
      <c r="AJ118" s="443"/>
      <c r="AK118" s="447"/>
      <c r="AL118" s="445"/>
      <c r="AM118" s="442"/>
      <c r="AN118" s="443"/>
      <c r="AO118" s="448"/>
      <c r="AP118" s="445"/>
      <c r="AQ118" s="442"/>
      <c r="AR118" s="443"/>
      <c r="AS118" s="448"/>
      <c r="AT118" s="445"/>
      <c r="AU118" s="449">
        <f t="shared" si="6"/>
        <v>812000</v>
      </c>
      <c r="AV118" s="457">
        <f t="shared" si="5"/>
        <v>520691</v>
      </c>
      <c r="AW118" s="451"/>
    </row>
    <row r="119" spans="2:49" s="418" customFormat="1" ht="24">
      <c r="B119" s="452">
        <f t="shared" si="7"/>
        <v>103</v>
      </c>
      <c r="C119" s="429" t="s">
        <v>39</v>
      </c>
      <c r="D119" s="430">
        <v>30136329</v>
      </c>
      <c r="E119" s="430"/>
      <c r="F119" s="431" t="s">
        <v>1734</v>
      </c>
      <c r="G119" s="432" t="s">
        <v>158</v>
      </c>
      <c r="H119" s="433" t="s">
        <v>1580</v>
      </c>
      <c r="I119" s="434" t="s">
        <v>1603</v>
      </c>
      <c r="J119" s="435" t="s">
        <v>44</v>
      </c>
      <c r="K119" s="454">
        <v>48285</v>
      </c>
      <c r="L119" s="455">
        <v>25644</v>
      </c>
      <c r="M119" s="456">
        <v>0</v>
      </c>
      <c r="N119" s="439">
        <v>0</v>
      </c>
      <c r="O119" s="439">
        <v>0</v>
      </c>
      <c r="P119" s="439">
        <v>0</v>
      </c>
      <c r="Q119" s="439">
        <v>0</v>
      </c>
      <c r="R119" s="439">
        <v>14520</v>
      </c>
      <c r="S119" s="440">
        <v>0</v>
      </c>
      <c r="T119" s="441"/>
      <c r="U119" s="441"/>
      <c r="V119" s="441"/>
      <c r="W119" s="441"/>
      <c r="X119" s="441"/>
      <c r="Y119" s="441"/>
      <c r="Z119" s="441">
        <f t="shared" si="8"/>
        <v>14520</v>
      </c>
      <c r="AA119" s="442">
        <v>14520</v>
      </c>
      <c r="AB119" s="443">
        <v>5</v>
      </c>
      <c r="AC119" s="444">
        <v>44224</v>
      </c>
      <c r="AD119" s="445">
        <v>44251</v>
      </c>
      <c r="AE119" s="442"/>
      <c r="AF119" s="446"/>
      <c r="AG119" s="447"/>
      <c r="AH119" s="445"/>
      <c r="AI119" s="442"/>
      <c r="AJ119" s="443"/>
      <c r="AK119" s="447"/>
      <c r="AL119" s="445"/>
      <c r="AM119" s="442"/>
      <c r="AN119" s="443"/>
      <c r="AO119" s="448"/>
      <c r="AP119" s="445"/>
      <c r="AQ119" s="442"/>
      <c r="AR119" s="443"/>
      <c r="AS119" s="448"/>
      <c r="AT119" s="445"/>
      <c r="AU119" s="449">
        <f t="shared" si="6"/>
        <v>14520</v>
      </c>
      <c r="AV119" s="457">
        <f t="shared" si="5"/>
        <v>0</v>
      </c>
      <c r="AW119" s="451"/>
    </row>
    <row r="120" spans="2:49" s="418" customFormat="1" ht="24">
      <c r="B120" s="452">
        <f t="shared" si="7"/>
        <v>104</v>
      </c>
      <c r="C120" s="429" t="s">
        <v>39</v>
      </c>
      <c r="D120" s="430">
        <v>30155873</v>
      </c>
      <c r="E120" s="430"/>
      <c r="F120" s="431" t="s">
        <v>1735</v>
      </c>
      <c r="G120" s="432" t="s">
        <v>146</v>
      </c>
      <c r="H120" s="433" t="s">
        <v>1580</v>
      </c>
      <c r="I120" s="434" t="s">
        <v>1603</v>
      </c>
      <c r="J120" s="435" t="s">
        <v>44</v>
      </c>
      <c r="K120" s="454">
        <v>2516733</v>
      </c>
      <c r="L120" s="455">
        <v>843562</v>
      </c>
      <c r="M120" s="456">
        <v>23171</v>
      </c>
      <c r="N120" s="439">
        <v>0</v>
      </c>
      <c r="O120" s="439">
        <v>395339</v>
      </c>
      <c r="P120" s="439">
        <v>81441</v>
      </c>
      <c r="Q120" s="439">
        <v>11467</v>
      </c>
      <c r="R120" s="439">
        <v>197039</v>
      </c>
      <c r="S120" s="440">
        <v>53630</v>
      </c>
      <c r="T120" s="441">
        <v>28018</v>
      </c>
      <c r="U120" s="441">
        <v>20033</v>
      </c>
      <c r="V120" s="441">
        <v>24161</v>
      </c>
      <c r="W120" s="441"/>
      <c r="X120" s="441"/>
      <c r="Y120" s="441"/>
      <c r="Z120" s="441">
        <f t="shared" si="8"/>
        <v>811128</v>
      </c>
      <c r="AA120" s="442">
        <v>1541613</v>
      </c>
      <c r="AB120" s="443">
        <v>5</v>
      </c>
      <c r="AC120" s="444">
        <v>44224</v>
      </c>
      <c r="AD120" s="445">
        <v>44251</v>
      </c>
      <c r="AE120" s="442"/>
      <c r="AF120" s="446"/>
      <c r="AG120" s="447"/>
      <c r="AH120" s="445"/>
      <c r="AI120" s="442"/>
      <c r="AJ120" s="443"/>
      <c r="AK120" s="447"/>
      <c r="AL120" s="445"/>
      <c r="AM120" s="442"/>
      <c r="AN120" s="443"/>
      <c r="AO120" s="448"/>
      <c r="AP120" s="445"/>
      <c r="AQ120" s="442"/>
      <c r="AR120" s="443"/>
      <c r="AS120" s="448"/>
      <c r="AT120" s="445"/>
      <c r="AU120" s="449">
        <f t="shared" si="6"/>
        <v>1541613</v>
      </c>
      <c r="AV120" s="457">
        <f t="shared" si="5"/>
        <v>730485</v>
      </c>
      <c r="AW120" s="451"/>
    </row>
    <row r="121" spans="2:49" s="418" customFormat="1" ht="24">
      <c r="B121" s="452">
        <f t="shared" si="7"/>
        <v>105</v>
      </c>
      <c r="C121" s="429" t="s">
        <v>39</v>
      </c>
      <c r="D121" s="430">
        <v>30177123</v>
      </c>
      <c r="E121" s="430"/>
      <c r="F121" s="431" t="s">
        <v>1736</v>
      </c>
      <c r="G121" s="432" t="s">
        <v>146</v>
      </c>
      <c r="H121" s="433" t="s">
        <v>1583</v>
      </c>
      <c r="I121" s="434" t="s">
        <v>1605</v>
      </c>
      <c r="J121" s="435"/>
      <c r="K121" s="454">
        <v>803788</v>
      </c>
      <c r="L121" s="455">
        <v>0</v>
      </c>
      <c r="M121" s="456">
        <v>638788</v>
      </c>
      <c r="N121" s="440">
        <v>0</v>
      </c>
      <c r="O121" s="440">
        <v>0</v>
      </c>
      <c r="P121" s="440">
        <v>0</v>
      </c>
      <c r="Q121" s="440">
        <v>0</v>
      </c>
      <c r="R121" s="440">
        <v>0</v>
      </c>
      <c r="S121" s="440">
        <v>0</v>
      </c>
      <c r="T121" s="441"/>
      <c r="U121" s="441"/>
      <c r="V121" s="441"/>
      <c r="W121" s="441"/>
      <c r="X121" s="441"/>
      <c r="Y121" s="441"/>
      <c r="Z121" s="441">
        <f t="shared" si="8"/>
        <v>0</v>
      </c>
      <c r="AA121" s="442">
        <v>165000</v>
      </c>
      <c r="AB121" s="443">
        <v>22</v>
      </c>
      <c r="AC121" s="444">
        <v>44301</v>
      </c>
      <c r="AD121" s="445">
        <v>44313</v>
      </c>
      <c r="AE121" s="442">
        <v>55000</v>
      </c>
      <c r="AF121" s="446">
        <v>50</v>
      </c>
      <c r="AG121" s="447">
        <v>44356</v>
      </c>
      <c r="AH121" s="447">
        <v>44377</v>
      </c>
      <c r="AI121" s="442">
        <v>-165000</v>
      </c>
      <c r="AJ121" s="443">
        <v>86</v>
      </c>
      <c r="AK121" s="447">
        <v>44421</v>
      </c>
      <c r="AL121" s="445">
        <v>44435</v>
      </c>
      <c r="AM121" s="442"/>
      <c r="AN121" s="443"/>
      <c r="AO121" s="448"/>
      <c r="AP121" s="445"/>
      <c r="AQ121" s="442"/>
      <c r="AR121" s="443"/>
      <c r="AS121" s="448"/>
      <c r="AT121" s="445"/>
      <c r="AU121" s="449">
        <f t="shared" si="6"/>
        <v>55000</v>
      </c>
      <c r="AV121" s="457">
        <f t="shared" si="5"/>
        <v>55000</v>
      </c>
      <c r="AW121" s="451"/>
    </row>
    <row r="122" spans="2:49" s="418" customFormat="1" ht="24">
      <c r="B122" s="452">
        <f t="shared" si="7"/>
        <v>106</v>
      </c>
      <c r="C122" s="429" t="s">
        <v>39</v>
      </c>
      <c r="D122" s="430">
        <v>30221173</v>
      </c>
      <c r="E122" s="430"/>
      <c r="F122" s="431" t="s">
        <v>1737</v>
      </c>
      <c r="G122" s="432" t="s">
        <v>146</v>
      </c>
      <c r="H122" s="433" t="s">
        <v>1580</v>
      </c>
      <c r="I122" s="434" t="s">
        <v>1703</v>
      </c>
      <c r="J122" s="435" t="s">
        <v>44</v>
      </c>
      <c r="K122" s="454">
        <v>1031379</v>
      </c>
      <c r="L122" s="455">
        <v>19993</v>
      </c>
      <c r="M122" s="456">
        <v>288271</v>
      </c>
      <c r="N122" s="440">
        <v>0</v>
      </c>
      <c r="O122" s="440">
        <v>0</v>
      </c>
      <c r="P122" s="440">
        <v>0</v>
      </c>
      <c r="Q122" s="440">
        <v>0</v>
      </c>
      <c r="R122" s="440">
        <v>0</v>
      </c>
      <c r="S122" s="440">
        <v>0</v>
      </c>
      <c r="T122" s="441"/>
      <c r="U122" s="441"/>
      <c r="V122" s="441"/>
      <c r="W122" s="441"/>
      <c r="X122" s="441"/>
      <c r="Y122" s="441"/>
      <c r="Z122" s="441">
        <f t="shared" si="8"/>
        <v>0</v>
      </c>
      <c r="AA122" s="442">
        <v>700000</v>
      </c>
      <c r="AB122" s="443">
        <v>9</v>
      </c>
      <c r="AC122" s="444">
        <v>44232</v>
      </c>
      <c r="AD122" s="445">
        <v>44251</v>
      </c>
      <c r="AE122" s="442"/>
      <c r="AF122" s="446"/>
      <c r="AG122" s="447"/>
      <c r="AH122" s="445"/>
      <c r="AI122" s="442"/>
      <c r="AJ122" s="443"/>
      <c r="AK122" s="447"/>
      <c r="AL122" s="445"/>
      <c r="AM122" s="442"/>
      <c r="AN122" s="443"/>
      <c r="AO122" s="448"/>
      <c r="AP122" s="445"/>
      <c r="AQ122" s="442"/>
      <c r="AR122" s="443"/>
      <c r="AS122" s="448"/>
      <c r="AT122" s="445"/>
      <c r="AU122" s="449">
        <f t="shared" si="6"/>
        <v>700000</v>
      </c>
      <c r="AV122" s="457">
        <f t="shared" si="5"/>
        <v>700000</v>
      </c>
      <c r="AW122" s="451"/>
    </row>
    <row r="123" spans="2:49" s="418" customFormat="1">
      <c r="B123" s="452">
        <f t="shared" si="7"/>
        <v>107</v>
      </c>
      <c r="C123" s="429" t="s">
        <v>39</v>
      </c>
      <c r="D123" s="430">
        <v>30224673</v>
      </c>
      <c r="E123" s="430"/>
      <c r="F123" s="431" t="s">
        <v>1738</v>
      </c>
      <c r="G123" s="432" t="s">
        <v>146</v>
      </c>
      <c r="H123" s="433" t="s">
        <v>1580</v>
      </c>
      <c r="I123" s="434" t="s">
        <v>1610</v>
      </c>
      <c r="J123" s="435" t="s">
        <v>44</v>
      </c>
      <c r="K123" s="454">
        <v>3809483</v>
      </c>
      <c r="L123" s="455">
        <v>3382973</v>
      </c>
      <c r="M123" s="456">
        <v>46510</v>
      </c>
      <c r="N123" s="439">
        <v>0</v>
      </c>
      <c r="O123" s="439">
        <v>0</v>
      </c>
      <c r="P123" s="439">
        <v>201159</v>
      </c>
      <c r="Q123" s="439">
        <v>0</v>
      </c>
      <c r="R123" s="439">
        <v>0</v>
      </c>
      <c r="S123" s="440">
        <v>0</v>
      </c>
      <c r="T123" s="441"/>
      <c r="U123" s="441">
        <v>139500</v>
      </c>
      <c r="V123" s="441"/>
      <c r="W123" s="441"/>
      <c r="X123" s="441"/>
      <c r="Y123" s="441"/>
      <c r="Z123" s="441">
        <f t="shared" si="8"/>
        <v>340659</v>
      </c>
      <c r="AA123" s="442">
        <v>300000</v>
      </c>
      <c r="AB123" s="443">
        <v>9</v>
      </c>
      <c r="AC123" s="444">
        <v>44232</v>
      </c>
      <c r="AD123" s="445">
        <v>44251</v>
      </c>
      <c r="AE123" s="442">
        <v>1160</v>
      </c>
      <c r="AF123" s="446">
        <v>15</v>
      </c>
      <c r="AG123" s="447">
        <v>44259</v>
      </c>
      <c r="AH123" s="445">
        <v>44274</v>
      </c>
      <c r="AI123" s="442">
        <v>39848</v>
      </c>
      <c r="AJ123" s="443">
        <v>39</v>
      </c>
      <c r="AK123" s="447">
        <v>44342</v>
      </c>
      <c r="AL123" s="445"/>
      <c r="AM123" s="442"/>
      <c r="AN123" s="443"/>
      <c r="AO123" s="448"/>
      <c r="AP123" s="445"/>
      <c r="AQ123" s="442"/>
      <c r="AR123" s="443"/>
      <c r="AS123" s="448"/>
      <c r="AT123" s="445"/>
      <c r="AU123" s="449">
        <f t="shared" si="6"/>
        <v>341008</v>
      </c>
      <c r="AV123" s="457">
        <f t="shared" si="5"/>
        <v>349</v>
      </c>
      <c r="AW123" s="451"/>
    </row>
    <row r="124" spans="2:49" s="418" customFormat="1">
      <c r="B124" s="452">
        <f t="shared" si="7"/>
        <v>108</v>
      </c>
      <c r="C124" s="429" t="s">
        <v>39</v>
      </c>
      <c r="D124" s="430">
        <v>30256122</v>
      </c>
      <c r="E124" s="430"/>
      <c r="F124" s="431" t="s">
        <v>1739</v>
      </c>
      <c r="G124" s="432" t="s">
        <v>158</v>
      </c>
      <c r="H124" s="433" t="s">
        <v>1580</v>
      </c>
      <c r="I124" s="434" t="s">
        <v>1714</v>
      </c>
      <c r="J124" s="435" t="s">
        <v>44</v>
      </c>
      <c r="K124" s="454">
        <v>39229</v>
      </c>
      <c r="L124" s="455">
        <v>20358</v>
      </c>
      <c r="M124" s="456">
        <v>0</v>
      </c>
      <c r="N124" s="439">
        <v>0</v>
      </c>
      <c r="O124" s="439">
        <v>6966</v>
      </c>
      <c r="P124" s="439">
        <v>6070</v>
      </c>
      <c r="Q124" s="439">
        <v>1120</v>
      </c>
      <c r="R124" s="439">
        <v>1120</v>
      </c>
      <c r="S124" s="440">
        <v>1120</v>
      </c>
      <c r="T124" s="441">
        <v>2240</v>
      </c>
      <c r="U124" s="441"/>
      <c r="V124" s="441"/>
      <c r="W124" s="441"/>
      <c r="X124" s="441"/>
      <c r="Y124" s="441"/>
      <c r="Z124" s="441">
        <f t="shared" si="8"/>
        <v>18636</v>
      </c>
      <c r="AA124" s="442">
        <v>18871</v>
      </c>
      <c r="AB124" s="443">
        <v>11</v>
      </c>
      <c r="AC124" s="444">
        <v>44237</v>
      </c>
      <c r="AD124" s="445">
        <v>44251</v>
      </c>
      <c r="AE124" s="442"/>
      <c r="AF124" s="446"/>
      <c r="AG124" s="447"/>
      <c r="AH124" s="445"/>
      <c r="AI124" s="442"/>
      <c r="AJ124" s="443"/>
      <c r="AK124" s="447"/>
      <c r="AL124" s="445"/>
      <c r="AM124" s="442"/>
      <c r="AN124" s="443"/>
      <c r="AO124" s="448"/>
      <c r="AP124" s="445"/>
      <c r="AQ124" s="442"/>
      <c r="AR124" s="443"/>
      <c r="AS124" s="448"/>
      <c r="AT124" s="445"/>
      <c r="AU124" s="449">
        <f t="shared" si="6"/>
        <v>18871</v>
      </c>
      <c r="AV124" s="457">
        <f t="shared" si="5"/>
        <v>235</v>
      </c>
      <c r="AW124" s="451"/>
    </row>
    <row r="125" spans="2:49" s="418" customFormat="1">
      <c r="B125" s="452">
        <f t="shared" si="7"/>
        <v>109</v>
      </c>
      <c r="C125" s="429" t="s">
        <v>39</v>
      </c>
      <c r="D125" s="430">
        <v>30267380</v>
      </c>
      <c r="E125" s="430"/>
      <c r="F125" s="431" t="s">
        <v>1740</v>
      </c>
      <c r="G125" s="432" t="s">
        <v>146</v>
      </c>
      <c r="H125" s="433" t="s">
        <v>1580</v>
      </c>
      <c r="I125" s="434" t="s">
        <v>1671</v>
      </c>
      <c r="J125" s="435" t="s">
        <v>44</v>
      </c>
      <c r="K125" s="454">
        <v>2726624</v>
      </c>
      <c r="L125" s="455">
        <v>2473836</v>
      </c>
      <c r="M125" s="456">
        <v>0</v>
      </c>
      <c r="N125" s="439">
        <v>0</v>
      </c>
      <c r="O125" s="439">
        <v>0</v>
      </c>
      <c r="P125" s="439">
        <v>0</v>
      </c>
      <c r="Q125" s="439">
        <v>62000</v>
      </c>
      <c r="R125" s="439">
        <v>0</v>
      </c>
      <c r="S125" s="440">
        <v>0</v>
      </c>
      <c r="T125" s="441"/>
      <c r="U125" s="441"/>
      <c r="V125" s="441"/>
      <c r="W125" s="441"/>
      <c r="X125" s="441"/>
      <c r="Y125" s="441"/>
      <c r="Z125" s="441">
        <f t="shared" si="8"/>
        <v>62000</v>
      </c>
      <c r="AA125" s="442">
        <v>252771</v>
      </c>
      <c r="AB125" s="443">
        <v>15</v>
      </c>
      <c r="AC125" s="444">
        <v>44259</v>
      </c>
      <c r="AD125" s="445">
        <v>44274</v>
      </c>
      <c r="AE125" s="442"/>
      <c r="AF125" s="446"/>
      <c r="AG125" s="447"/>
      <c r="AH125" s="445"/>
      <c r="AI125" s="442"/>
      <c r="AJ125" s="443"/>
      <c r="AK125" s="447"/>
      <c r="AL125" s="445"/>
      <c r="AM125" s="442"/>
      <c r="AN125" s="443"/>
      <c r="AO125" s="448"/>
      <c r="AP125" s="445"/>
      <c r="AQ125" s="442"/>
      <c r="AR125" s="443"/>
      <c r="AS125" s="448"/>
      <c r="AT125" s="445"/>
      <c r="AU125" s="449">
        <f t="shared" si="6"/>
        <v>252771</v>
      </c>
      <c r="AV125" s="457">
        <f t="shared" si="5"/>
        <v>190771</v>
      </c>
      <c r="AW125" s="451"/>
    </row>
    <row r="126" spans="2:49" s="418" customFormat="1">
      <c r="B126" s="452">
        <f t="shared" si="7"/>
        <v>110</v>
      </c>
      <c r="C126" s="429" t="s">
        <v>39</v>
      </c>
      <c r="D126" s="430">
        <v>30271873</v>
      </c>
      <c r="E126" s="430"/>
      <c r="F126" s="431" t="s">
        <v>1741</v>
      </c>
      <c r="G126" s="432" t="s">
        <v>146</v>
      </c>
      <c r="H126" s="433" t="s">
        <v>1580</v>
      </c>
      <c r="I126" s="434" t="s">
        <v>1605</v>
      </c>
      <c r="J126" s="435" t="s">
        <v>52</v>
      </c>
      <c r="K126" s="454">
        <v>559584</v>
      </c>
      <c r="L126" s="455">
        <v>0</v>
      </c>
      <c r="M126" s="456">
        <v>342913</v>
      </c>
      <c r="N126" s="439">
        <v>0</v>
      </c>
      <c r="O126" s="439">
        <v>0</v>
      </c>
      <c r="P126" s="439">
        <v>0</v>
      </c>
      <c r="Q126" s="439">
        <v>0</v>
      </c>
      <c r="R126" s="439">
        <v>0</v>
      </c>
      <c r="S126" s="440">
        <v>0</v>
      </c>
      <c r="T126" s="441">
        <v>2000</v>
      </c>
      <c r="U126" s="441"/>
      <c r="V126" s="441"/>
      <c r="W126" s="441"/>
      <c r="X126" s="441"/>
      <c r="Y126" s="441"/>
      <c r="Z126" s="441">
        <f t="shared" si="8"/>
        <v>2000</v>
      </c>
      <c r="AA126" s="442">
        <v>107002</v>
      </c>
      <c r="AB126" s="443">
        <v>15</v>
      </c>
      <c r="AC126" s="444">
        <v>44259</v>
      </c>
      <c r="AD126" s="445">
        <v>44274</v>
      </c>
      <c r="AE126" s="442">
        <v>4819</v>
      </c>
      <c r="AF126" s="446">
        <v>86</v>
      </c>
      <c r="AG126" s="447">
        <v>44421</v>
      </c>
      <c r="AH126" s="445">
        <v>44435</v>
      </c>
      <c r="AI126" s="442"/>
      <c r="AJ126" s="443"/>
      <c r="AK126" s="447"/>
      <c r="AL126" s="445"/>
      <c r="AM126" s="442"/>
      <c r="AN126" s="443"/>
      <c r="AO126" s="448"/>
      <c r="AP126" s="445"/>
      <c r="AQ126" s="442"/>
      <c r="AR126" s="443"/>
      <c r="AS126" s="448"/>
      <c r="AT126" s="445"/>
      <c r="AU126" s="449">
        <f t="shared" si="6"/>
        <v>111821</v>
      </c>
      <c r="AV126" s="457">
        <f t="shared" si="5"/>
        <v>109821</v>
      </c>
      <c r="AW126" s="451"/>
    </row>
    <row r="127" spans="2:49" s="418" customFormat="1" ht="24">
      <c r="B127" s="452">
        <f t="shared" si="7"/>
        <v>111</v>
      </c>
      <c r="C127" s="429" t="s">
        <v>39</v>
      </c>
      <c r="D127" s="430">
        <v>30285772</v>
      </c>
      <c r="E127" s="430"/>
      <c r="F127" s="431" t="s">
        <v>1742</v>
      </c>
      <c r="G127" s="432" t="s">
        <v>146</v>
      </c>
      <c r="H127" s="433" t="s">
        <v>1583</v>
      </c>
      <c r="I127" s="434" t="s">
        <v>1695</v>
      </c>
      <c r="J127" s="435"/>
      <c r="K127" s="454">
        <v>846907</v>
      </c>
      <c r="L127" s="455">
        <v>0</v>
      </c>
      <c r="M127" s="456">
        <v>686905</v>
      </c>
      <c r="N127" s="439">
        <v>0</v>
      </c>
      <c r="O127" s="439">
        <v>0</v>
      </c>
      <c r="P127" s="439">
        <v>0</v>
      </c>
      <c r="Q127" s="439">
        <v>0</v>
      </c>
      <c r="R127" s="439">
        <v>0</v>
      </c>
      <c r="S127" s="440">
        <v>0</v>
      </c>
      <c r="T127" s="441"/>
      <c r="U127" s="441"/>
      <c r="V127" s="441"/>
      <c r="W127" s="441"/>
      <c r="X127" s="441"/>
      <c r="Y127" s="441"/>
      <c r="Z127" s="441">
        <f t="shared" si="8"/>
        <v>0</v>
      </c>
      <c r="AA127" s="442">
        <v>160002</v>
      </c>
      <c r="AB127" s="443">
        <v>22</v>
      </c>
      <c r="AC127" s="444">
        <v>44301</v>
      </c>
      <c r="AD127" s="445">
        <v>44313</v>
      </c>
      <c r="AE127" s="442"/>
      <c r="AF127" s="446"/>
      <c r="AG127" s="447"/>
      <c r="AH127" s="445"/>
      <c r="AI127" s="442"/>
      <c r="AJ127" s="443"/>
      <c r="AK127" s="447"/>
      <c r="AL127" s="445"/>
      <c r="AM127" s="442"/>
      <c r="AN127" s="443"/>
      <c r="AO127" s="448"/>
      <c r="AP127" s="445"/>
      <c r="AQ127" s="442"/>
      <c r="AR127" s="443"/>
      <c r="AS127" s="448"/>
      <c r="AT127" s="445"/>
      <c r="AU127" s="449">
        <f t="shared" si="6"/>
        <v>160002</v>
      </c>
      <c r="AV127" s="457">
        <f t="shared" si="5"/>
        <v>160002</v>
      </c>
      <c r="AW127" s="451"/>
    </row>
    <row r="128" spans="2:49" s="418" customFormat="1">
      <c r="B128" s="452">
        <f t="shared" si="7"/>
        <v>112</v>
      </c>
      <c r="C128" s="429" t="s">
        <v>39</v>
      </c>
      <c r="D128" s="430">
        <v>30292973</v>
      </c>
      <c r="E128" s="430"/>
      <c r="F128" s="431" t="s">
        <v>1743</v>
      </c>
      <c r="G128" s="432" t="s">
        <v>146</v>
      </c>
      <c r="H128" s="433" t="s">
        <v>1580</v>
      </c>
      <c r="I128" s="434" t="s">
        <v>1624</v>
      </c>
      <c r="J128" s="435" t="s">
        <v>52</v>
      </c>
      <c r="K128" s="454">
        <v>786028</v>
      </c>
      <c r="L128" s="455">
        <v>0</v>
      </c>
      <c r="M128" s="456">
        <v>658134</v>
      </c>
      <c r="N128" s="440">
        <v>0</v>
      </c>
      <c r="O128" s="440">
        <v>3234</v>
      </c>
      <c r="P128" s="440">
        <v>0</v>
      </c>
      <c r="Q128" s="440">
        <v>0</v>
      </c>
      <c r="R128" s="440">
        <v>0</v>
      </c>
      <c r="S128" s="440">
        <v>0</v>
      </c>
      <c r="T128" s="441"/>
      <c r="U128" s="441">
        <v>3000</v>
      </c>
      <c r="V128" s="441"/>
      <c r="W128" s="441"/>
      <c r="X128" s="441"/>
      <c r="Y128" s="441"/>
      <c r="Z128" s="441">
        <f t="shared" si="8"/>
        <v>6234</v>
      </c>
      <c r="AA128" s="442">
        <v>113234</v>
      </c>
      <c r="AB128" s="443">
        <v>3</v>
      </c>
      <c r="AC128" s="444">
        <v>44222</v>
      </c>
      <c r="AD128" s="445">
        <v>44225</v>
      </c>
      <c r="AE128" s="442"/>
      <c r="AF128" s="446"/>
      <c r="AG128" s="447"/>
      <c r="AH128" s="445"/>
      <c r="AI128" s="442"/>
      <c r="AJ128" s="443"/>
      <c r="AK128" s="447"/>
      <c r="AL128" s="445"/>
      <c r="AM128" s="442"/>
      <c r="AN128" s="443"/>
      <c r="AO128" s="448"/>
      <c r="AP128" s="445"/>
      <c r="AQ128" s="442"/>
      <c r="AR128" s="443"/>
      <c r="AS128" s="448"/>
      <c r="AT128" s="445"/>
      <c r="AU128" s="449">
        <f t="shared" si="6"/>
        <v>113234</v>
      </c>
      <c r="AV128" s="457">
        <f t="shared" si="5"/>
        <v>107000</v>
      </c>
      <c r="AW128" s="451"/>
    </row>
    <row r="129" spans="2:49" s="418" customFormat="1">
      <c r="B129" s="452">
        <f t="shared" si="7"/>
        <v>113</v>
      </c>
      <c r="C129" s="429" t="s">
        <v>39</v>
      </c>
      <c r="D129" s="430">
        <v>30293024</v>
      </c>
      <c r="E129" s="430"/>
      <c r="F129" s="431" t="s">
        <v>1744</v>
      </c>
      <c r="G129" s="432" t="s">
        <v>146</v>
      </c>
      <c r="H129" s="433" t="s">
        <v>1580</v>
      </c>
      <c r="I129" s="434" t="s">
        <v>1624</v>
      </c>
      <c r="J129" s="435" t="s">
        <v>44</v>
      </c>
      <c r="K129" s="454">
        <v>816390</v>
      </c>
      <c r="L129" s="455">
        <v>438455</v>
      </c>
      <c r="M129" s="456">
        <v>0</v>
      </c>
      <c r="N129" s="439">
        <v>0</v>
      </c>
      <c r="O129" s="439">
        <v>108938</v>
      </c>
      <c r="P129" s="439">
        <v>12376</v>
      </c>
      <c r="Q129" s="439">
        <v>0</v>
      </c>
      <c r="R129" s="439">
        <v>0</v>
      </c>
      <c r="S129" s="440">
        <v>0</v>
      </c>
      <c r="T129" s="441"/>
      <c r="U129" s="441"/>
      <c r="V129" s="441">
        <v>251640</v>
      </c>
      <c r="W129" s="441"/>
      <c r="X129" s="441"/>
      <c r="Y129" s="441"/>
      <c r="Z129" s="441">
        <f t="shared" si="8"/>
        <v>372954</v>
      </c>
      <c r="AA129" s="442">
        <v>370548</v>
      </c>
      <c r="AB129" s="443">
        <v>11</v>
      </c>
      <c r="AC129" s="444">
        <v>44237</v>
      </c>
      <c r="AD129" s="445">
        <v>44251</v>
      </c>
      <c r="AE129" s="442">
        <v>3200</v>
      </c>
      <c r="AF129" s="446">
        <v>15</v>
      </c>
      <c r="AG129" s="447">
        <v>44259</v>
      </c>
      <c r="AH129" s="445">
        <v>44274</v>
      </c>
      <c r="AI129" s="442"/>
      <c r="AJ129" s="443"/>
      <c r="AK129" s="447"/>
      <c r="AL129" s="445"/>
      <c r="AM129" s="442"/>
      <c r="AN129" s="443"/>
      <c r="AO129" s="448"/>
      <c r="AP129" s="445"/>
      <c r="AQ129" s="442"/>
      <c r="AR129" s="443"/>
      <c r="AS129" s="448"/>
      <c r="AT129" s="445"/>
      <c r="AU129" s="449">
        <f t="shared" si="6"/>
        <v>373748</v>
      </c>
      <c r="AV129" s="457">
        <f t="shared" si="5"/>
        <v>794</v>
      </c>
      <c r="AW129" s="451"/>
    </row>
    <row r="130" spans="2:49" s="418" customFormat="1">
      <c r="B130" s="452">
        <f t="shared" si="7"/>
        <v>114</v>
      </c>
      <c r="C130" s="429" t="s">
        <v>39</v>
      </c>
      <c r="D130" s="430">
        <v>30297872</v>
      </c>
      <c r="E130" s="430"/>
      <c r="F130" s="431" t="s">
        <v>1745</v>
      </c>
      <c r="G130" s="432" t="s">
        <v>146</v>
      </c>
      <c r="H130" s="433" t="s">
        <v>1580</v>
      </c>
      <c r="I130" s="434" t="s">
        <v>1607</v>
      </c>
      <c r="J130" s="435" t="s">
        <v>44</v>
      </c>
      <c r="K130" s="454">
        <v>3669969</v>
      </c>
      <c r="L130" s="455">
        <v>3627347</v>
      </c>
      <c r="M130" s="456">
        <v>0</v>
      </c>
      <c r="N130" s="439">
        <v>0</v>
      </c>
      <c r="O130" s="439">
        <v>0</v>
      </c>
      <c r="P130" s="439">
        <v>0</v>
      </c>
      <c r="Q130" s="439">
        <v>0</v>
      </c>
      <c r="R130" s="439">
        <v>0</v>
      </c>
      <c r="S130" s="440">
        <v>0</v>
      </c>
      <c r="T130" s="441"/>
      <c r="U130" s="441">
        <v>19183</v>
      </c>
      <c r="V130" s="441">
        <v>1380</v>
      </c>
      <c r="W130" s="441"/>
      <c r="X130" s="441"/>
      <c r="Y130" s="441"/>
      <c r="Z130" s="441">
        <f t="shared" si="8"/>
        <v>20563</v>
      </c>
      <c r="AA130" s="442">
        <v>42622</v>
      </c>
      <c r="AB130" s="443">
        <v>9</v>
      </c>
      <c r="AC130" s="444">
        <v>44232</v>
      </c>
      <c r="AD130" s="445">
        <v>44251</v>
      </c>
      <c r="AE130" s="442"/>
      <c r="AF130" s="446"/>
      <c r="AG130" s="447"/>
      <c r="AH130" s="445"/>
      <c r="AI130" s="442"/>
      <c r="AJ130" s="443"/>
      <c r="AK130" s="447"/>
      <c r="AL130" s="445"/>
      <c r="AM130" s="442"/>
      <c r="AN130" s="443"/>
      <c r="AO130" s="448"/>
      <c r="AP130" s="445"/>
      <c r="AQ130" s="442"/>
      <c r="AR130" s="443"/>
      <c r="AS130" s="448"/>
      <c r="AT130" s="445"/>
      <c r="AU130" s="449">
        <f t="shared" si="6"/>
        <v>42622</v>
      </c>
      <c r="AV130" s="457">
        <f t="shared" si="5"/>
        <v>22059</v>
      </c>
      <c r="AW130" s="451"/>
    </row>
    <row r="131" spans="2:49" s="418" customFormat="1" ht="24">
      <c r="B131" s="452">
        <f t="shared" si="7"/>
        <v>115</v>
      </c>
      <c r="C131" s="429" t="s">
        <v>39</v>
      </c>
      <c r="D131" s="430">
        <v>30301475</v>
      </c>
      <c r="E131" s="430"/>
      <c r="F131" s="431" t="s">
        <v>1746</v>
      </c>
      <c r="G131" s="432" t="s">
        <v>158</v>
      </c>
      <c r="H131" s="433" t="s">
        <v>1580</v>
      </c>
      <c r="I131" s="434" t="s">
        <v>1725</v>
      </c>
      <c r="J131" s="435" t="s">
        <v>44</v>
      </c>
      <c r="K131" s="454">
        <v>40207</v>
      </c>
      <c r="L131" s="455">
        <v>14446</v>
      </c>
      <c r="M131" s="456">
        <v>0</v>
      </c>
      <c r="N131" s="440">
        <v>0</v>
      </c>
      <c r="O131" s="440">
        <v>0</v>
      </c>
      <c r="P131" s="440">
        <v>17834</v>
      </c>
      <c r="Q131" s="440">
        <v>0</v>
      </c>
      <c r="R131" s="440">
        <v>0</v>
      </c>
      <c r="S131" s="440">
        <v>0</v>
      </c>
      <c r="T131" s="441"/>
      <c r="U131" s="441"/>
      <c r="V131" s="441"/>
      <c r="W131" s="441"/>
      <c r="X131" s="441"/>
      <c r="Y131" s="441"/>
      <c r="Z131" s="441">
        <f t="shared" si="8"/>
        <v>17834</v>
      </c>
      <c r="AA131" s="442">
        <v>25761</v>
      </c>
      <c r="AB131" s="443">
        <v>5</v>
      </c>
      <c r="AC131" s="444">
        <v>44224</v>
      </c>
      <c r="AD131" s="445">
        <v>44251</v>
      </c>
      <c r="AE131" s="442"/>
      <c r="AF131" s="446"/>
      <c r="AG131" s="447"/>
      <c r="AH131" s="445"/>
      <c r="AI131" s="442"/>
      <c r="AJ131" s="443"/>
      <c r="AK131" s="447"/>
      <c r="AL131" s="445"/>
      <c r="AM131" s="442"/>
      <c r="AN131" s="443"/>
      <c r="AO131" s="448"/>
      <c r="AP131" s="445"/>
      <c r="AQ131" s="442"/>
      <c r="AR131" s="443"/>
      <c r="AS131" s="448"/>
      <c r="AT131" s="445"/>
      <c r="AU131" s="449">
        <f t="shared" si="6"/>
        <v>25761</v>
      </c>
      <c r="AV131" s="457">
        <f t="shared" si="5"/>
        <v>7927</v>
      </c>
      <c r="AW131" s="451"/>
    </row>
    <row r="132" spans="2:49" s="418" customFormat="1" ht="24">
      <c r="B132" s="452">
        <f t="shared" si="7"/>
        <v>116</v>
      </c>
      <c r="C132" s="429" t="s">
        <v>39</v>
      </c>
      <c r="D132" s="430">
        <v>30301572</v>
      </c>
      <c r="E132" s="430"/>
      <c r="F132" s="431" t="s">
        <v>1747</v>
      </c>
      <c r="G132" s="432" t="s">
        <v>158</v>
      </c>
      <c r="H132" s="433" t="s">
        <v>1580</v>
      </c>
      <c r="I132" s="434" t="s">
        <v>1725</v>
      </c>
      <c r="J132" s="435" t="s">
        <v>44</v>
      </c>
      <c r="K132" s="454">
        <v>34089</v>
      </c>
      <c r="L132" s="455">
        <v>16697</v>
      </c>
      <c r="M132" s="456">
        <v>0</v>
      </c>
      <c r="N132" s="440">
        <v>0</v>
      </c>
      <c r="O132" s="440">
        <v>0</v>
      </c>
      <c r="P132" s="440">
        <v>0</v>
      </c>
      <c r="Q132" s="440">
        <v>0</v>
      </c>
      <c r="R132" s="440">
        <v>0</v>
      </c>
      <c r="S132" s="440">
        <v>0</v>
      </c>
      <c r="T132" s="441"/>
      <c r="U132" s="441"/>
      <c r="V132" s="441"/>
      <c r="W132" s="441"/>
      <c r="X132" s="441"/>
      <c r="Y132" s="441"/>
      <c r="Z132" s="441">
        <f t="shared" si="8"/>
        <v>0</v>
      </c>
      <c r="AA132" s="442">
        <v>13361</v>
      </c>
      <c r="AB132" s="443">
        <v>5</v>
      </c>
      <c r="AC132" s="444">
        <v>44224</v>
      </c>
      <c r="AD132" s="445">
        <v>44251</v>
      </c>
      <c r="AE132" s="442"/>
      <c r="AF132" s="446"/>
      <c r="AG132" s="447"/>
      <c r="AH132" s="445"/>
      <c r="AI132" s="442"/>
      <c r="AJ132" s="443"/>
      <c r="AK132" s="447"/>
      <c r="AL132" s="445"/>
      <c r="AM132" s="442"/>
      <c r="AN132" s="443"/>
      <c r="AO132" s="448"/>
      <c r="AP132" s="445"/>
      <c r="AQ132" s="442"/>
      <c r="AR132" s="443"/>
      <c r="AS132" s="448"/>
      <c r="AT132" s="445"/>
      <c r="AU132" s="449">
        <f t="shared" si="6"/>
        <v>13361</v>
      </c>
      <c r="AV132" s="457">
        <f t="shared" si="5"/>
        <v>13361</v>
      </c>
      <c r="AW132" s="451"/>
    </row>
    <row r="133" spans="2:49" s="418" customFormat="1">
      <c r="B133" s="452">
        <f t="shared" si="7"/>
        <v>117</v>
      </c>
      <c r="C133" s="429" t="s">
        <v>39</v>
      </c>
      <c r="D133" s="430">
        <v>30313722</v>
      </c>
      <c r="E133" s="430"/>
      <c r="F133" s="431" t="s">
        <v>1748</v>
      </c>
      <c r="G133" s="432" t="s">
        <v>146</v>
      </c>
      <c r="H133" s="433" t="s">
        <v>1580</v>
      </c>
      <c r="I133" s="434" t="s">
        <v>1584</v>
      </c>
      <c r="J133" s="435" t="s">
        <v>44</v>
      </c>
      <c r="K133" s="454">
        <v>455772</v>
      </c>
      <c r="L133" s="455">
        <v>435444</v>
      </c>
      <c r="M133" s="456">
        <v>0</v>
      </c>
      <c r="N133" s="440">
        <v>0</v>
      </c>
      <c r="O133" s="440">
        <v>0</v>
      </c>
      <c r="P133" s="440">
        <v>0</v>
      </c>
      <c r="Q133" s="440">
        <v>0</v>
      </c>
      <c r="R133" s="440">
        <v>13685</v>
      </c>
      <c r="S133" s="440">
        <v>0</v>
      </c>
      <c r="T133" s="441"/>
      <c r="U133" s="441"/>
      <c r="V133" s="441"/>
      <c r="W133" s="441"/>
      <c r="X133" s="441"/>
      <c r="Y133" s="441"/>
      <c r="Z133" s="441">
        <f t="shared" si="8"/>
        <v>13685</v>
      </c>
      <c r="AA133" s="442">
        <v>20328</v>
      </c>
      <c r="AB133" s="443">
        <v>9</v>
      </c>
      <c r="AC133" s="444">
        <v>44232</v>
      </c>
      <c r="AD133" s="445">
        <v>44251</v>
      </c>
      <c r="AE133" s="442"/>
      <c r="AF133" s="446"/>
      <c r="AG133" s="447"/>
      <c r="AH133" s="445"/>
      <c r="AI133" s="442"/>
      <c r="AJ133" s="443"/>
      <c r="AK133" s="447"/>
      <c r="AL133" s="445"/>
      <c r="AM133" s="442"/>
      <c r="AN133" s="443"/>
      <c r="AO133" s="448"/>
      <c r="AP133" s="445"/>
      <c r="AQ133" s="442"/>
      <c r="AR133" s="443"/>
      <c r="AS133" s="448"/>
      <c r="AT133" s="445"/>
      <c r="AU133" s="449">
        <f t="shared" si="6"/>
        <v>20328</v>
      </c>
      <c r="AV133" s="457">
        <f t="shared" si="5"/>
        <v>6643</v>
      </c>
      <c r="AW133" s="451"/>
    </row>
    <row r="134" spans="2:49" s="418" customFormat="1">
      <c r="B134" s="452">
        <f t="shared" si="7"/>
        <v>118</v>
      </c>
      <c r="C134" s="429" t="s">
        <v>39</v>
      </c>
      <c r="D134" s="430">
        <v>30330323</v>
      </c>
      <c r="E134" s="430"/>
      <c r="F134" s="431" t="s">
        <v>1749</v>
      </c>
      <c r="G134" s="432" t="s">
        <v>146</v>
      </c>
      <c r="H134" s="433" t="s">
        <v>1580</v>
      </c>
      <c r="I134" s="434" t="s">
        <v>1676</v>
      </c>
      <c r="J134" s="435" t="s">
        <v>44</v>
      </c>
      <c r="K134" s="454">
        <v>6541208</v>
      </c>
      <c r="L134" s="455">
        <v>6428192</v>
      </c>
      <c r="M134" s="456">
        <v>2</v>
      </c>
      <c r="N134" s="439">
        <v>0</v>
      </c>
      <c r="O134" s="439">
        <v>0</v>
      </c>
      <c r="P134" s="439">
        <v>0</v>
      </c>
      <c r="Q134" s="439">
        <v>0</v>
      </c>
      <c r="R134" s="439">
        <v>0</v>
      </c>
      <c r="S134" s="440">
        <v>29073</v>
      </c>
      <c r="T134" s="441">
        <v>30150</v>
      </c>
      <c r="U134" s="441">
        <v>16604</v>
      </c>
      <c r="V134" s="441">
        <v>2165</v>
      </c>
      <c r="W134" s="441"/>
      <c r="X134" s="441"/>
      <c r="Y134" s="441"/>
      <c r="Z134" s="441">
        <f t="shared" si="8"/>
        <v>77992</v>
      </c>
      <c r="AA134" s="442">
        <v>104590</v>
      </c>
      <c r="AB134" s="443">
        <v>11</v>
      </c>
      <c r="AC134" s="444">
        <v>44237</v>
      </c>
      <c r="AD134" s="445">
        <v>44251</v>
      </c>
      <c r="AE134" s="442"/>
      <c r="AF134" s="446"/>
      <c r="AG134" s="447"/>
      <c r="AH134" s="445"/>
      <c r="AI134" s="442"/>
      <c r="AJ134" s="443"/>
      <c r="AK134" s="447"/>
      <c r="AL134" s="445"/>
      <c r="AM134" s="442"/>
      <c r="AN134" s="443"/>
      <c r="AO134" s="448"/>
      <c r="AP134" s="445"/>
      <c r="AQ134" s="442"/>
      <c r="AR134" s="443"/>
      <c r="AS134" s="448"/>
      <c r="AT134" s="445"/>
      <c r="AU134" s="449">
        <f t="shared" si="6"/>
        <v>104590</v>
      </c>
      <c r="AV134" s="457">
        <f t="shared" si="5"/>
        <v>26598</v>
      </c>
      <c r="AW134" s="451"/>
    </row>
    <row r="135" spans="2:49" s="418" customFormat="1">
      <c r="B135" s="452">
        <f t="shared" si="7"/>
        <v>119</v>
      </c>
      <c r="C135" s="429" t="s">
        <v>39</v>
      </c>
      <c r="D135" s="430">
        <v>30343539</v>
      </c>
      <c r="E135" s="430"/>
      <c r="F135" s="431" t="s">
        <v>1750</v>
      </c>
      <c r="G135" s="432" t="s">
        <v>158</v>
      </c>
      <c r="H135" s="433" t="s">
        <v>1580</v>
      </c>
      <c r="I135" s="434" t="s">
        <v>1616</v>
      </c>
      <c r="J135" s="435" t="s">
        <v>44</v>
      </c>
      <c r="K135" s="454">
        <v>721082</v>
      </c>
      <c r="L135" s="455">
        <v>709982</v>
      </c>
      <c r="M135" s="456">
        <v>0</v>
      </c>
      <c r="N135" s="439">
        <v>0</v>
      </c>
      <c r="O135" s="439">
        <v>1500</v>
      </c>
      <c r="P135" s="439">
        <v>0</v>
      </c>
      <c r="Q135" s="439">
        <v>0</v>
      </c>
      <c r="R135" s="439">
        <v>0</v>
      </c>
      <c r="S135" s="440">
        <v>9600</v>
      </c>
      <c r="T135" s="441"/>
      <c r="U135" s="441"/>
      <c r="V135" s="441"/>
      <c r="W135" s="441"/>
      <c r="X135" s="441"/>
      <c r="Y135" s="441"/>
      <c r="Z135" s="441">
        <f t="shared" si="8"/>
        <v>11100</v>
      </c>
      <c r="AA135" s="442">
        <v>11100</v>
      </c>
      <c r="AB135" s="443">
        <v>11</v>
      </c>
      <c r="AC135" s="444">
        <v>44237</v>
      </c>
      <c r="AD135" s="445">
        <v>44251</v>
      </c>
      <c r="AE135" s="442"/>
      <c r="AF135" s="446"/>
      <c r="AG135" s="447"/>
      <c r="AH135" s="445"/>
      <c r="AI135" s="442"/>
      <c r="AJ135" s="443"/>
      <c r="AK135" s="447"/>
      <c r="AL135" s="445"/>
      <c r="AM135" s="442"/>
      <c r="AN135" s="443"/>
      <c r="AO135" s="448"/>
      <c r="AP135" s="445"/>
      <c r="AQ135" s="442"/>
      <c r="AR135" s="443"/>
      <c r="AS135" s="448"/>
      <c r="AT135" s="445"/>
      <c r="AU135" s="449">
        <f t="shared" si="6"/>
        <v>11100</v>
      </c>
      <c r="AV135" s="457">
        <f t="shared" si="5"/>
        <v>0</v>
      </c>
      <c r="AW135" s="451"/>
    </row>
    <row r="136" spans="2:49" s="418" customFormat="1">
      <c r="B136" s="452">
        <f t="shared" si="7"/>
        <v>120</v>
      </c>
      <c r="C136" s="429" t="s">
        <v>39</v>
      </c>
      <c r="D136" s="430">
        <v>30347126</v>
      </c>
      <c r="E136" s="430"/>
      <c r="F136" s="431" t="s">
        <v>1751</v>
      </c>
      <c r="G136" s="432" t="s">
        <v>146</v>
      </c>
      <c r="H136" s="433" t="s">
        <v>1580</v>
      </c>
      <c r="I136" s="434" t="s">
        <v>1584</v>
      </c>
      <c r="J136" s="435" t="s">
        <v>44</v>
      </c>
      <c r="K136" s="454">
        <v>460807</v>
      </c>
      <c r="L136" s="455">
        <v>357807</v>
      </c>
      <c r="M136" s="456">
        <v>0</v>
      </c>
      <c r="N136" s="440">
        <v>0</v>
      </c>
      <c r="O136" s="440">
        <v>0</v>
      </c>
      <c r="P136" s="440">
        <v>0</v>
      </c>
      <c r="Q136" s="440">
        <v>0</v>
      </c>
      <c r="R136" s="440">
        <v>0</v>
      </c>
      <c r="S136" s="440">
        <v>0</v>
      </c>
      <c r="T136" s="441"/>
      <c r="U136" s="441">
        <v>73802</v>
      </c>
      <c r="V136" s="441">
        <v>6325</v>
      </c>
      <c r="W136" s="441"/>
      <c r="X136" s="441"/>
      <c r="Y136" s="441"/>
      <c r="Z136" s="441">
        <f t="shared" si="8"/>
        <v>80127</v>
      </c>
      <c r="AA136" s="442">
        <v>85008</v>
      </c>
      <c r="AB136" s="443">
        <v>9</v>
      </c>
      <c r="AC136" s="444">
        <v>44232</v>
      </c>
      <c r="AD136" s="445">
        <v>44251</v>
      </c>
      <c r="AE136" s="442">
        <v>11777</v>
      </c>
      <c r="AF136" s="446">
        <v>86</v>
      </c>
      <c r="AG136" s="447">
        <v>44421</v>
      </c>
      <c r="AH136" s="445">
        <v>44435</v>
      </c>
      <c r="AI136" s="442"/>
      <c r="AJ136" s="443"/>
      <c r="AK136" s="447"/>
      <c r="AL136" s="445"/>
      <c r="AM136" s="442"/>
      <c r="AN136" s="443"/>
      <c r="AO136" s="448"/>
      <c r="AP136" s="445"/>
      <c r="AQ136" s="442"/>
      <c r="AR136" s="443"/>
      <c r="AS136" s="448"/>
      <c r="AT136" s="445"/>
      <c r="AU136" s="449">
        <f t="shared" si="6"/>
        <v>96785</v>
      </c>
      <c r="AV136" s="457">
        <f t="shared" si="5"/>
        <v>16658</v>
      </c>
      <c r="AW136" s="451"/>
    </row>
    <row r="137" spans="2:49" s="418" customFormat="1">
      <c r="B137" s="452">
        <f t="shared" si="7"/>
        <v>121</v>
      </c>
      <c r="C137" s="429" t="s">
        <v>39</v>
      </c>
      <c r="D137" s="430">
        <v>30348575</v>
      </c>
      <c r="E137" s="430"/>
      <c r="F137" s="431" t="s">
        <v>1752</v>
      </c>
      <c r="G137" s="432" t="s">
        <v>146</v>
      </c>
      <c r="H137" s="433" t="s">
        <v>1580</v>
      </c>
      <c r="I137" s="434" t="s">
        <v>1616</v>
      </c>
      <c r="J137" s="435" t="s">
        <v>44</v>
      </c>
      <c r="K137" s="454">
        <v>1030232</v>
      </c>
      <c r="L137" s="455">
        <v>2709</v>
      </c>
      <c r="M137" s="456">
        <v>512812</v>
      </c>
      <c r="N137" s="439">
        <v>0</v>
      </c>
      <c r="O137" s="439">
        <v>3000</v>
      </c>
      <c r="P137" s="439">
        <v>78509</v>
      </c>
      <c r="Q137" s="439">
        <v>68264</v>
      </c>
      <c r="R137" s="439">
        <v>76912</v>
      </c>
      <c r="S137" s="440">
        <v>45201</v>
      </c>
      <c r="T137" s="441">
        <v>49512</v>
      </c>
      <c r="U137" s="441">
        <v>92485</v>
      </c>
      <c r="V137" s="441">
        <v>63065</v>
      </c>
      <c r="W137" s="441"/>
      <c r="X137" s="441"/>
      <c r="Y137" s="441"/>
      <c r="Z137" s="441">
        <f t="shared" si="8"/>
        <v>476948</v>
      </c>
      <c r="AA137" s="442">
        <v>512002</v>
      </c>
      <c r="AB137" s="443">
        <v>9</v>
      </c>
      <c r="AC137" s="444">
        <v>44232</v>
      </c>
      <c r="AD137" s="445">
        <v>44251</v>
      </c>
      <c r="AE137" s="442">
        <v>477360</v>
      </c>
      <c r="AF137" s="446">
        <v>39</v>
      </c>
      <c r="AG137" s="447">
        <v>44334</v>
      </c>
      <c r="AH137" s="447">
        <v>44342</v>
      </c>
      <c r="AI137" s="442">
        <v>4500</v>
      </c>
      <c r="AJ137" s="443">
        <v>86</v>
      </c>
      <c r="AK137" s="447">
        <v>44421</v>
      </c>
      <c r="AL137" s="445">
        <v>44435</v>
      </c>
      <c r="AM137" s="442"/>
      <c r="AN137" s="443"/>
      <c r="AO137" s="448"/>
      <c r="AP137" s="445"/>
      <c r="AQ137" s="442"/>
      <c r="AR137" s="443"/>
      <c r="AS137" s="448"/>
      <c r="AT137" s="445"/>
      <c r="AU137" s="449">
        <f t="shared" si="6"/>
        <v>993862</v>
      </c>
      <c r="AV137" s="457">
        <f t="shared" si="5"/>
        <v>516914</v>
      </c>
      <c r="AW137" s="451"/>
    </row>
    <row r="138" spans="2:49" s="418" customFormat="1">
      <c r="B138" s="452">
        <f t="shared" si="7"/>
        <v>122</v>
      </c>
      <c r="C138" s="429" t="s">
        <v>39</v>
      </c>
      <c r="D138" s="430">
        <v>30351291</v>
      </c>
      <c r="E138" s="430"/>
      <c r="F138" s="431" t="s">
        <v>1753</v>
      </c>
      <c r="G138" s="432" t="s">
        <v>146</v>
      </c>
      <c r="H138" s="433" t="s">
        <v>1580</v>
      </c>
      <c r="I138" s="434" t="s">
        <v>1663</v>
      </c>
      <c r="J138" s="435" t="s">
        <v>44</v>
      </c>
      <c r="K138" s="454">
        <v>290365</v>
      </c>
      <c r="L138" s="455">
        <v>267082</v>
      </c>
      <c r="M138" s="456">
        <v>3022</v>
      </c>
      <c r="N138" s="439">
        <v>0</v>
      </c>
      <c r="O138" s="439">
        <v>0</v>
      </c>
      <c r="P138" s="439">
        <v>0</v>
      </c>
      <c r="Q138" s="439">
        <v>0</v>
      </c>
      <c r="R138" s="439">
        <v>0</v>
      </c>
      <c r="S138" s="440">
        <v>0</v>
      </c>
      <c r="T138" s="441"/>
      <c r="U138" s="441"/>
      <c r="V138" s="441"/>
      <c r="W138" s="441"/>
      <c r="X138" s="441"/>
      <c r="Y138" s="441"/>
      <c r="Z138" s="441">
        <f t="shared" si="8"/>
        <v>0</v>
      </c>
      <c r="AA138" s="442">
        <v>20261</v>
      </c>
      <c r="AB138" s="443">
        <v>11</v>
      </c>
      <c r="AC138" s="444">
        <v>44237</v>
      </c>
      <c r="AD138" s="445">
        <v>44251</v>
      </c>
      <c r="AE138" s="442"/>
      <c r="AF138" s="446"/>
      <c r="AG138" s="447"/>
      <c r="AH138" s="445"/>
      <c r="AI138" s="442"/>
      <c r="AJ138" s="443"/>
      <c r="AK138" s="447"/>
      <c r="AL138" s="445"/>
      <c r="AM138" s="442"/>
      <c r="AN138" s="443"/>
      <c r="AO138" s="448"/>
      <c r="AP138" s="445"/>
      <c r="AQ138" s="442"/>
      <c r="AR138" s="443"/>
      <c r="AS138" s="448"/>
      <c r="AT138" s="445"/>
      <c r="AU138" s="449">
        <f t="shared" si="6"/>
        <v>20261</v>
      </c>
      <c r="AV138" s="457">
        <f t="shared" si="5"/>
        <v>20261</v>
      </c>
      <c r="AW138" s="451"/>
    </row>
    <row r="139" spans="2:49" s="418" customFormat="1">
      <c r="B139" s="452">
        <f t="shared" si="7"/>
        <v>123</v>
      </c>
      <c r="C139" s="429" t="s">
        <v>39</v>
      </c>
      <c r="D139" s="430">
        <v>30352173</v>
      </c>
      <c r="E139" s="430"/>
      <c r="F139" s="431" t="s">
        <v>1754</v>
      </c>
      <c r="G139" s="432" t="s">
        <v>146</v>
      </c>
      <c r="H139" s="433" t="s">
        <v>1580</v>
      </c>
      <c r="I139" s="434" t="s">
        <v>1624</v>
      </c>
      <c r="J139" s="435" t="s">
        <v>44</v>
      </c>
      <c r="K139" s="454">
        <v>5323204</v>
      </c>
      <c r="L139" s="455">
        <v>50896</v>
      </c>
      <c r="M139" s="456">
        <v>4854256</v>
      </c>
      <c r="N139" s="440">
        <v>0</v>
      </c>
      <c r="O139" s="440">
        <v>4972</v>
      </c>
      <c r="P139" s="440">
        <v>0</v>
      </c>
      <c r="Q139" s="440">
        <v>0</v>
      </c>
      <c r="R139" s="440">
        <v>0</v>
      </c>
      <c r="S139" s="440">
        <v>0</v>
      </c>
      <c r="T139" s="441"/>
      <c r="U139" s="441"/>
      <c r="V139" s="441"/>
      <c r="W139" s="441"/>
      <c r="X139" s="441"/>
      <c r="Y139" s="441"/>
      <c r="Z139" s="441">
        <f t="shared" si="8"/>
        <v>4972</v>
      </c>
      <c r="AA139" s="442">
        <v>414972</v>
      </c>
      <c r="AB139" s="443">
        <v>3</v>
      </c>
      <c r="AC139" s="444">
        <v>44222</v>
      </c>
      <c r="AD139" s="445">
        <v>44225</v>
      </c>
      <c r="AE139" s="442"/>
      <c r="AF139" s="446"/>
      <c r="AG139" s="447"/>
      <c r="AH139" s="445"/>
      <c r="AI139" s="442"/>
      <c r="AJ139" s="443"/>
      <c r="AK139" s="447"/>
      <c r="AL139" s="445"/>
      <c r="AM139" s="442"/>
      <c r="AN139" s="443"/>
      <c r="AO139" s="448"/>
      <c r="AP139" s="445"/>
      <c r="AQ139" s="442"/>
      <c r="AR139" s="443"/>
      <c r="AS139" s="448"/>
      <c r="AT139" s="445"/>
      <c r="AU139" s="449">
        <f t="shared" si="6"/>
        <v>414972</v>
      </c>
      <c r="AV139" s="457">
        <f t="shared" si="5"/>
        <v>410000</v>
      </c>
      <c r="AW139" s="451"/>
    </row>
    <row r="140" spans="2:49" s="418" customFormat="1">
      <c r="B140" s="452">
        <f t="shared" si="7"/>
        <v>124</v>
      </c>
      <c r="C140" s="429" t="s">
        <v>39</v>
      </c>
      <c r="D140" s="430">
        <v>30356131</v>
      </c>
      <c r="E140" s="430"/>
      <c r="F140" s="431" t="s">
        <v>1755</v>
      </c>
      <c r="G140" s="432" t="s">
        <v>146</v>
      </c>
      <c r="H140" s="433" t="s">
        <v>1580</v>
      </c>
      <c r="I140" s="434" t="s">
        <v>1592</v>
      </c>
      <c r="J140" s="435" t="s">
        <v>52</v>
      </c>
      <c r="K140" s="454">
        <v>1326249</v>
      </c>
      <c r="L140" s="455"/>
      <c r="M140" s="456">
        <v>29184</v>
      </c>
      <c r="N140" s="439">
        <v>0</v>
      </c>
      <c r="O140" s="439">
        <v>0</v>
      </c>
      <c r="P140" s="439">
        <v>0</v>
      </c>
      <c r="Q140" s="439">
        <v>0</v>
      </c>
      <c r="R140" s="439">
        <v>0</v>
      </c>
      <c r="S140" s="440">
        <v>10527</v>
      </c>
      <c r="T140" s="441">
        <v>91299</v>
      </c>
      <c r="U140" s="441">
        <v>89872</v>
      </c>
      <c r="V140" s="441">
        <v>150949</v>
      </c>
      <c r="W140" s="441"/>
      <c r="X140" s="441"/>
      <c r="Y140" s="441"/>
      <c r="Z140" s="441">
        <f t="shared" si="8"/>
        <v>342647</v>
      </c>
      <c r="AA140" s="442">
        <v>770000</v>
      </c>
      <c r="AB140" s="443">
        <v>5</v>
      </c>
      <c r="AC140" s="444">
        <v>44224</v>
      </c>
      <c r="AD140" s="445">
        <v>44251</v>
      </c>
      <c r="AE140" s="442">
        <v>0</v>
      </c>
      <c r="AF140" s="446">
        <v>22</v>
      </c>
      <c r="AG140" s="447">
        <v>44301</v>
      </c>
      <c r="AH140" s="447">
        <v>44313</v>
      </c>
      <c r="AI140" s="442"/>
      <c r="AJ140" s="443"/>
      <c r="AK140" s="447"/>
      <c r="AL140" s="445"/>
      <c r="AM140" s="442"/>
      <c r="AN140" s="443"/>
      <c r="AO140" s="448"/>
      <c r="AP140" s="445"/>
      <c r="AQ140" s="442"/>
      <c r="AR140" s="443"/>
      <c r="AS140" s="448"/>
      <c r="AT140" s="445"/>
      <c r="AU140" s="449">
        <f t="shared" si="6"/>
        <v>770000</v>
      </c>
      <c r="AV140" s="457">
        <f t="shared" si="5"/>
        <v>427353</v>
      </c>
      <c r="AW140" s="451"/>
    </row>
    <row r="141" spans="2:49" s="418" customFormat="1">
      <c r="B141" s="452">
        <f t="shared" si="7"/>
        <v>125</v>
      </c>
      <c r="C141" s="429" t="s">
        <v>39</v>
      </c>
      <c r="D141" s="430">
        <v>30360375</v>
      </c>
      <c r="E141" s="430"/>
      <c r="F141" s="431" t="s">
        <v>1756</v>
      </c>
      <c r="G141" s="432" t="s">
        <v>146</v>
      </c>
      <c r="H141" s="433" t="s">
        <v>1580</v>
      </c>
      <c r="I141" s="434" t="s">
        <v>1757</v>
      </c>
      <c r="J141" s="435" t="s">
        <v>52</v>
      </c>
      <c r="K141" s="454">
        <v>827323</v>
      </c>
      <c r="L141" s="455">
        <v>0</v>
      </c>
      <c r="M141" s="456">
        <v>410692</v>
      </c>
      <c r="N141" s="440">
        <v>0</v>
      </c>
      <c r="O141" s="440">
        <v>0</v>
      </c>
      <c r="P141" s="440">
        <v>4500</v>
      </c>
      <c r="Q141" s="440">
        <v>0</v>
      </c>
      <c r="R141" s="440">
        <v>0</v>
      </c>
      <c r="S141" s="440">
        <v>0</v>
      </c>
      <c r="T141" s="441"/>
      <c r="U141" s="441"/>
      <c r="V141" s="441"/>
      <c r="W141" s="441"/>
      <c r="X141" s="441"/>
      <c r="Y141" s="441"/>
      <c r="Z141" s="441">
        <f t="shared" si="8"/>
        <v>4500</v>
      </c>
      <c r="AA141" s="442">
        <v>416631</v>
      </c>
      <c r="AB141" s="443">
        <v>3</v>
      </c>
      <c r="AC141" s="444">
        <v>44222</v>
      </c>
      <c r="AD141" s="445">
        <v>44225</v>
      </c>
      <c r="AE141" s="442">
        <v>-300000</v>
      </c>
      <c r="AF141" s="446">
        <v>86</v>
      </c>
      <c r="AG141" s="447">
        <v>44421</v>
      </c>
      <c r="AH141" s="445">
        <v>44435</v>
      </c>
      <c r="AI141" s="442"/>
      <c r="AJ141" s="443"/>
      <c r="AK141" s="447"/>
      <c r="AL141" s="445"/>
      <c r="AM141" s="442"/>
      <c r="AN141" s="443"/>
      <c r="AO141" s="448"/>
      <c r="AP141" s="445"/>
      <c r="AQ141" s="442"/>
      <c r="AR141" s="443"/>
      <c r="AS141" s="448"/>
      <c r="AT141" s="445"/>
      <c r="AU141" s="449">
        <f t="shared" si="6"/>
        <v>116631</v>
      </c>
      <c r="AV141" s="457">
        <f t="shared" si="5"/>
        <v>112131</v>
      </c>
      <c r="AW141" s="451"/>
    </row>
    <row r="142" spans="2:49" s="418" customFormat="1">
      <c r="B142" s="452">
        <f t="shared" si="7"/>
        <v>126</v>
      </c>
      <c r="C142" s="429" t="s">
        <v>39</v>
      </c>
      <c r="D142" s="430">
        <v>30360378</v>
      </c>
      <c r="E142" s="430"/>
      <c r="F142" s="431" t="s">
        <v>1758</v>
      </c>
      <c r="G142" s="432" t="s">
        <v>146</v>
      </c>
      <c r="H142" s="433" t="s">
        <v>1580</v>
      </c>
      <c r="I142" s="434" t="s">
        <v>1757</v>
      </c>
      <c r="J142" s="435" t="s">
        <v>52</v>
      </c>
      <c r="K142" s="454">
        <v>804751</v>
      </c>
      <c r="L142" s="455">
        <v>0</v>
      </c>
      <c r="M142" s="456">
        <v>390568</v>
      </c>
      <c r="N142" s="439">
        <v>0</v>
      </c>
      <c r="O142" s="439">
        <v>0</v>
      </c>
      <c r="P142" s="439">
        <v>6831</v>
      </c>
      <c r="Q142" s="439">
        <v>0</v>
      </c>
      <c r="R142" s="439">
        <v>3000</v>
      </c>
      <c r="S142" s="440">
        <v>0</v>
      </c>
      <c r="T142" s="441">
        <v>68090</v>
      </c>
      <c r="U142" s="441">
        <v>69760</v>
      </c>
      <c r="V142" s="441">
        <v>41136</v>
      </c>
      <c r="W142" s="441"/>
      <c r="X142" s="441"/>
      <c r="Y142" s="441"/>
      <c r="Z142" s="441">
        <f t="shared" si="8"/>
        <v>188817</v>
      </c>
      <c r="AA142" s="442">
        <v>414183</v>
      </c>
      <c r="AB142" s="443">
        <v>3</v>
      </c>
      <c r="AC142" s="444">
        <v>44222</v>
      </c>
      <c r="AD142" s="445">
        <v>44225</v>
      </c>
      <c r="AE142" s="442">
        <v>268124</v>
      </c>
      <c r="AF142" s="446">
        <v>39</v>
      </c>
      <c r="AG142" s="447">
        <v>44334</v>
      </c>
      <c r="AH142" s="447">
        <v>44342</v>
      </c>
      <c r="AI142" s="442"/>
      <c r="AJ142" s="443"/>
      <c r="AK142" s="447"/>
      <c r="AL142" s="445"/>
      <c r="AM142" s="442"/>
      <c r="AN142" s="443"/>
      <c r="AO142" s="448"/>
      <c r="AP142" s="445"/>
      <c r="AQ142" s="442"/>
      <c r="AR142" s="443"/>
      <c r="AS142" s="448"/>
      <c r="AT142" s="445"/>
      <c r="AU142" s="449">
        <f t="shared" si="6"/>
        <v>682307</v>
      </c>
      <c r="AV142" s="457">
        <f t="shared" si="5"/>
        <v>493490</v>
      </c>
      <c r="AW142" s="451"/>
    </row>
    <row r="143" spans="2:49" s="418" customFormat="1" ht="24">
      <c r="B143" s="452">
        <f t="shared" si="7"/>
        <v>127</v>
      </c>
      <c r="C143" s="429" t="s">
        <v>39</v>
      </c>
      <c r="D143" s="430">
        <v>30361046</v>
      </c>
      <c r="E143" s="430"/>
      <c r="F143" s="431" t="s">
        <v>1759</v>
      </c>
      <c r="G143" s="432" t="s">
        <v>146</v>
      </c>
      <c r="H143" s="433" t="s">
        <v>1580</v>
      </c>
      <c r="I143" s="434" t="s">
        <v>1624</v>
      </c>
      <c r="J143" s="435" t="s">
        <v>44</v>
      </c>
      <c r="K143" s="454">
        <v>3228816</v>
      </c>
      <c r="L143" s="455">
        <v>199657</v>
      </c>
      <c r="M143" s="456">
        <v>949733</v>
      </c>
      <c r="N143" s="439">
        <v>0</v>
      </c>
      <c r="O143" s="439">
        <v>250214</v>
      </c>
      <c r="P143" s="439">
        <v>72462</v>
      </c>
      <c r="Q143" s="439">
        <v>65721</v>
      </c>
      <c r="R143" s="439">
        <v>96084</v>
      </c>
      <c r="S143" s="440">
        <v>65566</v>
      </c>
      <c r="T143" s="441">
        <v>210987</v>
      </c>
      <c r="U143" s="441">
        <v>83478</v>
      </c>
      <c r="V143" s="441">
        <v>165250</v>
      </c>
      <c r="W143" s="441"/>
      <c r="X143" s="441"/>
      <c r="Y143" s="441"/>
      <c r="Z143" s="441">
        <f t="shared" si="8"/>
        <v>1009762</v>
      </c>
      <c r="AA143" s="442">
        <v>2060523</v>
      </c>
      <c r="AB143" s="443">
        <v>11</v>
      </c>
      <c r="AC143" s="444">
        <v>44237</v>
      </c>
      <c r="AD143" s="445">
        <v>44251</v>
      </c>
      <c r="AE143" s="442">
        <v>0</v>
      </c>
      <c r="AF143" s="446">
        <v>39</v>
      </c>
      <c r="AG143" s="447">
        <v>44334</v>
      </c>
      <c r="AH143" s="447">
        <v>44342</v>
      </c>
      <c r="AI143" s="442"/>
      <c r="AJ143" s="443"/>
      <c r="AK143" s="447"/>
      <c r="AL143" s="445"/>
      <c r="AM143" s="442"/>
      <c r="AN143" s="443"/>
      <c r="AO143" s="448"/>
      <c r="AP143" s="445"/>
      <c r="AQ143" s="442"/>
      <c r="AR143" s="443"/>
      <c r="AS143" s="448"/>
      <c r="AT143" s="445"/>
      <c r="AU143" s="449">
        <f t="shared" si="6"/>
        <v>2060523</v>
      </c>
      <c r="AV143" s="457">
        <f t="shared" si="5"/>
        <v>1050761</v>
      </c>
      <c r="AW143" s="451"/>
    </row>
    <row r="144" spans="2:49" s="418" customFormat="1" ht="24">
      <c r="B144" s="452">
        <f t="shared" si="7"/>
        <v>128</v>
      </c>
      <c r="C144" s="429" t="s">
        <v>39</v>
      </c>
      <c r="D144" s="430">
        <v>30362077</v>
      </c>
      <c r="E144" s="430"/>
      <c r="F144" s="431" t="s">
        <v>1760</v>
      </c>
      <c r="G144" s="432" t="s">
        <v>146</v>
      </c>
      <c r="H144" s="433" t="s">
        <v>1583</v>
      </c>
      <c r="I144" s="434" t="s">
        <v>1671</v>
      </c>
      <c r="J144" s="435"/>
      <c r="K144" s="454">
        <v>922457</v>
      </c>
      <c r="L144" s="455">
        <v>7423</v>
      </c>
      <c r="M144" s="456">
        <v>407010</v>
      </c>
      <c r="N144" s="440">
        <v>0</v>
      </c>
      <c r="O144" s="440">
        <v>0</v>
      </c>
      <c r="P144" s="440">
        <v>0</v>
      </c>
      <c r="Q144" s="440">
        <v>0</v>
      </c>
      <c r="R144" s="440">
        <v>0</v>
      </c>
      <c r="S144" s="440">
        <v>0</v>
      </c>
      <c r="T144" s="441"/>
      <c r="U144" s="441"/>
      <c r="V144" s="441"/>
      <c r="W144" s="441"/>
      <c r="X144" s="441"/>
      <c r="Y144" s="441"/>
      <c r="Z144" s="441">
        <f t="shared" si="8"/>
        <v>0</v>
      </c>
      <c r="AA144" s="442">
        <v>508002</v>
      </c>
      <c r="AB144" s="443">
        <v>25</v>
      </c>
      <c r="AC144" s="444">
        <v>44314</v>
      </c>
      <c r="AD144" s="445">
        <v>44326</v>
      </c>
      <c r="AE144" s="442">
        <v>-450000</v>
      </c>
      <c r="AF144" s="446">
        <v>86</v>
      </c>
      <c r="AG144" s="447">
        <v>44421</v>
      </c>
      <c r="AH144" s="445">
        <v>44435</v>
      </c>
      <c r="AI144" s="442"/>
      <c r="AJ144" s="443"/>
      <c r="AK144" s="447"/>
      <c r="AL144" s="445"/>
      <c r="AM144" s="442"/>
      <c r="AN144" s="443"/>
      <c r="AO144" s="448"/>
      <c r="AP144" s="445"/>
      <c r="AQ144" s="442"/>
      <c r="AR144" s="443"/>
      <c r="AS144" s="448"/>
      <c r="AT144" s="445"/>
      <c r="AU144" s="449">
        <f t="shared" si="6"/>
        <v>58002</v>
      </c>
      <c r="AV144" s="457">
        <f t="shared" ref="AV144:AV207" si="9">AU144-Z144</f>
        <v>58002</v>
      </c>
      <c r="AW144" s="451"/>
    </row>
    <row r="145" spans="2:49" s="418" customFormat="1" ht="24">
      <c r="B145" s="452">
        <f t="shared" si="7"/>
        <v>129</v>
      </c>
      <c r="C145" s="429" t="s">
        <v>39</v>
      </c>
      <c r="D145" s="430">
        <v>30363280</v>
      </c>
      <c r="E145" s="430"/>
      <c r="F145" s="431" t="s">
        <v>1761</v>
      </c>
      <c r="G145" s="432" t="s">
        <v>146</v>
      </c>
      <c r="H145" s="433" t="s">
        <v>1580</v>
      </c>
      <c r="I145" s="434" t="s">
        <v>1601</v>
      </c>
      <c r="J145" s="435" t="s">
        <v>52</v>
      </c>
      <c r="K145" s="454">
        <v>694745</v>
      </c>
      <c r="L145" s="455">
        <v>0</v>
      </c>
      <c r="M145" s="456">
        <v>576676</v>
      </c>
      <c r="N145" s="440">
        <v>0</v>
      </c>
      <c r="O145" s="440">
        <v>0</v>
      </c>
      <c r="P145" s="440">
        <v>0</v>
      </c>
      <c r="Q145" s="440">
        <v>0</v>
      </c>
      <c r="R145" s="440">
        <v>0</v>
      </c>
      <c r="S145" s="440">
        <v>0</v>
      </c>
      <c r="T145" s="441"/>
      <c r="U145" s="441"/>
      <c r="V145" s="441"/>
      <c r="W145" s="441"/>
      <c r="X145" s="441"/>
      <c r="Y145" s="441"/>
      <c r="Z145" s="441">
        <f t="shared" si="8"/>
        <v>0</v>
      </c>
      <c r="AA145" s="442">
        <v>110002</v>
      </c>
      <c r="AB145" s="443">
        <v>3</v>
      </c>
      <c r="AC145" s="444">
        <v>44222</v>
      </c>
      <c r="AD145" s="445">
        <v>44225</v>
      </c>
      <c r="AE145" s="442"/>
      <c r="AF145" s="446"/>
      <c r="AG145" s="447"/>
      <c r="AH145" s="445"/>
      <c r="AI145" s="442"/>
      <c r="AJ145" s="443"/>
      <c r="AK145" s="447"/>
      <c r="AL145" s="445"/>
      <c r="AM145" s="442"/>
      <c r="AN145" s="443"/>
      <c r="AO145" s="448"/>
      <c r="AP145" s="445"/>
      <c r="AQ145" s="442"/>
      <c r="AR145" s="443"/>
      <c r="AS145" s="448"/>
      <c r="AT145" s="445"/>
      <c r="AU145" s="449">
        <f t="shared" ref="AU145:AU208" si="10">(AA145+AE145+AI145+AM145+AQ145)</f>
        <v>110002</v>
      </c>
      <c r="AV145" s="457">
        <f t="shared" si="9"/>
        <v>110002</v>
      </c>
      <c r="AW145" s="451"/>
    </row>
    <row r="146" spans="2:49" s="418" customFormat="1" ht="12" customHeight="1">
      <c r="B146" s="452">
        <f t="shared" ref="B146:B209" si="11">+B145+1</f>
        <v>130</v>
      </c>
      <c r="C146" s="429" t="s">
        <v>39</v>
      </c>
      <c r="D146" s="382">
        <v>30363438</v>
      </c>
      <c r="E146" s="430"/>
      <c r="F146" s="166" t="s">
        <v>1762</v>
      </c>
      <c r="G146" s="432" t="s">
        <v>317</v>
      </c>
      <c r="H146" s="433" t="s">
        <v>1583</v>
      </c>
      <c r="I146" s="434" t="s">
        <v>1671</v>
      </c>
      <c r="J146" s="435"/>
      <c r="K146" s="454">
        <v>215493</v>
      </c>
      <c r="L146" s="455"/>
      <c r="M146" s="456">
        <v>214493</v>
      </c>
      <c r="N146" s="440"/>
      <c r="O146" s="440"/>
      <c r="P146" s="440"/>
      <c r="Q146" s="440"/>
      <c r="R146" s="440"/>
      <c r="S146" s="440"/>
      <c r="T146" s="441"/>
      <c r="U146" s="441"/>
      <c r="V146" s="441"/>
      <c r="W146" s="441"/>
      <c r="X146" s="441"/>
      <c r="Y146" s="441"/>
      <c r="Z146" s="441"/>
      <c r="AA146" s="442">
        <v>1000</v>
      </c>
      <c r="AB146" s="443">
        <v>86</v>
      </c>
      <c r="AC146" s="444">
        <v>44421</v>
      </c>
      <c r="AD146" s="445">
        <v>44435</v>
      </c>
      <c r="AE146" s="442"/>
      <c r="AF146" s="446"/>
      <c r="AG146" s="447"/>
      <c r="AH146" s="445"/>
      <c r="AI146" s="442"/>
      <c r="AJ146" s="443"/>
      <c r="AK146" s="447"/>
      <c r="AL146" s="445"/>
      <c r="AM146" s="442"/>
      <c r="AN146" s="443"/>
      <c r="AO146" s="448"/>
      <c r="AP146" s="445"/>
      <c r="AQ146" s="442"/>
      <c r="AR146" s="443"/>
      <c r="AS146" s="448"/>
      <c r="AT146" s="445"/>
      <c r="AU146" s="449">
        <f t="shared" si="10"/>
        <v>1000</v>
      </c>
      <c r="AV146" s="457">
        <f t="shared" si="9"/>
        <v>1000</v>
      </c>
      <c r="AW146" s="451"/>
    </row>
    <row r="147" spans="2:49" s="418" customFormat="1">
      <c r="B147" s="452">
        <f t="shared" si="11"/>
        <v>131</v>
      </c>
      <c r="C147" s="429" t="s">
        <v>39</v>
      </c>
      <c r="D147" s="430">
        <v>30363973</v>
      </c>
      <c r="E147" s="430"/>
      <c r="F147" s="431" t="s">
        <v>1763</v>
      </c>
      <c r="G147" s="432" t="s">
        <v>146</v>
      </c>
      <c r="H147" s="433" t="s">
        <v>1580</v>
      </c>
      <c r="I147" s="434" t="s">
        <v>1597</v>
      </c>
      <c r="J147" s="435" t="s">
        <v>44</v>
      </c>
      <c r="K147" s="454">
        <v>1915599</v>
      </c>
      <c r="L147" s="455">
        <v>168712</v>
      </c>
      <c r="M147" s="456">
        <v>2</v>
      </c>
      <c r="N147" s="439">
        <v>0</v>
      </c>
      <c r="O147" s="439">
        <v>118952</v>
      </c>
      <c r="P147" s="439">
        <v>358364</v>
      </c>
      <c r="Q147" s="439">
        <v>167777</v>
      </c>
      <c r="R147" s="439">
        <v>166509</v>
      </c>
      <c r="S147" s="440">
        <v>115580</v>
      </c>
      <c r="T147" s="441">
        <v>59090</v>
      </c>
      <c r="U147" s="441">
        <v>39563</v>
      </c>
      <c r="V147" s="441">
        <v>164872</v>
      </c>
      <c r="W147" s="441"/>
      <c r="X147" s="441"/>
      <c r="Y147" s="441"/>
      <c r="Z147" s="441">
        <f t="shared" ref="Z147:Z186" si="12">SUM(N147:Y147)</f>
        <v>1190707</v>
      </c>
      <c r="AA147" s="442">
        <v>1590757</v>
      </c>
      <c r="AB147" s="443">
        <v>5</v>
      </c>
      <c r="AC147" s="444">
        <v>44224</v>
      </c>
      <c r="AD147" s="445">
        <v>44251</v>
      </c>
      <c r="AE147" s="442"/>
      <c r="AF147" s="446"/>
      <c r="AG147" s="447"/>
      <c r="AH147" s="445"/>
      <c r="AI147" s="442"/>
      <c r="AJ147" s="443"/>
      <c r="AK147" s="447"/>
      <c r="AL147" s="445"/>
      <c r="AM147" s="442"/>
      <c r="AN147" s="443"/>
      <c r="AO147" s="448"/>
      <c r="AP147" s="445"/>
      <c r="AQ147" s="442"/>
      <c r="AR147" s="443"/>
      <c r="AS147" s="448"/>
      <c r="AT147" s="445"/>
      <c r="AU147" s="449">
        <f t="shared" si="10"/>
        <v>1590757</v>
      </c>
      <c r="AV147" s="457">
        <f t="shared" si="9"/>
        <v>400050</v>
      </c>
      <c r="AW147" s="451"/>
    </row>
    <row r="148" spans="2:49" s="418" customFormat="1" ht="24">
      <c r="B148" s="452">
        <f t="shared" si="11"/>
        <v>132</v>
      </c>
      <c r="C148" s="429" t="s">
        <v>39</v>
      </c>
      <c r="D148" s="430">
        <v>30367427</v>
      </c>
      <c r="E148" s="430"/>
      <c r="F148" s="431" t="s">
        <v>1764</v>
      </c>
      <c r="G148" s="432" t="s">
        <v>158</v>
      </c>
      <c r="H148" s="433" t="s">
        <v>1580</v>
      </c>
      <c r="I148" s="434" t="s">
        <v>1643</v>
      </c>
      <c r="J148" s="435" t="s">
        <v>44</v>
      </c>
      <c r="K148" s="454">
        <v>53685</v>
      </c>
      <c r="L148" s="455">
        <v>26292</v>
      </c>
      <c r="M148" s="456">
        <v>1101</v>
      </c>
      <c r="N148" s="440">
        <v>0</v>
      </c>
      <c r="O148" s="440">
        <v>0</v>
      </c>
      <c r="P148" s="440">
        <v>0</v>
      </c>
      <c r="Q148" s="440">
        <v>0</v>
      </c>
      <c r="R148" s="440">
        <v>0</v>
      </c>
      <c r="S148" s="440">
        <v>956</v>
      </c>
      <c r="T148" s="441"/>
      <c r="U148" s="441">
        <v>9563</v>
      </c>
      <c r="V148" s="441"/>
      <c r="W148" s="441"/>
      <c r="X148" s="441"/>
      <c r="Y148" s="441"/>
      <c r="Z148" s="441">
        <f t="shared" si="12"/>
        <v>10519</v>
      </c>
      <c r="AA148" s="442">
        <v>21038</v>
      </c>
      <c r="AB148" s="443">
        <v>5</v>
      </c>
      <c r="AC148" s="444">
        <v>44224</v>
      </c>
      <c r="AD148" s="445">
        <v>44251</v>
      </c>
      <c r="AE148" s="442"/>
      <c r="AF148" s="446"/>
      <c r="AG148" s="447"/>
      <c r="AH148" s="445"/>
      <c r="AI148" s="442"/>
      <c r="AJ148" s="443"/>
      <c r="AK148" s="447"/>
      <c r="AL148" s="445"/>
      <c r="AM148" s="442"/>
      <c r="AN148" s="443"/>
      <c r="AO148" s="448"/>
      <c r="AP148" s="445"/>
      <c r="AQ148" s="442"/>
      <c r="AR148" s="443"/>
      <c r="AS148" s="448"/>
      <c r="AT148" s="445"/>
      <c r="AU148" s="449">
        <f t="shared" si="10"/>
        <v>21038</v>
      </c>
      <c r="AV148" s="457">
        <f t="shared" si="9"/>
        <v>10519</v>
      </c>
      <c r="AW148" s="451"/>
    </row>
    <row r="149" spans="2:49" s="418" customFormat="1">
      <c r="B149" s="452">
        <f t="shared" si="11"/>
        <v>133</v>
      </c>
      <c r="C149" s="429" t="s">
        <v>39</v>
      </c>
      <c r="D149" s="430">
        <v>30369628</v>
      </c>
      <c r="E149" s="430"/>
      <c r="F149" s="431" t="s">
        <v>1765</v>
      </c>
      <c r="G149" s="432" t="s">
        <v>1727</v>
      </c>
      <c r="H149" s="433" t="s">
        <v>1580</v>
      </c>
      <c r="I149" s="434" t="s">
        <v>1603</v>
      </c>
      <c r="J149" s="435" t="s">
        <v>52</v>
      </c>
      <c r="K149" s="454">
        <v>80191</v>
      </c>
      <c r="L149" s="455">
        <v>0</v>
      </c>
      <c r="M149" s="456">
        <v>3752</v>
      </c>
      <c r="N149" s="439">
        <v>0</v>
      </c>
      <c r="O149" s="439">
        <v>0</v>
      </c>
      <c r="P149" s="439">
        <v>0</v>
      </c>
      <c r="Q149" s="439">
        <v>0</v>
      </c>
      <c r="R149" s="439">
        <v>0</v>
      </c>
      <c r="S149" s="440">
        <v>0</v>
      </c>
      <c r="T149" s="441"/>
      <c r="U149" s="441"/>
      <c r="V149" s="441"/>
      <c r="W149" s="441"/>
      <c r="X149" s="441"/>
      <c r="Y149" s="441"/>
      <c r="Z149" s="441">
        <f t="shared" si="12"/>
        <v>0</v>
      </c>
      <c r="AA149" s="442">
        <v>39214</v>
      </c>
      <c r="AB149" s="443">
        <v>5</v>
      </c>
      <c r="AC149" s="444">
        <v>44224</v>
      </c>
      <c r="AD149" s="445">
        <v>44251</v>
      </c>
      <c r="AE149" s="442">
        <v>-39213</v>
      </c>
      <c r="AF149" s="446">
        <v>50</v>
      </c>
      <c r="AG149" s="447">
        <v>44356</v>
      </c>
      <c r="AH149" s="447">
        <v>44377</v>
      </c>
      <c r="AI149" s="442"/>
      <c r="AJ149" s="443"/>
      <c r="AK149" s="447"/>
      <c r="AL149" s="445"/>
      <c r="AM149" s="442"/>
      <c r="AN149" s="443"/>
      <c r="AO149" s="448"/>
      <c r="AP149" s="445"/>
      <c r="AQ149" s="442"/>
      <c r="AR149" s="443"/>
      <c r="AS149" s="448"/>
      <c r="AT149" s="445"/>
      <c r="AU149" s="449">
        <f t="shared" si="10"/>
        <v>1</v>
      </c>
      <c r="AV149" s="457">
        <f t="shared" si="9"/>
        <v>1</v>
      </c>
      <c r="AW149" s="451"/>
    </row>
    <row r="150" spans="2:49" s="418" customFormat="1" ht="24">
      <c r="B150" s="452">
        <f t="shared" si="11"/>
        <v>134</v>
      </c>
      <c r="C150" s="429" t="s">
        <v>39</v>
      </c>
      <c r="D150" s="430">
        <v>30376489</v>
      </c>
      <c r="E150" s="430"/>
      <c r="F150" s="431" t="s">
        <v>1766</v>
      </c>
      <c r="G150" s="432" t="s">
        <v>51</v>
      </c>
      <c r="H150" s="433" t="s">
        <v>1583</v>
      </c>
      <c r="I150" s="434" t="s">
        <v>1767</v>
      </c>
      <c r="J150" s="435"/>
      <c r="K150" s="454">
        <v>11325885</v>
      </c>
      <c r="L150" s="455">
        <v>0</v>
      </c>
      <c r="M150" s="456">
        <v>2314087</v>
      </c>
      <c r="N150" s="440">
        <v>0</v>
      </c>
      <c r="O150" s="440">
        <v>0</v>
      </c>
      <c r="P150" s="440">
        <v>0</v>
      </c>
      <c r="Q150" s="440">
        <v>0</v>
      </c>
      <c r="R150" s="440">
        <v>0</v>
      </c>
      <c r="S150" s="440">
        <v>0</v>
      </c>
      <c r="T150" s="441"/>
      <c r="U150" s="441"/>
      <c r="V150" s="441"/>
      <c r="W150" s="441"/>
      <c r="X150" s="441"/>
      <c r="Y150" s="441"/>
      <c r="Z150" s="441">
        <f t="shared" si="12"/>
        <v>0</v>
      </c>
      <c r="AA150" s="442">
        <v>1</v>
      </c>
      <c r="AB150" s="443">
        <v>50</v>
      </c>
      <c r="AC150" s="444">
        <v>44356</v>
      </c>
      <c r="AD150" s="445">
        <v>44377</v>
      </c>
      <c r="AE150" s="442"/>
      <c r="AF150" s="446"/>
      <c r="AG150" s="447"/>
      <c r="AH150" s="445"/>
      <c r="AI150" s="442"/>
      <c r="AJ150" s="443"/>
      <c r="AK150" s="447"/>
      <c r="AL150" s="445"/>
      <c r="AM150" s="442"/>
      <c r="AN150" s="443"/>
      <c r="AO150" s="448"/>
      <c r="AP150" s="445"/>
      <c r="AQ150" s="442"/>
      <c r="AR150" s="443"/>
      <c r="AS150" s="448"/>
      <c r="AT150" s="445"/>
      <c r="AU150" s="449">
        <f t="shared" si="10"/>
        <v>1</v>
      </c>
      <c r="AV150" s="457">
        <f t="shared" si="9"/>
        <v>1</v>
      </c>
      <c r="AW150" s="451"/>
    </row>
    <row r="151" spans="2:49" s="418" customFormat="1">
      <c r="B151" s="452">
        <f t="shared" si="11"/>
        <v>135</v>
      </c>
      <c r="C151" s="429" t="s">
        <v>39</v>
      </c>
      <c r="D151" s="430">
        <v>30377222</v>
      </c>
      <c r="E151" s="430"/>
      <c r="F151" s="431" t="s">
        <v>1768</v>
      </c>
      <c r="G151" s="432" t="s">
        <v>146</v>
      </c>
      <c r="H151" s="433" t="s">
        <v>1580</v>
      </c>
      <c r="I151" s="434" t="s">
        <v>1671</v>
      </c>
      <c r="J151" s="435" t="s">
        <v>52</v>
      </c>
      <c r="K151" s="454">
        <v>674526</v>
      </c>
      <c r="L151" s="455">
        <v>0</v>
      </c>
      <c r="M151" s="456">
        <v>608762</v>
      </c>
      <c r="N151" s="440">
        <v>0</v>
      </c>
      <c r="O151" s="440">
        <v>0</v>
      </c>
      <c r="P151" s="440">
        <v>0</v>
      </c>
      <c r="Q151" s="440">
        <v>0</v>
      </c>
      <c r="R151" s="440">
        <v>0</v>
      </c>
      <c r="S151" s="440">
        <v>0</v>
      </c>
      <c r="T151" s="441"/>
      <c r="U151" s="441"/>
      <c r="V151" s="441"/>
      <c r="W151" s="441"/>
      <c r="X151" s="441"/>
      <c r="Y151" s="441"/>
      <c r="Z151" s="441">
        <f t="shared" si="12"/>
        <v>0</v>
      </c>
      <c r="AA151" s="442">
        <v>58002</v>
      </c>
      <c r="AB151" s="443">
        <v>3</v>
      </c>
      <c r="AC151" s="444">
        <v>44222</v>
      </c>
      <c r="AD151" s="445">
        <v>44225</v>
      </c>
      <c r="AE151" s="442"/>
      <c r="AF151" s="446"/>
      <c r="AG151" s="447"/>
      <c r="AH151" s="445"/>
      <c r="AI151" s="442"/>
      <c r="AJ151" s="443"/>
      <c r="AK151" s="447"/>
      <c r="AL151" s="445"/>
      <c r="AM151" s="442"/>
      <c r="AN151" s="443"/>
      <c r="AO151" s="448"/>
      <c r="AP151" s="445"/>
      <c r="AQ151" s="442"/>
      <c r="AR151" s="443"/>
      <c r="AS151" s="448"/>
      <c r="AT151" s="445"/>
      <c r="AU151" s="449">
        <f t="shared" si="10"/>
        <v>58002</v>
      </c>
      <c r="AV151" s="457">
        <f t="shared" si="9"/>
        <v>58002</v>
      </c>
      <c r="AW151" s="451"/>
    </row>
    <row r="152" spans="2:49" s="418" customFormat="1" ht="24">
      <c r="B152" s="452">
        <f t="shared" si="11"/>
        <v>136</v>
      </c>
      <c r="C152" s="429" t="s">
        <v>39</v>
      </c>
      <c r="D152" s="430">
        <v>30378922</v>
      </c>
      <c r="E152" s="430"/>
      <c r="F152" s="431" t="s">
        <v>1769</v>
      </c>
      <c r="G152" s="432" t="s">
        <v>146</v>
      </c>
      <c r="H152" s="433" t="s">
        <v>1583</v>
      </c>
      <c r="I152" s="434" t="s">
        <v>1683</v>
      </c>
      <c r="J152" s="435"/>
      <c r="K152" s="454">
        <v>4027065</v>
      </c>
      <c r="L152" s="455">
        <v>0</v>
      </c>
      <c r="M152" s="456">
        <v>3897419</v>
      </c>
      <c r="N152" s="440">
        <v>0</v>
      </c>
      <c r="O152" s="440">
        <v>0</v>
      </c>
      <c r="P152" s="440">
        <v>0</v>
      </c>
      <c r="Q152" s="440">
        <v>0</v>
      </c>
      <c r="R152" s="440">
        <v>0</v>
      </c>
      <c r="S152" s="440">
        <v>0</v>
      </c>
      <c r="T152" s="441"/>
      <c r="U152" s="441"/>
      <c r="V152" s="441"/>
      <c r="W152" s="441"/>
      <c r="X152" s="441"/>
      <c r="Y152" s="441"/>
      <c r="Z152" s="441">
        <f t="shared" si="12"/>
        <v>0</v>
      </c>
      <c r="AA152" s="442">
        <v>125148</v>
      </c>
      <c r="AB152" s="443">
        <v>25</v>
      </c>
      <c r="AC152" s="444">
        <v>44314</v>
      </c>
      <c r="AD152" s="445">
        <v>44326</v>
      </c>
      <c r="AE152" s="442"/>
      <c r="AF152" s="446"/>
      <c r="AG152" s="447"/>
      <c r="AH152" s="445"/>
      <c r="AI152" s="442"/>
      <c r="AJ152" s="443"/>
      <c r="AK152" s="447"/>
      <c r="AL152" s="445"/>
      <c r="AM152" s="442"/>
      <c r="AN152" s="443"/>
      <c r="AO152" s="448"/>
      <c r="AP152" s="445"/>
      <c r="AQ152" s="442"/>
      <c r="AR152" s="443"/>
      <c r="AS152" s="448"/>
      <c r="AT152" s="445"/>
      <c r="AU152" s="449">
        <f t="shared" si="10"/>
        <v>125148</v>
      </c>
      <c r="AV152" s="457">
        <f t="shared" si="9"/>
        <v>125148</v>
      </c>
      <c r="AW152" s="451"/>
    </row>
    <row r="153" spans="2:49" s="418" customFormat="1" ht="24">
      <c r="B153" s="452">
        <f t="shared" si="11"/>
        <v>137</v>
      </c>
      <c r="C153" s="429" t="s">
        <v>39</v>
      </c>
      <c r="D153" s="430">
        <v>30379323</v>
      </c>
      <c r="E153" s="430"/>
      <c r="F153" s="431" t="s">
        <v>1770</v>
      </c>
      <c r="G153" s="432" t="s">
        <v>158</v>
      </c>
      <c r="H153" s="433" t="s">
        <v>1580</v>
      </c>
      <c r="I153" s="434" t="s">
        <v>1725</v>
      </c>
      <c r="J153" s="435" t="s">
        <v>44</v>
      </c>
      <c r="K153" s="454">
        <v>101295</v>
      </c>
      <c r="L153" s="455">
        <v>0</v>
      </c>
      <c r="M153" s="456">
        <v>1</v>
      </c>
      <c r="N153" s="440">
        <v>0</v>
      </c>
      <c r="O153" s="440">
        <v>0</v>
      </c>
      <c r="P153" s="440">
        <v>0</v>
      </c>
      <c r="Q153" s="440">
        <v>0</v>
      </c>
      <c r="R153" s="440">
        <v>0</v>
      </c>
      <c r="S153" s="440">
        <v>22534</v>
      </c>
      <c r="T153" s="441"/>
      <c r="U153" s="441"/>
      <c r="V153" s="441"/>
      <c r="W153" s="441"/>
      <c r="X153" s="441"/>
      <c r="Y153" s="441"/>
      <c r="Z153" s="441">
        <f t="shared" si="12"/>
        <v>22534</v>
      </c>
      <c r="AA153" s="442">
        <v>90136</v>
      </c>
      <c r="AB153" s="443">
        <v>5</v>
      </c>
      <c r="AC153" s="444">
        <v>44224</v>
      </c>
      <c r="AD153" s="445">
        <v>44251</v>
      </c>
      <c r="AE153" s="442">
        <v>-80021</v>
      </c>
      <c r="AF153" s="446">
        <v>50</v>
      </c>
      <c r="AG153" s="447">
        <v>44356</v>
      </c>
      <c r="AH153" s="447">
        <v>44377</v>
      </c>
      <c r="AI153" s="442">
        <v>12419</v>
      </c>
      <c r="AJ153" s="443">
        <v>86</v>
      </c>
      <c r="AK153" s="447">
        <v>44421</v>
      </c>
      <c r="AL153" s="445">
        <v>44435</v>
      </c>
      <c r="AM153" s="442"/>
      <c r="AN153" s="443"/>
      <c r="AO153" s="448"/>
      <c r="AP153" s="445"/>
      <c r="AQ153" s="442"/>
      <c r="AR153" s="443"/>
      <c r="AS153" s="448"/>
      <c r="AT153" s="445"/>
      <c r="AU153" s="449">
        <f t="shared" si="10"/>
        <v>22534</v>
      </c>
      <c r="AV153" s="457">
        <f t="shared" si="9"/>
        <v>0</v>
      </c>
      <c r="AW153" s="451"/>
    </row>
    <row r="154" spans="2:49" s="418" customFormat="1">
      <c r="B154" s="452">
        <f t="shared" si="11"/>
        <v>138</v>
      </c>
      <c r="C154" s="429" t="s">
        <v>39</v>
      </c>
      <c r="D154" s="430">
        <v>30384722</v>
      </c>
      <c r="E154" s="430"/>
      <c r="F154" s="431" t="s">
        <v>1771</v>
      </c>
      <c r="G154" s="432" t="s">
        <v>146</v>
      </c>
      <c r="H154" s="433" t="s">
        <v>1580</v>
      </c>
      <c r="I154" s="434" t="s">
        <v>1632</v>
      </c>
      <c r="J154" s="435" t="s">
        <v>52</v>
      </c>
      <c r="K154" s="454">
        <v>5394037</v>
      </c>
      <c r="L154" s="455">
        <v>0</v>
      </c>
      <c r="M154" s="456">
        <v>626074</v>
      </c>
      <c r="N154" s="440">
        <v>0</v>
      </c>
      <c r="O154" s="440">
        <v>0</v>
      </c>
      <c r="P154" s="440">
        <v>0</v>
      </c>
      <c r="Q154" s="440">
        <v>0</v>
      </c>
      <c r="R154" s="440">
        <v>0</v>
      </c>
      <c r="S154" s="440">
        <v>0</v>
      </c>
      <c r="T154" s="441"/>
      <c r="U154" s="441"/>
      <c r="V154" s="441"/>
      <c r="W154" s="441"/>
      <c r="X154" s="441"/>
      <c r="Y154" s="441"/>
      <c r="Z154" s="441">
        <f t="shared" si="12"/>
        <v>0</v>
      </c>
      <c r="AA154" s="442">
        <v>125093</v>
      </c>
      <c r="AB154" s="443">
        <v>3</v>
      </c>
      <c r="AC154" s="444">
        <v>44222</v>
      </c>
      <c r="AD154" s="445">
        <v>44225</v>
      </c>
      <c r="AE154" s="442">
        <v>-124093</v>
      </c>
      <c r="AF154" s="446">
        <v>86</v>
      </c>
      <c r="AG154" s="447">
        <v>44421</v>
      </c>
      <c r="AH154" s="445">
        <v>44435</v>
      </c>
      <c r="AI154" s="442"/>
      <c r="AJ154" s="443"/>
      <c r="AK154" s="447"/>
      <c r="AL154" s="445"/>
      <c r="AM154" s="442"/>
      <c r="AN154" s="443"/>
      <c r="AO154" s="448"/>
      <c r="AP154" s="445"/>
      <c r="AQ154" s="442"/>
      <c r="AR154" s="443"/>
      <c r="AS154" s="448"/>
      <c r="AT154" s="445"/>
      <c r="AU154" s="449">
        <f t="shared" si="10"/>
        <v>1000</v>
      </c>
      <c r="AV154" s="457">
        <f t="shared" si="9"/>
        <v>1000</v>
      </c>
      <c r="AW154" s="451"/>
    </row>
    <row r="155" spans="2:49" s="418" customFormat="1" ht="24">
      <c r="B155" s="452">
        <f t="shared" si="11"/>
        <v>139</v>
      </c>
      <c r="C155" s="429" t="s">
        <v>39</v>
      </c>
      <c r="D155" s="430">
        <v>30389026</v>
      </c>
      <c r="E155" s="430"/>
      <c r="F155" s="431" t="s">
        <v>1772</v>
      </c>
      <c r="G155" s="432" t="s">
        <v>158</v>
      </c>
      <c r="H155" s="433" t="s">
        <v>1580</v>
      </c>
      <c r="I155" s="434" t="s">
        <v>1643</v>
      </c>
      <c r="J155" s="435" t="s">
        <v>44</v>
      </c>
      <c r="K155" s="454">
        <v>50441</v>
      </c>
      <c r="L155" s="455">
        <v>28166</v>
      </c>
      <c r="M155" s="456">
        <v>0</v>
      </c>
      <c r="N155" s="440">
        <v>0</v>
      </c>
      <c r="O155" s="440">
        <v>0</v>
      </c>
      <c r="P155" s="440">
        <v>0</v>
      </c>
      <c r="Q155" s="440">
        <v>0</v>
      </c>
      <c r="R155" s="440">
        <v>0</v>
      </c>
      <c r="S155" s="440">
        <v>0</v>
      </c>
      <c r="T155" s="441"/>
      <c r="U155" s="441"/>
      <c r="V155" s="441"/>
      <c r="W155" s="441"/>
      <c r="X155" s="441"/>
      <c r="Y155" s="441"/>
      <c r="Z155" s="441">
        <f t="shared" si="12"/>
        <v>0</v>
      </c>
      <c r="AA155" s="442">
        <v>22275</v>
      </c>
      <c r="AB155" s="443">
        <v>5</v>
      </c>
      <c r="AC155" s="444">
        <v>44224</v>
      </c>
      <c r="AD155" s="445">
        <v>44251</v>
      </c>
      <c r="AE155" s="442"/>
      <c r="AF155" s="446"/>
      <c r="AG155" s="447"/>
      <c r="AH155" s="445"/>
      <c r="AI155" s="442"/>
      <c r="AJ155" s="443"/>
      <c r="AK155" s="447"/>
      <c r="AL155" s="445"/>
      <c r="AM155" s="442"/>
      <c r="AN155" s="443"/>
      <c r="AO155" s="448"/>
      <c r="AP155" s="445"/>
      <c r="AQ155" s="442"/>
      <c r="AR155" s="443"/>
      <c r="AS155" s="448"/>
      <c r="AT155" s="445"/>
      <c r="AU155" s="449">
        <f t="shared" si="10"/>
        <v>22275</v>
      </c>
      <c r="AV155" s="457">
        <f t="shared" si="9"/>
        <v>22275</v>
      </c>
      <c r="AW155" s="451"/>
    </row>
    <row r="156" spans="2:49" s="418" customFormat="1" ht="24">
      <c r="B156" s="452">
        <f t="shared" si="11"/>
        <v>140</v>
      </c>
      <c r="C156" s="429" t="s">
        <v>39</v>
      </c>
      <c r="D156" s="430">
        <v>30391825</v>
      </c>
      <c r="E156" s="430"/>
      <c r="F156" s="431" t="s">
        <v>1773</v>
      </c>
      <c r="G156" s="432" t="s">
        <v>158</v>
      </c>
      <c r="H156" s="433" t="s">
        <v>1580</v>
      </c>
      <c r="I156" s="434" t="s">
        <v>1722</v>
      </c>
      <c r="J156" s="435" t="s">
        <v>52</v>
      </c>
      <c r="K156" s="454">
        <v>411102</v>
      </c>
      <c r="L156" s="455">
        <v>0</v>
      </c>
      <c r="M156" s="456">
        <v>405602</v>
      </c>
      <c r="N156" s="440">
        <v>0</v>
      </c>
      <c r="O156" s="440">
        <v>0</v>
      </c>
      <c r="P156" s="440">
        <v>0</v>
      </c>
      <c r="Q156" s="440">
        <v>0</v>
      </c>
      <c r="R156" s="440">
        <v>0</v>
      </c>
      <c r="S156" s="440">
        <v>3500</v>
      </c>
      <c r="T156" s="441"/>
      <c r="U156" s="441"/>
      <c r="V156" s="441"/>
      <c r="W156" s="441"/>
      <c r="X156" s="441"/>
      <c r="Y156" s="441"/>
      <c r="Z156" s="441">
        <f t="shared" si="12"/>
        <v>3500</v>
      </c>
      <c r="AA156" s="442">
        <v>3502</v>
      </c>
      <c r="AB156" s="443">
        <v>15</v>
      </c>
      <c r="AC156" s="444">
        <v>44259</v>
      </c>
      <c r="AD156" s="445">
        <v>44274</v>
      </c>
      <c r="AE156" s="442">
        <v>33</v>
      </c>
      <c r="AF156" s="446">
        <v>50</v>
      </c>
      <c r="AG156" s="447">
        <v>44356</v>
      </c>
      <c r="AH156" s="447">
        <v>44377</v>
      </c>
      <c r="AI156" s="442"/>
      <c r="AJ156" s="443"/>
      <c r="AK156" s="447"/>
      <c r="AL156" s="445"/>
      <c r="AM156" s="442"/>
      <c r="AN156" s="443"/>
      <c r="AO156" s="448"/>
      <c r="AP156" s="445"/>
      <c r="AQ156" s="442"/>
      <c r="AR156" s="443"/>
      <c r="AS156" s="448"/>
      <c r="AT156" s="445"/>
      <c r="AU156" s="449">
        <f t="shared" si="10"/>
        <v>3535</v>
      </c>
      <c r="AV156" s="457">
        <f t="shared" si="9"/>
        <v>35</v>
      </c>
      <c r="AW156" s="451"/>
    </row>
    <row r="157" spans="2:49" s="418" customFormat="1" ht="24">
      <c r="B157" s="452">
        <f t="shared" si="11"/>
        <v>141</v>
      </c>
      <c r="C157" s="429" t="s">
        <v>39</v>
      </c>
      <c r="D157" s="430">
        <v>30407385</v>
      </c>
      <c r="E157" s="430"/>
      <c r="F157" s="431" t="s">
        <v>1774</v>
      </c>
      <c r="G157" s="432" t="s">
        <v>158</v>
      </c>
      <c r="H157" s="433" t="s">
        <v>1580</v>
      </c>
      <c r="I157" s="434" t="s">
        <v>1663</v>
      </c>
      <c r="J157" s="435" t="s">
        <v>44</v>
      </c>
      <c r="K157" s="454">
        <v>523290</v>
      </c>
      <c r="L157" s="455">
        <v>470883</v>
      </c>
      <c r="M157" s="456">
        <v>0</v>
      </c>
      <c r="N157" s="440">
        <v>0</v>
      </c>
      <c r="O157" s="440">
        <v>0</v>
      </c>
      <c r="P157" s="440">
        <v>0</v>
      </c>
      <c r="Q157" s="440">
        <v>0</v>
      </c>
      <c r="R157" s="440">
        <v>0</v>
      </c>
      <c r="S157" s="440">
        <v>0</v>
      </c>
      <c r="T157" s="441"/>
      <c r="U157" s="441"/>
      <c r="V157" s="441"/>
      <c r="W157" s="441"/>
      <c r="X157" s="441"/>
      <c r="Y157" s="441"/>
      <c r="Z157" s="441">
        <f t="shared" si="12"/>
        <v>0</v>
      </c>
      <c r="AA157" s="442">
        <v>52407</v>
      </c>
      <c r="AB157" s="443">
        <v>11</v>
      </c>
      <c r="AC157" s="444">
        <v>44237</v>
      </c>
      <c r="AD157" s="445">
        <v>44251</v>
      </c>
      <c r="AE157" s="442"/>
      <c r="AF157" s="446"/>
      <c r="AG157" s="447"/>
      <c r="AH157" s="445"/>
      <c r="AI157" s="442"/>
      <c r="AJ157" s="443"/>
      <c r="AK157" s="447"/>
      <c r="AL157" s="445"/>
      <c r="AM157" s="442"/>
      <c r="AN157" s="443"/>
      <c r="AO157" s="448"/>
      <c r="AP157" s="445"/>
      <c r="AQ157" s="442"/>
      <c r="AR157" s="443"/>
      <c r="AS157" s="448"/>
      <c r="AT157" s="445"/>
      <c r="AU157" s="449">
        <f t="shared" si="10"/>
        <v>52407</v>
      </c>
      <c r="AV157" s="457">
        <f t="shared" si="9"/>
        <v>52407</v>
      </c>
      <c r="AW157" s="451"/>
    </row>
    <row r="158" spans="2:49" s="418" customFormat="1">
      <c r="B158" s="452">
        <f t="shared" si="11"/>
        <v>142</v>
      </c>
      <c r="C158" s="429" t="s">
        <v>39</v>
      </c>
      <c r="D158" s="430">
        <v>30422522</v>
      </c>
      <c r="E158" s="430"/>
      <c r="F158" s="431" t="s">
        <v>1775</v>
      </c>
      <c r="G158" s="432" t="s">
        <v>146</v>
      </c>
      <c r="H158" s="433" t="s">
        <v>1580</v>
      </c>
      <c r="I158" s="434" t="s">
        <v>1722</v>
      </c>
      <c r="J158" s="435" t="s">
        <v>44</v>
      </c>
      <c r="K158" s="454">
        <v>739488</v>
      </c>
      <c r="L158" s="455">
        <v>0</v>
      </c>
      <c r="M158" s="456">
        <v>709486</v>
      </c>
      <c r="N158" s="440">
        <v>0</v>
      </c>
      <c r="O158" s="440">
        <v>0</v>
      </c>
      <c r="P158" s="440">
        <v>0</v>
      </c>
      <c r="Q158" s="440">
        <v>0</v>
      </c>
      <c r="R158" s="440">
        <v>0</v>
      </c>
      <c r="S158" s="440">
        <v>0</v>
      </c>
      <c r="T158" s="441"/>
      <c r="U158" s="441"/>
      <c r="V158" s="441"/>
      <c r="W158" s="441"/>
      <c r="X158" s="441"/>
      <c r="Y158" s="441"/>
      <c r="Z158" s="441">
        <f t="shared" si="12"/>
        <v>0</v>
      </c>
      <c r="AA158" s="442">
        <v>100002</v>
      </c>
      <c r="AB158" s="443">
        <v>11</v>
      </c>
      <c r="AC158" s="444">
        <v>44237</v>
      </c>
      <c r="AD158" s="445">
        <v>44251</v>
      </c>
      <c r="AE158" s="442"/>
      <c r="AF158" s="446"/>
      <c r="AG158" s="447"/>
      <c r="AH158" s="445"/>
      <c r="AI158" s="442"/>
      <c r="AJ158" s="443"/>
      <c r="AK158" s="447"/>
      <c r="AL158" s="445"/>
      <c r="AM158" s="442"/>
      <c r="AN158" s="443"/>
      <c r="AO158" s="448"/>
      <c r="AP158" s="445"/>
      <c r="AQ158" s="442"/>
      <c r="AR158" s="443"/>
      <c r="AS158" s="448"/>
      <c r="AT158" s="445"/>
      <c r="AU158" s="449">
        <f t="shared" si="10"/>
        <v>100002</v>
      </c>
      <c r="AV158" s="457">
        <f t="shared" si="9"/>
        <v>100002</v>
      </c>
      <c r="AW158" s="451"/>
    </row>
    <row r="159" spans="2:49" s="418" customFormat="1">
      <c r="B159" s="452">
        <f t="shared" si="11"/>
        <v>143</v>
      </c>
      <c r="C159" s="429" t="s">
        <v>39</v>
      </c>
      <c r="D159" s="430">
        <v>30422827</v>
      </c>
      <c r="E159" s="430"/>
      <c r="F159" s="431" t="s">
        <v>1776</v>
      </c>
      <c r="G159" s="432" t="s">
        <v>146</v>
      </c>
      <c r="H159" s="433" t="s">
        <v>1580</v>
      </c>
      <c r="I159" s="434" t="s">
        <v>1616</v>
      </c>
      <c r="J159" s="435" t="s">
        <v>44</v>
      </c>
      <c r="K159" s="454">
        <v>651002</v>
      </c>
      <c r="L159" s="455">
        <v>164784</v>
      </c>
      <c r="M159" s="456">
        <v>0</v>
      </c>
      <c r="N159" s="439">
        <v>0</v>
      </c>
      <c r="O159" s="439">
        <v>36298</v>
      </c>
      <c r="P159" s="439">
        <v>51623</v>
      </c>
      <c r="Q159" s="439">
        <v>0</v>
      </c>
      <c r="R159" s="439">
        <v>89879</v>
      </c>
      <c r="S159" s="440">
        <v>43578</v>
      </c>
      <c r="T159" s="441">
        <v>20022</v>
      </c>
      <c r="U159" s="441">
        <v>40654</v>
      </c>
      <c r="V159" s="441">
        <v>28782</v>
      </c>
      <c r="W159" s="441"/>
      <c r="X159" s="441"/>
      <c r="Y159" s="441"/>
      <c r="Z159" s="441">
        <f t="shared" si="12"/>
        <v>310836</v>
      </c>
      <c r="AA159" s="442">
        <v>486218</v>
      </c>
      <c r="AB159" s="443">
        <v>11</v>
      </c>
      <c r="AC159" s="444">
        <v>44237</v>
      </c>
      <c r="AD159" s="445">
        <v>44251</v>
      </c>
      <c r="AE159" s="442">
        <v>26394</v>
      </c>
      <c r="AF159" s="446">
        <v>86</v>
      </c>
      <c r="AG159" s="447">
        <v>44421</v>
      </c>
      <c r="AH159" s="445">
        <v>44435</v>
      </c>
      <c r="AI159" s="442"/>
      <c r="AJ159" s="443"/>
      <c r="AK159" s="447"/>
      <c r="AL159" s="445"/>
      <c r="AM159" s="442"/>
      <c r="AN159" s="443"/>
      <c r="AO159" s="448"/>
      <c r="AP159" s="445"/>
      <c r="AQ159" s="442"/>
      <c r="AR159" s="443"/>
      <c r="AS159" s="448"/>
      <c r="AT159" s="445"/>
      <c r="AU159" s="449">
        <f t="shared" si="10"/>
        <v>512612</v>
      </c>
      <c r="AV159" s="457">
        <f t="shared" si="9"/>
        <v>201776</v>
      </c>
      <c r="AW159" s="451"/>
    </row>
    <row r="160" spans="2:49" s="418" customFormat="1">
      <c r="B160" s="452">
        <f t="shared" si="11"/>
        <v>144</v>
      </c>
      <c r="C160" s="429" t="s">
        <v>39</v>
      </c>
      <c r="D160" s="430">
        <v>30433475</v>
      </c>
      <c r="E160" s="430"/>
      <c r="F160" s="431" t="s">
        <v>1777</v>
      </c>
      <c r="G160" s="432" t="s">
        <v>146</v>
      </c>
      <c r="H160" s="433" t="s">
        <v>1580</v>
      </c>
      <c r="I160" s="434" t="s">
        <v>1703</v>
      </c>
      <c r="J160" s="435" t="s">
        <v>52</v>
      </c>
      <c r="K160" s="454">
        <v>856929</v>
      </c>
      <c r="L160" s="455">
        <v>0</v>
      </c>
      <c r="M160" s="456">
        <v>743632</v>
      </c>
      <c r="N160" s="440">
        <v>0</v>
      </c>
      <c r="O160" s="440">
        <v>0</v>
      </c>
      <c r="P160" s="440">
        <v>0</v>
      </c>
      <c r="Q160" s="440">
        <v>0</v>
      </c>
      <c r="R160" s="440">
        <v>0</v>
      </c>
      <c r="S160" s="440">
        <v>0</v>
      </c>
      <c r="T160" s="441"/>
      <c r="U160" s="441"/>
      <c r="V160" s="441"/>
      <c r="W160" s="441"/>
      <c r="X160" s="441"/>
      <c r="Y160" s="441"/>
      <c r="Z160" s="441">
        <f t="shared" si="12"/>
        <v>0</v>
      </c>
      <c r="AA160" s="442">
        <v>113180</v>
      </c>
      <c r="AB160" s="443">
        <v>3</v>
      </c>
      <c r="AC160" s="444">
        <v>44222</v>
      </c>
      <c r="AD160" s="445">
        <v>44225</v>
      </c>
      <c r="AE160" s="442"/>
      <c r="AF160" s="446"/>
      <c r="AG160" s="447"/>
      <c r="AH160" s="445"/>
      <c r="AI160" s="442"/>
      <c r="AJ160" s="443"/>
      <c r="AK160" s="447"/>
      <c r="AL160" s="445"/>
      <c r="AM160" s="442"/>
      <c r="AN160" s="443"/>
      <c r="AO160" s="448"/>
      <c r="AP160" s="445"/>
      <c r="AQ160" s="442"/>
      <c r="AR160" s="443"/>
      <c r="AS160" s="448"/>
      <c r="AT160" s="445"/>
      <c r="AU160" s="449">
        <f t="shared" si="10"/>
        <v>113180</v>
      </c>
      <c r="AV160" s="457">
        <f t="shared" si="9"/>
        <v>113180</v>
      </c>
      <c r="AW160" s="451"/>
    </row>
    <row r="161" spans="2:49" s="418" customFormat="1" ht="24">
      <c r="B161" s="452">
        <f t="shared" si="11"/>
        <v>145</v>
      </c>
      <c r="C161" s="429" t="s">
        <v>39</v>
      </c>
      <c r="D161" s="430">
        <v>30435474</v>
      </c>
      <c r="E161" s="430"/>
      <c r="F161" s="431" t="s">
        <v>1778</v>
      </c>
      <c r="G161" s="432" t="s">
        <v>1727</v>
      </c>
      <c r="H161" s="433" t="s">
        <v>1580</v>
      </c>
      <c r="I161" s="434" t="s">
        <v>1643</v>
      </c>
      <c r="J161" s="435" t="s">
        <v>44</v>
      </c>
      <c r="K161" s="454">
        <v>94700</v>
      </c>
      <c r="L161" s="455">
        <v>83942</v>
      </c>
      <c r="M161" s="456">
        <v>0</v>
      </c>
      <c r="N161" s="440">
        <v>0</v>
      </c>
      <c r="O161" s="440">
        <v>0</v>
      </c>
      <c r="P161" s="440">
        <v>0</v>
      </c>
      <c r="Q161" s="440">
        <v>0</v>
      </c>
      <c r="R161" s="440">
        <v>0</v>
      </c>
      <c r="S161" s="440">
        <v>0</v>
      </c>
      <c r="T161" s="441"/>
      <c r="U161" s="441"/>
      <c r="V161" s="441"/>
      <c r="W161" s="441"/>
      <c r="X161" s="441"/>
      <c r="Y161" s="441"/>
      <c r="Z161" s="441">
        <f t="shared" si="12"/>
        <v>0</v>
      </c>
      <c r="AA161" s="442">
        <v>10758</v>
      </c>
      <c r="AB161" s="443">
        <v>5</v>
      </c>
      <c r="AC161" s="444">
        <v>44224</v>
      </c>
      <c r="AD161" s="445">
        <v>44251</v>
      </c>
      <c r="AE161" s="442">
        <v>-10758</v>
      </c>
      <c r="AF161" s="446">
        <v>50</v>
      </c>
      <c r="AG161" s="447">
        <v>44356</v>
      </c>
      <c r="AH161" s="447">
        <v>44377</v>
      </c>
      <c r="AI161" s="442"/>
      <c r="AJ161" s="443"/>
      <c r="AK161" s="447"/>
      <c r="AL161" s="445"/>
      <c r="AM161" s="442"/>
      <c r="AN161" s="443"/>
      <c r="AO161" s="448"/>
      <c r="AP161" s="445"/>
      <c r="AQ161" s="442"/>
      <c r="AR161" s="443"/>
      <c r="AS161" s="448"/>
      <c r="AT161" s="445"/>
      <c r="AU161" s="449">
        <f t="shared" si="10"/>
        <v>0</v>
      </c>
      <c r="AV161" s="457">
        <f t="shared" si="9"/>
        <v>0</v>
      </c>
      <c r="AW161" s="451"/>
    </row>
    <row r="162" spans="2:49" s="418" customFormat="1">
      <c r="B162" s="452">
        <f t="shared" si="11"/>
        <v>146</v>
      </c>
      <c r="C162" s="429" t="s">
        <v>39</v>
      </c>
      <c r="D162" s="430">
        <v>30436372</v>
      </c>
      <c r="E162" s="430"/>
      <c r="F162" s="431" t="s">
        <v>1779</v>
      </c>
      <c r="G162" s="432" t="s">
        <v>146</v>
      </c>
      <c r="H162" s="433" t="s">
        <v>1580</v>
      </c>
      <c r="I162" s="434" t="s">
        <v>1610</v>
      </c>
      <c r="J162" s="435" t="s">
        <v>52</v>
      </c>
      <c r="K162" s="454">
        <v>1779632</v>
      </c>
      <c r="L162" s="455">
        <v>0</v>
      </c>
      <c r="M162" s="456">
        <v>1274112</v>
      </c>
      <c r="N162" s="439">
        <v>0</v>
      </c>
      <c r="O162" s="439">
        <v>0</v>
      </c>
      <c r="P162" s="439">
        <v>0</v>
      </c>
      <c r="Q162" s="439">
        <v>0</v>
      </c>
      <c r="R162" s="439">
        <v>0</v>
      </c>
      <c r="S162" s="440">
        <v>0</v>
      </c>
      <c r="T162" s="441"/>
      <c r="U162" s="441"/>
      <c r="V162" s="441"/>
      <c r="W162" s="441"/>
      <c r="X162" s="441"/>
      <c r="Y162" s="441"/>
      <c r="Z162" s="441">
        <f t="shared" si="12"/>
        <v>0</v>
      </c>
      <c r="AA162" s="442">
        <v>105000</v>
      </c>
      <c r="AB162" s="443">
        <v>15</v>
      </c>
      <c r="AC162" s="444">
        <v>44259</v>
      </c>
      <c r="AD162" s="445">
        <v>44274</v>
      </c>
      <c r="AE162" s="442"/>
      <c r="AF162" s="446"/>
      <c r="AG162" s="447"/>
      <c r="AH162" s="445"/>
      <c r="AI162" s="442"/>
      <c r="AJ162" s="443"/>
      <c r="AK162" s="447"/>
      <c r="AL162" s="445"/>
      <c r="AM162" s="442"/>
      <c r="AN162" s="443"/>
      <c r="AO162" s="448"/>
      <c r="AP162" s="445"/>
      <c r="AQ162" s="442"/>
      <c r="AR162" s="443"/>
      <c r="AS162" s="448"/>
      <c r="AT162" s="445"/>
      <c r="AU162" s="449">
        <f t="shared" si="10"/>
        <v>105000</v>
      </c>
      <c r="AV162" s="457">
        <f t="shared" si="9"/>
        <v>105000</v>
      </c>
      <c r="AW162" s="451"/>
    </row>
    <row r="163" spans="2:49" s="418" customFormat="1">
      <c r="B163" s="452">
        <f t="shared" si="11"/>
        <v>147</v>
      </c>
      <c r="C163" s="429" t="s">
        <v>39</v>
      </c>
      <c r="D163" s="430">
        <v>30441475</v>
      </c>
      <c r="E163" s="430"/>
      <c r="F163" s="431" t="s">
        <v>1780</v>
      </c>
      <c r="G163" s="432" t="s">
        <v>1727</v>
      </c>
      <c r="H163" s="433" t="s">
        <v>1580</v>
      </c>
      <c r="I163" s="434" t="s">
        <v>1620</v>
      </c>
      <c r="J163" s="435" t="s">
        <v>44</v>
      </c>
      <c r="K163" s="454">
        <v>89400</v>
      </c>
      <c r="L163" s="455">
        <v>13553</v>
      </c>
      <c r="M163" s="456">
        <v>1</v>
      </c>
      <c r="N163" s="440">
        <v>0</v>
      </c>
      <c r="O163" s="440">
        <v>0</v>
      </c>
      <c r="P163" s="440">
        <v>6627</v>
      </c>
      <c r="Q163" s="440">
        <v>0</v>
      </c>
      <c r="R163" s="440">
        <v>0</v>
      </c>
      <c r="S163" s="440">
        <v>42140</v>
      </c>
      <c r="T163" s="441"/>
      <c r="U163" s="441"/>
      <c r="V163" s="441"/>
      <c r="W163" s="441"/>
      <c r="X163" s="441"/>
      <c r="Y163" s="441"/>
      <c r="Z163" s="441">
        <f t="shared" si="12"/>
        <v>48767</v>
      </c>
      <c r="AA163" s="442">
        <v>75846</v>
      </c>
      <c r="AB163" s="443">
        <v>5</v>
      </c>
      <c r="AC163" s="444">
        <v>44224</v>
      </c>
      <c r="AD163" s="445">
        <v>44251</v>
      </c>
      <c r="AE163" s="442">
        <v>-19882</v>
      </c>
      <c r="AF163" s="446">
        <v>50</v>
      </c>
      <c r="AG163" s="447">
        <v>44356</v>
      </c>
      <c r="AH163" s="447">
        <v>44377</v>
      </c>
      <c r="AI163" s="442"/>
      <c r="AJ163" s="443"/>
      <c r="AK163" s="447"/>
      <c r="AL163" s="445"/>
      <c r="AM163" s="442"/>
      <c r="AN163" s="443"/>
      <c r="AO163" s="448"/>
      <c r="AP163" s="445"/>
      <c r="AQ163" s="442"/>
      <c r="AR163" s="443"/>
      <c r="AS163" s="448"/>
      <c r="AT163" s="445"/>
      <c r="AU163" s="449">
        <f t="shared" si="10"/>
        <v>55964</v>
      </c>
      <c r="AV163" s="457">
        <f t="shared" si="9"/>
        <v>7197</v>
      </c>
      <c r="AW163" s="451"/>
    </row>
    <row r="164" spans="2:49" s="418" customFormat="1" ht="24">
      <c r="B164" s="452">
        <f t="shared" si="11"/>
        <v>148</v>
      </c>
      <c r="C164" s="429" t="s">
        <v>39</v>
      </c>
      <c r="D164" s="430">
        <v>30446872</v>
      </c>
      <c r="E164" s="430"/>
      <c r="F164" s="431" t="s">
        <v>1781</v>
      </c>
      <c r="G164" s="432" t="s">
        <v>1727</v>
      </c>
      <c r="H164" s="433" t="s">
        <v>1580</v>
      </c>
      <c r="I164" s="434" t="s">
        <v>1603</v>
      </c>
      <c r="J164" s="435" t="s">
        <v>52</v>
      </c>
      <c r="K164" s="454">
        <v>94479</v>
      </c>
      <c r="L164" s="455">
        <v>0</v>
      </c>
      <c r="M164" s="456">
        <v>2079</v>
      </c>
      <c r="N164" s="439">
        <v>0</v>
      </c>
      <c r="O164" s="439">
        <v>0</v>
      </c>
      <c r="P164" s="439">
        <v>0</v>
      </c>
      <c r="Q164" s="439">
        <v>0</v>
      </c>
      <c r="R164" s="439">
        <v>0</v>
      </c>
      <c r="S164" s="440">
        <v>0</v>
      </c>
      <c r="T164" s="441"/>
      <c r="U164" s="441">
        <v>13200</v>
      </c>
      <c r="V164" s="441"/>
      <c r="W164" s="441"/>
      <c r="X164" s="441"/>
      <c r="Y164" s="441"/>
      <c r="Z164" s="441">
        <f t="shared" si="12"/>
        <v>13200</v>
      </c>
      <c r="AA164" s="442">
        <v>43125</v>
      </c>
      <c r="AB164" s="443">
        <v>5</v>
      </c>
      <c r="AC164" s="444">
        <v>44224</v>
      </c>
      <c r="AD164" s="445">
        <v>44251</v>
      </c>
      <c r="AE164" s="442">
        <v>-23325</v>
      </c>
      <c r="AF164" s="446">
        <v>50</v>
      </c>
      <c r="AG164" s="447">
        <v>44356</v>
      </c>
      <c r="AH164" s="447">
        <v>44377</v>
      </c>
      <c r="AI164" s="442"/>
      <c r="AJ164" s="443"/>
      <c r="AK164" s="447"/>
      <c r="AL164" s="445"/>
      <c r="AM164" s="442"/>
      <c r="AN164" s="443"/>
      <c r="AO164" s="448"/>
      <c r="AP164" s="445"/>
      <c r="AQ164" s="442"/>
      <c r="AR164" s="443"/>
      <c r="AS164" s="448"/>
      <c r="AT164" s="445"/>
      <c r="AU164" s="449">
        <f t="shared" si="10"/>
        <v>19800</v>
      </c>
      <c r="AV164" s="457">
        <f t="shared" si="9"/>
        <v>6600</v>
      </c>
      <c r="AW164" s="451"/>
    </row>
    <row r="165" spans="2:49" s="418" customFormat="1" ht="24">
      <c r="B165" s="452">
        <f t="shared" si="11"/>
        <v>149</v>
      </c>
      <c r="C165" s="429" t="s">
        <v>39</v>
      </c>
      <c r="D165" s="430">
        <v>30450779</v>
      </c>
      <c r="E165" s="430"/>
      <c r="F165" s="431" t="s">
        <v>1782</v>
      </c>
      <c r="G165" s="432" t="s">
        <v>146</v>
      </c>
      <c r="H165" s="433" t="s">
        <v>1580</v>
      </c>
      <c r="I165" s="434" t="s">
        <v>1605</v>
      </c>
      <c r="J165" s="435" t="s">
        <v>44</v>
      </c>
      <c r="K165" s="454">
        <v>1926223</v>
      </c>
      <c r="L165" s="455">
        <v>891666</v>
      </c>
      <c r="M165" s="456">
        <v>234557</v>
      </c>
      <c r="N165" s="440">
        <v>0</v>
      </c>
      <c r="O165" s="440">
        <v>0</v>
      </c>
      <c r="P165" s="440">
        <v>0</v>
      </c>
      <c r="Q165" s="440">
        <v>0</v>
      </c>
      <c r="R165" s="440">
        <v>0</v>
      </c>
      <c r="S165" s="440">
        <v>0</v>
      </c>
      <c r="T165" s="441"/>
      <c r="U165" s="441">
        <v>29714</v>
      </c>
      <c r="V165" s="441">
        <v>174551</v>
      </c>
      <c r="W165" s="441"/>
      <c r="X165" s="441"/>
      <c r="Y165" s="441"/>
      <c r="Z165" s="441">
        <f t="shared" si="12"/>
        <v>204265</v>
      </c>
      <c r="AA165" s="442">
        <v>800000</v>
      </c>
      <c r="AB165" s="443">
        <v>9</v>
      </c>
      <c r="AC165" s="444">
        <v>44232</v>
      </c>
      <c r="AD165" s="445">
        <v>44251</v>
      </c>
      <c r="AE165" s="442"/>
      <c r="AF165" s="446"/>
      <c r="AG165" s="447"/>
      <c r="AH165" s="445"/>
      <c r="AI165" s="442"/>
      <c r="AJ165" s="443"/>
      <c r="AK165" s="447"/>
      <c r="AL165" s="445"/>
      <c r="AM165" s="442"/>
      <c r="AN165" s="443"/>
      <c r="AO165" s="448"/>
      <c r="AP165" s="445"/>
      <c r="AQ165" s="442"/>
      <c r="AR165" s="443"/>
      <c r="AS165" s="448"/>
      <c r="AT165" s="445"/>
      <c r="AU165" s="449">
        <f t="shared" si="10"/>
        <v>800000</v>
      </c>
      <c r="AV165" s="457">
        <f t="shared" si="9"/>
        <v>595735</v>
      </c>
      <c r="AW165" s="451"/>
    </row>
    <row r="166" spans="2:49" s="418" customFormat="1">
      <c r="B166" s="452">
        <f t="shared" si="11"/>
        <v>150</v>
      </c>
      <c r="C166" s="429" t="s">
        <v>39</v>
      </c>
      <c r="D166" s="430">
        <v>30452080</v>
      </c>
      <c r="E166" s="430"/>
      <c r="F166" s="431" t="s">
        <v>1783</v>
      </c>
      <c r="G166" s="432" t="s">
        <v>146</v>
      </c>
      <c r="H166" s="433" t="s">
        <v>1580</v>
      </c>
      <c r="I166" s="434" t="s">
        <v>1610</v>
      </c>
      <c r="J166" s="435" t="s">
        <v>44</v>
      </c>
      <c r="K166" s="454">
        <v>3223520</v>
      </c>
      <c r="L166" s="455">
        <v>568387</v>
      </c>
      <c r="M166" s="456">
        <v>1055132</v>
      </c>
      <c r="N166" s="440">
        <v>0</v>
      </c>
      <c r="O166" s="440">
        <v>0</v>
      </c>
      <c r="P166" s="440">
        <v>471783</v>
      </c>
      <c r="Q166" s="440">
        <v>149127</v>
      </c>
      <c r="R166" s="440">
        <v>64452</v>
      </c>
      <c r="S166" s="440">
        <v>0</v>
      </c>
      <c r="T166" s="441">
        <v>84826</v>
      </c>
      <c r="U166" s="441">
        <v>59521</v>
      </c>
      <c r="V166" s="441">
        <v>248852</v>
      </c>
      <c r="W166" s="441"/>
      <c r="X166" s="441"/>
      <c r="Y166" s="441"/>
      <c r="Z166" s="441">
        <f t="shared" si="12"/>
        <v>1078561</v>
      </c>
      <c r="AA166" s="442">
        <v>1600001</v>
      </c>
      <c r="AB166" s="443">
        <v>11</v>
      </c>
      <c r="AC166" s="444">
        <v>44237</v>
      </c>
      <c r="AD166" s="445">
        <v>44251</v>
      </c>
      <c r="AE166" s="442">
        <v>600000</v>
      </c>
      <c r="AF166" s="446">
        <v>39</v>
      </c>
      <c r="AG166" s="447">
        <v>44334</v>
      </c>
      <c r="AH166" s="447">
        <v>44342</v>
      </c>
      <c r="AI166" s="442"/>
      <c r="AJ166" s="443"/>
      <c r="AK166" s="447"/>
      <c r="AL166" s="445"/>
      <c r="AM166" s="442"/>
      <c r="AN166" s="443"/>
      <c r="AO166" s="448"/>
      <c r="AP166" s="445"/>
      <c r="AQ166" s="442"/>
      <c r="AR166" s="443"/>
      <c r="AS166" s="448"/>
      <c r="AT166" s="445"/>
      <c r="AU166" s="449">
        <f t="shared" si="10"/>
        <v>2200001</v>
      </c>
      <c r="AV166" s="457">
        <f t="shared" si="9"/>
        <v>1121440</v>
      </c>
      <c r="AW166" s="451"/>
    </row>
    <row r="167" spans="2:49" s="418" customFormat="1" ht="24">
      <c r="B167" s="452">
        <f t="shared" si="11"/>
        <v>151</v>
      </c>
      <c r="C167" s="429" t="s">
        <v>39</v>
      </c>
      <c r="D167" s="430">
        <v>30452474</v>
      </c>
      <c r="E167" s="430"/>
      <c r="F167" s="431" t="s">
        <v>1784</v>
      </c>
      <c r="G167" s="432" t="s">
        <v>146</v>
      </c>
      <c r="H167" s="433" t="s">
        <v>1580</v>
      </c>
      <c r="I167" s="434" t="s">
        <v>1586</v>
      </c>
      <c r="J167" s="435" t="s">
        <v>44</v>
      </c>
      <c r="K167" s="454">
        <v>260120</v>
      </c>
      <c r="L167" s="455">
        <v>92613</v>
      </c>
      <c r="M167" s="456">
        <v>0</v>
      </c>
      <c r="N167" s="440">
        <v>0</v>
      </c>
      <c r="O167" s="440">
        <v>0</v>
      </c>
      <c r="P167" s="440">
        <v>0</v>
      </c>
      <c r="Q167" s="440">
        <v>0</v>
      </c>
      <c r="R167" s="440">
        <v>0</v>
      </c>
      <c r="S167" s="440">
        <v>0</v>
      </c>
      <c r="T167" s="441"/>
      <c r="U167" s="441"/>
      <c r="V167" s="441"/>
      <c r="W167" s="441"/>
      <c r="X167" s="441"/>
      <c r="Y167" s="441"/>
      <c r="Z167" s="441">
        <f t="shared" si="12"/>
        <v>0</v>
      </c>
      <c r="AA167" s="442">
        <v>1000</v>
      </c>
      <c r="AB167" s="443">
        <v>9</v>
      </c>
      <c r="AC167" s="444">
        <v>44232</v>
      </c>
      <c r="AD167" s="445">
        <v>44251</v>
      </c>
      <c r="AE167" s="442"/>
      <c r="AF167" s="446"/>
      <c r="AG167" s="447"/>
      <c r="AH167" s="445"/>
      <c r="AI167" s="442"/>
      <c r="AJ167" s="443"/>
      <c r="AK167" s="447"/>
      <c r="AL167" s="445"/>
      <c r="AM167" s="442"/>
      <c r="AN167" s="443"/>
      <c r="AO167" s="448"/>
      <c r="AP167" s="445"/>
      <c r="AQ167" s="442"/>
      <c r="AR167" s="443"/>
      <c r="AS167" s="448"/>
      <c r="AT167" s="445"/>
      <c r="AU167" s="449">
        <f t="shared" si="10"/>
        <v>1000</v>
      </c>
      <c r="AV167" s="457">
        <f t="shared" si="9"/>
        <v>1000</v>
      </c>
      <c r="AW167" s="451"/>
    </row>
    <row r="168" spans="2:49" s="418" customFormat="1">
      <c r="B168" s="452">
        <f t="shared" si="11"/>
        <v>152</v>
      </c>
      <c r="C168" s="429" t="s">
        <v>39</v>
      </c>
      <c r="D168" s="430">
        <v>30452477</v>
      </c>
      <c r="E168" s="430"/>
      <c r="F168" s="431" t="s">
        <v>1785</v>
      </c>
      <c r="G168" s="432" t="s">
        <v>146</v>
      </c>
      <c r="H168" s="433" t="s">
        <v>1580</v>
      </c>
      <c r="I168" s="434" t="s">
        <v>1786</v>
      </c>
      <c r="J168" s="435" t="s">
        <v>44</v>
      </c>
      <c r="K168" s="454">
        <v>153543</v>
      </c>
      <c r="L168" s="455">
        <v>2498</v>
      </c>
      <c r="M168" s="456">
        <v>25777</v>
      </c>
      <c r="N168" s="440">
        <v>0</v>
      </c>
      <c r="O168" s="440">
        <v>0</v>
      </c>
      <c r="P168" s="440">
        <v>0</v>
      </c>
      <c r="Q168" s="440">
        <v>0</v>
      </c>
      <c r="R168" s="440">
        <v>0</v>
      </c>
      <c r="S168" s="440">
        <v>0</v>
      </c>
      <c r="T168" s="441"/>
      <c r="U168" s="441">
        <v>44700</v>
      </c>
      <c r="V168" s="441"/>
      <c r="W168" s="441"/>
      <c r="X168" s="441"/>
      <c r="Y168" s="441"/>
      <c r="Z168" s="441">
        <f t="shared" si="12"/>
        <v>44700</v>
      </c>
      <c r="AA168" s="442">
        <v>125000</v>
      </c>
      <c r="AB168" s="443">
        <v>9</v>
      </c>
      <c r="AC168" s="444">
        <v>44232</v>
      </c>
      <c r="AD168" s="445">
        <v>44251</v>
      </c>
      <c r="AE168" s="442">
        <v>-52032</v>
      </c>
      <c r="AF168" s="446">
        <v>86</v>
      </c>
      <c r="AG168" s="447">
        <v>44421</v>
      </c>
      <c r="AH168" s="445">
        <v>44435</v>
      </c>
      <c r="AI168" s="442"/>
      <c r="AJ168" s="443"/>
      <c r="AK168" s="447"/>
      <c r="AL168" s="445"/>
      <c r="AM168" s="442"/>
      <c r="AN168" s="443"/>
      <c r="AO168" s="448"/>
      <c r="AP168" s="445"/>
      <c r="AQ168" s="442"/>
      <c r="AR168" s="443"/>
      <c r="AS168" s="448"/>
      <c r="AT168" s="445"/>
      <c r="AU168" s="449">
        <f t="shared" si="10"/>
        <v>72968</v>
      </c>
      <c r="AV168" s="457">
        <f t="shared" si="9"/>
        <v>28268</v>
      </c>
      <c r="AW168" s="451"/>
    </row>
    <row r="169" spans="2:49" s="418" customFormat="1">
      <c r="B169" s="452">
        <f t="shared" si="11"/>
        <v>153</v>
      </c>
      <c r="C169" s="429" t="s">
        <v>39</v>
      </c>
      <c r="D169" s="430">
        <v>30452525</v>
      </c>
      <c r="E169" s="430"/>
      <c r="F169" s="431" t="s">
        <v>1787</v>
      </c>
      <c r="G169" s="432" t="s">
        <v>146</v>
      </c>
      <c r="H169" s="433" t="s">
        <v>1580</v>
      </c>
      <c r="I169" s="434" t="s">
        <v>1786</v>
      </c>
      <c r="J169" s="435" t="s">
        <v>44</v>
      </c>
      <c r="K169" s="454">
        <v>231472</v>
      </c>
      <c r="L169" s="455">
        <v>2498</v>
      </c>
      <c r="M169" s="456">
        <v>68706</v>
      </c>
      <c r="N169" s="440">
        <v>0</v>
      </c>
      <c r="O169" s="440">
        <v>0</v>
      </c>
      <c r="P169" s="440">
        <v>0</v>
      </c>
      <c r="Q169" s="440">
        <v>0</v>
      </c>
      <c r="R169" s="440">
        <v>0</v>
      </c>
      <c r="S169" s="440">
        <v>0</v>
      </c>
      <c r="T169" s="441"/>
      <c r="U169" s="441">
        <v>136459</v>
      </c>
      <c r="V169" s="441"/>
      <c r="W169" s="441"/>
      <c r="X169" s="441"/>
      <c r="Y169" s="441"/>
      <c r="Z169" s="441">
        <f t="shared" si="12"/>
        <v>136459</v>
      </c>
      <c r="AA169" s="442">
        <v>160000</v>
      </c>
      <c r="AB169" s="443">
        <v>9</v>
      </c>
      <c r="AC169" s="444">
        <v>44232</v>
      </c>
      <c r="AD169" s="445">
        <v>44251</v>
      </c>
      <c r="AE169" s="442">
        <v>17725</v>
      </c>
      <c r="AF169" s="446">
        <v>86</v>
      </c>
      <c r="AG169" s="447">
        <v>44421</v>
      </c>
      <c r="AH169" s="445">
        <v>44435</v>
      </c>
      <c r="AI169" s="442"/>
      <c r="AJ169" s="443"/>
      <c r="AK169" s="447"/>
      <c r="AL169" s="445"/>
      <c r="AM169" s="442"/>
      <c r="AN169" s="443"/>
      <c r="AO169" s="448"/>
      <c r="AP169" s="445"/>
      <c r="AQ169" s="442"/>
      <c r="AR169" s="443"/>
      <c r="AS169" s="448"/>
      <c r="AT169" s="445"/>
      <c r="AU169" s="449">
        <f t="shared" si="10"/>
        <v>177725</v>
      </c>
      <c r="AV169" s="457">
        <f t="shared" si="9"/>
        <v>41266</v>
      </c>
      <c r="AW169" s="451"/>
    </row>
    <row r="170" spans="2:49" s="418" customFormat="1">
      <c r="B170" s="452">
        <f t="shared" si="11"/>
        <v>154</v>
      </c>
      <c r="C170" s="429" t="s">
        <v>39</v>
      </c>
      <c r="D170" s="430">
        <v>30452722</v>
      </c>
      <c r="E170" s="430"/>
      <c r="F170" s="431" t="s">
        <v>1788</v>
      </c>
      <c r="G170" s="432" t="s">
        <v>146</v>
      </c>
      <c r="H170" s="433" t="s">
        <v>1580</v>
      </c>
      <c r="I170" s="434" t="s">
        <v>1789</v>
      </c>
      <c r="J170" s="435" t="s">
        <v>44</v>
      </c>
      <c r="K170" s="454">
        <v>857469</v>
      </c>
      <c r="L170" s="455">
        <v>142376</v>
      </c>
      <c r="M170" s="456">
        <v>714093</v>
      </c>
      <c r="N170" s="440">
        <v>0</v>
      </c>
      <c r="O170" s="440">
        <v>0</v>
      </c>
      <c r="P170" s="440">
        <v>0</v>
      </c>
      <c r="Q170" s="440">
        <v>0</v>
      </c>
      <c r="R170" s="440">
        <v>0</v>
      </c>
      <c r="S170" s="440">
        <v>0</v>
      </c>
      <c r="T170" s="441"/>
      <c r="U170" s="441"/>
      <c r="V170" s="441"/>
      <c r="W170" s="441"/>
      <c r="X170" s="441"/>
      <c r="Y170" s="441"/>
      <c r="Z170" s="441">
        <f t="shared" si="12"/>
        <v>0</v>
      </c>
      <c r="AA170" s="442">
        <v>1000</v>
      </c>
      <c r="AB170" s="443">
        <v>9</v>
      </c>
      <c r="AC170" s="444">
        <v>44232</v>
      </c>
      <c r="AD170" s="445">
        <v>44251</v>
      </c>
      <c r="AE170" s="442"/>
      <c r="AF170" s="446"/>
      <c r="AG170" s="447"/>
      <c r="AH170" s="445"/>
      <c r="AI170" s="442"/>
      <c r="AJ170" s="443"/>
      <c r="AK170" s="447"/>
      <c r="AL170" s="445"/>
      <c r="AM170" s="442"/>
      <c r="AN170" s="443"/>
      <c r="AO170" s="448"/>
      <c r="AP170" s="445"/>
      <c r="AQ170" s="442"/>
      <c r="AR170" s="443"/>
      <c r="AS170" s="448"/>
      <c r="AT170" s="445"/>
      <c r="AU170" s="449">
        <f t="shared" si="10"/>
        <v>1000</v>
      </c>
      <c r="AV170" s="457">
        <f t="shared" si="9"/>
        <v>1000</v>
      </c>
      <c r="AW170" s="451"/>
    </row>
    <row r="171" spans="2:49" s="418" customFormat="1">
      <c r="B171" s="452">
        <f t="shared" si="11"/>
        <v>155</v>
      </c>
      <c r="C171" s="429" t="s">
        <v>39</v>
      </c>
      <c r="D171" s="430">
        <v>30452822</v>
      </c>
      <c r="E171" s="430"/>
      <c r="F171" s="431" t="s">
        <v>1790</v>
      </c>
      <c r="G171" s="432" t="s">
        <v>146</v>
      </c>
      <c r="H171" s="433" t="s">
        <v>1580</v>
      </c>
      <c r="I171" s="434" t="s">
        <v>1722</v>
      </c>
      <c r="J171" s="435" t="s">
        <v>44</v>
      </c>
      <c r="K171" s="454">
        <v>897396</v>
      </c>
      <c r="L171" s="455">
        <v>634691</v>
      </c>
      <c r="M171" s="456">
        <v>261705</v>
      </c>
      <c r="N171" s="440">
        <v>0</v>
      </c>
      <c r="O171" s="440">
        <v>0</v>
      </c>
      <c r="P171" s="440">
        <v>0</v>
      </c>
      <c r="Q171" s="440">
        <v>0</v>
      </c>
      <c r="R171" s="440">
        <v>0</v>
      </c>
      <c r="S171" s="440">
        <v>0</v>
      </c>
      <c r="T171" s="441"/>
      <c r="U171" s="441"/>
      <c r="V171" s="441"/>
      <c r="W171" s="441"/>
      <c r="X171" s="441"/>
      <c r="Y171" s="441"/>
      <c r="Z171" s="441">
        <f t="shared" si="12"/>
        <v>0</v>
      </c>
      <c r="AA171" s="442">
        <v>1000</v>
      </c>
      <c r="AB171" s="443">
        <v>9</v>
      </c>
      <c r="AC171" s="444">
        <v>44232</v>
      </c>
      <c r="AD171" s="445">
        <v>44251</v>
      </c>
      <c r="AE171" s="442"/>
      <c r="AF171" s="446"/>
      <c r="AG171" s="447"/>
      <c r="AH171" s="445"/>
      <c r="AI171" s="442"/>
      <c r="AJ171" s="443"/>
      <c r="AK171" s="447"/>
      <c r="AL171" s="445"/>
      <c r="AM171" s="442"/>
      <c r="AN171" s="443"/>
      <c r="AO171" s="448"/>
      <c r="AP171" s="445"/>
      <c r="AQ171" s="442"/>
      <c r="AR171" s="443"/>
      <c r="AS171" s="448"/>
      <c r="AT171" s="445"/>
      <c r="AU171" s="449">
        <f t="shared" si="10"/>
        <v>1000</v>
      </c>
      <c r="AV171" s="457">
        <f t="shared" si="9"/>
        <v>1000</v>
      </c>
      <c r="AW171" s="451"/>
    </row>
    <row r="172" spans="2:49" s="418" customFormat="1">
      <c r="B172" s="452">
        <f t="shared" si="11"/>
        <v>156</v>
      </c>
      <c r="C172" s="429" t="s">
        <v>39</v>
      </c>
      <c r="D172" s="430">
        <v>30452825</v>
      </c>
      <c r="E172" s="430"/>
      <c r="F172" s="431" t="s">
        <v>1791</v>
      </c>
      <c r="G172" s="432" t="s">
        <v>146</v>
      </c>
      <c r="H172" s="433" t="s">
        <v>1580</v>
      </c>
      <c r="I172" s="434" t="s">
        <v>1641</v>
      </c>
      <c r="J172" s="435" t="s">
        <v>44</v>
      </c>
      <c r="K172" s="454">
        <v>182037</v>
      </c>
      <c r="L172" s="455">
        <v>104150</v>
      </c>
      <c r="M172" s="456">
        <v>76887</v>
      </c>
      <c r="N172" s="440">
        <v>0</v>
      </c>
      <c r="O172" s="440">
        <v>0</v>
      </c>
      <c r="P172" s="440">
        <v>0</v>
      </c>
      <c r="Q172" s="440">
        <v>0</v>
      </c>
      <c r="R172" s="440">
        <v>0</v>
      </c>
      <c r="S172" s="440">
        <v>0</v>
      </c>
      <c r="T172" s="441"/>
      <c r="U172" s="441"/>
      <c r="V172" s="441"/>
      <c r="W172" s="441"/>
      <c r="X172" s="441"/>
      <c r="Y172" s="441"/>
      <c r="Z172" s="441">
        <f t="shared" si="12"/>
        <v>0</v>
      </c>
      <c r="AA172" s="442">
        <v>1000</v>
      </c>
      <c r="AB172" s="443">
        <v>9</v>
      </c>
      <c r="AC172" s="444">
        <v>44232</v>
      </c>
      <c r="AD172" s="445">
        <v>44251</v>
      </c>
      <c r="AE172" s="442"/>
      <c r="AF172" s="446"/>
      <c r="AG172" s="447"/>
      <c r="AH172" s="445"/>
      <c r="AI172" s="442"/>
      <c r="AJ172" s="443"/>
      <c r="AK172" s="447"/>
      <c r="AL172" s="445"/>
      <c r="AM172" s="442"/>
      <c r="AN172" s="443"/>
      <c r="AO172" s="448"/>
      <c r="AP172" s="445"/>
      <c r="AQ172" s="442"/>
      <c r="AR172" s="443"/>
      <c r="AS172" s="448"/>
      <c r="AT172" s="445"/>
      <c r="AU172" s="449">
        <f t="shared" si="10"/>
        <v>1000</v>
      </c>
      <c r="AV172" s="457">
        <f t="shared" si="9"/>
        <v>1000</v>
      </c>
      <c r="AW172" s="451"/>
    </row>
    <row r="173" spans="2:49" s="418" customFormat="1">
      <c r="B173" s="452">
        <f t="shared" si="11"/>
        <v>157</v>
      </c>
      <c r="C173" s="429" t="s">
        <v>39</v>
      </c>
      <c r="D173" s="430">
        <v>30452873</v>
      </c>
      <c r="E173" s="430"/>
      <c r="F173" s="431" t="s">
        <v>1792</v>
      </c>
      <c r="G173" s="432" t="s">
        <v>146</v>
      </c>
      <c r="H173" s="433" t="s">
        <v>1580</v>
      </c>
      <c r="I173" s="434" t="s">
        <v>1786</v>
      </c>
      <c r="J173" s="435" t="s">
        <v>44</v>
      </c>
      <c r="K173" s="454">
        <v>153185</v>
      </c>
      <c r="L173" s="455">
        <v>2498</v>
      </c>
      <c r="M173" s="456">
        <v>25419</v>
      </c>
      <c r="N173" s="440">
        <v>0</v>
      </c>
      <c r="O173" s="440">
        <v>0</v>
      </c>
      <c r="P173" s="440">
        <v>0</v>
      </c>
      <c r="Q173" s="440">
        <v>0</v>
      </c>
      <c r="R173" s="440">
        <v>0</v>
      </c>
      <c r="S173" s="440">
        <v>0</v>
      </c>
      <c r="T173" s="441"/>
      <c r="U173" s="441">
        <v>60921</v>
      </c>
      <c r="V173" s="441">
        <v>35131</v>
      </c>
      <c r="W173" s="441"/>
      <c r="X173" s="441"/>
      <c r="Y173" s="441"/>
      <c r="Z173" s="441">
        <f t="shared" si="12"/>
        <v>96052</v>
      </c>
      <c r="AA173" s="442">
        <v>125000</v>
      </c>
      <c r="AB173" s="443">
        <v>9</v>
      </c>
      <c r="AC173" s="444">
        <v>44232</v>
      </c>
      <c r="AD173" s="445">
        <v>44251</v>
      </c>
      <c r="AE173" s="442">
        <v>9888</v>
      </c>
      <c r="AF173" s="446">
        <v>86</v>
      </c>
      <c r="AG173" s="447">
        <v>44421</v>
      </c>
      <c r="AH173" s="445">
        <v>44435</v>
      </c>
      <c r="AI173" s="442"/>
      <c r="AJ173" s="443"/>
      <c r="AK173" s="447"/>
      <c r="AL173" s="445"/>
      <c r="AM173" s="442"/>
      <c r="AN173" s="443"/>
      <c r="AO173" s="448"/>
      <c r="AP173" s="445"/>
      <c r="AQ173" s="442"/>
      <c r="AR173" s="443"/>
      <c r="AS173" s="448"/>
      <c r="AT173" s="445"/>
      <c r="AU173" s="449">
        <f t="shared" si="10"/>
        <v>134888</v>
      </c>
      <c r="AV173" s="457">
        <f t="shared" si="9"/>
        <v>38836</v>
      </c>
      <c r="AW173" s="451"/>
    </row>
    <row r="174" spans="2:49" s="418" customFormat="1">
      <c r="B174" s="452">
        <f t="shared" si="11"/>
        <v>158</v>
      </c>
      <c r="C174" s="429" t="s">
        <v>39</v>
      </c>
      <c r="D174" s="430">
        <v>30452874</v>
      </c>
      <c r="E174" s="430"/>
      <c r="F174" s="431" t="s">
        <v>1793</v>
      </c>
      <c r="G174" s="432" t="s">
        <v>146</v>
      </c>
      <c r="H174" s="433" t="s">
        <v>1580</v>
      </c>
      <c r="I174" s="434" t="s">
        <v>1655</v>
      </c>
      <c r="J174" s="435" t="s">
        <v>44</v>
      </c>
      <c r="K174" s="454">
        <v>312917</v>
      </c>
      <c r="L174" s="455">
        <v>205852</v>
      </c>
      <c r="M174" s="456">
        <v>106065</v>
      </c>
      <c r="N174" s="440">
        <v>0</v>
      </c>
      <c r="O174" s="440">
        <v>0</v>
      </c>
      <c r="P174" s="440">
        <v>0</v>
      </c>
      <c r="Q174" s="440">
        <v>0</v>
      </c>
      <c r="R174" s="440">
        <v>0</v>
      </c>
      <c r="S174" s="440">
        <v>0</v>
      </c>
      <c r="T174" s="441"/>
      <c r="U174" s="441"/>
      <c r="V174" s="441"/>
      <c r="W174" s="441"/>
      <c r="X174" s="441"/>
      <c r="Y174" s="441"/>
      <c r="Z174" s="441">
        <f t="shared" si="12"/>
        <v>0</v>
      </c>
      <c r="AA174" s="442">
        <v>1000</v>
      </c>
      <c r="AB174" s="443">
        <v>9</v>
      </c>
      <c r="AC174" s="444">
        <v>44232</v>
      </c>
      <c r="AD174" s="445">
        <v>44251</v>
      </c>
      <c r="AE174" s="442"/>
      <c r="AF174" s="446"/>
      <c r="AG174" s="447"/>
      <c r="AH174" s="445"/>
      <c r="AI174" s="442"/>
      <c r="AJ174" s="443"/>
      <c r="AK174" s="447"/>
      <c r="AL174" s="445"/>
      <c r="AM174" s="442"/>
      <c r="AN174" s="443"/>
      <c r="AO174" s="448"/>
      <c r="AP174" s="445"/>
      <c r="AQ174" s="442"/>
      <c r="AR174" s="443"/>
      <c r="AS174" s="448"/>
      <c r="AT174" s="445"/>
      <c r="AU174" s="449">
        <f t="shared" si="10"/>
        <v>1000</v>
      </c>
      <c r="AV174" s="457">
        <f t="shared" si="9"/>
        <v>1000</v>
      </c>
      <c r="AW174" s="451"/>
    </row>
    <row r="175" spans="2:49" s="418" customFormat="1">
      <c r="B175" s="452">
        <f t="shared" si="11"/>
        <v>159</v>
      </c>
      <c r="C175" s="429" t="s">
        <v>39</v>
      </c>
      <c r="D175" s="430">
        <v>30452875</v>
      </c>
      <c r="E175" s="430"/>
      <c r="F175" s="431" t="s">
        <v>1794</v>
      </c>
      <c r="G175" s="432" t="s">
        <v>146</v>
      </c>
      <c r="H175" s="433" t="s">
        <v>1580</v>
      </c>
      <c r="I175" s="434" t="s">
        <v>1632</v>
      </c>
      <c r="J175" s="435" t="s">
        <v>52</v>
      </c>
      <c r="K175" s="454">
        <v>1179952</v>
      </c>
      <c r="L175" s="455">
        <v>2989</v>
      </c>
      <c r="M175" s="456">
        <v>1176648</v>
      </c>
      <c r="N175" s="440">
        <v>0</v>
      </c>
      <c r="O175" s="440">
        <v>0</v>
      </c>
      <c r="P175" s="440">
        <v>0</v>
      </c>
      <c r="Q175" s="440">
        <v>0</v>
      </c>
      <c r="R175" s="440">
        <v>0</v>
      </c>
      <c r="S175" s="440">
        <v>0</v>
      </c>
      <c r="T175" s="441"/>
      <c r="U175" s="441"/>
      <c r="V175" s="441"/>
      <c r="W175" s="441"/>
      <c r="X175" s="441"/>
      <c r="Y175" s="441"/>
      <c r="Z175" s="441">
        <f t="shared" si="12"/>
        <v>0</v>
      </c>
      <c r="AA175" s="442">
        <v>1</v>
      </c>
      <c r="AB175" s="443">
        <v>3</v>
      </c>
      <c r="AC175" s="444">
        <v>44222</v>
      </c>
      <c r="AD175" s="445">
        <v>44225</v>
      </c>
      <c r="AE175" s="442"/>
      <c r="AF175" s="446"/>
      <c r="AG175" s="447"/>
      <c r="AH175" s="445"/>
      <c r="AI175" s="442"/>
      <c r="AJ175" s="443"/>
      <c r="AK175" s="447"/>
      <c r="AL175" s="445"/>
      <c r="AM175" s="442"/>
      <c r="AN175" s="443"/>
      <c r="AO175" s="448"/>
      <c r="AP175" s="445"/>
      <c r="AQ175" s="442"/>
      <c r="AR175" s="443"/>
      <c r="AS175" s="448"/>
      <c r="AT175" s="445"/>
      <c r="AU175" s="449">
        <f t="shared" si="10"/>
        <v>1</v>
      </c>
      <c r="AV175" s="457">
        <f t="shared" si="9"/>
        <v>1</v>
      </c>
      <c r="AW175" s="451"/>
    </row>
    <row r="176" spans="2:49" s="418" customFormat="1">
      <c r="B176" s="452">
        <f t="shared" si="11"/>
        <v>160</v>
      </c>
      <c r="C176" s="429" t="s">
        <v>39</v>
      </c>
      <c r="D176" s="430">
        <v>30452877</v>
      </c>
      <c r="E176" s="430"/>
      <c r="F176" s="431" t="s">
        <v>1795</v>
      </c>
      <c r="G176" s="432" t="s">
        <v>146</v>
      </c>
      <c r="H176" s="433" t="s">
        <v>1580</v>
      </c>
      <c r="I176" s="434" t="s">
        <v>1661</v>
      </c>
      <c r="J176" s="435" t="s">
        <v>44</v>
      </c>
      <c r="K176" s="454">
        <v>343986</v>
      </c>
      <c r="L176" s="455">
        <v>2489</v>
      </c>
      <c r="M176" s="456">
        <v>101219</v>
      </c>
      <c r="N176" s="440">
        <v>0</v>
      </c>
      <c r="O176" s="440">
        <v>0</v>
      </c>
      <c r="P176" s="440">
        <v>0</v>
      </c>
      <c r="Q176" s="440">
        <v>0</v>
      </c>
      <c r="R176" s="440">
        <v>0</v>
      </c>
      <c r="S176" s="440">
        <v>0</v>
      </c>
      <c r="T176" s="441"/>
      <c r="U176" s="441">
        <v>78470</v>
      </c>
      <c r="V176" s="441">
        <v>15682</v>
      </c>
      <c r="W176" s="441"/>
      <c r="X176" s="441"/>
      <c r="Y176" s="441"/>
      <c r="Z176" s="441">
        <f t="shared" si="12"/>
        <v>94152</v>
      </c>
      <c r="AA176" s="442">
        <v>240000</v>
      </c>
      <c r="AB176" s="443">
        <v>9</v>
      </c>
      <c r="AC176" s="444">
        <v>44232</v>
      </c>
      <c r="AD176" s="445">
        <v>44251</v>
      </c>
      <c r="AE176" s="442">
        <v>-85295</v>
      </c>
      <c r="AF176" s="446">
        <v>86</v>
      </c>
      <c r="AG176" s="447">
        <v>44421</v>
      </c>
      <c r="AH176" s="445">
        <v>44435</v>
      </c>
      <c r="AI176" s="442"/>
      <c r="AJ176" s="443"/>
      <c r="AK176" s="447"/>
      <c r="AL176" s="445"/>
      <c r="AM176" s="442"/>
      <c r="AN176" s="443"/>
      <c r="AO176" s="448"/>
      <c r="AP176" s="445"/>
      <c r="AQ176" s="442"/>
      <c r="AR176" s="443"/>
      <c r="AS176" s="448"/>
      <c r="AT176" s="445"/>
      <c r="AU176" s="449">
        <f t="shared" si="10"/>
        <v>154705</v>
      </c>
      <c r="AV176" s="457">
        <f t="shared" si="9"/>
        <v>60553</v>
      </c>
      <c r="AW176" s="451"/>
    </row>
    <row r="177" spans="2:49" s="418" customFormat="1" ht="24">
      <c r="B177" s="452">
        <f t="shared" si="11"/>
        <v>161</v>
      </c>
      <c r="C177" s="429" t="s">
        <v>39</v>
      </c>
      <c r="D177" s="430">
        <v>30452973</v>
      </c>
      <c r="E177" s="430"/>
      <c r="F177" s="431" t="s">
        <v>1796</v>
      </c>
      <c r="G177" s="432" t="s">
        <v>146</v>
      </c>
      <c r="H177" s="433" t="s">
        <v>1580</v>
      </c>
      <c r="I177" s="434" t="s">
        <v>1601</v>
      </c>
      <c r="J177" s="435" t="s">
        <v>44</v>
      </c>
      <c r="K177" s="454">
        <v>647804</v>
      </c>
      <c r="L177" s="455">
        <v>514290</v>
      </c>
      <c r="M177" s="456">
        <v>132514</v>
      </c>
      <c r="N177" s="440">
        <v>0</v>
      </c>
      <c r="O177" s="440">
        <v>0</v>
      </c>
      <c r="P177" s="440">
        <v>0</v>
      </c>
      <c r="Q177" s="440">
        <v>0</v>
      </c>
      <c r="R177" s="440">
        <v>0</v>
      </c>
      <c r="S177" s="440">
        <v>0</v>
      </c>
      <c r="T177" s="441"/>
      <c r="U177" s="441"/>
      <c r="V177" s="441"/>
      <c r="W177" s="441"/>
      <c r="X177" s="441"/>
      <c r="Y177" s="441"/>
      <c r="Z177" s="441">
        <f t="shared" si="12"/>
        <v>0</v>
      </c>
      <c r="AA177" s="442">
        <v>1000</v>
      </c>
      <c r="AB177" s="443">
        <v>9</v>
      </c>
      <c r="AC177" s="444">
        <v>44232</v>
      </c>
      <c r="AD177" s="445">
        <v>44251</v>
      </c>
      <c r="AE177" s="442"/>
      <c r="AF177" s="446"/>
      <c r="AG177" s="447"/>
      <c r="AH177" s="445"/>
      <c r="AI177" s="442"/>
      <c r="AJ177" s="443"/>
      <c r="AK177" s="447"/>
      <c r="AL177" s="445"/>
      <c r="AM177" s="442"/>
      <c r="AN177" s="443"/>
      <c r="AO177" s="448"/>
      <c r="AP177" s="445"/>
      <c r="AQ177" s="442"/>
      <c r="AR177" s="443"/>
      <c r="AS177" s="448"/>
      <c r="AT177" s="445"/>
      <c r="AU177" s="449">
        <f t="shared" si="10"/>
        <v>1000</v>
      </c>
      <c r="AV177" s="457">
        <f t="shared" si="9"/>
        <v>1000</v>
      </c>
      <c r="AW177" s="451"/>
    </row>
    <row r="178" spans="2:49" s="418" customFormat="1">
      <c r="B178" s="452">
        <f t="shared" si="11"/>
        <v>162</v>
      </c>
      <c r="C178" s="429" t="s">
        <v>39</v>
      </c>
      <c r="D178" s="430">
        <v>30453022</v>
      </c>
      <c r="E178" s="430"/>
      <c r="F178" s="431" t="s">
        <v>1797</v>
      </c>
      <c r="G178" s="432" t="s">
        <v>146</v>
      </c>
      <c r="H178" s="433" t="s">
        <v>1580</v>
      </c>
      <c r="I178" s="434" t="s">
        <v>1605</v>
      </c>
      <c r="J178" s="435" t="s">
        <v>52</v>
      </c>
      <c r="K178" s="454">
        <v>382766</v>
      </c>
      <c r="L178" s="455">
        <v>2498</v>
      </c>
      <c r="M178" s="456">
        <v>379999</v>
      </c>
      <c r="N178" s="440">
        <v>0</v>
      </c>
      <c r="O178" s="440">
        <v>0</v>
      </c>
      <c r="P178" s="440">
        <v>0</v>
      </c>
      <c r="Q178" s="440">
        <v>0</v>
      </c>
      <c r="R178" s="440">
        <v>0</v>
      </c>
      <c r="S178" s="440">
        <v>0</v>
      </c>
      <c r="T178" s="441"/>
      <c r="U178" s="441"/>
      <c r="V178" s="441"/>
      <c r="W178" s="441"/>
      <c r="X178" s="441"/>
      <c r="Y178" s="441"/>
      <c r="Z178" s="441">
        <f t="shared" si="12"/>
        <v>0</v>
      </c>
      <c r="AA178" s="442">
        <v>1</v>
      </c>
      <c r="AB178" s="443">
        <v>9</v>
      </c>
      <c r="AC178" s="444">
        <v>44232</v>
      </c>
      <c r="AD178" s="445">
        <v>44251</v>
      </c>
      <c r="AE178" s="442"/>
      <c r="AF178" s="446"/>
      <c r="AG178" s="447"/>
      <c r="AH178" s="445"/>
      <c r="AI178" s="442"/>
      <c r="AJ178" s="443"/>
      <c r="AK178" s="447"/>
      <c r="AL178" s="445"/>
      <c r="AM178" s="442"/>
      <c r="AN178" s="443"/>
      <c r="AO178" s="448"/>
      <c r="AP178" s="445"/>
      <c r="AQ178" s="442"/>
      <c r="AR178" s="443"/>
      <c r="AS178" s="448"/>
      <c r="AT178" s="445"/>
      <c r="AU178" s="449">
        <f t="shared" si="10"/>
        <v>1</v>
      </c>
      <c r="AV178" s="457">
        <f t="shared" si="9"/>
        <v>1</v>
      </c>
      <c r="AW178" s="451"/>
    </row>
    <row r="179" spans="2:49" s="418" customFormat="1" ht="24">
      <c r="B179" s="452">
        <f t="shared" si="11"/>
        <v>163</v>
      </c>
      <c r="C179" s="429" t="s">
        <v>39</v>
      </c>
      <c r="D179" s="430">
        <v>30454226</v>
      </c>
      <c r="E179" s="430"/>
      <c r="F179" s="431" t="s">
        <v>1798</v>
      </c>
      <c r="G179" s="432" t="s">
        <v>146</v>
      </c>
      <c r="H179" s="433" t="s">
        <v>1580</v>
      </c>
      <c r="I179" s="434" t="s">
        <v>1639</v>
      </c>
      <c r="J179" s="435" t="s">
        <v>44</v>
      </c>
      <c r="K179" s="454">
        <v>308264</v>
      </c>
      <c r="L179" s="455">
        <v>287390</v>
      </c>
      <c r="M179" s="456">
        <v>0</v>
      </c>
      <c r="N179" s="440">
        <v>0</v>
      </c>
      <c r="O179" s="440">
        <v>0</v>
      </c>
      <c r="P179" s="440">
        <v>0</v>
      </c>
      <c r="Q179" s="440">
        <v>0</v>
      </c>
      <c r="R179" s="440">
        <v>0</v>
      </c>
      <c r="S179" s="440">
        <v>0</v>
      </c>
      <c r="T179" s="441"/>
      <c r="U179" s="441"/>
      <c r="V179" s="441"/>
      <c r="W179" s="441"/>
      <c r="X179" s="441"/>
      <c r="Y179" s="441"/>
      <c r="Z179" s="441">
        <f t="shared" si="12"/>
        <v>0</v>
      </c>
      <c r="AA179" s="442">
        <v>19896</v>
      </c>
      <c r="AB179" s="443">
        <v>11</v>
      </c>
      <c r="AC179" s="444">
        <v>44237</v>
      </c>
      <c r="AD179" s="445">
        <v>44251</v>
      </c>
      <c r="AE179" s="442"/>
      <c r="AF179" s="446"/>
      <c r="AG179" s="447"/>
      <c r="AH179" s="445"/>
      <c r="AI179" s="442"/>
      <c r="AJ179" s="443"/>
      <c r="AK179" s="447"/>
      <c r="AL179" s="445"/>
      <c r="AM179" s="442"/>
      <c r="AN179" s="443"/>
      <c r="AO179" s="448"/>
      <c r="AP179" s="445"/>
      <c r="AQ179" s="442"/>
      <c r="AR179" s="443"/>
      <c r="AS179" s="448"/>
      <c r="AT179" s="445"/>
      <c r="AU179" s="449">
        <f t="shared" si="10"/>
        <v>19896</v>
      </c>
      <c r="AV179" s="457">
        <f t="shared" si="9"/>
        <v>19896</v>
      </c>
      <c r="AW179" s="451"/>
    </row>
    <row r="180" spans="2:49" s="418" customFormat="1">
      <c r="B180" s="452">
        <f t="shared" si="11"/>
        <v>164</v>
      </c>
      <c r="C180" s="429" t="s">
        <v>39</v>
      </c>
      <c r="D180" s="430">
        <v>30454423</v>
      </c>
      <c r="E180" s="430"/>
      <c r="F180" s="431" t="s">
        <v>1799</v>
      </c>
      <c r="G180" s="432" t="s">
        <v>146</v>
      </c>
      <c r="H180" s="433" t="s">
        <v>1580</v>
      </c>
      <c r="I180" s="434" t="s">
        <v>1671</v>
      </c>
      <c r="J180" s="435" t="s">
        <v>52</v>
      </c>
      <c r="K180" s="454">
        <v>801828</v>
      </c>
      <c r="L180" s="455">
        <v>2966</v>
      </c>
      <c r="M180" s="456">
        <v>797525</v>
      </c>
      <c r="N180" s="440">
        <v>0</v>
      </c>
      <c r="O180" s="440">
        <v>0</v>
      </c>
      <c r="P180" s="440">
        <v>0</v>
      </c>
      <c r="Q180" s="440">
        <v>0</v>
      </c>
      <c r="R180" s="440">
        <v>0</v>
      </c>
      <c r="S180" s="440">
        <v>0</v>
      </c>
      <c r="T180" s="441"/>
      <c r="U180" s="441"/>
      <c r="V180" s="441"/>
      <c r="W180" s="441"/>
      <c r="X180" s="441"/>
      <c r="Y180" s="441"/>
      <c r="Z180" s="441">
        <f t="shared" si="12"/>
        <v>0</v>
      </c>
      <c r="AA180" s="442">
        <v>1000</v>
      </c>
      <c r="AB180" s="443">
        <v>3</v>
      </c>
      <c r="AC180" s="444">
        <v>44222</v>
      </c>
      <c r="AD180" s="445">
        <v>44225</v>
      </c>
      <c r="AE180" s="442"/>
      <c r="AF180" s="446"/>
      <c r="AG180" s="447"/>
      <c r="AH180" s="445"/>
      <c r="AI180" s="442"/>
      <c r="AJ180" s="443"/>
      <c r="AK180" s="447"/>
      <c r="AL180" s="445"/>
      <c r="AM180" s="442"/>
      <c r="AN180" s="443"/>
      <c r="AO180" s="448"/>
      <c r="AP180" s="445"/>
      <c r="AQ180" s="442"/>
      <c r="AR180" s="443"/>
      <c r="AS180" s="448"/>
      <c r="AT180" s="445"/>
      <c r="AU180" s="449">
        <f t="shared" si="10"/>
        <v>1000</v>
      </c>
      <c r="AV180" s="457">
        <f t="shared" si="9"/>
        <v>1000</v>
      </c>
      <c r="AW180" s="451"/>
    </row>
    <row r="181" spans="2:49" s="418" customFormat="1">
      <c r="B181" s="452">
        <f t="shared" si="11"/>
        <v>165</v>
      </c>
      <c r="C181" s="429" t="s">
        <v>39</v>
      </c>
      <c r="D181" s="430">
        <v>30455672</v>
      </c>
      <c r="E181" s="430"/>
      <c r="F181" s="431" t="s">
        <v>1800</v>
      </c>
      <c r="G181" s="432" t="s">
        <v>146</v>
      </c>
      <c r="H181" s="433" t="s">
        <v>1580</v>
      </c>
      <c r="I181" s="434" t="s">
        <v>1612</v>
      </c>
      <c r="J181" s="435" t="s">
        <v>44</v>
      </c>
      <c r="K181" s="454">
        <v>768364</v>
      </c>
      <c r="L181" s="455">
        <v>448396</v>
      </c>
      <c r="M181" s="456">
        <v>0</v>
      </c>
      <c r="N181" s="439">
        <v>0</v>
      </c>
      <c r="O181" s="439">
        <v>69570</v>
      </c>
      <c r="P181" s="439">
        <v>46070</v>
      </c>
      <c r="Q181" s="439">
        <v>577</v>
      </c>
      <c r="R181" s="439">
        <v>107848</v>
      </c>
      <c r="S181" s="440">
        <v>264</v>
      </c>
      <c r="T181" s="441">
        <v>839</v>
      </c>
      <c r="U181" s="441">
        <v>8399</v>
      </c>
      <c r="V181" s="441"/>
      <c r="W181" s="441"/>
      <c r="X181" s="441"/>
      <c r="Y181" s="441"/>
      <c r="Z181" s="441">
        <f t="shared" si="12"/>
        <v>233567</v>
      </c>
      <c r="AA181" s="442">
        <v>315291</v>
      </c>
      <c r="AB181" s="443">
        <v>11</v>
      </c>
      <c r="AC181" s="444">
        <v>44237</v>
      </c>
      <c r="AD181" s="445">
        <v>44251</v>
      </c>
      <c r="AE181" s="442"/>
      <c r="AF181" s="446"/>
      <c r="AG181" s="447"/>
      <c r="AH181" s="445"/>
      <c r="AI181" s="442"/>
      <c r="AJ181" s="443"/>
      <c r="AK181" s="447"/>
      <c r="AL181" s="445"/>
      <c r="AM181" s="442"/>
      <c r="AN181" s="443"/>
      <c r="AO181" s="448"/>
      <c r="AP181" s="445"/>
      <c r="AQ181" s="442"/>
      <c r="AR181" s="443"/>
      <c r="AS181" s="448"/>
      <c r="AT181" s="445"/>
      <c r="AU181" s="449">
        <f t="shared" si="10"/>
        <v>315291</v>
      </c>
      <c r="AV181" s="457">
        <f t="shared" si="9"/>
        <v>81724</v>
      </c>
      <c r="AW181" s="451"/>
    </row>
    <row r="182" spans="2:49" s="418" customFormat="1">
      <c r="B182" s="452">
        <f t="shared" si="11"/>
        <v>166</v>
      </c>
      <c r="C182" s="429" t="s">
        <v>39</v>
      </c>
      <c r="D182" s="430">
        <v>30458537</v>
      </c>
      <c r="E182" s="430"/>
      <c r="F182" s="431" t="s">
        <v>1801</v>
      </c>
      <c r="G182" s="432" t="s">
        <v>146</v>
      </c>
      <c r="H182" s="433" t="s">
        <v>1580</v>
      </c>
      <c r="I182" s="434" t="s">
        <v>1786</v>
      </c>
      <c r="J182" s="435" t="s">
        <v>44</v>
      </c>
      <c r="K182" s="454">
        <v>1775313</v>
      </c>
      <c r="L182" s="455">
        <v>1666608</v>
      </c>
      <c r="M182" s="456">
        <v>0</v>
      </c>
      <c r="N182" s="440">
        <v>0</v>
      </c>
      <c r="O182" s="440">
        <v>0</v>
      </c>
      <c r="P182" s="440">
        <v>0</v>
      </c>
      <c r="Q182" s="440">
        <v>0</v>
      </c>
      <c r="R182" s="440">
        <v>0</v>
      </c>
      <c r="S182" s="440">
        <v>0</v>
      </c>
      <c r="T182" s="441"/>
      <c r="U182" s="441">
        <v>15737</v>
      </c>
      <c r="V182" s="441"/>
      <c r="W182" s="441"/>
      <c r="X182" s="441"/>
      <c r="Y182" s="441"/>
      <c r="Z182" s="441">
        <f t="shared" si="12"/>
        <v>15737</v>
      </c>
      <c r="AA182" s="442">
        <v>40617</v>
      </c>
      <c r="AB182" s="443">
        <v>15</v>
      </c>
      <c r="AC182" s="444">
        <v>44259</v>
      </c>
      <c r="AD182" s="445">
        <v>44274</v>
      </c>
      <c r="AE182" s="442">
        <v>106313</v>
      </c>
      <c r="AF182" s="446">
        <v>86</v>
      </c>
      <c r="AG182" s="447">
        <v>44421</v>
      </c>
      <c r="AH182" s="445">
        <v>44435</v>
      </c>
      <c r="AI182" s="442"/>
      <c r="AJ182" s="443"/>
      <c r="AK182" s="447"/>
      <c r="AL182" s="445"/>
      <c r="AM182" s="442"/>
      <c r="AN182" s="443"/>
      <c r="AO182" s="448"/>
      <c r="AP182" s="445"/>
      <c r="AQ182" s="442"/>
      <c r="AR182" s="443"/>
      <c r="AS182" s="448"/>
      <c r="AT182" s="445"/>
      <c r="AU182" s="449">
        <f t="shared" si="10"/>
        <v>146930</v>
      </c>
      <c r="AV182" s="457">
        <f t="shared" si="9"/>
        <v>131193</v>
      </c>
      <c r="AW182" s="451"/>
    </row>
    <row r="183" spans="2:49" s="418" customFormat="1">
      <c r="B183" s="452">
        <f t="shared" si="11"/>
        <v>167</v>
      </c>
      <c r="C183" s="429" t="s">
        <v>39</v>
      </c>
      <c r="D183" s="430">
        <v>30463384</v>
      </c>
      <c r="E183" s="430"/>
      <c r="F183" s="431" t="s">
        <v>1802</v>
      </c>
      <c r="G183" s="432" t="s">
        <v>158</v>
      </c>
      <c r="H183" s="433" t="s">
        <v>1580</v>
      </c>
      <c r="I183" s="434" t="s">
        <v>1605</v>
      </c>
      <c r="J183" s="435" t="s">
        <v>44</v>
      </c>
      <c r="K183" s="454">
        <v>131936</v>
      </c>
      <c r="L183" s="455">
        <v>87167</v>
      </c>
      <c r="M183" s="456">
        <v>0</v>
      </c>
      <c r="N183" s="440">
        <v>0</v>
      </c>
      <c r="O183" s="440">
        <v>0</v>
      </c>
      <c r="P183" s="440">
        <v>0</v>
      </c>
      <c r="Q183" s="440">
        <v>0</v>
      </c>
      <c r="R183" s="440">
        <v>0</v>
      </c>
      <c r="S183" s="440">
        <v>0</v>
      </c>
      <c r="T183" s="441"/>
      <c r="U183" s="441"/>
      <c r="V183" s="441"/>
      <c r="W183" s="441"/>
      <c r="X183" s="441"/>
      <c r="Y183" s="441"/>
      <c r="Z183" s="441">
        <f t="shared" si="12"/>
        <v>0</v>
      </c>
      <c r="AA183" s="442">
        <v>44769</v>
      </c>
      <c r="AB183" s="443">
        <v>11</v>
      </c>
      <c r="AC183" s="444">
        <v>44237</v>
      </c>
      <c r="AD183" s="445">
        <v>44251</v>
      </c>
      <c r="AE183" s="442"/>
      <c r="AF183" s="446"/>
      <c r="AG183" s="447"/>
      <c r="AH183" s="445"/>
      <c r="AI183" s="442"/>
      <c r="AJ183" s="443"/>
      <c r="AK183" s="447"/>
      <c r="AL183" s="445"/>
      <c r="AM183" s="442"/>
      <c r="AN183" s="443"/>
      <c r="AO183" s="448"/>
      <c r="AP183" s="445"/>
      <c r="AQ183" s="442"/>
      <c r="AR183" s="443"/>
      <c r="AS183" s="448"/>
      <c r="AT183" s="445"/>
      <c r="AU183" s="449">
        <f t="shared" si="10"/>
        <v>44769</v>
      </c>
      <c r="AV183" s="457">
        <f t="shared" si="9"/>
        <v>44769</v>
      </c>
      <c r="AW183" s="451"/>
    </row>
    <row r="184" spans="2:49" s="418" customFormat="1">
      <c r="B184" s="452">
        <f t="shared" si="11"/>
        <v>168</v>
      </c>
      <c r="C184" s="429" t="s">
        <v>39</v>
      </c>
      <c r="D184" s="430">
        <v>30463801</v>
      </c>
      <c r="E184" s="430"/>
      <c r="F184" s="431" t="s">
        <v>1803</v>
      </c>
      <c r="G184" s="432" t="s">
        <v>146</v>
      </c>
      <c r="H184" s="433" t="s">
        <v>1580</v>
      </c>
      <c r="I184" s="434" t="s">
        <v>1661</v>
      </c>
      <c r="J184" s="435" t="s">
        <v>44</v>
      </c>
      <c r="K184" s="454">
        <v>1519701</v>
      </c>
      <c r="L184" s="455">
        <v>1445844</v>
      </c>
      <c r="M184" s="456">
        <v>0</v>
      </c>
      <c r="N184" s="440">
        <v>0</v>
      </c>
      <c r="O184" s="440">
        <v>0</v>
      </c>
      <c r="P184" s="440">
        <v>0</v>
      </c>
      <c r="Q184" s="440">
        <v>0</v>
      </c>
      <c r="R184" s="440">
        <v>73853</v>
      </c>
      <c r="S184" s="440">
        <v>0</v>
      </c>
      <c r="T184" s="441"/>
      <c r="U184" s="441"/>
      <c r="V184" s="441"/>
      <c r="W184" s="441"/>
      <c r="X184" s="441"/>
      <c r="Y184" s="441"/>
      <c r="Z184" s="441">
        <f t="shared" si="12"/>
        <v>73853</v>
      </c>
      <c r="AA184" s="442">
        <v>73857</v>
      </c>
      <c r="AB184" s="443">
        <v>11</v>
      </c>
      <c r="AC184" s="444">
        <v>44237</v>
      </c>
      <c r="AD184" s="445">
        <v>44251</v>
      </c>
      <c r="AE184" s="442"/>
      <c r="AF184" s="446"/>
      <c r="AG184" s="447"/>
      <c r="AH184" s="445"/>
      <c r="AI184" s="442"/>
      <c r="AJ184" s="443"/>
      <c r="AK184" s="447"/>
      <c r="AL184" s="445"/>
      <c r="AM184" s="442"/>
      <c r="AN184" s="443"/>
      <c r="AO184" s="448"/>
      <c r="AP184" s="445"/>
      <c r="AQ184" s="442"/>
      <c r="AR184" s="443"/>
      <c r="AS184" s="448"/>
      <c r="AT184" s="445"/>
      <c r="AU184" s="449">
        <f t="shared" si="10"/>
        <v>73857</v>
      </c>
      <c r="AV184" s="457">
        <f t="shared" si="9"/>
        <v>4</v>
      </c>
      <c r="AW184" s="451"/>
    </row>
    <row r="185" spans="2:49" s="418" customFormat="1">
      <c r="B185" s="452">
        <f t="shared" si="11"/>
        <v>169</v>
      </c>
      <c r="C185" s="429" t="s">
        <v>39</v>
      </c>
      <c r="D185" s="430">
        <v>30464096</v>
      </c>
      <c r="E185" s="430"/>
      <c r="F185" s="431" t="s">
        <v>1804</v>
      </c>
      <c r="G185" s="432" t="s">
        <v>146</v>
      </c>
      <c r="H185" s="433" t="s">
        <v>1580</v>
      </c>
      <c r="I185" s="434" t="s">
        <v>1805</v>
      </c>
      <c r="J185" s="435" t="s">
        <v>52</v>
      </c>
      <c r="K185" s="454">
        <v>771913</v>
      </c>
      <c r="L185" s="455">
        <v>2989</v>
      </c>
      <c r="M185" s="456">
        <v>768608</v>
      </c>
      <c r="N185" s="440">
        <v>0</v>
      </c>
      <c r="O185" s="440">
        <v>0</v>
      </c>
      <c r="P185" s="440">
        <v>0</v>
      </c>
      <c r="Q185" s="440">
        <v>0</v>
      </c>
      <c r="R185" s="440">
        <v>0</v>
      </c>
      <c r="S185" s="440">
        <v>0</v>
      </c>
      <c r="T185" s="441"/>
      <c r="U185" s="441"/>
      <c r="V185" s="441"/>
      <c r="W185" s="441"/>
      <c r="X185" s="441"/>
      <c r="Y185" s="441"/>
      <c r="Z185" s="441">
        <f t="shared" si="12"/>
        <v>0</v>
      </c>
      <c r="AA185" s="442">
        <v>1</v>
      </c>
      <c r="AB185" s="443">
        <v>3</v>
      </c>
      <c r="AC185" s="444">
        <v>44222</v>
      </c>
      <c r="AD185" s="445">
        <v>44225</v>
      </c>
      <c r="AE185" s="442"/>
      <c r="AF185" s="446"/>
      <c r="AG185" s="447"/>
      <c r="AH185" s="445"/>
      <c r="AI185" s="442"/>
      <c r="AJ185" s="443"/>
      <c r="AK185" s="447"/>
      <c r="AL185" s="445"/>
      <c r="AM185" s="442"/>
      <c r="AN185" s="443"/>
      <c r="AO185" s="448"/>
      <c r="AP185" s="445"/>
      <c r="AQ185" s="442"/>
      <c r="AR185" s="443"/>
      <c r="AS185" s="448"/>
      <c r="AT185" s="445"/>
      <c r="AU185" s="449">
        <f t="shared" si="10"/>
        <v>1</v>
      </c>
      <c r="AV185" s="457">
        <f t="shared" si="9"/>
        <v>1</v>
      </c>
      <c r="AW185" s="451"/>
    </row>
    <row r="186" spans="2:49" s="418" customFormat="1">
      <c r="B186" s="452">
        <f t="shared" si="11"/>
        <v>170</v>
      </c>
      <c r="C186" s="429" t="s">
        <v>39</v>
      </c>
      <c r="D186" s="430">
        <v>30464197</v>
      </c>
      <c r="E186" s="430"/>
      <c r="F186" s="431" t="s">
        <v>1806</v>
      </c>
      <c r="G186" s="432" t="s">
        <v>158</v>
      </c>
      <c r="H186" s="433" t="s">
        <v>1580</v>
      </c>
      <c r="I186" s="434" t="s">
        <v>1605</v>
      </c>
      <c r="J186" s="435" t="s">
        <v>44</v>
      </c>
      <c r="K186" s="454">
        <v>51277</v>
      </c>
      <c r="L186" s="455">
        <v>47297</v>
      </c>
      <c r="M186" s="456">
        <v>0</v>
      </c>
      <c r="N186" s="440">
        <v>0</v>
      </c>
      <c r="O186" s="440">
        <v>500</v>
      </c>
      <c r="P186" s="440">
        <v>0</v>
      </c>
      <c r="Q186" s="440">
        <v>0</v>
      </c>
      <c r="R186" s="440">
        <v>0</v>
      </c>
      <c r="S186" s="440">
        <v>3480</v>
      </c>
      <c r="T186" s="441"/>
      <c r="U186" s="441"/>
      <c r="V186" s="441"/>
      <c r="W186" s="441"/>
      <c r="X186" s="441"/>
      <c r="Y186" s="441"/>
      <c r="Z186" s="441">
        <f t="shared" si="12"/>
        <v>3980</v>
      </c>
      <c r="AA186" s="442">
        <v>3980</v>
      </c>
      <c r="AB186" s="443">
        <v>11</v>
      </c>
      <c r="AC186" s="444">
        <v>44237</v>
      </c>
      <c r="AD186" s="445">
        <v>44251</v>
      </c>
      <c r="AE186" s="442"/>
      <c r="AF186" s="446"/>
      <c r="AG186" s="447"/>
      <c r="AH186" s="445"/>
      <c r="AI186" s="442"/>
      <c r="AJ186" s="443"/>
      <c r="AK186" s="447"/>
      <c r="AL186" s="445"/>
      <c r="AM186" s="442"/>
      <c r="AN186" s="443"/>
      <c r="AO186" s="448"/>
      <c r="AP186" s="445"/>
      <c r="AQ186" s="442"/>
      <c r="AR186" s="443"/>
      <c r="AS186" s="448"/>
      <c r="AT186" s="445"/>
      <c r="AU186" s="449">
        <f t="shared" si="10"/>
        <v>3980</v>
      </c>
      <c r="AV186" s="457">
        <f t="shared" si="9"/>
        <v>0</v>
      </c>
      <c r="AW186" s="451"/>
    </row>
    <row r="187" spans="2:49" s="418" customFormat="1" ht="24" customHeight="1">
      <c r="B187" s="452">
        <f t="shared" si="11"/>
        <v>171</v>
      </c>
      <c r="C187" s="429" t="s">
        <v>39</v>
      </c>
      <c r="D187" s="382">
        <v>30466059</v>
      </c>
      <c r="E187" s="430"/>
      <c r="F187" s="166" t="s">
        <v>1807</v>
      </c>
      <c r="G187" s="432" t="s">
        <v>317</v>
      </c>
      <c r="H187" s="433" t="s">
        <v>1583</v>
      </c>
      <c r="I187" s="434" t="s">
        <v>1626</v>
      </c>
      <c r="J187" s="435"/>
      <c r="K187" s="454">
        <v>180047</v>
      </c>
      <c r="L187" s="455"/>
      <c r="M187" s="456">
        <v>179047</v>
      </c>
      <c r="N187" s="440"/>
      <c r="O187" s="440"/>
      <c r="P187" s="440"/>
      <c r="Q187" s="440"/>
      <c r="R187" s="440"/>
      <c r="S187" s="440"/>
      <c r="T187" s="441"/>
      <c r="U187" s="441"/>
      <c r="V187" s="441"/>
      <c r="W187" s="441"/>
      <c r="X187" s="441"/>
      <c r="Y187" s="441"/>
      <c r="Z187" s="441"/>
      <c r="AA187" s="442">
        <v>1000</v>
      </c>
      <c r="AB187" s="443">
        <v>86</v>
      </c>
      <c r="AC187" s="444">
        <v>44421</v>
      </c>
      <c r="AD187" s="445">
        <v>44435</v>
      </c>
      <c r="AE187" s="442"/>
      <c r="AF187" s="446"/>
      <c r="AG187" s="447"/>
      <c r="AH187" s="445"/>
      <c r="AI187" s="442"/>
      <c r="AJ187" s="443"/>
      <c r="AK187" s="447"/>
      <c r="AL187" s="445"/>
      <c r="AM187" s="442"/>
      <c r="AN187" s="443"/>
      <c r="AO187" s="448"/>
      <c r="AP187" s="445"/>
      <c r="AQ187" s="442"/>
      <c r="AR187" s="443"/>
      <c r="AS187" s="448"/>
      <c r="AT187" s="445"/>
      <c r="AU187" s="449">
        <f t="shared" si="10"/>
        <v>1000</v>
      </c>
      <c r="AV187" s="457">
        <f t="shared" si="9"/>
        <v>1000</v>
      </c>
      <c r="AW187" s="451"/>
    </row>
    <row r="188" spans="2:49" s="418" customFormat="1" ht="12" customHeight="1">
      <c r="B188" s="452">
        <f t="shared" si="11"/>
        <v>172</v>
      </c>
      <c r="C188" s="429" t="s">
        <v>39</v>
      </c>
      <c r="D188" s="382">
        <v>30467604</v>
      </c>
      <c r="E188" s="430"/>
      <c r="F188" s="166" t="s">
        <v>1808</v>
      </c>
      <c r="G188" s="432" t="s">
        <v>317</v>
      </c>
      <c r="H188" s="433" t="s">
        <v>1583</v>
      </c>
      <c r="I188" s="434" t="s">
        <v>1655</v>
      </c>
      <c r="J188" s="435"/>
      <c r="K188" s="454">
        <v>4636394</v>
      </c>
      <c r="L188" s="455"/>
      <c r="M188" s="456">
        <v>4621392</v>
      </c>
      <c r="N188" s="440"/>
      <c r="O188" s="440"/>
      <c r="P188" s="440"/>
      <c r="Q188" s="440"/>
      <c r="R188" s="440"/>
      <c r="S188" s="440"/>
      <c r="T188" s="441"/>
      <c r="U188" s="441"/>
      <c r="V188" s="441"/>
      <c r="W188" s="441"/>
      <c r="X188" s="441"/>
      <c r="Y188" s="441"/>
      <c r="Z188" s="441"/>
      <c r="AA188" s="442">
        <v>15002</v>
      </c>
      <c r="AB188" s="443">
        <v>86</v>
      </c>
      <c r="AC188" s="444">
        <v>44421</v>
      </c>
      <c r="AD188" s="445">
        <v>44435</v>
      </c>
      <c r="AE188" s="442"/>
      <c r="AF188" s="446"/>
      <c r="AG188" s="447"/>
      <c r="AH188" s="445"/>
      <c r="AI188" s="442"/>
      <c r="AJ188" s="443"/>
      <c r="AK188" s="447"/>
      <c r="AL188" s="445"/>
      <c r="AM188" s="442"/>
      <c r="AN188" s="443"/>
      <c r="AO188" s="448"/>
      <c r="AP188" s="445"/>
      <c r="AQ188" s="442"/>
      <c r="AR188" s="443"/>
      <c r="AS188" s="448"/>
      <c r="AT188" s="445"/>
      <c r="AU188" s="449">
        <f t="shared" si="10"/>
        <v>15002</v>
      </c>
      <c r="AV188" s="457">
        <f t="shared" si="9"/>
        <v>15002</v>
      </c>
      <c r="AW188" s="451"/>
    </row>
    <row r="189" spans="2:49" s="418" customFormat="1">
      <c r="B189" s="452">
        <f t="shared" si="11"/>
        <v>173</v>
      </c>
      <c r="C189" s="429" t="s">
        <v>39</v>
      </c>
      <c r="D189" s="430">
        <v>30470443</v>
      </c>
      <c r="E189" s="430"/>
      <c r="F189" s="431" t="s">
        <v>1809</v>
      </c>
      <c r="G189" s="432" t="s">
        <v>146</v>
      </c>
      <c r="H189" s="433" t="s">
        <v>1580</v>
      </c>
      <c r="I189" s="434" t="s">
        <v>1616</v>
      </c>
      <c r="J189" s="435" t="s">
        <v>52</v>
      </c>
      <c r="K189" s="454">
        <v>593390</v>
      </c>
      <c r="L189" s="455">
        <v>0</v>
      </c>
      <c r="M189" s="456">
        <v>459722</v>
      </c>
      <c r="N189" s="440">
        <v>0</v>
      </c>
      <c r="O189" s="440">
        <v>0</v>
      </c>
      <c r="P189" s="440">
        <v>0</v>
      </c>
      <c r="Q189" s="440">
        <v>0</v>
      </c>
      <c r="R189" s="440">
        <v>3585</v>
      </c>
      <c r="S189" s="440">
        <v>0</v>
      </c>
      <c r="T189" s="441"/>
      <c r="U189" s="441"/>
      <c r="V189" s="441"/>
      <c r="W189" s="441"/>
      <c r="X189" s="441"/>
      <c r="Y189" s="441"/>
      <c r="Z189" s="441">
        <f>SUM(N189:Y189)</f>
        <v>3585</v>
      </c>
      <c r="AA189" s="442">
        <v>14587</v>
      </c>
      <c r="AB189" s="443">
        <v>3</v>
      </c>
      <c r="AC189" s="444">
        <v>44222</v>
      </c>
      <c r="AD189" s="445">
        <v>44225</v>
      </c>
      <c r="AE189" s="442">
        <v>399000</v>
      </c>
      <c r="AF189" s="446">
        <v>39</v>
      </c>
      <c r="AG189" s="447">
        <v>44334</v>
      </c>
      <c r="AH189" s="447">
        <v>44342</v>
      </c>
      <c r="AI189" s="442"/>
      <c r="AJ189" s="443"/>
      <c r="AK189" s="447"/>
      <c r="AL189" s="445"/>
      <c r="AM189" s="442"/>
      <c r="AN189" s="443"/>
      <c r="AO189" s="448"/>
      <c r="AP189" s="445"/>
      <c r="AQ189" s="442"/>
      <c r="AR189" s="443"/>
      <c r="AS189" s="448"/>
      <c r="AT189" s="445"/>
      <c r="AU189" s="449">
        <f t="shared" si="10"/>
        <v>413587</v>
      </c>
      <c r="AV189" s="457">
        <f t="shared" si="9"/>
        <v>410002</v>
      </c>
      <c r="AW189" s="451"/>
    </row>
    <row r="190" spans="2:49" s="418" customFormat="1">
      <c r="B190" s="452">
        <f t="shared" si="11"/>
        <v>174</v>
      </c>
      <c r="C190" s="429" t="s">
        <v>39</v>
      </c>
      <c r="D190" s="430">
        <v>30470444</v>
      </c>
      <c r="E190" s="430"/>
      <c r="F190" s="431" t="s">
        <v>1810</v>
      </c>
      <c r="G190" s="432" t="s">
        <v>146</v>
      </c>
      <c r="H190" s="433" t="s">
        <v>1580</v>
      </c>
      <c r="I190" s="434" t="s">
        <v>1671</v>
      </c>
      <c r="J190" s="435" t="s">
        <v>52</v>
      </c>
      <c r="K190" s="454">
        <v>465807</v>
      </c>
      <c r="L190" s="455">
        <v>0</v>
      </c>
      <c r="M190" s="456">
        <v>402643</v>
      </c>
      <c r="N190" s="439">
        <v>0</v>
      </c>
      <c r="O190" s="439">
        <v>0</v>
      </c>
      <c r="P190" s="439">
        <v>0</v>
      </c>
      <c r="Q190" s="439">
        <v>0</v>
      </c>
      <c r="R190" s="439">
        <v>0</v>
      </c>
      <c r="S190" s="440">
        <v>0</v>
      </c>
      <c r="T190" s="441"/>
      <c r="U190" s="441"/>
      <c r="V190" s="441"/>
      <c r="W190" s="441"/>
      <c r="X190" s="441"/>
      <c r="Y190" s="441"/>
      <c r="Z190" s="441">
        <f>SUM(N190:Y190)</f>
        <v>0</v>
      </c>
      <c r="AA190" s="442">
        <v>17002</v>
      </c>
      <c r="AB190" s="443">
        <v>15</v>
      </c>
      <c r="AC190" s="444">
        <v>44259</v>
      </c>
      <c r="AD190" s="445">
        <v>44274</v>
      </c>
      <c r="AE190" s="442">
        <v>310000</v>
      </c>
      <c r="AF190" s="446">
        <v>39</v>
      </c>
      <c r="AG190" s="447">
        <v>44334</v>
      </c>
      <c r="AH190" s="445">
        <v>44342</v>
      </c>
      <c r="AI190" s="442">
        <v>1156</v>
      </c>
      <c r="AJ190" s="443">
        <v>50</v>
      </c>
      <c r="AK190" s="447">
        <v>44356</v>
      </c>
      <c r="AL190" s="445">
        <v>44377</v>
      </c>
      <c r="AM190" s="442"/>
      <c r="AN190" s="443"/>
      <c r="AO190" s="448"/>
      <c r="AP190" s="445"/>
      <c r="AQ190" s="442"/>
      <c r="AR190" s="443"/>
      <c r="AS190" s="448"/>
      <c r="AT190" s="445"/>
      <c r="AU190" s="449">
        <f t="shared" si="10"/>
        <v>328158</v>
      </c>
      <c r="AV190" s="457">
        <f t="shared" si="9"/>
        <v>328158</v>
      </c>
      <c r="AW190" s="451"/>
    </row>
    <row r="191" spans="2:49" s="418" customFormat="1" ht="12" customHeight="1">
      <c r="B191" s="452">
        <f t="shared" si="11"/>
        <v>175</v>
      </c>
      <c r="C191" s="429" t="s">
        <v>39</v>
      </c>
      <c r="D191" s="382">
        <v>30470633</v>
      </c>
      <c r="E191" s="430"/>
      <c r="F191" s="166" t="s">
        <v>1811</v>
      </c>
      <c r="G191" s="432" t="s">
        <v>317</v>
      </c>
      <c r="H191" s="433" t="s">
        <v>1583</v>
      </c>
      <c r="I191" s="434" t="s">
        <v>1612</v>
      </c>
      <c r="J191" s="435"/>
      <c r="K191" s="454">
        <v>934519</v>
      </c>
      <c r="L191" s="455"/>
      <c r="M191" s="456">
        <v>921517</v>
      </c>
      <c r="N191" s="440"/>
      <c r="O191" s="440"/>
      <c r="P191" s="440"/>
      <c r="Q191" s="440"/>
      <c r="R191" s="440"/>
      <c r="S191" s="440"/>
      <c r="T191" s="441"/>
      <c r="U191" s="441"/>
      <c r="V191" s="441"/>
      <c r="W191" s="441"/>
      <c r="X191" s="441"/>
      <c r="Y191" s="441"/>
      <c r="Z191" s="441"/>
      <c r="AA191" s="442">
        <v>13002</v>
      </c>
      <c r="AB191" s="443">
        <v>86</v>
      </c>
      <c r="AC191" s="444">
        <v>44421</v>
      </c>
      <c r="AD191" s="445">
        <v>44435</v>
      </c>
      <c r="AE191" s="442"/>
      <c r="AF191" s="446"/>
      <c r="AG191" s="447"/>
      <c r="AH191" s="445"/>
      <c r="AI191" s="442"/>
      <c r="AJ191" s="443"/>
      <c r="AK191" s="447"/>
      <c r="AL191" s="445"/>
      <c r="AM191" s="442"/>
      <c r="AN191" s="443"/>
      <c r="AO191" s="448"/>
      <c r="AP191" s="445"/>
      <c r="AQ191" s="442"/>
      <c r="AR191" s="443"/>
      <c r="AS191" s="448"/>
      <c r="AT191" s="445"/>
      <c r="AU191" s="449">
        <f t="shared" si="10"/>
        <v>13002</v>
      </c>
      <c r="AV191" s="457">
        <f t="shared" si="9"/>
        <v>13002</v>
      </c>
      <c r="AW191" s="451"/>
    </row>
    <row r="192" spans="2:49" s="418" customFormat="1" ht="24">
      <c r="B192" s="452">
        <f t="shared" si="11"/>
        <v>176</v>
      </c>
      <c r="C192" s="429" t="s">
        <v>39</v>
      </c>
      <c r="D192" s="430">
        <v>30470644</v>
      </c>
      <c r="E192" s="430"/>
      <c r="F192" s="431" t="s">
        <v>1812</v>
      </c>
      <c r="G192" s="432" t="s">
        <v>146</v>
      </c>
      <c r="H192" s="433" t="s">
        <v>1580</v>
      </c>
      <c r="I192" s="434" t="s">
        <v>1655</v>
      </c>
      <c r="J192" s="435" t="s">
        <v>44</v>
      </c>
      <c r="K192" s="454">
        <v>607307</v>
      </c>
      <c r="L192" s="455">
        <v>401434</v>
      </c>
      <c r="M192" s="456">
        <v>12799</v>
      </c>
      <c r="N192" s="440">
        <v>0</v>
      </c>
      <c r="O192" s="440">
        <v>113533</v>
      </c>
      <c r="P192" s="440">
        <v>0</v>
      </c>
      <c r="Q192" s="440">
        <v>79539</v>
      </c>
      <c r="R192" s="440">
        <v>0</v>
      </c>
      <c r="S192" s="440">
        <v>0</v>
      </c>
      <c r="T192" s="441"/>
      <c r="U192" s="441"/>
      <c r="V192" s="441"/>
      <c r="W192" s="441"/>
      <c r="X192" s="441"/>
      <c r="Y192" s="441"/>
      <c r="Z192" s="441">
        <f t="shared" ref="Z192:Z202" si="13">SUM(N192:Y192)</f>
        <v>193072</v>
      </c>
      <c r="AA192" s="442">
        <v>193074</v>
      </c>
      <c r="AB192" s="443">
        <v>11</v>
      </c>
      <c r="AC192" s="444">
        <v>44237</v>
      </c>
      <c r="AD192" s="445">
        <v>44251</v>
      </c>
      <c r="AE192" s="442"/>
      <c r="AF192" s="446"/>
      <c r="AG192" s="447"/>
      <c r="AH192" s="445"/>
      <c r="AI192" s="442"/>
      <c r="AJ192" s="443"/>
      <c r="AK192" s="447"/>
      <c r="AL192" s="445"/>
      <c r="AM192" s="442"/>
      <c r="AN192" s="443"/>
      <c r="AO192" s="448"/>
      <c r="AP192" s="445"/>
      <c r="AQ192" s="442"/>
      <c r="AR192" s="443"/>
      <c r="AS192" s="448"/>
      <c r="AT192" s="445"/>
      <c r="AU192" s="449">
        <f t="shared" si="10"/>
        <v>193074</v>
      </c>
      <c r="AV192" s="457">
        <f t="shared" si="9"/>
        <v>2</v>
      </c>
      <c r="AW192" s="451"/>
    </row>
    <row r="193" spans="2:49" s="418" customFormat="1" ht="24">
      <c r="B193" s="452">
        <f t="shared" si="11"/>
        <v>177</v>
      </c>
      <c r="C193" s="429" t="s">
        <v>39</v>
      </c>
      <c r="D193" s="430">
        <v>30471635</v>
      </c>
      <c r="E193" s="430"/>
      <c r="F193" s="431" t="s">
        <v>1813</v>
      </c>
      <c r="G193" s="432" t="s">
        <v>1727</v>
      </c>
      <c r="H193" s="433" t="s">
        <v>1580</v>
      </c>
      <c r="I193" s="434" t="s">
        <v>1603</v>
      </c>
      <c r="J193" s="435" t="s">
        <v>52</v>
      </c>
      <c r="K193" s="454">
        <v>87495</v>
      </c>
      <c r="L193" s="455">
        <v>0</v>
      </c>
      <c r="M193" s="456">
        <v>1926</v>
      </c>
      <c r="N193" s="439">
        <v>0</v>
      </c>
      <c r="O193" s="439">
        <v>0</v>
      </c>
      <c r="P193" s="439">
        <v>0</v>
      </c>
      <c r="Q193" s="439">
        <v>0</v>
      </c>
      <c r="R193" s="439">
        <v>0</v>
      </c>
      <c r="S193" s="440">
        <v>0</v>
      </c>
      <c r="T193" s="441"/>
      <c r="U193" s="441"/>
      <c r="V193" s="441"/>
      <c r="W193" s="441"/>
      <c r="X193" s="441"/>
      <c r="Y193" s="441"/>
      <c r="Z193" s="441">
        <f t="shared" si="13"/>
        <v>0</v>
      </c>
      <c r="AA193" s="442">
        <v>42785</v>
      </c>
      <c r="AB193" s="443">
        <v>5</v>
      </c>
      <c r="AC193" s="444">
        <v>44224</v>
      </c>
      <c r="AD193" s="445">
        <v>44251</v>
      </c>
      <c r="AE193" s="442">
        <v>-22985</v>
      </c>
      <c r="AF193" s="446">
        <v>50</v>
      </c>
      <c r="AG193" s="447">
        <v>44356</v>
      </c>
      <c r="AH193" s="447">
        <v>44377</v>
      </c>
      <c r="AI193" s="442"/>
      <c r="AJ193" s="443"/>
      <c r="AK193" s="447"/>
      <c r="AL193" s="445"/>
      <c r="AM193" s="442"/>
      <c r="AN193" s="443"/>
      <c r="AO193" s="448"/>
      <c r="AP193" s="445"/>
      <c r="AQ193" s="442"/>
      <c r="AR193" s="443"/>
      <c r="AS193" s="448"/>
      <c r="AT193" s="445"/>
      <c r="AU193" s="449">
        <f t="shared" si="10"/>
        <v>19800</v>
      </c>
      <c r="AV193" s="457">
        <f t="shared" si="9"/>
        <v>19800</v>
      </c>
      <c r="AW193" s="451"/>
    </row>
    <row r="194" spans="2:49" s="418" customFormat="1">
      <c r="B194" s="452">
        <f t="shared" si="11"/>
        <v>178</v>
      </c>
      <c r="C194" s="429" t="s">
        <v>39</v>
      </c>
      <c r="D194" s="430">
        <v>30475049</v>
      </c>
      <c r="E194" s="430"/>
      <c r="F194" s="431" t="s">
        <v>1814</v>
      </c>
      <c r="G194" s="432" t="s">
        <v>158</v>
      </c>
      <c r="H194" s="433" t="s">
        <v>1580</v>
      </c>
      <c r="I194" s="434" t="s">
        <v>1624</v>
      </c>
      <c r="J194" s="435" t="s">
        <v>44</v>
      </c>
      <c r="K194" s="454">
        <v>180780</v>
      </c>
      <c r="L194" s="455">
        <v>31405</v>
      </c>
      <c r="M194" s="456">
        <v>0</v>
      </c>
      <c r="N194" s="440">
        <v>0</v>
      </c>
      <c r="O194" s="440">
        <v>24825</v>
      </c>
      <c r="P194" s="440">
        <v>3000</v>
      </c>
      <c r="Q194" s="440">
        <v>1500</v>
      </c>
      <c r="R194" s="440">
        <v>31301</v>
      </c>
      <c r="S194" s="440">
        <v>1500</v>
      </c>
      <c r="T194" s="441">
        <v>14150</v>
      </c>
      <c r="U194" s="441">
        <v>1500</v>
      </c>
      <c r="V194" s="441">
        <v>1500</v>
      </c>
      <c r="W194" s="441"/>
      <c r="X194" s="441"/>
      <c r="Y194" s="441"/>
      <c r="Z194" s="441">
        <f t="shared" si="13"/>
        <v>79276</v>
      </c>
      <c r="AA194" s="442">
        <v>149375</v>
      </c>
      <c r="AB194" s="443">
        <v>11</v>
      </c>
      <c r="AC194" s="444">
        <v>44237</v>
      </c>
      <c r="AD194" s="445">
        <v>44251</v>
      </c>
      <c r="AE194" s="442"/>
      <c r="AF194" s="446"/>
      <c r="AG194" s="447"/>
      <c r="AH194" s="445"/>
      <c r="AI194" s="442"/>
      <c r="AJ194" s="443"/>
      <c r="AK194" s="447"/>
      <c r="AL194" s="445"/>
      <c r="AM194" s="442"/>
      <c r="AN194" s="443"/>
      <c r="AO194" s="448"/>
      <c r="AP194" s="445"/>
      <c r="AQ194" s="442"/>
      <c r="AR194" s="443"/>
      <c r="AS194" s="448"/>
      <c r="AT194" s="445"/>
      <c r="AU194" s="449">
        <f t="shared" si="10"/>
        <v>149375</v>
      </c>
      <c r="AV194" s="457">
        <f t="shared" si="9"/>
        <v>70099</v>
      </c>
      <c r="AW194" s="451"/>
    </row>
    <row r="195" spans="2:49" s="418" customFormat="1" ht="24">
      <c r="B195" s="452">
        <f t="shared" si="11"/>
        <v>179</v>
      </c>
      <c r="C195" s="429" t="s">
        <v>39</v>
      </c>
      <c r="D195" s="430">
        <v>30480896</v>
      </c>
      <c r="E195" s="430"/>
      <c r="F195" s="431" t="s">
        <v>1815</v>
      </c>
      <c r="G195" s="432" t="s">
        <v>158</v>
      </c>
      <c r="H195" s="433" t="s">
        <v>1580</v>
      </c>
      <c r="I195" s="434" t="s">
        <v>1624</v>
      </c>
      <c r="J195" s="435" t="s">
        <v>52</v>
      </c>
      <c r="K195" s="454">
        <v>225723</v>
      </c>
      <c r="L195" s="455">
        <v>0</v>
      </c>
      <c r="M195" s="456">
        <v>120406</v>
      </c>
      <c r="N195" s="440">
        <v>0</v>
      </c>
      <c r="O195" s="440">
        <v>0</v>
      </c>
      <c r="P195" s="440">
        <v>0</v>
      </c>
      <c r="Q195" s="440">
        <v>0</v>
      </c>
      <c r="R195" s="440">
        <v>0</v>
      </c>
      <c r="S195" s="440">
        <v>0</v>
      </c>
      <c r="T195" s="441"/>
      <c r="U195" s="441"/>
      <c r="V195" s="441"/>
      <c r="W195" s="441"/>
      <c r="X195" s="441"/>
      <c r="Y195" s="441"/>
      <c r="Z195" s="441">
        <f t="shared" si="13"/>
        <v>0</v>
      </c>
      <c r="AA195" s="442">
        <v>102250</v>
      </c>
      <c r="AB195" s="443">
        <v>3</v>
      </c>
      <c r="AC195" s="444">
        <v>44222</v>
      </c>
      <c r="AD195" s="445">
        <v>44225</v>
      </c>
      <c r="AE195" s="442">
        <v>-90000</v>
      </c>
      <c r="AF195" s="446">
        <v>86</v>
      </c>
      <c r="AG195" s="447">
        <v>44421</v>
      </c>
      <c r="AH195" s="445">
        <v>44435</v>
      </c>
      <c r="AI195" s="442"/>
      <c r="AJ195" s="443"/>
      <c r="AK195" s="447"/>
      <c r="AL195" s="445"/>
      <c r="AM195" s="442"/>
      <c r="AN195" s="443"/>
      <c r="AO195" s="448"/>
      <c r="AP195" s="445"/>
      <c r="AQ195" s="442"/>
      <c r="AR195" s="443"/>
      <c r="AS195" s="448"/>
      <c r="AT195" s="445"/>
      <c r="AU195" s="449">
        <f t="shared" si="10"/>
        <v>12250</v>
      </c>
      <c r="AV195" s="457">
        <f t="shared" si="9"/>
        <v>12250</v>
      </c>
      <c r="AW195" s="451"/>
    </row>
    <row r="196" spans="2:49" s="418" customFormat="1">
      <c r="B196" s="452">
        <f t="shared" si="11"/>
        <v>180</v>
      </c>
      <c r="C196" s="429" t="s">
        <v>39</v>
      </c>
      <c r="D196" s="430">
        <v>30482103</v>
      </c>
      <c r="E196" s="430"/>
      <c r="F196" s="431" t="s">
        <v>1816</v>
      </c>
      <c r="G196" s="432" t="s">
        <v>158</v>
      </c>
      <c r="H196" s="433" t="s">
        <v>1580</v>
      </c>
      <c r="I196" s="434" t="s">
        <v>1655</v>
      </c>
      <c r="J196" s="435" t="s">
        <v>52</v>
      </c>
      <c r="K196" s="454">
        <v>247594</v>
      </c>
      <c r="L196" s="455">
        <v>0</v>
      </c>
      <c r="M196" s="456">
        <v>28169</v>
      </c>
      <c r="N196" s="439">
        <v>0</v>
      </c>
      <c r="O196" s="439">
        <v>0</v>
      </c>
      <c r="P196" s="439">
        <v>0</v>
      </c>
      <c r="Q196" s="439">
        <v>0</v>
      </c>
      <c r="R196" s="439">
        <v>4000</v>
      </c>
      <c r="S196" s="440">
        <v>0</v>
      </c>
      <c r="T196" s="441"/>
      <c r="U196" s="441"/>
      <c r="V196" s="441"/>
      <c r="W196" s="441"/>
      <c r="X196" s="441"/>
      <c r="Y196" s="441"/>
      <c r="Z196" s="441">
        <f t="shared" si="13"/>
        <v>4000</v>
      </c>
      <c r="AA196" s="442">
        <v>104000</v>
      </c>
      <c r="AB196" s="443">
        <v>15</v>
      </c>
      <c r="AC196" s="444">
        <v>44259</v>
      </c>
      <c r="AD196" s="445">
        <v>44274</v>
      </c>
      <c r="AE196" s="442">
        <v>701</v>
      </c>
      <c r="AF196" s="446">
        <v>50</v>
      </c>
      <c r="AG196" s="447">
        <v>44356</v>
      </c>
      <c r="AH196" s="447">
        <v>44377</v>
      </c>
      <c r="AI196" s="442"/>
      <c r="AJ196" s="443"/>
      <c r="AK196" s="447"/>
      <c r="AL196" s="445"/>
      <c r="AM196" s="442"/>
      <c r="AN196" s="443"/>
      <c r="AO196" s="448"/>
      <c r="AP196" s="445"/>
      <c r="AQ196" s="442"/>
      <c r="AR196" s="443"/>
      <c r="AS196" s="448"/>
      <c r="AT196" s="445"/>
      <c r="AU196" s="449">
        <f t="shared" si="10"/>
        <v>104701</v>
      </c>
      <c r="AV196" s="457">
        <f t="shared" si="9"/>
        <v>100701</v>
      </c>
      <c r="AW196" s="451"/>
    </row>
    <row r="197" spans="2:49" s="418" customFormat="1">
      <c r="B197" s="452">
        <f t="shared" si="11"/>
        <v>181</v>
      </c>
      <c r="C197" s="429" t="s">
        <v>39</v>
      </c>
      <c r="D197" s="430">
        <v>30484568</v>
      </c>
      <c r="E197" s="430"/>
      <c r="F197" s="431" t="s">
        <v>1817</v>
      </c>
      <c r="G197" s="432" t="s">
        <v>158</v>
      </c>
      <c r="H197" s="433" t="s">
        <v>1580</v>
      </c>
      <c r="I197" s="434" t="s">
        <v>1616</v>
      </c>
      <c r="J197" s="435" t="s">
        <v>44</v>
      </c>
      <c r="K197" s="454">
        <v>228565</v>
      </c>
      <c r="L197" s="455">
        <v>161259</v>
      </c>
      <c r="M197" s="456">
        <v>0</v>
      </c>
      <c r="N197" s="440">
        <v>0</v>
      </c>
      <c r="O197" s="440">
        <v>1500</v>
      </c>
      <c r="P197" s="440">
        <v>3000</v>
      </c>
      <c r="Q197" s="440">
        <v>1500</v>
      </c>
      <c r="R197" s="440">
        <v>36015</v>
      </c>
      <c r="S197" s="440">
        <v>0</v>
      </c>
      <c r="T197" s="441"/>
      <c r="U197" s="441"/>
      <c r="V197" s="441"/>
      <c r="W197" s="441"/>
      <c r="X197" s="441"/>
      <c r="Y197" s="441"/>
      <c r="Z197" s="441">
        <f t="shared" si="13"/>
        <v>42015</v>
      </c>
      <c r="AA197" s="442">
        <v>67200</v>
      </c>
      <c r="AB197" s="443">
        <v>11</v>
      </c>
      <c r="AC197" s="444">
        <v>44237</v>
      </c>
      <c r="AD197" s="445">
        <v>44251</v>
      </c>
      <c r="AE197" s="442"/>
      <c r="AF197" s="446"/>
      <c r="AG197" s="447"/>
      <c r="AH197" s="445"/>
      <c r="AI197" s="442"/>
      <c r="AJ197" s="443"/>
      <c r="AK197" s="447"/>
      <c r="AL197" s="445"/>
      <c r="AM197" s="442"/>
      <c r="AN197" s="443"/>
      <c r="AO197" s="448"/>
      <c r="AP197" s="445"/>
      <c r="AQ197" s="442"/>
      <c r="AR197" s="443"/>
      <c r="AS197" s="448"/>
      <c r="AT197" s="445"/>
      <c r="AU197" s="449">
        <f t="shared" si="10"/>
        <v>67200</v>
      </c>
      <c r="AV197" s="457">
        <f t="shared" si="9"/>
        <v>25185</v>
      </c>
      <c r="AW197" s="451"/>
    </row>
    <row r="198" spans="2:49" s="418" customFormat="1">
      <c r="B198" s="452">
        <f t="shared" si="11"/>
        <v>182</v>
      </c>
      <c r="C198" s="429" t="s">
        <v>39</v>
      </c>
      <c r="D198" s="430">
        <v>30484569</v>
      </c>
      <c r="E198" s="430"/>
      <c r="F198" s="431" t="s">
        <v>1818</v>
      </c>
      <c r="G198" s="432" t="s">
        <v>158</v>
      </c>
      <c r="H198" s="433" t="s">
        <v>1580</v>
      </c>
      <c r="I198" s="434" t="s">
        <v>1616</v>
      </c>
      <c r="J198" s="435" t="s">
        <v>52</v>
      </c>
      <c r="K198" s="454">
        <v>237386</v>
      </c>
      <c r="L198" s="455">
        <v>0</v>
      </c>
      <c r="M198" s="456">
        <v>190474</v>
      </c>
      <c r="N198" s="440">
        <v>0</v>
      </c>
      <c r="O198" s="440">
        <v>0</v>
      </c>
      <c r="P198" s="440">
        <v>0</v>
      </c>
      <c r="Q198" s="440">
        <v>0</v>
      </c>
      <c r="R198" s="440">
        <v>0</v>
      </c>
      <c r="S198" s="440">
        <v>0</v>
      </c>
      <c r="T198" s="441"/>
      <c r="U198" s="441"/>
      <c r="V198" s="441">
        <v>7946</v>
      </c>
      <c r="W198" s="441"/>
      <c r="X198" s="441"/>
      <c r="Y198" s="441"/>
      <c r="Z198" s="441">
        <f t="shared" si="13"/>
        <v>7946</v>
      </c>
      <c r="AA198" s="442">
        <v>40900</v>
      </c>
      <c r="AB198" s="443">
        <v>3</v>
      </c>
      <c r="AC198" s="444">
        <v>44222</v>
      </c>
      <c r="AD198" s="445">
        <v>44225</v>
      </c>
      <c r="AE198" s="442">
        <v>50000</v>
      </c>
      <c r="AF198" s="446">
        <v>86</v>
      </c>
      <c r="AG198" s="447">
        <v>44421</v>
      </c>
      <c r="AH198" s="445">
        <v>44435</v>
      </c>
      <c r="AI198" s="442"/>
      <c r="AJ198" s="443"/>
      <c r="AK198" s="447"/>
      <c r="AL198" s="445"/>
      <c r="AM198" s="442"/>
      <c r="AN198" s="443"/>
      <c r="AO198" s="448"/>
      <c r="AP198" s="445"/>
      <c r="AQ198" s="442"/>
      <c r="AR198" s="443"/>
      <c r="AS198" s="448"/>
      <c r="AT198" s="445"/>
      <c r="AU198" s="449">
        <f t="shared" si="10"/>
        <v>90900</v>
      </c>
      <c r="AV198" s="457">
        <f t="shared" si="9"/>
        <v>82954</v>
      </c>
      <c r="AW198" s="451"/>
    </row>
    <row r="199" spans="2:49" s="418" customFormat="1" ht="24">
      <c r="B199" s="452">
        <f t="shared" si="11"/>
        <v>183</v>
      </c>
      <c r="C199" s="429" t="s">
        <v>39</v>
      </c>
      <c r="D199" s="430">
        <v>30484768</v>
      </c>
      <c r="E199" s="430"/>
      <c r="F199" s="431" t="s">
        <v>1819</v>
      </c>
      <c r="G199" s="432" t="s">
        <v>158</v>
      </c>
      <c r="H199" s="433" t="s">
        <v>1580</v>
      </c>
      <c r="I199" s="434" t="s">
        <v>1820</v>
      </c>
      <c r="J199" s="435" t="s">
        <v>44</v>
      </c>
      <c r="K199" s="454">
        <v>32513</v>
      </c>
      <c r="L199" s="455">
        <v>25420</v>
      </c>
      <c r="M199" s="456">
        <v>0</v>
      </c>
      <c r="N199" s="440">
        <v>0</v>
      </c>
      <c r="O199" s="440">
        <v>0</v>
      </c>
      <c r="P199" s="440">
        <v>0</v>
      </c>
      <c r="Q199" s="440">
        <v>0</v>
      </c>
      <c r="R199" s="440">
        <v>0</v>
      </c>
      <c r="S199" s="440">
        <v>0</v>
      </c>
      <c r="T199" s="441"/>
      <c r="U199" s="441"/>
      <c r="V199" s="441"/>
      <c r="W199" s="441"/>
      <c r="X199" s="441"/>
      <c r="Y199" s="441"/>
      <c r="Z199" s="441">
        <f t="shared" si="13"/>
        <v>0</v>
      </c>
      <c r="AA199" s="442">
        <v>7093</v>
      </c>
      <c r="AB199" s="443">
        <v>5</v>
      </c>
      <c r="AC199" s="444">
        <v>44224</v>
      </c>
      <c r="AD199" s="445">
        <v>44251</v>
      </c>
      <c r="AE199" s="442">
        <v>3147</v>
      </c>
      <c r="AF199" s="446">
        <v>50</v>
      </c>
      <c r="AG199" s="447">
        <v>44356</v>
      </c>
      <c r="AH199" s="447">
        <v>44377</v>
      </c>
      <c r="AI199" s="442"/>
      <c r="AJ199" s="443"/>
      <c r="AK199" s="447"/>
      <c r="AL199" s="445"/>
      <c r="AM199" s="442"/>
      <c r="AN199" s="443"/>
      <c r="AO199" s="448"/>
      <c r="AP199" s="445"/>
      <c r="AQ199" s="442"/>
      <c r="AR199" s="443"/>
      <c r="AS199" s="448"/>
      <c r="AT199" s="445"/>
      <c r="AU199" s="449">
        <f t="shared" si="10"/>
        <v>10240</v>
      </c>
      <c r="AV199" s="457">
        <f t="shared" si="9"/>
        <v>10240</v>
      </c>
      <c r="AW199" s="451"/>
    </row>
    <row r="200" spans="2:49" s="418" customFormat="1" ht="24">
      <c r="B200" s="452">
        <f t="shared" si="11"/>
        <v>184</v>
      </c>
      <c r="C200" s="429" t="s">
        <v>39</v>
      </c>
      <c r="D200" s="430">
        <v>30484906</v>
      </c>
      <c r="E200" s="430"/>
      <c r="F200" s="431" t="s">
        <v>1821</v>
      </c>
      <c r="G200" s="432" t="s">
        <v>158</v>
      </c>
      <c r="H200" s="433" t="s">
        <v>1580</v>
      </c>
      <c r="I200" s="434" t="s">
        <v>1689</v>
      </c>
      <c r="J200" s="435" t="s">
        <v>52</v>
      </c>
      <c r="K200" s="454">
        <v>52507</v>
      </c>
      <c r="L200" s="455">
        <v>0</v>
      </c>
      <c r="M200" s="456">
        <v>1</v>
      </c>
      <c r="N200" s="440">
        <v>0</v>
      </c>
      <c r="O200" s="440">
        <v>0</v>
      </c>
      <c r="P200" s="440">
        <v>0</v>
      </c>
      <c r="Q200" s="440">
        <v>11003</v>
      </c>
      <c r="R200" s="440">
        <v>0</v>
      </c>
      <c r="S200" s="440">
        <v>4401</v>
      </c>
      <c r="T200" s="441">
        <v>8802</v>
      </c>
      <c r="U200" s="441"/>
      <c r="V200" s="441"/>
      <c r="W200" s="441"/>
      <c r="X200" s="441"/>
      <c r="Y200" s="441"/>
      <c r="Z200" s="441">
        <f t="shared" si="13"/>
        <v>24206</v>
      </c>
      <c r="AA200" s="442">
        <v>44012</v>
      </c>
      <c r="AB200" s="443">
        <v>5</v>
      </c>
      <c r="AC200" s="444">
        <v>44224</v>
      </c>
      <c r="AD200" s="445">
        <v>44251</v>
      </c>
      <c r="AE200" s="442"/>
      <c r="AF200" s="446"/>
      <c r="AG200" s="447"/>
      <c r="AH200" s="445"/>
      <c r="AI200" s="442"/>
      <c r="AJ200" s="443"/>
      <c r="AK200" s="447"/>
      <c r="AL200" s="445"/>
      <c r="AM200" s="442"/>
      <c r="AN200" s="443"/>
      <c r="AO200" s="448"/>
      <c r="AP200" s="445"/>
      <c r="AQ200" s="442"/>
      <c r="AR200" s="443"/>
      <c r="AS200" s="448"/>
      <c r="AT200" s="445"/>
      <c r="AU200" s="449">
        <f t="shared" si="10"/>
        <v>44012</v>
      </c>
      <c r="AV200" s="457">
        <f t="shared" si="9"/>
        <v>19806</v>
      </c>
      <c r="AW200" s="451"/>
    </row>
    <row r="201" spans="2:49" s="418" customFormat="1">
      <c r="B201" s="452">
        <f t="shared" si="11"/>
        <v>185</v>
      </c>
      <c r="C201" s="429" t="s">
        <v>39</v>
      </c>
      <c r="D201" s="430">
        <v>30485333</v>
      </c>
      <c r="E201" s="430"/>
      <c r="F201" s="431" t="s">
        <v>1822</v>
      </c>
      <c r="G201" s="432" t="s">
        <v>146</v>
      </c>
      <c r="H201" s="433" t="s">
        <v>1580</v>
      </c>
      <c r="I201" s="434" t="s">
        <v>1823</v>
      </c>
      <c r="J201" s="435" t="s">
        <v>52</v>
      </c>
      <c r="K201" s="454">
        <v>1420920</v>
      </c>
      <c r="L201" s="455">
        <v>0</v>
      </c>
      <c r="M201" s="456">
        <v>1200104</v>
      </c>
      <c r="N201" s="440">
        <v>0</v>
      </c>
      <c r="O201" s="440">
        <v>0</v>
      </c>
      <c r="P201" s="440">
        <v>10576</v>
      </c>
      <c r="Q201" s="440">
        <v>0</v>
      </c>
      <c r="R201" s="440">
        <v>0</v>
      </c>
      <c r="S201" s="440">
        <v>0</v>
      </c>
      <c r="T201" s="441"/>
      <c r="U201" s="441"/>
      <c r="V201" s="441"/>
      <c r="W201" s="441"/>
      <c r="X201" s="441"/>
      <c r="Y201" s="441"/>
      <c r="Z201" s="441">
        <f t="shared" si="13"/>
        <v>10576</v>
      </c>
      <c r="AA201" s="442">
        <v>220576</v>
      </c>
      <c r="AB201" s="443">
        <v>11</v>
      </c>
      <c r="AC201" s="444">
        <v>44237</v>
      </c>
      <c r="AD201" s="445">
        <v>44251</v>
      </c>
      <c r="AE201" s="442">
        <v>500000</v>
      </c>
      <c r="AF201" s="446">
        <v>39</v>
      </c>
      <c r="AG201" s="447">
        <v>44334</v>
      </c>
      <c r="AH201" s="447">
        <v>44342</v>
      </c>
      <c r="AI201" s="442"/>
      <c r="AJ201" s="443"/>
      <c r="AK201" s="447"/>
      <c r="AL201" s="445"/>
      <c r="AM201" s="442"/>
      <c r="AN201" s="443"/>
      <c r="AO201" s="448"/>
      <c r="AP201" s="445"/>
      <c r="AQ201" s="442"/>
      <c r="AR201" s="443"/>
      <c r="AS201" s="448"/>
      <c r="AT201" s="445"/>
      <c r="AU201" s="449">
        <f t="shared" si="10"/>
        <v>720576</v>
      </c>
      <c r="AV201" s="457">
        <f t="shared" si="9"/>
        <v>710000</v>
      </c>
      <c r="AW201" s="451"/>
    </row>
    <row r="202" spans="2:49" s="418" customFormat="1">
      <c r="B202" s="452">
        <f t="shared" si="11"/>
        <v>186</v>
      </c>
      <c r="C202" s="429" t="s">
        <v>39</v>
      </c>
      <c r="D202" s="430">
        <v>30485336</v>
      </c>
      <c r="E202" s="430"/>
      <c r="F202" s="431" t="s">
        <v>1824</v>
      </c>
      <c r="G202" s="432" t="s">
        <v>146</v>
      </c>
      <c r="H202" s="433" t="s">
        <v>1580</v>
      </c>
      <c r="I202" s="434" t="s">
        <v>1732</v>
      </c>
      <c r="J202" s="435" t="s">
        <v>52</v>
      </c>
      <c r="K202" s="454">
        <v>692851</v>
      </c>
      <c r="L202" s="455">
        <v>0</v>
      </c>
      <c r="M202" s="456">
        <v>661528</v>
      </c>
      <c r="N202" s="440">
        <v>0</v>
      </c>
      <c r="O202" s="440">
        <v>0</v>
      </c>
      <c r="P202" s="440">
        <v>13902</v>
      </c>
      <c r="Q202" s="440">
        <v>0</v>
      </c>
      <c r="R202" s="440">
        <v>0</v>
      </c>
      <c r="S202" s="440">
        <v>0</v>
      </c>
      <c r="T202" s="441"/>
      <c r="U202" s="441"/>
      <c r="V202" s="441">
        <v>7248</v>
      </c>
      <c r="W202" s="441"/>
      <c r="X202" s="441"/>
      <c r="Y202" s="441"/>
      <c r="Z202" s="441">
        <f t="shared" si="13"/>
        <v>21150</v>
      </c>
      <c r="AA202" s="442">
        <v>123904</v>
      </c>
      <c r="AB202" s="443">
        <v>3</v>
      </c>
      <c r="AC202" s="444">
        <v>44222</v>
      </c>
      <c r="AD202" s="445">
        <v>44225</v>
      </c>
      <c r="AE202" s="442"/>
      <c r="AF202" s="446"/>
      <c r="AG202" s="447"/>
      <c r="AH202" s="445"/>
      <c r="AI202" s="442"/>
      <c r="AJ202" s="443"/>
      <c r="AK202" s="447"/>
      <c r="AL202" s="445"/>
      <c r="AM202" s="442"/>
      <c r="AN202" s="443"/>
      <c r="AO202" s="448"/>
      <c r="AP202" s="445"/>
      <c r="AQ202" s="442"/>
      <c r="AR202" s="443"/>
      <c r="AS202" s="448"/>
      <c r="AT202" s="445"/>
      <c r="AU202" s="449">
        <f t="shared" si="10"/>
        <v>123904</v>
      </c>
      <c r="AV202" s="457">
        <f t="shared" si="9"/>
        <v>102754</v>
      </c>
      <c r="AW202" s="451"/>
    </row>
    <row r="203" spans="2:49" s="418" customFormat="1" ht="12" customHeight="1">
      <c r="B203" s="452">
        <f t="shared" si="11"/>
        <v>187</v>
      </c>
      <c r="C203" s="429" t="s">
        <v>39</v>
      </c>
      <c r="D203" s="382">
        <v>30485668</v>
      </c>
      <c r="E203" s="430"/>
      <c r="F203" s="166" t="s">
        <v>1825</v>
      </c>
      <c r="G203" s="432" t="s">
        <v>317</v>
      </c>
      <c r="H203" s="433" t="s">
        <v>1583</v>
      </c>
      <c r="I203" s="434" t="s">
        <v>1671</v>
      </c>
      <c r="J203" s="435"/>
      <c r="K203" s="454">
        <v>3295586</v>
      </c>
      <c r="L203" s="455"/>
      <c r="M203" s="456">
        <v>3134391</v>
      </c>
      <c r="N203" s="440"/>
      <c r="O203" s="440"/>
      <c r="P203" s="440"/>
      <c r="Q203" s="440"/>
      <c r="R203" s="440"/>
      <c r="S203" s="440"/>
      <c r="T203" s="441"/>
      <c r="U203" s="441"/>
      <c r="V203" s="441"/>
      <c r="W203" s="441"/>
      <c r="X203" s="441"/>
      <c r="Y203" s="441"/>
      <c r="Z203" s="441"/>
      <c r="AA203" s="442">
        <v>160895</v>
      </c>
      <c r="AB203" s="443">
        <v>86</v>
      </c>
      <c r="AC203" s="444">
        <v>44421</v>
      </c>
      <c r="AD203" s="445">
        <v>44435</v>
      </c>
      <c r="AE203" s="442"/>
      <c r="AF203" s="446"/>
      <c r="AG203" s="447"/>
      <c r="AH203" s="445"/>
      <c r="AI203" s="442"/>
      <c r="AJ203" s="443"/>
      <c r="AK203" s="447"/>
      <c r="AL203" s="445"/>
      <c r="AM203" s="442"/>
      <c r="AN203" s="443"/>
      <c r="AO203" s="448"/>
      <c r="AP203" s="445"/>
      <c r="AQ203" s="442"/>
      <c r="AR203" s="443"/>
      <c r="AS203" s="448"/>
      <c r="AT203" s="445"/>
      <c r="AU203" s="449">
        <f t="shared" si="10"/>
        <v>160895</v>
      </c>
      <c r="AV203" s="457">
        <f t="shared" si="9"/>
        <v>160895</v>
      </c>
      <c r="AW203" s="451"/>
    </row>
    <row r="204" spans="2:49" s="418" customFormat="1">
      <c r="B204" s="452">
        <f t="shared" si="11"/>
        <v>188</v>
      </c>
      <c r="C204" s="429" t="s">
        <v>39</v>
      </c>
      <c r="D204" s="430">
        <v>30486596</v>
      </c>
      <c r="E204" s="430"/>
      <c r="F204" s="431" t="s">
        <v>1826</v>
      </c>
      <c r="G204" s="432" t="s">
        <v>1727</v>
      </c>
      <c r="H204" s="433" t="s">
        <v>1580</v>
      </c>
      <c r="I204" s="434" t="s">
        <v>1581</v>
      </c>
      <c r="J204" s="435" t="s">
        <v>44</v>
      </c>
      <c r="K204" s="454">
        <v>93937</v>
      </c>
      <c r="L204" s="455">
        <v>40620</v>
      </c>
      <c r="M204" s="456">
        <v>0</v>
      </c>
      <c r="N204" s="440">
        <v>0</v>
      </c>
      <c r="O204" s="440">
        <v>0</v>
      </c>
      <c r="P204" s="440">
        <v>0</v>
      </c>
      <c r="Q204" s="440">
        <v>0</v>
      </c>
      <c r="R204" s="440">
        <v>0</v>
      </c>
      <c r="S204" s="440">
        <v>0</v>
      </c>
      <c r="T204" s="441"/>
      <c r="U204" s="441"/>
      <c r="V204" s="441"/>
      <c r="W204" s="441"/>
      <c r="X204" s="441"/>
      <c r="Y204" s="441"/>
      <c r="Z204" s="441">
        <f t="shared" ref="Z204:Z212" si="14">SUM(N204:Y204)</f>
        <v>0</v>
      </c>
      <c r="AA204" s="442">
        <v>53317</v>
      </c>
      <c r="AB204" s="443">
        <v>5</v>
      </c>
      <c r="AC204" s="444">
        <v>44224</v>
      </c>
      <c r="AD204" s="445">
        <v>44251</v>
      </c>
      <c r="AE204" s="442">
        <v>-39567</v>
      </c>
      <c r="AF204" s="446">
        <v>50</v>
      </c>
      <c r="AG204" s="447">
        <v>44356</v>
      </c>
      <c r="AH204" s="447">
        <v>44377</v>
      </c>
      <c r="AI204" s="442"/>
      <c r="AJ204" s="443"/>
      <c r="AK204" s="447"/>
      <c r="AL204" s="445"/>
      <c r="AM204" s="442"/>
      <c r="AN204" s="443"/>
      <c r="AO204" s="448"/>
      <c r="AP204" s="445"/>
      <c r="AQ204" s="442"/>
      <c r="AR204" s="443"/>
      <c r="AS204" s="448"/>
      <c r="AT204" s="445"/>
      <c r="AU204" s="449">
        <f t="shared" si="10"/>
        <v>13750</v>
      </c>
      <c r="AV204" s="457">
        <f t="shared" si="9"/>
        <v>13750</v>
      </c>
      <c r="AW204" s="451"/>
    </row>
    <row r="205" spans="2:49" s="418" customFormat="1">
      <c r="B205" s="452">
        <f t="shared" si="11"/>
        <v>189</v>
      </c>
      <c r="C205" s="429" t="s">
        <v>39</v>
      </c>
      <c r="D205" s="430">
        <v>30486614</v>
      </c>
      <c r="E205" s="430"/>
      <c r="F205" s="431" t="s">
        <v>1827</v>
      </c>
      <c r="G205" s="432" t="s">
        <v>146</v>
      </c>
      <c r="H205" s="433" t="s">
        <v>1580</v>
      </c>
      <c r="I205" s="434" t="s">
        <v>1767</v>
      </c>
      <c r="J205" s="435" t="s">
        <v>44</v>
      </c>
      <c r="K205" s="454">
        <v>3188909</v>
      </c>
      <c r="L205" s="455">
        <v>287937</v>
      </c>
      <c r="M205" s="456">
        <v>352388</v>
      </c>
      <c r="N205" s="439">
        <v>0</v>
      </c>
      <c r="O205" s="439">
        <v>272377</v>
      </c>
      <c r="P205" s="439">
        <v>424590</v>
      </c>
      <c r="Q205" s="439">
        <v>293382</v>
      </c>
      <c r="R205" s="439">
        <v>194014</v>
      </c>
      <c r="S205" s="440">
        <v>211491</v>
      </c>
      <c r="T205" s="441">
        <v>94094</v>
      </c>
      <c r="U205" s="441">
        <v>4779</v>
      </c>
      <c r="V205" s="441">
        <v>293458</v>
      </c>
      <c r="W205" s="441"/>
      <c r="X205" s="441"/>
      <c r="Y205" s="441"/>
      <c r="Z205" s="441">
        <f t="shared" si="14"/>
        <v>1788185</v>
      </c>
      <c r="AA205" s="442">
        <v>1240002</v>
      </c>
      <c r="AB205" s="443">
        <v>11</v>
      </c>
      <c r="AC205" s="444">
        <v>44237</v>
      </c>
      <c r="AD205" s="445">
        <v>44251</v>
      </c>
      <c r="AE205" s="442">
        <v>953392</v>
      </c>
      <c r="AF205" s="460">
        <v>22</v>
      </c>
      <c r="AG205" s="461">
        <v>44301</v>
      </c>
      <c r="AH205" s="461">
        <v>44313</v>
      </c>
      <c r="AI205" s="442">
        <v>326122</v>
      </c>
      <c r="AJ205" s="443">
        <v>39</v>
      </c>
      <c r="AK205" s="447">
        <v>44334</v>
      </c>
      <c r="AL205" s="447">
        <v>44342</v>
      </c>
      <c r="AM205" s="442">
        <v>-2</v>
      </c>
      <c r="AN205" s="443">
        <v>50</v>
      </c>
      <c r="AO205" s="447">
        <v>44356</v>
      </c>
      <c r="AP205" s="447">
        <v>44377</v>
      </c>
      <c r="AQ205" s="442"/>
      <c r="AR205" s="443"/>
      <c r="AS205" s="448"/>
      <c r="AT205" s="445"/>
      <c r="AU205" s="449">
        <f t="shared" si="10"/>
        <v>2519514</v>
      </c>
      <c r="AV205" s="457">
        <f t="shared" si="9"/>
        <v>731329</v>
      </c>
      <c r="AW205" s="451"/>
    </row>
    <row r="206" spans="2:49" s="418" customFormat="1" ht="24">
      <c r="B206" s="452">
        <f t="shared" si="11"/>
        <v>190</v>
      </c>
      <c r="C206" s="429" t="s">
        <v>39</v>
      </c>
      <c r="D206" s="430">
        <v>40000086</v>
      </c>
      <c r="E206" s="430"/>
      <c r="F206" s="431" t="s">
        <v>1828</v>
      </c>
      <c r="G206" s="432" t="s">
        <v>1727</v>
      </c>
      <c r="H206" s="433" t="s">
        <v>1580</v>
      </c>
      <c r="I206" s="434" t="s">
        <v>1603</v>
      </c>
      <c r="J206" s="435" t="s">
        <v>52</v>
      </c>
      <c r="K206" s="454">
        <v>78157</v>
      </c>
      <c r="L206" s="455">
        <v>0</v>
      </c>
      <c r="M206" s="456">
        <v>1721</v>
      </c>
      <c r="N206" s="439">
        <v>0</v>
      </c>
      <c r="O206" s="439">
        <v>0</v>
      </c>
      <c r="P206" s="439">
        <v>0</v>
      </c>
      <c r="Q206" s="439">
        <v>0</v>
      </c>
      <c r="R206" s="439">
        <v>0</v>
      </c>
      <c r="S206" s="440">
        <v>0</v>
      </c>
      <c r="T206" s="441"/>
      <c r="U206" s="441"/>
      <c r="V206" s="441"/>
      <c r="W206" s="441"/>
      <c r="X206" s="441"/>
      <c r="Y206" s="441"/>
      <c r="Z206" s="441">
        <f t="shared" si="14"/>
        <v>0</v>
      </c>
      <c r="AA206" s="442">
        <v>38218</v>
      </c>
      <c r="AB206" s="443">
        <v>5</v>
      </c>
      <c r="AC206" s="444">
        <v>44224</v>
      </c>
      <c r="AD206" s="445">
        <v>44251</v>
      </c>
      <c r="AE206" s="442">
        <v>-38217</v>
      </c>
      <c r="AF206" s="446">
        <v>50</v>
      </c>
      <c r="AG206" s="447">
        <v>44356</v>
      </c>
      <c r="AH206" s="447">
        <v>44377</v>
      </c>
      <c r="AI206" s="442"/>
      <c r="AJ206" s="443"/>
      <c r="AK206" s="447"/>
      <c r="AL206" s="445"/>
      <c r="AM206" s="442"/>
      <c r="AN206" s="443"/>
      <c r="AO206" s="448"/>
      <c r="AP206" s="445"/>
      <c r="AQ206" s="442"/>
      <c r="AR206" s="443"/>
      <c r="AS206" s="448"/>
      <c r="AT206" s="445"/>
      <c r="AU206" s="449">
        <f t="shared" si="10"/>
        <v>1</v>
      </c>
      <c r="AV206" s="457">
        <f t="shared" si="9"/>
        <v>1</v>
      </c>
      <c r="AW206" s="451"/>
    </row>
    <row r="207" spans="2:49" s="418" customFormat="1" ht="24">
      <c r="B207" s="452">
        <f t="shared" si="11"/>
        <v>191</v>
      </c>
      <c r="C207" s="429" t="s">
        <v>39</v>
      </c>
      <c r="D207" s="430">
        <v>40000118</v>
      </c>
      <c r="E207" s="430"/>
      <c r="F207" s="431" t="s">
        <v>1829</v>
      </c>
      <c r="G207" s="432" t="s">
        <v>317</v>
      </c>
      <c r="H207" s="433" t="s">
        <v>1583</v>
      </c>
      <c r="I207" s="434" t="s">
        <v>1612</v>
      </c>
      <c r="J207" s="435"/>
      <c r="K207" s="454">
        <v>1554757</v>
      </c>
      <c r="L207" s="455">
        <v>0</v>
      </c>
      <c r="M207" s="456">
        <v>1553756</v>
      </c>
      <c r="N207" s="439">
        <v>0</v>
      </c>
      <c r="O207" s="439">
        <v>0</v>
      </c>
      <c r="P207" s="439">
        <v>0</v>
      </c>
      <c r="Q207" s="439">
        <v>0</v>
      </c>
      <c r="R207" s="439">
        <v>0</v>
      </c>
      <c r="S207" s="440">
        <v>0</v>
      </c>
      <c r="T207" s="441"/>
      <c r="U207" s="441"/>
      <c r="V207" s="441"/>
      <c r="W207" s="441"/>
      <c r="X207" s="441"/>
      <c r="Y207" s="441"/>
      <c r="Z207" s="441">
        <f t="shared" si="14"/>
        <v>0</v>
      </c>
      <c r="AA207" s="442">
        <v>210000</v>
      </c>
      <c r="AB207" s="443">
        <v>50</v>
      </c>
      <c r="AC207" s="444">
        <v>44356</v>
      </c>
      <c r="AD207" s="445">
        <v>44377</v>
      </c>
      <c r="AE207" s="442"/>
      <c r="AF207" s="446"/>
      <c r="AG207" s="447"/>
      <c r="AH207" s="445"/>
      <c r="AI207" s="442"/>
      <c r="AJ207" s="443"/>
      <c r="AK207" s="447"/>
      <c r="AL207" s="445"/>
      <c r="AM207" s="442"/>
      <c r="AN207" s="443"/>
      <c r="AO207" s="448"/>
      <c r="AP207" s="445"/>
      <c r="AQ207" s="442"/>
      <c r="AR207" s="443"/>
      <c r="AS207" s="448"/>
      <c r="AT207" s="445"/>
      <c r="AU207" s="449">
        <f t="shared" si="10"/>
        <v>210000</v>
      </c>
      <c r="AV207" s="457">
        <f t="shared" si="9"/>
        <v>210000</v>
      </c>
      <c r="AW207" s="451"/>
    </row>
    <row r="208" spans="2:49" s="418" customFormat="1" ht="24">
      <c r="B208" s="452">
        <f t="shared" si="11"/>
        <v>192</v>
      </c>
      <c r="C208" s="429" t="s">
        <v>39</v>
      </c>
      <c r="D208" s="430">
        <v>40000938</v>
      </c>
      <c r="E208" s="430"/>
      <c r="F208" s="431" t="s">
        <v>1830</v>
      </c>
      <c r="G208" s="432" t="s">
        <v>47</v>
      </c>
      <c r="H208" s="433" t="s">
        <v>1583</v>
      </c>
      <c r="I208" s="434" t="s">
        <v>1687</v>
      </c>
      <c r="J208" s="435"/>
      <c r="K208" s="454">
        <v>55150</v>
      </c>
      <c r="L208" s="455">
        <v>0</v>
      </c>
      <c r="M208" s="456">
        <v>41989</v>
      </c>
      <c r="N208" s="439">
        <v>0</v>
      </c>
      <c r="O208" s="439">
        <v>0</v>
      </c>
      <c r="P208" s="439">
        <v>0</v>
      </c>
      <c r="Q208" s="439">
        <v>0</v>
      </c>
      <c r="R208" s="439">
        <v>0</v>
      </c>
      <c r="S208" s="440">
        <v>0</v>
      </c>
      <c r="T208" s="441"/>
      <c r="U208" s="441"/>
      <c r="V208" s="441"/>
      <c r="W208" s="441"/>
      <c r="X208" s="441"/>
      <c r="Y208" s="441"/>
      <c r="Z208" s="441">
        <f t="shared" si="14"/>
        <v>0</v>
      </c>
      <c r="AA208" s="442">
        <v>13161</v>
      </c>
      <c r="AB208" s="443">
        <v>50</v>
      </c>
      <c r="AC208" s="444">
        <v>44356</v>
      </c>
      <c r="AD208" s="445">
        <v>44377</v>
      </c>
      <c r="AE208" s="442"/>
      <c r="AF208" s="446"/>
      <c r="AG208" s="447"/>
      <c r="AH208" s="445"/>
      <c r="AI208" s="442"/>
      <c r="AJ208" s="443"/>
      <c r="AK208" s="447"/>
      <c r="AL208" s="445"/>
      <c r="AM208" s="442"/>
      <c r="AN208" s="443"/>
      <c r="AO208" s="448"/>
      <c r="AP208" s="445"/>
      <c r="AQ208" s="442"/>
      <c r="AR208" s="443"/>
      <c r="AS208" s="448"/>
      <c r="AT208" s="445"/>
      <c r="AU208" s="449">
        <f t="shared" si="10"/>
        <v>13161</v>
      </c>
      <c r="AV208" s="457">
        <f t="shared" ref="AV208:AV265" si="15">AU208-Z208</f>
        <v>13161</v>
      </c>
      <c r="AW208" s="451"/>
    </row>
    <row r="209" spans="2:49" s="418" customFormat="1" ht="24">
      <c r="B209" s="452">
        <f t="shared" si="11"/>
        <v>193</v>
      </c>
      <c r="C209" s="429" t="s">
        <v>39</v>
      </c>
      <c r="D209" s="430">
        <v>40001791</v>
      </c>
      <c r="E209" s="430"/>
      <c r="F209" s="431" t="s">
        <v>1831</v>
      </c>
      <c r="G209" s="432" t="s">
        <v>146</v>
      </c>
      <c r="H209" s="433" t="s">
        <v>1580</v>
      </c>
      <c r="I209" s="434" t="s">
        <v>1732</v>
      </c>
      <c r="J209" s="435" t="s">
        <v>44</v>
      </c>
      <c r="K209" s="454">
        <v>2098662</v>
      </c>
      <c r="L209" s="455">
        <v>57419</v>
      </c>
      <c r="M209" s="456">
        <v>821437</v>
      </c>
      <c r="N209" s="439">
        <v>0</v>
      </c>
      <c r="O209" s="439">
        <v>0</v>
      </c>
      <c r="P209" s="439">
        <v>227916</v>
      </c>
      <c r="Q209" s="439">
        <v>0</v>
      </c>
      <c r="R209" s="439">
        <v>208736</v>
      </c>
      <c r="S209" s="440">
        <v>158347</v>
      </c>
      <c r="T209" s="441">
        <v>151829</v>
      </c>
      <c r="U209" s="441">
        <v>90171</v>
      </c>
      <c r="V209" s="441"/>
      <c r="W209" s="441"/>
      <c r="X209" s="441"/>
      <c r="Y209" s="441"/>
      <c r="Z209" s="441">
        <f t="shared" si="14"/>
        <v>836999</v>
      </c>
      <c r="AA209" s="442">
        <v>1219580</v>
      </c>
      <c r="AB209" s="443">
        <v>11</v>
      </c>
      <c r="AC209" s="444">
        <v>44237</v>
      </c>
      <c r="AD209" s="445">
        <v>44251</v>
      </c>
      <c r="AE209" s="442"/>
      <c r="AF209" s="446"/>
      <c r="AG209" s="447"/>
      <c r="AH209" s="445"/>
      <c r="AI209" s="442"/>
      <c r="AJ209" s="443"/>
      <c r="AK209" s="447"/>
      <c r="AL209" s="445"/>
      <c r="AM209" s="442"/>
      <c r="AN209" s="443"/>
      <c r="AO209" s="448"/>
      <c r="AP209" s="445"/>
      <c r="AQ209" s="442"/>
      <c r="AR209" s="443"/>
      <c r="AS209" s="448"/>
      <c r="AT209" s="445"/>
      <c r="AU209" s="449">
        <f t="shared" ref="AU209:AU265" si="16">(AA209+AE209+AI209+AM209+AQ209)</f>
        <v>1219580</v>
      </c>
      <c r="AV209" s="457">
        <f t="shared" si="15"/>
        <v>382581</v>
      </c>
      <c r="AW209" s="451"/>
    </row>
    <row r="210" spans="2:49" s="418" customFormat="1">
      <c r="B210" s="452">
        <f t="shared" ref="B210:B265" si="17">+B209+1</f>
        <v>194</v>
      </c>
      <c r="C210" s="429" t="s">
        <v>39</v>
      </c>
      <c r="D210" s="430">
        <v>40001833</v>
      </c>
      <c r="E210" s="430"/>
      <c r="F210" s="431" t="s">
        <v>1832</v>
      </c>
      <c r="G210" s="432" t="s">
        <v>146</v>
      </c>
      <c r="H210" s="433" t="s">
        <v>1580</v>
      </c>
      <c r="I210" s="434" t="s">
        <v>1732</v>
      </c>
      <c r="J210" s="435" t="s">
        <v>44</v>
      </c>
      <c r="K210" s="454">
        <v>1450086</v>
      </c>
      <c r="L210" s="455">
        <v>284915</v>
      </c>
      <c r="M210" s="456">
        <v>6752</v>
      </c>
      <c r="N210" s="439">
        <v>0</v>
      </c>
      <c r="O210" s="439">
        <v>139207</v>
      </c>
      <c r="P210" s="439">
        <v>351714</v>
      </c>
      <c r="Q210" s="439">
        <v>1876</v>
      </c>
      <c r="R210" s="439">
        <v>282847</v>
      </c>
      <c r="S210" s="440">
        <v>0</v>
      </c>
      <c r="T210" s="441">
        <v>88778</v>
      </c>
      <c r="U210" s="441">
        <v>84232</v>
      </c>
      <c r="V210" s="441">
        <v>37954</v>
      </c>
      <c r="W210" s="441"/>
      <c r="X210" s="441"/>
      <c r="Y210" s="441"/>
      <c r="Z210" s="441">
        <f t="shared" si="14"/>
        <v>986608</v>
      </c>
      <c r="AA210" s="442">
        <v>1158362</v>
      </c>
      <c r="AB210" s="443">
        <v>11</v>
      </c>
      <c r="AC210" s="444">
        <v>44237</v>
      </c>
      <c r="AD210" s="445">
        <v>44251</v>
      </c>
      <c r="AE210" s="442"/>
      <c r="AF210" s="446"/>
      <c r="AG210" s="447"/>
      <c r="AH210" s="445"/>
      <c r="AI210" s="442"/>
      <c r="AJ210" s="443"/>
      <c r="AK210" s="447"/>
      <c r="AL210" s="445"/>
      <c r="AM210" s="442"/>
      <c r="AN210" s="443"/>
      <c r="AO210" s="448"/>
      <c r="AP210" s="445"/>
      <c r="AQ210" s="442"/>
      <c r="AR210" s="443"/>
      <c r="AS210" s="448"/>
      <c r="AT210" s="445"/>
      <c r="AU210" s="449">
        <f t="shared" si="16"/>
        <v>1158362</v>
      </c>
      <c r="AV210" s="457">
        <f t="shared" si="15"/>
        <v>171754</v>
      </c>
      <c r="AW210" s="451"/>
    </row>
    <row r="211" spans="2:49" s="418" customFormat="1" ht="24">
      <c r="B211" s="452">
        <f t="shared" si="17"/>
        <v>195</v>
      </c>
      <c r="C211" s="429" t="s">
        <v>39</v>
      </c>
      <c r="D211" s="430">
        <v>40001915</v>
      </c>
      <c r="E211" s="430"/>
      <c r="F211" s="431" t="s">
        <v>1833</v>
      </c>
      <c r="G211" s="432" t="s">
        <v>146</v>
      </c>
      <c r="H211" s="433" t="s">
        <v>1580</v>
      </c>
      <c r="I211" s="434" t="s">
        <v>1683</v>
      </c>
      <c r="J211" s="435" t="s">
        <v>44</v>
      </c>
      <c r="K211" s="454">
        <v>350294</v>
      </c>
      <c r="L211" s="455">
        <v>2077</v>
      </c>
      <c r="M211" s="456">
        <v>100216</v>
      </c>
      <c r="N211" s="439">
        <v>0</v>
      </c>
      <c r="O211" s="439">
        <v>0</v>
      </c>
      <c r="P211" s="439">
        <v>107164</v>
      </c>
      <c r="Q211" s="439">
        <v>0</v>
      </c>
      <c r="R211" s="439">
        <v>124253</v>
      </c>
      <c r="S211" s="440">
        <v>15363</v>
      </c>
      <c r="T211" s="441"/>
      <c r="U211" s="441"/>
      <c r="V211" s="441"/>
      <c r="W211" s="441"/>
      <c r="X211" s="441"/>
      <c r="Y211" s="441"/>
      <c r="Z211" s="441">
        <f t="shared" si="14"/>
        <v>246780</v>
      </c>
      <c r="AA211" s="442">
        <v>248000</v>
      </c>
      <c r="AB211" s="443">
        <v>9</v>
      </c>
      <c r="AC211" s="444">
        <v>44232</v>
      </c>
      <c r="AD211" s="445">
        <v>44251</v>
      </c>
      <c r="AE211" s="442">
        <v>33707</v>
      </c>
      <c r="AF211" s="446">
        <v>39</v>
      </c>
      <c r="AG211" s="447">
        <v>44334</v>
      </c>
      <c r="AH211" s="447">
        <v>44342</v>
      </c>
      <c r="AI211" s="442">
        <v>49241</v>
      </c>
      <c r="AJ211" s="443">
        <v>86</v>
      </c>
      <c r="AK211" s="447">
        <v>44421</v>
      </c>
      <c r="AL211" s="445">
        <v>44435</v>
      </c>
      <c r="AM211" s="442"/>
      <c r="AN211" s="443"/>
      <c r="AO211" s="448"/>
      <c r="AP211" s="445"/>
      <c r="AQ211" s="442"/>
      <c r="AR211" s="443"/>
      <c r="AS211" s="448"/>
      <c r="AT211" s="445"/>
      <c r="AU211" s="449">
        <f t="shared" si="16"/>
        <v>330948</v>
      </c>
      <c r="AV211" s="457">
        <f t="shared" si="15"/>
        <v>84168</v>
      </c>
      <c r="AW211" s="451"/>
    </row>
    <row r="212" spans="2:49" s="418" customFormat="1">
      <c r="B212" s="452">
        <f t="shared" si="17"/>
        <v>196</v>
      </c>
      <c r="C212" s="429" t="s">
        <v>65</v>
      </c>
      <c r="D212" s="430">
        <v>40002036</v>
      </c>
      <c r="E212" s="430"/>
      <c r="F212" s="431" t="s">
        <v>1834</v>
      </c>
      <c r="G212" s="432" t="s">
        <v>158</v>
      </c>
      <c r="H212" s="433" t="s">
        <v>1580</v>
      </c>
      <c r="I212" s="434" t="s">
        <v>1581</v>
      </c>
      <c r="J212" s="435" t="s">
        <v>52</v>
      </c>
      <c r="K212" s="454">
        <v>43621</v>
      </c>
      <c r="L212" s="455">
        <v>0</v>
      </c>
      <c r="M212" s="456">
        <v>1</v>
      </c>
      <c r="N212" s="440">
        <v>0</v>
      </c>
      <c r="O212" s="440">
        <v>0</v>
      </c>
      <c r="P212" s="440">
        <v>0</v>
      </c>
      <c r="Q212" s="440">
        <v>0</v>
      </c>
      <c r="R212" s="440">
        <v>0</v>
      </c>
      <c r="S212" s="440">
        <v>0</v>
      </c>
      <c r="T212" s="441"/>
      <c r="U212" s="441"/>
      <c r="V212" s="441"/>
      <c r="W212" s="441"/>
      <c r="X212" s="441"/>
      <c r="Y212" s="441"/>
      <c r="Z212" s="441">
        <f t="shared" si="14"/>
        <v>0</v>
      </c>
      <c r="AA212" s="442">
        <v>38483</v>
      </c>
      <c r="AB212" s="443">
        <v>5</v>
      </c>
      <c r="AC212" s="444">
        <v>44224</v>
      </c>
      <c r="AD212" s="445">
        <v>44251</v>
      </c>
      <c r="AE212" s="442">
        <v>-13470</v>
      </c>
      <c r="AF212" s="446">
        <v>50</v>
      </c>
      <c r="AG212" s="447">
        <v>44356</v>
      </c>
      <c r="AH212" s="447">
        <v>44377</v>
      </c>
      <c r="AI212" s="442"/>
      <c r="AJ212" s="443"/>
      <c r="AK212" s="447"/>
      <c r="AL212" s="445"/>
      <c r="AM212" s="442"/>
      <c r="AN212" s="443"/>
      <c r="AO212" s="448"/>
      <c r="AP212" s="445"/>
      <c r="AQ212" s="442"/>
      <c r="AR212" s="443"/>
      <c r="AS212" s="448"/>
      <c r="AT212" s="445"/>
      <c r="AU212" s="449">
        <f t="shared" si="16"/>
        <v>25013</v>
      </c>
      <c r="AV212" s="457">
        <f t="shared" si="15"/>
        <v>25013</v>
      </c>
      <c r="AW212" s="451"/>
    </row>
    <row r="213" spans="2:49" s="418" customFormat="1" ht="24" customHeight="1">
      <c r="B213" s="452">
        <f t="shared" si="17"/>
        <v>197</v>
      </c>
      <c r="C213" s="429" t="s">
        <v>39</v>
      </c>
      <c r="D213" s="382">
        <v>40002287</v>
      </c>
      <c r="E213" s="430"/>
      <c r="F213" s="166" t="s">
        <v>1835</v>
      </c>
      <c r="G213" s="432" t="s">
        <v>317</v>
      </c>
      <c r="H213" s="433" t="s">
        <v>1583</v>
      </c>
      <c r="I213" s="434" t="s">
        <v>1624</v>
      </c>
      <c r="J213" s="435"/>
      <c r="K213" s="454">
        <v>176459</v>
      </c>
      <c r="L213" s="455"/>
      <c r="M213" s="456">
        <v>148711</v>
      </c>
      <c r="N213" s="440"/>
      <c r="O213" s="440"/>
      <c r="P213" s="440"/>
      <c r="Q213" s="440"/>
      <c r="R213" s="440"/>
      <c r="S213" s="440"/>
      <c r="T213" s="441"/>
      <c r="U213" s="441"/>
      <c r="V213" s="441"/>
      <c r="W213" s="441"/>
      <c r="X213" s="441"/>
      <c r="Y213" s="441"/>
      <c r="Z213" s="441"/>
      <c r="AA213" s="442">
        <v>27748</v>
      </c>
      <c r="AB213" s="443">
        <v>86</v>
      </c>
      <c r="AC213" s="444">
        <v>44421</v>
      </c>
      <c r="AD213" s="445">
        <v>44435</v>
      </c>
      <c r="AE213" s="442"/>
      <c r="AF213" s="446"/>
      <c r="AG213" s="447"/>
      <c r="AH213" s="445"/>
      <c r="AI213" s="442"/>
      <c r="AJ213" s="443"/>
      <c r="AK213" s="447"/>
      <c r="AL213" s="445"/>
      <c r="AM213" s="442"/>
      <c r="AN213" s="443"/>
      <c r="AO213" s="448"/>
      <c r="AP213" s="445"/>
      <c r="AQ213" s="442"/>
      <c r="AR213" s="443"/>
      <c r="AS213" s="448"/>
      <c r="AT213" s="445"/>
      <c r="AU213" s="449">
        <f t="shared" si="16"/>
        <v>27748</v>
      </c>
      <c r="AV213" s="457">
        <f t="shared" si="15"/>
        <v>27748</v>
      </c>
      <c r="AW213" s="451"/>
    </row>
    <row r="214" spans="2:49" s="418" customFormat="1">
      <c r="B214" s="452">
        <f t="shared" si="17"/>
        <v>198</v>
      </c>
      <c r="C214" s="429" t="s">
        <v>39</v>
      </c>
      <c r="D214" s="430">
        <v>40002498</v>
      </c>
      <c r="E214" s="430"/>
      <c r="F214" s="431" t="s">
        <v>1836</v>
      </c>
      <c r="G214" s="432" t="s">
        <v>146</v>
      </c>
      <c r="H214" s="433" t="s">
        <v>1580</v>
      </c>
      <c r="I214" s="434" t="s">
        <v>1624</v>
      </c>
      <c r="J214" s="435" t="s">
        <v>44</v>
      </c>
      <c r="K214" s="454">
        <v>1190382</v>
      </c>
      <c r="L214" s="455">
        <v>758388</v>
      </c>
      <c r="M214" s="456">
        <v>44386</v>
      </c>
      <c r="N214" s="439">
        <v>0</v>
      </c>
      <c r="O214" s="439">
        <v>58277</v>
      </c>
      <c r="P214" s="439">
        <v>169027</v>
      </c>
      <c r="Q214" s="439">
        <v>64616</v>
      </c>
      <c r="R214" s="439">
        <v>0</v>
      </c>
      <c r="S214" s="440">
        <v>0</v>
      </c>
      <c r="T214" s="441"/>
      <c r="U214" s="441"/>
      <c r="V214" s="441"/>
      <c r="W214" s="441"/>
      <c r="X214" s="441"/>
      <c r="Y214" s="441"/>
      <c r="Z214" s="441">
        <f t="shared" ref="Z214:Z219" si="18">SUM(N214:Y214)</f>
        <v>291920</v>
      </c>
      <c r="AA214" s="442">
        <v>387608</v>
      </c>
      <c r="AB214" s="443">
        <v>11</v>
      </c>
      <c r="AC214" s="444">
        <v>44237</v>
      </c>
      <c r="AD214" s="445">
        <v>44251</v>
      </c>
      <c r="AE214" s="442">
        <v>42309</v>
      </c>
      <c r="AF214" s="446">
        <v>39</v>
      </c>
      <c r="AG214" s="447">
        <v>44334</v>
      </c>
      <c r="AH214" s="447">
        <v>44342</v>
      </c>
      <c r="AI214" s="442"/>
      <c r="AJ214" s="443"/>
      <c r="AK214" s="447"/>
      <c r="AL214" s="445"/>
      <c r="AM214" s="442"/>
      <c r="AN214" s="443"/>
      <c r="AO214" s="448"/>
      <c r="AP214" s="445"/>
      <c r="AQ214" s="442"/>
      <c r="AR214" s="443"/>
      <c r="AS214" s="448"/>
      <c r="AT214" s="445"/>
      <c r="AU214" s="449">
        <f t="shared" si="16"/>
        <v>429917</v>
      </c>
      <c r="AV214" s="457">
        <f t="shared" si="15"/>
        <v>137997</v>
      </c>
      <c r="AW214" s="451"/>
    </row>
    <row r="215" spans="2:49" s="418" customFormat="1">
      <c r="B215" s="452">
        <f t="shared" si="17"/>
        <v>199</v>
      </c>
      <c r="C215" s="429" t="s">
        <v>39</v>
      </c>
      <c r="D215" s="430">
        <v>40003144</v>
      </c>
      <c r="E215" s="430"/>
      <c r="F215" s="431" t="s">
        <v>1837</v>
      </c>
      <c r="G215" s="432" t="s">
        <v>146</v>
      </c>
      <c r="H215" s="433" t="s">
        <v>1580</v>
      </c>
      <c r="I215" s="434" t="s">
        <v>1641</v>
      </c>
      <c r="J215" s="435" t="s">
        <v>52</v>
      </c>
      <c r="K215" s="454">
        <v>290775</v>
      </c>
      <c r="L215" s="455">
        <v>0</v>
      </c>
      <c r="M215" s="456">
        <v>240775</v>
      </c>
      <c r="N215" s="439">
        <v>0</v>
      </c>
      <c r="O215" s="439">
        <v>0</v>
      </c>
      <c r="P215" s="439">
        <v>0</v>
      </c>
      <c r="Q215" s="439">
        <v>0</v>
      </c>
      <c r="R215" s="439">
        <v>0</v>
      </c>
      <c r="S215" s="440">
        <v>0</v>
      </c>
      <c r="T215" s="441"/>
      <c r="U215" s="441">
        <v>10298</v>
      </c>
      <c r="V215" s="441"/>
      <c r="W215" s="441"/>
      <c r="X215" s="441"/>
      <c r="Y215" s="441"/>
      <c r="Z215" s="441">
        <f t="shared" si="18"/>
        <v>10298</v>
      </c>
      <c r="AA215" s="442">
        <v>50000</v>
      </c>
      <c r="AB215" s="443">
        <v>3</v>
      </c>
      <c r="AC215" s="444">
        <v>44222</v>
      </c>
      <c r="AD215" s="445">
        <v>44225</v>
      </c>
      <c r="AE215" s="442"/>
      <c r="AF215" s="446"/>
      <c r="AG215" s="447"/>
      <c r="AH215" s="445"/>
      <c r="AI215" s="442"/>
      <c r="AJ215" s="443"/>
      <c r="AK215" s="447"/>
      <c r="AL215" s="445"/>
      <c r="AM215" s="442"/>
      <c r="AN215" s="443"/>
      <c r="AO215" s="448"/>
      <c r="AP215" s="445"/>
      <c r="AQ215" s="442"/>
      <c r="AR215" s="443"/>
      <c r="AS215" s="448"/>
      <c r="AT215" s="445"/>
      <c r="AU215" s="449">
        <f t="shared" si="16"/>
        <v>50000</v>
      </c>
      <c r="AV215" s="457">
        <f t="shared" si="15"/>
        <v>39702</v>
      </c>
      <c r="AW215" s="451"/>
    </row>
    <row r="216" spans="2:49" s="418" customFormat="1">
      <c r="B216" s="452">
        <f t="shared" si="17"/>
        <v>200</v>
      </c>
      <c r="C216" s="429" t="s">
        <v>39</v>
      </c>
      <c r="D216" s="430">
        <v>40004832</v>
      </c>
      <c r="E216" s="430"/>
      <c r="F216" s="431" t="s">
        <v>1838</v>
      </c>
      <c r="G216" s="432" t="s">
        <v>146</v>
      </c>
      <c r="H216" s="433" t="s">
        <v>1580</v>
      </c>
      <c r="I216" s="434" t="s">
        <v>1647</v>
      </c>
      <c r="J216" s="435" t="s">
        <v>52</v>
      </c>
      <c r="K216" s="454">
        <v>1333673</v>
      </c>
      <c r="L216" s="455">
        <v>0</v>
      </c>
      <c r="M216" s="456">
        <v>1125673</v>
      </c>
      <c r="N216" s="439">
        <v>0</v>
      </c>
      <c r="O216" s="439">
        <v>0</v>
      </c>
      <c r="P216" s="439">
        <v>0</v>
      </c>
      <c r="Q216" s="439">
        <v>0</v>
      </c>
      <c r="R216" s="439">
        <v>0</v>
      </c>
      <c r="S216" s="440">
        <v>0</v>
      </c>
      <c r="T216" s="441"/>
      <c r="U216" s="441"/>
      <c r="V216" s="441"/>
      <c r="W216" s="441"/>
      <c r="X216" s="441"/>
      <c r="Y216" s="441"/>
      <c r="Z216" s="441">
        <f t="shared" si="18"/>
        <v>0</v>
      </c>
      <c r="AA216" s="442">
        <v>208000</v>
      </c>
      <c r="AB216" s="443">
        <v>3</v>
      </c>
      <c r="AC216" s="444">
        <v>44222</v>
      </c>
      <c r="AD216" s="445">
        <v>44225</v>
      </c>
      <c r="AE216" s="442">
        <v>500000</v>
      </c>
      <c r="AF216" s="446">
        <v>39</v>
      </c>
      <c r="AG216" s="447">
        <v>44334</v>
      </c>
      <c r="AH216" s="447">
        <v>44342</v>
      </c>
      <c r="AI216" s="442">
        <v>-100000</v>
      </c>
      <c r="AJ216" s="443">
        <v>86</v>
      </c>
      <c r="AK216" s="447">
        <v>44421</v>
      </c>
      <c r="AL216" s="445">
        <v>44435</v>
      </c>
      <c r="AM216" s="442"/>
      <c r="AN216" s="443"/>
      <c r="AO216" s="448"/>
      <c r="AP216" s="445"/>
      <c r="AQ216" s="442"/>
      <c r="AR216" s="443"/>
      <c r="AS216" s="448"/>
      <c r="AT216" s="445"/>
      <c r="AU216" s="449">
        <f t="shared" si="16"/>
        <v>608000</v>
      </c>
      <c r="AV216" s="457">
        <f t="shared" si="15"/>
        <v>608000</v>
      </c>
      <c r="AW216" s="451"/>
    </row>
    <row r="217" spans="2:49" s="418" customFormat="1">
      <c r="B217" s="452">
        <f t="shared" si="17"/>
        <v>201</v>
      </c>
      <c r="C217" s="429" t="s">
        <v>39</v>
      </c>
      <c r="D217" s="430">
        <v>40005794</v>
      </c>
      <c r="E217" s="430"/>
      <c r="F217" s="431" t="s">
        <v>1839</v>
      </c>
      <c r="G217" s="432" t="s">
        <v>158</v>
      </c>
      <c r="H217" s="433" t="s">
        <v>1580</v>
      </c>
      <c r="I217" s="434" t="s">
        <v>1671</v>
      </c>
      <c r="J217" s="435" t="s">
        <v>52</v>
      </c>
      <c r="K217" s="454">
        <v>154996</v>
      </c>
      <c r="L217" s="455">
        <v>0</v>
      </c>
      <c r="M217" s="456">
        <v>120001</v>
      </c>
      <c r="N217" s="440">
        <v>0</v>
      </c>
      <c r="O217" s="440">
        <v>0</v>
      </c>
      <c r="P217" s="440">
        <v>0</v>
      </c>
      <c r="Q217" s="440">
        <v>4885</v>
      </c>
      <c r="R217" s="440">
        <v>0</v>
      </c>
      <c r="S217" s="440">
        <v>0</v>
      </c>
      <c r="T217" s="441"/>
      <c r="U217" s="441"/>
      <c r="V217" s="441"/>
      <c r="W217" s="441"/>
      <c r="X217" s="441"/>
      <c r="Y217" s="441"/>
      <c r="Z217" s="441">
        <f t="shared" si="18"/>
        <v>4885</v>
      </c>
      <c r="AA217" s="442">
        <v>34885</v>
      </c>
      <c r="AB217" s="443">
        <v>3</v>
      </c>
      <c r="AC217" s="444">
        <v>44222</v>
      </c>
      <c r="AD217" s="445">
        <v>44225</v>
      </c>
      <c r="AE217" s="442"/>
      <c r="AF217" s="446"/>
      <c r="AG217" s="447"/>
      <c r="AH217" s="445"/>
      <c r="AI217" s="442"/>
      <c r="AJ217" s="443"/>
      <c r="AK217" s="447"/>
      <c r="AL217" s="445"/>
      <c r="AM217" s="442"/>
      <c r="AN217" s="443"/>
      <c r="AO217" s="448"/>
      <c r="AP217" s="445"/>
      <c r="AQ217" s="442"/>
      <c r="AR217" s="443"/>
      <c r="AS217" s="448"/>
      <c r="AT217" s="445"/>
      <c r="AU217" s="449">
        <f t="shared" si="16"/>
        <v>34885</v>
      </c>
      <c r="AV217" s="457">
        <f t="shared" si="15"/>
        <v>30000</v>
      </c>
      <c r="AW217" s="451"/>
    </row>
    <row r="218" spans="2:49" s="418" customFormat="1" ht="24">
      <c r="B218" s="452">
        <f t="shared" si="17"/>
        <v>202</v>
      </c>
      <c r="C218" s="429" t="s">
        <v>39</v>
      </c>
      <c r="D218" s="430">
        <v>40005818</v>
      </c>
      <c r="E218" s="430"/>
      <c r="F218" s="431" t="s">
        <v>1840</v>
      </c>
      <c r="G218" s="432" t="s">
        <v>51</v>
      </c>
      <c r="H218" s="433" t="s">
        <v>1583</v>
      </c>
      <c r="I218" s="434" t="s">
        <v>1616</v>
      </c>
      <c r="J218" s="435"/>
      <c r="K218" s="454">
        <v>207920</v>
      </c>
      <c r="L218" s="455">
        <v>0</v>
      </c>
      <c r="M218" s="456">
        <v>106940</v>
      </c>
      <c r="N218" s="439">
        <v>0</v>
      </c>
      <c r="O218" s="439">
        <v>0</v>
      </c>
      <c r="P218" s="439">
        <v>0</v>
      </c>
      <c r="Q218" s="439">
        <v>0</v>
      </c>
      <c r="R218" s="439">
        <v>0</v>
      </c>
      <c r="S218" s="440">
        <v>0</v>
      </c>
      <c r="T218" s="441"/>
      <c r="U218" s="441"/>
      <c r="V218" s="441"/>
      <c r="W218" s="441"/>
      <c r="X218" s="441"/>
      <c r="Y218" s="441"/>
      <c r="Z218" s="441">
        <f t="shared" si="18"/>
        <v>0</v>
      </c>
      <c r="AA218" s="442">
        <v>100980</v>
      </c>
      <c r="AB218" s="443">
        <v>50</v>
      </c>
      <c r="AC218" s="444">
        <v>44356</v>
      </c>
      <c r="AD218" s="445">
        <v>44377</v>
      </c>
      <c r="AE218" s="442"/>
      <c r="AF218" s="446"/>
      <c r="AG218" s="447"/>
      <c r="AH218" s="445"/>
      <c r="AI218" s="442"/>
      <c r="AJ218" s="443"/>
      <c r="AK218" s="447"/>
      <c r="AL218" s="445"/>
      <c r="AM218" s="442"/>
      <c r="AN218" s="443"/>
      <c r="AO218" s="448"/>
      <c r="AP218" s="445"/>
      <c r="AQ218" s="442"/>
      <c r="AR218" s="443"/>
      <c r="AS218" s="448"/>
      <c r="AT218" s="445"/>
      <c r="AU218" s="449">
        <f t="shared" si="16"/>
        <v>100980</v>
      </c>
      <c r="AV218" s="457">
        <f t="shared" si="15"/>
        <v>100980</v>
      </c>
      <c r="AW218" s="451"/>
    </row>
    <row r="219" spans="2:49" s="418" customFormat="1" ht="24">
      <c r="B219" s="452">
        <f t="shared" si="17"/>
        <v>203</v>
      </c>
      <c r="C219" s="429" t="s">
        <v>39</v>
      </c>
      <c r="D219" s="430">
        <v>40005822</v>
      </c>
      <c r="E219" s="430"/>
      <c r="F219" s="431" t="s">
        <v>1841</v>
      </c>
      <c r="G219" s="432" t="s">
        <v>51</v>
      </c>
      <c r="H219" s="433" t="s">
        <v>1583</v>
      </c>
      <c r="I219" s="434" t="s">
        <v>1616</v>
      </c>
      <c r="J219" s="435"/>
      <c r="K219" s="454">
        <v>196663</v>
      </c>
      <c r="L219" s="455">
        <v>0</v>
      </c>
      <c r="M219" s="456">
        <v>91987</v>
      </c>
      <c r="N219" s="439">
        <v>0</v>
      </c>
      <c r="O219" s="439">
        <v>0</v>
      </c>
      <c r="P219" s="439">
        <v>0</v>
      </c>
      <c r="Q219" s="439">
        <v>0</v>
      </c>
      <c r="R219" s="439">
        <v>0</v>
      </c>
      <c r="S219" s="440">
        <v>0</v>
      </c>
      <c r="T219" s="441"/>
      <c r="U219" s="441"/>
      <c r="V219" s="441"/>
      <c r="W219" s="441"/>
      <c r="X219" s="441"/>
      <c r="Y219" s="441"/>
      <c r="Z219" s="441">
        <f t="shared" si="18"/>
        <v>0</v>
      </c>
      <c r="AA219" s="442">
        <v>104676</v>
      </c>
      <c r="AB219" s="443">
        <v>50</v>
      </c>
      <c r="AC219" s="444">
        <v>44356</v>
      </c>
      <c r="AD219" s="445">
        <v>44377</v>
      </c>
      <c r="AE219" s="442"/>
      <c r="AF219" s="446"/>
      <c r="AG219" s="447"/>
      <c r="AH219" s="445"/>
      <c r="AI219" s="442"/>
      <c r="AJ219" s="443"/>
      <c r="AK219" s="447"/>
      <c r="AL219" s="445"/>
      <c r="AM219" s="442"/>
      <c r="AN219" s="443"/>
      <c r="AO219" s="448"/>
      <c r="AP219" s="445"/>
      <c r="AQ219" s="442"/>
      <c r="AR219" s="443"/>
      <c r="AS219" s="448"/>
      <c r="AT219" s="445"/>
      <c r="AU219" s="449">
        <f t="shared" si="16"/>
        <v>104676</v>
      </c>
      <c r="AV219" s="457">
        <f t="shared" si="15"/>
        <v>104676</v>
      </c>
      <c r="AW219" s="451"/>
    </row>
    <row r="220" spans="2:49" s="418" customFormat="1" ht="12" customHeight="1">
      <c r="B220" s="452">
        <f t="shared" si="17"/>
        <v>204</v>
      </c>
      <c r="C220" s="429" t="s">
        <v>39</v>
      </c>
      <c r="D220" s="382">
        <v>40006083</v>
      </c>
      <c r="E220" s="430"/>
      <c r="F220" s="166" t="s">
        <v>1842</v>
      </c>
      <c r="G220" s="432" t="s">
        <v>47</v>
      </c>
      <c r="H220" s="433" t="s">
        <v>1583</v>
      </c>
      <c r="I220" s="434" t="s">
        <v>1767</v>
      </c>
      <c r="J220" s="435"/>
      <c r="K220" s="454">
        <v>609340</v>
      </c>
      <c r="L220" s="455"/>
      <c r="M220" s="456">
        <v>607940</v>
      </c>
      <c r="N220" s="440"/>
      <c r="O220" s="440"/>
      <c r="P220" s="440"/>
      <c r="Q220" s="440"/>
      <c r="R220" s="440"/>
      <c r="S220" s="440"/>
      <c r="T220" s="441"/>
      <c r="U220" s="441"/>
      <c r="V220" s="441"/>
      <c r="W220" s="441"/>
      <c r="X220" s="441"/>
      <c r="Y220" s="441"/>
      <c r="Z220" s="441"/>
      <c r="AA220" s="442">
        <v>1400</v>
      </c>
      <c r="AB220" s="443">
        <v>86</v>
      </c>
      <c r="AC220" s="444">
        <v>44421</v>
      </c>
      <c r="AD220" s="445">
        <v>44435</v>
      </c>
      <c r="AE220" s="442"/>
      <c r="AF220" s="446"/>
      <c r="AG220" s="447"/>
      <c r="AH220" s="445"/>
      <c r="AI220" s="442"/>
      <c r="AJ220" s="443"/>
      <c r="AK220" s="447"/>
      <c r="AL220" s="445"/>
      <c r="AM220" s="442"/>
      <c r="AN220" s="443"/>
      <c r="AO220" s="448"/>
      <c r="AP220" s="445"/>
      <c r="AQ220" s="442"/>
      <c r="AR220" s="443"/>
      <c r="AS220" s="448"/>
      <c r="AT220" s="445"/>
      <c r="AU220" s="449">
        <f t="shared" si="16"/>
        <v>1400</v>
      </c>
      <c r="AV220" s="457">
        <f t="shared" si="15"/>
        <v>1400</v>
      </c>
      <c r="AW220" s="451"/>
    </row>
    <row r="221" spans="2:49" s="418" customFormat="1" ht="24">
      <c r="B221" s="452">
        <f t="shared" si="17"/>
        <v>205</v>
      </c>
      <c r="C221" s="429" t="s">
        <v>39</v>
      </c>
      <c r="D221" s="430">
        <v>40006105</v>
      </c>
      <c r="E221" s="430"/>
      <c r="F221" s="431" t="s">
        <v>1843</v>
      </c>
      <c r="G221" s="432" t="s">
        <v>146</v>
      </c>
      <c r="H221" s="433" t="s">
        <v>1583</v>
      </c>
      <c r="I221" s="434" t="s">
        <v>1767</v>
      </c>
      <c r="J221" s="435"/>
      <c r="K221" s="454">
        <v>260737</v>
      </c>
      <c r="L221" s="455">
        <v>0</v>
      </c>
      <c r="M221" s="456">
        <v>257736</v>
      </c>
      <c r="N221" s="439">
        <v>0</v>
      </c>
      <c r="O221" s="439">
        <v>0</v>
      </c>
      <c r="P221" s="439">
        <v>0</v>
      </c>
      <c r="Q221" s="439">
        <v>0</v>
      </c>
      <c r="R221" s="439">
        <v>0</v>
      </c>
      <c r="S221" s="440">
        <v>0</v>
      </c>
      <c r="T221" s="441"/>
      <c r="U221" s="441"/>
      <c r="V221" s="441"/>
      <c r="W221" s="441"/>
      <c r="X221" s="441"/>
      <c r="Y221" s="441"/>
      <c r="Z221" s="441">
        <f t="shared" ref="Z221:Z243" si="19">SUM(N221:Y221)</f>
        <v>0</v>
      </c>
      <c r="AA221" s="442">
        <v>3001</v>
      </c>
      <c r="AB221" s="443">
        <v>39</v>
      </c>
      <c r="AC221" s="444">
        <v>44334</v>
      </c>
      <c r="AD221" s="445">
        <v>44342</v>
      </c>
      <c r="AE221" s="442"/>
      <c r="AF221" s="446"/>
      <c r="AG221" s="447"/>
      <c r="AH221" s="445"/>
      <c r="AI221" s="442"/>
      <c r="AJ221" s="443"/>
      <c r="AK221" s="447"/>
      <c r="AL221" s="445"/>
      <c r="AM221" s="442"/>
      <c r="AN221" s="443"/>
      <c r="AO221" s="448"/>
      <c r="AP221" s="445"/>
      <c r="AQ221" s="442"/>
      <c r="AR221" s="443"/>
      <c r="AS221" s="448"/>
      <c r="AT221" s="445"/>
      <c r="AU221" s="449">
        <f t="shared" si="16"/>
        <v>3001</v>
      </c>
      <c r="AV221" s="457">
        <f t="shared" si="15"/>
        <v>3001</v>
      </c>
      <c r="AW221" s="451"/>
    </row>
    <row r="222" spans="2:49" s="418" customFormat="1" ht="24">
      <c r="B222" s="452">
        <f t="shared" si="17"/>
        <v>206</v>
      </c>
      <c r="C222" s="429" t="s">
        <v>39</v>
      </c>
      <c r="D222" s="430">
        <v>40006418</v>
      </c>
      <c r="E222" s="430"/>
      <c r="F222" s="431" t="s">
        <v>1844</v>
      </c>
      <c r="G222" s="432" t="s">
        <v>146</v>
      </c>
      <c r="H222" s="433" t="s">
        <v>1580</v>
      </c>
      <c r="I222" s="434" t="s">
        <v>1683</v>
      </c>
      <c r="J222" s="435" t="s">
        <v>52</v>
      </c>
      <c r="K222" s="454">
        <v>1540520</v>
      </c>
      <c r="L222" s="455">
        <v>4329</v>
      </c>
      <c r="M222" s="456">
        <v>1036191</v>
      </c>
      <c r="N222" s="440">
        <v>0</v>
      </c>
      <c r="O222" s="440">
        <v>0</v>
      </c>
      <c r="P222" s="440">
        <v>0</v>
      </c>
      <c r="Q222" s="440">
        <v>0</v>
      </c>
      <c r="R222" s="440">
        <v>0</v>
      </c>
      <c r="S222" s="440">
        <v>0</v>
      </c>
      <c r="T222" s="441">
        <v>449574</v>
      </c>
      <c r="U222" s="441">
        <v>17756</v>
      </c>
      <c r="V222" s="441">
        <v>65811</v>
      </c>
      <c r="W222" s="441"/>
      <c r="X222" s="441"/>
      <c r="Y222" s="441"/>
      <c r="Z222" s="441">
        <f t="shared" si="19"/>
        <v>533141</v>
      </c>
      <c r="AA222" s="442">
        <v>500000</v>
      </c>
      <c r="AB222" s="443">
        <v>3</v>
      </c>
      <c r="AC222" s="444">
        <v>44222</v>
      </c>
      <c r="AD222" s="445">
        <v>44225</v>
      </c>
      <c r="AE222" s="442">
        <v>1000000</v>
      </c>
      <c r="AF222" s="446">
        <v>39</v>
      </c>
      <c r="AG222" s="447">
        <v>44334</v>
      </c>
      <c r="AH222" s="447">
        <v>44342</v>
      </c>
      <c r="AI222" s="442"/>
      <c r="AJ222" s="443"/>
      <c r="AK222" s="447"/>
      <c r="AL222" s="445"/>
      <c r="AM222" s="442"/>
      <c r="AN222" s="443"/>
      <c r="AO222" s="448"/>
      <c r="AP222" s="445"/>
      <c r="AQ222" s="442"/>
      <c r="AR222" s="443"/>
      <c r="AS222" s="448"/>
      <c r="AT222" s="445"/>
      <c r="AU222" s="449">
        <f t="shared" si="16"/>
        <v>1500000</v>
      </c>
      <c r="AV222" s="457">
        <f t="shared" si="15"/>
        <v>966859</v>
      </c>
      <c r="AW222" s="451"/>
    </row>
    <row r="223" spans="2:49" s="418" customFormat="1" ht="24">
      <c r="B223" s="452">
        <f t="shared" si="17"/>
        <v>207</v>
      </c>
      <c r="C223" s="429" t="s">
        <v>39</v>
      </c>
      <c r="D223" s="430">
        <v>40006486</v>
      </c>
      <c r="E223" s="430"/>
      <c r="F223" s="431" t="s">
        <v>1845</v>
      </c>
      <c r="G223" s="432" t="s">
        <v>146</v>
      </c>
      <c r="H223" s="433" t="s">
        <v>1580</v>
      </c>
      <c r="I223" s="434" t="s">
        <v>1584</v>
      </c>
      <c r="J223" s="435" t="s">
        <v>44</v>
      </c>
      <c r="K223" s="454">
        <v>1573192</v>
      </c>
      <c r="L223" s="455">
        <v>4329</v>
      </c>
      <c r="M223" s="456">
        <v>768863</v>
      </c>
      <c r="N223" s="440">
        <v>0</v>
      </c>
      <c r="O223" s="440">
        <v>0</v>
      </c>
      <c r="P223" s="440">
        <v>230908</v>
      </c>
      <c r="Q223" s="440">
        <v>210874</v>
      </c>
      <c r="R223" s="440">
        <v>0</v>
      </c>
      <c r="S223" s="440">
        <v>91259</v>
      </c>
      <c r="T223" s="441"/>
      <c r="U223" s="441"/>
      <c r="V223" s="441">
        <v>39416</v>
      </c>
      <c r="W223" s="441"/>
      <c r="X223" s="441"/>
      <c r="Y223" s="441"/>
      <c r="Z223" s="441">
        <f t="shared" si="19"/>
        <v>572457</v>
      </c>
      <c r="AA223" s="442">
        <v>800000</v>
      </c>
      <c r="AB223" s="443">
        <v>9</v>
      </c>
      <c r="AC223" s="444">
        <v>44232</v>
      </c>
      <c r="AD223" s="445">
        <v>44251</v>
      </c>
      <c r="AE223" s="442">
        <v>734341</v>
      </c>
      <c r="AF223" s="446">
        <v>39</v>
      </c>
      <c r="AG223" s="447">
        <v>44334</v>
      </c>
      <c r="AH223" s="447">
        <v>44342</v>
      </c>
      <c r="AI223" s="442"/>
      <c r="AJ223" s="443"/>
      <c r="AK223" s="447"/>
      <c r="AL223" s="445"/>
      <c r="AM223" s="442"/>
      <c r="AN223" s="443"/>
      <c r="AO223" s="448"/>
      <c r="AP223" s="445"/>
      <c r="AQ223" s="442"/>
      <c r="AR223" s="443"/>
      <c r="AS223" s="448"/>
      <c r="AT223" s="445"/>
      <c r="AU223" s="449">
        <f t="shared" si="16"/>
        <v>1534341</v>
      </c>
      <c r="AV223" s="457">
        <f t="shared" si="15"/>
        <v>961884</v>
      </c>
      <c r="AW223" s="451"/>
    </row>
    <row r="224" spans="2:49" s="418" customFormat="1">
      <c r="B224" s="452">
        <f t="shared" si="17"/>
        <v>208</v>
      </c>
      <c r="C224" s="429" t="s">
        <v>39</v>
      </c>
      <c r="D224" s="430">
        <v>40006524</v>
      </c>
      <c r="E224" s="430"/>
      <c r="F224" s="431" t="s">
        <v>1846</v>
      </c>
      <c r="G224" s="432" t="s">
        <v>146</v>
      </c>
      <c r="H224" s="433" t="s">
        <v>1580</v>
      </c>
      <c r="I224" s="434" t="s">
        <v>1616</v>
      </c>
      <c r="J224" s="435" t="s">
        <v>52</v>
      </c>
      <c r="K224" s="454">
        <v>250841</v>
      </c>
      <c r="L224" s="455">
        <v>2603</v>
      </c>
      <c r="M224" s="456">
        <v>247238</v>
      </c>
      <c r="N224" s="440">
        <v>0</v>
      </c>
      <c r="O224" s="440">
        <v>0</v>
      </c>
      <c r="P224" s="440">
        <v>0</v>
      </c>
      <c r="Q224" s="440">
        <v>0</v>
      </c>
      <c r="R224" s="440">
        <v>0</v>
      </c>
      <c r="S224" s="440">
        <v>0</v>
      </c>
      <c r="T224" s="441"/>
      <c r="U224" s="441"/>
      <c r="V224" s="441"/>
      <c r="W224" s="441"/>
      <c r="X224" s="441"/>
      <c r="Y224" s="441"/>
      <c r="Z224" s="441">
        <f>SUM(N224:Y224)</f>
        <v>0</v>
      </c>
      <c r="AA224" s="442">
        <v>1000</v>
      </c>
      <c r="AB224" s="443">
        <v>3</v>
      </c>
      <c r="AC224" s="444">
        <v>44222</v>
      </c>
      <c r="AD224" s="445">
        <v>44225</v>
      </c>
      <c r="AE224" s="442"/>
      <c r="AF224" s="446"/>
      <c r="AG224" s="447"/>
      <c r="AH224" s="445"/>
      <c r="AI224" s="442"/>
      <c r="AJ224" s="443"/>
      <c r="AK224" s="447"/>
      <c r="AL224" s="445"/>
      <c r="AM224" s="442"/>
      <c r="AN224" s="443"/>
      <c r="AO224" s="448"/>
      <c r="AP224" s="445"/>
      <c r="AQ224" s="442"/>
      <c r="AR224" s="443"/>
      <c r="AS224" s="448"/>
      <c r="AT224" s="445"/>
      <c r="AU224" s="449">
        <f t="shared" si="16"/>
        <v>1000</v>
      </c>
      <c r="AV224" s="457">
        <f t="shared" si="15"/>
        <v>1000</v>
      </c>
      <c r="AW224" s="451"/>
    </row>
    <row r="225" spans="2:49" s="418" customFormat="1" ht="24">
      <c r="B225" s="452">
        <f t="shared" si="17"/>
        <v>209</v>
      </c>
      <c r="C225" s="429" t="s">
        <v>39</v>
      </c>
      <c r="D225" s="430">
        <v>40006858</v>
      </c>
      <c r="E225" s="430"/>
      <c r="F225" s="431" t="s">
        <v>1847</v>
      </c>
      <c r="G225" s="432" t="s">
        <v>146</v>
      </c>
      <c r="H225" s="433" t="s">
        <v>1580</v>
      </c>
      <c r="I225" s="434" t="s">
        <v>1616</v>
      </c>
      <c r="J225" s="435" t="s">
        <v>52</v>
      </c>
      <c r="K225" s="454">
        <v>1607751</v>
      </c>
      <c r="L225" s="455">
        <v>4575</v>
      </c>
      <c r="M225" s="456">
        <v>1602176</v>
      </c>
      <c r="N225" s="440">
        <v>0</v>
      </c>
      <c r="O225" s="440">
        <v>0</v>
      </c>
      <c r="P225" s="440">
        <v>0</v>
      </c>
      <c r="Q225" s="440">
        <v>0</v>
      </c>
      <c r="R225" s="440">
        <v>0</v>
      </c>
      <c r="S225" s="440">
        <v>0</v>
      </c>
      <c r="T225" s="441"/>
      <c r="U225" s="441"/>
      <c r="V225" s="441"/>
      <c r="W225" s="441"/>
      <c r="X225" s="441"/>
      <c r="Y225" s="441"/>
      <c r="Z225" s="441">
        <f t="shared" si="19"/>
        <v>0</v>
      </c>
      <c r="AA225" s="442">
        <v>1000</v>
      </c>
      <c r="AB225" s="443">
        <v>3</v>
      </c>
      <c r="AC225" s="444">
        <v>44222</v>
      </c>
      <c r="AD225" s="445">
        <v>44225</v>
      </c>
      <c r="AE225" s="442"/>
      <c r="AF225" s="446"/>
      <c r="AG225" s="447"/>
      <c r="AH225" s="445"/>
      <c r="AI225" s="442"/>
      <c r="AJ225" s="443"/>
      <c r="AK225" s="447"/>
      <c r="AL225" s="445"/>
      <c r="AM225" s="442"/>
      <c r="AN225" s="443"/>
      <c r="AO225" s="448"/>
      <c r="AP225" s="445"/>
      <c r="AQ225" s="442"/>
      <c r="AR225" s="443"/>
      <c r="AS225" s="448"/>
      <c r="AT225" s="445"/>
      <c r="AU225" s="449">
        <f t="shared" si="16"/>
        <v>1000</v>
      </c>
      <c r="AV225" s="457">
        <f t="shared" si="15"/>
        <v>1000</v>
      </c>
      <c r="AW225" s="451"/>
    </row>
    <row r="226" spans="2:49" s="418" customFormat="1">
      <c r="B226" s="452">
        <f t="shared" si="17"/>
        <v>210</v>
      </c>
      <c r="C226" s="429" t="s">
        <v>39</v>
      </c>
      <c r="D226" s="430">
        <v>40006862</v>
      </c>
      <c r="E226" s="430"/>
      <c r="F226" s="431" t="s">
        <v>1848</v>
      </c>
      <c r="G226" s="432" t="s">
        <v>146</v>
      </c>
      <c r="H226" s="433" t="s">
        <v>1580</v>
      </c>
      <c r="I226" s="434" t="s">
        <v>1588</v>
      </c>
      <c r="J226" s="435" t="s">
        <v>44</v>
      </c>
      <c r="K226" s="454">
        <v>403876</v>
      </c>
      <c r="L226" s="455">
        <v>400668</v>
      </c>
      <c r="M226" s="456">
        <v>0</v>
      </c>
      <c r="N226" s="440">
        <v>0</v>
      </c>
      <c r="O226" s="440">
        <v>2308</v>
      </c>
      <c r="P226" s="440">
        <v>0</v>
      </c>
      <c r="Q226" s="440">
        <v>0</v>
      </c>
      <c r="R226" s="440">
        <v>0</v>
      </c>
      <c r="S226" s="440">
        <v>0</v>
      </c>
      <c r="T226" s="441"/>
      <c r="U226" s="441"/>
      <c r="V226" s="441"/>
      <c r="W226" s="441"/>
      <c r="X226" s="441"/>
      <c r="Y226" s="441"/>
      <c r="Z226" s="441">
        <f t="shared" si="19"/>
        <v>2308</v>
      </c>
      <c r="AA226" s="442">
        <v>2308</v>
      </c>
      <c r="AB226" s="443">
        <v>11</v>
      </c>
      <c r="AC226" s="444">
        <v>44237</v>
      </c>
      <c r="AD226" s="445">
        <v>44251</v>
      </c>
      <c r="AE226" s="442"/>
      <c r="AF226" s="446"/>
      <c r="AG226" s="447"/>
      <c r="AH226" s="445"/>
      <c r="AI226" s="442"/>
      <c r="AJ226" s="443"/>
      <c r="AK226" s="447"/>
      <c r="AL226" s="445"/>
      <c r="AM226" s="442"/>
      <c r="AN226" s="443"/>
      <c r="AO226" s="448"/>
      <c r="AP226" s="445"/>
      <c r="AQ226" s="442"/>
      <c r="AR226" s="443"/>
      <c r="AS226" s="448"/>
      <c r="AT226" s="445"/>
      <c r="AU226" s="449">
        <f t="shared" si="16"/>
        <v>2308</v>
      </c>
      <c r="AV226" s="457">
        <f t="shared" si="15"/>
        <v>0</v>
      </c>
      <c r="AW226" s="451"/>
    </row>
    <row r="227" spans="2:49" s="418" customFormat="1">
      <c r="B227" s="452">
        <f t="shared" si="17"/>
        <v>211</v>
      </c>
      <c r="C227" s="429" t="s">
        <v>39</v>
      </c>
      <c r="D227" s="430">
        <v>40006874</v>
      </c>
      <c r="E227" s="430"/>
      <c r="F227" s="431" t="s">
        <v>1849</v>
      </c>
      <c r="G227" s="432" t="s">
        <v>146</v>
      </c>
      <c r="H227" s="433" t="s">
        <v>1580</v>
      </c>
      <c r="I227" s="434" t="s">
        <v>1584</v>
      </c>
      <c r="J227" s="435" t="s">
        <v>44</v>
      </c>
      <c r="K227" s="454">
        <v>1451568</v>
      </c>
      <c r="L227" s="455">
        <v>756702</v>
      </c>
      <c r="M227" s="456">
        <v>134687</v>
      </c>
      <c r="N227" s="439">
        <v>0</v>
      </c>
      <c r="O227" s="439">
        <v>276061</v>
      </c>
      <c r="P227" s="439">
        <v>114609</v>
      </c>
      <c r="Q227" s="439">
        <v>207015</v>
      </c>
      <c r="R227" s="439">
        <v>22905</v>
      </c>
      <c r="S227" s="440">
        <v>97666</v>
      </c>
      <c r="T227" s="441"/>
      <c r="U227" s="441"/>
      <c r="V227" s="441"/>
      <c r="W227" s="441"/>
      <c r="X227" s="441"/>
      <c r="Y227" s="441"/>
      <c r="Z227" s="441">
        <f t="shared" si="19"/>
        <v>718256</v>
      </c>
      <c r="AA227" s="442">
        <v>560179</v>
      </c>
      <c r="AB227" s="443">
        <v>11</v>
      </c>
      <c r="AC227" s="444">
        <v>44237</v>
      </c>
      <c r="AD227" s="445">
        <v>44251</v>
      </c>
      <c r="AE227" s="442">
        <v>186187</v>
      </c>
      <c r="AF227" s="446">
        <v>86</v>
      </c>
      <c r="AG227" s="447">
        <v>44421</v>
      </c>
      <c r="AH227" s="445">
        <v>44435</v>
      </c>
      <c r="AI227" s="442"/>
      <c r="AJ227" s="443"/>
      <c r="AK227" s="447"/>
      <c r="AL227" s="445"/>
      <c r="AM227" s="442"/>
      <c r="AN227" s="443"/>
      <c r="AO227" s="448"/>
      <c r="AP227" s="445"/>
      <c r="AQ227" s="442"/>
      <c r="AR227" s="443"/>
      <c r="AS227" s="448"/>
      <c r="AT227" s="445"/>
      <c r="AU227" s="449">
        <f t="shared" si="16"/>
        <v>746366</v>
      </c>
      <c r="AV227" s="457">
        <f t="shared" si="15"/>
        <v>28110</v>
      </c>
      <c r="AW227" s="451"/>
    </row>
    <row r="228" spans="2:49" s="418" customFormat="1">
      <c r="B228" s="452">
        <f t="shared" si="17"/>
        <v>212</v>
      </c>
      <c r="C228" s="429" t="s">
        <v>39</v>
      </c>
      <c r="D228" s="430">
        <v>40006966</v>
      </c>
      <c r="E228" s="430"/>
      <c r="F228" s="431" t="s">
        <v>1850</v>
      </c>
      <c r="G228" s="432" t="s">
        <v>158</v>
      </c>
      <c r="H228" s="433" t="s">
        <v>1580</v>
      </c>
      <c r="I228" s="434" t="s">
        <v>1671</v>
      </c>
      <c r="J228" s="435" t="s">
        <v>52</v>
      </c>
      <c r="K228" s="454">
        <v>119673</v>
      </c>
      <c r="L228" s="455">
        <v>0</v>
      </c>
      <c r="M228" s="456">
        <v>84775</v>
      </c>
      <c r="N228" s="440">
        <v>0</v>
      </c>
      <c r="O228" s="440">
        <v>0</v>
      </c>
      <c r="P228" s="440">
        <v>0</v>
      </c>
      <c r="Q228" s="440">
        <v>4790</v>
      </c>
      <c r="R228" s="440">
        <v>0</v>
      </c>
      <c r="S228" s="440">
        <v>0</v>
      </c>
      <c r="T228" s="441"/>
      <c r="U228" s="441"/>
      <c r="V228" s="441"/>
      <c r="W228" s="441"/>
      <c r="X228" s="441"/>
      <c r="Y228" s="441"/>
      <c r="Z228" s="441">
        <f t="shared" si="19"/>
        <v>4790</v>
      </c>
      <c r="AA228" s="442">
        <v>34790</v>
      </c>
      <c r="AB228" s="443">
        <v>3</v>
      </c>
      <c r="AC228" s="444">
        <v>44222</v>
      </c>
      <c r="AD228" s="445">
        <v>44225</v>
      </c>
      <c r="AE228" s="442"/>
      <c r="AF228" s="446"/>
      <c r="AG228" s="447"/>
      <c r="AH228" s="445"/>
      <c r="AI228" s="442"/>
      <c r="AJ228" s="443"/>
      <c r="AK228" s="447"/>
      <c r="AL228" s="445"/>
      <c r="AM228" s="442"/>
      <c r="AN228" s="443"/>
      <c r="AO228" s="448"/>
      <c r="AP228" s="445"/>
      <c r="AQ228" s="442"/>
      <c r="AR228" s="443"/>
      <c r="AS228" s="448"/>
      <c r="AT228" s="445"/>
      <c r="AU228" s="449">
        <f t="shared" si="16"/>
        <v>34790</v>
      </c>
      <c r="AV228" s="457">
        <f t="shared" si="15"/>
        <v>30000</v>
      </c>
      <c r="AW228" s="451"/>
    </row>
    <row r="229" spans="2:49" s="418" customFormat="1">
      <c r="B229" s="452">
        <f t="shared" si="17"/>
        <v>213</v>
      </c>
      <c r="C229" s="429" t="s">
        <v>39</v>
      </c>
      <c r="D229" s="430">
        <v>40008206</v>
      </c>
      <c r="E229" s="430"/>
      <c r="F229" s="431" t="s">
        <v>1851</v>
      </c>
      <c r="G229" s="432" t="s">
        <v>146</v>
      </c>
      <c r="H229" s="433" t="s">
        <v>1580</v>
      </c>
      <c r="I229" s="434" t="s">
        <v>1601</v>
      </c>
      <c r="J229" s="435" t="s">
        <v>44</v>
      </c>
      <c r="K229" s="454">
        <v>2160063</v>
      </c>
      <c r="L229" s="455">
        <v>603330</v>
      </c>
      <c r="M229" s="456">
        <v>35461</v>
      </c>
      <c r="N229" s="440">
        <v>0</v>
      </c>
      <c r="O229" s="440">
        <v>232873</v>
      </c>
      <c r="P229" s="440">
        <v>411871</v>
      </c>
      <c r="Q229" s="440">
        <v>152673</v>
      </c>
      <c r="R229" s="440">
        <v>137694</v>
      </c>
      <c r="S229" s="440">
        <v>93926</v>
      </c>
      <c r="T229" s="441">
        <v>66411</v>
      </c>
      <c r="U229" s="441"/>
      <c r="V229" s="441"/>
      <c r="W229" s="441"/>
      <c r="X229" s="441"/>
      <c r="Y229" s="441"/>
      <c r="Z229" s="441">
        <f t="shared" si="19"/>
        <v>1095448</v>
      </c>
      <c r="AA229" s="442">
        <v>1315954</v>
      </c>
      <c r="AB229" s="443">
        <v>11</v>
      </c>
      <c r="AC229" s="444">
        <v>44237</v>
      </c>
      <c r="AD229" s="445">
        <v>44251</v>
      </c>
      <c r="AE229" s="442">
        <v>205319</v>
      </c>
      <c r="AF229" s="446">
        <v>86</v>
      </c>
      <c r="AG229" s="447">
        <v>44421</v>
      </c>
      <c r="AH229" s="445">
        <v>44435</v>
      </c>
      <c r="AI229" s="442"/>
      <c r="AJ229" s="443"/>
      <c r="AK229" s="447"/>
      <c r="AL229" s="445"/>
      <c r="AM229" s="442"/>
      <c r="AN229" s="443"/>
      <c r="AO229" s="448"/>
      <c r="AP229" s="445"/>
      <c r="AQ229" s="442"/>
      <c r="AR229" s="443"/>
      <c r="AS229" s="448"/>
      <c r="AT229" s="445"/>
      <c r="AU229" s="449">
        <f t="shared" si="16"/>
        <v>1521273</v>
      </c>
      <c r="AV229" s="457">
        <f t="shared" si="15"/>
        <v>425825</v>
      </c>
      <c r="AW229" s="451"/>
    </row>
    <row r="230" spans="2:49" s="418" customFormat="1" ht="24">
      <c r="B230" s="452">
        <f t="shared" si="17"/>
        <v>214</v>
      </c>
      <c r="C230" s="429" t="s">
        <v>39</v>
      </c>
      <c r="D230" s="430">
        <v>40008227</v>
      </c>
      <c r="E230" s="430"/>
      <c r="F230" s="431" t="s">
        <v>1852</v>
      </c>
      <c r="G230" s="432" t="s">
        <v>146</v>
      </c>
      <c r="H230" s="433" t="s">
        <v>1580</v>
      </c>
      <c r="I230" s="434" t="s">
        <v>1601</v>
      </c>
      <c r="J230" s="435" t="s">
        <v>52</v>
      </c>
      <c r="K230" s="454">
        <v>335396</v>
      </c>
      <c r="L230" s="455">
        <v>2673</v>
      </c>
      <c r="M230" s="456">
        <v>252723</v>
      </c>
      <c r="N230" s="440">
        <v>0</v>
      </c>
      <c r="O230" s="440">
        <v>0</v>
      </c>
      <c r="P230" s="440">
        <v>0</v>
      </c>
      <c r="Q230" s="440">
        <v>0</v>
      </c>
      <c r="R230" s="440">
        <v>0</v>
      </c>
      <c r="S230" s="440">
        <v>0</v>
      </c>
      <c r="T230" s="441"/>
      <c r="U230" s="441"/>
      <c r="V230" s="441"/>
      <c r="W230" s="441"/>
      <c r="X230" s="441"/>
      <c r="Y230" s="441"/>
      <c r="Z230" s="441">
        <f t="shared" si="19"/>
        <v>0</v>
      </c>
      <c r="AA230" s="442">
        <v>80000</v>
      </c>
      <c r="AB230" s="443">
        <v>3</v>
      </c>
      <c r="AC230" s="444">
        <v>44222</v>
      </c>
      <c r="AD230" s="445">
        <v>44225</v>
      </c>
      <c r="AE230" s="442">
        <v>245402</v>
      </c>
      <c r="AF230" s="446">
        <v>39</v>
      </c>
      <c r="AG230" s="447">
        <v>44334</v>
      </c>
      <c r="AH230" s="447">
        <v>44342</v>
      </c>
      <c r="AI230" s="442"/>
      <c r="AJ230" s="443"/>
      <c r="AK230" s="447"/>
      <c r="AL230" s="445"/>
      <c r="AM230" s="442"/>
      <c r="AN230" s="443"/>
      <c r="AO230" s="448"/>
      <c r="AP230" s="445"/>
      <c r="AQ230" s="442"/>
      <c r="AR230" s="443"/>
      <c r="AS230" s="448"/>
      <c r="AT230" s="445"/>
      <c r="AU230" s="449">
        <f t="shared" si="16"/>
        <v>325402</v>
      </c>
      <c r="AV230" s="457">
        <f t="shared" si="15"/>
        <v>325402</v>
      </c>
      <c r="AW230" s="451"/>
    </row>
    <row r="231" spans="2:49" s="418" customFormat="1" ht="24">
      <c r="B231" s="452">
        <f t="shared" si="17"/>
        <v>215</v>
      </c>
      <c r="C231" s="429" t="s">
        <v>39</v>
      </c>
      <c r="D231" s="430">
        <v>40008498</v>
      </c>
      <c r="E231" s="430"/>
      <c r="F231" s="431" t="s">
        <v>1853</v>
      </c>
      <c r="G231" s="432" t="s">
        <v>146</v>
      </c>
      <c r="H231" s="433" t="s">
        <v>1580</v>
      </c>
      <c r="I231" s="434" t="s">
        <v>1601</v>
      </c>
      <c r="J231" s="435" t="s">
        <v>52</v>
      </c>
      <c r="K231" s="454">
        <v>270928</v>
      </c>
      <c r="L231" s="455">
        <v>2437</v>
      </c>
      <c r="M231" s="456">
        <v>188491</v>
      </c>
      <c r="N231" s="440">
        <v>0</v>
      </c>
      <c r="O231" s="440">
        <v>0</v>
      </c>
      <c r="P231" s="440">
        <v>0</v>
      </c>
      <c r="Q231" s="440">
        <v>0</v>
      </c>
      <c r="R231" s="440">
        <v>0</v>
      </c>
      <c r="S231" s="440">
        <v>0</v>
      </c>
      <c r="T231" s="441"/>
      <c r="U231" s="441"/>
      <c r="V231" s="441"/>
      <c r="W231" s="441"/>
      <c r="X231" s="441"/>
      <c r="Y231" s="441"/>
      <c r="Z231" s="441">
        <f t="shared" si="19"/>
        <v>0</v>
      </c>
      <c r="AA231" s="442">
        <v>80000</v>
      </c>
      <c r="AB231" s="443">
        <v>3</v>
      </c>
      <c r="AC231" s="444">
        <v>44222</v>
      </c>
      <c r="AD231" s="445">
        <v>44225</v>
      </c>
      <c r="AE231" s="442">
        <v>-79000</v>
      </c>
      <c r="AF231" s="446">
        <v>86</v>
      </c>
      <c r="AG231" s="447">
        <v>44421</v>
      </c>
      <c r="AH231" s="445">
        <v>44435</v>
      </c>
      <c r="AI231" s="442"/>
      <c r="AJ231" s="443"/>
      <c r="AK231" s="447"/>
      <c r="AL231" s="445"/>
      <c r="AM231" s="442"/>
      <c r="AN231" s="443"/>
      <c r="AO231" s="448"/>
      <c r="AP231" s="445"/>
      <c r="AQ231" s="442"/>
      <c r="AR231" s="443"/>
      <c r="AS231" s="448"/>
      <c r="AT231" s="445"/>
      <c r="AU231" s="449">
        <f t="shared" si="16"/>
        <v>1000</v>
      </c>
      <c r="AV231" s="457">
        <f t="shared" si="15"/>
        <v>1000</v>
      </c>
      <c r="AW231" s="451"/>
    </row>
    <row r="232" spans="2:49" s="418" customFormat="1">
      <c r="B232" s="452">
        <f t="shared" si="17"/>
        <v>216</v>
      </c>
      <c r="C232" s="429" t="s">
        <v>39</v>
      </c>
      <c r="D232" s="430">
        <v>40008708</v>
      </c>
      <c r="E232" s="430"/>
      <c r="F232" s="431" t="s">
        <v>1854</v>
      </c>
      <c r="G232" s="432" t="s">
        <v>146</v>
      </c>
      <c r="H232" s="433" t="s">
        <v>1580</v>
      </c>
      <c r="I232" s="434" t="s">
        <v>1626</v>
      </c>
      <c r="J232" s="435" t="s">
        <v>52</v>
      </c>
      <c r="K232" s="454">
        <v>1047242</v>
      </c>
      <c r="L232" s="455">
        <v>0</v>
      </c>
      <c r="M232" s="456">
        <v>1046242</v>
      </c>
      <c r="N232" s="440">
        <v>0</v>
      </c>
      <c r="O232" s="440">
        <v>0</v>
      </c>
      <c r="P232" s="440">
        <v>0</v>
      </c>
      <c r="Q232" s="440">
        <v>0</v>
      </c>
      <c r="R232" s="440">
        <v>0</v>
      </c>
      <c r="S232" s="440">
        <v>0</v>
      </c>
      <c r="T232" s="441"/>
      <c r="U232" s="441"/>
      <c r="V232" s="441"/>
      <c r="W232" s="441"/>
      <c r="X232" s="441"/>
      <c r="Y232" s="441"/>
      <c r="Z232" s="441">
        <f t="shared" si="19"/>
        <v>0</v>
      </c>
      <c r="AA232" s="442">
        <v>1000</v>
      </c>
      <c r="AB232" s="443">
        <v>3</v>
      </c>
      <c r="AC232" s="444">
        <v>44222</v>
      </c>
      <c r="AD232" s="445">
        <v>44225</v>
      </c>
      <c r="AE232" s="442"/>
      <c r="AF232" s="446"/>
      <c r="AG232" s="447"/>
      <c r="AH232" s="445"/>
      <c r="AI232" s="442"/>
      <c r="AJ232" s="443"/>
      <c r="AK232" s="447"/>
      <c r="AL232" s="445"/>
      <c r="AM232" s="442"/>
      <c r="AN232" s="443"/>
      <c r="AO232" s="448"/>
      <c r="AP232" s="445"/>
      <c r="AQ232" s="442"/>
      <c r="AR232" s="443"/>
      <c r="AS232" s="448"/>
      <c r="AT232" s="445"/>
      <c r="AU232" s="449">
        <f t="shared" si="16"/>
        <v>1000</v>
      </c>
      <c r="AV232" s="457">
        <f t="shared" si="15"/>
        <v>1000</v>
      </c>
      <c r="AW232" s="451"/>
    </row>
    <row r="233" spans="2:49" s="418" customFormat="1" ht="24">
      <c r="B233" s="452">
        <f t="shared" si="17"/>
        <v>217</v>
      </c>
      <c r="C233" s="429" t="s">
        <v>39</v>
      </c>
      <c r="D233" s="430">
        <v>40009707</v>
      </c>
      <c r="E233" s="430"/>
      <c r="F233" s="431" t="s">
        <v>1855</v>
      </c>
      <c r="G233" s="432" t="s">
        <v>158</v>
      </c>
      <c r="H233" s="433" t="s">
        <v>1580</v>
      </c>
      <c r="I233" s="434" t="s">
        <v>1767</v>
      </c>
      <c r="J233" s="435" t="s">
        <v>52</v>
      </c>
      <c r="K233" s="454">
        <v>443478</v>
      </c>
      <c r="L233" s="455">
        <v>0</v>
      </c>
      <c r="M233" s="456">
        <v>388263</v>
      </c>
      <c r="N233" s="440">
        <v>0</v>
      </c>
      <c r="O233" s="440">
        <v>0</v>
      </c>
      <c r="P233" s="440">
        <v>99792</v>
      </c>
      <c r="Q233" s="440">
        <v>0</v>
      </c>
      <c r="R233" s="440">
        <v>19085</v>
      </c>
      <c r="S233" s="440">
        <v>24175</v>
      </c>
      <c r="T233" s="441"/>
      <c r="U233" s="441">
        <v>13658</v>
      </c>
      <c r="V233" s="441"/>
      <c r="W233" s="441"/>
      <c r="X233" s="441"/>
      <c r="Y233" s="441"/>
      <c r="Z233" s="441">
        <f t="shared" si="19"/>
        <v>156710</v>
      </c>
      <c r="AA233" s="442">
        <v>200000</v>
      </c>
      <c r="AB233" s="443">
        <v>3</v>
      </c>
      <c r="AC233" s="444">
        <v>44222</v>
      </c>
      <c r="AD233" s="445">
        <v>44225</v>
      </c>
      <c r="AE233" s="442">
        <v>100000</v>
      </c>
      <c r="AF233" s="446">
        <v>86</v>
      </c>
      <c r="AG233" s="447">
        <v>44421</v>
      </c>
      <c r="AH233" s="445">
        <v>44435</v>
      </c>
      <c r="AI233" s="442"/>
      <c r="AJ233" s="443"/>
      <c r="AK233" s="447"/>
      <c r="AL233" s="445"/>
      <c r="AM233" s="442"/>
      <c r="AN233" s="443"/>
      <c r="AO233" s="448"/>
      <c r="AP233" s="445"/>
      <c r="AQ233" s="442"/>
      <c r="AR233" s="443"/>
      <c r="AS233" s="448"/>
      <c r="AT233" s="445"/>
      <c r="AU233" s="449">
        <f t="shared" si="16"/>
        <v>300000</v>
      </c>
      <c r="AV233" s="457">
        <f t="shared" si="15"/>
        <v>143290</v>
      </c>
      <c r="AW233" s="451"/>
    </row>
    <row r="234" spans="2:49" s="418" customFormat="1" ht="24">
      <c r="B234" s="452">
        <f t="shared" si="17"/>
        <v>218</v>
      </c>
      <c r="C234" s="429" t="s">
        <v>39</v>
      </c>
      <c r="D234" s="430">
        <v>40009708</v>
      </c>
      <c r="E234" s="430"/>
      <c r="F234" s="431" t="s">
        <v>1856</v>
      </c>
      <c r="G234" s="432" t="s">
        <v>158</v>
      </c>
      <c r="H234" s="433" t="s">
        <v>1580</v>
      </c>
      <c r="I234" s="434" t="s">
        <v>1767</v>
      </c>
      <c r="J234" s="435" t="s">
        <v>52</v>
      </c>
      <c r="K234" s="454">
        <v>487021</v>
      </c>
      <c r="L234" s="455">
        <v>0</v>
      </c>
      <c r="M234" s="456">
        <v>431389</v>
      </c>
      <c r="N234" s="440">
        <v>0</v>
      </c>
      <c r="O234" s="440">
        <v>0</v>
      </c>
      <c r="P234" s="440">
        <v>57271</v>
      </c>
      <c r="Q234" s="440">
        <v>60621</v>
      </c>
      <c r="R234" s="440">
        <v>0</v>
      </c>
      <c r="S234" s="440">
        <v>27048</v>
      </c>
      <c r="T234" s="441">
        <v>27676</v>
      </c>
      <c r="U234" s="441"/>
      <c r="V234" s="441">
        <v>19823</v>
      </c>
      <c r="W234" s="441"/>
      <c r="X234" s="441"/>
      <c r="Y234" s="441"/>
      <c r="Z234" s="441">
        <f t="shared" si="19"/>
        <v>192439</v>
      </c>
      <c r="AA234" s="442">
        <v>200000</v>
      </c>
      <c r="AB234" s="443">
        <v>3</v>
      </c>
      <c r="AC234" s="444">
        <v>44222</v>
      </c>
      <c r="AD234" s="445">
        <v>44225</v>
      </c>
      <c r="AE234" s="442">
        <v>100000</v>
      </c>
      <c r="AF234" s="446">
        <v>86</v>
      </c>
      <c r="AG234" s="447">
        <v>44421</v>
      </c>
      <c r="AH234" s="445">
        <v>44435</v>
      </c>
      <c r="AI234" s="442"/>
      <c r="AJ234" s="443"/>
      <c r="AK234" s="447"/>
      <c r="AL234" s="445"/>
      <c r="AM234" s="442"/>
      <c r="AN234" s="443"/>
      <c r="AO234" s="448"/>
      <c r="AP234" s="445"/>
      <c r="AQ234" s="442"/>
      <c r="AR234" s="443"/>
      <c r="AS234" s="448"/>
      <c r="AT234" s="445"/>
      <c r="AU234" s="449">
        <f t="shared" si="16"/>
        <v>300000</v>
      </c>
      <c r="AV234" s="457">
        <f t="shared" si="15"/>
        <v>107561</v>
      </c>
      <c r="AW234" s="451"/>
    </row>
    <row r="235" spans="2:49" s="418" customFormat="1">
      <c r="B235" s="452">
        <f t="shared" si="17"/>
        <v>219</v>
      </c>
      <c r="C235" s="429" t="s">
        <v>39</v>
      </c>
      <c r="D235" s="430">
        <v>40010041</v>
      </c>
      <c r="E235" s="430"/>
      <c r="F235" s="431" t="s">
        <v>1857</v>
      </c>
      <c r="G235" s="432" t="s">
        <v>146</v>
      </c>
      <c r="H235" s="433" t="s">
        <v>1580</v>
      </c>
      <c r="I235" s="434" t="s">
        <v>1634</v>
      </c>
      <c r="J235" s="435" t="s">
        <v>52</v>
      </c>
      <c r="K235" s="454">
        <v>93396</v>
      </c>
      <c r="L235" s="455">
        <v>0</v>
      </c>
      <c r="M235" s="456">
        <v>19437</v>
      </c>
      <c r="N235" s="440">
        <v>269404</v>
      </c>
      <c r="O235" s="440">
        <v>0</v>
      </c>
      <c r="P235" s="440">
        <v>0</v>
      </c>
      <c r="Q235" s="440">
        <v>0</v>
      </c>
      <c r="R235" s="440">
        <v>0</v>
      </c>
      <c r="S235" s="440">
        <v>0</v>
      </c>
      <c r="T235" s="441"/>
      <c r="U235" s="441"/>
      <c r="V235" s="441"/>
      <c r="W235" s="441"/>
      <c r="X235" s="441"/>
      <c r="Y235" s="441"/>
      <c r="Z235" s="441">
        <f t="shared" si="19"/>
        <v>269404</v>
      </c>
      <c r="AA235" s="442">
        <v>73959</v>
      </c>
      <c r="AB235" s="443">
        <v>2</v>
      </c>
      <c r="AC235" s="444">
        <v>44221</v>
      </c>
      <c r="AD235" s="445">
        <v>44225</v>
      </c>
      <c r="AE235" s="442"/>
      <c r="AF235" s="446"/>
      <c r="AG235" s="447"/>
      <c r="AH235" s="445"/>
      <c r="AI235" s="442"/>
      <c r="AJ235" s="443"/>
      <c r="AK235" s="447"/>
      <c r="AL235" s="445"/>
      <c r="AM235" s="442"/>
      <c r="AN235" s="443"/>
      <c r="AO235" s="448"/>
      <c r="AP235" s="445"/>
      <c r="AQ235" s="442"/>
      <c r="AR235" s="443"/>
      <c r="AS235" s="448"/>
      <c r="AT235" s="445"/>
      <c r="AU235" s="449">
        <f t="shared" si="16"/>
        <v>73959</v>
      </c>
      <c r="AV235" s="457">
        <f t="shared" si="15"/>
        <v>-195445</v>
      </c>
      <c r="AW235" s="451"/>
    </row>
    <row r="236" spans="2:49" s="418" customFormat="1" ht="24">
      <c r="B236" s="452">
        <f t="shared" si="17"/>
        <v>220</v>
      </c>
      <c r="C236" s="429" t="s">
        <v>39</v>
      </c>
      <c r="D236" s="430">
        <v>40010045</v>
      </c>
      <c r="E236" s="430"/>
      <c r="F236" s="431" t="s">
        <v>1858</v>
      </c>
      <c r="G236" s="432" t="s">
        <v>146</v>
      </c>
      <c r="H236" s="433" t="s">
        <v>1580</v>
      </c>
      <c r="I236" s="434" t="s">
        <v>1634</v>
      </c>
      <c r="J236" s="435" t="s">
        <v>52</v>
      </c>
      <c r="K236" s="454">
        <v>231819</v>
      </c>
      <c r="L236" s="455">
        <v>0</v>
      </c>
      <c r="M236" s="456">
        <v>36374</v>
      </c>
      <c r="N236" s="439">
        <v>0</v>
      </c>
      <c r="O236" s="439">
        <v>0</v>
      </c>
      <c r="P236" s="439">
        <v>0</v>
      </c>
      <c r="Q236" s="439">
        <v>0</v>
      </c>
      <c r="R236" s="439">
        <v>0</v>
      </c>
      <c r="S236" s="440">
        <v>0</v>
      </c>
      <c r="T236" s="441"/>
      <c r="U236" s="441"/>
      <c r="V236" s="441"/>
      <c r="W236" s="441"/>
      <c r="X236" s="441"/>
      <c r="Y236" s="441"/>
      <c r="Z236" s="441">
        <f t="shared" si="19"/>
        <v>0</v>
      </c>
      <c r="AA236" s="442">
        <v>195445</v>
      </c>
      <c r="AB236" s="443">
        <v>2</v>
      </c>
      <c r="AC236" s="444">
        <v>44221</v>
      </c>
      <c r="AD236" s="445">
        <v>44225</v>
      </c>
      <c r="AE236" s="442"/>
      <c r="AF236" s="446"/>
      <c r="AG236" s="447"/>
      <c r="AH236" s="445"/>
      <c r="AI236" s="442"/>
      <c r="AJ236" s="443"/>
      <c r="AK236" s="447"/>
      <c r="AL236" s="445"/>
      <c r="AM236" s="442"/>
      <c r="AN236" s="443"/>
      <c r="AO236" s="448"/>
      <c r="AP236" s="445"/>
      <c r="AQ236" s="442"/>
      <c r="AR236" s="443"/>
      <c r="AS236" s="448"/>
      <c r="AT236" s="445"/>
      <c r="AU236" s="449">
        <f t="shared" si="16"/>
        <v>195445</v>
      </c>
      <c r="AV236" s="457">
        <f t="shared" si="15"/>
        <v>195445</v>
      </c>
      <c r="AW236" s="451"/>
    </row>
    <row r="237" spans="2:49" s="418" customFormat="1" ht="24">
      <c r="B237" s="452">
        <f t="shared" si="17"/>
        <v>221</v>
      </c>
      <c r="C237" s="429" t="s">
        <v>39</v>
      </c>
      <c r="D237" s="430">
        <v>40010064</v>
      </c>
      <c r="E237" s="430"/>
      <c r="F237" s="431" t="s">
        <v>1859</v>
      </c>
      <c r="G237" s="432" t="s">
        <v>146</v>
      </c>
      <c r="H237" s="433" t="s">
        <v>1580</v>
      </c>
      <c r="I237" s="434" t="s">
        <v>1695</v>
      </c>
      <c r="J237" s="435" t="s">
        <v>52</v>
      </c>
      <c r="K237" s="454">
        <v>133785</v>
      </c>
      <c r="L237" s="455">
        <v>0</v>
      </c>
      <c r="M237" s="456">
        <v>16857</v>
      </c>
      <c r="N237" s="440">
        <v>116928</v>
      </c>
      <c r="O237" s="440">
        <v>0</v>
      </c>
      <c r="P237" s="440">
        <v>0</v>
      </c>
      <c r="Q237" s="440">
        <v>0</v>
      </c>
      <c r="R237" s="440">
        <v>0</v>
      </c>
      <c r="S237" s="440">
        <v>0</v>
      </c>
      <c r="T237" s="441"/>
      <c r="U237" s="441"/>
      <c r="V237" s="441"/>
      <c r="W237" s="441"/>
      <c r="X237" s="441"/>
      <c r="Y237" s="441"/>
      <c r="Z237" s="441">
        <f t="shared" si="19"/>
        <v>116928</v>
      </c>
      <c r="AA237" s="442">
        <v>116928</v>
      </c>
      <c r="AB237" s="443">
        <v>2</v>
      </c>
      <c r="AC237" s="444">
        <v>44221</v>
      </c>
      <c r="AD237" s="445">
        <v>44225</v>
      </c>
      <c r="AE237" s="462"/>
      <c r="AF237" s="446"/>
      <c r="AG237" s="447"/>
      <c r="AH237" s="445"/>
      <c r="AI237" s="462"/>
      <c r="AJ237" s="443"/>
      <c r="AK237" s="447"/>
      <c r="AL237" s="445"/>
      <c r="AM237" s="462"/>
      <c r="AN237" s="443"/>
      <c r="AO237" s="447"/>
      <c r="AP237" s="445"/>
      <c r="AQ237" s="462"/>
      <c r="AR237" s="443"/>
      <c r="AS237" s="447"/>
      <c r="AT237" s="445"/>
      <c r="AU237" s="449">
        <f t="shared" si="16"/>
        <v>116928</v>
      </c>
      <c r="AV237" s="457">
        <f t="shared" si="15"/>
        <v>0</v>
      </c>
      <c r="AW237" s="451"/>
    </row>
    <row r="238" spans="2:49" s="418" customFormat="1" ht="24">
      <c r="B238" s="452">
        <f t="shared" si="17"/>
        <v>222</v>
      </c>
      <c r="C238" s="429" t="s">
        <v>39</v>
      </c>
      <c r="D238" s="430">
        <v>40010077</v>
      </c>
      <c r="E238" s="430"/>
      <c r="F238" s="431" t="s">
        <v>1860</v>
      </c>
      <c r="G238" s="432" t="s">
        <v>146</v>
      </c>
      <c r="H238" s="433" t="s">
        <v>1580</v>
      </c>
      <c r="I238" s="434" t="s">
        <v>1695</v>
      </c>
      <c r="J238" s="435" t="s">
        <v>52</v>
      </c>
      <c r="K238" s="454">
        <v>185329</v>
      </c>
      <c r="L238" s="455">
        <v>0</v>
      </c>
      <c r="M238" s="456">
        <v>16190</v>
      </c>
      <c r="N238" s="440">
        <v>169139</v>
      </c>
      <c r="O238" s="440">
        <v>0</v>
      </c>
      <c r="P238" s="440">
        <v>0</v>
      </c>
      <c r="Q238" s="440">
        <v>0</v>
      </c>
      <c r="R238" s="440">
        <v>0</v>
      </c>
      <c r="S238" s="440">
        <v>0</v>
      </c>
      <c r="T238" s="441"/>
      <c r="U238" s="441"/>
      <c r="V238" s="441"/>
      <c r="W238" s="441"/>
      <c r="X238" s="441"/>
      <c r="Y238" s="441"/>
      <c r="Z238" s="441">
        <f t="shared" si="19"/>
        <v>169139</v>
      </c>
      <c r="AA238" s="442">
        <v>169139</v>
      </c>
      <c r="AB238" s="443">
        <v>2</v>
      </c>
      <c r="AC238" s="444">
        <v>44221</v>
      </c>
      <c r="AD238" s="445">
        <v>44225</v>
      </c>
      <c r="AE238" s="442"/>
      <c r="AF238" s="446"/>
      <c r="AG238" s="447"/>
      <c r="AH238" s="445"/>
      <c r="AI238" s="441"/>
      <c r="AJ238" s="443"/>
      <c r="AK238" s="447"/>
      <c r="AL238" s="445"/>
      <c r="AM238" s="441"/>
      <c r="AN238" s="443"/>
      <c r="AO238" s="447"/>
      <c r="AP238" s="445"/>
      <c r="AQ238" s="441"/>
      <c r="AR238" s="443"/>
      <c r="AS238" s="447"/>
      <c r="AT238" s="445"/>
      <c r="AU238" s="449">
        <f t="shared" si="16"/>
        <v>169139</v>
      </c>
      <c r="AV238" s="457">
        <f t="shared" si="15"/>
        <v>0</v>
      </c>
      <c r="AW238" s="451"/>
    </row>
    <row r="239" spans="2:49" s="418" customFormat="1" ht="24">
      <c r="B239" s="452">
        <f t="shared" si="17"/>
        <v>223</v>
      </c>
      <c r="C239" s="429" t="s">
        <v>39</v>
      </c>
      <c r="D239" s="430">
        <v>40010615</v>
      </c>
      <c r="E239" s="430"/>
      <c r="F239" s="431" t="s">
        <v>1861</v>
      </c>
      <c r="G239" s="432" t="s">
        <v>146</v>
      </c>
      <c r="H239" s="433" t="s">
        <v>1580</v>
      </c>
      <c r="I239" s="434" t="s">
        <v>1862</v>
      </c>
      <c r="J239" s="435" t="s">
        <v>52</v>
      </c>
      <c r="K239" s="454">
        <v>1185114</v>
      </c>
      <c r="L239" s="455">
        <v>0</v>
      </c>
      <c r="M239" s="456">
        <v>1000114</v>
      </c>
      <c r="N239" s="440">
        <v>0</v>
      </c>
      <c r="O239" s="440">
        <v>0</v>
      </c>
      <c r="P239" s="440">
        <v>0</v>
      </c>
      <c r="Q239" s="440">
        <v>0</v>
      </c>
      <c r="R239" s="440">
        <v>0</v>
      </c>
      <c r="S239" s="440">
        <v>0</v>
      </c>
      <c r="T239" s="441"/>
      <c r="U239" s="441"/>
      <c r="V239" s="441"/>
      <c r="W239" s="441"/>
      <c r="X239" s="441"/>
      <c r="Y239" s="441"/>
      <c r="Z239" s="441">
        <f t="shared" si="19"/>
        <v>0</v>
      </c>
      <c r="AA239" s="442">
        <v>100000</v>
      </c>
      <c r="AB239" s="443">
        <v>15</v>
      </c>
      <c r="AC239" s="444">
        <v>44259</v>
      </c>
      <c r="AD239" s="445">
        <v>44274</v>
      </c>
      <c r="AE239" s="442">
        <v>85000</v>
      </c>
      <c r="AF239" s="446">
        <v>22</v>
      </c>
      <c r="AG239" s="447">
        <v>44301</v>
      </c>
      <c r="AH239" s="447">
        <v>44313</v>
      </c>
      <c r="AI239" s="442">
        <v>-184000</v>
      </c>
      <c r="AJ239" s="443">
        <v>86</v>
      </c>
      <c r="AK239" s="447">
        <v>44421</v>
      </c>
      <c r="AL239" s="445">
        <v>44435</v>
      </c>
      <c r="AM239" s="442"/>
      <c r="AN239" s="443"/>
      <c r="AO239" s="448"/>
      <c r="AP239" s="445"/>
      <c r="AQ239" s="442"/>
      <c r="AR239" s="443"/>
      <c r="AS239" s="448"/>
      <c r="AT239" s="445"/>
      <c r="AU239" s="449">
        <f t="shared" si="16"/>
        <v>1000</v>
      </c>
      <c r="AV239" s="457">
        <f t="shared" si="15"/>
        <v>1000</v>
      </c>
      <c r="AW239" s="451"/>
    </row>
    <row r="240" spans="2:49" s="418" customFormat="1" ht="24">
      <c r="B240" s="452">
        <f t="shared" si="17"/>
        <v>224</v>
      </c>
      <c r="C240" s="429" t="s">
        <v>39</v>
      </c>
      <c r="D240" s="430">
        <v>40013560</v>
      </c>
      <c r="E240" s="430"/>
      <c r="F240" s="431" t="s">
        <v>1863</v>
      </c>
      <c r="G240" s="432" t="s">
        <v>146</v>
      </c>
      <c r="H240" s="433" t="s">
        <v>1580</v>
      </c>
      <c r="I240" s="434" t="s">
        <v>1789</v>
      </c>
      <c r="J240" s="435" t="s">
        <v>52</v>
      </c>
      <c r="K240" s="454">
        <v>223424</v>
      </c>
      <c r="L240" s="455">
        <v>0</v>
      </c>
      <c r="M240" s="456">
        <v>27476</v>
      </c>
      <c r="N240" s="440">
        <v>195948</v>
      </c>
      <c r="O240" s="440">
        <v>0</v>
      </c>
      <c r="P240" s="440">
        <v>0</v>
      </c>
      <c r="Q240" s="440">
        <v>0</v>
      </c>
      <c r="R240" s="440">
        <v>0</v>
      </c>
      <c r="S240" s="440">
        <v>0</v>
      </c>
      <c r="T240" s="441"/>
      <c r="U240" s="441"/>
      <c r="V240" s="441"/>
      <c r="W240" s="441"/>
      <c r="X240" s="441"/>
      <c r="Y240" s="441"/>
      <c r="Z240" s="441">
        <f t="shared" si="19"/>
        <v>195948</v>
      </c>
      <c r="AA240" s="442">
        <v>195948</v>
      </c>
      <c r="AB240" s="443">
        <v>2</v>
      </c>
      <c r="AC240" s="444">
        <v>44221</v>
      </c>
      <c r="AD240" s="445">
        <v>44225</v>
      </c>
      <c r="AE240" s="442"/>
      <c r="AF240" s="446"/>
      <c r="AG240" s="447"/>
      <c r="AH240" s="445"/>
      <c r="AI240" s="441"/>
      <c r="AJ240" s="443"/>
      <c r="AK240" s="447"/>
      <c r="AL240" s="445"/>
      <c r="AM240" s="441"/>
      <c r="AN240" s="443"/>
      <c r="AO240" s="447"/>
      <c r="AP240" s="445"/>
      <c r="AQ240" s="441"/>
      <c r="AR240" s="443"/>
      <c r="AS240" s="447"/>
      <c r="AT240" s="445"/>
      <c r="AU240" s="449">
        <f t="shared" si="16"/>
        <v>195948</v>
      </c>
      <c r="AV240" s="457">
        <f t="shared" si="15"/>
        <v>0</v>
      </c>
      <c r="AW240" s="451"/>
    </row>
    <row r="241" spans="2:49" s="418" customFormat="1" ht="24">
      <c r="B241" s="452">
        <f t="shared" si="17"/>
        <v>225</v>
      </c>
      <c r="C241" s="429" t="s">
        <v>39</v>
      </c>
      <c r="D241" s="430">
        <v>40013821</v>
      </c>
      <c r="E241" s="430"/>
      <c r="F241" s="431" t="s">
        <v>1864</v>
      </c>
      <c r="G241" s="432" t="s">
        <v>146</v>
      </c>
      <c r="H241" s="433" t="s">
        <v>1580</v>
      </c>
      <c r="I241" s="434" t="s">
        <v>1757</v>
      </c>
      <c r="J241" s="435" t="s">
        <v>52</v>
      </c>
      <c r="K241" s="454">
        <v>331350</v>
      </c>
      <c r="L241" s="455">
        <v>0</v>
      </c>
      <c r="M241" s="456">
        <v>34632</v>
      </c>
      <c r="N241" s="440">
        <v>296718</v>
      </c>
      <c r="O241" s="440">
        <v>0</v>
      </c>
      <c r="P241" s="440">
        <v>0</v>
      </c>
      <c r="Q241" s="440">
        <v>0</v>
      </c>
      <c r="R241" s="440">
        <v>0</v>
      </c>
      <c r="S241" s="440">
        <v>0</v>
      </c>
      <c r="T241" s="441"/>
      <c r="U241" s="441"/>
      <c r="V241" s="441"/>
      <c r="W241" s="441"/>
      <c r="X241" s="441"/>
      <c r="Y241" s="441"/>
      <c r="Z241" s="441">
        <f t="shared" si="19"/>
        <v>296718</v>
      </c>
      <c r="AA241" s="442">
        <v>296718</v>
      </c>
      <c r="AB241" s="443">
        <v>2</v>
      </c>
      <c r="AC241" s="444">
        <v>44221</v>
      </c>
      <c r="AD241" s="445">
        <v>44225</v>
      </c>
      <c r="AE241" s="442"/>
      <c r="AF241" s="446"/>
      <c r="AG241" s="447"/>
      <c r="AH241" s="445"/>
      <c r="AI241" s="441"/>
      <c r="AJ241" s="443"/>
      <c r="AK241" s="447"/>
      <c r="AL241" s="445"/>
      <c r="AM241" s="441"/>
      <c r="AN241" s="443"/>
      <c r="AO241" s="447"/>
      <c r="AP241" s="445"/>
      <c r="AQ241" s="441"/>
      <c r="AR241" s="443"/>
      <c r="AS241" s="447"/>
      <c r="AT241" s="445"/>
      <c r="AU241" s="449">
        <f t="shared" si="16"/>
        <v>296718</v>
      </c>
      <c r="AV241" s="457">
        <f t="shared" si="15"/>
        <v>0</v>
      </c>
      <c r="AW241" s="451"/>
    </row>
    <row r="242" spans="2:49" s="418" customFormat="1" ht="24">
      <c r="B242" s="452">
        <f t="shared" si="17"/>
        <v>226</v>
      </c>
      <c r="C242" s="429" t="s">
        <v>39</v>
      </c>
      <c r="D242" s="430">
        <v>40013889</v>
      </c>
      <c r="E242" s="430"/>
      <c r="F242" s="431" t="s">
        <v>1865</v>
      </c>
      <c r="G242" s="432" t="s">
        <v>146</v>
      </c>
      <c r="H242" s="433" t="s">
        <v>1580</v>
      </c>
      <c r="I242" s="434" t="s">
        <v>1757</v>
      </c>
      <c r="J242" s="435" t="s">
        <v>52</v>
      </c>
      <c r="K242" s="454">
        <v>375657</v>
      </c>
      <c r="L242" s="455">
        <v>0</v>
      </c>
      <c r="M242" s="456">
        <v>27454</v>
      </c>
      <c r="N242" s="440">
        <v>348203</v>
      </c>
      <c r="O242" s="440">
        <v>0</v>
      </c>
      <c r="P242" s="440">
        <v>0</v>
      </c>
      <c r="Q242" s="440">
        <v>0</v>
      </c>
      <c r="R242" s="440">
        <v>0</v>
      </c>
      <c r="S242" s="440">
        <v>0</v>
      </c>
      <c r="T242" s="441"/>
      <c r="U242" s="441"/>
      <c r="V242" s="441"/>
      <c r="W242" s="441"/>
      <c r="X242" s="441"/>
      <c r="Y242" s="441"/>
      <c r="Z242" s="441">
        <f t="shared" si="19"/>
        <v>348203</v>
      </c>
      <c r="AA242" s="442">
        <v>348203</v>
      </c>
      <c r="AB242" s="443">
        <v>2</v>
      </c>
      <c r="AC242" s="444">
        <v>44221</v>
      </c>
      <c r="AD242" s="445">
        <v>44225</v>
      </c>
      <c r="AE242" s="442"/>
      <c r="AF242" s="446"/>
      <c r="AG242" s="447"/>
      <c r="AH242" s="445"/>
      <c r="AI242" s="442"/>
      <c r="AJ242" s="443"/>
      <c r="AK242" s="447"/>
      <c r="AL242" s="445"/>
      <c r="AM242" s="442"/>
      <c r="AN242" s="443"/>
      <c r="AO242" s="448"/>
      <c r="AP242" s="445"/>
      <c r="AQ242" s="442"/>
      <c r="AR242" s="443"/>
      <c r="AS242" s="448"/>
      <c r="AT242" s="445"/>
      <c r="AU242" s="449">
        <f t="shared" si="16"/>
        <v>348203</v>
      </c>
      <c r="AV242" s="457">
        <f t="shared" si="15"/>
        <v>0</v>
      </c>
      <c r="AW242" s="451"/>
    </row>
    <row r="243" spans="2:49" s="418" customFormat="1">
      <c r="B243" s="452">
        <f t="shared" si="17"/>
        <v>227</v>
      </c>
      <c r="C243" s="429" t="s">
        <v>39</v>
      </c>
      <c r="D243" s="430">
        <v>40015334</v>
      </c>
      <c r="E243" s="430"/>
      <c r="F243" s="431" t="s">
        <v>1866</v>
      </c>
      <c r="G243" s="432" t="s">
        <v>158</v>
      </c>
      <c r="H243" s="433" t="s">
        <v>1580</v>
      </c>
      <c r="I243" s="434" t="s">
        <v>1584</v>
      </c>
      <c r="J243" s="435" t="s">
        <v>52</v>
      </c>
      <c r="K243" s="454">
        <v>76602</v>
      </c>
      <c r="L243" s="455">
        <v>0</v>
      </c>
      <c r="M243" s="456">
        <v>41370</v>
      </c>
      <c r="N243" s="440">
        <v>0</v>
      </c>
      <c r="O243" s="440">
        <v>0</v>
      </c>
      <c r="P243" s="440">
        <v>5117</v>
      </c>
      <c r="Q243" s="440">
        <v>0</v>
      </c>
      <c r="R243" s="440">
        <v>0</v>
      </c>
      <c r="S243" s="440">
        <v>0</v>
      </c>
      <c r="T243" s="441"/>
      <c r="U243" s="441"/>
      <c r="V243" s="441"/>
      <c r="W243" s="441"/>
      <c r="X243" s="441"/>
      <c r="Y243" s="441"/>
      <c r="Z243" s="441">
        <f t="shared" si="19"/>
        <v>5117</v>
      </c>
      <c r="AA243" s="442">
        <v>35117</v>
      </c>
      <c r="AB243" s="443">
        <v>3</v>
      </c>
      <c r="AC243" s="444">
        <v>44222</v>
      </c>
      <c r="AD243" s="445">
        <v>44225</v>
      </c>
      <c r="AE243" s="442"/>
      <c r="AF243" s="446"/>
      <c r="AG243" s="447"/>
      <c r="AH243" s="445"/>
      <c r="AI243" s="442"/>
      <c r="AJ243" s="443"/>
      <c r="AK243" s="447"/>
      <c r="AL243" s="445"/>
      <c r="AM243" s="442"/>
      <c r="AN243" s="443"/>
      <c r="AO243" s="448"/>
      <c r="AP243" s="445"/>
      <c r="AQ243" s="442"/>
      <c r="AR243" s="443"/>
      <c r="AS243" s="448"/>
      <c r="AT243" s="445"/>
      <c r="AU243" s="449">
        <f t="shared" si="16"/>
        <v>35117</v>
      </c>
      <c r="AV243" s="457">
        <f t="shared" si="15"/>
        <v>30000</v>
      </c>
      <c r="AW243" s="451"/>
    </row>
    <row r="244" spans="2:49" s="418" customFormat="1" ht="24" customHeight="1">
      <c r="B244" s="452">
        <f t="shared" si="17"/>
        <v>228</v>
      </c>
      <c r="C244" s="429" t="s">
        <v>39</v>
      </c>
      <c r="D244" s="382">
        <v>40015362</v>
      </c>
      <c r="E244" s="430"/>
      <c r="F244" s="166" t="s">
        <v>1867</v>
      </c>
      <c r="G244" s="432" t="s">
        <v>317</v>
      </c>
      <c r="H244" s="433" t="s">
        <v>1583</v>
      </c>
      <c r="I244" s="434" t="s">
        <v>1655</v>
      </c>
      <c r="J244" s="435"/>
      <c r="K244" s="454">
        <v>184064</v>
      </c>
      <c r="L244" s="455"/>
      <c r="M244" s="456">
        <v>183064</v>
      </c>
      <c r="N244" s="440"/>
      <c r="O244" s="440"/>
      <c r="P244" s="440"/>
      <c r="Q244" s="440"/>
      <c r="R244" s="440"/>
      <c r="S244" s="440"/>
      <c r="T244" s="441"/>
      <c r="U244" s="441"/>
      <c r="V244" s="441"/>
      <c r="W244" s="441"/>
      <c r="X244" s="441"/>
      <c r="Y244" s="441"/>
      <c r="Z244" s="441"/>
      <c r="AA244" s="442">
        <v>1000</v>
      </c>
      <c r="AB244" s="443">
        <v>86</v>
      </c>
      <c r="AC244" s="444">
        <v>44421</v>
      </c>
      <c r="AD244" s="445">
        <v>44435</v>
      </c>
      <c r="AE244" s="442"/>
      <c r="AF244" s="446"/>
      <c r="AG244" s="447"/>
      <c r="AH244" s="445"/>
      <c r="AI244" s="442"/>
      <c r="AJ244" s="443"/>
      <c r="AK244" s="447"/>
      <c r="AL244" s="445"/>
      <c r="AM244" s="442"/>
      <c r="AN244" s="443"/>
      <c r="AO244" s="448"/>
      <c r="AP244" s="445"/>
      <c r="AQ244" s="442"/>
      <c r="AR244" s="443"/>
      <c r="AS244" s="448"/>
      <c r="AT244" s="445"/>
      <c r="AU244" s="449">
        <f t="shared" si="16"/>
        <v>1000</v>
      </c>
      <c r="AV244" s="457">
        <f t="shared" si="15"/>
        <v>1000</v>
      </c>
      <c r="AW244" s="451"/>
    </row>
    <row r="245" spans="2:49" s="418" customFormat="1">
      <c r="B245" s="452">
        <f t="shared" si="17"/>
        <v>229</v>
      </c>
      <c r="C245" s="429" t="s">
        <v>39</v>
      </c>
      <c r="D245" s="430">
        <v>40016268</v>
      </c>
      <c r="E245" s="430"/>
      <c r="F245" s="431" t="s">
        <v>1868</v>
      </c>
      <c r="G245" s="432" t="s">
        <v>146</v>
      </c>
      <c r="H245" s="433" t="s">
        <v>1580</v>
      </c>
      <c r="I245" s="434" t="s">
        <v>1730</v>
      </c>
      <c r="J245" s="435" t="s">
        <v>52</v>
      </c>
      <c r="K245" s="454">
        <v>6402491</v>
      </c>
      <c r="L245" s="455">
        <v>0</v>
      </c>
      <c r="M245" s="456">
        <v>6263110</v>
      </c>
      <c r="N245" s="440">
        <v>0</v>
      </c>
      <c r="O245" s="440">
        <v>0</v>
      </c>
      <c r="P245" s="440">
        <v>0</v>
      </c>
      <c r="Q245" s="440">
        <v>0</v>
      </c>
      <c r="R245" s="440">
        <v>0</v>
      </c>
      <c r="S245" s="440">
        <v>0</v>
      </c>
      <c r="T245" s="441"/>
      <c r="U245" s="441"/>
      <c r="V245" s="441"/>
      <c r="W245" s="441"/>
      <c r="X245" s="441"/>
      <c r="Y245" s="441"/>
      <c r="Z245" s="441">
        <f>SUM(N245:Y245)</f>
        <v>0</v>
      </c>
      <c r="AA245" s="442">
        <v>107000</v>
      </c>
      <c r="AB245" s="443">
        <v>15</v>
      </c>
      <c r="AC245" s="444">
        <v>44259</v>
      </c>
      <c r="AD245" s="445">
        <v>44274</v>
      </c>
      <c r="AE245" s="442"/>
      <c r="AF245" s="446"/>
      <c r="AG245" s="447"/>
      <c r="AH245" s="445"/>
      <c r="AI245" s="442"/>
      <c r="AJ245" s="443"/>
      <c r="AK245" s="447"/>
      <c r="AL245" s="445"/>
      <c r="AM245" s="442"/>
      <c r="AN245" s="443"/>
      <c r="AO245" s="448"/>
      <c r="AP245" s="445"/>
      <c r="AQ245" s="442"/>
      <c r="AR245" s="443"/>
      <c r="AS245" s="448"/>
      <c r="AT245" s="445"/>
      <c r="AU245" s="449">
        <f t="shared" si="16"/>
        <v>107000</v>
      </c>
      <c r="AV245" s="457">
        <f t="shared" si="15"/>
        <v>107000</v>
      </c>
      <c r="AW245" s="451"/>
    </row>
    <row r="246" spans="2:49" s="418" customFormat="1" ht="24.75" thickBot="1">
      <c r="B246" s="452">
        <f t="shared" si="17"/>
        <v>230</v>
      </c>
      <c r="C246" s="429" t="s">
        <v>39</v>
      </c>
      <c r="D246" s="430">
        <v>40016571</v>
      </c>
      <c r="E246" s="430"/>
      <c r="F246" s="431" t="s">
        <v>1869</v>
      </c>
      <c r="G246" s="432" t="s">
        <v>146</v>
      </c>
      <c r="H246" s="433" t="s">
        <v>1580</v>
      </c>
      <c r="I246" s="434" t="s">
        <v>1862</v>
      </c>
      <c r="J246" s="435" t="s">
        <v>52</v>
      </c>
      <c r="K246" s="454">
        <v>391146</v>
      </c>
      <c r="L246" s="455">
        <v>0</v>
      </c>
      <c r="M246" s="456">
        <v>33006</v>
      </c>
      <c r="N246" s="440">
        <v>358140</v>
      </c>
      <c r="O246" s="440">
        <v>0</v>
      </c>
      <c r="P246" s="440">
        <v>0</v>
      </c>
      <c r="Q246" s="440">
        <v>0</v>
      </c>
      <c r="R246" s="440">
        <v>0</v>
      </c>
      <c r="S246" s="440">
        <v>0</v>
      </c>
      <c r="T246" s="441"/>
      <c r="U246" s="441"/>
      <c r="V246" s="441"/>
      <c r="W246" s="441"/>
      <c r="X246" s="441"/>
      <c r="Y246" s="441"/>
      <c r="Z246" s="441">
        <f>SUM(N246:Y246)</f>
        <v>358140</v>
      </c>
      <c r="AA246" s="442">
        <v>358140</v>
      </c>
      <c r="AB246" s="443">
        <v>2</v>
      </c>
      <c r="AC246" s="444">
        <v>44221</v>
      </c>
      <c r="AD246" s="445">
        <v>44225</v>
      </c>
      <c r="AE246" s="442"/>
      <c r="AF246" s="446"/>
      <c r="AG246" s="447"/>
      <c r="AH246" s="445"/>
      <c r="AI246" s="442"/>
      <c r="AJ246" s="443"/>
      <c r="AK246" s="447"/>
      <c r="AL246" s="445"/>
      <c r="AM246" s="442"/>
      <c r="AN246" s="443"/>
      <c r="AO246" s="448"/>
      <c r="AP246" s="445"/>
      <c r="AQ246" s="442"/>
      <c r="AR246" s="443"/>
      <c r="AS246" s="448"/>
      <c r="AT246" s="445"/>
      <c r="AU246" s="449">
        <f t="shared" si="16"/>
        <v>358140</v>
      </c>
      <c r="AV246" s="457">
        <f t="shared" si="15"/>
        <v>0</v>
      </c>
      <c r="AW246" s="451"/>
    </row>
    <row r="247" spans="2:49" s="418" customFormat="1" ht="24">
      <c r="B247" s="452">
        <f t="shared" si="17"/>
        <v>231</v>
      </c>
      <c r="C247" s="429" t="s">
        <v>39</v>
      </c>
      <c r="D247" s="463">
        <v>40016626</v>
      </c>
      <c r="E247" s="430"/>
      <c r="F247" s="464" t="s">
        <v>1870</v>
      </c>
      <c r="G247" s="432" t="s">
        <v>317</v>
      </c>
      <c r="H247" s="433" t="s">
        <v>1583</v>
      </c>
      <c r="I247" s="434" t="s">
        <v>1634</v>
      </c>
      <c r="J247" s="435"/>
      <c r="K247" s="465">
        <v>225954</v>
      </c>
      <c r="L247" s="455"/>
      <c r="M247" s="465">
        <v>224954</v>
      </c>
      <c r="N247" s="440"/>
      <c r="O247" s="440"/>
      <c r="P247" s="440"/>
      <c r="Q247" s="440"/>
      <c r="R247" s="440"/>
      <c r="S247" s="440"/>
      <c r="T247" s="441"/>
      <c r="U247" s="441"/>
      <c r="V247" s="441"/>
      <c r="W247" s="441"/>
      <c r="X247" s="441"/>
      <c r="Y247" s="441"/>
      <c r="Z247" s="441"/>
      <c r="AA247" s="442">
        <v>1000</v>
      </c>
      <c r="AB247" s="443">
        <v>86</v>
      </c>
      <c r="AC247" s="444">
        <v>44421</v>
      </c>
      <c r="AD247" s="445">
        <v>44435</v>
      </c>
      <c r="AE247" s="442"/>
      <c r="AF247" s="446"/>
      <c r="AG247" s="447"/>
      <c r="AH247" s="445"/>
      <c r="AI247" s="442"/>
      <c r="AJ247" s="443"/>
      <c r="AK247" s="447"/>
      <c r="AL247" s="445"/>
      <c r="AM247" s="442"/>
      <c r="AN247" s="443"/>
      <c r="AO247" s="448"/>
      <c r="AP247" s="445"/>
      <c r="AQ247" s="442"/>
      <c r="AR247" s="443"/>
      <c r="AS247" s="448"/>
      <c r="AT247" s="445"/>
      <c r="AU247" s="449">
        <f t="shared" si="16"/>
        <v>1000</v>
      </c>
      <c r="AV247" s="457">
        <f t="shared" si="15"/>
        <v>1000</v>
      </c>
      <c r="AW247" s="451"/>
    </row>
    <row r="248" spans="2:49" s="418" customFormat="1" ht="24">
      <c r="B248" s="452">
        <f t="shared" si="17"/>
        <v>232</v>
      </c>
      <c r="C248" s="429" t="s">
        <v>39</v>
      </c>
      <c r="D248" s="382">
        <v>40016781</v>
      </c>
      <c r="E248" s="430"/>
      <c r="F248" s="166" t="s">
        <v>1871</v>
      </c>
      <c r="G248" s="432" t="s">
        <v>317</v>
      </c>
      <c r="H248" s="433" t="s">
        <v>1583</v>
      </c>
      <c r="I248" s="434" t="s">
        <v>1671</v>
      </c>
      <c r="J248" s="435"/>
      <c r="K248" s="465">
        <v>147079</v>
      </c>
      <c r="L248" s="455"/>
      <c r="M248" s="465">
        <v>146079</v>
      </c>
      <c r="N248" s="440"/>
      <c r="O248" s="440"/>
      <c r="P248" s="440"/>
      <c r="Q248" s="440"/>
      <c r="R248" s="440"/>
      <c r="S248" s="440"/>
      <c r="T248" s="441"/>
      <c r="U248" s="441"/>
      <c r="V248" s="441"/>
      <c r="W248" s="441"/>
      <c r="X248" s="441"/>
      <c r="Y248" s="441"/>
      <c r="Z248" s="441"/>
      <c r="AA248" s="442">
        <v>1000</v>
      </c>
      <c r="AB248" s="443">
        <v>86</v>
      </c>
      <c r="AC248" s="444">
        <v>44421</v>
      </c>
      <c r="AD248" s="445">
        <v>44435</v>
      </c>
      <c r="AE248" s="442"/>
      <c r="AF248" s="446"/>
      <c r="AG248" s="447"/>
      <c r="AH248" s="445"/>
      <c r="AI248" s="442"/>
      <c r="AJ248" s="443"/>
      <c r="AK248" s="447"/>
      <c r="AL248" s="445"/>
      <c r="AM248" s="442"/>
      <c r="AN248" s="443"/>
      <c r="AO248" s="448"/>
      <c r="AP248" s="445"/>
      <c r="AQ248" s="442"/>
      <c r="AR248" s="443"/>
      <c r="AS248" s="448"/>
      <c r="AT248" s="445"/>
      <c r="AU248" s="449">
        <f t="shared" si="16"/>
        <v>1000</v>
      </c>
      <c r="AV248" s="457">
        <f t="shared" si="15"/>
        <v>1000</v>
      </c>
      <c r="AW248" s="451"/>
    </row>
    <row r="249" spans="2:49" s="418" customFormat="1" ht="24" customHeight="1">
      <c r="B249" s="452">
        <f t="shared" si="17"/>
        <v>233</v>
      </c>
      <c r="C249" s="429" t="s">
        <v>39</v>
      </c>
      <c r="D249" s="430">
        <v>40016789</v>
      </c>
      <c r="E249" s="430"/>
      <c r="F249" s="431" t="s">
        <v>1872</v>
      </c>
      <c r="G249" s="432" t="s">
        <v>146</v>
      </c>
      <c r="H249" s="433" t="s">
        <v>1580</v>
      </c>
      <c r="I249" s="434" t="s">
        <v>1624</v>
      </c>
      <c r="J249" s="435" t="s">
        <v>52</v>
      </c>
      <c r="K249" s="465">
        <v>124611</v>
      </c>
      <c r="L249" s="455">
        <v>0</v>
      </c>
      <c r="M249" s="465">
        <v>17677</v>
      </c>
      <c r="N249" s="440">
        <v>106934</v>
      </c>
      <c r="O249" s="440">
        <v>0</v>
      </c>
      <c r="P249" s="440">
        <v>0</v>
      </c>
      <c r="Q249" s="440">
        <v>0</v>
      </c>
      <c r="R249" s="440">
        <v>0</v>
      </c>
      <c r="S249" s="440">
        <v>0</v>
      </c>
      <c r="T249" s="441"/>
      <c r="U249" s="441"/>
      <c r="V249" s="441"/>
      <c r="W249" s="441"/>
      <c r="X249" s="441"/>
      <c r="Y249" s="441"/>
      <c r="Z249" s="441">
        <f>SUM(N249:Y249)</f>
        <v>106934</v>
      </c>
      <c r="AA249" s="442">
        <v>106934</v>
      </c>
      <c r="AB249" s="443">
        <v>2</v>
      </c>
      <c r="AC249" s="444">
        <v>44221</v>
      </c>
      <c r="AD249" s="445">
        <v>44225</v>
      </c>
      <c r="AE249" s="442"/>
      <c r="AF249" s="446"/>
      <c r="AG249" s="447"/>
      <c r="AH249" s="445"/>
      <c r="AI249" s="442"/>
      <c r="AJ249" s="443"/>
      <c r="AK249" s="447"/>
      <c r="AL249" s="445"/>
      <c r="AM249" s="442"/>
      <c r="AN249" s="443"/>
      <c r="AO249" s="448"/>
      <c r="AP249" s="445"/>
      <c r="AQ249" s="442"/>
      <c r="AR249" s="443"/>
      <c r="AS249" s="448"/>
      <c r="AT249" s="445"/>
      <c r="AU249" s="449">
        <f t="shared" si="16"/>
        <v>106934</v>
      </c>
      <c r="AV249" s="457">
        <f t="shared" si="15"/>
        <v>0</v>
      </c>
      <c r="AW249" s="451"/>
    </row>
    <row r="250" spans="2:49" s="418" customFormat="1" ht="24" customHeight="1">
      <c r="B250" s="452">
        <f t="shared" si="17"/>
        <v>234</v>
      </c>
      <c r="C250" s="429" t="s">
        <v>39</v>
      </c>
      <c r="D250" s="430">
        <v>40017246</v>
      </c>
      <c r="E250" s="430"/>
      <c r="F250" s="431" t="s">
        <v>1873</v>
      </c>
      <c r="G250" s="432" t="s">
        <v>146</v>
      </c>
      <c r="H250" s="433" t="s">
        <v>1580</v>
      </c>
      <c r="I250" s="434" t="s">
        <v>1695</v>
      </c>
      <c r="J250" s="435" t="s">
        <v>52</v>
      </c>
      <c r="K250" s="465">
        <v>113414</v>
      </c>
      <c r="L250" s="455">
        <v>0</v>
      </c>
      <c r="M250" s="465">
        <v>4670</v>
      </c>
      <c r="N250" s="440">
        <v>108744</v>
      </c>
      <c r="O250" s="440">
        <v>0</v>
      </c>
      <c r="P250" s="440">
        <v>0</v>
      </c>
      <c r="Q250" s="440">
        <v>0</v>
      </c>
      <c r="R250" s="440">
        <v>0</v>
      </c>
      <c r="S250" s="440">
        <v>0</v>
      </c>
      <c r="T250" s="441"/>
      <c r="U250" s="441"/>
      <c r="V250" s="441"/>
      <c r="W250" s="441"/>
      <c r="X250" s="441"/>
      <c r="Y250" s="441"/>
      <c r="Z250" s="441">
        <f>SUM(N250:Y250)</f>
        <v>108744</v>
      </c>
      <c r="AA250" s="442">
        <v>108744</v>
      </c>
      <c r="AB250" s="443">
        <v>2</v>
      </c>
      <c r="AC250" s="444">
        <v>44221</v>
      </c>
      <c r="AD250" s="445">
        <v>44225</v>
      </c>
      <c r="AE250" s="442"/>
      <c r="AF250" s="446"/>
      <c r="AG250" s="447"/>
      <c r="AH250" s="445"/>
      <c r="AI250" s="442"/>
      <c r="AJ250" s="443"/>
      <c r="AK250" s="447"/>
      <c r="AL250" s="445"/>
      <c r="AM250" s="442"/>
      <c r="AN250" s="443"/>
      <c r="AO250" s="448"/>
      <c r="AP250" s="445"/>
      <c r="AQ250" s="442"/>
      <c r="AR250" s="443"/>
      <c r="AS250" s="448"/>
      <c r="AT250" s="445"/>
      <c r="AU250" s="449">
        <f t="shared" si="16"/>
        <v>108744</v>
      </c>
      <c r="AV250" s="457">
        <f t="shared" si="15"/>
        <v>0</v>
      </c>
      <c r="AW250" s="451"/>
    </row>
    <row r="251" spans="2:49" s="418" customFormat="1" ht="24" customHeight="1">
      <c r="B251" s="452">
        <f t="shared" si="17"/>
        <v>235</v>
      </c>
      <c r="C251" s="429" t="s">
        <v>39</v>
      </c>
      <c r="D251" s="430">
        <v>40017796</v>
      </c>
      <c r="E251" s="430"/>
      <c r="F251" s="431" t="s">
        <v>1874</v>
      </c>
      <c r="G251" s="432" t="s">
        <v>51</v>
      </c>
      <c r="H251" s="433" t="s">
        <v>1583</v>
      </c>
      <c r="I251" s="434" t="s">
        <v>1584</v>
      </c>
      <c r="J251" s="435"/>
      <c r="K251" s="465">
        <v>213614</v>
      </c>
      <c r="L251" s="455">
        <v>0</v>
      </c>
      <c r="M251" s="465">
        <v>113614</v>
      </c>
      <c r="N251" s="440">
        <v>0</v>
      </c>
      <c r="O251" s="440">
        <v>0</v>
      </c>
      <c r="P251" s="440">
        <v>0</v>
      </c>
      <c r="Q251" s="440">
        <v>0</v>
      </c>
      <c r="R251" s="440">
        <v>0</v>
      </c>
      <c r="S251" s="440">
        <v>0</v>
      </c>
      <c r="T251" s="441"/>
      <c r="U251" s="441"/>
      <c r="V251" s="441"/>
      <c r="W251" s="441"/>
      <c r="X251" s="441"/>
      <c r="Y251" s="441"/>
      <c r="Z251" s="441">
        <f>SUM(N251:Y251)</f>
        <v>0</v>
      </c>
      <c r="AA251" s="442">
        <v>100000</v>
      </c>
      <c r="AB251" s="443">
        <v>50</v>
      </c>
      <c r="AC251" s="444">
        <v>44356</v>
      </c>
      <c r="AD251" s="445">
        <v>44377</v>
      </c>
      <c r="AE251" s="442"/>
      <c r="AF251" s="446"/>
      <c r="AG251" s="447"/>
      <c r="AH251" s="445"/>
      <c r="AI251" s="442"/>
      <c r="AJ251" s="443"/>
      <c r="AK251" s="447"/>
      <c r="AL251" s="445"/>
      <c r="AM251" s="442"/>
      <c r="AN251" s="443"/>
      <c r="AO251" s="448"/>
      <c r="AP251" s="445"/>
      <c r="AQ251" s="442"/>
      <c r="AR251" s="443"/>
      <c r="AS251" s="448"/>
      <c r="AT251" s="445"/>
      <c r="AU251" s="449">
        <f t="shared" si="16"/>
        <v>100000</v>
      </c>
      <c r="AV251" s="457">
        <f t="shared" si="15"/>
        <v>100000</v>
      </c>
      <c r="AW251" s="451"/>
    </row>
    <row r="252" spans="2:49" s="418" customFormat="1" ht="24" customHeight="1">
      <c r="B252" s="452">
        <f t="shared" si="17"/>
        <v>236</v>
      </c>
      <c r="C252" s="429" t="s">
        <v>39</v>
      </c>
      <c r="D252" s="430">
        <v>40017931</v>
      </c>
      <c r="E252" s="430"/>
      <c r="F252" s="431" t="s">
        <v>1875</v>
      </c>
      <c r="G252" s="432" t="s">
        <v>146</v>
      </c>
      <c r="H252" s="433" t="s">
        <v>1580</v>
      </c>
      <c r="I252" s="434" t="s">
        <v>1616</v>
      </c>
      <c r="J252" s="435" t="s">
        <v>52</v>
      </c>
      <c r="K252" s="465">
        <v>347719</v>
      </c>
      <c r="L252" s="455">
        <v>0</v>
      </c>
      <c r="M252" s="465">
        <v>52314</v>
      </c>
      <c r="N252" s="440">
        <v>295405</v>
      </c>
      <c r="O252" s="440">
        <v>0</v>
      </c>
      <c r="P252" s="440">
        <v>0</v>
      </c>
      <c r="Q252" s="440">
        <v>0</v>
      </c>
      <c r="R252" s="440">
        <v>0</v>
      </c>
      <c r="S252" s="440">
        <v>0</v>
      </c>
      <c r="T252" s="441"/>
      <c r="U252" s="441"/>
      <c r="V252" s="441"/>
      <c r="W252" s="441"/>
      <c r="X252" s="441"/>
      <c r="Y252" s="441"/>
      <c r="Z252" s="441">
        <f>SUM(N252:Y252)</f>
        <v>295405</v>
      </c>
      <c r="AA252" s="442">
        <v>295405</v>
      </c>
      <c r="AB252" s="443">
        <v>2</v>
      </c>
      <c r="AC252" s="444">
        <v>44221</v>
      </c>
      <c r="AD252" s="445">
        <v>44225</v>
      </c>
      <c r="AE252" s="442"/>
      <c r="AF252" s="446"/>
      <c r="AG252" s="447"/>
      <c r="AH252" s="445"/>
      <c r="AI252" s="442"/>
      <c r="AJ252" s="443"/>
      <c r="AK252" s="447"/>
      <c r="AL252" s="445"/>
      <c r="AM252" s="442"/>
      <c r="AN252" s="443"/>
      <c r="AO252" s="448"/>
      <c r="AP252" s="445"/>
      <c r="AQ252" s="442"/>
      <c r="AR252" s="443"/>
      <c r="AS252" s="448"/>
      <c r="AT252" s="445"/>
      <c r="AU252" s="449">
        <f t="shared" si="16"/>
        <v>295405</v>
      </c>
      <c r="AV252" s="457">
        <f t="shared" si="15"/>
        <v>0</v>
      </c>
      <c r="AW252" s="451"/>
    </row>
    <row r="253" spans="2:49" s="418" customFormat="1" ht="24">
      <c r="B253" s="452">
        <f t="shared" si="17"/>
        <v>237</v>
      </c>
      <c r="C253" s="429" t="s">
        <v>39</v>
      </c>
      <c r="D253" s="382">
        <v>40018288</v>
      </c>
      <c r="E253" s="430"/>
      <c r="F253" s="166" t="s">
        <v>1876</v>
      </c>
      <c r="G253" s="432" t="s">
        <v>317</v>
      </c>
      <c r="H253" s="433" t="s">
        <v>1583</v>
      </c>
      <c r="I253" s="434" t="s">
        <v>1607</v>
      </c>
      <c r="J253" s="435"/>
      <c r="K253" s="465">
        <v>199488</v>
      </c>
      <c r="L253" s="455"/>
      <c r="M253" s="465">
        <v>198488</v>
      </c>
      <c r="N253" s="440"/>
      <c r="O253" s="440"/>
      <c r="P253" s="440"/>
      <c r="Q253" s="440"/>
      <c r="R253" s="440"/>
      <c r="S253" s="440"/>
      <c r="T253" s="441"/>
      <c r="U253" s="441"/>
      <c r="V253" s="441"/>
      <c r="W253" s="441"/>
      <c r="X253" s="441"/>
      <c r="Y253" s="441"/>
      <c r="Z253" s="441"/>
      <c r="AA253" s="442">
        <v>1000</v>
      </c>
      <c r="AB253" s="443">
        <v>86</v>
      </c>
      <c r="AC253" s="444">
        <v>44421</v>
      </c>
      <c r="AD253" s="445">
        <v>44435</v>
      </c>
      <c r="AE253" s="442"/>
      <c r="AF253" s="446"/>
      <c r="AG253" s="447"/>
      <c r="AH253" s="445"/>
      <c r="AI253" s="442"/>
      <c r="AJ253" s="443"/>
      <c r="AK253" s="447"/>
      <c r="AL253" s="445"/>
      <c r="AM253" s="442"/>
      <c r="AN253" s="443"/>
      <c r="AO253" s="448"/>
      <c r="AP253" s="445"/>
      <c r="AQ253" s="442"/>
      <c r="AR253" s="443"/>
      <c r="AS253" s="448"/>
      <c r="AT253" s="445"/>
      <c r="AU253" s="449">
        <f t="shared" si="16"/>
        <v>1000</v>
      </c>
      <c r="AV253" s="457">
        <f t="shared" si="15"/>
        <v>1000</v>
      </c>
      <c r="AW253" s="451"/>
    </row>
    <row r="254" spans="2:49" s="418" customFormat="1" ht="24" customHeight="1">
      <c r="B254" s="452">
        <f t="shared" si="17"/>
        <v>238</v>
      </c>
      <c r="C254" s="429" t="s">
        <v>39</v>
      </c>
      <c r="D254" s="430">
        <v>40018610</v>
      </c>
      <c r="E254" s="430"/>
      <c r="F254" s="431" t="s">
        <v>1877</v>
      </c>
      <c r="G254" s="432" t="s">
        <v>146</v>
      </c>
      <c r="H254" s="433" t="s">
        <v>1580</v>
      </c>
      <c r="I254" s="434" t="s">
        <v>1659</v>
      </c>
      <c r="J254" s="435" t="s">
        <v>52</v>
      </c>
      <c r="K254" s="465">
        <v>150552</v>
      </c>
      <c r="L254" s="455">
        <v>0</v>
      </c>
      <c r="M254" s="465">
        <v>11033</v>
      </c>
      <c r="N254" s="440">
        <v>139519</v>
      </c>
      <c r="O254" s="440">
        <v>0</v>
      </c>
      <c r="P254" s="440">
        <v>0</v>
      </c>
      <c r="Q254" s="440">
        <v>0</v>
      </c>
      <c r="R254" s="440">
        <v>0</v>
      </c>
      <c r="S254" s="440">
        <v>0</v>
      </c>
      <c r="T254" s="441"/>
      <c r="U254" s="441"/>
      <c r="V254" s="441"/>
      <c r="W254" s="441"/>
      <c r="X254" s="441"/>
      <c r="Y254" s="441"/>
      <c r="Z254" s="441">
        <f>SUM(N254:Y254)</f>
        <v>139519</v>
      </c>
      <c r="AA254" s="442">
        <v>139519</v>
      </c>
      <c r="AB254" s="443">
        <v>2</v>
      </c>
      <c r="AC254" s="444">
        <v>44221</v>
      </c>
      <c r="AD254" s="445">
        <v>44225</v>
      </c>
      <c r="AE254" s="442"/>
      <c r="AF254" s="446"/>
      <c r="AG254" s="447"/>
      <c r="AH254" s="445"/>
      <c r="AI254" s="442"/>
      <c r="AJ254" s="443"/>
      <c r="AK254" s="447"/>
      <c r="AL254" s="445"/>
      <c r="AM254" s="442"/>
      <c r="AN254" s="443"/>
      <c r="AO254" s="448"/>
      <c r="AP254" s="445"/>
      <c r="AQ254" s="442"/>
      <c r="AR254" s="443"/>
      <c r="AS254" s="448"/>
      <c r="AT254" s="445"/>
      <c r="AU254" s="449">
        <f t="shared" si="16"/>
        <v>139519</v>
      </c>
      <c r="AV254" s="457">
        <f t="shared" si="15"/>
        <v>0</v>
      </c>
      <c r="AW254" s="451"/>
    </row>
    <row r="255" spans="2:49" s="418" customFormat="1" ht="24" customHeight="1">
      <c r="B255" s="452">
        <f t="shared" si="17"/>
        <v>239</v>
      </c>
      <c r="C255" s="429" t="s">
        <v>39</v>
      </c>
      <c r="D255" s="430">
        <v>40018682</v>
      </c>
      <c r="E255" s="430"/>
      <c r="F255" s="431" t="s">
        <v>1878</v>
      </c>
      <c r="G255" s="432" t="s">
        <v>146</v>
      </c>
      <c r="H255" s="433" t="s">
        <v>1580</v>
      </c>
      <c r="I255" s="434" t="s">
        <v>1647</v>
      </c>
      <c r="J255" s="435" t="s">
        <v>52</v>
      </c>
      <c r="K255" s="465">
        <v>246214</v>
      </c>
      <c r="L255" s="455">
        <v>0</v>
      </c>
      <c r="M255" s="465">
        <v>5579</v>
      </c>
      <c r="N255" s="440">
        <v>240635</v>
      </c>
      <c r="O255" s="440">
        <v>0</v>
      </c>
      <c r="P255" s="440">
        <v>0</v>
      </c>
      <c r="Q255" s="440">
        <v>0</v>
      </c>
      <c r="R255" s="440">
        <v>0</v>
      </c>
      <c r="S255" s="440">
        <v>0</v>
      </c>
      <c r="T255" s="441"/>
      <c r="U255" s="441"/>
      <c r="V255" s="441"/>
      <c r="W255" s="441"/>
      <c r="X255" s="441"/>
      <c r="Y255" s="441"/>
      <c r="Z255" s="441">
        <f>SUM(N255:Y255)</f>
        <v>240635</v>
      </c>
      <c r="AA255" s="442">
        <v>240635</v>
      </c>
      <c r="AB255" s="443">
        <v>2</v>
      </c>
      <c r="AC255" s="444">
        <v>44221</v>
      </c>
      <c r="AD255" s="445">
        <v>44225</v>
      </c>
      <c r="AE255" s="442"/>
      <c r="AF255" s="446"/>
      <c r="AG255" s="447"/>
      <c r="AH255" s="445"/>
      <c r="AI255" s="442"/>
      <c r="AJ255" s="443"/>
      <c r="AK255" s="447"/>
      <c r="AL255" s="445"/>
      <c r="AM255" s="442"/>
      <c r="AN255" s="443"/>
      <c r="AO255" s="448"/>
      <c r="AP255" s="445"/>
      <c r="AQ255" s="442"/>
      <c r="AR255" s="443"/>
      <c r="AS255" s="448"/>
      <c r="AT255" s="445"/>
      <c r="AU255" s="449">
        <f t="shared" si="16"/>
        <v>240635</v>
      </c>
      <c r="AV255" s="457">
        <f t="shared" si="15"/>
        <v>0</v>
      </c>
      <c r="AW255" s="451"/>
    </row>
    <row r="256" spans="2:49" s="418" customFormat="1" ht="24" customHeight="1">
      <c r="B256" s="452">
        <f t="shared" si="17"/>
        <v>240</v>
      </c>
      <c r="C256" s="429" t="s">
        <v>39</v>
      </c>
      <c r="D256" s="430">
        <v>40019245</v>
      </c>
      <c r="E256" s="430"/>
      <c r="F256" s="431" t="s">
        <v>1879</v>
      </c>
      <c r="G256" s="432" t="s">
        <v>146</v>
      </c>
      <c r="H256" s="433" t="s">
        <v>1580</v>
      </c>
      <c r="I256" s="434" t="s">
        <v>1584</v>
      </c>
      <c r="J256" s="435" t="s">
        <v>52</v>
      </c>
      <c r="K256" s="465">
        <v>458736</v>
      </c>
      <c r="L256" s="455">
        <v>0</v>
      </c>
      <c r="M256" s="465">
        <v>408736</v>
      </c>
      <c r="N256" s="440">
        <v>0</v>
      </c>
      <c r="O256" s="440">
        <v>0</v>
      </c>
      <c r="P256" s="440">
        <v>0</v>
      </c>
      <c r="Q256" s="440">
        <v>0</v>
      </c>
      <c r="R256" s="440">
        <v>0</v>
      </c>
      <c r="S256" s="440">
        <v>0</v>
      </c>
      <c r="T256" s="441"/>
      <c r="U256" s="441"/>
      <c r="V256" s="441"/>
      <c r="W256" s="441"/>
      <c r="X256" s="441"/>
      <c r="Y256" s="441"/>
      <c r="Z256" s="441">
        <f>SUM(N256:Y256)</f>
        <v>0</v>
      </c>
      <c r="AA256" s="442">
        <v>50000</v>
      </c>
      <c r="AB256" s="443">
        <v>3</v>
      </c>
      <c r="AC256" s="444">
        <v>44222</v>
      </c>
      <c r="AD256" s="445">
        <v>44225</v>
      </c>
      <c r="AE256" s="442"/>
      <c r="AF256" s="446"/>
      <c r="AG256" s="447"/>
      <c r="AH256" s="445"/>
      <c r="AI256" s="442"/>
      <c r="AJ256" s="443"/>
      <c r="AK256" s="447"/>
      <c r="AL256" s="445"/>
      <c r="AM256" s="442"/>
      <c r="AN256" s="443"/>
      <c r="AO256" s="448"/>
      <c r="AP256" s="445"/>
      <c r="AQ256" s="442"/>
      <c r="AR256" s="443"/>
      <c r="AS256" s="448"/>
      <c r="AT256" s="445"/>
      <c r="AU256" s="449">
        <f t="shared" si="16"/>
        <v>50000</v>
      </c>
      <c r="AV256" s="457">
        <f t="shared" si="15"/>
        <v>50000</v>
      </c>
      <c r="AW256" s="451"/>
    </row>
    <row r="257" spans="1:90" s="418" customFormat="1" ht="24">
      <c r="B257" s="452">
        <f t="shared" si="17"/>
        <v>241</v>
      </c>
      <c r="C257" s="429" t="s">
        <v>39</v>
      </c>
      <c r="D257" s="382">
        <v>40019783</v>
      </c>
      <c r="E257" s="430"/>
      <c r="F257" s="166" t="s">
        <v>1880</v>
      </c>
      <c r="G257" s="432" t="s">
        <v>47</v>
      </c>
      <c r="H257" s="433" t="s">
        <v>1583</v>
      </c>
      <c r="I257" s="434" t="s">
        <v>1757</v>
      </c>
      <c r="J257" s="435"/>
      <c r="K257" s="465">
        <v>185787</v>
      </c>
      <c r="L257" s="455"/>
      <c r="M257" s="465">
        <v>130675</v>
      </c>
      <c r="N257" s="440"/>
      <c r="O257" s="440"/>
      <c r="P257" s="440"/>
      <c r="Q257" s="440"/>
      <c r="R257" s="440"/>
      <c r="S257" s="440"/>
      <c r="T257" s="441"/>
      <c r="U257" s="441"/>
      <c r="V257" s="441"/>
      <c r="W257" s="441"/>
      <c r="X257" s="441"/>
      <c r="Y257" s="441"/>
      <c r="Z257" s="441"/>
      <c r="AA257" s="442">
        <v>55112</v>
      </c>
      <c r="AB257" s="443">
        <v>86</v>
      </c>
      <c r="AC257" s="444">
        <v>44421</v>
      </c>
      <c r="AD257" s="445">
        <v>44435</v>
      </c>
      <c r="AE257" s="442"/>
      <c r="AF257" s="446"/>
      <c r="AG257" s="447"/>
      <c r="AH257" s="445"/>
      <c r="AI257" s="442"/>
      <c r="AJ257" s="443"/>
      <c r="AK257" s="447"/>
      <c r="AL257" s="445"/>
      <c r="AM257" s="442"/>
      <c r="AN257" s="443"/>
      <c r="AO257" s="448"/>
      <c r="AP257" s="445"/>
      <c r="AQ257" s="442"/>
      <c r="AR257" s="443"/>
      <c r="AS257" s="448"/>
      <c r="AT257" s="445"/>
      <c r="AU257" s="449">
        <f t="shared" si="16"/>
        <v>55112</v>
      </c>
      <c r="AV257" s="457">
        <f t="shared" si="15"/>
        <v>55112</v>
      </c>
      <c r="AW257" s="451"/>
    </row>
    <row r="258" spans="1:90" s="418" customFormat="1" ht="24" customHeight="1">
      <c r="B258" s="452">
        <f t="shared" si="17"/>
        <v>242</v>
      </c>
      <c r="C258" s="429" t="s">
        <v>39</v>
      </c>
      <c r="D258" s="430">
        <v>40022373</v>
      </c>
      <c r="E258" s="430"/>
      <c r="F258" s="431" t="s">
        <v>1881</v>
      </c>
      <c r="G258" s="432" t="s">
        <v>146</v>
      </c>
      <c r="H258" s="433" t="s">
        <v>1580</v>
      </c>
      <c r="I258" s="434" t="s">
        <v>1757</v>
      </c>
      <c r="J258" s="435" t="s">
        <v>52</v>
      </c>
      <c r="K258" s="465">
        <v>283338</v>
      </c>
      <c r="L258" s="455">
        <v>0</v>
      </c>
      <c r="M258" s="465">
        <v>8161</v>
      </c>
      <c r="N258" s="440">
        <v>275177</v>
      </c>
      <c r="O258" s="440">
        <v>0</v>
      </c>
      <c r="P258" s="440">
        <v>0</v>
      </c>
      <c r="Q258" s="440">
        <v>0</v>
      </c>
      <c r="R258" s="440">
        <v>0</v>
      </c>
      <c r="S258" s="440">
        <v>0</v>
      </c>
      <c r="T258" s="441"/>
      <c r="U258" s="441"/>
      <c r="V258" s="441"/>
      <c r="W258" s="441"/>
      <c r="X258" s="441"/>
      <c r="Y258" s="441"/>
      <c r="Z258" s="441">
        <f>SUM(N258:Y258)</f>
        <v>275177</v>
      </c>
      <c r="AA258" s="442">
        <v>275177</v>
      </c>
      <c r="AB258" s="443">
        <v>2</v>
      </c>
      <c r="AC258" s="444">
        <v>44221</v>
      </c>
      <c r="AD258" s="445">
        <v>44225</v>
      </c>
      <c r="AE258" s="442"/>
      <c r="AF258" s="446"/>
      <c r="AG258" s="447"/>
      <c r="AH258" s="445"/>
      <c r="AI258" s="442"/>
      <c r="AJ258" s="443"/>
      <c r="AK258" s="447"/>
      <c r="AL258" s="445"/>
      <c r="AM258" s="442"/>
      <c r="AN258" s="443"/>
      <c r="AO258" s="448"/>
      <c r="AP258" s="445"/>
      <c r="AQ258" s="442"/>
      <c r="AR258" s="443"/>
      <c r="AS258" s="448"/>
      <c r="AT258" s="445"/>
      <c r="AU258" s="449">
        <f t="shared" si="16"/>
        <v>275177</v>
      </c>
      <c r="AV258" s="457">
        <f t="shared" si="15"/>
        <v>0</v>
      </c>
      <c r="AW258" s="451"/>
    </row>
    <row r="259" spans="1:90" s="418" customFormat="1" ht="24" customHeight="1">
      <c r="B259" s="452">
        <f t="shared" si="17"/>
        <v>243</v>
      </c>
      <c r="C259" s="429" t="s">
        <v>39</v>
      </c>
      <c r="D259" s="430">
        <v>40023596</v>
      </c>
      <c r="E259" s="430"/>
      <c r="F259" s="431" t="s">
        <v>1882</v>
      </c>
      <c r="G259" s="432" t="s">
        <v>51</v>
      </c>
      <c r="H259" s="433" t="s">
        <v>1583</v>
      </c>
      <c r="I259" s="434" t="s">
        <v>1616</v>
      </c>
      <c r="J259" s="435"/>
      <c r="K259" s="465">
        <v>292465</v>
      </c>
      <c r="L259" s="455">
        <v>0</v>
      </c>
      <c r="M259" s="465">
        <v>187065</v>
      </c>
      <c r="N259" s="440">
        <v>0</v>
      </c>
      <c r="O259" s="440">
        <v>0</v>
      </c>
      <c r="P259" s="440">
        <v>0</v>
      </c>
      <c r="Q259" s="440">
        <v>0</v>
      </c>
      <c r="R259" s="440">
        <v>0</v>
      </c>
      <c r="S259" s="440">
        <v>0</v>
      </c>
      <c r="T259" s="441"/>
      <c r="U259" s="441"/>
      <c r="V259" s="441"/>
      <c r="W259" s="441"/>
      <c r="X259" s="441"/>
      <c r="Y259" s="441"/>
      <c r="Z259" s="441">
        <f>SUM(N259:Y259)</f>
        <v>0</v>
      </c>
      <c r="AA259" s="442">
        <v>105400</v>
      </c>
      <c r="AB259" s="443">
        <v>50</v>
      </c>
      <c r="AC259" s="444">
        <v>44356</v>
      </c>
      <c r="AD259" s="445">
        <v>44377</v>
      </c>
      <c r="AE259" s="442"/>
      <c r="AF259" s="446"/>
      <c r="AG259" s="447"/>
      <c r="AH259" s="445"/>
      <c r="AI259" s="442"/>
      <c r="AJ259" s="443"/>
      <c r="AK259" s="447"/>
      <c r="AL259" s="445"/>
      <c r="AM259" s="442"/>
      <c r="AN259" s="443"/>
      <c r="AO259" s="448"/>
      <c r="AP259" s="445"/>
      <c r="AQ259" s="442"/>
      <c r="AR259" s="443"/>
      <c r="AS259" s="448"/>
      <c r="AT259" s="445"/>
      <c r="AU259" s="449">
        <f t="shared" si="16"/>
        <v>105400</v>
      </c>
      <c r="AV259" s="457">
        <f t="shared" si="15"/>
        <v>105400</v>
      </c>
      <c r="AW259" s="451"/>
    </row>
    <row r="260" spans="1:90" s="418" customFormat="1" ht="24">
      <c r="B260" s="452">
        <f t="shared" si="17"/>
        <v>244</v>
      </c>
      <c r="C260" s="429" t="s">
        <v>39</v>
      </c>
      <c r="D260" s="466">
        <v>40025907</v>
      </c>
      <c r="E260" s="430"/>
      <c r="F260" s="166" t="s">
        <v>1883</v>
      </c>
      <c r="G260" s="432" t="s">
        <v>317</v>
      </c>
      <c r="H260" s="433" t="s">
        <v>1583</v>
      </c>
      <c r="I260" s="434" t="s">
        <v>1655</v>
      </c>
      <c r="J260" s="435"/>
      <c r="K260" s="465">
        <v>118456</v>
      </c>
      <c r="L260" s="455"/>
      <c r="M260" s="465">
        <v>117456</v>
      </c>
      <c r="N260" s="440"/>
      <c r="O260" s="440"/>
      <c r="P260" s="440"/>
      <c r="Q260" s="440"/>
      <c r="R260" s="440"/>
      <c r="S260" s="440"/>
      <c r="T260" s="441"/>
      <c r="U260" s="441"/>
      <c r="V260" s="441"/>
      <c r="W260" s="441"/>
      <c r="X260" s="441"/>
      <c r="Y260" s="441"/>
      <c r="Z260" s="441"/>
      <c r="AA260" s="442">
        <v>1000</v>
      </c>
      <c r="AB260" s="443">
        <v>86</v>
      </c>
      <c r="AC260" s="444">
        <v>44421</v>
      </c>
      <c r="AD260" s="445">
        <v>44435</v>
      </c>
      <c r="AE260" s="442"/>
      <c r="AF260" s="446"/>
      <c r="AG260" s="447"/>
      <c r="AH260" s="445"/>
      <c r="AI260" s="442"/>
      <c r="AJ260" s="443"/>
      <c r="AK260" s="447"/>
      <c r="AL260" s="445"/>
      <c r="AM260" s="442"/>
      <c r="AN260" s="443"/>
      <c r="AO260" s="448"/>
      <c r="AP260" s="445"/>
      <c r="AQ260" s="442"/>
      <c r="AR260" s="443"/>
      <c r="AS260" s="448"/>
      <c r="AT260" s="445"/>
      <c r="AU260" s="449">
        <f t="shared" si="16"/>
        <v>1000</v>
      </c>
      <c r="AV260" s="457">
        <f t="shared" si="15"/>
        <v>1000</v>
      </c>
      <c r="AW260" s="451"/>
    </row>
    <row r="261" spans="1:90" s="418" customFormat="1" ht="24">
      <c r="B261" s="452">
        <f t="shared" si="17"/>
        <v>245</v>
      </c>
      <c r="C261" s="429" t="s">
        <v>39</v>
      </c>
      <c r="D261" s="466">
        <v>40026054</v>
      </c>
      <c r="E261" s="430"/>
      <c r="F261" s="166" t="s">
        <v>1884</v>
      </c>
      <c r="G261" s="432" t="s">
        <v>51</v>
      </c>
      <c r="H261" s="433" t="s">
        <v>1583</v>
      </c>
      <c r="I261" s="434" t="s">
        <v>1647</v>
      </c>
      <c r="J261" s="435"/>
      <c r="K261" s="465">
        <v>73261</v>
      </c>
      <c r="L261" s="455"/>
      <c r="M261" s="465">
        <v>72261</v>
      </c>
      <c r="N261" s="440"/>
      <c r="O261" s="440"/>
      <c r="P261" s="440"/>
      <c r="Q261" s="440"/>
      <c r="R261" s="440"/>
      <c r="S261" s="440"/>
      <c r="T261" s="441"/>
      <c r="U261" s="441"/>
      <c r="V261" s="441"/>
      <c r="W261" s="441"/>
      <c r="X261" s="441"/>
      <c r="Y261" s="441"/>
      <c r="Z261" s="441"/>
      <c r="AA261" s="442">
        <v>1000</v>
      </c>
      <c r="AB261" s="443">
        <v>86</v>
      </c>
      <c r="AC261" s="444">
        <v>44421</v>
      </c>
      <c r="AD261" s="445">
        <v>44435</v>
      </c>
      <c r="AE261" s="442"/>
      <c r="AF261" s="446"/>
      <c r="AG261" s="447"/>
      <c r="AH261" s="445"/>
      <c r="AI261" s="442"/>
      <c r="AJ261" s="443"/>
      <c r="AK261" s="447"/>
      <c r="AL261" s="445"/>
      <c r="AM261" s="442"/>
      <c r="AN261" s="443"/>
      <c r="AO261" s="448"/>
      <c r="AP261" s="445"/>
      <c r="AQ261" s="442"/>
      <c r="AR261" s="443"/>
      <c r="AS261" s="448"/>
      <c r="AT261" s="445"/>
      <c r="AU261" s="449">
        <f t="shared" si="16"/>
        <v>1000</v>
      </c>
      <c r="AV261" s="457">
        <f t="shared" si="15"/>
        <v>1000</v>
      </c>
      <c r="AW261" s="451"/>
    </row>
    <row r="262" spans="1:90" s="418" customFormat="1" ht="24">
      <c r="B262" s="452">
        <f t="shared" si="17"/>
        <v>246</v>
      </c>
      <c r="C262" s="429" t="s">
        <v>39</v>
      </c>
      <c r="D262" s="466">
        <v>40027615</v>
      </c>
      <c r="E262" s="430"/>
      <c r="F262" s="166" t="s">
        <v>1885</v>
      </c>
      <c r="G262" s="432" t="s">
        <v>51</v>
      </c>
      <c r="H262" s="433" t="s">
        <v>1583</v>
      </c>
      <c r="I262" s="434" t="s">
        <v>1703</v>
      </c>
      <c r="J262" s="435"/>
      <c r="K262" s="465">
        <v>153368</v>
      </c>
      <c r="L262" s="455"/>
      <c r="M262" s="465">
        <v>152368</v>
      </c>
      <c r="N262" s="440"/>
      <c r="O262" s="440"/>
      <c r="P262" s="440"/>
      <c r="Q262" s="440"/>
      <c r="R262" s="440"/>
      <c r="S262" s="440"/>
      <c r="T262" s="441"/>
      <c r="U262" s="441"/>
      <c r="V262" s="441"/>
      <c r="W262" s="441"/>
      <c r="X262" s="441"/>
      <c r="Y262" s="441"/>
      <c r="Z262" s="441"/>
      <c r="AA262" s="442">
        <v>1000</v>
      </c>
      <c r="AB262" s="443">
        <v>86</v>
      </c>
      <c r="AC262" s="444">
        <v>44421</v>
      </c>
      <c r="AD262" s="445">
        <v>44435</v>
      </c>
      <c r="AE262" s="442"/>
      <c r="AF262" s="446"/>
      <c r="AG262" s="447"/>
      <c r="AH262" s="445"/>
      <c r="AI262" s="442"/>
      <c r="AJ262" s="443"/>
      <c r="AK262" s="447"/>
      <c r="AL262" s="445"/>
      <c r="AM262" s="442"/>
      <c r="AN262" s="443"/>
      <c r="AO262" s="448"/>
      <c r="AP262" s="445"/>
      <c r="AQ262" s="442"/>
      <c r="AR262" s="443"/>
      <c r="AS262" s="448"/>
      <c r="AT262" s="445"/>
      <c r="AU262" s="449">
        <f t="shared" si="16"/>
        <v>1000</v>
      </c>
      <c r="AV262" s="457">
        <f t="shared" si="15"/>
        <v>1000</v>
      </c>
      <c r="AW262" s="451"/>
    </row>
    <row r="263" spans="1:90" s="418" customFormat="1" ht="24">
      <c r="B263" s="452">
        <f t="shared" si="17"/>
        <v>247</v>
      </c>
      <c r="C263" s="429" t="s">
        <v>39</v>
      </c>
      <c r="D263" s="466">
        <v>40027733</v>
      </c>
      <c r="E263" s="430"/>
      <c r="F263" s="166" t="s">
        <v>1886</v>
      </c>
      <c r="G263" s="432" t="s">
        <v>51</v>
      </c>
      <c r="H263" s="433" t="s">
        <v>1583</v>
      </c>
      <c r="I263" s="434" t="s">
        <v>1671</v>
      </c>
      <c r="J263" s="435"/>
      <c r="K263" s="465">
        <v>90636</v>
      </c>
      <c r="L263" s="455"/>
      <c r="M263" s="465">
        <v>89636</v>
      </c>
      <c r="N263" s="440"/>
      <c r="O263" s="440"/>
      <c r="P263" s="440"/>
      <c r="Q263" s="440"/>
      <c r="R263" s="440"/>
      <c r="S263" s="440"/>
      <c r="T263" s="441"/>
      <c r="U263" s="441"/>
      <c r="V263" s="441"/>
      <c r="W263" s="441"/>
      <c r="X263" s="441"/>
      <c r="Y263" s="441"/>
      <c r="Z263" s="441"/>
      <c r="AA263" s="442">
        <v>1000</v>
      </c>
      <c r="AB263" s="443">
        <v>86</v>
      </c>
      <c r="AC263" s="444">
        <v>44421</v>
      </c>
      <c r="AD263" s="445">
        <v>44435</v>
      </c>
      <c r="AE263" s="442"/>
      <c r="AF263" s="446"/>
      <c r="AG263" s="447"/>
      <c r="AH263" s="445"/>
      <c r="AI263" s="442"/>
      <c r="AJ263" s="443"/>
      <c r="AK263" s="447"/>
      <c r="AL263" s="445"/>
      <c r="AM263" s="442"/>
      <c r="AN263" s="443"/>
      <c r="AO263" s="448"/>
      <c r="AP263" s="445"/>
      <c r="AQ263" s="442"/>
      <c r="AR263" s="443"/>
      <c r="AS263" s="448"/>
      <c r="AT263" s="445"/>
      <c r="AU263" s="449">
        <f t="shared" si="16"/>
        <v>1000</v>
      </c>
      <c r="AV263" s="457">
        <f t="shared" si="15"/>
        <v>1000</v>
      </c>
      <c r="AW263" s="451"/>
    </row>
    <row r="264" spans="1:90" s="418" customFormat="1" ht="24">
      <c r="B264" s="452">
        <f t="shared" si="17"/>
        <v>248</v>
      </c>
      <c r="C264" s="429" t="s">
        <v>39</v>
      </c>
      <c r="D264" s="466">
        <v>40028469</v>
      </c>
      <c r="E264" s="430"/>
      <c r="F264" s="166" t="s">
        <v>1887</v>
      </c>
      <c r="G264" s="432" t="s">
        <v>51</v>
      </c>
      <c r="H264" s="433" t="s">
        <v>1583</v>
      </c>
      <c r="I264" s="434" t="s">
        <v>1703</v>
      </c>
      <c r="J264" s="435"/>
      <c r="K264" s="465">
        <v>171603</v>
      </c>
      <c r="L264" s="455"/>
      <c r="M264" s="465">
        <v>170603</v>
      </c>
      <c r="N264" s="440"/>
      <c r="O264" s="440"/>
      <c r="P264" s="440"/>
      <c r="Q264" s="440"/>
      <c r="R264" s="440"/>
      <c r="S264" s="440"/>
      <c r="T264" s="441"/>
      <c r="U264" s="441"/>
      <c r="V264" s="441"/>
      <c r="W264" s="441"/>
      <c r="X264" s="441"/>
      <c r="Y264" s="441"/>
      <c r="Z264" s="441"/>
      <c r="AA264" s="442">
        <v>1000</v>
      </c>
      <c r="AB264" s="443">
        <v>86</v>
      </c>
      <c r="AC264" s="444">
        <v>44421</v>
      </c>
      <c r="AD264" s="445">
        <v>44435</v>
      </c>
      <c r="AE264" s="442"/>
      <c r="AF264" s="446"/>
      <c r="AG264" s="447"/>
      <c r="AH264" s="445"/>
      <c r="AI264" s="442"/>
      <c r="AJ264" s="443"/>
      <c r="AK264" s="447"/>
      <c r="AL264" s="445"/>
      <c r="AM264" s="442"/>
      <c r="AN264" s="443"/>
      <c r="AO264" s="448"/>
      <c r="AP264" s="445"/>
      <c r="AQ264" s="442"/>
      <c r="AR264" s="443"/>
      <c r="AS264" s="448"/>
      <c r="AT264" s="445"/>
      <c r="AU264" s="449">
        <f t="shared" si="16"/>
        <v>1000</v>
      </c>
      <c r="AV264" s="457">
        <f t="shared" si="15"/>
        <v>1000</v>
      </c>
      <c r="AW264" s="451"/>
    </row>
    <row r="265" spans="1:90" s="418" customFormat="1" ht="24.75" thickBot="1">
      <c r="B265" s="452">
        <f t="shared" si="17"/>
        <v>249</v>
      </c>
      <c r="C265" s="429" t="s">
        <v>39</v>
      </c>
      <c r="D265" s="467">
        <v>40030615</v>
      </c>
      <c r="E265" s="430"/>
      <c r="F265" s="468" t="s">
        <v>1888</v>
      </c>
      <c r="G265" s="432" t="s">
        <v>146</v>
      </c>
      <c r="H265" s="433" t="s">
        <v>1583</v>
      </c>
      <c r="I265" s="434" t="s">
        <v>1584</v>
      </c>
      <c r="J265" s="435"/>
      <c r="K265" s="465">
        <v>498127</v>
      </c>
      <c r="L265" s="455">
        <v>0</v>
      </c>
      <c r="M265" s="465">
        <v>98127</v>
      </c>
      <c r="N265" s="440">
        <v>0</v>
      </c>
      <c r="O265" s="440">
        <v>0</v>
      </c>
      <c r="P265" s="440">
        <v>0</v>
      </c>
      <c r="Q265" s="440">
        <v>0</v>
      </c>
      <c r="R265" s="440">
        <v>0</v>
      </c>
      <c r="S265" s="440">
        <v>0</v>
      </c>
      <c r="T265" s="441"/>
      <c r="U265" s="441"/>
      <c r="V265" s="441"/>
      <c r="W265" s="441"/>
      <c r="X265" s="441"/>
      <c r="Y265" s="441"/>
      <c r="Z265" s="441">
        <f>SUM(N265:Y265)</f>
        <v>0</v>
      </c>
      <c r="AA265" s="442">
        <v>100000</v>
      </c>
      <c r="AB265" s="443">
        <v>22</v>
      </c>
      <c r="AC265" s="444">
        <v>44301</v>
      </c>
      <c r="AD265" s="445">
        <v>44313</v>
      </c>
      <c r="AE265" s="442"/>
      <c r="AF265" s="446"/>
      <c r="AG265" s="447"/>
      <c r="AH265" s="445"/>
      <c r="AI265" s="442"/>
      <c r="AJ265" s="443"/>
      <c r="AK265" s="447"/>
      <c r="AL265" s="445"/>
      <c r="AM265" s="442"/>
      <c r="AN265" s="443"/>
      <c r="AO265" s="448"/>
      <c r="AP265" s="445"/>
      <c r="AQ265" s="442"/>
      <c r="AR265" s="443"/>
      <c r="AS265" s="448"/>
      <c r="AT265" s="445"/>
      <c r="AU265" s="449">
        <f t="shared" si="16"/>
        <v>100000</v>
      </c>
      <c r="AV265" s="457">
        <f t="shared" si="15"/>
        <v>100000</v>
      </c>
      <c r="AW265" s="451"/>
    </row>
    <row r="266" spans="1:90" s="359" customFormat="1">
      <c r="A266" s="418"/>
      <c r="B266" s="385"/>
      <c r="C266" s="361"/>
      <c r="D266" s="386"/>
      <c r="E266" s="362"/>
      <c r="F266" s="387"/>
      <c r="G266" s="364"/>
      <c r="H266" s="365"/>
      <c r="I266" s="366"/>
      <c r="J266" s="367"/>
      <c r="K266" s="384"/>
      <c r="L266" s="388"/>
      <c r="M266" s="384"/>
      <c r="N266" s="369"/>
      <c r="O266" s="369"/>
      <c r="P266" s="369"/>
      <c r="Q266" s="369"/>
      <c r="R266" s="369"/>
      <c r="S266" s="369"/>
      <c r="T266" s="370"/>
      <c r="U266" s="370"/>
      <c r="V266" s="370"/>
      <c r="W266" s="370"/>
      <c r="X266" s="370"/>
      <c r="Y266" s="370"/>
      <c r="Z266" s="370"/>
      <c r="AA266" s="371"/>
      <c r="AB266" s="380"/>
      <c r="AC266" s="373"/>
      <c r="AD266" s="379"/>
      <c r="AE266" s="371"/>
      <c r="AF266" s="375"/>
      <c r="AG266" s="376"/>
      <c r="AH266" s="374"/>
      <c r="AI266" s="371"/>
      <c r="AJ266" s="372"/>
      <c r="AK266" s="376"/>
      <c r="AL266" s="374"/>
      <c r="AM266" s="371"/>
      <c r="AN266" s="372"/>
      <c r="AO266" s="377"/>
      <c r="AP266" s="374"/>
      <c r="AQ266" s="371"/>
      <c r="AR266" s="372"/>
      <c r="AS266" s="377"/>
      <c r="AT266" s="379"/>
      <c r="AU266" s="389"/>
      <c r="AV266" s="381"/>
      <c r="AW266" s="451"/>
      <c r="AX266" s="418"/>
      <c r="AY266" s="418"/>
      <c r="AZ266" s="418"/>
      <c r="BA266" s="418"/>
      <c r="BB266" s="418"/>
      <c r="BC266" s="418"/>
      <c r="BD266" s="418"/>
      <c r="BE266" s="418"/>
      <c r="BF266" s="418"/>
      <c r="BG266" s="418"/>
      <c r="BH266" s="418"/>
      <c r="BI266" s="418"/>
      <c r="BJ266" s="418"/>
      <c r="BK266" s="418"/>
      <c r="BL266" s="418"/>
      <c r="BM266" s="418"/>
      <c r="BN266" s="418"/>
      <c r="BO266" s="418"/>
      <c r="BP266" s="418"/>
      <c r="BQ266" s="418"/>
      <c r="BR266" s="418"/>
      <c r="BS266" s="418"/>
      <c r="BT266" s="418"/>
      <c r="BU266" s="418"/>
      <c r="BV266" s="418"/>
      <c r="BW266" s="418"/>
      <c r="BX266" s="418"/>
      <c r="BY266" s="418"/>
      <c r="BZ266" s="418"/>
      <c r="CA266" s="418"/>
      <c r="CB266" s="418"/>
      <c r="CC266" s="418"/>
      <c r="CD266" s="418"/>
      <c r="CE266" s="418"/>
      <c r="CF266" s="418"/>
      <c r="CG266" s="418"/>
      <c r="CH266" s="418"/>
      <c r="CI266" s="418"/>
      <c r="CJ266" s="418"/>
      <c r="CK266" s="418"/>
      <c r="CL266" s="418"/>
    </row>
    <row r="267" spans="1:90" s="359" customFormat="1">
      <c r="A267" s="418"/>
      <c r="B267" s="385"/>
      <c r="C267" s="361"/>
      <c r="D267" s="386"/>
      <c r="E267" s="362"/>
      <c r="F267" s="387"/>
      <c r="G267" s="364"/>
      <c r="H267" s="365"/>
      <c r="I267" s="366"/>
      <c r="J267" s="367"/>
      <c r="K267" s="384"/>
      <c r="L267" s="388"/>
      <c r="M267" s="384"/>
      <c r="N267" s="369"/>
      <c r="O267" s="369"/>
      <c r="P267" s="369"/>
      <c r="Q267" s="369"/>
      <c r="R267" s="369"/>
      <c r="S267" s="369"/>
      <c r="T267" s="370"/>
      <c r="U267" s="370"/>
      <c r="V267" s="370"/>
      <c r="W267" s="370"/>
      <c r="X267" s="370"/>
      <c r="Y267" s="370"/>
      <c r="Z267" s="370"/>
      <c r="AA267" s="371"/>
      <c r="AB267" s="380"/>
      <c r="AC267" s="373"/>
      <c r="AD267" s="379"/>
      <c r="AE267" s="371"/>
      <c r="AF267" s="375"/>
      <c r="AG267" s="376"/>
      <c r="AH267" s="374"/>
      <c r="AI267" s="371"/>
      <c r="AJ267" s="372"/>
      <c r="AK267" s="376"/>
      <c r="AL267" s="374"/>
      <c r="AM267" s="371"/>
      <c r="AN267" s="372"/>
      <c r="AO267" s="377"/>
      <c r="AP267" s="374"/>
      <c r="AQ267" s="371"/>
      <c r="AR267" s="372"/>
      <c r="AS267" s="377"/>
      <c r="AT267" s="379"/>
      <c r="AU267" s="389"/>
      <c r="AV267" s="381"/>
      <c r="AW267" s="451"/>
      <c r="AX267" s="418"/>
      <c r="AY267" s="418"/>
      <c r="AZ267" s="418"/>
      <c r="BA267" s="418"/>
      <c r="BB267" s="418"/>
      <c r="BC267" s="418"/>
      <c r="BD267" s="418"/>
      <c r="BE267" s="418"/>
      <c r="BF267" s="418"/>
      <c r="BG267" s="418"/>
      <c r="BH267" s="418"/>
      <c r="BI267" s="418"/>
      <c r="BJ267" s="418"/>
      <c r="BK267" s="418"/>
      <c r="BL267" s="418"/>
      <c r="BM267" s="418"/>
      <c r="BN267" s="418"/>
      <c r="BO267" s="418"/>
      <c r="BP267" s="418"/>
      <c r="BQ267" s="418"/>
      <c r="BR267" s="418"/>
      <c r="BS267" s="418"/>
      <c r="BT267" s="418"/>
      <c r="BU267" s="418"/>
      <c r="BV267" s="418"/>
      <c r="BW267" s="418"/>
      <c r="BX267" s="418"/>
      <c r="BY267" s="418"/>
      <c r="BZ267" s="418"/>
      <c r="CA267" s="418"/>
      <c r="CB267" s="418"/>
      <c r="CC267" s="418"/>
      <c r="CD267" s="418"/>
      <c r="CE267" s="418"/>
      <c r="CF267" s="418"/>
      <c r="CG267" s="418"/>
      <c r="CH267" s="418"/>
      <c r="CI267" s="418"/>
      <c r="CJ267" s="418"/>
      <c r="CK267" s="418"/>
      <c r="CL267" s="418"/>
    </row>
    <row r="268" spans="1:90" s="359" customFormat="1" hidden="1">
      <c r="A268" s="418"/>
      <c r="B268" s="385"/>
      <c r="C268" s="361"/>
      <c r="D268" s="386"/>
      <c r="E268" s="362"/>
      <c r="F268" s="387"/>
      <c r="G268" s="364"/>
      <c r="H268" s="365"/>
      <c r="I268" s="366"/>
      <c r="J268" s="367"/>
      <c r="K268" s="384"/>
      <c r="L268" s="388"/>
      <c r="M268" s="384"/>
      <c r="N268" s="369"/>
      <c r="O268" s="369"/>
      <c r="P268" s="369"/>
      <c r="Q268" s="369"/>
      <c r="R268" s="369"/>
      <c r="S268" s="369"/>
      <c r="T268" s="370"/>
      <c r="U268" s="370"/>
      <c r="V268" s="370"/>
      <c r="W268" s="370"/>
      <c r="X268" s="370"/>
      <c r="Y268" s="370"/>
      <c r="Z268" s="370"/>
      <c r="AA268" s="371"/>
      <c r="AB268" s="380"/>
      <c r="AC268" s="373"/>
      <c r="AD268" s="379"/>
      <c r="AE268" s="371"/>
      <c r="AF268" s="375"/>
      <c r="AG268" s="376"/>
      <c r="AH268" s="374"/>
      <c r="AI268" s="371"/>
      <c r="AJ268" s="372"/>
      <c r="AK268" s="376"/>
      <c r="AL268" s="374"/>
      <c r="AM268" s="371"/>
      <c r="AN268" s="372"/>
      <c r="AO268" s="377"/>
      <c r="AP268" s="374"/>
      <c r="AQ268" s="371"/>
      <c r="AR268" s="372"/>
      <c r="AS268" s="377"/>
      <c r="AT268" s="379"/>
      <c r="AU268" s="389"/>
      <c r="AV268" s="381"/>
      <c r="AW268" s="451"/>
      <c r="AX268" s="418"/>
      <c r="AY268" s="418"/>
      <c r="AZ268" s="418"/>
      <c r="BA268" s="418"/>
      <c r="BB268" s="418"/>
      <c r="BC268" s="418"/>
      <c r="BD268" s="418"/>
      <c r="BE268" s="418"/>
      <c r="BF268" s="418"/>
      <c r="BG268" s="418"/>
      <c r="BH268" s="418"/>
      <c r="BI268" s="418"/>
      <c r="BJ268" s="418"/>
      <c r="BK268" s="418"/>
      <c r="BL268" s="418"/>
      <c r="BM268" s="418"/>
      <c r="BN268" s="418"/>
      <c r="BO268" s="418"/>
      <c r="BP268" s="418"/>
      <c r="BQ268" s="418"/>
      <c r="BR268" s="418"/>
      <c r="BS268" s="418"/>
      <c r="BT268" s="418"/>
      <c r="BU268" s="418"/>
      <c r="BV268" s="418"/>
      <c r="BW268" s="418"/>
      <c r="BX268" s="418"/>
      <c r="BY268" s="418"/>
      <c r="BZ268" s="418"/>
      <c r="CA268" s="418"/>
      <c r="CB268" s="418"/>
      <c r="CC268" s="418"/>
      <c r="CD268" s="418"/>
      <c r="CE268" s="418"/>
      <c r="CF268" s="418"/>
      <c r="CG268" s="418"/>
      <c r="CH268" s="418"/>
      <c r="CI268" s="418"/>
      <c r="CJ268" s="418"/>
      <c r="CK268" s="418"/>
      <c r="CL268" s="418"/>
    </row>
    <row r="269" spans="1:90" s="359" customFormat="1" hidden="1">
      <c r="A269" s="418"/>
      <c r="B269" s="385"/>
      <c r="C269" s="361"/>
      <c r="D269" s="386"/>
      <c r="E269" s="362"/>
      <c r="F269" s="387"/>
      <c r="G269" s="364"/>
      <c r="H269" s="365"/>
      <c r="I269" s="366"/>
      <c r="J269" s="367"/>
      <c r="K269" s="384"/>
      <c r="L269" s="388"/>
      <c r="M269" s="384"/>
      <c r="N269" s="369"/>
      <c r="O269" s="369"/>
      <c r="P269" s="369"/>
      <c r="Q269" s="369"/>
      <c r="R269" s="369"/>
      <c r="S269" s="369"/>
      <c r="T269" s="370"/>
      <c r="U269" s="370"/>
      <c r="V269" s="370"/>
      <c r="W269" s="370"/>
      <c r="X269" s="370"/>
      <c r="Y269" s="370"/>
      <c r="Z269" s="370"/>
      <c r="AA269" s="371"/>
      <c r="AB269" s="380"/>
      <c r="AC269" s="373"/>
      <c r="AD269" s="379"/>
      <c r="AE269" s="371"/>
      <c r="AF269" s="375"/>
      <c r="AG269" s="376"/>
      <c r="AH269" s="374"/>
      <c r="AI269" s="371"/>
      <c r="AJ269" s="372"/>
      <c r="AK269" s="376"/>
      <c r="AL269" s="374"/>
      <c r="AM269" s="371"/>
      <c r="AN269" s="372"/>
      <c r="AO269" s="377"/>
      <c r="AP269" s="374"/>
      <c r="AQ269" s="371"/>
      <c r="AR269" s="372"/>
      <c r="AS269" s="377"/>
      <c r="AT269" s="379"/>
      <c r="AU269" s="389"/>
      <c r="AV269" s="381"/>
      <c r="AW269" s="451"/>
      <c r="AX269" s="418"/>
      <c r="AY269" s="418"/>
      <c r="AZ269" s="418"/>
      <c r="BA269" s="418"/>
      <c r="BB269" s="418"/>
      <c r="BC269" s="418"/>
      <c r="BD269" s="418"/>
      <c r="BE269" s="418"/>
      <c r="BF269" s="418"/>
      <c r="BG269" s="418"/>
      <c r="BH269" s="418"/>
      <c r="BI269" s="418"/>
      <c r="BJ269" s="418"/>
      <c r="BK269" s="418"/>
      <c r="BL269" s="418"/>
      <c r="BM269" s="418"/>
      <c r="BN269" s="418"/>
      <c r="BO269" s="418"/>
      <c r="BP269" s="418"/>
      <c r="BQ269" s="418"/>
      <c r="BR269" s="418"/>
      <c r="BS269" s="418"/>
      <c r="BT269" s="418"/>
      <c r="BU269" s="418"/>
      <c r="BV269" s="418"/>
      <c r="BW269" s="418"/>
      <c r="BX269" s="418"/>
      <c r="BY269" s="418"/>
      <c r="BZ269" s="418"/>
      <c r="CA269" s="418"/>
      <c r="CB269" s="418"/>
      <c r="CC269" s="418"/>
      <c r="CD269" s="418"/>
      <c r="CE269" s="418"/>
      <c r="CF269" s="418"/>
      <c r="CG269" s="418"/>
      <c r="CH269" s="418"/>
      <c r="CI269" s="418"/>
      <c r="CJ269" s="418"/>
      <c r="CK269" s="418"/>
      <c r="CL269" s="418"/>
    </row>
    <row r="270" spans="1:90" s="359" customFormat="1" hidden="1">
      <c r="A270" s="418"/>
      <c r="B270" s="385"/>
      <c r="C270" s="361"/>
      <c r="D270" s="386"/>
      <c r="E270" s="362"/>
      <c r="F270" s="387"/>
      <c r="G270" s="364"/>
      <c r="H270" s="365"/>
      <c r="I270" s="366"/>
      <c r="J270" s="367"/>
      <c r="K270" s="384"/>
      <c r="L270" s="388"/>
      <c r="M270" s="384"/>
      <c r="N270" s="369"/>
      <c r="O270" s="369"/>
      <c r="P270" s="369"/>
      <c r="Q270" s="369"/>
      <c r="R270" s="369"/>
      <c r="S270" s="369"/>
      <c r="T270" s="370"/>
      <c r="U270" s="370"/>
      <c r="V270" s="370"/>
      <c r="W270" s="370"/>
      <c r="X270" s="370"/>
      <c r="Y270" s="370"/>
      <c r="Z270" s="370"/>
      <c r="AA270" s="371"/>
      <c r="AB270" s="380"/>
      <c r="AC270" s="373"/>
      <c r="AD270" s="379"/>
      <c r="AE270" s="371"/>
      <c r="AF270" s="375"/>
      <c r="AG270" s="376"/>
      <c r="AH270" s="374"/>
      <c r="AI270" s="371"/>
      <c r="AJ270" s="372"/>
      <c r="AK270" s="376"/>
      <c r="AL270" s="374"/>
      <c r="AM270" s="371"/>
      <c r="AN270" s="372"/>
      <c r="AO270" s="377"/>
      <c r="AP270" s="374"/>
      <c r="AQ270" s="371"/>
      <c r="AR270" s="372"/>
      <c r="AS270" s="377"/>
      <c r="AT270" s="379"/>
      <c r="AU270" s="389"/>
      <c r="AV270" s="381"/>
      <c r="AW270" s="451"/>
      <c r="AX270" s="418"/>
      <c r="AY270" s="418"/>
      <c r="AZ270" s="418"/>
      <c r="BA270" s="418"/>
      <c r="BB270" s="418"/>
      <c r="BC270" s="418"/>
      <c r="BD270" s="418"/>
      <c r="BE270" s="418"/>
      <c r="BF270" s="418"/>
      <c r="BG270" s="418"/>
      <c r="BH270" s="418"/>
      <c r="BI270" s="418"/>
      <c r="BJ270" s="418"/>
      <c r="BK270" s="418"/>
      <c r="BL270" s="418"/>
      <c r="BM270" s="418"/>
      <c r="BN270" s="418"/>
      <c r="BO270" s="418"/>
      <c r="BP270" s="418"/>
      <c r="BQ270" s="418"/>
      <c r="BR270" s="418"/>
      <c r="BS270" s="418"/>
      <c r="BT270" s="418"/>
      <c r="BU270" s="418"/>
      <c r="BV270" s="418"/>
      <c r="BW270" s="418"/>
      <c r="BX270" s="418"/>
      <c r="BY270" s="418"/>
      <c r="BZ270" s="418"/>
      <c r="CA270" s="418"/>
      <c r="CB270" s="418"/>
      <c r="CC270" s="418"/>
      <c r="CD270" s="418"/>
      <c r="CE270" s="418"/>
      <c r="CF270" s="418"/>
      <c r="CG270" s="418"/>
      <c r="CH270" s="418"/>
      <c r="CI270" s="418"/>
      <c r="CJ270" s="418"/>
      <c r="CK270" s="418"/>
      <c r="CL270" s="418"/>
    </row>
    <row r="271" spans="1:90" s="359" customFormat="1" hidden="1">
      <c r="A271" s="418"/>
      <c r="B271" s="385"/>
      <c r="C271" s="361"/>
      <c r="D271" s="386"/>
      <c r="E271" s="362"/>
      <c r="F271" s="387"/>
      <c r="G271" s="364"/>
      <c r="H271" s="365"/>
      <c r="I271" s="366"/>
      <c r="J271" s="367"/>
      <c r="K271" s="384"/>
      <c r="L271" s="388"/>
      <c r="M271" s="384"/>
      <c r="N271" s="369"/>
      <c r="O271" s="369"/>
      <c r="P271" s="369"/>
      <c r="Q271" s="369"/>
      <c r="R271" s="369"/>
      <c r="S271" s="369"/>
      <c r="T271" s="370"/>
      <c r="U271" s="370"/>
      <c r="V271" s="370"/>
      <c r="W271" s="370"/>
      <c r="X271" s="370"/>
      <c r="Y271" s="370"/>
      <c r="Z271" s="370"/>
      <c r="AA271" s="371"/>
      <c r="AB271" s="380"/>
      <c r="AC271" s="373"/>
      <c r="AD271" s="379"/>
      <c r="AE271" s="371"/>
      <c r="AF271" s="375"/>
      <c r="AG271" s="376"/>
      <c r="AH271" s="374"/>
      <c r="AI271" s="371"/>
      <c r="AJ271" s="372"/>
      <c r="AK271" s="376"/>
      <c r="AL271" s="374"/>
      <c r="AM271" s="371"/>
      <c r="AN271" s="372"/>
      <c r="AO271" s="377"/>
      <c r="AP271" s="374"/>
      <c r="AQ271" s="371"/>
      <c r="AR271" s="372"/>
      <c r="AS271" s="377"/>
      <c r="AT271" s="379"/>
      <c r="AU271" s="389"/>
      <c r="AV271" s="381"/>
      <c r="AW271" s="451"/>
      <c r="AX271" s="418"/>
      <c r="AY271" s="418"/>
      <c r="AZ271" s="418"/>
      <c r="BA271" s="418"/>
      <c r="BB271" s="418"/>
      <c r="BC271" s="418"/>
      <c r="BD271" s="418"/>
      <c r="BE271" s="418"/>
      <c r="BF271" s="418"/>
      <c r="BG271" s="418"/>
      <c r="BH271" s="418"/>
      <c r="BI271" s="418"/>
      <c r="BJ271" s="418"/>
      <c r="BK271" s="418"/>
      <c r="BL271" s="418"/>
      <c r="BM271" s="418"/>
      <c r="BN271" s="418"/>
      <c r="BO271" s="418"/>
      <c r="BP271" s="418"/>
      <c r="BQ271" s="418"/>
      <c r="BR271" s="418"/>
      <c r="BS271" s="418"/>
      <c r="BT271" s="418"/>
      <c r="BU271" s="418"/>
      <c r="BV271" s="418"/>
      <c r="BW271" s="418"/>
      <c r="BX271" s="418"/>
      <c r="BY271" s="418"/>
      <c r="BZ271" s="418"/>
      <c r="CA271" s="418"/>
      <c r="CB271" s="418"/>
      <c r="CC271" s="418"/>
      <c r="CD271" s="418"/>
      <c r="CE271" s="418"/>
      <c r="CF271" s="418"/>
      <c r="CG271" s="418"/>
      <c r="CH271" s="418"/>
      <c r="CI271" s="418"/>
      <c r="CJ271" s="418"/>
      <c r="CK271" s="418"/>
      <c r="CL271" s="418"/>
    </row>
    <row r="272" spans="1:90" s="359" customFormat="1" hidden="1">
      <c r="A272" s="418"/>
      <c r="B272" s="385"/>
      <c r="C272" s="361"/>
      <c r="D272" s="386"/>
      <c r="E272" s="362"/>
      <c r="F272" s="387"/>
      <c r="G272" s="364"/>
      <c r="H272" s="365"/>
      <c r="I272" s="366"/>
      <c r="J272" s="367"/>
      <c r="K272" s="384"/>
      <c r="L272" s="388"/>
      <c r="M272" s="384"/>
      <c r="N272" s="369"/>
      <c r="O272" s="369"/>
      <c r="P272" s="369"/>
      <c r="Q272" s="369"/>
      <c r="R272" s="369"/>
      <c r="S272" s="369"/>
      <c r="T272" s="370"/>
      <c r="U272" s="370"/>
      <c r="V272" s="370"/>
      <c r="W272" s="370"/>
      <c r="X272" s="370"/>
      <c r="Y272" s="370"/>
      <c r="Z272" s="370"/>
      <c r="AA272" s="371"/>
      <c r="AB272" s="380"/>
      <c r="AC272" s="373"/>
      <c r="AD272" s="379"/>
      <c r="AE272" s="371"/>
      <c r="AF272" s="375"/>
      <c r="AG272" s="376"/>
      <c r="AH272" s="374"/>
      <c r="AI272" s="371"/>
      <c r="AJ272" s="372"/>
      <c r="AK272" s="376"/>
      <c r="AL272" s="374"/>
      <c r="AM272" s="371"/>
      <c r="AN272" s="372"/>
      <c r="AO272" s="377"/>
      <c r="AP272" s="374"/>
      <c r="AQ272" s="371"/>
      <c r="AR272" s="372"/>
      <c r="AS272" s="377"/>
      <c r="AT272" s="379"/>
      <c r="AU272" s="389"/>
      <c r="AV272" s="381"/>
      <c r="AW272" s="451"/>
      <c r="AX272" s="418"/>
      <c r="AY272" s="418"/>
      <c r="AZ272" s="418"/>
      <c r="BA272" s="418"/>
      <c r="BB272" s="418"/>
      <c r="BC272" s="418"/>
      <c r="BD272" s="418"/>
      <c r="BE272" s="418"/>
      <c r="BF272" s="418"/>
      <c r="BG272" s="418"/>
      <c r="BH272" s="418"/>
      <c r="BI272" s="418"/>
      <c r="BJ272" s="418"/>
      <c r="BK272" s="418"/>
      <c r="BL272" s="418"/>
      <c r="BM272" s="418"/>
      <c r="BN272" s="418"/>
      <c r="BO272" s="418"/>
      <c r="BP272" s="418"/>
      <c r="BQ272" s="418"/>
      <c r="BR272" s="418"/>
      <c r="BS272" s="418"/>
      <c r="BT272" s="418"/>
      <c r="BU272" s="418"/>
      <c r="BV272" s="418"/>
      <c r="BW272" s="418"/>
      <c r="BX272" s="418"/>
      <c r="BY272" s="418"/>
      <c r="BZ272" s="418"/>
      <c r="CA272" s="418"/>
      <c r="CB272" s="418"/>
      <c r="CC272" s="418"/>
      <c r="CD272" s="418"/>
      <c r="CE272" s="418"/>
      <c r="CF272" s="418"/>
      <c r="CG272" s="418"/>
      <c r="CH272" s="418"/>
      <c r="CI272" s="418"/>
      <c r="CJ272" s="418"/>
      <c r="CK272" s="418"/>
      <c r="CL272" s="418"/>
    </row>
    <row r="273" spans="1:90" s="359" customFormat="1" hidden="1">
      <c r="A273" s="418"/>
      <c r="B273" s="385"/>
      <c r="C273" s="361"/>
      <c r="D273" s="386"/>
      <c r="E273" s="362"/>
      <c r="F273" s="387"/>
      <c r="G273" s="364"/>
      <c r="H273" s="365"/>
      <c r="I273" s="366"/>
      <c r="J273" s="367"/>
      <c r="K273" s="384"/>
      <c r="L273" s="388"/>
      <c r="M273" s="384"/>
      <c r="N273" s="369"/>
      <c r="O273" s="369"/>
      <c r="P273" s="369"/>
      <c r="Q273" s="369"/>
      <c r="R273" s="369"/>
      <c r="S273" s="369"/>
      <c r="T273" s="370"/>
      <c r="U273" s="370"/>
      <c r="V273" s="370"/>
      <c r="W273" s="370"/>
      <c r="X273" s="370"/>
      <c r="Y273" s="370"/>
      <c r="Z273" s="370"/>
      <c r="AA273" s="371"/>
      <c r="AB273" s="380"/>
      <c r="AC273" s="373"/>
      <c r="AD273" s="379"/>
      <c r="AE273" s="371"/>
      <c r="AF273" s="375"/>
      <c r="AG273" s="376"/>
      <c r="AH273" s="374"/>
      <c r="AI273" s="371"/>
      <c r="AJ273" s="372"/>
      <c r="AK273" s="376"/>
      <c r="AL273" s="374"/>
      <c r="AM273" s="371"/>
      <c r="AN273" s="372"/>
      <c r="AO273" s="377"/>
      <c r="AP273" s="374"/>
      <c r="AQ273" s="371"/>
      <c r="AR273" s="372"/>
      <c r="AS273" s="377"/>
      <c r="AT273" s="379"/>
      <c r="AU273" s="389"/>
      <c r="AV273" s="381"/>
      <c r="AW273" s="451"/>
      <c r="AX273" s="418"/>
      <c r="AY273" s="418"/>
      <c r="AZ273" s="418"/>
      <c r="BA273" s="418"/>
      <c r="BB273" s="418"/>
      <c r="BC273" s="418"/>
      <c r="BD273" s="418"/>
      <c r="BE273" s="418"/>
      <c r="BF273" s="418"/>
      <c r="BG273" s="418"/>
      <c r="BH273" s="418"/>
      <c r="BI273" s="418"/>
      <c r="BJ273" s="418"/>
      <c r="BK273" s="418"/>
      <c r="BL273" s="418"/>
      <c r="BM273" s="418"/>
      <c r="BN273" s="418"/>
      <c r="BO273" s="418"/>
      <c r="BP273" s="418"/>
      <c r="BQ273" s="418"/>
      <c r="BR273" s="418"/>
      <c r="BS273" s="418"/>
      <c r="BT273" s="418"/>
      <c r="BU273" s="418"/>
      <c r="BV273" s="418"/>
      <c r="BW273" s="418"/>
      <c r="BX273" s="418"/>
      <c r="BY273" s="418"/>
      <c r="BZ273" s="418"/>
      <c r="CA273" s="418"/>
      <c r="CB273" s="418"/>
      <c r="CC273" s="418"/>
      <c r="CD273" s="418"/>
      <c r="CE273" s="418"/>
      <c r="CF273" s="418"/>
      <c r="CG273" s="418"/>
      <c r="CH273" s="418"/>
      <c r="CI273" s="418"/>
      <c r="CJ273" s="418"/>
      <c r="CK273" s="418"/>
      <c r="CL273" s="418"/>
    </row>
    <row r="274" spans="1:90" s="359" customFormat="1" hidden="1">
      <c r="A274" s="418"/>
      <c r="B274" s="385"/>
      <c r="C274" s="361"/>
      <c r="D274" s="386"/>
      <c r="E274" s="362"/>
      <c r="F274" s="387"/>
      <c r="G274" s="364"/>
      <c r="H274" s="365"/>
      <c r="I274" s="366"/>
      <c r="J274" s="367"/>
      <c r="K274" s="384"/>
      <c r="L274" s="388"/>
      <c r="M274" s="384"/>
      <c r="N274" s="369"/>
      <c r="O274" s="369"/>
      <c r="P274" s="369"/>
      <c r="Q274" s="369"/>
      <c r="R274" s="369"/>
      <c r="S274" s="369"/>
      <c r="T274" s="370"/>
      <c r="U274" s="370"/>
      <c r="V274" s="370"/>
      <c r="W274" s="370"/>
      <c r="X274" s="370"/>
      <c r="Y274" s="370"/>
      <c r="Z274" s="370"/>
      <c r="AA274" s="371"/>
      <c r="AB274" s="380"/>
      <c r="AC274" s="373"/>
      <c r="AD274" s="379"/>
      <c r="AE274" s="371"/>
      <c r="AF274" s="375"/>
      <c r="AG274" s="376"/>
      <c r="AH274" s="374"/>
      <c r="AI274" s="371"/>
      <c r="AJ274" s="372"/>
      <c r="AK274" s="376"/>
      <c r="AL274" s="374"/>
      <c r="AM274" s="371"/>
      <c r="AN274" s="372"/>
      <c r="AO274" s="377"/>
      <c r="AP274" s="374"/>
      <c r="AQ274" s="371"/>
      <c r="AR274" s="372"/>
      <c r="AS274" s="377"/>
      <c r="AT274" s="379"/>
      <c r="AU274" s="389"/>
      <c r="AV274" s="381"/>
      <c r="AW274" s="451"/>
      <c r="AX274" s="418"/>
      <c r="AY274" s="418"/>
      <c r="AZ274" s="418"/>
      <c r="BA274" s="418"/>
      <c r="BB274" s="418"/>
      <c r="BC274" s="418"/>
      <c r="BD274" s="418"/>
      <c r="BE274" s="418"/>
      <c r="BF274" s="418"/>
      <c r="BG274" s="418"/>
      <c r="BH274" s="418"/>
      <c r="BI274" s="418"/>
      <c r="BJ274" s="418"/>
      <c r="BK274" s="418"/>
      <c r="BL274" s="418"/>
      <c r="BM274" s="418"/>
      <c r="BN274" s="418"/>
      <c r="BO274" s="418"/>
      <c r="BP274" s="418"/>
      <c r="BQ274" s="418"/>
      <c r="BR274" s="418"/>
      <c r="BS274" s="418"/>
      <c r="BT274" s="418"/>
      <c r="BU274" s="418"/>
      <c r="BV274" s="418"/>
      <c r="BW274" s="418"/>
      <c r="BX274" s="418"/>
      <c r="BY274" s="418"/>
      <c r="BZ274" s="418"/>
      <c r="CA274" s="418"/>
      <c r="CB274" s="418"/>
      <c r="CC274" s="418"/>
      <c r="CD274" s="418"/>
      <c r="CE274" s="418"/>
      <c r="CF274" s="418"/>
      <c r="CG274" s="418"/>
      <c r="CH274" s="418"/>
      <c r="CI274" s="418"/>
      <c r="CJ274" s="418"/>
      <c r="CK274" s="418"/>
      <c r="CL274" s="418"/>
    </row>
    <row r="275" spans="1:90" s="359" customFormat="1" hidden="1">
      <c r="A275" s="418"/>
      <c r="B275" s="385"/>
      <c r="C275" s="361"/>
      <c r="D275" s="386"/>
      <c r="E275" s="362"/>
      <c r="F275" s="387"/>
      <c r="G275" s="364"/>
      <c r="H275" s="365"/>
      <c r="I275" s="366"/>
      <c r="J275" s="367"/>
      <c r="K275" s="384"/>
      <c r="L275" s="388"/>
      <c r="M275" s="384"/>
      <c r="N275" s="369"/>
      <c r="O275" s="369"/>
      <c r="P275" s="369"/>
      <c r="Q275" s="369"/>
      <c r="R275" s="369"/>
      <c r="S275" s="369"/>
      <c r="T275" s="370"/>
      <c r="U275" s="370"/>
      <c r="V275" s="370"/>
      <c r="W275" s="370"/>
      <c r="X275" s="370"/>
      <c r="Y275" s="370"/>
      <c r="Z275" s="370"/>
      <c r="AA275" s="371"/>
      <c r="AB275" s="380"/>
      <c r="AC275" s="373"/>
      <c r="AD275" s="379"/>
      <c r="AE275" s="371"/>
      <c r="AF275" s="375"/>
      <c r="AG275" s="376"/>
      <c r="AH275" s="374"/>
      <c r="AI275" s="371"/>
      <c r="AJ275" s="372"/>
      <c r="AK275" s="376"/>
      <c r="AL275" s="374"/>
      <c r="AM275" s="371"/>
      <c r="AN275" s="372"/>
      <c r="AO275" s="377"/>
      <c r="AP275" s="374"/>
      <c r="AQ275" s="371"/>
      <c r="AR275" s="372"/>
      <c r="AS275" s="377"/>
      <c r="AT275" s="379"/>
      <c r="AU275" s="389"/>
      <c r="AV275" s="381"/>
      <c r="AW275" s="451"/>
      <c r="AX275" s="418"/>
      <c r="AY275" s="418"/>
      <c r="AZ275" s="418"/>
      <c r="BA275" s="418"/>
      <c r="BB275" s="418"/>
      <c r="BC275" s="418"/>
      <c r="BD275" s="418"/>
      <c r="BE275" s="418"/>
      <c r="BF275" s="418"/>
      <c r="BG275" s="418"/>
      <c r="BH275" s="418"/>
      <c r="BI275" s="418"/>
      <c r="BJ275" s="418"/>
      <c r="BK275" s="418"/>
      <c r="BL275" s="418"/>
      <c r="BM275" s="418"/>
      <c r="BN275" s="418"/>
      <c r="BO275" s="418"/>
      <c r="BP275" s="418"/>
      <c r="BQ275" s="418"/>
      <c r="BR275" s="418"/>
      <c r="BS275" s="418"/>
      <c r="BT275" s="418"/>
      <c r="BU275" s="418"/>
      <c r="BV275" s="418"/>
      <c r="BW275" s="418"/>
      <c r="BX275" s="418"/>
      <c r="BY275" s="418"/>
      <c r="BZ275" s="418"/>
      <c r="CA275" s="418"/>
      <c r="CB275" s="418"/>
      <c r="CC275" s="418"/>
      <c r="CD275" s="418"/>
      <c r="CE275" s="418"/>
      <c r="CF275" s="418"/>
      <c r="CG275" s="418"/>
      <c r="CH275" s="418"/>
      <c r="CI275" s="418"/>
      <c r="CJ275" s="418"/>
      <c r="CK275" s="418"/>
      <c r="CL275" s="418"/>
    </row>
    <row r="276" spans="1:90" s="359" customFormat="1" hidden="1">
      <c r="A276" s="418"/>
      <c r="B276" s="385"/>
      <c r="C276" s="361"/>
      <c r="D276" s="386"/>
      <c r="E276" s="362"/>
      <c r="F276" s="387"/>
      <c r="G276" s="364"/>
      <c r="H276" s="365"/>
      <c r="I276" s="366"/>
      <c r="J276" s="367"/>
      <c r="K276" s="384"/>
      <c r="L276" s="388"/>
      <c r="M276" s="384"/>
      <c r="N276" s="369"/>
      <c r="O276" s="369"/>
      <c r="P276" s="369"/>
      <c r="Q276" s="369"/>
      <c r="R276" s="369"/>
      <c r="S276" s="369"/>
      <c r="T276" s="370"/>
      <c r="U276" s="370"/>
      <c r="V276" s="370"/>
      <c r="W276" s="370"/>
      <c r="X276" s="370"/>
      <c r="Y276" s="370"/>
      <c r="Z276" s="370"/>
      <c r="AA276" s="371"/>
      <c r="AB276" s="380"/>
      <c r="AC276" s="373"/>
      <c r="AD276" s="379"/>
      <c r="AE276" s="371"/>
      <c r="AF276" s="375"/>
      <c r="AG276" s="376"/>
      <c r="AH276" s="374"/>
      <c r="AI276" s="371"/>
      <c r="AJ276" s="372"/>
      <c r="AK276" s="376"/>
      <c r="AL276" s="374"/>
      <c r="AM276" s="371"/>
      <c r="AN276" s="372"/>
      <c r="AO276" s="377"/>
      <c r="AP276" s="374"/>
      <c r="AQ276" s="371"/>
      <c r="AR276" s="372"/>
      <c r="AS276" s="377"/>
      <c r="AT276" s="379"/>
      <c r="AU276" s="389"/>
      <c r="AV276" s="381"/>
      <c r="AW276" s="451"/>
      <c r="AX276" s="418"/>
      <c r="AY276" s="418"/>
      <c r="AZ276" s="418"/>
      <c r="BA276" s="418"/>
      <c r="BB276" s="418"/>
      <c r="BC276" s="418"/>
      <c r="BD276" s="418"/>
      <c r="BE276" s="418"/>
      <c r="BF276" s="418"/>
      <c r="BG276" s="418"/>
      <c r="BH276" s="418"/>
      <c r="BI276" s="418"/>
      <c r="BJ276" s="418"/>
      <c r="BK276" s="418"/>
      <c r="BL276" s="418"/>
      <c r="BM276" s="418"/>
      <c r="BN276" s="418"/>
      <c r="BO276" s="418"/>
      <c r="BP276" s="418"/>
      <c r="BQ276" s="418"/>
      <c r="BR276" s="418"/>
      <c r="BS276" s="418"/>
      <c r="BT276" s="418"/>
      <c r="BU276" s="418"/>
      <c r="BV276" s="418"/>
      <c r="BW276" s="418"/>
      <c r="BX276" s="418"/>
      <c r="BY276" s="418"/>
      <c r="BZ276" s="418"/>
      <c r="CA276" s="418"/>
      <c r="CB276" s="418"/>
      <c r="CC276" s="418"/>
      <c r="CD276" s="418"/>
      <c r="CE276" s="418"/>
      <c r="CF276" s="418"/>
      <c r="CG276" s="418"/>
      <c r="CH276" s="418"/>
      <c r="CI276" s="418"/>
      <c r="CJ276" s="418"/>
      <c r="CK276" s="418"/>
      <c r="CL276" s="418"/>
    </row>
    <row r="277" spans="1:90" s="359" customFormat="1" hidden="1">
      <c r="A277" s="418"/>
      <c r="B277" s="385"/>
      <c r="C277" s="361"/>
      <c r="D277" s="386"/>
      <c r="E277" s="362"/>
      <c r="F277" s="387"/>
      <c r="G277" s="364"/>
      <c r="H277" s="365"/>
      <c r="I277" s="366"/>
      <c r="J277" s="367"/>
      <c r="K277" s="384"/>
      <c r="L277" s="388"/>
      <c r="M277" s="384"/>
      <c r="N277" s="369"/>
      <c r="O277" s="369"/>
      <c r="P277" s="369"/>
      <c r="Q277" s="369"/>
      <c r="R277" s="369"/>
      <c r="S277" s="369"/>
      <c r="T277" s="370"/>
      <c r="U277" s="370"/>
      <c r="V277" s="370"/>
      <c r="W277" s="370"/>
      <c r="X277" s="370"/>
      <c r="Y277" s="370"/>
      <c r="Z277" s="370"/>
      <c r="AA277" s="371"/>
      <c r="AB277" s="380"/>
      <c r="AC277" s="373"/>
      <c r="AD277" s="379"/>
      <c r="AE277" s="371"/>
      <c r="AF277" s="375"/>
      <c r="AG277" s="376"/>
      <c r="AH277" s="374"/>
      <c r="AI277" s="371"/>
      <c r="AJ277" s="372"/>
      <c r="AK277" s="376"/>
      <c r="AL277" s="374"/>
      <c r="AM277" s="371"/>
      <c r="AN277" s="372"/>
      <c r="AO277" s="377"/>
      <c r="AP277" s="374"/>
      <c r="AQ277" s="371"/>
      <c r="AR277" s="372"/>
      <c r="AS277" s="377"/>
      <c r="AT277" s="379"/>
      <c r="AU277" s="389"/>
      <c r="AV277" s="381"/>
      <c r="AW277" s="451"/>
      <c r="AX277" s="418"/>
      <c r="AY277" s="418"/>
      <c r="AZ277" s="418"/>
      <c r="BA277" s="418"/>
      <c r="BB277" s="418"/>
      <c r="BC277" s="418"/>
      <c r="BD277" s="418"/>
      <c r="BE277" s="418"/>
      <c r="BF277" s="418"/>
      <c r="BG277" s="418"/>
      <c r="BH277" s="418"/>
      <c r="BI277" s="418"/>
      <c r="BJ277" s="418"/>
      <c r="BK277" s="418"/>
      <c r="BL277" s="418"/>
      <c r="BM277" s="418"/>
      <c r="BN277" s="418"/>
      <c r="BO277" s="418"/>
      <c r="BP277" s="418"/>
      <c r="BQ277" s="418"/>
      <c r="BR277" s="418"/>
      <c r="BS277" s="418"/>
      <c r="BT277" s="418"/>
      <c r="BU277" s="418"/>
      <c r="BV277" s="418"/>
      <c r="BW277" s="418"/>
      <c r="BX277" s="418"/>
      <c r="BY277" s="418"/>
      <c r="BZ277" s="418"/>
      <c r="CA277" s="418"/>
      <c r="CB277" s="418"/>
      <c r="CC277" s="418"/>
      <c r="CD277" s="418"/>
      <c r="CE277" s="418"/>
      <c r="CF277" s="418"/>
      <c r="CG277" s="418"/>
      <c r="CH277" s="418"/>
      <c r="CI277" s="418"/>
      <c r="CJ277" s="418"/>
      <c r="CK277" s="418"/>
      <c r="CL277" s="418"/>
    </row>
    <row r="278" spans="1:90" s="359" customFormat="1" hidden="1">
      <c r="A278" s="418"/>
      <c r="B278" s="385"/>
      <c r="C278" s="361"/>
      <c r="D278" s="386"/>
      <c r="E278" s="362"/>
      <c r="F278" s="387"/>
      <c r="G278" s="364"/>
      <c r="H278" s="365"/>
      <c r="I278" s="366"/>
      <c r="J278" s="367"/>
      <c r="K278" s="384"/>
      <c r="L278" s="388"/>
      <c r="M278" s="384"/>
      <c r="N278" s="369"/>
      <c r="O278" s="369"/>
      <c r="P278" s="369"/>
      <c r="Q278" s="369"/>
      <c r="R278" s="369"/>
      <c r="S278" s="369"/>
      <c r="T278" s="370"/>
      <c r="U278" s="370"/>
      <c r="V278" s="370"/>
      <c r="W278" s="370"/>
      <c r="X278" s="370"/>
      <c r="Y278" s="370"/>
      <c r="Z278" s="370"/>
      <c r="AA278" s="371"/>
      <c r="AB278" s="380"/>
      <c r="AC278" s="373"/>
      <c r="AD278" s="379"/>
      <c r="AE278" s="371"/>
      <c r="AF278" s="375"/>
      <c r="AG278" s="376"/>
      <c r="AH278" s="374"/>
      <c r="AI278" s="371"/>
      <c r="AJ278" s="372"/>
      <c r="AK278" s="376"/>
      <c r="AL278" s="374"/>
      <c r="AM278" s="371"/>
      <c r="AN278" s="372"/>
      <c r="AO278" s="377"/>
      <c r="AP278" s="374"/>
      <c r="AQ278" s="371"/>
      <c r="AR278" s="372"/>
      <c r="AS278" s="377"/>
      <c r="AT278" s="379"/>
      <c r="AU278" s="389"/>
      <c r="AV278" s="381"/>
      <c r="AW278" s="451"/>
      <c r="AX278" s="418"/>
      <c r="AY278" s="418"/>
      <c r="AZ278" s="418"/>
      <c r="BA278" s="418"/>
      <c r="BB278" s="418"/>
      <c r="BC278" s="418"/>
      <c r="BD278" s="418"/>
      <c r="BE278" s="418"/>
      <c r="BF278" s="418"/>
      <c r="BG278" s="418"/>
      <c r="BH278" s="418"/>
      <c r="BI278" s="418"/>
      <c r="BJ278" s="418"/>
      <c r="BK278" s="418"/>
      <c r="BL278" s="418"/>
      <c r="BM278" s="418"/>
      <c r="BN278" s="418"/>
      <c r="BO278" s="418"/>
      <c r="BP278" s="418"/>
      <c r="BQ278" s="418"/>
      <c r="BR278" s="418"/>
      <c r="BS278" s="418"/>
      <c r="BT278" s="418"/>
      <c r="BU278" s="418"/>
      <c r="BV278" s="418"/>
      <c r="BW278" s="418"/>
      <c r="BX278" s="418"/>
      <c r="BY278" s="418"/>
      <c r="BZ278" s="418"/>
      <c r="CA278" s="418"/>
      <c r="CB278" s="418"/>
      <c r="CC278" s="418"/>
      <c r="CD278" s="418"/>
      <c r="CE278" s="418"/>
      <c r="CF278" s="418"/>
      <c r="CG278" s="418"/>
      <c r="CH278" s="418"/>
      <c r="CI278" s="418"/>
      <c r="CJ278" s="418"/>
      <c r="CK278" s="418"/>
      <c r="CL278" s="418"/>
    </row>
    <row r="279" spans="1:90" s="359" customFormat="1" hidden="1">
      <c r="A279" s="418"/>
      <c r="B279" s="385"/>
      <c r="C279" s="361"/>
      <c r="D279" s="386"/>
      <c r="E279" s="362"/>
      <c r="F279" s="387"/>
      <c r="G279" s="364"/>
      <c r="H279" s="365"/>
      <c r="I279" s="366"/>
      <c r="J279" s="367"/>
      <c r="K279" s="384"/>
      <c r="L279" s="388"/>
      <c r="M279" s="384"/>
      <c r="N279" s="369"/>
      <c r="O279" s="369"/>
      <c r="P279" s="369"/>
      <c r="Q279" s="369"/>
      <c r="R279" s="369"/>
      <c r="S279" s="369"/>
      <c r="T279" s="370"/>
      <c r="U279" s="370"/>
      <c r="V279" s="370"/>
      <c r="W279" s="370"/>
      <c r="X279" s="370"/>
      <c r="Y279" s="370"/>
      <c r="Z279" s="370"/>
      <c r="AA279" s="371"/>
      <c r="AB279" s="380"/>
      <c r="AC279" s="373"/>
      <c r="AD279" s="379"/>
      <c r="AE279" s="371"/>
      <c r="AF279" s="375"/>
      <c r="AG279" s="376"/>
      <c r="AH279" s="374"/>
      <c r="AI279" s="371"/>
      <c r="AJ279" s="372"/>
      <c r="AK279" s="376"/>
      <c r="AL279" s="374"/>
      <c r="AM279" s="371"/>
      <c r="AN279" s="372"/>
      <c r="AO279" s="377"/>
      <c r="AP279" s="374"/>
      <c r="AQ279" s="371"/>
      <c r="AR279" s="372"/>
      <c r="AS279" s="377"/>
      <c r="AT279" s="379"/>
      <c r="AU279" s="389"/>
      <c r="AV279" s="381"/>
      <c r="AW279" s="451"/>
      <c r="AX279" s="418"/>
      <c r="AY279" s="418"/>
      <c r="AZ279" s="418"/>
      <c r="BA279" s="418"/>
      <c r="BB279" s="418"/>
      <c r="BC279" s="418"/>
      <c r="BD279" s="418"/>
      <c r="BE279" s="418"/>
      <c r="BF279" s="418"/>
      <c r="BG279" s="418"/>
      <c r="BH279" s="418"/>
      <c r="BI279" s="418"/>
      <c r="BJ279" s="418"/>
      <c r="BK279" s="418"/>
      <c r="BL279" s="418"/>
      <c r="BM279" s="418"/>
      <c r="BN279" s="418"/>
      <c r="BO279" s="418"/>
      <c r="BP279" s="418"/>
      <c r="BQ279" s="418"/>
      <c r="BR279" s="418"/>
      <c r="BS279" s="418"/>
      <c r="BT279" s="418"/>
      <c r="BU279" s="418"/>
      <c r="BV279" s="418"/>
      <c r="BW279" s="418"/>
      <c r="BX279" s="418"/>
      <c r="BY279" s="418"/>
      <c r="BZ279" s="418"/>
      <c r="CA279" s="418"/>
      <c r="CB279" s="418"/>
      <c r="CC279" s="418"/>
      <c r="CD279" s="418"/>
      <c r="CE279" s="418"/>
      <c r="CF279" s="418"/>
      <c r="CG279" s="418"/>
      <c r="CH279" s="418"/>
      <c r="CI279" s="418"/>
      <c r="CJ279" s="418"/>
      <c r="CK279" s="418"/>
      <c r="CL279" s="418"/>
    </row>
    <row r="280" spans="1:90" s="359" customFormat="1" hidden="1">
      <c r="A280" s="418"/>
      <c r="B280" s="385"/>
      <c r="C280" s="361"/>
      <c r="D280" s="386"/>
      <c r="E280" s="362"/>
      <c r="F280" s="387"/>
      <c r="G280" s="364"/>
      <c r="H280" s="365"/>
      <c r="I280" s="366"/>
      <c r="J280" s="367"/>
      <c r="K280" s="384"/>
      <c r="L280" s="388"/>
      <c r="M280" s="384"/>
      <c r="N280" s="369"/>
      <c r="O280" s="369"/>
      <c r="P280" s="369"/>
      <c r="Q280" s="369"/>
      <c r="R280" s="369"/>
      <c r="S280" s="369"/>
      <c r="T280" s="370"/>
      <c r="U280" s="370"/>
      <c r="V280" s="370"/>
      <c r="W280" s="370"/>
      <c r="X280" s="370"/>
      <c r="Y280" s="370"/>
      <c r="Z280" s="370"/>
      <c r="AA280" s="371"/>
      <c r="AB280" s="380"/>
      <c r="AC280" s="373"/>
      <c r="AD280" s="379"/>
      <c r="AE280" s="371"/>
      <c r="AF280" s="375"/>
      <c r="AG280" s="376"/>
      <c r="AH280" s="374"/>
      <c r="AI280" s="371"/>
      <c r="AJ280" s="372"/>
      <c r="AK280" s="376"/>
      <c r="AL280" s="374"/>
      <c r="AM280" s="371"/>
      <c r="AN280" s="372"/>
      <c r="AO280" s="377"/>
      <c r="AP280" s="374"/>
      <c r="AQ280" s="371"/>
      <c r="AR280" s="372"/>
      <c r="AS280" s="377"/>
      <c r="AT280" s="379"/>
      <c r="AU280" s="389"/>
      <c r="AV280" s="381"/>
      <c r="AW280" s="451"/>
      <c r="AX280" s="418"/>
      <c r="AY280" s="418"/>
      <c r="AZ280" s="418"/>
      <c r="BA280" s="418"/>
      <c r="BB280" s="418"/>
      <c r="BC280" s="418"/>
      <c r="BD280" s="418"/>
      <c r="BE280" s="418"/>
      <c r="BF280" s="418"/>
      <c r="BG280" s="418"/>
      <c r="BH280" s="418"/>
      <c r="BI280" s="418"/>
      <c r="BJ280" s="418"/>
      <c r="BK280" s="418"/>
      <c r="BL280" s="418"/>
      <c r="BM280" s="418"/>
      <c r="BN280" s="418"/>
      <c r="BO280" s="418"/>
      <c r="BP280" s="418"/>
      <c r="BQ280" s="418"/>
      <c r="BR280" s="418"/>
      <c r="BS280" s="418"/>
      <c r="BT280" s="418"/>
      <c r="BU280" s="418"/>
      <c r="BV280" s="418"/>
      <c r="BW280" s="418"/>
      <c r="BX280" s="418"/>
      <c r="BY280" s="418"/>
      <c r="BZ280" s="418"/>
      <c r="CA280" s="418"/>
      <c r="CB280" s="418"/>
      <c r="CC280" s="418"/>
      <c r="CD280" s="418"/>
      <c r="CE280" s="418"/>
      <c r="CF280" s="418"/>
      <c r="CG280" s="418"/>
      <c r="CH280" s="418"/>
      <c r="CI280" s="418"/>
      <c r="CJ280" s="418"/>
      <c r="CK280" s="418"/>
      <c r="CL280" s="418"/>
    </row>
    <row r="281" spans="1:90" s="359" customFormat="1" hidden="1">
      <c r="A281" s="418"/>
      <c r="B281" s="385"/>
      <c r="C281" s="361"/>
      <c r="D281" s="386"/>
      <c r="E281" s="362"/>
      <c r="F281" s="387"/>
      <c r="G281" s="364"/>
      <c r="H281" s="365"/>
      <c r="I281" s="366"/>
      <c r="J281" s="367"/>
      <c r="K281" s="384"/>
      <c r="L281" s="388"/>
      <c r="M281" s="384"/>
      <c r="N281" s="369"/>
      <c r="O281" s="369"/>
      <c r="P281" s="369"/>
      <c r="Q281" s="369"/>
      <c r="R281" s="369"/>
      <c r="S281" s="369"/>
      <c r="T281" s="370"/>
      <c r="U281" s="370"/>
      <c r="V281" s="370"/>
      <c r="W281" s="370"/>
      <c r="X281" s="370"/>
      <c r="Y281" s="370"/>
      <c r="Z281" s="370"/>
      <c r="AA281" s="371"/>
      <c r="AB281" s="380"/>
      <c r="AC281" s="373"/>
      <c r="AD281" s="379"/>
      <c r="AE281" s="371"/>
      <c r="AF281" s="375"/>
      <c r="AG281" s="376"/>
      <c r="AH281" s="374"/>
      <c r="AI281" s="371"/>
      <c r="AJ281" s="372"/>
      <c r="AK281" s="376"/>
      <c r="AL281" s="374"/>
      <c r="AM281" s="371"/>
      <c r="AN281" s="372"/>
      <c r="AO281" s="377"/>
      <c r="AP281" s="374"/>
      <c r="AQ281" s="371"/>
      <c r="AR281" s="372"/>
      <c r="AS281" s="377"/>
      <c r="AT281" s="379"/>
      <c r="AU281" s="389"/>
      <c r="AV281" s="381"/>
      <c r="AW281" s="451"/>
      <c r="AX281" s="418"/>
      <c r="AY281" s="418"/>
      <c r="AZ281" s="418"/>
      <c r="BA281" s="418"/>
      <c r="BB281" s="418"/>
      <c r="BC281" s="418"/>
      <c r="BD281" s="418"/>
      <c r="BE281" s="418"/>
      <c r="BF281" s="418"/>
      <c r="BG281" s="418"/>
      <c r="BH281" s="418"/>
      <c r="BI281" s="418"/>
      <c r="BJ281" s="418"/>
      <c r="BK281" s="418"/>
      <c r="BL281" s="418"/>
      <c r="BM281" s="418"/>
      <c r="BN281" s="418"/>
      <c r="BO281" s="418"/>
      <c r="BP281" s="418"/>
      <c r="BQ281" s="418"/>
      <c r="BR281" s="418"/>
      <c r="BS281" s="418"/>
      <c r="BT281" s="418"/>
      <c r="BU281" s="418"/>
      <c r="BV281" s="418"/>
      <c r="BW281" s="418"/>
      <c r="BX281" s="418"/>
      <c r="BY281" s="418"/>
      <c r="BZ281" s="418"/>
      <c r="CA281" s="418"/>
      <c r="CB281" s="418"/>
      <c r="CC281" s="418"/>
      <c r="CD281" s="418"/>
      <c r="CE281" s="418"/>
      <c r="CF281" s="418"/>
      <c r="CG281" s="418"/>
      <c r="CH281" s="418"/>
      <c r="CI281" s="418"/>
      <c r="CJ281" s="418"/>
      <c r="CK281" s="418"/>
      <c r="CL281" s="418"/>
    </row>
    <row r="282" spans="1:90" s="359" customFormat="1" hidden="1">
      <c r="A282" s="418"/>
      <c r="B282" s="385"/>
      <c r="C282" s="361"/>
      <c r="D282" s="386"/>
      <c r="E282" s="362"/>
      <c r="F282" s="387"/>
      <c r="G282" s="364"/>
      <c r="H282" s="365"/>
      <c r="I282" s="366"/>
      <c r="J282" s="367"/>
      <c r="K282" s="384"/>
      <c r="L282" s="388"/>
      <c r="M282" s="384"/>
      <c r="N282" s="369"/>
      <c r="O282" s="369"/>
      <c r="P282" s="369"/>
      <c r="Q282" s="369"/>
      <c r="R282" s="369"/>
      <c r="S282" s="369"/>
      <c r="T282" s="370"/>
      <c r="U282" s="370"/>
      <c r="V282" s="370"/>
      <c r="W282" s="370"/>
      <c r="X282" s="370"/>
      <c r="Y282" s="370"/>
      <c r="Z282" s="370"/>
      <c r="AA282" s="371"/>
      <c r="AB282" s="380"/>
      <c r="AC282" s="373"/>
      <c r="AD282" s="379"/>
      <c r="AE282" s="371"/>
      <c r="AF282" s="375"/>
      <c r="AG282" s="376"/>
      <c r="AH282" s="374"/>
      <c r="AI282" s="371"/>
      <c r="AJ282" s="372"/>
      <c r="AK282" s="376"/>
      <c r="AL282" s="374"/>
      <c r="AM282" s="371"/>
      <c r="AN282" s="372"/>
      <c r="AO282" s="377"/>
      <c r="AP282" s="374"/>
      <c r="AQ282" s="371"/>
      <c r="AR282" s="372"/>
      <c r="AS282" s="377"/>
      <c r="AT282" s="379"/>
      <c r="AU282" s="389"/>
      <c r="AV282" s="381"/>
      <c r="AW282" s="451"/>
      <c r="AX282" s="418"/>
      <c r="AY282" s="418"/>
      <c r="AZ282" s="418"/>
      <c r="BA282" s="418"/>
      <c r="BB282" s="418"/>
      <c r="BC282" s="418"/>
      <c r="BD282" s="418"/>
      <c r="BE282" s="418"/>
      <c r="BF282" s="418"/>
      <c r="BG282" s="418"/>
      <c r="BH282" s="418"/>
      <c r="BI282" s="418"/>
      <c r="BJ282" s="418"/>
      <c r="BK282" s="418"/>
      <c r="BL282" s="418"/>
      <c r="BM282" s="418"/>
      <c r="BN282" s="418"/>
      <c r="BO282" s="418"/>
      <c r="BP282" s="418"/>
      <c r="BQ282" s="418"/>
      <c r="BR282" s="418"/>
      <c r="BS282" s="418"/>
      <c r="BT282" s="418"/>
      <c r="BU282" s="418"/>
      <c r="BV282" s="418"/>
      <c r="BW282" s="418"/>
      <c r="BX282" s="418"/>
      <c r="BY282" s="418"/>
      <c r="BZ282" s="418"/>
      <c r="CA282" s="418"/>
      <c r="CB282" s="418"/>
      <c r="CC282" s="418"/>
      <c r="CD282" s="418"/>
      <c r="CE282" s="418"/>
      <c r="CF282" s="418"/>
      <c r="CG282" s="418"/>
      <c r="CH282" s="418"/>
      <c r="CI282" s="418"/>
      <c r="CJ282" s="418"/>
      <c r="CK282" s="418"/>
      <c r="CL282" s="418"/>
    </row>
    <row r="283" spans="1:90" s="359" customFormat="1" hidden="1">
      <c r="A283" s="418"/>
      <c r="B283" s="385"/>
      <c r="C283" s="361"/>
      <c r="D283" s="386"/>
      <c r="E283" s="362"/>
      <c r="F283" s="387"/>
      <c r="G283" s="364"/>
      <c r="H283" s="365"/>
      <c r="I283" s="366"/>
      <c r="J283" s="367"/>
      <c r="K283" s="384"/>
      <c r="L283" s="388"/>
      <c r="M283" s="384"/>
      <c r="N283" s="369"/>
      <c r="O283" s="369"/>
      <c r="P283" s="369"/>
      <c r="Q283" s="369"/>
      <c r="R283" s="369"/>
      <c r="S283" s="369"/>
      <c r="T283" s="370"/>
      <c r="U283" s="370"/>
      <c r="V283" s="370"/>
      <c r="W283" s="370"/>
      <c r="X283" s="370"/>
      <c r="Y283" s="370"/>
      <c r="Z283" s="370"/>
      <c r="AA283" s="371"/>
      <c r="AB283" s="380"/>
      <c r="AC283" s="373"/>
      <c r="AD283" s="379"/>
      <c r="AE283" s="371"/>
      <c r="AF283" s="375"/>
      <c r="AG283" s="376"/>
      <c r="AH283" s="374"/>
      <c r="AI283" s="371"/>
      <c r="AJ283" s="372"/>
      <c r="AK283" s="376"/>
      <c r="AL283" s="374"/>
      <c r="AM283" s="371"/>
      <c r="AN283" s="372"/>
      <c r="AO283" s="377"/>
      <c r="AP283" s="374"/>
      <c r="AQ283" s="371"/>
      <c r="AR283" s="372"/>
      <c r="AS283" s="377"/>
      <c r="AT283" s="379"/>
      <c r="AU283" s="389"/>
      <c r="AV283" s="381"/>
      <c r="AW283" s="451"/>
      <c r="AX283" s="418"/>
      <c r="AY283" s="418"/>
      <c r="AZ283" s="418"/>
      <c r="BA283" s="418"/>
      <c r="BB283" s="418"/>
      <c r="BC283" s="418"/>
      <c r="BD283" s="418"/>
      <c r="BE283" s="418"/>
      <c r="BF283" s="418"/>
      <c r="BG283" s="418"/>
      <c r="BH283" s="418"/>
      <c r="BI283" s="418"/>
      <c r="BJ283" s="418"/>
      <c r="BK283" s="418"/>
      <c r="BL283" s="418"/>
      <c r="BM283" s="418"/>
      <c r="BN283" s="418"/>
      <c r="BO283" s="418"/>
      <c r="BP283" s="418"/>
      <c r="BQ283" s="418"/>
      <c r="BR283" s="418"/>
      <c r="BS283" s="418"/>
      <c r="BT283" s="418"/>
      <c r="BU283" s="418"/>
      <c r="BV283" s="418"/>
      <c r="BW283" s="418"/>
      <c r="BX283" s="418"/>
      <c r="BY283" s="418"/>
      <c r="BZ283" s="418"/>
      <c r="CA283" s="418"/>
      <c r="CB283" s="418"/>
      <c r="CC283" s="418"/>
      <c r="CD283" s="418"/>
      <c r="CE283" s="418"/>
      <c r="CF283" s="418"/>
      <c r="CG283" s="418"/>
      <c r="CH283" s="418"/>
      <c r="CI283" s="418"/>
      <c r="CJ283" s="418"/>
      <c r="CK283" s="418"/>
      <c r="CL283" s="418"/>
    </row>
    <row r="284" spans="1:90" s="359" customFormat="1" hidden="1">
      <c r="A284" s="418"/>
      <c r="B284" s="385"/>
      <c r="C284" s="361"/>
      <c r="D284" s="386"/>
      <c r="E284" s="362"/>
      <c r="F284" s="387"/>
      <c r="G284" s="364"/>
      <c r="H284" s="365"/>
      <c r="I284" s="366"/>
      <c r="J284" s="367"/>
      <c r="K284" s="384"/>
      <c r="L284" s="388"/>
      <c r="M284" s="384"/>
      <c r="N284" s="369"/>
      <c r="O284" s="369"/>
      <c r="P284" s="369"/>
      <c r="Q284" s="369"/>
      <c r="R284" s="369"/>
      <c r="S284" s="369"/>
      <c r="T284" s="370"/>
      <c r="U284" s="370"/>
      <c r="V284" s="370"/>
      <c r="W284" s="370"/>
      <c r="X284" s="370"/>
      <c r="Y284" s="370"/>
      <c r="Z284" s="370"/>
      <c r="AA284" s="371"/>
      <c r="AB284" s="380"/>
      <c r="AC284" s="373"/>
      <c r="AD284" s="379"/>
      <c r="AE284" s="371"/>
      <c r="AF284" s="375"/>
      <c r="AG284" s="376"/>
      <c r="AH284" s="374"/>
      <c r="AI284" s="371"/>
      <c r="AJ284" s="372"/>
      <c r="AK284" s="376"/>
      <c r="AL284" s="374"/>
      <c r="AM284" s="371"/>
      <c r="AN284" s="372"/>
      <c r="AO284" s="377"/>
      <c r="AP284" s="374"/>
      <c r="AQ284" s="371"/>
      <c r="AR284" s="372"/>
      <c r="AS284" s="377"/>
      <c r="AT284" s="379"/>
      <c r="AU284" s="389"/>
      <c r="AV284" s="381"/>
      <c r="AW284" s="451"/>
      <c r="AX284" s="418"/>
      <c r="AY284" s="418"/>
      <c r="AZ284" s="418"/>
      <c r="BA284" s="418"/>
      <c r="BB284" s="418"/>
      <c r="BC284" s="418"/>
      <c r="BD284" s="418"/>
      <c r="BE284" s="418"/>
      <c r="BF284" s="418"/>
      <c r="BG284" s="418"/>
      <c r="BH284" s="418"/>
      <c r="BI284" s="418"/>
      <c r="BJ284" s="418"/>
      <c r="BK284" s="418"/>
      <c r="BL284" s="418"/>
      <c r="BM284" s="418"/>
      <c r="BN284" s="418"/>
      <c r="BO284" s="418"/>
      <c r="BP284" s="418"/>
      <c r="BQ284" s="418"/>
      <c r="BR284" s="418"/>
      <c r="BS284" s="418"/>
      <c r="BT284" s="418"/>
      <c r="BU284" s="418"/>
      <c r="BV284" s="418"/>
      <c r="BW284" s="418"/>
      <c r="BX284" s="418"/>
      <c r="BY284" s="418"/>
      <c r="BZ284" s="418"/>
      <c r="CA284" s="418"/>
      <c r="CB284" s="418"/>
      <c r="CC284" s="418"/>
      <c r="CD284" s="418"/>
      <c r="CE284" s="418"/>
      <c r="CF284" s="418"/>
      <c r="CG284" s="418"/>
      <c r="CH284" s="418"/>
      <c r="CI284" s="418"/>
      <c r="CJ284" s="418"/>
      <c r="CK284" s="418"/>
      <c r="CL284" s="418"/>
    </row>
    <row r="285" spans="1:90" s="359" customFormat="1" hidden="1">
      <c r="A285" s="418"/>
      <c r="B285" s="385"/>
      <c r="C285" s="361"/>
      <c r="D285" s="386"/>
      <c r="E285" s="362"/>
      <c r="F285" s="387"/>
      <c r="G285" s="364"/>
      <c r="H285" s="365"/>
      <c r="I285" s="366"/>
      <c r="J285" s="367"/>
      <c r="K285" s="384"/>
      <c r="L285" s="388"/>
      <c r="M285" s="384"/>
      <c r="N285" s="369"/>
      <c r="O285" s="369"/>
      <c r="P285" s="369"/>
      <c r="Q285" s="369"/>
      <c r="R285" s="369"/>
      <c r="S285" s="369"/>
      <c r="T285" s="370"/>
      <c r="U285" s="370"/>
      <c r="V285" s="370"/>
      <c r="W285" s="370"/>
      <c r="X285" s="370"/>
      <c r="Y285" s="370"/>
      <c r="Z285" s="370"/>
      <c r="AA285" s="371"/>
      <c r="AB285" s="380"/>
      <c r="AC285" s="373"/>
      <c r="AD285" s="379"/>
      <c r="AE285" s="371"/>
      <c r="AF285" s="375"/>
      <c r="AG285" s="376"/>
      <c r="AH285" s="374"/>
      <c r="AI285" s="371"/>
      <c r="AJ285" s="372"/>
      <c r="AK285" s="376"/>
      <c r="AL285" s="374"/>
      <c r="AM285" s="371"/>
      <c r="AN285" s="372"/>
      <c r="AO285" s="377"/>
      <c r="AP285" s="374"/>
      <c r="AQ285" s="371"/>
      <c r="AR285" s="372"/>
      <c r="AS285" s="377"/>
      <c r="AT285" s="379"/>
      <c r="AU285" s="389"/>
      <c r="AV285" s="381"/>
      <c r="AW285" s="451"/>
      <c r="AX285" s="418"/>
      <c r="AY285" s="418"/>
      <c r="AZ285" s="418"/>
      <c r="BA285" s="418"/>
      <c r="BB285" s="418"/>
      <c r="BC285" s="418"/>
      <c r="BD285" s="418"/>
      <c r="BE285" s="418"/>
      <c r="BF285" s="418"/>
      <c r="BG285" s="418"/>
      <c r="BH285" s="418"/>
      <c r="BI285" s="418"/>
      <c r="BJ285" s="418"/>
      <c r="BK285" s="418"/>
      <c r="BL285" s="418"/>
      <c r="BM285" s="418"/>
      <c r="BN285" s="418"/>
      <c r="BO285" s="418"/>
      <c r="BP285" s="418"/>
      <c r="BQ285" s="418"/>
      <c r="BR285" s="418"/>
      <c r="BS285" s="418"/>
      <c r="BT285" s="418"/>
      <c r="BU285" s="418"/>
      <c r="BV285" s="418"/>
      <c r="BW285" s="418"/>
      <c r="BX285" s="418"/>
      <c r="BY285" s="418"/>
      <c r="BZ285" s="418"/>
      <c r="CA285" s="418"/>
      <c r="CB285" s="418"/>
      <c r="CC285" s="418"/>
      <c r="CD285" s="418"/>
      <c r="CE285" s="418"/>
      <c r="CF285" s="418"/>
      <c r="CG285" s="418"/>
      <c r="CH285" s="418"/>
      <c r="CI285" s="418"/>
      <c r="CJ285" s="418"/>
      <c r="CK285" s="418"/>
      <c r="CL285" s="418"/>
    </row>
    <row r="286" spans="1:90" s="359" customFormat="1" hidden="1">
      <c r="A286" s="418"/>
      <c r="B286" s="385"/>
      <c r="C286" s="361"/>
      <c r="D286" s="386"/>
      <c r="E286" s="362"/>
      <c r="F286" s="387"/>
      <c r="G286" s="364"/>
      <c r="H286" s="365"/>
      <c r="I286" s="366"/>
      <c r="J286" s="367"/>
      <c r="K286" s="384"/>
      <c r="L286" s="388"/>
      <c r="M286" s="384"/>
      <c r="N286" s="369"/>
      <c r="O286" s="369"/>
      <c r="P286" s="369"/>
      <c r="Q286" s="369"/>
      <c r="R286" s="369"/>
      <c r="S286" s="369"/>
      <c r="T286" s="370"/>
      <c r="U286" s="370"/>
      <c r="V286" s="370"/>
      <c r="W286" s="370"/>
      <c r="X286" s="370"/>
      <c r="Y286" s="370"/>
      <c r="Z286" s="370"/>
      <c r="AA286" s="371"/>
      <c r="AB286" s="380"/>
      <c r="AC286" s="373"/>
      <c r="AD286" s="379"/>
      <c r="AE286" s="371"/>
      <c r="AF286" s="375"/>
      <c r="AG286" s="376"/>
      <c r="AH286" s="374"/>
      <c r="AI286" s="371"/>
      <c r="AJ286" s="372"/>
      <c r="AK286" s="376"/>
      <c r="AL286" s="374"/>
      <c r="AM286" s="371"/>
      <c r="AN286" s="372"/>
      <c r="AO286" s="377"/>
      <c r="AP286" s="374"/>
      <c r="AQ286" s="371"/>
      <c r="AR286" s="372"/>
      <c r="AS286" s="377"/>
      <c r="AT286" s="379"/>
      <c r="AU286" s="389"/>
      <c r="AV286" s="381"/>
      <c r="AW286" s="451"/>
      <c r="AX286" s="418"/>
      <c r="AY286" s="418"/>
      <c r="AZ286" s="418"/>
      <c r="BA286" s="418"/>
      <c r="BB286" s="418"/>
      <c r="BC286" s="418"/>
      <c r="BD286" s="418"/>
      <c r="BE286" s="418"/>
      <c r="BF286" s="418"/>
      <c r="BG286" s="418"/>
      <c r="BH286" s="418"/>
      <c r="BI286" s="418"/>
      <c r="BJ286" s="418"/>
      <c r="BK286" s="418"/>
      <c r="BL286" s="418"/>
      <c r="BM286" s="418"/>
      <c r="BN286" s="418"/>
      <c r="BO286" s="418"/>
      <c r="BP286" s="418"/>
      <c r="BQ286" s="418"/>
      <c r="BR286" s="418"/>
      <c r="BS286" s="418"/>
      <c r="BT286" s="418"/>
      <c r="BU286" s="418"/>
      <c r="BV286" s="418"/>
      <c r="BW286" s="418"/>
      <c r="BX286" s="418"/>
      <c r="BY286" s="418"/>
      <c r="BZ286" s="418"/>
      <c r="CA286" s="418"/>
      <c r="CB286" s="418"/>
      <c r="CC286" s="418"/>
      <c r="CD286" s="418"/>
      <c r="CE286" s="418"/>
      <c r="CF286" s="418"/>
      <c r="CG286" s="418"/>
      <c r="CH286" s="418"/>
      <c r="CI286" s="418"/>
      <c r="CJ286" s="418"/>
      <c r="CK286" s="418"/>
      <c r="CL286" s="418"/>
    </row>
    <row r="287" spans="1:90" s="359" customFormat="1" hidden="1">
      <c r="A287" s="418"/>
      <c r="B287" s="385"/>
      <c r="C287" s="361"/>
      <c r="D287" s="386"/>
      <c r="E287" s="362"/>
      <c r="F287" s="387"/>
      <c r="G287" s="364"/>
      <c r="H287" s="365"/>
      <c r="I287" s="366"/>
      <c r="J287" s="367"/>
      <c r="K287" s="384"/>
      <c r="L287" s="388"/>
      <c r="M287" s="384"/>
      <c r="N287" s="369"/>
      <c r="O287" s="369"/>
      <c r="P287" s="369"/>
      <c r="Q287" s="369"/>
      <c r="R287" s="369"/>
      <c r="S287" s="369"/>
      <c r="T287" s="370"/>
      <c r="U287" s="370"/>
      <c r="V287" s="370"/>
      <c r="W287" s="370"/>
      <c r="X287" s="370"/>
      <c r="Y287" s="370"/>
      <c r="Z287" s="370"/>
      <c r="AA287" s="371"/>
      <c r="AB287" s="380"/>
      <c r="AC287" s="373"/>
      <c r="AD287" s="379"/>
      <c r="AE287" s="371"/>
      <c r="AF287" s="375"/>
      <c r="AG287" s="376"/>
      <c r="AH287" s="374"/>
      <c r="AI287" s="371"/>
      <c r="AJ287" s="372"/>
      <c r="AK287" s="376"/>
      <c r="AL287" s="374"/>
      <c r="AM287" s="371"/>
      <c r="AN287" s="372"/>
      <c r="AO287" s="377"/>
      <c r="AP287" s="374"/>
      <c r="AQ287" s="371"/>
      <c r="AR287" s="372"/>
      <c r="AS287" s="377"/>
      <c r="AT287" s="379"/>
      <c r="AU287" s="389"/>
      <c r="AV287" s="381"/>
      <c r="AW287" s="451"/>
      <c r="AX287" s="418"/>
      <c r="AY287" s="418"/>
      <c r="AZ287" s="418"/>
      <c r="BA287" s="418"/>
      <c r="BB287" s="418"/>
      <c r="BC287" s="418"/>
      <c r="BD287" s="418"/>
      <c r="BE287" s="418"/>
      <c r="BF287" s="418"/>
      <c r="BG287" s="418"/>
      <c r="BH287" s="418"/>
      <c r="BI287" s="418"/>
      <c r="BJ287" s="418"/>
      <c r="BK287" s="418"/>
      <c r="BL287" s="418"/>
      <c r="BM287" s="418"/>
      <c r="BN287" s="418"/>
      <c r="BO287" s="418"/>
      <c r="BP287" s="418"/>
      <c r="BQ287" s="418"/>
      <c r="BR287" s="418"/>
      <c r="BS287" s="418"/>
      <c r="BT287" s="418"/>
      <c r="BU287" s="418"/>
      <c r="BV287" s="418"/>
      <c r="BW287" s="418"/>
      <c r="BX287" s="418"/>
      <c r="BY287" s="418"/>
      <c r="BZ287" s="418"/>
      <c r="CA287" s="418"/>
      <c r="CB287" s="418"/>
      <c r="CC287" s="418"/>
      <c r="CD287" s="418"/>
      <c r="CE287" s="418"/>
      <c r="CF287" s="418"/>
      <c r="CG287" s="418"/>
      <c r="CH287" s="418"/>
      <c r="CI287" s="418"/>
      <c r="CJ287" s="418"/>
      <c r="CK287" s="418"/>
      <c r="CL287" s="418"/>
    </row>
    <row r="288" spans="1:90" s="359" customFormat="1" hidden="1">
      <c r="A288" s="418"/>
      <c r="B288" s="385"/>
      <c r="C288" s="361"/>
      <c r="D288" s="386"/>
      <c r="E288" s="362"/>
      <c r="F288" s="387"/>
      <c r="G288" s="364"/>
      <c r="H288" s="365"/>
      <c r="I288" s="366"/>
      <c r="J288" s="367"/>
      <c r="K288" s="384"/>
      <c r="L288" s="388"/>
      <c r="M288" s="384"/>
      <c r="N288" s="369"/>
      <c r="O288" s="369"/>
      <c r="P288" s="369"/>
      <c r="Q288" s="369"/>
      <c r="R288" s="369"/>
      <c r="S288" s="369"/>
      <c r="T288" s="370"/>
      <c r="U288" s="370"/>
      <c r="V288" s="370"/>
      <c r="W288" s="370"/>
      <c r="X288" s="370"/>
      <c r="Y288" s="370"/>
      <c r="Z288" s="370"/>
      <c r="AA288" s="371"/>
      <c r="AB288" s="380"/>
      <c r="AC288" s="373"/>
      <c r="AD288" s="379"/>
      <c r="AE288" s="371"/>
      <c r="AF288" s="375"/>
      <c r="AG288" s="376"/>
      <c r="AH288" s="374"/>
      <c r="AI288" s="371"/>
      <c r="AJ288" s="372"/>
      <c r="AK288" s="376"/>
      <c r="AL288" s="374"/>
      <c r="AM288" s="371"/>
      <c r="AN288" s="372"/>
      <c r="AO288" s="377"/>
      <c r="AP288" s="374"/>
      <c r="AQ288" s="371"/>
      <c r="AR288" s="372"/>
      <c r="AS288" s="377"/>
      <c r="AT288" s="379"/>
      <c r="AU288" s="389"/>
      <c r="AV288" s="381"/>
      <c r="AW288" s="451"/>
      <c r="AX288" s="418"/>
      <c r="AY288" s="418"/>
      <c r="AZ288" s="418"/>
      <c r="BA288" s="418"/>
      <c r="BB288" s="418"/>
      <c r="BC288" s="418"/>
      <c r="BD288" s="418"/>
      <c r="BE288" s="418"/>
      <c r="BF288" s="418"/>
      <c r="BG288" s="418"/>
      <c r="BH288" s="418"/>
      <c r="BI288" s="418"/>
      <c r="BJ288" s="418"/>
      <c r="BK288" s="418"/>
      <c r="BL288" s="418"/>
      <c r="BM288" s="418"/>
      <c r="BN288" s="418"/>
      <c r="BO288" s="418"/>
      <c r="BP288" s="418"/>
      <c r="BQ288" s="418"/>
      <c r="BR288" s="418"/>
      <c r="BS288" s="418"/>
      <c r="BT288" s="418"/>
      <c r="BU288" s="418"/>
      <c r="BV288" s="418"/>
      <c r="BW288" s="418"/>
      <c r="BX288" s="418"/>
      <c r="BY288" s="418"/>
      <c r="BZ288" s="418"/>
      <c r="CA288" s="418"/>
      <c r="CB288" s="418"/>
      <c r="CC288" s="418"/>
      <c r="CD288" s="418"/>
      <c r="CE288" s="418"/>
      <c r="CF288" s="418"/>
      <c r="CG288" s="418"/>
      <c r="CH288" s="418"/>
      <c r="CI288" s="418"/>
      <c r="CJ288" s="418"/>
      <c r="CK288" s="418"/>
      <c r="CL288" s="418"/>
    </row>
    <row r="289" spans="1:90" s="359" customFormat="1" hidden="1">
      <c r="A289" s="418"/>
      <c r="B289" s="385"/>
      <c r="C289" s="361"/>
      <c r="D289" s="386"/>
      <c r="E289" s="362"/>
      <c r="F289" s="387"/>
      <c r="G289" s="364"/>
      <c r="H289" s="365"/>
      <c r="I289" s="366"/>
      <c r="J289" s="367"/>
      <c r="K289" s="384"/>
      <c r="L289" s="388"/>
      <c r="M289" s="384"/>
      <c r="N289" s="369"/>
      <c r="O289" s="369"/>
      <c r="P289" s="369"/>
      <c r="Q289" s="369"/>
      <c r="R289" s="369"/>
      <c r="S289" s="369"/>
      <c r="T289" s="370"/>
      <c r="U289" s="370"/>
      <c r="V289" s="370"/>
      <c r="W289" s="370"/>
      <c r="X289" s="370"/>
      <c r="Y289" s="370"/>
      <c r="Z289" s="370"/>
      <c r="AA289" s="371"/>
      <c r="AB289" s="380"/>
      <c r="AC289" s="373"/>
      <c r="AD289" s="379"/>
      <c r="AE289" s="371"/>
      <c r="AF289" s="375"/>
      <c r="AG289" s="376"/>
      <c r="AH289" s="374"/>
      <c r="AI289" s="371"/>
      <c r="AJ289" s="372"/>
      <c r="AK289" s="376"/>
      <c r="AL289" s="374"/>
      <c r="AM289" s="371"/>
      <c r="AN289" s="372"/>
      <c r="AO289" s="377"/>
      <c r="AP289" s="374"/>
      <c r="AQ289" s="371"/>
      <c r="AR289" s="372"/>
      <c r="AS289" s="377"/>
      <c r="AT289" s="379"/>
      <c r="AU289" s="389"/>
      <c r="AV289" s="381"/>
      <c r="AW289" s="451"/>
      <c r="AX289" s="418"/>
      <c r="AY289" s="418"/>
      <c r="AZ289" s="418"/>
      <c r="BA289" s="418"/>
      <c r="BB289" s="418"/>
      <c r="BC289" s="418"/>
      <c r="BD289" s="418"/>
      <c r="BE289" s="418"/>
      <c r="BF289" s="418"/>
      <c r="BG289" s="418"/>
      <c r="BH289" s="418"/>
      <c r="BI289" s="418"/>
      <c r="BJ289" s="418"/>
      <c r="BK289" s="418"/>
      <c r="BL289" s="418"/>
      <c r="BM289" s="418"/>
      <c r="BN289" s="418"/>
      <c r="BO289" s="418"/>
      <c r="BP289" s="418"/>
      <c r="BQ289" s="418"/>
      <c r="BR289" s="418"/>
      <c r="BS289" s="418"/>
      <c r="BT289" s="418"/>
      <c r="BU289" s="418"/>
      <c r="BV289" s="418"/>
      <c r="BW289" s="418"/>
      <c r="BX289" s="418"/>
      <c r="BY289" s="418"/>
      <c r="BZ289" s="418"/>
      <c r="CA289" s="418"/>
      <c r="CB289" s="418"/>
      <c r="CC289" s="418"/>
      <c r="CD289" s="418"/>
      <c r="CE289" s="418"/>
      <c r="CF289" s="418"/>
      <c r="CG289" s="418"/>
      <c r="CH289" s="418"/>
      <c r="CI289" s="418"/>
      <c r="CJ289" s="418"/>
      <c r="CK289" s="418"/>
      <c r="CL289" s="418"/>
    </row>
    <row r="290" spans="1:90" s="359" customFormat="1" hidden="1">
      <c r="A290" s="418"/>
      <c r="B290" s="385"/>
      <c r="C290" s="361"/>
      <c r="D290" s="386"/>
      <c r="E290" s="362"/>
      <c r="F290" s="387"/>
      <c r="G290" s="364"/>
      <c r="H290" s="365"/>
      <c r="I290" s="366"/>
      <c r="J290" s="367"/>
      <c r="K290" s="384"/>
      <c r="L290" s="388"/>
      <c r="M290" s="384"/>
      <c r="N290" s="369"/>
      <c r="O290" s="369"/>
      <c r="P290" s="369"/>
      <c r="Q290" s="369"/>
      <c r="R290" s="369"/>
      <c r="S290" s="369"/>
      <c r="T290" s="370"/>
      <c r="U290" s="370"/>
      <c r="V290" s="370"/>
      <c r="W290" s="370"/>
      <c r="X290" s="370"/>
      <c r="Y290" s="370"/>
      <c r="Z290" s="370"/>
      <c r="AA290" s="371"/>
      <c r="AB290" s="380"/>
      <c r="AC290" s="373"/>
      <c r="AD290" s="379"/>
      <c r="AE290" s="371"/>
      <c r="AF290" s="375"/>
      <c r="AG290" s="376"/>
      <c r="AH290" s="374"/>
      <c r="AI290" s="371"/>
      <c r="AJ290" s="372"/>
      <c r="AK290" s="376"/>
      <c r="AL290" s="374"/>
      <c r="AM290" s="371"/>
      <c r="AN290" s="372"/>
      <c r="AO290" s="377"/>
      <c r="AP290" s="374"/>
      <c r="AQ290" s="371"/>
      <c r="AR290" s="372"/>
      <c r="AS290" s="377"/>
      <c r="AT290" s="379"/>
      <c r="AU290" s="389"/>
      <c r="AV290" s="381"/>
      <c r="AW290" s="451"/>
      <c r="AX290" s="418"/>
      <c r="AY290" s="418"/>
      <c r="AZ290" s="418"/>
      <c r="BA290" s="418"/>
      <c r="BB290" s="418"/>
      <c r="BC290" s="418"/>
      <c r="BD290" s="418"/>
      <c r="BE290" s="418"/>
      <c r="BF290" s="418"/>
      <c r="BG290" s="418"/>
      <c r="BH290" s="418"/>
      <c r="BI290" s="418"/>
      <c r="BJ290" s="418"/>
      <c r="BK290" s="418"/>
      <c r="BL290" s="418"/>
      <c r="BM290" s="418"/>
      <c r="BN290" s="418"/>
      <c r="BO290" s="418"/>
      <c r="BP290" s="418"/>
      <c r="BQ290" s="418"/>
      <c r="BR290" s="418"/>
      <c r="BS290" s="418"/>
      <c r="BT290" s="418"/>
      <c r="BU290" s="418"/>
      <c r="BV290" s="418"/>
      <c r="BW290" s="418"/>
      <c r="BX290" s="418"/>
      <c r="BY290" s="418"/>
      <c r="BZ290" s="418"/>
      <c r="CA290" s="418"/>
      <c r="CB290" s="418"/>
      <c r="CC290" s="418"/>
      <c r="CD290" s="418"/>
      <c r="CE290" s="418"/>
      <c r="CF290" s="418"/>
      <c r="CG290" s="418"/>
      <c r="CH290" s="418"/>
      <c r="CI290" s="418"/>
      <c r="CJ290" s="418"/>
      <c r="CK290" s="418"/>
      <c r="CL290" s="418"/>
    </row>
    <row r="291" spans="1:90" s="359" customFormat="1" hidden="1">
      <c r="A291" s="418"/>
      <c r="B291" s="385"/>
      <c r="C291" s="361"/>
      <c r="D291" s="386"/>
      <c r="E291" s="362"/>
      <c r="F291" s="387"/>
      <c r="G291" s="364"/>
      <c r="H291" s="365"/>
      <c r="I291" s="366"/>
      <c r="J291" s="367"/>
      <c r="K291" s="384"/>
      <c r="L291" s="388"/>
      <c r="M291" s="384"/>
      <c r="N291" s="369"/>
      <c r="O291" s="369"/>
      <c r="P291" s="369"/>
      <c r="Q291" s="369"/>
      <c r="R291" s="369"/>
      <c r="S291" s="369"/>
      <c r="T291" s="370"/>
      <c r="U291" s="370"/>
      <c r="V291" s="370"/>
      <c r="W291" s="370"/>
      <c r="X291" s="370"/>
      <c r="Y291" s="370"/>
      <c r="Z291" s="370"/>
      <c r="AA291" s="371"/>
      <c r="AB291" s="380"/>
      <c r="AC291" s="373"/>
      <c r="AD291" s="379"/>
      <c r="AE291" s="371"/>
      <c r="AF291" s="375"/>
      <c r="AG291" s="376"/>
      <c r="AH291" s="374"/>
      <c r="AI291" s="371"/>
      <c r="AJ291" s="372"/>
      <c r="AK291" s="376"/>
      <c r="AL291" s="374"/>
      <c r="AM291" s="371"/>
      <c r="AN291" s="372"/>
      <c r="AO291" s="377"/>
      <c r="AP291" s="374"/>
      <c r="AQ291" s="371"/>
      <c r="AR291" s="372"/>
      <c r="AS291" s="377"/>
      <c r="AT291" s="379"/>
      <c r="AU291" s="389"/>
      <c r="AV291" s="381"/>
      <c r="AW291" s="451"/>
      <c r="AX291" s="418"/>
      <c r="AY291" s="418"/>
      <c r="AZ291" s="418"/>
      <c r="BA291" s="418"/>
      <c r="BB291" s="418"/>
      <c r="BC291" s="418"/>
      <c r="BD291" s="418"/>
      <c r="BE291" s="418"/>
      <c r="BF291" s="418"/>
      <c r="BG291" s="418"/>
      <c r="BH291" s="418"/>
      <c r="BI291" s="418"/>
      <c r="BJ291" s="418"/>
      <c r="BK291" s="418"/>
      <c r="BL291" s="418"/>
      <c r="BM291" s="418"/>
      <c r="BN291" s="418"/>
      <c r="BO291" s="418"/>
      <c r="BP291" s="418"/>
      <c r="BQ291" s="418"/>
      <c r="BR291" s="418"/>
      <c r="BS291" s="418"/>
      <c r="BT291" s="418"/>
      <c r="BU291" s="418"/>
      <c r="BV291" s="418"/>
      <c r="BW291" s="418"/>
      <c r="BX291" s="418"/>
      <c r="BY291" s="418"/>
      <c r="BZ291" s="418"/>
      <c r="CA291" s="418"/>
      <c r="CB291" s="418"/>
      <c r="CC291" s="418"/>
      <c r="CD291" s="418"/>
      <c r="CE291" s="418"/>
      <c r="CF291" s="418"/>
      <c r="CG291" s="418"/>
      <c r="CH291" s="418"/>
      <c r="CI291" s="418"/>
      <c r="CJ291" s="418"/>
      <c r="CK291" s="418"/>
      <c r="CL291" s="418"/>
    </row>
    <row r="292" spans="1:90" s="359" customFormat="1" hidden="1">
      <c r="A292" s="418"/>
      <c r="B292" s="385"/>
      <c r="C292" s="361"/>
      <c r="D292" s="386"/>
      <c r="E292" s="362"/>
      <c r="F292" s="387"/>
      <c r="G292" s="364"/>
      <c r="H292" s="365"/>
      <c r="I292" s="366"/>
      <c r="J292" s="367"/>
      <c r="K292" s="384"/>
      <c r="L292" s="388"/>
      <c r="M292" s="384"/>
      <c r="N292" s="369"/>
      <c r="O292" s="369"/>
      <c r="P292" s="369"/>
      <c r="Q292" s="369"/>
      <c r="R292" s="369"/>
      <c r="S292" s="369"/>
      <c r="T292" s="370"/>
      <c r="U292" s="370"/>
      <c r="V292" s="370"/>
      <c r="W292" s="370"/>
      <c r="X292" s="370"/>
      <c r="Y292" s="370"/>
      <c r="Z292" s="370"/>
      <c r="AA292" s="371"/>
      <c r="AB292" s="380"/>
      <c r="AC292" s="373"/>
      <c r="AD292" s="379"/>
      <c r="AE292" s="371"/>
      <c r="AF292" s="390"/>
      <c r="AG292" s="391"/>
      <c r="AH292" s="379"/>
      <c r="AI292" s="371"/>
      <c r="AJ292" s="380"/>
      <c r="AK292" s="391"/>
      <c r="AL292" s="379"/>
      <c r="AM292" s="371"/>
      <c r="AN292" s="380"/>
      <c r="AO292" s="378"/>
      <c r="AP292" s="379"/>
      <c r="AQ292" s="371"/>
      <c r="AR292" s="380"/>
      <c r="AS292" s="378"/>
      <c r="AT292" s="379"/>
      <c r="AU292" s="389"/>
      <c r="AV292" s="381"/>
      <c r="AW292" s="451"/>
      <c r="AX292" s="418"/>
      <c r="AY292" s="418"/>
      <c r="AZ292" s="418"/>
      <c r="BA292" s="418"/>
      <c r="BB292" s="418"/>
      <c r="BC292" s="418"/>
      <c r="BD292" s="418"/>
      <c r="BE292" s="418"/>
      <c r="BF292" s="418"/>
      <c r="BG292" s="418"/>
      <c r="BH292" s="418"/>
      <c r="BI292" s="418"/>
      <c r="BJ292" s="418"/>
      <c r="BK292" s="418"/>
      <c r="BL292" s="418"/>
      <c r="BM292" s="418"/>
      <c r="BN292" s="418"/>
      <c r="BO292" s="418"/>
      <c r="BP292" s="418"/>
      <c r="BQ292" s="418"/>
      <c r="BR292" s="418"/>
      <c r="BS292" s="418"/>
      <c r="BT292" s="418"/>
      <c r="BU292" s="418"/>
      <c r="BV292" s="418"/>
      <c r="BW292" s="418"/>
      <c r="BX292" s="418"/>
      <c r="BY292" s="418"/>
      <c r="BZ292" s="418"/>
      <c r="CA292" s="418"/>
      <c r="CB292" s="418"/>
      <c r="CC292" s="418"/>
      <c r="CD292" s="418"/>
      <c r="CE292" s="418"/>
      <c r="CF292" s="418"/>
      <c r="CG292" s="418"/>
      <c r="CH292" s="418"/>
      <c r="CI292" s="418"/>
      <c r="CJ292" s="418"/>
      <c r="CK292" s="418"/>
      <c r="CL292" s="418"/>
    </row>
    <row r="293" spans="1:90" s="359" customFormat="1" hidden="1">
      <c r="A293" s="418"/>
      <c r="B293" s="385"/>
      <c r="C293" s="361"/>
      <c r="D293" s="383"/>
      <c r="E293" s="362"/>
      <c r="F293" s="363"/>
      <c r="G293" s="364"/>
      <c r="H293" s="365"/>
      <c r="I293" s="366"/>
      <c r="J293" s="367"/>
      <c r="K293" s="384"/>
      <c r="L293" s="388"/>
      <c r="M293" s="384"/>
      <c r="N293" s="369"/>
      <c r="O293" s="369"/>
      <c r="P293" s="369"/>
      <c r="Q293" s="369"/>
      <c r="R293" s="369"/>
      <c r="S293" s="369"/>
      <c r="T293" s="370"/>
      <c r="U293" s="370"/>
      <c r="V293" s="370"/>
      <c r="W293" s="370"/>
      <c r="X293" s="370"/>
      <c r="Y293" s="370"/>
      <c r="Z293" s="370"/>
      <c r="AA293" s="371"/>
      <c r="AB293" s="380"/>
      <c r="AC293" s="373"/>
      <c r="AD293" s="379"/>
      <c r="AE293" s="371"/>
      <c r="AF293" s="390"/>
      <c r="AG293" s="391"/>
      <c r="AH293" s="379"/>
      <c r="AI293" s="371"/>
      <c r="AJ293" s="380"/>
      <c r="AK293" s="391"/>
      <c r="AL293" s="379"/>
      <c r="AM293" s="371"/>
      <c r="AN293" s="380"/>
      <c r="AO293" s="378"/>
      <c r="AP293" s="379"/>
      <c r="AQ293" s="371"/>
      <c r="AR293" s="380"/>
      <c r="AS293" s="378"/>
      <c r="AT293" s="379"/>
      <c r="AU293" s="389"/>
      <c r="AV293" s="381"/>
      <c r="AW293" s="451"/>
      <c r="AX293" s="418"/>
      <c r="AY293" s="418"/>
      <c r="AZ293" s="418"/>
      <c r="BA293" s="418"/>
      <c r="BB293" s="418"/>
      <c r="BC293" s="418"/>
      <c r="BD293" s="418"/>
      <c r="BE293" s="418"/>
      <c r="BF293" s="418"/>
      <c r="BG293" s="418"/>
      <c r="BH293" s="418"/>
      <c r="BI293" s="418"/>
      <c r="BJ293" s="418"/>
      <c r="BK293" s="418"/>
      <c r="BL293" s="418"/>
      <c r="BM293" s="418"/>
      <c r="BN293" s="418"/>
      <c r="BO293" s="418"/>
      <c r="BP293" s="418"/>
      <c r="BQ293" s="418"/>
      <c r="BR293" s="418"/>
      <c r="BS293" s="418"/>
      <c r="BT293" s="418"/>
      <c r="BU293" s="418"/>
      <c r="BV293" s="418"/>
      <c r="BW293" s="418"/>
      <c r="BX293" s="418"/>
      <c r="BY293" s="418"/>
      <c r="BZ293" s="418"/>
      <c r="CA293" s="418"/>
      <c r="CB293" s="418"/>
      <c r="CC293" s="418"/>
      <c r="CD293" s="418"/>
      <c r="CE293" s="418"/>
      <c r="CF293" s="418"/>
      <c r="CG293" s="418"/>
      <c r="CH293" s="418"/>
      <c r="CI293" s="418"/>
      <c r="CJ293" s="418"/>
      <c r="CK293" s="418"/>
      <c r="CL293" s="418"/>
    </row>
    <row r="294" spans="1:90" s="359" customFormat="1" hidden="1">
      <c r="A294" s="418"/>
      <c r="B294" s="392"/>
      <c r="C294" s="392"/>
      <c r="D294" s="393"/>
      <c r="E294" s="393"/>
      <c r="F294" s="394"/>
      <c r="G294" s="394"/>
      <c r="H294" s="395"/>
      <c r="I294" s="396"/>
      <c r="J294" s="397"/>
      <c r="K294" s="368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  <c r="Z294" s="370"/>
      <c r="AA294" s="371"/>
      <c r="AB294" s="380"/>
      <c r="AC294" s="378"/>
      <c r="AD294" s="379"/>
      <c r="AE294" s="371"/>
      <c r="AF294" s="390"/>
      <c r="AG294" s="391"/>
      <c r="AH294" s="379"/>
      <c r="AI294" s="371"/>
      <c r="AJ294" s="380"/>
      <c r="AK294" s="391"/>
      <c r="AL294" s="379"/>
      <c r="AM294" s="371"/>
      <c r="AN294" s="380"/>
      <c r="AO294" s="378"/>
      <c r="AP294" s="379"/>
      <c r="AQ294" s="371"/>
      <c r="AR294" s="380"/>
      <c r="AS294" s="378"/>
      <c r="AT294" s="379"/>
      <c r="AU294" s="389"/>
      <c r="AV294" s="381"/>
      <c r="AW294" s="451"/>
      <c r="AX294" s="418"/>
      <c r="AY294" s="418"/>
      <c r="AZ294" s="418"/>
      <c r="BA294" s="418"/>
      <c r="BB294" s="418"/>
      <c r="BC294" s="418"/>
      <c r="BD294" s="418"/>
      <c r="BE294" s="418"/>
      <c r="BF294" s="418"/>
      <c r="BG294" s="418"/>
      <c r="BH294" s="418"/>
      <c r="BI294" s="418"/>
      <c r="BJ294" s="418"/>
      <c r="BK294" s="418"/>
      <c r="BL294" s="418"/>
      <c r="BM294" s="418"/>
      <c r="BN294" s="418"/>
      <c r="BO294" s="418"/>
      <c r="BP294" s="418"/>
      <c r="BQ294" s="418"/>
      <c r="BR294" s="418"/>
      <c r="BS294" s="418"/>
      <c r="BT294" s="418"/>
      <c r="BU294" s="418"/>
      <c r="BV294" s="418"/>
      <c r="BW294" s="418"/>
      <c r="BX294" s="418"/>
      <c r="BY294" s="418"/>
      <c r="BZ294" s="418"/>
      <c r="CA294" s="418"/>
      <c r="CB294" s="418"/>
      <c r="CC294" s="418"/>
      <c r="CD294" s="418"/>
      <c r="CE294" s="418"/>
      <c r="CF294" s="418"/>
      <c r="CG294" s="418"/>
      <c r="CH294" s="418"/>
      <c r="CI294" s="418"/>
      <c r="CJ294" s="418"/>
      <c r="CK294" s="418"/>
      <c r="CL294" s="418"/>
    </row>
    <row r="295" spans="1:90">
      <c r="B295" s="762" t="s">
        <v>134</v>
      </c>
      <c r="C295" s="763"/>
      <c r="D295" s="763"/>
      <c r="E295" s="763"/>
      <c r="F295" s="763"/>
      <c r="G295" s="763"/>
      <c r="H295" s="763"/>
      <c r="I295" s="763"/>
      <c r="J295" s="764"/>
      <c r="K295" s="398">
        <f>SUBTOTAL(9,K16:K267)</f>
        <v>461563094</v>
      </c>
      <c r="L295" s="398">
        <f t="shared" ref="L295:Y295" si="20">SUBTOTAL(9,L16:L267)</f>
        <v>210556500</v>
      </c>
      <c r="M295" s="398">
        <f t="shared" si="20"/>
        <v>143492598</v>
      </c>
      <c r="N295" s="398">
        <f t="shared" si="20"/>
        <v>2920894</v>
      </c>
      <c r="O295" s="398">
        <f t="shared" si="20"/>
        <v>5969323</v>
      </c>
      <c r="P295" s="398">
        <f t="shared" si="20"/>
        <v>7917563</v>
      </c>
      <c r="Q295" s="398">
        <f t="shared" si="20"/>
        <v>4960056</v>
      </c>
      <c r="R295" s="398">
        <f t="shared" si="20"/>
        <v>6528075</v>
      </c>
      <c r="S295" s="398">
        <f t="shared" si="20"/>
        <v>4889246</v>
      </c>
      <c r="T295" s="398">
        <f t="shared" si="20"/>
        <v>4409777</v>
      </c>
      <c r="U295" s="398">
        <f t="shared" si="20"/>
        <v>4420866</v>
      </c>
      <c r="V295" s="398">
        <f t="shared" si="20"/>
        <v>5753044</v>
      </c>
      <c r="W295" s="398">
        <f t="shared" si="20"/>
        <v>0</v>
      </c>
      <c r="X295" s="398">
        <f t="shared" si="20"/>
        <v>0</v>
      </c>
      <c r="Y295" s="398">
        <f t="shared" si="20"/>
        <v>0</v>
      </c>
      <c r="Z295" s="398">
        <f>SUBTOTAL(9,Z16:Z267)</f>
        <v>47768844</v>
      </c>
      <c r="AA295" s="398">
        <f>SUBTOTAL(9,AA16:AA267)</f>
        <v>70253841</v>
      </c>
      <c r="AB295" s="399"/>
      <c r="AC295" s="399"/>
      <c r="AD295" s="399"/>
      <c r="AE295" s="398">
        <f>SUBTOTAL(9,AE16:AE267)</f>
        <v>14108278</v>
      </c>
      <c r="AF295" s="399"/>
      <c r="AG295" s="400"/>
      <c r="AH295" s="399"/>
      <c r="AI295" s="398">
        <f>SUBTOTAL(9,AI16:AI267)</f>
        <v>-3126501</v>
      </c>
      <c r="AJ295" s="399"/>
      <c r="AK295" s="400"/>
      <c r="AL295" s="399"/>
      <c r="AM295" s="398">
        <f>SUBTOTAL(9,AM16:AM267)</f>
        <v>39996</v>
      </c>
      <c r="AN295" s="399"/>
      <c r="AO295" s="399"/>
      <c r="AP295" s="399"/>
      <c r="AQ295" s="398">
        <f t="shared" ref="AQ295" si="21">SUBTOTAL(9,AQ17:AQ267)</f>
        <v>0</v>
      </c>
      <c r="AR295" s="399"/>
      <c r="AS295" s="399"/>
      <c r="AT295" s="399"/>
      <c r="AU295" s="398">
        <f>SUBTOTAL(9,AU16:AU267)</f>
        <v>81275614</v>
      </c>
      <c r="AV295" s="398">
        <f>SUBTOTAL(9,AV16:AV267)</f>
        <v>33506770</v>
      </c>
      <c r="AW295" s="403"/>
    </row>
    <row r="296" spans="1:90" s="415" customFormat="1" ht="20.25" customHeight="1">
      <c r="B296" s="765"/>
      <c r="C296" s="765"/>
      <c r="D296" s="765"/>
      <c r="E296" s="765"/>
      <c r="F296" s="765"/>
      <c r="G296" s="469"/>
      <c r="H296" s="405"/>
      <c r="I296" s="405"/>
      <c r="J296" s="403"/>
      <c r="K296" s="407"/>
      <c r="L296" s="403"/>
      <c r="M296" s="403"/>
      <c r="N296" s="404"/>
      <c r="O296" s="404"/>
      <c r="P296" s="403"/>
      <c r="Q296" s="404"/>
      <c r="R296" s="404"/>
      <c r="S296" s="403"/>
      <c r="T296" s="404"/>
      <c r="U296" s="403"/>
      <c r="V296" s="403"/>
      <c r="W296" s="403"/>
      <c r="X296" s="403"/>
      <c r="Y296" s="403"/>
      <c r="Z296" s="403"/>
      <c r="AA296" s="403"/>
      <c r="AB296" s="401"/>
      <c r="AC296" s="403"/>
      <c r="AD296" s="403"/>
      <c r="AE296" s="403"/>
      <c r="AF296" s="404"/>
      <c r="AG296" s="402"/>
      <c r="AH296" s="403"/>
      <c r="AI296" s="403"/>
      <c r="AJ296" s="401"/>
      <c r="AK296" s="402"/>
      <c r="AL296" s="403"/>
      <c r="AM296" s="403"/>
      <c r="AN296" s="401"/>
      <c r="AO296" s="403"/>
      <c r="AP296" s="403"/>
      <c r="AQ296" s="403"/>
      <c r="AR296" s="401"/>
      <c r="AS296" s="403"/>
      <c r="AT296" s="403"/>
      <c r="AU296" s="408"/>
      <c r="AV296" s="403"/>
      <c r="AW296" s="403"/>
    </row>
    <row r="297" spans="1:90" s="415" customFormat="1">
      <c r="B297" s="470"/>
      <c r="C297" s="470"/>
      <c r="D297" s="470"/>
      <c r="E297" s="470"/>
      <c r="F297" s="470"/>
      <c r="G297" s="470"/>
      <c r="H297" s="470"/>
      <c r="I297" s="470"/>
      <c r="J297" s="470"/>
      <c r="K297" s="470"/>
      <c r="L297" s="470"/>
      <c r="M297" s="470"/>
      <c r="N297" s="470"/>
      <c r="O297" s="470"/>
      <c r="P297" s="470"/>
      <c r="Q297" s="470"/>
      <c r="R297" s="470"/>
      <c r="S297" s="470"/>
      <c r="T297" s="470"/>
      <c r="U297" s="470"/>
      <c r="V297" s="470"/>
      <c r="W297" s="470"/>
      <c r="X297" s="470"/>
      <c r="Y297" s="471"/>
      <c r="Z297" s="472"/>
      <c r="AA297" s="470"/>
      <c r="AB297" s="470"/>
      <c r="AC297" s="470"/>
      <c r="AD297" s="470"/>
      <c r="AE297" s="473"/>
      <c r="AF297" s="474"/>
      <c r="AG297" s="475"/>
      <c r="AH297" s="476"/>
      <c r="AI297" s="476"/>
      <c r="AJ297" s="477"/>
      <c r="AK297" s="475"/>
      <c r="AL297" s="476"/>
      <c r="AM297" s="476"/>
      <c r="AN297" s="477"/>
      <c r="AO297" s="476"/>
      <c r="AP297" s="476"/>
      <c r="AQ297" s="476"/>
      <c r="AR297" s="477"/>
      <c r="AS297" s="476"/>
      <c r="AT297" s="476"/>
      <c r="AU297" s="478"/>
      <c r="AV297" s="403"/>
      <c r="AW297" s="403"/>
    </row>
    <row r="298" spans="1:90" s="415" customFormat="1">
      <c r="B298" s="405"/>
      <c r="C298" s="403"/>
      <c r="D298" s="405"/>
      <c r="E298" s="405"/>
      <c r="F298" s="403"/>
      <c r="G298" s="403"/>
      <c r="H298" s="403"/>
      <c r="I298" s="403"/>
      <c r="J298" s="403"/>
      <c r="K298" s="407"/>
      <c r="L298" s="407"/>
      <c r="M298" s="407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  <c r="Y298" s="479"/>
      <c r="Z298" s="472"/>
      <c r="AA298" s="403"/>
      <c r="AB298" s="401"/>
      <c r="AC298" s="402"/>
      <c r="AD298" s="403"/>
      <c r="AE298" s="404"/>
      <c r="AF298" s="410"/>
      <c r="AG298" s="480"/>
      <c r="AH298" s="403"/>
      <c r="AI298" s="403"/>
      <c r="AJ298" s="401"/>
      <c r="AK298" s="402"/>
      <c r="AL298" s="403"/>
      <c r="AM298" s="403"/>
      <c r="AN298" s="401"/>
      <c r="AO298" s="403"/>
      <c r="AP298" s="403"/>
      <c r="AQ298" s="403"/>
      <c r="AR298" s="401"/>
      <c r="AS298" s="403"/>
      <c r="AT298" s="403"/>
      <c r="AU298" s="478"/>
      <c r="AV298" s="403"/>
      <c r="AW298" s="403"/>
    </row>
    <row r="299" spans="1:90" s="415" customFormat="1">
      <c r="B299" s="405"/>
      <c r="C299" s="403"/>
      <c r="D299" s="405"/>
      <c r="E299" s="405"/>
      <c r="F299" s="403"/>
      <c r="G299" s="403"/>
      <c r="H299" s="403"/>
      <c r="I299" s="403"/>
      <c r="J299" s="403"/>
      <c r="K299" s="407"/>
      <c r="L299" s="407"/>
      <c r="M299" s="407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  <c r="Y299" s="403"/>
      <c r="Z299" s="404"/>
      <c r="AA299" s="403"/>
      <c r="AB299" s="401"/>
      <c r="AC299" s="402"/>
      <c r="AD299" s="403"/>
      <c r="AE299" s="403"/>
      <c r="AF299" s="404"/>
      <c r="AG299" s="402"/>
      <c r="AH299" s="403"/>
      <c r="AI299" s="403"/>
      <c r="AJ299" s="401"/>
      <c r="AK299" s="402"/>
      <c r="AL299" s="403"/>
      <c r="AM299" s="403"/>
      <c r="AN299" s="401"/>
      <c r="AO299" s="403"/>
      <c r="AP299" s="403"/>
      <c r="AQ299" s="403"/>
      <c r="AR299" s="401"/>
      <c r="AS299" s="403"/>
      <c r="AT299" s="403"/>
      <c r="AU299" s="408"/>
      <c r="AV299" s="403"/>
      <c r="AW299" s="403"/>
    </row>
    <row r="300" spans="1:90" s="415" customFormat="1">
      <c r="B300" s="405"/>
      <c r="C300" s="403"/>
      <c r="D300" s="405"/>
      <c r="E300" s="405"/>
      <c r="F300" s="403"/>
      <c r="G300" s="403"/>
      <c r="H300" s="403"/>
      <c r="I300" s="403"/>
      <c r="J300" s="403"/>
      <c r="K300" s="407"/>
      <c r="L300" s="407"/>
      <c r="M300" s="407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  <c r="Y300" s="403"/>
      <c r="Z300" s="403"/>
      <c r="AA300" s="403"/>
      <c r="AB300" s="401"/>
      <c r="AC300" s="402"/>
      <c r="AD300" s="403"/>
      <c r="AE300" s="403"/>
      <c r="AF300" s="404"/>
      <c r="AG300" s="402"/>
      <c r="AH300" s="403"/>
      <c r="AI300" s="403"/>
      <c r="AJ300" s="401"/>
      <c r="AK300" s="402"/>
      <c r="AL300" s="403"/>
      <c r="AM300" s="403"/>
      <c r="AN300" s="401"/>
      <c r="AO300" s="403"/>
      <c r="AP300" s="403"/>
      <c r="AQ300" s="403"/>
      <c r="AR300" s="401"/>
      <c r="AS300" s="403"/>
      <c r="AT300" s="403"/>
      <c r="AU300" s="403"/>
      <c r="AV300" s="403"/>
      <c r="AW300" s="403"/>
    </row>
    <row r="301" spans="1:90" s="415" customFormat="1">
      <c r="B301" s="405"/>
      <c r="C301" s="403"/>
      <c r="D301" s="405"/>
      <c r="E301" s="405"/>
      <c r="F301" s="403"/>
      <c r="G301" s="403"/>
      <c r="H301" s="403"/>
      <c r="I301" s="403"/>
      <c r="J301" s="403"/>
      <c r="K301" s="407"/>
      <c r="L301" s="407"/>
      <c r="M301" s="407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  <c r="Y301" s="403"/>
      <c r="Z301" s="404"/>
      <c r="AA301" s="403"/>
      <c r="AB301" s="405"/>
      <c r="AC301" s="406"/>
      <c r="AD301" s="403"/>
      <c r="AE301" s="403"/>
      <c r="AF301" s="404"/>
      <c r="AG301" s="402"/>
      <c r="AH301" s="403"/>
      <c r="AI301" s="403"/>
      <c r="AJ301" s="401"/>
      <c r="AK301" s="402"/>
      <c r="AL301" s="403"/>
      <c r="AM301" s="403"/>
      <c r="AN301" s="401"/>
      <c r="AO301" s="403"/>
      <c r="AP301" s="403"/>
      <c r="AQ301" s="403"/>
      <c r="AR301" s="401"/>
      <c r="AS301" s="403"/>
      <c r="AT301" s="403"/>
      <c r="AU301" s="403"/>
      <c r="AV301" s="403"/>
      <c r="AW301" s="403"/>
    </row>
    <row r="302" spans="1:90" s="415" customFormat="1">
      <c r="B302" s="405"/>
      <c r="C302" s="403"/>
      <c r="D302" s="405"/>
      <c r="E302" s="405"/>
      <c r="F302" s="403"/>
      <c r="G302" s="403"/>
      <c r="H302" s="403"/>
      <c r="I302" s="403"/>
      <c r="J302" s="403"/>
      <c r="K302" s="407"/>
      <c r="L302" s="407"/>
      <c r="M302" s="407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  <c r="Y302" s="403"/>
      <c r="Z302" s="403"/>
      <c r="AA302" s="403"/>
      <c r="AB302" s="407"/>
      <c r="AC302" s="407"/>
      <c r="AD302" s="408"/>
      <c r="AE302" s="403"/>
      <c r="AF302" s="404"/>
      <c r="AG302" s="402"/>
      <c r="AH302" s="403"/>
      <c r="AI302" s="403"/>
      <c r="AJ302" s="401"/>
      <c r="AK302" s="402"/>
      <c r="AL302" s="403"/>
      <c r="AM302" s="403"/>
      <c r="AN302" s="401"/>
      <c r="AO302" s="403"/>
      <c r="AP302" s="403"/>
      <c r="AQ302" s="403"/>
      <c r="AR302" s="401"/>
      <c r="AS302" s="403"/>
      <c r="AT302" s="403"/>
      <c r="AU302" s="403"/>
      <c r="AV302" s="403"/>
      <c r="AW302" s="403"/>
    </row>
    <row r="303" spans="1:90" s="415" customFormat="1">
      <c r="B303" s="405"/>
      <c r="C303" s="403"/>
      <c r="D303" s="405"/>
      <c r="E303" s="405"/>
      <c r="F303" s="403"/>
      <c r="G303" s="403"/>
      <c r="H303" s="403"/>
      <c r="I303" s="403"/>
      <c r="J303" s="403"/>
      <c r="K303" s="407"/>
      <c r="L303" s="407"/>
      <c r="M303" s="407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  <c r="Y303" s="403"/>
      <c r="Z303" s="403"/>
      <c r="AA303" s="403"/>
      <c r="AB303" s="404"/>
      <c r="AC303" s="404"/>
      <c r="AD303" s="408"/>
      <c r="AE303" s="403"/>
      <c r="AF303" s="404"/>
      <c r="AG303" s="402"/>
      <c r="AH303" s="403"/>
      <c r="AI303" s="403"/>
      <c r="AJ303" s="401"/>
      <c r="AK303" s="402"/>
      <c r="AL303" s="403"/>
      <c r="AM303" s="403"/>
      <c r="AN303" s="401"/>
      <c r="AO303" s="403"/>
      <c r="AP303" s="403"/>
      <c r="AQ303" s="403"/>
      <c r="AR303" s="401"/>
      <c r="AS303" s="403"/>
      <c r="AT303" s="403"/>
      <c r="AU303" s="403"/>
      <c r="AV303" s="403"/>
      <c r="AW303" s="403"/>
    </row>
    <row r="304" spans="1:90" s="415" customFormat="1">
      <c r="B304" s="405"/>
      <c r="C304" s="403"/>
      <c r="D304" s="405"/>
      <c r="E304" s="405"/>
      <c r="F304" s="403"/>
      <c r="G304" s="403"/>
      <c r="H304" s="403"/>
      <c r="I304" s="403"/>
      <c r="J304" s="403"/>
      <c r="K304" s="407"/>
      <c r="L304" s="407"/>
      <c r="M304" s="407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  <c r="Y304" s="403"/>
      <c r="Z304" s="404"/>
      <c r="AA304" s="403"/>
      <c r="AB304" s="404"/>
      <c r="AC304" s="404"/>
      <c r="AD304" s="408"/>
      <c r="AE304" s="409"/>
      <c r="AF304" s="403"/>
      <c r="AG304" s="403"/>
      <c r="AH304" s="403"/>
      <c r="AI304" s="403"/>
      <c r="AJ304" s="401"/>
      <c r="AK304" s="402"/>
      <c r="AL304" s="403"/>
      <c r="AM304" s="403"/>
      <c r="AN304" s="401"/>
      <c r="AO304" s="403"/>
      <c r="AP304" s="403"/>
      <c r="AQ304" s="403"/>
      <c r="AR304" s="401"/>
      <c r="AS304" s="403"/>
      <c r="AT304" s="403"/>
      <c r="AU304" s="403"/>
      <c r="AV304" s="403"/>
      <c r="AW304" s="403"/>
    </row>
    <row r="305" spans="2:49" s="415" customFormat="1">
      <c r="B305" s="405"/>
      <c r="C305" s="403"/>
      <c r="D305" s="405"/>
      <c r="E305" s="405"/>
      <c r="F305" s="403"/>
      <c r="G305" s="403"/>
      <c r="H305" s="403"/>
      <c r="I305" s="403"/>
      <c r="J305" s="403"/>
      <c r="K305" s="407"/>
      <c r="L305" s="407"/>
      <c r="M305" s="407"/>
      <c r="N305" s="403"/>
      <c r="O305" s="403"/>
      <c r="P305" s="403"/>
      <c r="Q305" s="403"/>
      <c r="R305" s="403"/>
      <c r="S305" s="403"/>
      <c r="T305" s="403"/>
      <c r="U305" s="403"/>
      <c r="V305" s="403"/>
      <c r="W305" s="403"/>
      <c r="X305" s="403"/>
      <c r="Y305" s="403"/>
      <c r="Z305" s="403"/>
      <c r="AA305" s="403"/>
      <c r="AB305" s="404"/>
      <c r="AC305" s="404"/>
      <c r="AD305" s="408"/>
      <c r="AE305" s="403"/>
      <c r="AF305" s="404"/>
      <c r="AG305" s="402"/>
      <c r="AH305" s="403"/>
      <c r="AI305" s="403"/>
      <c r="AJ305" s="401"/>
      <c r="AK305" s="402"/>
      <c r="AL305" s="403"/>
      <c r="AM305" s="403"/>
      <c r="AN305" s="401"/>
      <c r="AO305" s="403"/>
      <c r="AP305" s="403"/>
      <c r="AQ305" s="403"/>
      <c r="AR305" s="401"/>
      <c r="AS305" s="403"/>
      <c r="AT305" s="403"/>
      <c r="AU305" s="403"/>
      <c r="AV305" s="403"/>
      <c r="AW305" s="403"/>
    </row>
    <row r="306" spans="2:49" s="415" customFormat="1">
      <c r="B306" s="405"/>
      <c r="C306" s="403"/>
      <c r="D306" s="405"/>
      <c r="E306" s="405"/>
      <c r="F306" s="403"/>
      <c r="G306" s="403"/>
      <c r="H306" s="403"/>
      <c r="I306" s="403"/>
      <c r="J306" s="403"/>
      <c r="K306" s="407"/>
      <c r="L306" s="407"/>
      <c r="M306" s="407"/>
      <c r="N306" s="403"/>
      <c r="O306" s="403"/>
      <c r="P306" s="403"/>
      <c r="Q306" s="403"/>
      <c r="R306" s="403"/>
      <c r="S306" s="403"/>
      <c r="T306" s="403"/>
      <c r="U306" s="403"/>
      <c r="V306" s="403"/>
      <c r="W306" s="403"/>
      <c r="X306" s="403"/>
      <c r="Y306" s="403"/>
      <c r="Z306" s="403"/>
      <c r="AA306" s="403"/>
      <c r="AB306" s="404"/>
      <c r="AC306" s="404"/>
      <c r="AD306" s="408"/>
      <c r="AE306" s="403"/>
      <c r="AF306" s="404"/>
      <c r="AG306" s="402"/>
      <c r="AH306" s="403"/>
      <c r="AI306" s="403"/>
      <c r="AJ306" s="401"/>
      <c r="AK306" s="402"/>
      <c r="AL306" s="403"/>
      <c r="AM306" s="403"/>
      <c r="AN306" s="401"/>
      <c r="AO306" s="403"/>
      <c r="AP306" s="403"/>
      <c r="AQ306" s="403"/>
      <c r="AR306" s="401"/>
      <c r="AS306" s="403"/>
      <c r="AT306" s="403"/>
      <c r="AU306" s="403"/>
      <c r="AV306" s="403"/>
      <c r="AW306" s="403"/>
    </row>
    <row r="307" spans="2:49" s="415" customFormat="1">
      <c r="B307" s="405"/>
      <c r="C307" s="403"/>
      <c r="D307" s="405"/>
      <c r="E307" s="405"/>
      <c r="F307" s="403"/>
      <c r="G307" s="403"/>
      <c r="H307" s="403"/>
      <c r="I307" s="403"/>
      <c r="J307" s="403"/>
      <c r="K307" s="407"/>
      <c r="L307" s="407"/>
      <c r="M307" s="407"/>
      <c r="N307" s="403"/>
      <c r="O307" s="403"/>
      <c r="P307" s="403"/>
      <c r="Q307" s="403"/>
      <c r="R307" s="403"/>
      <c r="S307" s="403"/>
      <c r="T307" s="403"/>
      <c r="U307" s="403"/>
      <c r="V307" s="403"/>
      <c r="W307" s="403"/>
      <c r="X307" s="403"/>
      <c r="Y307" s="403"/>
      <c r="Z307" s="403"/>
      <c r="AA307" s="403"/>
      <c r="AB307" s="404"/>
      <c r="AC307" s="404"/>
      <c r="AD307" s="408"/>
      <c r="AE307" s="403"/>
      <c r="AF307" s="404"/>
      <c r="AG307" s="402"/>
      <c r="AH307" s="403"/>
      <c r="AI307" s="403"/>
      <c r="AJ307" s="401"/>
      <c r="AK307" s="402"/>
      <c r="AL307" s="403"/>
      <c r="AM307" s="403"/>
      <c r="AN307" s="401"/>
      <c r="AO307" s="403"/>
      <c r="AP307" s="403"/>
      <c r="AQ307" s="403"/>
      <c r="AR307" s="401"/>
      <c r="AS307" s="403"/>
      <c r="AT307" s="403"/>
      <c r="AU307" s="403"/>
      <c r="AV307" s="403"/>
      <c r="AW307" s="403"/>
    </row>
    <row r="308" spans="2:49" s="415" customFormat="1">
      <c r="B308" s="405"/>
      <c r="C308" s="403"/>
      <c r="D308" s="405"/>
      <c r="E308" s="405"/>
      <c r="F308" s="403"/>
      <c r="G308" s="403"/>
      <c r="H308" s="403"/>
      <c r="I308" s="403"/>
      <c r="J308" s="403"/>
      <c r="K308" s="407"/>
      <c r="L308" s="407"/>
      <c r="M308" s="407"/>
      <c r="N308" s="403"/>
      <c r="O308" s="403"/>
      <c r="P308" s="403"/>
      <c r="Q308" s="403"/>
      <c r="R308" s="403"/>
      <c r="S308" s="403"/>
      <c r="T308" s="403"/>
      <c r="U308" s="403"/>
      <c r="V308" s="403"/>
      <c r="W308" s="403"/>
      <c r="X308" s="403"/>
      <c r="Y308" s="403"/>
      <c r="Z308" s="403"/>
      <c r="AA308" s="403"/>
      <c r="AB308" s="404"/>
      <c r="AC308" s="404"/>
      <c r="AD308" s="408"/>
      <c r="AE308" s="403"/>
      <c r="AF308" s="404"/>
      <c r="AG308" s="402"/>
      <c r="AH308" s="403"/>
      <c r="AI308" s="403"/>
      <c r="AJ308" s="401"/>
      <c r="AK308" s="402"/>
      <c r="AL308" s="403"/>
      <c r="AM308" s="403"/>
      <c r="AN308" s="401"/>
      <c r="AO308" s="403"/>
      <c r="AP308" s="403"/>
      <c r="AQ308" s="403"/>
      <c r="AR308" s="401"/>
      <c r="AS308" s="403"/>
      <c r="AT308" s="403"/>
      <c r="AU308" s="403"/>
      <c r="AV308" s="403"/>
      <c r="AW308" s="403"/>
    </row>
    <row r="309" spans="2:49" s="415" customFormat="1">
      <c r="B309" s="405"/>
      <c r="C309" s="403"/>
      <c r="D309" s="405"/>
      <c r="E309" s="405"/>
      <c r="F309" s="403"/>
      <c r="G309" s="403"/>
      <c r="H309" s="403"/>
      <c r="I309" s="403"/>
      <c r="J309" s="403"/>
      <c r="K309" s="407"/>
      <c r="L309" s="407"/>
      <c r="M309" s="407"/>
      <c r="N309" s="403"/>
      <c r="O309" s="403"/>
      <c r="P309" s="403"/>
      <c r="Q309" s="403"/>
      <c r="R309" s="403"/>
      <c r="S309" s="403"/>
      <c r="T309" s="403"/>
      <c r="U309" s="403"/>
      <c r="V309" s="403"/>
      <c r="W309" s="403"/>
      <c r="X309" s="403"/>
      <c r="Y309" s="403"/>
      <c r="Z309" s="403"/>
      <c r="AA309" s="403"/>
      <c r="AB309" s="404"/>
      <c r="AC309" s="404"/>
      <c r="AD309" s="408"/>
      <c r="AE309" s="403"/>
      <c r="AF309" s="404"/>
      <c r="AG309" s="402"/>
      <c r="AH309" s="403"/>
      <c r="AI309" s="403"/>
      <c r="AJ309" s="401"/>
      <c r="AK309" s="402"/>
      <c r="AL309" s="403"/>
      <c r="AM309" s="403"/>
      <c r="AN309" s="401"/>
      <c r="AO309" s="403"/>
      <c r="AP309" s="403"/>
      <c r="AQ309" s="403"/>
      <c r="AR309" s="401"/>
      <c r="AS309" s="403"/>
      <c r="AT309" s="403"/>
      <c r="AU309" s="403"/>
      <c r="AV309" s="403"/>
      <c r="AW309" s="403"/>
    </row>
    <row r="310" spans="2:49" s="415" customFormat="1">
      <c r="B310" s="405"/>
      <c r="C310" s="403"/>
      <c r="D310" s="405"/>
      <c r="E310" s="405"/>
      <c r="F310" s="403"/>
      <c r="G310" s="403"/>
      <c r="H310" s="403"/>
      <c r="I310" s="403"/>
      <c r="J310" s="403"/>
      <c r="K310" s="407"/>
      <c r="L310" s="407"/>
      <c r="M310" s="407"/>
      <c r="N310" s="403"/>
      <c r="O310" s="403"/>
      <c r="P310" s="403"/>
      <c r="Q310" s="403"/>
      <c r="R310" s="403"/>
      <c r="S310" s="403"/>
      <c r="T310" s="403"/>
      <c r="U310" s="403"/>
      <c r="V310" s="403"/>
      <c r="W310" s="403"/>
      <c r="X310" s="403"/>
      <c r="Y310" s="403"/>
      <c r="Z310" s="403"/>
      <c r="AA310" s="403"/>
      <c r="AB310" s="404"/>
      <c r="AC310" s="404"/>
      <c r="AD310" s="408"/>
      <c r="AE310" s="403"/>
      <c r="AF310" s="404"/>
      <c r="AG310" s="402"/>
      <c r="AH310" s="403"/>
      <c r="AI310" s="403"/>
      <c r="AJ310" s="401"/>
      <c r="AK310" s="402"/>
      <c r="AL310" s="403"/>
      <c r="AM310" s="403"/>
      <c r="AN310" s="401"/>
      <c r="AO310" s="403"/>
      <c r="AP310" s="403"/>
      <c r="AQ310" s="403"/>
      <c r="AR310" s="401"/>
      <c r="AS310" s="403"/>
      <c r="AT310" s="403"/>
      <c r="AU310" s="403"/>
      <c r="AV310" s="403"/>
      <c r="AW310" s="403"/>
    </row>
    <row r="311" spans="2:49" s="415" customFormat="1">
      <c r="B311" s="481"/>
      <c r="D311" s="481"/>
      <c r="E311" s="481"/>
      <c r="K311" s="423"/>
      <c r="L311" s="423"/>
      <c r="M311" s="423"/>
      <c r="AA311" s="403"/>
      <c r="AB311" s="404"/>
      <c r="AC311" s="410"/>
      <c r="AD311" s="408"/>
      <c r="AE311" s="411"/>
      <c r="AF311" s="412"/>
      <c r="AG311" s="413"/>
      <c r="AH311" s="411"/>
      <c r="AI311" s="411"/>
      <c r="AJ311" s="482"/>
      <c r="AK311" s="413"/>
      <c r="AL311" s="411"/>
      <c r="AN311" s="417"/>
      <c r="AR311" s="417"/>
    </row>
    <row r="312" spans="2:49" s="415" customFormat="1">
      <c r="B312" s="481"/>
      <c r="D312" s="481"/>
      <c r="E312" s="481"/>
      <c r="K312" s="423"/>
      <c r="L312" s="423"/>
      <c r="M312" s="423"/>
      <c r="AA312" s="403"/>
      <c r="AB312" s="404"/>
      <c r="AC312" s="410"/>
      <c r="AD312" s="408"/>
      <c r="AE312" s="411"/>
      <c r="AF312" s="412"/>
      <c r="AG312" s="413"/>
      <c r="AH312" s="411"/>
      <c r="AI312" s="411"/>
      <c r="AJ312" s="482"/>
      <c r="AK312" s="413"/>
      <c r="AL312" s="411"/>
      <c r="AN312" s="417"/>
      <c r="AR312" s="417"/>
    </row>
    <row r="313" spans="2:49" s="415" customFormat="1">
      <c r="B313" s="481"/>
      <c r="D313" s="481"/>
      <c r="E313" s="481"/>
      <c r="K313" s="423"/>
      <c r="L313" s="423"/>
      <c r="M313" s="423"/>
      <c r="AB313" s="404"/>
      <c r="AC313" s="410"/>
      <c r="AD313" s="414"/>
      <c r="AF313" s="410"/>
      <c r="AG313" s="416"/>
      <c r="AJ313" s="417"/>
      <c r="AK313" s="416"/>
      <c r="AN313" s="417"/>
      <c r="AR313" s="417"/>
    </row>
    <row r="314" spans="2:49" s="415" customFormat="1">
      <c r="B314" s="481"/>
      <c r="D314" s="481"/>
      <c r="E314" s="481"/>
      <c r="K314" s="423"/>
      <c r="L314" s="423"/>
      <c r="M314" s="423"/>
      <c r="AB314" s="417"/>
      <c r="AC314" s="410"/>
      <c r="AF314" s="410"/>
      <c r="AG314" s="416"/>
      <c r="AJ314" s="417"/>
      <c r="AK314" s="416"/>
      <c r="AN314" s="417"/>
      <c r="AR314" s="417"/>
    </row>
    <row r="315" spans="2:49" s="415" customFormat="1">
      <c r="B315" s="481"/>
      <c r="D315" s="481"/>
      <c r="E315" s="481"/>
      <c r="K315" s="423"/>
      <c r="L315" s="423"/>
      <c r="M315" s="423"/>
      <c r="AB315" s="417"/>
      <c r="AC315" s="410"/>
      <c r="AF315" s="410"/>
      <c r="AG315" s="416"/>
      <c r="AJ315" s="417"/>
      <c r="AK315" s="416"/>
      <c r="AN315" s="417"/>
      <c r="AR315" s="417"/>
    </row>
    <row r="316" spans="2:49" s="415" customFormat="1">
      <c r="B316" s="481"/>
      <c r="D316" s="481"/>
      <c r="E316" s="481"/>
      <c r="K316" s="423"/>
      <c r="L316" s="423"/>
      <c r="M316" s="423"/>
      <c r="AB316" s="417"/>
      <c r="AC316" s="416"/>
      <c r="AF316" s="410"/>
      <c r="AG316" s="416"/>
      <c r="AJ316" s="417"/>
      <c r="AK316" s="416"/>
      <c r="AN316" s="417"/>
      <c r="AR316" s="417"/>
    </row>
    <row r="317" spans="2:49" s="415" customFormat="1">
      <c r="B317" s="481"/>
      <c r="D317" s="481"/>
      <c r="E317" s="481"/>
      <c r="K317" s="423"/>
      <c r="L317" s="423"/>
      <c r="M317" s="423"/>
      <c r="AA317" s="403"/>
      <c r="AB317" s="407"/>
      <c r="AC317" s="414"/>
      <c r="AF317" s="410"/>
      <c r="AG317" s="416"/>
      <c r="AJ317" s="417"/>
      <c r="AK317" s="416"/>
      <c r="AN317" s="417"/>
      <c r="AR317" s="417"/>
    </row>
    <row r="318" spans="2:49" s="415" customFormat="1">
      <c r="B318" s="481"/>
      <c r="D318" s="481"/>
      <c r="E318" s="481"/>
      <c r="K318" s="423"/>
      <c r="L318" s="423"/>
      <c r="M318" s="423"/>
      <c r="AA318" s="403"/>
      <c r="AB318" s="407"/>
      <c r="AC318" s="414"/>
      <c r="AF318" s="410"/>
      <c r="AG318" s="416"/>
      <c r="AJ318" s="417"/>
      <c r="AK318" s="416"/>
      <c r="AN318" s="417"/>
      <c r="AR318" s="417"/>
    </row>
    <row r="319" spans="2:49" s="415" customFormat="1">
      <c r="B319" s="481"/>
      <c r="D319" s="481"/>
      <c r="E319" s="481"/>
      <c r="K319" s="423"/>
      <c r="L319" s="423"/>
      <c r="M319" s="423"/>
      <c r="AA319" s="403"/>
      <c r="AB319" s="407"/>
      <c r="AC319" s="414"/>
      <c r="AF319" s="410"/>
      <c r="AG319" s="416"/>
      <c r="AJ319" s="417"/>
      <c r="AK319" s="416"/>
      <c r="AN319" s="417"/>
      <c r="AR319" s="417"/>
    </row>
    <row r="320" spans="2:49" s="415" customFormat="1">
      <c r="B320" s="481"/>
      <c r="D320" s="481"/>
      <c r="E320" s="481"/>
      <c r="K320" s="423"/>
      <c r="L320" s="423"/>
      <c r="M320" s="423"/>
      <c r="AA320" s="403"/>
      <c r="AB320" s="407"/>
      <c r="AC320" s="414"/>
      <c r="AF320" s="410"/>
      <c r="AG320" s="416"/>
      <c r="AJ320" s="417"/>
      <c r="AK320" s="416"/>
      <c r="AN320" s="417"/>
      <c r="AR320" s="417"/>
    </row>
    <row r="321" spans="2:44" s="415" customFormat="1">
      <c r="B321" s="481"/>
      <c r="D321" s="481"/>
      <c r="E321" s="481"/>
      <c r="K321" s="423"/>
      <c r="L321" s="423"/>
      <c r="M321" s="423"/>
      <c r="AA321" s="403"/>
      <c r="AB321" s="407"/>
      <c r="AC321" s="414"/>
      <c r="AF321" s="410"/>
      <c r="AG321" s="416"/>
      <c r="AJ321" s="417"/>
      <c r="AK321" s="416"/>
      <c r="AN321" s="417"/>
      <c r="AR321" s="417"/>
    </row>
    <row r="322" spans="2:44" s="415" customFormat="1">
      <c r="B322" s="481"/>
      <c r="D322" s="481"/>
      <c r="E322" s="481"/>
      <c r="K322" s="423"/>
      <c r="L322" s="423"/>
      <c r="M322" s="423"/>
      <c r="AA322" s="403"/>
      <c r="AB322" s="407"/>
      <c r="AC322" s="414"/>
      <c r="AF322" s="410"/>
      <c r="AG322" s="416"/>
      <c r="AJ322" s="417"/>
      <c r="AK322" s="416"/>
      <c r="AN322" s="417"/>
      <c r="AR322" s="417"/>
    </row>
    <row r="323" spans="2:44" s="415" customFormat="1">
      <c r="B323" s="481"/>
      <c r="D323" s="481"/>
      <c r="E323" s="481"/>
      <c r="K323" s="423"/>
      <c r="L323" s="423"/>
      <c r="M323" s="423"/>
      <c r="AA323" s="403"/>
      <c r="AB323" s="407"/>
      <c r="AC323" s="414"/>
      <c r="AF323" s="410"/>
      <c r="AG323" s="416"/>
      <c r="AJ323" s="417"/>
      <c r="AK323" s="416"/>
      <c r="AN323" s="417"/>
      <c r="AR323" s="417"/>
    </row>
    <row r="324" spans="2:44" s="415" customFormat="1">
      <c r="B324" s="481"/>
      <c r="D324" s="481"/>
      <c r="E324" s="481"/>
      <c r="K324" s="423"/>
      <c r="L324" s="423"/>
      <c r="M324" s="423"/>
      <c r="AA324" s="403"/>
      <c r="AB324" s="407"/>
      <c r="AC324" s="414"/>
      <c r="AF324" s="410"/>
      <c r="AG324" s="416"/>
      <c r="AJ324" s="417"/>
      <c r="AK324" s="416"/>
      <c r="AN324" s="417"/>
      <c r="AR324" s="417"/>
    </row>
    <row r="325" spans="2:44" s="415" customFormat="1">
      <c r="B325" s="481"/>
      <c r="D325" s="481"/>
      <c r="E325" s="481"/>
      <c r="K325" s="423"/>
      <c r="L325" s="423"/>
      <c r="M325" s="423"/>
      <c r="AA325" s="403"/>
      <c r="AB325" s="407"/>
      <c r="AC325" s="414"/>
      <c r="AF325" s="410"/>
      <c r="AG325" s="416"/>
      <c r="AJ325" s="417"/>
      <c r="AK325" s="416"/>
      <c r="AN325" s="417"/>
      <c r="AR325" s="417"/>
    </row>
    <row r="326" spans="2:44" s="415" customFormat="1">
      <c r="B326" s="481"/>
      <c r="D326" s="481"/>
      <c r="E326" s="481"/>
      <c r="K326" s="423"/>
      <c r="L326" s="423"/>
      <c r="M326" s="423"/>
      <c r="AA326" s="403"/>
      <c r="AB326" s="407"/>
      <c r="AC326" s="414"/>
      <c r="AF326" s="410"/>
      <c r="AG326" s="416"/>
      <c r="AJ326" s="417"/>
      <c r="AK326" s="416"/>
      <c r="AN326" s="417"/>
      <c r="AR326" s="417"/>
    </row>
    <row r="327" spans="2:44" s="415" customFormat="1">
      <c r="B327" s="481"/>
      <c r="D327" s="481"/>
      <c r="E327" s="481"/>
      <c r="K327" s="423"/>
      <c r="L327" s="423"/>
      <c r="M327" s="423"/>
      <c r="AA327" s="403"/>
      <c r="AB327" s="407"/>
      <c r="AC327" s="414"/>
      <c r="AF327" s="410"/>
      <c r="AG327" s="416"/>
      <c r="AJ327" s="417"/>
      <c r="AK327" s="416"/>
      <c r="AN327" s="417"/>
      <c r="AR327" s="417"/>
    </row>
    <row r="328" spans="2:44" s="415" customFormat="1">
      <c r="B328" s="481"/>
      <c r="D328" s="481"/>
      <c r="E328" s="481"/>
      <c r="K328" s="423"/>
      <c r="L328" s="423"/>
      <c r="M328" s="423"/>
      <c r="AB328" s="407"/>
      <c r="AC328" s="414"/>
      <c r="AF328" s="410"/>
      <c r="AG328" s="416"/>
      <c r="AJ328" s="417"/>
      <c r="AK328" s="416"/>
      <c r="AN328" s="417"/>
      <c r="AR328" s="417"/>
    </row>
    <row r="329" spans="2:44" s="415" customFormat="1">
      <c r="B329" s="481"/>
      <c r="D329" s="481"/>
      <c r="E329" s="481"/>
      <c r="K329" s="423"/>
      <c r="L329" s="423"/>
      <c r="M329" s="423"/>
      <c r="AB329" s="407"/>
      <c r="AC329" s="416"/>
      <c r="AF329" s="410"/>
      <c r="AG329" s="416"/>
      <c r="AJ329" s="417"/>
      <c r="AK329" s="416"/>
      <c r="AN329" s="417"/>
      <c r="AR329" s="417"/>
    </row>
    <row r="330" spans="2:44" s="415" customFormat="1">
      <c r="B330" s="481"/>
      <c r="D330" s="481"/>
      <c r="E330" s="481"/>
      <c r="K330" s="423"/>
      <c r="L330" s="423"/>
      <c r="M330" s="423"/>
      <c r="AB330" s="407"/>
      <c r="AC330" s="416"/>
      <c r="AF330" s="410"/>
      <c r="AG330" s="416"/>
      <c r="AJ330" s="417"/>
      <c r="AK330" s="416"/>
      <c r="AN330" s="417"/>
      <c r="AR330" s="417"/>
    </row>
    <row r="331" spans="2:44" s="415" customFormat="1">
      <c r="B331" s="481"/>
      <c r="D331" s="481"/>
      <c r="E331" s="481"/>
      <c r="K331" s="423"/>
      <c r="L331" s="423"/>
      <c r="M331" s="423"/>
      <c r="AB331" s="407"/>
      <c r="AC331" s="416"/>
      <c r="AF331" s="410"/>
      <c r="AG331" s="416"/>
      <c r="AJ331" s="417"/>
      <c r="AK331" s="416"/>
      <c r="AN331" s="417"/>
      <c r="AR331" s="417"/>
    </row>
    <row r="332" spans="2:44" s="415" customFormat="1">
      <c r="B332" s="481"/>
      <c r="D332" s="481"/>
      <c r="E332" s="481"/>
      <c r="K332" s="423"/>
      <c r="L332" s="423"/>
      <c r="M332" s="423"/>
      <c r="AB332" s="407"/>
      <c r="AC332" s="416"/>
      <c r="AF332" s="410"/>
      <c r="AG332" s="416"/>
      <c r="AJ332" s="417"/>
      <c r="AK332" s="416"/>
      <c r="AN332" s="417"/>
      <c r="AR332" s="417"/>
    </row>
    <row r="333" spans="2:44" s="415" customFormat="1">
      <c r="B333" s="481"/>
      <c r="D333" s="481"/>
      <c r="E333" s="481"/>
      <c r="K333" s="423"/>
      <c r="L333" s="423"/>
      <c r="M333" s="423"/>
      <c r="AB333" s="407"/>
      <c r="AC333" s="416"/>
      <c r="AF333" s="410"/>
      <c r="AG333" s="416"/>
      <c r="AJ333" s="417"/>
      <c r="AK333" s="416"/>
      <c r="AN333" s="417"/>
      <c r="AR333" s="417"/>
    </row>
    <row r="334" spans="2:44" s="415" customFormat="1">
      <c r="B334" s="481"/>
      <c r="D334" s="481"/>
      <c r="E334" s="481"/>
      <c r="K334" s="423"/>
      <c r="L334" s="423"/>
      <c r="M334" s="423"/>
      <c r="AB334" s="407"/>
      <c r="AC334" s="416"/>
      <c r="AF334" s="410"/>
      <c r="AG334" s="416"/>
      <c r="AJ334" s="417"/>
      <c r="AK334" s="416"/>
      <c r="AN334" s="417"/>
      <c r="AR334" s="417"/>
    </row>
    <row r="335" spans="2:44" s="415" customFormat="1">
      <c r="B335" s="481"/>
      <c r="D335" s="481"/>
      <c r="E335" s="481"/>
      <c r="K335" s="423"/>
      <c r="L335" s="423"/>
      <c r="M335" s="423"/>
      <c r="AB335" s="407"/>
      <c r="AC335" s="416"/>
      <c r="AF335" s="410"/>
      <c r="AG335" s="416"/>
      <c r="AJ335" s="417"/>
      <c r="AK335" s="416"/>
      <c r="AN335" s="417"/>
      <c r="AR335" s="417"/>
    </row>
    <row r="336" spans="2:44" s="415" customFormat="1">
      <c r="B336" s="481"/>
      <c r="D336" s="481"/>
      <c r="E336" s="481"/>
      <c r="K336" s="423"/>
      <c r="L336" s="423"/>
      <c r="M336" s="423"/>
      <c r="AB336" s="407"/>
      <c r="AC336" s="416"/>
      <c r="AF336" s="410"/>
      <c r="AG336" s="416"/>
      <c r="AJ336" s="417"/>
      <c r="AK336" s="416"/>
      <c r="AN336" s="417"/>
      <c r="AR336" s="417"/>
    </row>
    <row r="337" spans="2:44" s="415" customFormat="1">
      <c r="B337" s="481"/>
      <c r="D337" s="481"/>
      <c r="E337" s="481"/>
      <c r="K337" s="423"/>
      <c r="L337" s="423"/>
      <c r="M337" s="423"/>
      <c r="AB337" s="407"/>
      <c r="AC337" s="416"/>
      <c r="AF337" s="410"/>
      <c r="AG337" s="416"/>
      <c r="AJ337" s="417"/>
      <c r="AK337" s="416"/>
      <c r="AN337" s="417"/>
      <c r="AR337" s="417"/>
    </row>
    <row r="338" spans="2:44" s="415" customFormat="1">
      <c r="B338" s="481"/>
      <c r="D338" s="481"/>
      <c r="E338" s="481"/>
      <c r="K338" s="423"/>
      <c r="L338" s="423"/>
      <c r="M338" s="423"/>
      <c r="AB338" s="407"/>
      <c r="AC338" s="416"/>
      <c r="AF338" s="410"/>
      <c r="AG338" s="416"/>
      <c r="AJ338" s="417"/>
      <c r="AK338" s="416"/>
      <c r="AN338" s="417"/>
      <c r="AR338" s="417"/>
    </row>
    <row r="339" spans="2:44" s="415" customFormat="1">
      <c r="B339" s="481"/>
      <c r="D339" s="481"/>
      <c r="E339" s="481"/>
      <c r="K339" s="423"/>
      <c r="L339" s="423"/>
      <c r="M339" s="423"/>
      <c r="AB339" s="417"/>
      <c r="AC339" s="416"/>
      <c r="AF339" s="410"/>
      <c r="AG339" s="416"/>
      <c r="AJ339" s="417"/>
      <c r="AK339" s="416"/>
      <c r="AN339" s="417"/>
      <c r="AR339" s="417"/>
    </row>
    <row r="340" spans="2:44" s="415" customFormat="1">
      <c r="B340" s="481"/>
      <c r="D340" s="481"/>
      <c r="E340" s="481"/>
      <c r="K340" s="423"/>
      <c r="L340" s="423"/>
      <c r="M340" s="423"/>
      <c r="AB340" s="417"/>
      <c r="AC340" s="416"/>
      <c r="AF340" s="410"/>
      <c r="AG340" s="416"/>
      <c r="AJ340" s="417"/>
      <c r="AK340" s="416"/>
      <c r="AN340" s="417"/>
      <c r="AR340" s="417"/>
    </row>
    <row r="341" spans="2:44" s="415" customFormat="1">
      <c r="B341" s="481"/>
      <c r="D341" s="481"/>
      <c r="E341" s="481"/>
      <c r="K341" s="423"/>
      <c r="L341" s="423"/>
      <c r="M341" s="423"/>
      <c r="AB341" s="417"/>
      <c r="AC341" s="416"/>
      <c r="AF341" s="410"/>
      <c r="AG341" s="416"/>
      <c r="AJ341" s="417"/>
      <c r="AK341" s="416"/>
      <c r="AN341" s="417"/>
      <c r="AR341" s="417"/>
    </row>
    <row r="342" spans="2:44" s="415" customFormat="1">
      <c r="B342" s="481"/>
      <c r="D342" s="481"/>
      <c r="E342" s="481"/>
      <c r="K342" s="423"/>
      <c r="L342" s="423"/>
      <c r="M342" s="423"/>
      <c r="AB342" s="417"/>
      <c r="AC342" s="416"/>
      <c r="AF342" s="410"/>
      <c r="AG342" s="416"/>
      <c r="AJ342" s="417"/>
      <c r="AK342" s="416"/>
      <c r="AN342" s="417"/>
      <c r="AR342" s="417"/>
    </row>
    <row r="343" spans="2:44" s="415" customFormat="1">
      <c r="B343" s="481"/>
      <c r="D343" s="481"/>
      <c r="E343" s="481"/>
      <c r="K343" s="423"/>
      <c r="L343" s="423"/>
      <c r="M343" s="423"/>
      <c r="AB343" s="417"/>
      <c r="AC343" s="416"/>
      <c r="AF343" s="410"/>
      <c r="AG343" s="416"/>
      <c r="AJ343" s="417"/>
      <c r="AK343" s="416"/>
      <c r="AN343" s="417"/>
      <c r="AR343" s="417"/>
    </row>
    <row r="344" spans="2:44" s="415" customFormat="1">
      <c r="B344" s="481"/>
      <c r="D344" s="481"/>
      <c r="E344" s="481"/>
      <c r="K344" s="423"/>
      <c r="L344" s="423"/>
      <c r="M344" s="423"/>
      <c r="AB344" s="417"/>
      <c r="AC344" s="416"/>
      <c r="AF344" s="410"/>
      <c r="AG344" s="416"/>
      <c r="AJ344" s="417"/>
      <c r="AK344" s="416"/>
      <c r="AN344" s="417"/>
      <c r="AR344" s="417"/>
    </row>
    <row r="345" spans="2:44" s="415" customFormat="1">
      <c r="B345" s="481"/>
      <c r="D345" s="481"/>
      <c r="E345" s="481"/>
      <c r="K345" s="423"/>
      <c r="L345" s="423"/>
      <c r="M345" s="423"/>
      <c r="AB345" s="417"/>
      <c r="AC345" s="416"/>
      <c r="AF345" s="410"/>
      <c r="AG345" s="416"/>
      <c r="AJ345" s="417"/>
      <c r="AK345" s="416"/>
      <c r="AN345" s="417"/>
      <c r="AR345" s="417"/>
    </row>
    <row r="346" spans="2:44" s="415" customFormat="1">
      <c r="B346" s="481"/>
      <c r="D346" s="481"/>
      <c r="E346" s="481"/>
      <c r="K346" s="423"/>
      <c r="L346" s="423"/>
      <c r="M346" s="423"/>
      <c r="AB346" s="417"/>
      <c r="AC346" s="416"/>
      <c r="AF346" s="410"/>
      <c r="AG346" s="416"/>
      <c r="AJ346" s="417"/>
      <c r="AK346" s="416"/>
      <c r="AN346" s="417"/>
      <c r="AR346" s="417"/>
    </row>
    <row r="347" spans="2:44" s="415" customFormat="1">
      <c r="B347" s="481"/>
      <c r="D347" s="481"/>
      <c r="E347" s="481"/>
      <c r="K347" s="423"/>
      <c r="L347" s="423"/>
      <c r="M347" s="423"/>
      <c r="AB347" s="417"/>
      <c r="AC347" s="416"/>
      <c r="AF347" s="410"/>
      <c r="AG347" s="416"/>
      <c r="AJ347" s="417"/>
      <c r="AK347" s="416"/>
      <c r="AN347" s="417"/>
      <c r="AR347" s="417"/>
    </row>
    <row r="348" spans="2:44" s="415" customFormat="1">
      <c r="B348" s="481"/>
      <c r="D348" s="481"/>
      <c r="E348" s="481"/>
      <c r="K348" s="423"/>
      <c r="L348" s="423"/>
      <c r="M348" s="423"/>
      <c r="AB348" s="417"/>
      <c r="AC348" s="416"/>
      <c r="AF348" s="410"/>
      <c r="AG348" s="416"/>
      <c r="AJ348" s="417"/>
      <c r="AK348" s="416"/>
      <c r="AN348" s="417"/>
      <c r="AR348" s="417"/>
    </row>
    <row r="349" spans="2:44" s="415" customFormat="1">
      <c r="B349" s="481"/>
      <c r="D349" s="481"/>
      <c r="E349" s="481"/>
      <c r="K349" s="423"/>
      <c r="L349" s="423"/>
      <c r="M349" s="423"/>
      <c r="AB349" s="417"/>
      <c r="AC349" s="416"/>
      <c r="AF349" s="410"/>
      <c r="AG349" s="416"/>
      <c r="AJ349" s="417"/>
      <c r="AK349" s="416"/>
      <c r="AN349" s="417"/>
      <c r="AR349" s="417"/>
    </row>
    <row r="350" spans="2:44" s="415" customFormat="1">
      <c r="B350" s="481"/>
      <c r="D350" s="481"/>
      <c r="E350" s="481"/>
      <c r="K350" s="423"/>
      <c r="L350" s="423"/>
      <c r="M350" s="423"/>
      <c r="AB350" s="417"/>
      <c r="AC350" s="416"/>
      <c r="AF350" s="410"/>
      <c r="AG350" s="416"/>
      <c r="AJ350" s="417"/>
      <c r="AK350" s="416"/>
      <c r="AN350" s="417"/>
      <c r="AR350" s="417"/>
    </row>
    <row r="351" spans="2:44" s="415" customFormat="1">
      <c r="B351" s="481"/>
      <c r="D351" s="481"/>
      <c r="E351" s="481"/>
      <c r="K351" s="423"/>
      <c r="L351" s="423"/>
      <c r="M351" s="423"/>
      <c r="AB351" s="417"/>
      <c r="AC351" s="416"/>
      <c r="AF351" s="410"/>
      <c r="AG351" s="416"/>
      <c r="AJ351" s="417"/>
      <c r="AK351" s="416"/>
      <c r="AN351" s="417"/>
      <c r="AR351" s="417"/>
    </row>
    <row r="352" spans="2:44" s="415" customFormat="1">
      <c r="B352" s="481"/>
      <c r="D352" s="481"/>
      <c r="E352" s="481"/>
      <c r="K352" s="423"/>
      <c r="L352" s="423"/>
      <c r="M352" s="423"/>
      <c r="AB352" s="417"/>
      <c r="AC352" s="416"/>
      <c r="AF352" s="410"/>
      <c r="AG352" s="416"/>
      <c r="AJ352" s="417"/>
      <c r="AK352" s="416"/>
      <c r="AN352" s="417"/>
      <c r="AR352" s="417"/>
    </row>
    <row r="353" spans="2:44" s="415" customFormat="1">
      <c r="B353" s="481"/>
      <c r="D353" s="481"/>
      <c r="E353" s="481"/>
      <c r="K353" s="423"/>
      <c r="L353" s="423"/>
      <c r="M353" s="423"/>
      <c r="AB353" s="417"/>
      <c r="AC353" s="416"/>
      <c r="AF353" s="410"/>
      <c r="AG353" s="416"/>
      <c r="AJ353" s="417"/>
      <c r="AK353" s="416"/>
      <c r="AN353" s="417"/>
      <c r="AR353" s="417"/>
    </row>
    <row r="354" spans="2:44" s="415" customFormat="1">
      <c r="B354" s="481"/>
      <c r="D354" s="481"/>
      <c r="E354" s="481"/>
      <c r="K354" s="423"/>
      <c r="L354" s="423"/>
      <c r="M354" s="423"/>
      <c r="AB354" s="417"/>
      <c r="AC354" s="416"/>
      <c r="AF354" s="410"/>
      <c r="AG354" s="416"/>
      <c r="AJ354" s="417"/>
      <c r="AK354" s="416"/>
      <c r="AN354" s="417"/>
      <c r="AR354" s="417"/>
    </row>
    <row r="355" spans="2:44" s="415" customFormat="1">
      <c r="B355" s="481"/>
      <c r="D355" s="481"/>
      <c r="E355" s="481"/>
      <c r="K355" s="423"/>
      <c r="L355" s="423"/>
      <c r="M355" s="423"/>
      <c r="AB355" s="417"/>
      <c r="AC355" s="416"/>
      <c r="AF355" s="410"/>
      <c r="AG355" s="416"/>
      <c r="AJ355" s="417"/>
      <c r="AK355" s="416"/>
      <c r="AN355" s="417"/>
      <c r="AR355" s="417"/>
    </row>
    <row r="356" spans="2:44" s="415" customFormat="1">
      <c r="B356" s="481"/>
      <c r="D356" s="481"/>
      <c r="E356" s="481"/>
      <c r="K356" s="423"/>
      <c r="L356" s="423"/>
      <c r="M356" s="423"/>
      <c r="AB356" s="417"/>
      <c r="AC356" s="416"/>
      <c r="AF356" s="410"/>
      <c r="AG356" s="416"/>
      <c r="AJ356" s="417"/>
      <c r="AK356" s="416"/>
      <c r="AN356" s="417"/>
      <c r="AR356" s="417"/>
    </row>
    <row r="357" spans="2:44" s="415" customFormat="1">
      <c r="B357" s="481"/>
      <c r="D357" s="481"/>
      <c r="E357" s="481"/>
      <c r="K357" s="423"/>
      <c r="L357" s="423"/>
      <c r="M357" s="423"/>
      <c r="AB357" s="417"/>
      <c r="AC357" s="416"/>
      <c r="AF357" s="410"/>
      <c r="AG357" s="416"/>
      <c r="AJ357" s="417"/>
      <c r="AK357" s="416"/>
      <c r="AN357" s="417"/>
      <c r="AR357" s="417"/>
    </row>
    <row r="358" spans="2:44" s="415" customFormat="1">
      <c r="B358" s="481"/>
      <c r="D358" s="481"/>
      <c r="E358" s="481"/>
      <c r="K358" s="423"/>
      <c r="L358" s="423"/>
      <c r="M358" s="423"/>
      <c r="AB358" s="417"/>
      <c r="AC358" s="416"/>
      <c r="AF358" s="410"/>
      <c r="AG358" s="416"/>
      <c r="AJ358" s="417"/>
      <c r="AK358" s="416"/>
      <c r="AN358" s="417"/>
      <c r="AR358" s="417"/>
    </row>
    <row r="359" spans="2:44" s="415" customFormat="1">
      <c r="B359" s="481"/>
      <c r="D359" s="481"/>
      <c r="E359" s="481"/>
      <c r="K359" s="423"/>
      <c r="L359" s="423"/>
      <c r="M359" s="423"/>
      <c r="AB359" s="417"/>
      <c r="AC359" s="416"/>
      <c r="AF359" s="410"/>
      <c r="AG359" s="416"/>
      <c r="AJ359" s="417"/>
      <c r="AK359" s="416"/>
      <c r="AN359" s="417"/>
      <c r="AR359" s="417"/>
    </row>
    <row r="360" spans="2:44" s="415" customFormat="1">
      <c r="B360" s="481"/>
      <c r="D360" s="481"/>
      <c r="E360" s="481"/>
      <c r="K360" s="423"/>
      <c r="L360" s="423"/>
      <c r="M360" s="423"/>
      <c r="AB360" s="417"/>
      <c r="AC360" s="416"/>
      <c r="AF360" s="410"/>
      <c r="AG360" s="416"/>
      <c r="AJ360" s="417"/>
      <c r="AK360" s="416"/>
      <c r="AN360" s="417"/>
      <c r="AR360" s="417"/>
    </row>
    <row r="361" spans="2:44" s="415" customFormat="1">
      <c r="B361" s="481"/>
      <c r="D361" s="481"/>
      <c r="E361" s="481"/>
      <c r="K361" s="423"/>
      <c r="L361" s="423"/>
      <c r="M361" s="423"/>
      <c r="AB361" s="417"/>
      <c r="AC361" s="416"/>
      <c r="AF361" s="410"/>
      <c r="AG361" s="416"/>
      <c r="AJ361" s="417"/>
      <c r="AK361" s="416"/>
      <c r="AN361" s="417"/>
      <c r="AR361" s="417"/>
    </row>
    <row r="362" spans="2:44" s="415" customFormat="1">
      <c r="B362" s="481"/>
      <c r="D362" s="481"/>
      <c r="E362" s="481"/>
      <c r="K362" s="423"/>
      <c r="L362" s="423"/>
      <c r="M362" s="423"/>
      <c r="AB362" s="417"/>
      <c r="AC362" s="416"/>
      <c r="AF362" s="410"/>
      <c r="AG362" s="416"/>
      <c r="AJ362" s="417"/>
      <c r="AK362" s="416"/>
      <c r="AN362" s="417"/>
      <c r="AR362" s="417"/>
    </row>
    <row r="363" spans="2:44" s="415" customFormat="1">
      <c r="B363" s="481"/>
      <c r="D363" s="481"/>
      <c r="E363" s="481"/>
      <c r="K363" s="423"/>
      <c r="L363" s="423"/>
      <c r="M363" s="423"/>
      <c r="AB363" s="417"/>
      <c r="AC363" s="416"/>
      <c r="AF363" s="410"/>
      <c r="AG363" s="416"/>
      <c r="AJ363" s="417"/>
      <c r="AK363" s="416"/>
      <c r="AN363" s="417"/>
      <c r="AR363" s="417"/>
    </row>
    <row r="364" spans="2:44" s="415" customFormat="1">
      <c r="B364" s="481"/>
      <c r="D364" s="481"/>
      <c r="E364" s="481"/>
      <c r="K364" s="423"/>
      <c r="L364" s="423"/>
      <c r="M364" s="423"/>
      <c r="AB364" s="417"/>
      <c r="AC364" s="416"/>
      <c r="AF364" s="410"/>
      <c r="AG364" s="416"/>
      <c r="AJ364" s="417"/>
      <c r="AK364" s="416"/>
      <c r="AN364" s="417"/>
      <c r="AR364" s="417"/>
    </row>
    <row r="365" spans="2:44" s="415" customFormat="1">
      <c r="B365" s="481"/>
      <c r="D365" s="481"/>
      <c r="E365" s="481"/>
      <c r="K365" s="423"/>
      <c r="L365" s="423"/>
      <c r="M365" s="423"/>
      <c r="AB365" s="417"/>
      <c r="AC365" s="416"/>
      <c r="AF365" s="410"/>
      <c r="AG365" s="416"/>
      <c r="AJ365" s="417"/>
      <c r="AK365" s="416"/>
      <c r="AN365" s="417"/>
      <c r="AR365" s="417"/>
    </row>
    <row r="366" spans="2:44" s="415" customFormat="1">
      <c r="B366" s="481"/>
      <c r="D366" s="481"/>
      <c r="E366" s="481"/>
      <c r="K366" s="423"/>
      <c r="L366" s="423"/>
      <c r="M366" s="423"/>
      <c r="AB366" s="417"/>
      <c r="AC366" s="416"/>
      <c r="AF366" s="410"/>
      <c r="AG366" s="416"/>
      <c r="AJ366" s="417"/>
      <c r="AK366" s="416"/>
      <c r="AN366" s="417"/>
      <c r="AR366" s="417"/>
    </row>
    <row r="367" spans="2:44" s="415" customFormat="1">
      <c r="B367" s="481"/>
      <c r="D367" s="481"/>
      <c r="E367" s="481"/>
      <c r="K367" s="423"/>
      <c r="L367" s="423"/>
      <c r="M367" s="423"/>
      <c r="AB367" s="417"/>
      <c r="AC367" s="416"/>
      <c r="AF367" s="410"/>
      <c r="AG367" s="416"/>
      <c r="AJ367" s="417"/>
      <c r="AK367" s="416"/>
      <c r="AN367" s="417"/>
      <c r="AR367" s="417"/>
    </row>
    <row r="368" spans="2:44" s="415" customFormat="1">
      <c r="B368" s="481"/>
      <c r="D368" s="481"/>
      <c r="E368" s="481"/>
      <c r="K368" s="423"/>
      <c r="L368" s="423"/>
      <c r="M368" s="423"/>
      <c r="AB368" s="417"/>
      <c r="AC368" s="416"/>
      <c r="AF368" s="410"/>
      <c r="AG368" s="416"/>
      <c r="AJ368" s="417"/>
      <c r="AK368" s="416"/>
      <c r="AN368" s="417"/>
      <c r="AR368" s="417"/>
    </row>
    <row r="369" spans="2:44" s="415" customFormat="1">
      <c r="B369" s="481"/>
      <c r="D369" s="481"/>
      <c r="E369" s="481"/>
      <c r="K369" s="423"/>
      <c r="L369" s="423"/>
      <c r="M369" s="423"/>
      <c r="AB369" s="417"/>
      <c r="AC369" s="416"/>
      <c r="AF369" s="410"/>
      <c r="AG369" s="416"/>
      <c r="AJ369" s="417"/>
      <c r="AK369" s="416"/>
      <c r="AN369" s="417"/>
      <c r="AR369" s="417"/>
    </row>
    <row r="370" spans="2:44" s="415" customFormat="1">
      <c r="B370" s="481"/>
      <c r="D370" s="481"/>
      <c r="E370" s="481"/>
      <c r="K370" s="423"/>
      <c r="L370" s="423"/>
      <c r="M370" s="423"/>
      <c r="AB370" s="417"/>
      <c r="AC370" s="416"/>
      <c r="AF370" s="410"/>
      <c r="AG370" s="416"/>
      <c r="AJ370" s="417"/>
      <c r="AK370" s="416"/>
      <c r="AN370" s="417"/>
      <c r="AR370" s="417"/>
    </row>
    <row r="371" spans="2:44" s="415" customFormat="1">
      <c r="B371" s="481"/>
      <c r="D371" s="481"/>
      <c r="E371" s="481"/>
      <c r="K371" s="423"/>
      <c r="L371" s="423"/>
      <c r="M371" s="423"/>
      <c r="AB371" s="417"/>
      <c r="AC371" s="416"/>
      <c r="AF371" s="410"/>
      <c r="AG371" s="416"/>
      <c r="AJ371" s="417"/>
      <c r="AK371" s="416"/>
      <c r="AN371" s="417"/>
      <c r="AR371" s="417"/>
    </row>
    <row r="372" spans="2:44" s="415" customFormat="1">
      <c r="B372" s="481"/>
      <c r="D372" s="481"/>
      <c r="E372" s="481"/>
      <c r="K372" s="423"/>
      <c r="L372" s="423"/>
      <c r="M372" s="423"/>
      <c r="AB372" s="417"/>
      <c r="AC372" s="416"/>
      <c r="AF372" s="410"/>
      <c r="AG372" s="416"/>
      <c r="AJ372" s="417"/>
      <c r="AK372" s="416"/>
      <c r="AN372" s="417"/>
      <c r="AR372" s="417"/>
    </row>
    <row r="373" spans="2:44" s="415" customFormat="1">
      <c r="B373" s="481"/>
      <c r="D373" s="481"/>
      <c r="E373" s="481"/>
      <c r="K373" s="423"/>
      <c r="L373" s="423"/>
      <c r="M373" s="423"/>
      <c r="AB373" s="417"/>
      <c r="AC373" s="416"/>
      <c r="AF373" s="410"/>
      <c r="AG373" s="416"/>
      <c r="AJ373" s="417"/>
      <c r="AK373" s="416"/>
      <c r="AN373" s="417"/>
      <c r="AR373" s="417"/>
    </row>
    <row r="374" spans="2:44" s="415" customFormat="1">
      <c r="B374" s="481"/>
      <c r="D374" s="481"/>
      <c r="E374" s="481"/>
      <c r="K374" s="423"/>
      <c r="L374" s="423"/>
      <c r="M374" s="423"/>
      <c r="AB374" s="417"/>
      <c r="AC374" s="416"/>
      <c r="AF374" s="410"/>
      <c r="AG374" s="416"/>
      <c r="AJ374" s="417"/>
      <c r="AK374" s="416"/>
      <c r="AN374" s="417"/>
      <c r="AR374" s="417"/>
    </row>
    <row r="375" spans="2:44" s="415" customFormat="1">
      <c r="B375" s="481"/>
      <c r="D375" s="481"/>
      <c r="E375" s="481"/>
      <c r="K375" s="423"/>
      <c r="L375" s="423"/>
      <c r="M375" s="423"/>
      <c r="AB375" s="417"/>
      <c r="AC375" s="416"/>
      <c r="AF375" s="410"/>
      <c r="AG375" s="416"/>
      <c r="AJ375" s="417"/>
      <c r="AK375" s="416"/>
      <c r="AN375" s="417"/>
      <c r="AR375" s="417"/>
    </row>
    <row r="376" spans="2:44" s="415" customFormat="1">
      <c r="B376" s="481"/>
      <c r="D376" s="481"/>
      <c r="E376" s="481"/>
      <c r="K376" s="423"/>
      <c r="L376" s="423"/>
      <c r="M376" s="423"/>
      <c r="AB376" s="417"/>
      <c r="AC376" s="416"/>
      <c r="AF376" s="410"/>
      <c r="AG376" s="416"/>
      <c r="AJ376" s="417"/>
      <c r="AK376" s="416"/>
      <c r="AN376" s="417"/>
      <c r="AR376" s="417"/>
    </row>
    <row r="377" spans="2:44" s="415" customFormat="1">
      <c r="B377" s="481"/>
      <c r="D377" s="481"/>
      <c r="E377" s="481"/>
      <c r="K377" s="423"/>
      <c r="L377" s="423"/>
      <c r="M377" s="423"/>
      <c r="AB377" s="417"/>
      <c r="AC377" s="416"/>
      <c r="AF377" s="410"/>
      <c r="AG377" s="416"/>
      <c r="AJ377" s="417"/>
      <c r="AK377" s="416"/>
      <c r="AN377" s="417"/>
      <c r="AR377" s="417"/>
    </row>
    <row r="378" spans="2:44" s="415" customFormat="1">
      <c r="B378" s="481"/>
      <c r="D378" s="481"/>
      <c r="E378" s="481"/>
      <c r="K378" s="423"/>
      <c r="L378" s="423"/>
      <c r="M378" s="423"/>
      <c r="AB378" s="417"/>
      <c r="AC378" s="416"/>
      <c r="AF378" s="410"/>
      <c r="AG378" s="416"/>
      <c r="AJ378" s="417"/>
      <c r="AK378" s="416"/>
      <c r="AN378" s="417"/>
      <c r="AR378" s="417"/>
    </row>
    <row r="379" spans="2:44" s="415" customFormat="1">
      <c r="B379" s="481"/>
      <c r="D379" s="481"/>
      <c r="E379" s="481"/>
      <c r="K379" s="423"/>
      <c r="L379" s="423"/>
      <c r="M379" s="423"/>
      <c r="AB379" s="417"/>
      <c r="AC379" s="416"/>
      <c r="AF379" s="410"/>
      <c r="AG379" s="416"/>
      <c r="AJ379" s="417"/>
      <c r="AK379" s="416"/>
      <c r="AN379" s="417"/>
      <c r="AR379" s="417"/>
    </row>
    <row r="380" spans="2:44" s="415" customFormat="1">
      <c r="B380" s="481"/>
      <c r="D380" s="481"/>
      <c r="E380" s="481"/>
      <c r="K380" s="423"/>
      <c r="L380" s="423"/>
      <c r="M380" s="423"/>
      <c r="AB380" s="417"/>
      <c r="AC380" s="416"/>
      <c r="AF380" s="410"/>
      <c r="AG380" s="416"/>
      <c r="AJ380" s="417"/>
      <c r="AK380" s="416"/>
      <c r="AN380" s="417"/>
      <c r="AR380" s="417"/>
    </row>
    <row r="381" spans="2:44" s="415" customFormat="1">
      <c r="B381" s="481"/>
      <c r="D381" s="481"/>
      <c r="E381" s="481"/>
      <c r="K381" s="423"/>
      <c r="L381" s="423"/>
      <c r="M381" s="423"/>
      <c r="AB381" s="417"/>
      <c r="AC381" s="416"/>
      <c r="AF381" s="410"/>
      <c r="AG381" s="416"/>
      <c r="AJ381" s="417"/>
      <c r="AK381" s="416"/>
      <c r="AN381" s="417"/>
      <c r="AR381" s="417"/>
    </row>
    <row r="382" spans="2:44" s="415" customFormat="1">
      <c r="B382" s="481"/>
      <c r="D382" s="481"/>
      <c r="E382" s="481"/>
      <c r="K382" s="423"/>
      <c r="L382" s="423"/>
      <c r="M382" s="423"/>
      <c r="AB382" s="417"/>
      <c r="AC382" s="416"/>
      <c r="AF382" s="410"/>
      <c r="AG382" s="416"/>
      <c r="AJ382" s="417"/>
      <c r="AK382" s="416"/>
      <c r="AN382" s="417"/>
      <c r="AR382" s="417"/>
    </row>
    <row r="383" spans="2:44" s="415" customFormat="1">
      <c r="B383" s="481"/>
      <c r="D383" s="481"/>
      <c r="E383" s="481"/>
      <c r="K383" s="423"/>
      <c r="L383" s="423"/>
      <c r="M383" s="423"/>
      <c r="AB383" s="417"/>
      <c r="AC383" s="416"/>
      <c r="AF383" s="410"/>
      <c r="AG383" s="416"/>
      <c r="AJ383" s="417"/>
      <c r="AK383" s="416"/>
      <c r="AN383" s="417"/>
      <c r="AR383" s="417"/>
    </row>
    <row r="384" spans="2:44" s="415" customFormat="1">
      <c r="B384" s="481"/>
      <c r="D384" s="481"/>
      <c r="E384" s="481"/>
      <c r="K384" s="423"/>
      <c r="L384" s="423"/>
      <c r="M384" s="423"/>
      <c r="AB384" s="417"/>
      <c r="AC384" s="416"/>
      <c r="AF384" s="410"/>
      <c r="AG384" s="416"/>
      <c r="AJ384" s="417"/>
      <c r="AK384" s="416"/>
      <c r="AN384" s="417"/>
      <c r="AR384" s="417"/>
    </row>
    <row r="385" spans="2:44" s="415" customFormat="1">
      <c r="B385" s="481"/>
      <c r="D385" s="481"/>
      <c r="E385" s="481"/>
      <c r="K385" s="423"/>
      <c r="L385" s="423"/>
      <c r="M385" s="423"/>
      <c r="AB385" s="417"/>
      <c r="AC385" s="416"/>
      <c r="AF385" s="410"/>
      <c r="AG385" s="416"/>
      <c r="AJ385" s="417"/>
      <c r="AK385" s="416"/>
      <c r="AN385" s="417"/>
      <c r="AR385" s="417"/>
    </row>
    <row r="386" spans="2:44" s="415" customFormat="1">
      <c r="B386" s="481"/>
      <c r="D386" s="481"/>
      <c r="E386" s="481"/>
      <c r="K386" s="423"/>
      <c r="L386" s="423"/>
      <c r="M386" s="423"/>
      <c r="AB386" s="417"/>
      <c r="AC386" s="416"/>
      <c r="AF386" s="410"/>
      <c r="AG386" s="416"/>
      <c r="AJ386" s="417"/>
      <c r="AK386" s="416"/>
      <c r="AN386" s="417"/>
      <c r="AR386" s="417"/>
    </row>
    <row r="387" spans="2:44" s="415" customFormat="1">
      <c r="B387" s="481"/>
      <c r="D387" s="481"/>
      <c r="E387" s="481"/>
      <c r="K387" s="423"/>
      <c r="L387" s="423"/>
      <c r="M387" s="423"/>
      <c r="AB387" s="417"/>
      <c r="AC387" s="416"/>
      <c r="AF387" s="410"/>
      <c r="AG387" s="416"/>
      <c r="AJ387" s="417"/>
      <c r="AK387" s="416"/>
      <c r="AN387" s="417"/>
      <c r="AR387" s="417"/>
    </row>
    <row r="388" spans="2:44" s="415" customFormat="1">
      <c r="B388" s="481"/>
      <c r="D388" s="481"/>
      <c r="E388" s="481"/>
      <c r="K388" s="423"/>
      <c r="L388" s="423"/>
      <c r="M388" s="423"/>
      <c r="AB388" s="417"/>
      <c r="AC388" s="416"/>
      <c r="AF388" s="410"/>
      <c r="AG388" s="416"/>
      <c r="AJ388" s="417"/>
      <c r="AK388" s="416"/>
      <c r="AN388" s="417"/>
      <c r="AR388" s="417"/>
    </row>
    <row r="389" spans="2:44" s="415" customFormat="1">
      <c r="B389" s="481"/>
      <c r="D389" s="481"/>
      <c r="E389" s="481"/>
      <c r="K389" s="423"/>
      <c r="L389" s="423"/>
      <c r="M389" s="423"/>
      <c r="AB389" s="417"/>
      <c r="AC389" s="416"/>
      <c r="AF389" s="410"/>
      <c r="AG389" s="416"/>
      <c r="AJ389" s="417"/>
      <c r="AK389" s="416"/>
      <c r="AN389" s="417"/>
      <c r="AR389" s="417"/>
    </row>
    <row r="390" spans="2:44" s="415" customFormat="1">
      <c r="B390" s="481"/>
      <c r="D390" s="481"/>
      <c r="E390" s="481"/>
      <c r="K390" s="423"/>
      <c r="L390" s="423"/>
      <c r="M390" s="423"/>
      <c r="AB390" s="417"/>
      <c r="AC390" s="416"/>
      <c r="AF390" s="410"/>
      <c r="AG390" s="416"/>
      <c r="AJ390" s="417"/>
      <c r="AK390" s="416"/>
      <c r="AN390" s="417"/>
      <c r="AR390" s="417"/>
    </row>
    <row r="391" spans="2:44" s="415" customFormat="1">
      <c r="B391" s="481"/>
      <c r="D391" s="481"/>
      <c r="E391" s="481"/>
      <c r="K391" s="423"/>
      <c r="L391" s="423"/>
      <c r="M391" s="423"/>
      <c r="AB391" s="417"/>
      <c r="AC391" s="416"/>
      <c r="AF391" s="410"/>
      <c r="AG391" s="416"/>
      <c r="AJ391" s="417"/>
      <c r="AK391" s="416"/>
      <c r="AN391" s="417"/>
      <c r="AR391" s="417"/>
    </row>
    <row r="392" spans="2:44" s="415" customFormat="1">
      <c r="B392" s="481"/>
      <c r="D392" s="481"/>
      <c r="E392" s="481"/>
      <c r="K392" s="423"/>
      <c r="L392" s="423"/>
      <c r="M392" s="423"/>
      <c r="AB392" s="417"/>
      <c r="AC392" s="416"/>
      <c r="AF392" s="410"/>
      <c r="AG392" s="416"/>
      <c r="AJ392" s="417"/>
      <c r="AK392" s="416"/>
      <c r="AN392" s="417"/>
      <c r="AR392" s="417"/>
    </row>
    <row r="393" spans="2:44" s="415" customFormat="1">
      <c r="B393" s="481"/>
      <c r="D393" s="481"/>
      <c r="E393" s="481"/>
      <c r="K393" s="423"/>
      <c r="L393" s="423"/>
      <c r="M393" s="423"/>
      <c r="AB393" s="417"/>
      <c r="AC393" s="416"/>
      <c r="AF393" s="410"/>
      <c r="AG393" s="416"/>
      <c r="AJ393" s="417"/>
      <c r="AK393" s="416"/>
      <c r="AN393" s="417"/>
      <c r="AR393" s="417"/>
    </row>
    <row r="394" spans="2:44" s="415" customFormat="1">
      <c r="B394" s="481"/>
      <c r="D394" s="481"/>
      <c r="E394" s="481"/>
      <c r="K394" s="423"/>
      <c r="L394" s="423"/>
      <c r="M394" s="423"/>
      <c r="AB394" s="417"/>
      <c r="AC394" s="416"/>
      <c r="AF394" s="410"/>
      <c r="AG394" s="416"/>
      <c r="AJ394" s="417"/>
      <c r="AK394" s="416"/>
      <c r="AN394" s="417"/>
      <c r="AR394" s="417"/>
    </row>
    <row r="395" spans="2:44" s="415" customFormat="1">
      <c r="B395" s="481"/>
      <c r="D395" s="481"/>
      <c r="E395" s="481"/>
      <c r="K395" s="423"/>
      <c r="L395" s="423"/>
      <c r="M395" s="423"/>
      <c r="AB395" s="417"/>
      <c r="AC395" s="416"/>
      <c r="AF395" s="410"/>
      <c r="AG395" s="416"/>
      <c r="AJ395" s="417"/>
      <c r="AK395" s="416"/>
      <c r="AN395" s="417"/>
      <c r="AR395" s="417"/>
    </row>
    <row r="396" spans="2:44" s="415" customFormat="1">
      <c r="B396" s="481"/>
      <c r="D396" s="481"/>
      <c r="E396" s="481"/>
      <c r="K396" s="423"/>
      <c r="L396" s="423"/>
      <c r="M396" s="423"/>
      <c r="AB396" s="417"/>
      <c r="AC396" s="416"/>
      <c r="AF396" s="410"/>
      <c r="AG396" s="416"/>
      <c r="AJ396" s="417"/>
      <c r="AK396" s="416"/>
      <c r="AN396" s="417"/>
      <c r="AR396" s="417"/>
    </row>
    <row r="397" spans="2:44" s="415" customFormat="1">
      <c r="B397" s="481"/>
      <c r="D397" s="481"/>
      <c r="E397" s="481"/>
      <c r="K397" s="423"/>
      <c r="L397" s="423"/>
      <c r="M397" s="423"/>
      <c r="AB397" s="417"/>
      <c r="AC397" s="416"/>
      <c r="AF397" s="410"/>
      <c r="AG397" s="416"/>
      <c r="AJ397" s="417"/>
      <c r="AK397" s="416"/>
      <c r="AN397" s="417"/>
      <c r="AR397" s="417"/>
    </row>
    <row r="398" spans="2:44" s="415" customFormat="1">
      <c r="B398" s="481"/>
      <c r="D398" s="481"/>
      <c r="E398" s="481"/>
      <c r="K398" s="423"/>
      <c r="L398" s="423"/>
      <c r="M398" s="423"/>
      <c r="AB398" s="417"/>
      <c r="AC398" s="416"/>
      <c r="AF398" s="410"/>
      <c r="AG398" s="416"/>
      <c r="AJ398" s="417"/>
      <c r="AK398" s="416"/>
      <c r="AN398" s="417"/>
      <c r="AR398" s="417"/>
    </row>
    <row r="399" spans="2:44" s="415" customFormat="1">
      <c r="B399" s="481"/>
      <c r="D399" s="481"/>
      <c r="E399" s="481"/>
      <c r="K399" s="423"/>
      <c r="L399" s="423"/>
      <c r="M399" s="423"/>
      <c r="AB399" s="417"/>
      <c r="AC399" s="416"/>
      <c r="AF399" s="410"/>
      <c r="AG399" s="416"/>
      <c r="AJ399" s="417"/>
      <c r="AK399" s="416"/>
      <c r="AN399" s="417"/>
      <c r="AR399" s="417"/>
    </row>
    <row r="400" spans="2:44" s="415" customFormat="1">
      <c r="B400" s="481"/>
      <c r="D400" s="481"/>
      <c r="E400" s="481"/>
      <c r="K400" s="423"/>
      <c r="L400" s="423"/>
      <c r="M400" s="423"/>
      <c r="AB400" s="417"/>
      <c r="AC400" s="416"/>
      <c r="AF400" s="410"/>
      <c r="AG400" s="416"/>
      <c r="AJ400" s="417"/>
      <c r="AK400" s="416"/>
      <c r="AN400" s="417"/>
      <c r="AR400" s="417"/>
    </row>
    <row r="401" spans="2:44" s="415" customFormat="1">
      <c r="B401" s="481"/>
      <c r="D401" s="481"/>
      <c r="E401" s="481"/>
      <c r="K401" s="423"/>
      <c r="L401" s="423"/>
      <c r="M401" s="423"/>
      <c r="AB401" s="417"/>
      <c r="AC401" s="416"/>
      <c r="AF401" s="410"/>
      <c r="AG401" s="416"/>
      <c r="AJ401" s="417"/>
      <c r="AK401" s="416"/>
      <c r="AN401" s="417"/>
      <c r="AR401" s="417"/>
    </row>
    <row r="402" spans="2:44" s="415" customFormat="1">
      <c r="B402" s="481"/>
      <c r="D402" s="481"/>
      <c r="E402" s="481"/>
      <c r="K402" s="423"/>
      <c r="L402" s="423"/>
      <c r="M402" s="423"/>
      <c r="AB402" s="417"/>
      <c r="AC402" s="416"/>
      <c r="AF402" s="410"/>
      <c r="AG402" s="416"/>
      <c r="AJ402" s="417"/>
      <c r="AK402" s="416"/>
      <c r="AN402" s="417"/>
      <c r="AR402" s="417"/>
    </row>
    <row r="403" spans="2:44" s="415" customFormat="1">
      <c r="B403" s="481"/>
      <c r="D403" s="481"/>
      <c r="E403" s="481"/>
      <c r="K403" s="423"/>
      <c r="L403" s="423"/>
      <c r="M403" s="423"/>
      <c r="AB403" s="417"/>
      <c r="AC403" s="416"/>
      <c r="AF403" s="410"/>
      <c r="AG403" s="416"/>
      <c r="AJ403" s="417"/>
      <c r="AK403" s="416"/>
      <c r="AN403" s="417"/>
      <c r="AR403" s="417"/>
    </row>
    <row r="404" spans="2:44" s="415" customFormat="1">
      <c r="B404" s="481"/>
      <c r="D404" s="481"/>
      <c r="E404" s="481"/>
      <c r="K404" s="423"/>
      <c r="L404" s="423"/>
      <c r="M404" s="423"/>
      <c r="AB404" s="417"/>
      <c r="AC404" s="416"/>
      <c r="AF404" s="410"/>
      <c r="AG404" s="416"/>
      <c r="AJ404" s="417"/>
      <c r="AK404" s="416"/>
      <c r="AN404" s="417"/>
      <c r="AR404" s="417"/>
    </row>
    <row r="405" spans="2:44" s="415" customFormat="1">
      <c r="B405" s="481"/>
      <c r="D405" s="481"/>
      <c r="E405" s="481"/>
      <c r="K405" s="423"/>
      <c r="L405" s="423"/>
      <c r="M405" s="423"/>
      <c r="AB405" s="417"/>
      <c r="AC405" s="416"/>
      <c r="AF405" s="410"/>
      <c r="AG405" s="416"/>
      <c r="AJ405" s="417"/>
      <c r="AK405" s="416"/>
      <c r="AN405" s="417"/>
      <c r="AR405" s="417"/>
    </row>
    <row r="406" spans="2:44" s="415" customFormat="1">
      <c r="B406" s="481"/>
      <c r="D406" s="481"/>
      <c r="E406" s="481"/>
      <c r="K406" s="423"/>
      <c r="L406" s="423"/>
      <c r="M406" s="423"/>
      <c r="AB406" s="417"/>
      <c r="AC406" s="416"/>
      <c r="AF406" s="410"/>
      <c r="AG406" s="416"/>
      <c r="AJ406" s="417"/>
      <c r="AK406" s="416"/>
      <c r="AN406" s="417"/>
      <c r="AR406" s="417"/>
    </row>
    <row r="407" spans="2:44" s="415" customFormat="1">
      <c r="B407" s="481"/>
      <c r="D407" s="481"/>
      <c r="E407" s="481"/>
      <c r="K407" s="423"/>
      <c r="L407" s="423"/>
      <c r="M407" s="423"/>
      <c r="AB407" s="417"/>
      <c r="AC407" s="416"/>
      <c r="AF407" s="410"/>
      <c r="AG407" s="416"/>
      <c r="AJ407" s="417"/>
      <c r="AK407" s="416"/>
      <c r="AN407" s="417"/>
      <c r="AR407" s="417"/>
    </row>
    <row r="408" spans="2:44" s="415" customFormat="1">
      <c r="B408" s="481"/>
      <c r="D408" s="481"/>
      <c r="E408" s="481"/>
      <c r="K408" s="423"/>
      <c r="L408" s="423"/>
      <c r="M408" s="423"/>
      <c r="AB408" s="417"/>
      <c r="AC408" s="416"/>
      <c r="AF408" s="410"/>
      <c r="AG408" s="416"/>
      <c r="AJ408" s="417"/>
      <c r="AK408" s="416"/>
      <c r="AN408" s="417"/>
      <c r="AR408" s="417"/>
    </row>
    <row r="409" spans="2:44" s="415" customFormat="1">
      <c r="B409" s="481"/>
      <c r="D409" s="481"/>
      <c r="E409" s="481"/>
      <c r="K409" s="423"/>
      <c r="L409" s="423"/>
      <c r="M409" s="423"/>
      <c r="AB409" s="417"/>
      <c r="AC409" s="416"/>
      <c r="AF409" s="410"/>
      <c r="AG409" s="416"/>
      <c r="AJ409" s="417"/>
      <c r="AK409" s="416"/>
      <c r="AN409" s="417"/>
      <c r="AR409" s="417"/>
    </row>
    <row r="410" spans="2:44" s="415" customFormat="1">
      <c r="B410" s="481"/>
      <c r="D410" s="481"/>
      <c r="E410" s="481"/>
      <c r="K410" s="423"/>
      <c r="L410" s="423"/>
      <c r="M410" s="423"/>
      <c r="AB410" s="417"/>
      <c r="AC410" s="416"/>
      <c r="AF410" s="410"/>
      <c r="AG410" s="416"/>
      <c r="AJ410" s="417"/>
      <c r="AK410" s="416"/>
      <c r="AN410" s="417"/>
      <c r="AR410" s="417"/>
    </row>
    <row r="411" spans="2:44" s="415" customFormat="1">
      <c r="B411" s="481"/>
      <c r="D411" s="481"/>
      <c r="E411" s="481"/>
      <c r="K411" s="423"/>
      <c r="L411" s="423"/>
      <c r="M411" s="423"/>
      <c r="AB411" s="417"/>
      <c r="AC411" s="416"/>
      <c r="AF411" s="410"/>
      <c r="AG411" s="416"/>
      <c r="AJ411" s="417"/>
      <c r="AK411" s="416"/>
      <c r="AN411" s="417"/>
      <c r="AR411" s="417"/>
    </row>
    <row r="412" spans="2:44" s="415" customFormat="1">
      <c r="B412" s="481"/>
      <c r="D412" s="481"/>
      <c r="E412" s="481"/>
      <c r="K412" s="423"/>
      <c r="L412" s="423"/>
      <c r="M412" s="423"/>
      <c r="AB412" s="417"/>
      <c r="AC412" s="416"/>
      <c r="AF412" s="410"/>
      <c r="AG412" s="416"/>
      <c r="AJ412" s="417"/>
      <c r="AK412" s="416"/>
      <c r="AN412" s="417"/>
      <c r="AR412" s="417"/>
    </row>
    <row r="413" spans="2:44" s="415" customFormat="1">
      <c r="B413" s="481"/>
      <c r="D413" s="481"/>
      <c r="E413" s="481"/>
      <c r="K413" s="423"/>
      <c r="L413" s="423"/>
      <c r="M413" s="423"/>
      <c r="AB413" s="417"/>
      <c r="AC413" s="416"/>
      <c r="AF413" s="410"/>
      <c r="AG413" s="416"/>
      <c r="AJ413" s="417"/>
      <c r="AK413" s="416"/>
      <c r="AN413" s="417"/>
      <c r="AR413" s="417"/>
    </row>
    <row r="414" spans="2:44" s="415" customFormat="1">
      <c r="B414" s="481"/>
      <c r="D414" s="481"/>
      <c r="E414" s="481"/>
      <c r="K414" s="423"/>
      <c r="L414" s="423"/>
      <c r="M414" s="423"/>
      <c r="AB414" s="417"/>
      <c r="AC414" s="416"/>
      <c r="AF414" s="410"/>
      <c r="AG414" s="416"/>
      <c r="AJ414" s="417"/>
      <c r="AK414" s="416"/>
      <c r="AN414" s="417"/>
      <c r="AR414" s="417"/>
    </row>
    <row r="415" spans="2:44" s="415" customFormat="1">
      <c r="B415" s="481"/>
      <c r="D415" s="481"/>
      <c r="E415" s="481"/>
      <c r="K415" s="423"/>
      <c r="L415" s="423"/>
      <c r="M415" s="423"/>
      <c r="AB415" s="417"/>
      <c r="AC415" s="416"/>
      <c r="AF415" s="410"/>
      <c r="AG415" s="416"/>
      <c r="AJ415" s="417"/>
      <c r="AK415" s="416"/>
      <c r="AN415" s="417"/>
      <c r="AR415" s="417"/>
    </row>
    <row r="416" spans="2:44" s="415" customFormat="1">
      <c r="B416" s="481"/>
      <c r="D416" s="481"/>
      <c r="E416" s="481"/>
      <c r="K416" s="423"/>
      <c r="L416" s="423"/>
      <c r="M416" s="423"/>
      <c r="AB416" s="417"/>
      <c r="AC416" s="416"/>
      <c r="AF416" s="410"/>
      <c r="AG416" s="416"/>
      <c r="AJ416" s="417"/>
      <c r="AK416" s="416"/>
      <c r="AN416" s="417"/>
      <c r="AR416" s="417"/>
    </row>
    <row r="417" spans="2:44" s="415" customFormat="1">
      <c r="B417" s="481"/>
      <c r="D417" s="481"/>
      <c r="E417" s="481"/>
      <c r="K417" s="423"/>
      <c r="L417" s="423"/>
      <c r="M417" s="423"/>
      <c r="AB417" s="417"/>
      <c r="AC417" s="416"/>
      <c r="AF417" s="410"/>
      <c r="AG417" s="416"/>
      <c r="AJ417" s="417"/>
      <c r="AK417" s="416"/>
      <c r="AN417" s="417"/>
      <c r="AR417" s="417"/>
    </row>
    <row r="418" spans="2:44" s="415" customFormat="1">
      <c r="B418" s="481"/>
      <c r="D418" s="481"/>
      <c r="E418" s="481"/>
      <c r="K418" s="423"/>
      <c r="L418" s="423"/>
      <c r="M418" s="423"/>
      <c r="AB418" s="417"/>
      <c r="AC418" s="416"/>
      <c r="AF418" s="410"/>
      <c r="AG418" s="416"/>
      <c r="AJ418" s="417"/>
      <c r="AK418" s="416"/>
      <c r="AN418" s="417"/>
      <c r="AR418" s="417"/>
    </row>
    <row r="419" spans="2:44" s="415" customFormat="1">
      <c r="B419" s="481"/>
      <c r="D419" s="481"/>
      <c r="E419" s="481"/>
      <c r="K419" s="423"/>
      <c r="L419" s="423"/>
      <c r="M419" s="423"/>
      <c r="AB419" s="417"/>
      <c r="AC419" s="416"/>
      <c r="AF419" s="410"/>
      <c r="AG419" s="416"/>
      <c r="AJ419" s="417"/>
      <c r="AK419" s="416"/>
      <c r="AN419" s="417"/>
      <c r="AR419" s="417"/>
    </row>
    <row r="420" spans="2:44" s="415" customFormat="1">
      <c r="B420" s="481"/>
      <c r="D420" s="481"/>
      <c r="E420" s="481"/>
      <c r="K420" s="423"/>
      <c r="L420" s="423"/>
      <c r="M420" s="423"/>
      <c r="AB420" s="417"/>
      <c r="AC420" s="416"/>
      <c r="AF420" s="410"/>
      <c r="AG420" s="416"/>
      <c r="AJ420" s="417"/>
      <c r="AK420" s="416"/>
      <c r="AN420" s="417"/>
      <c r="AR420" s="417"/>
    </row>
    <row r="421" spans="2:44" s="415" customFormat="1">
      <c r="B421" s="481"/>
      <c r="D421" s="481"/>
      <c r="E421" s="481"/>
      <c r="K421" s="423"/>
      <c r="L421" s="423"/>
      <c r="M421" s="423"/>
      <c r="AB421" s="417"/>
      <c r="AC421" s="416"/>
      <c r="AF421" s="410"/>
      <c r="AG421" s="416"/>
      <c r="AJ421" s="417"/>
      <c r="AK421" s="416"/>
      <c r="AN421" s="417"/>
      <c r="AR421" s="417"/>
    </row>
    <row r="422" spans="2:44" s="415" customFormat="1">
      <c r="B422" s="481"/>
      <c r="D422" s="481"/>
      <c r="E422" s="481"/>
      <c r="K422" s="423"/>
      <c r="L422" s="423"/>
      <c r="M422" s="423"/>
      <c r="AB422" s="417"/>
      <c r="AC422" s="416"/>
      <c r="AF422" s="410"/>
      <c r="AG422" s="416"/>
      <c r="AJ422" s="417"/>
      <c r="AK422" s="416"/>
      <c r="AN422" s="417"/>
      <c r="AR422" s="417"/>
    </row>
    <row r="423" spans="2:44" s="415" customFormat="1">
      <c r="B423" s="481"/>
      <c r="D423" s="481"/>
      <c r="E423" s="481"/>
      <c r="K423" s="423"/>
      <c r="L423" s="423"/>
      <c r="M423" s="423"/>
      <c r="AB423" s="417"/>
      <c r="AC423" s="416"/>
      <c r="AF423" s="410"/>
      <c r="AG423" s="416"/>
      <c r="AJ423" s="417"/>
      <c r="AK423" s="416"/>
      <c r="AN423" s="417"/>
      <c r="AR423" s="417"/>
    </row>
    <row r="424" spans="2:44" s="415" customFormat="1">
      <c r="B424" s="481"/>
      <c r="D424" s="481"/>
      <c r="E424" s="481"/>
      <c r="K424" s="423"/>
      <c r="L424" s="423"/>
      <c r="M424" s="423"/>
      <c r="AB424" s="417"/>
      <c r="AC424" s="416"/>
      <c r="AF424" s="410"/>
      <c r="AG424" s="416"/>
      <c r="AJ424" s="417"/>
      <c r="AK424" s="416"/>
      <c r="AN424" s="417"/>
      <c r="AR424" s="417"/>
    </row>
    <row r="425" spans="2:44" s="415" customFormat="1">
      <c r="B425" s="481"/>
      <c r="D425" s="481"/>
      <c r="E425" s="481"/>
      <c r="K425" s="423"/>
      <c r="L425" s="423"/>
      <c r="M425" s="423"/>
      <c r="AB425" s="417"/>
      <c r="AC425" s="416"/>
      <c r="AF425" s="410"/>
      <c r="AG425" s="416"/>
      <c r="AJ425" s="417"/>
      <c r="AK425" s="416"/>
      <c r="AN425" s="417"/>
      <c r="AR425" s="417"/>
    </row>
    <row r="426" spans="2:44" s="415" customFormat="1">
      <c r="B426" s="481"/>
      <c r="D426" s="481"/>
      <c r="E426" s="481"/>
      <c r="K426" s="423"/>
      <c r="L426" s="423"/>
      <c r="M426" s="423"/>
      <c r="AB426" s="417"/>
      <c r="AC426" s="416"/>
      <c r="AF426" s="410"/>
      <c r="AG426" s="416"/>
      <c r="AJ426" s="417"/>
      <c r="AK426" s="416"/>
      <c r="AN426" s="417"/>
      <c r="AR426" s="417"/>
    </row>
    <row r="427" spans="2:44" s="415" customFormat="1">
      <c r="B427" s="481"/>
      <c r="D427" s="481"/>
      <c r="E427" s="481"/>
      <c r="K427" s="423"/>
      <c r="L427" s="423"/>
      <c r="M427" s="423"/>
      <c r="AB427" s="417"/>
      <c r="AC427" s="416"/>
      <c r="AF427" s="410"/>
      <c r="AG427" s="416"/>
      <c r="AJ427" s="417"/>
      <c r="AK427" s="416"/>
      <c r="AN427" s="417"/>
      <c r="AR427" s="417"/>
    </row>
    <row r="428" spans="2:44" s="415" customFormat="1">
      <c r="B428" s="481"/>
      <c r="D428" s="481"/>
      <c r="E428" s="481"/>
      <c r="K428" s="423"/>
      <c r="L428" s="423"/>
      <c r="M428" s="423"/>
      <c r="AB428" s="417"/>
      <c r="AC428" s="416"/>
      <c r="AF428" s="410"/>
      <c r="AG428" s="416"/>
      <c r="AJ428" s="417"/>
      <c r="AK428" s="416"/>
      <c r="AN428" s="417"/>
      <c r="AR428" s="417"/>
    </row>
    <row r="429" spans="2:44" s="415" customFormat="1">
      <c r="B429" s="481"/>
      <c r="D429" s="481"/>
      <c r="E429" s="481"/>
      <c r="K429" s="423"/>
      <c r="L429" s="423"/>
      <c r="M429" s="423"/>
      <c r="AB429" s="417"/>
      <c r="AC429" s="416"/>
      <c r="AF429" s="410"/>
      <c r="AG429" s="416"/>
      <c r="AJ429" s="417"/>
      <c r="AK429" s="416"/>
      <c r="AN429" s="417"/>
      <c r="AR429" s="417"/>
    </row>
    <row r="430" spans="2:44" s="415" customFormat="1">
      <c r="B430" s="481"/>
      <c r="D430" s="481"/>
      <c r="E430" s="481"/>
      <c r="K430" s="423"/>
      <c r="L430" s="423"/>
      <c r="M430" s="423"/>
      <c r="AB430" s="417"/>
      <c r="AC430" s="416"/>
      <c r="AF430" s="410"/>
      <c r="AG430" s="416"/>
      <c r="AJ430" s="417"/>
      <c r="AK430" s="416"/>
      <c r="AN430" s="417"/>
      <c r="AR430" s="417"/>
    </row>
    <row r="431" spans="2:44" s="415" customFormat="1">
      <c r="B431" s="481"/>
      <c r="D431" s="481"/>
      <c r="E431" s="481"/>
      <c r="K431" s="423"/>
      <c r="L431" s="423"/>
      <c r="M431" s="423"/>
      <c r="AB431" s="417"/>
      <c r="AC431" s="416"/>
      <c r="AF431" s="410"/>
      <c r="AG431" s="416"/>
      <c r="AJ431" s="417"/>
      <c r="AK431" s="416"/>
      <c r="AN431" s="417"/>
      <c r="AR431" s="417"/>
    </row>
    <row r="432" spans="2:44" s="415" customFormat="1">
      <c r="B432" s="481"/>
      <c r="D432" s="481"/>
      <c r="E432" s="481"/>
      <c r="K432" s="423"/>
      <c r="L432" s="423"/>
      <c r="M432" s="423"/>
      <c r="AB432" s="417"/>
      <c r="AC432" s="416"/>
      <c r="AF432" s="410"/>
      <c r="AG432" s="416"/>
      <c r="AJ432" s="417"/>
      <c r="AK432" s="416"/>
      <c r="AN432" s="417"/>
      <c r="AR432" s="417"/>
    </row>
    <row r="433" spans="2:44" s="415" customFormat="1">
      <c r="B433" s="481"/>
      <c r="D433" s="481"/>
      <c r="E433" s="481"/>
      <c r="K433" s="423"/>
      <c r="L433" s="423"/>
      <c r="M433" s="423"/>
      <c r="AB433" s="417"/>
      <c r="AC433" s="416"/>
      <c r="AF433" s="410"/>
      <c r="AG433" s="416"/>
      <c r="AJ433" s="417"/>
      <c r="AK433" s="416"/>
      <c r="AN433" s="417"/>
      <c r="AR433" s="417"/>
    </row>
    <row r="434" spans="2:44" s="415" customFormat="1">
      <c r="B434" s="481"/>
      <c r="D434" s="481"/>
      <c r="E434" s="481"/>
      <c r="K434" s="423"/>
      <c r="L434" s="423"/>
      <c r="M434" s="423"/>
      <c r="AB434" s="417"/>
      <c r="AC434" s="416"/>
      <c r="AF434" s="410"/>
      <c r="AG434" s="416"/>
      <c r="AJ434" s="417"/>
      <c r="AK434" s="416"/>
      <c r="AN434" s="417"/>
      <c r="AR434" s="417"/>
    </row>
    <row r="435" spans="2:44" s="415" customFormat="1">
      <c r="B435" s="481"/>
      <c r="D435" s="481"/>
      <c r="E435" s="481"/>
      <c r="K435" s="423"/>
      <c r="L435" s="423"/>
      <c r="M435" s="423"/>
      <c r="AB435" s="417"/>
      <c r="AC435" s="416"/>
      <c r="AF435" s="410"/>
      <c r="AG435" s="416"/>
      <c r="AJ435" s="417"/>
      <c r="AK435" s="416"/>
      <c r="AN435" s="417"/>
      <c r="AR435" s="417"/>
    </row>
    <row r="436" spans="2:44" s="415" customFormat="1">
      <c r="B436" s="481"/>
      <c r="D436" s="481"/>
      <c r="E436" s="481"/>
      <c r="K436" s="423"/>
      <c r="L436" s="423"/>
      <c r="M436" s="423"/>
      <c r="AB436" s="417"/>
      <c r="AC436" s="416"/>
      <c r="AF436" s="410"/>
      <c r="AG436" s="416"/>
      <c r="AJ436" s="417"/>
      <c r="AK436" s="416"/>
      <c r="AN436" s="417"/>
      <c r="AR436" s="417"/>
    </row>
    <row r="437" spans="2:44" s="415" customFormat="1">
      <c r="B437" s="481"/>
      <c r="D437" s="481"/>
      <c r="E437" s="481"/>
      <c r="K437" s="423"/>
      <c r="L437" s="423"/>
      <c r="M437" s="423"/>
      <c r="AB437" s="417"/>
      <c r="AC437" s="416"/>
      <c r="AF437" s="410"/>
      <c r="AG437" s="416"/>
      <c r="AJ437" s="417"/>
      <c r="AK437" s="416"/>
      <c r="AN437" s="417"/>
      <c r="AR437" s="417"/>
    </row>
    <row r="438" spans="2:44" s="415" customFormat="1">
      <c r="B438" s="481"/>
      <c r="D438" s="481"/>
      <c r="E438" s="481"/>
      <c r="K438" s="423"/>
      <c r="L438" s="423"/>
      <c r="M438" s="423"/>
      <c r="AB438" s="417"/>
      <c r="AC438" s="416"/>
      <c r="AF438" s="410"/>
      <c r="AG438" s="416"/>
      <c r="AJ438" s="417"/>
      <c r="AK438" s="416"/>
      <c r="AN438" s="417"/>
      <c r="AR438" s="417"/>
    </row>
    <row r="439" spans="2:44" s="415" customFormat="1">
      <c r="B439" s="481"/>
      <c r="D439" s="481"/>
      <c r="E439" s="481"/>
      <c r="K439" s="423"/>
      <c r="L439" s="423"/>
      <c r="M439" s="423"/>
      <c r="AB439" s="417"/>
      <c r="AC439" s="416"/>
      <c r="AF439" s="410"/>
      <c r="AG439" s="416"/>
      <c r="AJ439" s="417"/>
      <c r="AK439" s="416"/>
      <c r="AN439" s="417"/>
      <c r="AR439" s="417"/>
    </row>
    <row r="440" spans="2:44" s="415" customFormat="1">
      <c r="B440" s="481"/>
      <c r="D440" s="481"/>
      <c r="E440" s="481"/>
      <c r="K440" s="423"/>
      <c r="L440" s="423"/>
      <c r="M440" s="423"/>
      <c r="AB440" s="417"/>
      <c r="AC440" s="416"/>
      <c r="AF440" s="410"/>
      <c r="AG440" s="416"/>
      <c r="AJ440" s="417"/>
      <c r="AK440" s="416"/>
      <c r="AN440" s="417"/>
      <c r="AR440" s="417"/>
    </row>
    <row r="441" spans="2:44" s="415" customFormat="1">
      <c r="B441" s="481"/>
      <c r="D441" s="481"/>
      <c r="E441" s="481"/>
      <c r="K441" s="423"/>
      <c r="L441" s="423"/>
      <c r="M441" s="423"/>
      <c r="AB441" s="417"/>
      <c r="AC441" s="416"/>
      <c r="AF441" s="410"/>
      <c r="AG441" s="416"/>
      <c r="AJ441" s="417"/>
      <c r="AK441" s="416"/>
      <c r="AN441" s="417"/>
      <c r="AR441" s="417"/>
    </row>
    <row r="442" spans="2:44" s="415" customFormat="1">
      <c r="B442" s="481"/>
      <c r="D442" s="481"/>
      <c r="E442" s="481"/>
      <c r="K442" s="423"/>
      <c r="L442" s="423"/>
      <c r="M442" s="423"/>
      <c r="AB442" s="417"/>
      <c r="AC442" s="416"/>
      <c r="AF442" s="410"/>
      <c r="AG442" s="416"/>
      <c r="AJ442" s="417"/>
      <c r="AK442" s="416"/>
      <c r="AN442" s="417"/>
      <c r="AR442" s="417"/>
    </row>
    <row r="443" spans="2:44" s="415" customFormat="1">
      <c r="B443" s="481"/>
      <c r="D443" s="481"/>
      <c r="E443" s="481"/>
      <c r="K443" s="423"/>
      <c r="L443" s="423"/>
      <c r="M443" s="423"/>
      <c r="AB443" s="417"/>
      <c r="AC443" s="416"/>
      <c r="AF443" s="410"/>
      <c r="AG443" s="416"/>
      <c r="AJ443" s="417"/>
      <c r="AK443" s="416"/>
      <c r="AN443" s="417"/>
      <c r="AR443" s="417"/>
    </row>
    <row r="444" spans="2:44" s="415" customFormat="1">
      <c r="B444" s="481"/>
      <c r="D444" s="481"/>
      <c r="E444" s="481"/>
      <c r="K444" s="423"/>
      <c r="L444" s="423"/>
      <c r="M444" s="423"/>
      <c r="AB444" s="417"/>
      <c r="AC444" s="416"/>
      <c r="AF444" s="410"/>
      <c r="AG444" s="416"/>
      <c r="AJ444" s="417"/>
      <c r="AK444" s="416"/>
      <c r="AN444" s="417"/>
      <c r="AR444" s="417"/>
    </row>
    <row r="445" spans="2:44" s="415" customFormat="1">
      <c r="B445" s="481"/>
      <c r="D445" s="481"/>
      <c r="E445" s="481"/>
      <c r="K445" s="423"/>
      <c r="L445" s="423"/>
      <c r="M445" s="423"/>
      <c r="AB445" s="417"/>
      <c r="AC445" s="416"/>
      <c r="AF445" s="410"/>
      <c r="AG445" s="416"/>
      <c r="AJ445" s="417"/>
      <c r="AK445" s="416"/>
      <c r="AN445" s="417"/>
      <c r="AR445" s="417"/>
    </row>
    <row r="446" spans="2:44" s="415" customFormat="1">
      <c r="B446" s="481"/>
      <c r="D446" s="481"/>
      <c r="E446" s="481"/>
      <c r="K446" s="423"/>
      <c r="L446" s="423"/>
      <c r="M446" s="423"/>
      <c r="AB446" s="417"/>
      <c r="AC446" s="416"/>
      <c r="AF446" s="410"/>
      <c r="AG446" s="416"/>
      <c r="AJ446" s="417"/>
      <c r="AK446" s="416"/>
      <c r="AN446" s="417"/>
      <c r="AR446" s="417"/>
    </row>
    <row r="447" spans="2:44" s="415" customFormat="1">
      <c r="B447" s="481"/>
      <c r="D447" s="481"/>
      <c r="E447" s="481"/>
      <c r="K447" s="423"/>
      <c r="L447" s="423"/>
      <c r="M447" s="423"/>
      <c r="AB447" s="417"/>
      <c r="AC447" s="416"/>
      <c r="AF447" s="410"/>
      <c r="AG447" s="416"/>
      <c r="AJ447" s="417"/>
      <c r="AK447" s="416"/>
      <c r="AN447" s="417"/>
      <c r="AR447" s="417"/>
    </row>
    <row r="448" spans="2:44" s="415" customFormat="1">
      <c r="B448" s="481"/>
      <c r="D448" s="481"/>
      <c r="E448" s="481"/>
      <c r="K448" s="423"/>
      <c r="L448" s="423"/>
      <c r="M448" s="423"/>
      <c r="AB448" s="417"/>
      <c r="AC448" s="416"/>
      <c r="AF448" s="410"/>
      <c r="AG448" s="416"/>
      <c r="AJ448" s="417"/>
      <c r="AK448" s="416"/>
      <c r="AN448" s="417"/>
      <c r="AR448" s="417"/>
    </row>
    <row r="449" spans="2:44" s="415" customFormat="1">
      <c r="B449" s="481"/>
      <c r="D449" s="481"/>
      <c r="E449" s="481"/>
      <c r="K449" s="423"/>
      <c r="L449" s="423"/>
      <c r="M449" s="423"/>
      <c r="AB449" s="417"/>
      <c r="AC449" s="416"/>
      <c r="AF449" s="410"/>
      <c r="AG449" s="416"/>
      <c r="AJ449" s="417"/>
      <c r="AK449" s="416"/>
      <c r="AN449" s="417"/>
      <c r="AR449" s="417"/>
    </row>
    <row r="450" spans="2:44" s="415" customFormat="1">
      <c r="B450" s="481"/>
      <c r="D450" s="481"/>
      <c r="E450" s="481"/>
      <c r="K450" s="423"/>
      <c r="L450" s="423"/>
      <c r="M450" s="423"/>
      <c r="AB450" s="417"/>
      <c r="AC450" s="416"/>
      <c r="AF450" s="410"/>
      <c r="AG450" s="416"/>
      <c r="AJ450" s="417"/>
      <c r="AK450" s="416"/>
      <c r="AN450" s="417"/>
      <c r="AR450" s="417"/>
    </row>
    <row r="451" spans="2:44" s="415" customFormat="1">
      <c r="B451" s="481"/>
      <c r="D451" s="481"/>
      <c r="E451" s="481"/>
      <c r="K451" s="423"/>
      <c r="L451" s="423"/>
      <c r="M451" s="423"/>
      <c r="AB451" s="417"/>
      <c r="AC451" s="416"/>
      <c r="AF451" s="410"/>
      <c r="AG451" s="416"/>
      <c r="AJ451" s="417"/>
      <c r="AK451" s="416"/>
      <c r="AN451" s="417"/>
      <c r="AR451" s="417"/>
    </row>
    <row r="452" spans="2:44" s="415" customFormat="1">
      <c r="B452" s="481"/>
      <c r="D452" s="481"/>
      <c r="E452" s="481"/>
      <c r="K452" s="423"/>
      <c r="L452" s="423"/>
      <c r="M452" s="423"/>
      <c r="AB452" s="417"/>
      <c r="AC452" s="416"/>
      <c r="AF452" s="410"/>
      <c r="AG452" s="416"/>
      <c r="AJ452" s="417"/>
      <c r="AK452" s="416"/>
      <c r="AN452" s="417"/>
      <c r="AR452" s="417"/>
    </row>
    <row r="453" spans="2:44" s="415" customFormat="1">
      <c r="B453" s="481"/>
      <c r="D453" s="481"/>
      <c r="E453" s="481"/>
      <c r="K453" s="423"/>
      <c r="L453" s="423"/>
      <c r="M453" s="423"/>
      <c r="AB453" s="417"/>
      <c r="AC453" s="416"/>
      <c r="AF453" s="410"/>
      <c r="AG453" s="416"/>
      <c r="AJ453" s="417"/>
      <c r="AK453" s="416"/>
      <c r="AN453" s="417"/>
      <c r="AR453" s="417"/>
    </row>
    <row r="454" spans="2:44" s="415" customFormat="1">
      <c r="B454" s="481"/>
      <c r="D454" s="481"/>
      <c r="E454" s="481"/>
      <c r="K454" s="423"/>
      <c r="L454" s="423"/>
      <c r="M454" s="423"/>
      <c r="AB454" s="417"/>
      <c r="AC454" s="416"/>
      <c r="AF454" s="410"/>
      <c r="AG454" s="416"/>
      <c r="AJ454" s="417"/>
      <c r="AK454" s="416"/>
      <c r="AN454" s="417"/>
      <c r="AR454" s="417"/>
    </row>
    <row r="455" spans="2:44" s="415" customFormat="1">
      <c r="B455" s="481"/>
      <c r="D455" s="481"/>
      <c r="E455" s="481"/>
      <c r="K455" s="423"/>
      <c r="L455" s="423"/>
      <c r="M455" s="423"/>
      <c r="AB455" s="417"/>
      <c r="AC455" s="416"/>
      <c r="AF455" s="410"/>
      <c r="AG455" s="416"/>
      <c r="AJ455" s="417"/>
      <c r="AK455" s="416"/>
      <c r="AN455" s="417"/>
      <c r="AR455" s="417"/>
    </row>
    <row r="456" spans="2:44" s="415" customFormat="1">
      <c r="B456" s="481"/>
      <c r="D456" s="481"/>
      <c r="E456" s="481"/>
      <c r="K456" s="423"/>
      <c r="L456" s="423"/>
      <c r="M456" s="423"/>
      <c r="AB456" s="417"/>
      <c r="AC456" s="416"/>
      <c r="AF456" s="410"/>
      <c r="AG456" s="416"/>
      <c r="AJ456" s="417"/>
      <c r="AK456" s="416"/>
      <c r="AN456" s="417"/>
      <c r="AR456" s="417"/>
    </row>
    <row r="457" spans="2:44" s="415" customFormat="1">
      <c r="B457" s="481"/>
      <c r="D457" s="481"/>
      <c r="E457" s="481"/>
      <c r="K457" s="423"/>
      <c r="L457" s="423"/>
      <c r="M457" s="423"/>
      <c r="AB457" s="417"/>
      <c r="AC457" s="416"/>
      <c r="AF457" s="410"/>
      <c r="AG457" s="416"/>
      <c r="AJ457" s="417"/>
      <c r="AK457" s="416"/>
      <c r="AN457" s="417"/>
      <c r="AR457" s="417"/>
    </row>
    <row r="458" spans="2:44" s="415" customFormat="1">
      <c r="B458" s="481"/>
      <c r="D458" s="481"/>
      <c r="E458" s="481"/>
      <c r="K458" s="423"/>
      <c r="L458" s="423"/>
      <c r="M458" s="423"/>
      <c r="AB458" s="417"/>
      <c r="AC458" s="416"/>
      <c r="AF458" s="410"/>
      <c r="AG458" s="416"/>
      <c r="AJ458" s="417"/>
      <c r="AK458" s="416"/>
      <c r="AN458" s="417"/>
      <c r="AR458" s="417"/>
    </row>
    <row r="459" spans="2:44" s="415" customFormat="1">
      <c r="B459" s="481"/>
      <c r="D459" s="481"/>
      <c r="E459" s="481"/>
      <c r="K459" s="423"/>
      <c r="L459" s="423"/>
      <c r="M459" s="423"/>
      <c r="AB459" s="417"/>
      <c r="AC459" s="416"/>
      <c r="AF459" s="410"/>
      <c r="AG459" s="416"/>
      <c r="AJ459" s="417"/>
      <c r="AK459" s="416"/>
      <c r="AN459" s="417"/>
      <c r="AR459" s="417"/>
    </row>
    <row r="460" spans="2:44" s="415" customFormat="1">
      <c r="B460" s="481"/>
      <c r="D460" s="481"/>
      <c r="E460" s="481"/>
      <c r="K460" s="423"/>
      <c r="L460" s="423"/>
      <c r="M460" s="423"/>
      <c r="AB460" s="417"/>
      <c r="AC460" s="416"/>
      <c r="AF460" s="410"/>
      <c r="AG460" s="416"/>
      <c r="AJ460" s="417"/>
      <c r="AK460" s="416"/>
      <c r="AN460" s="417"/>
      <c r="AR460" s="417"/>
    </row>
    <row r="461" spans="2:44" s="415" customFormat="1">
      <c r="B461" s="481"/>
      <c r="D461" s="481"/>
      <c r="E461" s="481"/>
      <c r="K461" s="423"/>
      <c r="L461" s="423"/>
      <c r="M461" s="423"/>
      <c r="AB461" s="417"/>
      <c r="AC461" s="416"/>
      <c r="AF461" s="410"/>
      <c r="AG461" s="416"/>
      <c r="AJ461" s="417"/>
      <c r="AK461" s="416"/>
      <c r="AN461" s="417"/>
      <c r="AR461" s="417"/>
    </row>
    <row r="462" spans="2:44" s="415" customFormat="1">
      <c r="B462" s="481"/>
      <c r="D462" s="481"/>
      <c r="E462" s="481"/>
      <c r="K462" s="423"/>
      <c r="L462" s="423"/>
      <c r="M462" s="423"/>
      <c r="AB462" s="417"/>
      <c r="AC462" s="416"/>
      <c r="AF462" s="410"/>
      <c r="AG462" s="416"/>
      <c r="AJ462" s="417"/>
      <c r="AK462" s="416"/>
      <c r="AN462" s="417"/>
      <c r="AR462" s="417"/>
    </row>
    <row r="463" spans="2:44" s="415" customFormat="1">
      <c r="B463" s="481"/>
      <c r="D463" s="481"/>
      <c r="E463" s="481"/>
      <c r="K463" s="423"/>
      <c r="L463" s="423"/>
      <c r="M463" s="423"/>
      <c r="AB463" s="417"/>
      <c r="AC463" s="416"/>
      <c r="AF463" s="410"/>
      <c r="AG463" s="416"/>
      <c r="AJ463" s="417"/>
      <c r="AK463" s="416"/>
      <c r="AN463" s="417"/>
      <c r="AR463" s="417"/>
    </row>
    <row r="464" spans="2:44" s="415" customFormat="1">
      <c r="B464" s="481"/>
      <c r="D464" s="481"/>
      <c r="E464" s="481"/>
      <c r="K464" s="423"/>
      <c r="L464" s="423"/>
      <c r="M464" s="423"/>
      <c r="AB464" s="417"/>
      <c r="AC464" s="416"/>
      <c r="AF464" s="410"/>
      <c r="AG464" s="416"/>
      <c r="AJ464" s="417"/>
      <c r="AK464" s="416"/>
      <c r="AN464" s="417"/>
      <c r="AR464" s="417"/>
    </row>
    <row r="465" spans="2:44" s="415" customFormat="1">
      <c r="B465" s="481"/>
      <c r="D465" s="481"/>
      <c r="E465" s="481"/>
      <c r="K465" s="423"/>
      <c r="L465" s="423"/>
      <c r="M465" s="423"/>
      <c r="AB465" s="417"/>
      <c r="AC465" s="416"/>
      <c r="AF465" s="410"/>
      <c r="AG465" s="416"/>
      <c r="AJ465" s="417"/>
      <c r="AK465" s="416"/>
      <c r="AN465" s="417"/>
      <c r="AR465" s="417"/>
    </row>
    <row r="466" spans="2:44" s="415" customFormat="1">
      <c r="B466" s="481"/>
      <c r="D466" s="481"/>
      <c r="E466" s="481"/>
      <c r="K466" s="423"/>
      <c r="L466" s="423"/>
      <c r="M466" s="423"/>
      <c r="AB466" s="417"/>
      <c r="AC466" s="416"/>
      <c r="AF466" s="410"/>
      <c r="AG466" s="416"/>
      <c r="AJ466" s="417"/>
      <c r="AK466" s="416"/>
      <c r="AN466" s="417"/>
      <c r="AR466" s="417"/>
    </row>
    <row r="467" spans="2:44" s="415" customFormat="1">
      <c r="B467" s="481"/>
      <c r="D467" s="481"/>
      <c r="E467" s="481"/>
      <c r="K467" s="423"/>
      <c r="L467" s="423"/>
      <c r="M467" s="423"/>
      <c r="AB467" s="417"/>
      <c r="AC467" s="416"/>
      <c r="AF467" s="410"/>
      <c r="AG467" s="416"/>
      <c r="AJ467" s="417"/>
      <c r="AK467" s="416"/>
      <c r="AN467" s="417"/>
      <c r="AR467" s="417"/>
    </row>
    <row r="468" spans="2:44" s="415" customFormat="1">
      <c r="B468" s="481"/>
      <c r="D468" s="481"/>
      <c r="E468" s="481"/>
      <c r="K468" s="423"/>
      <c r="L468" s="423"/>
      <c r="M468" s="423"/>
      <c r="AB468" s="417"/>
      <c r="AC468" s="416"/>
      <c r="AF468" s="410"/>
      <c r="AG468" s="416"/>
      <c r="AJ468" s="417"/>
      <c r="AK468" s="416"/>
      <c r="AN468" s="417"/>
      <c r="AR468" s="417"/>
    </row>
    <row r="469" spans="2:44" s="415" customFormat="1">
      <c r="B469" s="481"/>
      <c r="D469" s="481"/>
      <c r="E469" s="481"/>
      <c r="K469" s="423"/>
      <c r="L469" s="423"/>
      <c r="M469" s="423"/>
      <c r="AB469" s="417"/>
      <c r="AC469" s="416"/>
      <c r="AF469" s="410"/>
      <c r="AG469" s="416"/>
      <c r="AJ469" s="417"/>
      <c r="AK469" s="416"/>
      <c r="AN469" s="417"/>
      <c r="AR469" s="417"/>
    </row>
    <row r="470" spans="2:44" s="415" customFormat="1">
      <c r="B470" s="481"/>
      <c r="D470" s="481"/>
      <c r="E470" s="481"/>
      <c r="K470" s="423"/>
      <c r="L470" s="423"/>
      <c r="M470" s="423"/>
      <c r="AB470" s="417"/>
      <c r="AC470" s="416"/>
      <c r="AF470" s="410"/>
      <c r="AG470" s="416"/>
      <c r="AJ470" s="417"/>
      <c r="AK470" s="416"/>
      <c r="AN470" s="417"/>
      <c r="AR470" s="417"/>
    </row>
    <row r="471" spans="2:44" s="415" customFormat="1">
      <c r="B471" s="481"/>
      <c r="D471" s="481"/>
      <c r="E471" s="481"/>
      <c r="K471" s="423"/>
      <c r="L471" s="423"/>
      <c r="M471" s="423"/>
      <c r="AB471" s="417"/>
      <c r="AC471" s="416"/>
      <c r="AF471" s="410"/>
      <c r="AG471" s="416"/>
      <c r="AJ471" s="417"/>
      <c r="AK471" s="416"/>
      <c r="AN471" s="417"/>
      <c r="AR471" s="417"/>
    </row>
    <row r="472" spans="2:44" s="415" customFormat="1">
      <c r="B472" s="481"/>
      <c r="D472" s="481"/>
      <c r="E472" s="481"/>
      <c r="K472" s="423"/>
      <c r="L472" s="423"/>
      <c r="M472" s="423"/>
      <c r="AB472" s="417"/>
      <c r="AC472" s="416"/>
      <c r="AF472" s="410"/>
      <c r="AG472" s="416"/>
      <c r="AJ472" s="417"/>
      <c r="AK472" s="416"/>
      <c r="AN472" s="417"/>
      <c r="AR472" s="417"/>
    </row>
    <row r="473" spans="2:44" s="415" customFormat="1">
      <c r="B473" s="481"/>
      <c r="D473" s="481"/>
      <c r="E473" s="481"/>
      <c r="K473" s="423"/>
      <c r="L473" s="423"/>
      <c r="M473" s="423"/>
      <c r="AB473" s="417"/>
      <c r="AC473" s="416"/>
      <c r="AF473" s="410"/>
      <c r="AG473" s="416"/>
      <c r="AJ473" s="417"/>
      <c r="AK473" s="416"/>
      <c r="AN473" s="417"/>
      <c r="AR473" s="417"/>
    </row>
    <row r="474" spans="2:44" s="415" customFormat="1">
      <c r="B474" s="481"/>
      <c r="D474" s="481"/>
      <c r="E474" s="481"/>
      <c r="K474" s="423"/>
      <c r="L474" s="423"/>
      <c r="M474" s="423"/>
      <c r="AB474" s="417"/>
      <c r="AC474" s="416"/>
      <c r="AF474" s="410"/>
      <c r="AG474" s="416"/>
      <c r="AJ474" s="417"/>
      <c r="AK474" s="416"/>
      <c r="AN474" s="417"/>
      <c r="AR474" s="417"/>
    </row>
    <row r="475" spans="2:44" s="415" customFormat="1">
      <c r="B475" s="481"/>
      <c r="D475" s="481"/>
      <c r="E475" s="481"/>
      <c r="K475" s="423"/>
      <c r="L475" s="423"/>
      <c r="M475" s="423"/>
      <c r="AB475" s="417"/>
      <c r="AC475" s="416"/>
      <c r="AF475" s="410"/>
      <c r="AG475" s="416"/>
      <c r="AJ475" s="417"/>
      <c r="AK475" s="416"/>
      <c r="AN475" s="417"/>
      <c r="AR475" s="417"/>
    </row>
    <row r="476" spans="2:44" s="415" customFormat="1">
      <c r="B476" s="481"/>
      <c r="D476" s="481"/>
      <c r="E476" s="481"/>
      <c r="K476" s="423"/>
      <c r="L476" s="423"/>
      <c r="M476" s="423"/>
      <c r="AB476" s="417"/>
      <c r="AC476" s="416"/>
      <c r="AF476" s="410"/>
      <c r="AG476" s="416"/>
      <c r="AJ476" s="417"/>
      <c r="AK476" s="416"/>
      <c r="AN476" s="417"/>
      <c r="AR476" s="417"/>
    </row>
    <row r="477" spans="2:44" s="415" customFormat="1">
      <c r="B477" s="481"/>
      <c r="D477" s="481"/>
      <c r="E477" s="481"/>
      <c r="K477" s="423"/>
      <c r="L477" s="423"/>
      <c r="M477" s="423"/>
      <c r="AB477" s="417"/>
      <c r="AC477" s="416"/>
      <c r="AF477" s="410"/>
      <c r="AG477" s="416"/>
      <c r="AJ477" s="417"/>
      <c r="AK477" s="416"/>
      <c r="AN477" s="417"/>
      <c r="AR477" s="417"/>
    </row>
    <row r="478" spans="2:44" s="415" customFormat="1">
      <c r="B478" s="481"/>
      <c r="D478" s="481"/>
      <c r="E478" s="481"/>
      <c r="K478" s="423"/>
      <c r="L478" s="423"/>
      <c r="M478" s="423"/>
      <c r="AB478" s="417"/>
      <c r="AC478" s="416"/>
      <c r="AF478" s="410"/>
      <c r="AG478" s="416"/>
      <c r="AJ478" s="417"/>
      <c r="AK478" s="416"/>
      <c r="AN478" s="417"/>
      <c r="AR478" s="417"/>
    </row>
    <row r="479" spans="2:44" s="415" customFormat="1">
      <c r="B479" s="481"/>
      <c r="D479" s="481"/>
      <c r="E479" s="481"/>
      <c r="K479" s="423"/>
      <c r="L479" s="423"/>
      <c r="M479" s="423"/>
      <c r="AB479" s="417"/>
      <c r="AC479" s="416"/>
      <c r="AF479" s="410"/>
      <c r="AG479" s="416"/>
      <c r="AJ479" s="417"/>
      <c r="AK479" s="416"/>
      <c r="AN479" s="417"/>
      <c r="AR479" s="417"/>
    </row>
    <row r="480" spans="2:44" s="415" customFormat="1">
      <c r="B480" s="481"/>
      <c r="D480" s="481"/>
      <c r="E480" s="481"/>
      <c r="K480" s="423"/>
      <c r="L480" s="423"/>
      <c r="M480" s="423"/>
      <c r="AB480" s="417"/>
      <c r="AC480" s="416"/>
      <c r="AF480" s="410"/>
      <c r="AG480" s="416"/>
      <c r="AJ480" s="417"/>
      <c r="AK480" s="416"/>
      <c r="AN480" s="417"/>
      <c r="AR480" s="417"/>
    </row>
    <row r="481" spans="2:44" s="415" customFormat="1">
      <c r="B481" s="481"/>
      <c r="D481" s="481"/>
      <c r="E481" s="481"/>
      <c r="K481" s="423"/>
      <c r="L481" s="423"/>
      <c r="M481" s="423"/>
      <c r="AB481" s="417"/>
      <c r="AC481" s="416"/>
      <c r="AF481" s="410"/>
      <c r="AG481" s="416"/>
      <c r="AJ481" s="417"/>
      <c r="AK481" s="416"/>
      <c r="AN481" s="417"/>
      <c r="AR481" s="417"/>
    </row>
    <row r="482" spans="2:44" s="415" customFormat="1">
      <c r="B482" s="481"/>
      <c r="D482" s="481"/>
      <c r="E482" s="481"/>
      <c r="K482" s="423"/>
      <c r="L482" s="423"/>
      <c r="M482" s="423"/>
      <c r="AB482" s="417"/>
      <c r="AC482" s="416"/>
      <c r="AF482" s="410"/>
      <c r="AG482" s="416"/>
      <c r="AJ482" s="417"/>
      <c r="AK482" s="416"/>
      <c r="AN482" s="417"/>
      <c r="AR482" s="417"/>
    </row>
    <row r="483" spans="2:44" s="415" customFormat="1">
      <c r="B483" s="481"/>
      <c r="D483" s="481"/>
      <c r="E483" s="481"/>
      <c r="K483" s="423"/>
      <c r="L483" s="423"/>
      <c r="M483" s="423"/>
      <c r="AB483" s="417"/>
      <c r="AC483" s="416"/>
      <c r="AF483" s="410"/>
      <c r="AG483" s="416"/>
      <c r="AJ483" s="417"/>
      <c r="AK483" s="416"/>
      <c r="AN483" s="417"/>
      <c r="AR483" s="417"/>
    </row>
    <row r="484" spans="2:44" s="415" customFormat="1">
      <c r="B484" s="481"/>
      <c r="D484" s="481"/>
      <c r="E484" s="481"/>
      <c r="K484" s="423"/>
      <c r="L484" s="423"/>
      <c r="M484" s="423"/>
      <c r="AB484" s="417"/>
      <c r="AC484" s="416"/>
      <c r="AF484" s="410"/>
      <c r="AG484" s="416"/>
      <c r="AJ484" s="417"/>
      <c r="AK484" s="416"/>
      <c r="AN484" s="417"/>
      <c r="AR484" s="417"/>
    </row>
    <row r="485" spans="2:44" s="415" customFormat="1">
      <c r="B485" s="481"/>
      <c r="D485" s="481"/>
      <c r="E485" s="481"/>
      <c r="K485" s="423"/>
      <c r="L485" s="423"/>
      <c r="M485" s="423"/>
      <c r="AB485" s="417"/>
      <c r="AC485" s="416"/>
      <c r="AF485" s="410"/>
      <c r="AG485" s="416"/>
      <c r="AJ485" s="417"/>
      <c r="AK485" s="416"/>
      <c r="AN485" s="417"/>
      <c r="AR485" s="417"/>
    </row>
    <row r="486" spans="2:44" s="415" customFormat="1">
      <c r="B486" s="481"/>
      <c r="D486" s="481"/>
      <c r="E486" s="481"/>
      <c r="K486" s="423"/>
      <c r="L486" s="423"/>
      <c r="M486" s="423"/>
      <c r="AB486" s="417"/>
      <c r="AC486" s="416"/>
      <c r="AF486" s="410"/>
      <c r="AG486" s="416"/>
      <c r="AJ486" s="417"/>
      <c r="AK486" s="416"/>
      <c r="AN486" s="417"/>
      <c r="AR486" s="417"/>
    </row>
    <row r="487" spans="2:44" s="415" customFormat="1">
      <c r="B487" s="481"/>
      <c r="D487" s="481"/>
      <c r="E487" s="481"/>
      <c r="K487" s="423"/>
      <c r="L487" s="423"/>
      <c r="M487" s="423"/>
      <c r="AB487" s="417"/>
      <c r="AC487" s="416"/>
      <c r="AF487" s="410"/>
      <c r="AG487" s="416"/>
      <c r="AJ487" s="417"/>
      <c r="AK487" s="416"/>
      <c r="AN487" s="417"/>
      <c r="AR487" s="417"/>
    </row>
    <row r="488" spans="2:44" s="415" customFormat="1">
      <c r="B488" s="481"/>
      <c r="D488" s="481"/>
      <c r="E488" s="481"/>
      <c r="K488" s="423"/>
      <c r="L488" s="423"/>
      <c r="M488" s="423"/>
      <c r="AB488" s="417"/>
      <c r="AC488" s="416"/>
      <c r="AF488" s="410"/>
      <c r="AG488" s="416"/>
      <c r="AJ488" s="417"/>
      <c r="AK488" s="416"/>
      <c r="AN488" s="417"/>
      <c r="AR488" s="417"/>
    </row>
    <row r="489" spans="2:44" s="415" customFormat="1">
      <c r="B489" s="481"/>
      <c r="D489" s="481"/>
      <c r="E489" s="481"/>
      <c r="K489" s="423"/>
      <c r="L489" s="423"/>
      <c r="M489" s="423"/>
      <c r="AB489" s="417"/>
      <c r="AC489" s="416"/>
      <c r="AF489" s="410"/>
      <c r="AG489" s="416"/>
      <c r="AJ489" s="417"/>
      <c r="AK489" s="416"/>
      <c r="AN489" s="417"/>
      <c r="AR489" s="417"/>
    </row>
    <row r="490" spans="2:44" s="415" customFormat="1">
      <c r="B490" s="481"/>
      <c r="D490" s="481"/>
      <c r="E490" s="481"/>
      <c r="K490" s="423"/>
      <c r="L490" s="423"/>
      <c r="M490" s="423"/>
      <c r="AB490" s="417"/>
      <c r="AC490" s="416"/>
      <c r="AF490" s="410"/>
      <c r="AG490" s="416"/>
      <c r="AJ490" s="417"/>
      <c r="AK490" s="416"/>
      <c r="AN490" s="417"/>
      <c r="AR490" s="417"/>
    </row>
    <row r="491" spans="2:44" s="415" customFormat="1">
      <c r="B491" s="481"/>
      <c r="D491" s="481"/>
      <c r="E491" s="481"/>
      <c r="K491" s="423"/>
      <c r="L491" s="423"/>
      <c r="M491" s="423"/>
      <c r="AB491" s="417"/>
      <c r="AC491" s="416"/>
      <c r="AF491" s="410"/>
      <c r="AG491" s="416"/>
      <c r="AJ491" s="417"/>
      <c r="AK491" s="416"/>
      <c r="AN491" s="417"/>
      <c r="AR491" s="417"/>
    </row>
    <row r="492" spans="2:44" s="415" customFormat="1">
      <c r="B492" s="481"/>
      <c r="D492" s="481"/>
      <c r="E492" s="481"/>
      <c r="K492" s="423"/>
      <c r="L492" s="423"/>
      <c r="M492" s="423"/>
      <c r="AB492" s="417"/>
      <c r="AC492" s="416"/>
      <c r="AF492" s="410"/>
      <c r="AG492" s="416"/>
      <c r="AJ492" s="417"/>
      <c r="AK492" s="416"/>
      <c r="AN492" s="417"/>
      <c r="AR492" s="417"/>
    </row>
    <row r="493" spans="2:44" s="415" customFormat="1">
      <c r="B493" s="481"/>
      <c r="D493" s="481"/>
      <c r="E493" s="481"/>
      <c r="K493" s="423"/>
      <c r="L493" s="423"/>
      <c r="M493" s="423"/>
      <c r="AB493" s="417"/>
      <c r="AC493" s="416"/>
      <c r="AF493" s="410"/>
      <c r="AG493" s="416"/>
      <c r="AJ493" s="417"/>
      <c r="AK493" s="416"/>
      <c r="AN493" s="417"/>
      <c r="AR493" s="417"/>
    </row>
    <row r="494" spans="2:44" s="415" customFormat="1">
      <c r="B494" s="481"/>
      <c r="D494" s="481"/>
      <c r="E494" s="481"/>
      <c r="K494" s="423"/>
      <c r="L494" s="423"/>
      <c r="M494" s="423"/>
      <c r="AB494" s="417"/>
      <c r="AC494" s="416"/>
      <c r="AF494" s="410"/>
      <c r="AG494" s="416"/>
      <c r="AJ494" s="417"/>
      <c r="AK494" s="416"/>
      <c r="AN494" s="417"/>
      <c r="AR494" s="417"/>
    </row>
    <row r="495" spans="2:44" s="415" customFormat="1">
      <c r="B495" s="481"/>
      <c r="D495" s="481"/>
      <c r="E495" s="481"/>
      <c r="K495" s="423"/>
      <c r="L495" s="423"/>
      <c r="M495" s="423"/>
      <c r="AB495" s="417"/>
      <c r="AC495" s="416"/>
      <c r="AF495" s="410"/>
      <c r="AG495" s="416"/>
      <c r="AJ495" s="417"/>
      <c r="AK495" s="416"/>
      <c r="AN495" s="417"/>
      <c r="AR495" s="417"/>
    </row>
    <row r="496" spans="2:44" s="415" customFormat="1">
      <c r="B496" s="481"/>
      <c r="D496" s="481"/>
      <c r="E496" s="481"/>
      <c r="K496" s="423"/>
      <c r="L496" s="423"/>
      <c r="M496" s="423"/>
      <c r="AB496" s="417"/>
      <c r="AC496" s="416"/>
      <c r="AF496" s="410"/>
      <c r="AG496" s="416"/>
      <c r="AJ496" s="417"/>
      <c r="AK496" s="416"/>
      <c r="AN496" s="417"/>
      <c r="AR496" s="417"/>
    </row>
    <row r="497" spans="2:44" s="415" customFormat="1">
      <c r="B497" s="481"/>
      <c r="D497" s="481"/>
      <c r="E497" s="481"/>
      <c r="K497" s="423"/>
      <c r="L497" s="423"/>
      <c r="M497" s="423"/>
      <c r="AB497" s="417"/>
      <c r="AC497" s="416"/>
      <c r="AF497" s="410"/>
      <c r="AG497" s="416"/>
      <c r="AJ497" s="417"/>
      <c r="AK497" s="416"/>
      <c r="AN497" s="417"/>
      <c r="AR497" s="417"/>
    </row>
    <row r="498" spans="2:44" s="415" customFormat="1">
      <c r="B498" s="481"/>
      <c r="D498" s="481"/>
      <c r="E498" s="481"/>
      <c r="K498" s="423"/>
      <c r="L498" s="423"/>
      <c r="M498" s="423"/>
      <c r="AB498" s="417"/>
      <c r="AC498" s="416"/>
      <c r="AF498" s="410"/>
      <c r="AG498" s="416"/>
      <c r="AJ498" s="417"/>
      <c r="AK498" s="416"/>
      <c r="AN498" s="417"/>
      <c r="AR498" s="417"/>
    </row>
    <row r="499" spans="2:44" s="415" customFormat="1">
      <c r="B499" s="481"/>
      <c r="D499" s="481"/>
      <c r="E499" s="481"/>
      <c r="K499" s="423"/>
      <c r="L499" s="423"/>
      <c r="M499" s="423"/>
      <c r="AB499" s="417"/>
      <c r="AC499" s="416"/>
      <c r="AF499" s="410"/>
      <c r="AG499" s="416"/>
      <c r="AJ499" s="417"/>
      <c r="AK499" s="416"/>
      <c r="AN499" s="417"/>
      <c r="AR499" s="417"/>
    </row>
    <row r="500" spans="2:44" s="415" customFormat="1">
      <c r="B500" s="481"/>
      <c r="D500" s="481"/>
      <c r="E500" s="481"/>
      <c r="K500" s="423"/>
      <c r="L500" s="423"/>
      <c r="M500" s="423"/>
      <c r="AB500" s="417"/>
      <c r="AC500" s="416"/>
      <c r="AF500" s="410"/>
      <c r="AG500" s="416"/>
      <c r="AJ500" s="417"/>
      <c r="AK500" s="416"/>
      <c r="AN500" s="417"/>
      <c r="AR500" s="417"/>
    </row>
    <row r="501" spans="2:44" s="415" customFormat="1">
      <c r="B501" s="481"/>
      <c r="D501" s="481"/>
      <c r="E501" s="481"/>
      <c r="K501" s="423"/>
      <c r="L501" s="423"/>
      <c r="M501" s="423"/>
      <c r="AB501" s="417"/>
      <c r="AC501" s="416"/>
      <c r="AF501" s="410"/>
      <c r="AG501" s="416"/>
      <c r="AJ501" s="417"/>
      <c r="AK501" s="416"/>
      <c r="AN501" s="417"/>
      <c r="AR501" s="417"/>
    </row>
    <row r="502" spans="2:44" s="415" customFormat="1">
      <c r="B502" s="481"/>
      <c r="D502" s="481"/>
      <c r="E502" s="481"/>
      <c r="K502" s="423"/>
      <c r="L502" s="423"/>
      <c r="M502" s="423"/>
      <c r="AB502" s="417"/>
      <c r="AC502" s="416"/>
      <c r="AF502" s="410"/>
      <c r="AG502" s="416"/>
      <c r="AJ502" s="417"/>
      <c r="AK502" s="416"/>
      <c r="AN502" s="417"/>
      <c r="AR502" s="417"/>
    </row>
    <row r="503" spans="2:44" s="415" customFormat="1">
      <c r="B503" s="481"/>
      <c r="D503" s="481"/>
      <c r="E503" s="481"/>
      <c r="K503" s="423"/>
      <c r="L503" s="423"/>
      <c r="M503" s="423"/>
      <c r="AB503" s="417"/>
      <c r="AC503" s="416"/>
      <c r="AF503" s="410"/>
      <c r="AG503" s="416"/>
      <c r="AJ503" s="417"/>
      <c r="AK503" s="416"/>
      <c r="AN503" s="417"/>
      <c r="AR503" s="417"/>
    </row>
    <row r="504" spans="2:44" s="415" customFormat="1">
      <c r="B504" s="481"/>
      <c r="D504" s="481"/>
      <c r="E504" s="481"/>
      <c r="K504" s="423"/>
      <c r="L504" s="423"/>
      <c r="M504" s="423"/>
      <c r="AB504" s="417"/>
      <c r="AC504" s="416"/>
      <c r="AF504" s="410"/>
      <c r="AG504" s="416"/>
      <c r="AJ504" s="417"/>
      <c r="AK504" s="416"/>
      <c r="AN504" s="417"/>
      <c r="AR504" s="417"/>
    </row>
    <row r="505" spans="2:44" s="415" customFormat="1">
      <c r="B505" s="481"/>
      <c r="D505" s="481"/>
      <c r="E505" s="481"/>
      <c r="K505" s="423"/>
      <c r="L505" s="423"/>
      <c r="M505" s="423"/>
      <c r="AB505" s="417"/>
      <c r="AC505" s="416"/>
      <c r="AF505" s="410"/>
      <c r="AG505" s="416"/>
      <c r="AJ505" s="417"/>
      <c r="AK505" s="416"/>
      <c r="AN505" s="417"/>
      <c r="AR505" s="417"/>
    </row>
    <row r="506" spans="2:44" s="415" customFormat="1">
      <c r="B506" s="481"/>
      <c r="D506" s="481"/>
      <c r="E506" s="481"/>
      <c r="K506" s="423"/>
      <c r="L506" s="423"/>
      <c r="M506" s="423"/>
      <c r="AB506" s="417"/>
      <c r="AC506" s="416"/>
      <c r="AF506" s="410"/>
      <c r="AG506" s="416"/>
      <c r="AJ506" s="417"/>
      <c r="AK506" s="416"/>
      <c r="AN506" s="417"/>
      <c r="AR506" s="417"/>
    </row>
    <row r="507" spans="2:44" s="415" customFormat="1">
      <c r="B507" s="481"/>
      <c r="D507" s="481"/>
      <c r="E507" s="481"/>
      <c r="K507" s="423"/>
      <c r="L507" s="423"/>
      <c r="M507" s="423"/>
      <c r="AB507" s="417"/>
      <c r="AC507" s="416"/>
      <c r="AF507" s="410"/>
      <c r="AG507" s="416"/>
      <c r="AJ507" s="417"/>
      <c r="AK507" s="416"/>
      <c r="AN507" s="417"/>
      <c r="AR507" s="417"/>
    </row>
    <row r="508" spans="2:44" s="415" customFormat="1">
      <c r="B508" s="481"/>
      <c r="D508" s="481"/>
      <c r="E508" s="481"/>
      <c r="K508" s="423"/>
      <c r="L508" s="423"/>
      <c r="M508" s="423"/>
      <c r="AB508" s="417"/>
      <c r="AC508" s="416"/>
      <c r="AF508" s="410"/>
      <c r="AG508" s="416"/>
      <c r="AJ508" s="417"/>
      <c r="AK508" s="416"/>
      <c r="AN508" s="417"/>
      <c r="AR508" s="417"/>
    </row>
    <row r="509" spans="2:44" s="415" customFormat="1">
      <c r="B509" s="481"/>
      <c r="D509" s="481"/>
      <c r="E509" s="481"/>
      <c r="K509" s="423"/>
      <c r="L509" s="423"/>
      <c r="M509" s="423"/>
      <c r="AB509" s="417"/>
      <c r="AC509" s="416"/>
      <c r="AF509" s="410"/>
      <c r="AG509" s="416"/>
      <c r="AJ509" s="417"/>
      <c r="AK509" s="416"/>
      <c r="AN509" s="417"/>
      <c r="AR509" s="417"/>
    </row>
    <row r="510" spans="2:44" s="415" customFormat="1">
      <c r="B510" s="481"/>
      <c r="D510" s="481"/>
      <c r="E510" s="481"/>
      <c r="K510" s="423"/>
      <c r="L510" s="423"/>
      <c r="M510" s="423"/>
      <c r="AB510" s="417"/>
      <c r="AC510" s="416"/>
      <c r="AF510" s="410"/>
      <c r="AG510" s="416"/>
      <c r="AJ510" s="417"/>
      <c r="AK510" s="416"/>
      <c r="AN510" s="417"/>
      <c r="AR510" s="417"/>
    </row>
    <row r="511" spans="2:44" s="415" customFormat="1">
      <c r="B511" s="481"/>
      <c r="D511" s="481"/>
      <c r="E511" s="481"/>
      <c r="K511" s="423"/>
      <c r="L511" s="423"/>
      <c r="M511" s="423"/>
      <c r="AB511" s="417"/>
      <c r="AC511" s="416"/>
      <c r="AF511" s="410"/>
      <c r="AG511" s="416"/>
      <c r="AJ511" s="417"/>
      <c r="AK511" s="416"/>
      <c r="AN511" s="417"/>
      <c r="AR511" s="417"/>
    </row>
    <row r="512" spans="2:44" s="415" customFormat="1">
      <c r="B512" s="481"/>
      <c r="D512" s="481"/>
      <c r="E512" s="481"/>
      <c r="K512" s="423"/>
      <c r="L512" s="423"/>
      <c r="M512" s="423"/>
      <c r="AB512" s="417"/>
      <c r="AC512" s="416"/>
      <c r="AF512" s="410"/>
      <c r="AG512" s="416"/>
      <c r="AJ512" s="417"/>
      <c r="AK512" s="416"/>
      <c r="AN512" s="417"/>
      <c r="AR512" s="417"/>
    </row>
    <row r="513" spans="2:44" s="415" customFormat="1">
      <c r="B513" s="481"/>
      <c r="D513" s="481"/>
      <c r="E513" s="481"/>
      <c r="K513" s="423"/>
      <c r="L513" s="423"/>
      <c r="M513" s="423"/>
      <c r="AB513" s="417"/>
      <c r="AC513" s="416"/>
      <c r="AF513" s="410"/>
      <c r="AG513" s="416"/>
      <c r="AJ513" s="417"/>
      <c r="AK513" s="416"/>
      <c r="AN513" s="417"/>
      <c r="AR513" s="417"/>
    </row>
    <row r="514" spans="2:44" s="415" customFormat="1">
      <c r="B514" s="481"/>
      <c r="D514" s="481"/>
      <c r="E514" s="481"/>
      <c r="K514" s="423"/>
      <c r="L514" s="423"/>
      <c r="M514" s="423"/>
      <c r="AB514" s="417"/>
      <c r="AC514" s="416"/>
      <c r="AF514" s="410"/>
      <c r="AG514" s="416"/>
      <c r="AJ514" s="417"/>
      <c r="AK514" s="416"/>
      <c r="AN514" s="417"/>
      <c r="AR514" s="417"/>
    </row>
    <row r="515" spans="2:44" s="415" customFormat="1">
      <c r="B515" s="481"/>
      <c r="D515" s="481"/>
      <c r="E515" s="481"/>
      <c r="K515" s="423"/>
      <c r="L515" s="423"/>
      <c r="M515" s="423"/>
      <c r="AB515" s="417"/>
      <c r="AC515" s="416"/>
      <c r="AF515" s="410"/>
      <c r="AG515" s="416"/>
      <c r="AJ515" s="417"/>
      <c r="AK515" s="416"/>
      <c r="AN515" s="417"/>
      <c r="AR515" s="417"/>
    </row>
    <row r="516" spans="2:44" s="415" customFormat="1">
      <c r="B516" s="481"/>
      <c r="D516" s="481"/>
      <c r="E516" s="481"/>
      <c r="K516" s="423"/>
      <c r="L516" s="423"/>
      <c r="M516" s="423"/>
      <c r="AB516" s="417"/>
      <c r="AC516" s="416"/>
      <c r="AF516" s="410"/>
      <c r="AG516" s="416"/>
      <c r="AJ516" s="417"/>
      <c r="AK516" s="416"/>
      <c r="AN516" s="417"/>
      <c r="AR516" s="417"/>
    </row>
    <row r="517" spans="2:44" s="415" customFormat="1">
      <c r="B517" s="481"/>
      <c r="D517" s="481"/>
      <c r="E517" s="481"/>
      <c r="K517" s="423"/>
      <c r="L517" s="423"/>
      <c r="M517" s="423"/>
      <c r="AB517" s="417"/>
      <c r="AC517" s="416"/>
      <c r="AF517" s="410"/>
      <c r="AG517" s="416"/>
      <c r="AJ517" s="417"/>
      <c r="AK517" s="416"/>
      <c r="AN517" s="417"/>
      <c r="AR517" s="417"/>
    </row>
    <row r="518" spans="2:44" s="415" customFormat="1">
      <c r="B518" s="481"/>
      <c r="D518" s="481"/>
      <c r="E518" s="481"/>
      <c r="K518" s="423"/>
      <c r="L518" s="423"/>
      <c r="M518" s="423"/>
      <c r="AB518" s="417"/>
      <c r="AC518" s="416"/>
      <c r="AF518" s="410"/>
      <c r="AG518" s="416"/>
      <c r="AJ518" s="417"/>
      <c r="AK518" s="416"/>
      <c r="AN518" s="417"/>
      <c r="AR518" s="417"/>
    </row>
    <row r="519" spans="2:44" s="415" customFormat="1">
      <c r="B519" s="481"/>
      <c r="D519" s="481"/>
      <c r="E519" s="481"/>
      <c r="K519" s="423"/>
      <c r="L519" s="423"/>
      <c r="M519" s="423"/>
      <c r="AB519" s="417"/>
      <c r="AC519" s="416"/>
      <c r="AF519" s="410"/>
      <c r="AG519" s="416"/>
      <c r="AJ519" s="417"/>
      <c r="AK519" s="416"/>
      <c r="AN519" s="417"/>
      <c r="AR519" s="417"/>
    </row>
    <row r="520" spans="2:44" s="415" customFormat="1">
      <c r="B520" s="481"/>
      <c r="D520" s="481"/>
      <c r="E520" s="481"/>
      <c r="K520" s="423"/>
      <c r="L520" s="423"/>
      <c r="M520" s="423"/>
      <c r="AB520" s="417"/>
      <c r="AC520" s="416"/>
      <c r="AF520" s="410"/>
      <c r="AG520" s="416"/>
      <c r="AJ520" s="417"/>
      <c r="AK520" s="416"/>
      <c r="AN520" s="417"/>
      <c r="AR520" s="417"/>
    </row>
    <row r="521" spans="2:44" s="415" customFormat="1">
      <c r="B521" s="481"/>
      <c r="D521" s="481"/>
      <c r="E521" s="481"/>
      <c r="K521" s="423"/>
      <c r="L521" s="423"/>
      <c r="M521" s="423"/>
      <c r="AB521" s="417"/>
      <c r="AC521" s="416"/>
      <c r="AF521" s="410"/>
      <c r="AG521" s="416"/>
      <c r="AJ521" s="417"/>
      <c r="AK521" s="416"/>
      <c r="AN521" s="417"/>
      <c r="AR521" s="417"/>
    </row>
    <row r="522" spans="2:44" s="415" customFormat="1">
      <c r="B522" s="481"/>
      <c r="D522" s="481"/>
      <c r="E522" s="481"/>
      <c r="K522" s="423"/>
      <c r="L522" s="423"/>
      <c r="M522" s="423"/>
      <c r="AB522" s="417"/>
      <c r="AC522" s="416"/>
      <c r="AF522" s="410"/>
      <c r="AG522" s="416"/>
      <c r="AJ522" s="417"/>
      <c r="AK522" s="416"/>
      <c r="AN522" s="417"/>
      <c r="AR522" s="417"/>
    </row>
    <row r="523" spans="2:44" s="415" customFormat="1">
      <c r="B523" s="481"/>
      <c r="D523" s="481"/>
      <c r="E523" s="481"/>
      <c r="K523" s="423"/>
      <c r="L523" s="423"/>
      <c r="M523" s="423"/>
      <c r="AB523" s="417"/>
      <c r="AC523" s="416"/>
      <c r="AF523" s="410"/>
      <c r="AG523" s="416"/>
      <c r="AJ523" s="417"/>
      <c r="AK523" s="416"/>
      <c r="AN523" s="417"/>
      <c r="AR523" s="417"/>
    </row>
    <row r="524" spans="2:44" s="415" customFormat="1">
      <c r="B524" s="481"/>
      <c r="D524" s="481"/>
      <c r="E524" s="481"/>
      <c r="K524" s="423"/>
      <c r="L524" s="423"/>
      <c r="M524" s="423"/>
      <c r="AB524" s="417"/>
      <c r="AC524" s="416"/>
      <c r="AF524" s="410"/>
      <c r="AG524" s="416"/>
      <c r="AJ524" s="417"/>
      <c r="AK524" s="416"/>
      <c r="AN524" s="417"/>
      <c r="AR524" s="417"/>
    </row>
    <row r="525" spans="2:44" s="415" customFormat="1">
      <c r="B525" s="481"/>
      <c r="D525" s="481"/>
      <c r="E525" s="481"/>
      <c r="K525" s="423"/>
      <c r="L525" s="423"/>
      <c r="M525" s="423"/>
      <c r="AB525" s="417"/>
      <c r="AC525" s="416"/>
      <c r="AF525" s="410"/>
      <c r="AG525" s="416"/>
      <c r="AJ525" s="417"/>
      <c r="AK525" s="416"/>
      <c r="AN525" s="417"/>
      <c r="AR525" s="417"/>
    </row>
    <row r="526" spans="2:44" s="415" customFormat="1">
      <c r="B526" s="481"/>
      <c r="D526" s="481"/>
      <c r="E526" s="481"/>
      <c r="K526" s="423"/>
      <c r="L526" s="423"/>
      <c r="M526" s="423"/>
      <c r="AB526" s="417"/>
      <c r="AC526" s="416"/>
      <c r="AF526" s="410"/>
      <c r="AG526" s="416"/>
      <c r="AJ526" s="417"/>
      <c r="AK526" s="416"/>
      <c r="AN526" s="417"/>
      <c r="AR526" s="417"/>
    </row>
    <row r="527" spans="2:44" s="415" customFormat="1">
      <c r="B527" s="481"/>
      <c r="D527" s="481"/>
      <c r="E527" s="481"/>
      <c r="K527" s="423"/>
      <c r="L527" s="423"/>
      <c r="M527" s="423"/>
      <c r="AB527" s="417"/>
      <c r="AC527" s="416"/>
      <c r="AF527" s="410"/>
      <c r="AG527" s="416"/>
      <c r="AJ527" s="417"/>
      <c r="AK527" s="416"/>
      <c r="AN527" s="417"/>
      <c r="AR527" s="417"/>
    </row>
    <row r="528" spans="2:44" s="415" customFormat="1">
      <c r="B528" s="481"/>
      <c r="D528" s="481"/>
      <c r="E528" s="481"/>
      <c r="K528" s="423"/>
      <c r="L528" s="423"/>
      <c r="M528" s="423"/>
      <c r="AB528" s="417"/>
      <c r="AC528" s="416"/>
      <c r="AF528" s="410"/>
      <c r="AG528" s="416"/>
      <c r="AJ528" s="417"/>
      <c r="AK528" s="416"/>
      <c r="AN528" s="417"/>
      <c r="AR528" s="417"/>
    </row>
    <row r="529" spans="2:44" s="415" customFormat="1">
      <c r="B529" s="481"/>
      <c r="D529" s="481"/>
      <c r="E529" s="481"/>
      <c r="K529" s="423"/>
      <c r="L529" s="423"/>
      <c r="M529" s="423"/>
      <c r="AB529" s="417"/>
      <c r="AC529" s="416"/>
      <c r="AF529" s="410"/>
      <c r="AG529" s="416"/>
      <c r="AJ529" s="417"/>
      <c r="AK529" s="416"/>
      <c r="AN529" s="417"/>
      <c r="AR529" s="417"/>
    </row>
    <row r="530" spans="2:44" s="415" customFormat="1">
      <c r="B530" s="481"/>
      <c r="D530" s="481"/>
      <c r="E530" s="481"/>
      <c r="K530" s="423"/>
      <c r="L530" s="423"/>
      <c r="M530" s="423"/>
      <c r="AB530" s="417"/>
      <c r="AC530" s="416"/>
      <c r="AF530" s="410"/>
      <c r="AG530" s="416"/>
      <c r="AJ530" s="417"/>
      <c r="AK530" s="416"/>
      <c r="AN530" s="417"/>
      <c r="AR530" s="417"/>
    </row>
    <row r="531" spans="2:44" s="415" customFormat="1">
      <c r="B531" s="481"/>
      <c r="D531" s="481"/>
      <c r="E531" s="481"/>
      <c r="K531" s="423"/>
      <c r="L531" s="423"/>
      <c r="M531" s="423"/>
      <c r="AB531" s="417"/>
      <c r="AC531" s="416"/>
      <c r="AF531" s="410"/>
      <c r="AG531" s="416"/>
      <c r="AJ531" s="417"/>
      <c r="AK531" s="416"/>
      <c r="AN531" s="417"/>
      <c r="AR531" s="417"/>
    </row>
    <row r="532" spans="2:44" s="415" customFormat="1">
      <c r="B532" s="481"/>
      <c r="D532" s="481"/>
      <c r="E532" s="481"/>
      <c r="K532" s="423"/>
      <c r="L532" s="423"/>
      <c r="M532" s="423"/>
      <c r="AB532" s="417"/>
      <c r="AC532" s="416"/>
      <c r="AF532" s="410"/>
      <c r="AG532" s="416"/>
      <c r="AJ532" s="417"/>
      <c r="AK532" s="416"/>
      <c r="AN532" s="417"/>
      <c r="AR532" s="417"/>
    </row>
    <row r="533" spans="2:44" s="415" customFormat="1">
      <c r="B533" s="481"/>
      <c r="D533" s="481"/>
      <c r="E533" s="481"/>
      <c r="K533" s="423"/>
      <c r="L533" s="423"/>
      <c r="M533" s="423"/>
      <c r="AB533" s="417"/>
      <c r="AC533" s="416"/>
      <c r="AF533" s="410"/>
      <c r="AG533" s="416"/>
      <c r="AJ533" s="417"/>
      <c r="AK533" s="416"/>
      <c r="AN533" s="417"/>
      <c r="AR533" s="417"/>
    </row>
    <row r="534" spans="2:44" s="415" customFormat="1">
      <c r="B534" s="481"/>
      <c r="D534" s="481"/>
      <c r="E534" s="481"/>
      <c r="K534" s="423"/>
      <c r="L534" s="423"/>
      <c r="M534" s="423"/>
      <c r="AB534" s="417"/>
      <c r="AC534" s="416"/>
      <c r="AF534" s="410"/>
      <c r="AG534" s="416"/>
      <c r="AJ534" s="417"/>
      <c r="AK534" s="416"/>
      <c r="AN534" s="417"/>
      <c r="AR534" s="417"/>
    </row>
    <row r="535" spans="2:44" s="415" customFormat="1">
      <c r="B535" s="481"/>
      <c r="D535" s="481"/>
      <c r="E535" s="481"/>
      <c r="K535" s="423"/>
      <c r="L535" s="423"/>
      <c r="M535" s="423"/>
      <c r="AB535" s="417"/>
      <c r="AC535" s="416"/>
      <c r="AF535" s="410"/>
      <c r="AG535" s="416"/>
      <c r="AJ535" s="417"/>
      <c r="AK535" s="416"/>
      <c r="AN535" s="417"/>
      <c r="AR535" s="417"/>
    </row>
    <row r="536" spans="2:44" s="415" customFormat="1">
      <c r="B536" s="481"/>
      <c r="D536" s="481"/>
      <c r="E536" s="481"/>
      <c r="K536" s="423"/>
      <c r="L536" s="423"/>
      <c r="M536" s="423"/>
      <c r="AB536" s="417"/>
      <c r="AC536" s="416"/>
      <c r="AF536" s="410"/>
      <c r="AG536" s="416"/>
      <c r="AJ536" s="417"/>
      <c r="AK536" s="416"/>
      <c r="AN536" s="417"/>
      <c r="AR536" s="417"/>
    </row>
    <row r="537" spans="2:44" s="415" customFormat="1">
      <c r="B537" s="481"/>
      <c r="D537" s="481"/>
      <c r="E537" s="481"/>
      <c r="K537" s="423"/>
      <c r="L537" s="423"/>
      <c r="M537" s="423"/>
      <c r="AB537" s="417"/>
      <c r="AC537" s="416"/>
      <c r="AF537" s="410"/>
      <c r="AG537" s="416"/>
      <c r="AJ537" s="417"/>
      <c r="AK537" s="416"/>
      <c r="AN537" s="417"/>
      <c r="AR537" s="417"/>
    </row>
    <row r="538" spans="2:44" s="415" customFormat="1">
      <c r="B538" s="481"/>
      <c r="D538" s="481"/>
      <c r="E538" s="481"/>
      <c r="K538" s="423"/>
      <c r="L538" s="423"/>
      <c r="M538" s="423"/>
      <c r="AB538" s="417"/>
      <c r="AC538" s="416"/>
      <c r="AF538" s="410"/>
      <c r="AG538" s="416"/>
      <c r="AJ538" s="417"/>
      <c r="AK538" s="416"/>
      <c r="AN538" s="417"/>
      <c r="AR538" s="417"/>
    </row>
    <row r="539" spans="2:44" s="415" customFormat="1">
      <c r="B539" s="481"/>
      <c r="D539" s="481"/>
      <c r="E539" s="481"/>
      <c r="K539" s="423"/>
      <c r="L539" s="423"/>
      <c r="M539" s="423"/>
      <c r="AB539" s="417"/>
      <c r="AC539" s="416"/>
      <c r="AF539" s="410"/>
      <c r="AG539" s="416"/>
      <c r="AJ539" s="417"/>
      <c r="AK539" s="416"/>
      <c r="AN539" s="417"/>
      <c r="AR539" s="417"/>
    </row>
    <row r="540" spans="2:44" s="415" customFormat="1">
      <c r="B540" s="481"/>
      <c r="D540" s="481"/>
      <c r="E540" s="481"/>
      <c r="K540" s="423"/>
      <c r="L540" s="423"/>
      <c r="M540" s="423"/>
      <c r="AB540" s="417"/>
      <c r="AC540" s="416"/>
      <c r="AF540" s="410"/>
      <c r="AG540" s="416"/>
      <c r="AJ540" s="417"/>
      <c r="AK540" s="416"/>
      <c r="AN540" s="417"/>
      <c r="AR540" s="417"/>
    </row>
    <row r="541" spans="2:44" s="415" customFormat="1">
      <c r="B541" s="481"/>
      <c r="D541" s="481"/>
      <c r="E541" s="481"/>
      <c r="K541" s="423"/>
      <c r="L541" s="423"/>
      <c r="M541" s="423"/>
      <c r="AB541" s="417"/>
      <c r="AC541" s="416"/>
      <c r="AF541" s="410"/>
      <c r="AG541" s="416"/>
      <c r="AJ541" s="417"/>
      <c r="AK541" s="416"/>
      <c r="AN541" s="417"/>
      <c r="AR541" s="417"/>
    </row>
    <row r="542" spans="2:44" s="415" customFormat="1">
      <c r="B542" s="481"/>
      <c r="D542" s="481"/>
      <c r="E542" s="481"/>
      <c r="K542" s="423"/>
      <c r="L542" s="423"/>
      <c r="M542" s="423"/>
      <c r="AB542" s="417"/>
      <c r="AC542" s="416"/>
      <c r="AF542" s="410"/>
      <c r="AG542" s="416"/>
      <c r="AJ542" s="417"/>
      <c r="AK542" s="416"/>
      <c r="AN542" s="417"/>
      <c r="AR542" s="417"/>
    </row>
    <row r="543" spans="2:44" s="415" customFormat="1">
      <c r="B543" s="481"/>
      <c r="D543" s="481"/>
      <c r="E543" s="481"/>
      <c r="K543" s="423"/>
      <c r="L543" s="423"/>
      <c r="M543" s="423"/>
      <c r="AB543" s="417"/>
      <c r="AC543" s="416"/>
      <c r="AF543" s="410"/>
      <c r="AG543" s="416"/>
      <c r="AJ543" s="417"/>
      <c r="AK543" s="416"/>
      <c r="AN543" s="417"/>
      <c r="AR543" s="417"/>
    </row>
    <row r="544" spans="2:44" s="415" customFormat="1">
      <c r="B544" s="481"/>
      <c r="D544" s="481"/>
      <c r="E544" s="481"/>
      <c r="K544" s="423"/>
      <c r="L544" s="423"/>
      <c r="M544" s="423"/>
      <c r="AB544" s="417"/>
      <c r="AC544" s="416"/>
      <c r="AF544" s="410"/>
      <c r="AG544" s="416"/>
      <c r="AJ544" s="417"/>
      <c r="AK544" s="416"/>
      <c r="AN544" s="417"/>
      <c r="AR544" s="417"/>
    </row>
    <row r="545" spans="2:44" s="415" customFormat="1">
      <c r="B545" s="481"/>
      <c r="D545" s="481"/>
      <c r="E545" s="481"/>
      <c r="K545" s="423"/>
      <c r="L545" s="423"/>
      <c r="M545" s="423"/>
      <c r="AB545" s="417"/>
      <c r="AC545" s="416"/>
      <c r="AF545" s="410"/>
      <c r="AG545" s="416"/>
      <c r="AJ545" s="417"/>
      <c r="AK545" s="416"/>
      <c r="AN545" s="417"/>
      <c r="AR545" s="417"/>
    </row>
    <row r="546" spans="2:44" s="415" customFormat="1">
      <c r="B546" s="481"/>
      <c r="D546" s="481"/>
      <c r="E546" s="481"/>
      <c r="K546" s="423"/>
      <c r="L546" s="423"/>
      <c r="M546" s="423"/>
      <c r="AB546" s="417"/>
      <c r="AC546" s="416"/>
      <c r="AF546" s="410"/>
      <c r="AG546" s="416"/>
      <c r="AJ546" s="417"/>
      <c r="AK546" s="416"/>
      <c r="AN546" s="417"/>
      <c r="AR546" s="417"/>
    </row>
    <row r="547" spans="2:44" s="415" customFormat="1">
      <c r="B547" s="481"/>
      <c r="D547" s="481"/>
      <c r="E547" s="481"/>
      <c r="K547" s="423"/>
      <c r="L547" s="423"/>
      <c r="M547" s="423"/>
      <c r="AB547" s="417"/>
      <c r="AC547" s="416"/>
      <c r="AF547" s="410"/>
      <c r="AG547" s="416"/>
      <c r="AJ547" s="417"/>
      <c r="AK547" s="416"/>
      <c r="AN547" s="417"/>
      <c r="AR547" s="417"/>
    </row>
    <row r="548" spans="2:44" s="415" customFormat="1">
      <c r="B548" s="481"/>
      <c r="D548" s="481"/>
      <c r="E548" s="481"/>
      <c r="K548" s="423"/>
      <c r="L548" s="423"/>
      <c r="M548" s="423"/>
      <c r="AB548" s="417"/>
      <c r="AC548" s="416"/>
      <c r="AF548" s="410"/>
      <c r="AG548" s="416"/>
      <c r="AJ548" s="417"/>
      <c r="AK548" s="416"/>
      <c r="AN548" s="417"/>
      <c r="AR548" s="417"/>
    </row>
    <row r="549" spans="2:44" s="415" customFormat="1">
      <c r="B549" s="481"/>
      <c r="D549" s="481"/>
      <c r="E549" s="481"/>
      <c r="K549" s="423"/>
      <c r="L549" s="423"/>
      <c r="M549" s="423"/>
      <c r="AB549" s="417"/>
      <c r="AC549" s="416"/>
      <c r="AF549" s="410"/>
      <c r="AG549" s="416"/>
      <c r="AJ549" s="417"/>
      <c r="AK549" s="416"/>
      <c r="AN549" s="417"/>
      <c r="AR549" s="417"/>
    </row>
    <row r="550" spans="2:44" s="415" customFormat="1">
      <c r="B550" s="481"/>
      <c r="D550" s="481"/>
      <c r="E550" s="481"/>
      <c r="K550" s="423"/>
      <c r="L550" s="423"/>
      <c r="M550" s="423"/>
      <c r="AB550" s="417"/>
      <c r="AC550" s="416"/>
      <c r="AF550" s="410"/>
      <c r="AG550" s="416"/>
      <c r="AJ550" s="417"/>
      <c r="AK550" s="416"/>
      <c r="AN550" s="417"/>
      <c r="AR550" s="417"/>
    </row>
    <row r="551" spans="2:44" s="415" customFormat="1">
      <c r="B551" s="481"/>
      <c r="D551" s="481"/>
      <c r="E551" s="481"/>
      <c r="K551" s="423"/>
      <c r="L551" s="423"/>
      <c r="M551" s="423"/>
      <c r="AB551" s="417"/>
      <c r="AC551" s="416"/>
      <c r="AF551" s="410"/>
      <c r="AG551" s="416"/>
      <c r="AJ551" s="417"/>
      <c r="AK551" s="416"/>
      <c r="AN551" s="417"/>
      <c r="AR551" s="417"/>
    </row>
    <row r="552" spans="2:44" s="415" customFormat="1">
      <c r="B552" s="481"/>
      <c r="D552" s="481"/>
      <c r="E552" s="481"/>
      <c r="K552" s="423"/>
      <c r="L552" s="423"/>
      <c r="M552" s="423"/>
      <c r="AB552" s="417"/>
      <c r="AC552" s="416"/>
      <c r="AF552" s="410"/>
      <c r="AG552" s="416"/>
      <c r="AJ552" s="417"/>
      <c r="AK552" s="416"/>
      <c r="AN552" s="417"/>
      <c r="AR552" s="417"/>
    </row>
    <row r="553" spans="2:44" s="415" customFormat="1">
      <c r="B553" s="481"/>
      <c r="D553" s="481"/>
      <c r="E553" s="481"/>
      <c r="K553" s="423"/>
      <c r="L553" s="423"/>
      <c r="M553" s="423"/>
      <c r="AB553" s="417"/>
      <c r="AC553" s="416"/>
      <c r="AF553" s="410"/>
      <c r="AG553" s="416"/>
      <c r="AJ553" s="417"/>
      <c r="AK553" s="416"/>
      <c r="AN553" s="417"/>
      <c r="AR553" s="417"/>
    </row>
    <row r="554" spans="2:44" s="415" customFormat="1">
      <c r="B554" s="481"/>
      <c r="D554" s="481"/>
      <c r="E554" s="481"/>
      <c r="K554" s="423"/>
      <c r="L554" s="423"/>
      <c r="M554" s="423"/>
      <c r="AB554" s="417"/>
      <c r="AC554" s="416"/>
      <c r="AF554" s="410"/>
      <c r="AG554" s="416"/>
      <c r="AJ554" s="417"/>
      <c r="AK554" s="416"/>
      <c r="AN554" s="417"/>
      <c r="AR554" s="417"/>
    </row>
    <row r="555" spans="2:44" s="415" customFormat="1">
      <c r="B555" s="481"/>
      <c r="D555" s="481"/>
      <c r="E555" s="481"/>
      <c r="K555" s="423"/>
      <c r="L555" s="423"/>
      <c r="M555" s="423"/>
      <c r="AB555" s="417"/>
      <c r="AC555" s="416"/>
      <c r="AF555" s="410"/>
      <c r="AG555" s="416"/>
      <c r="AJ555" s="417"/>
      <c r="AK555" s="416"/>
      <c r="AN555" s="417"/>
      <c r="AR555" s="417"/>
    </row>
    <row r="556" spans="2:44" s="415" customFormat="1">
      <c r="B556" s="481"/>
      <c r="D556" s="481"/>
      <c r="E556" s="481"/>
      <c r="K556" s="423"/>
      <c r="L556" s="423"/>
      <c r="M556" s="423"/>
      <c r="AB556" s="417"/>
      <c r="AC556" s="416"/>
      <c r="AF556" s="410"/>
      <c r="AG556" s="416"/>
      <c r="AJ556" s="417"/>
      <c r="AK556" s="416"/>
      <c r="AN556" s="417"/>
      <c r="AR556" s="417"/>
    </row>
    <row r="557" spans="2:44" s="415" customFormat="1">
      <c r="B557" s="481"/>
      <c r="D557" s="481"/>
      <c r="E557" s="481"/>
      <c r="K557" s="423"/>
      <c r="L557" s="423"/>
      <c r="M557" s="423"/>
      <c r="AB557" s="417"/>
      <c r="AC557" s="416"/>
      <c r="AF557" s="410"/>
      <c r="AG557" s="416"/>
      <c r="AJ557" s="417"/>
      <c r="AK557" s="416"/>
      <c r="AN557" s="417"/>
      <c r="AR557" s="417"/>
    </row>
    <row r="558" spans="2:44" s="415" customFormat="1">
      <c r="B558" s="481"/>
      <c r="D558" s="481"/>
      <c r="E558" s="481"/>
      <c r="K558" s="423"/>
      <c r="L558" s="423"/>
      <c r="M558" s="423"/>
      <c r="AB558" s="417"/>
      <c r="AC558" s="416"/>
      <c r="AF558" s="410"/>
      <c r="AG558" s="416"/>
      <c r="AJ558" s="417"/>
      <c r="AK558" s="416"/>
      <c r="AN558" s="417"/>
      <c r="AR558" s="417"/>
    </row>
    <row r="559" spans="2:44" s="415" customFormat="1">
      <c r="B559" s="481"/>
      <c r="D559" s="481"/>
      <c r="E559" s="481"/>
      <c r="K559" s="423"/>
      <c r="L559" s="423"/>
      <c r="M559" s="423"/>
      <c r="AB559" s="417"/>
      <c r="AC559" s="416"/>
      <c r="AF559" s="410"/>
      <c r="AG559" s="416"/>
      <c r="AJ559" s="417"/>
      <c r="AK559" s="416"/>
      <c r="AN559" s="417"/>
      <c r="AR559" s="417"/>
    </row>
    <row r="560" spans="2:44" s="415" customFormat="1">
      <c r="B560" s="481"/>
      <c r="D560" s="481"/>
      <c r="E560" s="481"/>
      <c r="K560" s="423"/>
      <c r="L560" s="423"/>
      <c r="M560" s="423"/>
      <c r="AB560" s="417"/>
      <c r="AC560" s="416"/>
      <c r="AF560" s="410"/>
      <c r="AG560" s="416"/>
      <c r="AJ560" s="417"/>
      <c r="AK560" s="416"/>
      <c r="AN560" s="417"/>
      <c r="AR560" s="417"/>
    </row>
    <row r="561" spans="2:44" s="415" customFormat="1">
      <c r="B561" s="481"/>
      <c r="D561" s="481"/>
      <c r="E561" s="481"/>
      <c r="K561" s="423"/>
      <c r="L561" s="423"/>
      <c r="M561" s="423"/>
      <c r="AB561" s="417"/>
      <c r="AC561" s="416"/>
      <c r="AF561" s="410"/>
      <c r="AG561" s="416"/>
      <c r="AJ561" s="417"/>
      <c r="AK561" s="416"/>
      <c r="AN561" s="417"/>
      <c r="AR561" s="417"/>
    </row>
    <row r="562" spans="2:44" s="415" customFormat="1">
      <c r="B562" s="481"/>
      <c r="D562" s="481"/>
      <c r="E562" s="481"/>
      <c r="K562" s="423"/>
      <c r="L562" s="423"/>
      <c r="M562" s="423"/>
      <c r="AB562" s="417"/>
      <c r="AC562" s="416"/>
      <c r="AF562" s="410"/>
      <c r="AG562" s="416"/>
      <c r="AJ562" s="417"/>
      <c r="AK562" s="416"/>
      <c r="AN562" s="417"/>
      <c r="AR562" s="417"/>
    </row>
    <row r="563" spans="2:44" s="415" customFormat="1">
      <c r="B563" s="481"/>
      <c r="D563" s="481"/>
      <c r="E563" s="481"/>
      <c r="K563" s="423"/>
      <c r="L563" s="423"/>
      <c r="M563" s="423"/>
      <c r="AB563" s="417"/>
      <c r="AC563" s="416"/>
      <c r="AF563" s="410"/>
      <c r="AG563" s="416"/>
      <c r="AJ563" s="417"/>
      <c r="AK563" s="416"/>
      <c r="AN563" s="417"/>
      <c r="AR563" s="417"/>
    </row>
    <row r="564" spans="2:44" s="415" customFormat="1">
      <c r="B564" s="481"/>
      <c r="D564" s="481"/>
      <c r="E564" s="481"/>
      <c r="K564" s="423"/>
      <c r="L564" s="423"/>
      <c r="M564" s="423"/>
      <c r="AB564" s="417"/>
      <c r="AC564" s="416"/>
      <c r="AF564" s="410"/>
      <c r="AG564" s="416"/>
      <c r="AJ564" s="417"/>
      <c r="AK564" s="416"/>
      <c r="AN564" s="417"/>
      <c r="AR564" s="417"/>
    </row>
    <row r="565" spans="2:44" s="415" customFormat="1">
      <c r="B565" s="481"/>
      <c r="D565" s="481"/>
      <c r="E565" s="481"/>
      <c r="K565" s="423"/>
      <c r="L565" s="423"/>
      <c r="M565" s="423"/>
      <c r="AB565" s="417"/>
      <c r="AC565" s="416"/>
      <c r="AF565" s="410"/>
      <c r="AG565" s="416"/>
      <c r="AJ565" s="417"/>
      <c r="AK565" s="416"/>
      <c r="AN565" s="417"/>
      <c r="AR565" s="417"/>
    </row>
    <row r="566" spans="2:44" s="415" customFormat="1">
      <c r="B566" s="481"/>
      <c r="D566" s="481"/>
      <c r="E566" s="481"/>
      <c r="K566" s="423"/>
      <c r="L566" s="423"/>
      <c r="M566" s="423"/>
      <c r="AB566" s="417"/>
      <c r="AC566" s="416"/>
      <c r="AF566" s="410"/>
      <c r="AG566" s="416"/>
      <c r="AJ566" s="417"/>
      <c r="AK566" s="416"/>
      <c r="AN566" s="417"/>
      <c r="AR566" s="417"/>
    </row>
    <row r="567" spans="2:44" s="415" customFormat="1">
      <c r="B567" s="481"/>
      <c r="D567" s="481"/>
      <c r="E567" s="481"/>
      <c r="K567" s="423"/>
      <c r="L567" s="423"/>
      <c r="M567" s="423"/>
      <c r="AB567" s="417"/>
      <c r="AC567" s="416"/>
      <c r="AF567" s="410"/>
      <c r="AG567" s="416"/>
      <c r="AJ567" s="417"/>
      <c r="AK567" s="416"/>
      <c r="AN567" s="417"/>
      <c r="AR567" s="417"/>
    </row>
    <row r="568" spans="2:44" s="415" customFormat="1">
      <c r="B568" s="481"/>
      <c r="D568" s="481"/>
      <c r="E568" s="481"/>
      <c r="K568" s="423"/>
      <c r="L568" s="423"/>
      <c r="M568" s="423"/>
      <c r="AB568" s="417"/>
      <c r="AC568" s="416"/>
      <c r="AF568" s="410"/>
      <c r="AG568" s="416"/>
      <c r="AJ568" s="417"/>
      <c r="AK568" s="416"/>
      <c r="AN568" s="417"/>
      <c r="AR568" s="417"/>
    </row>
    <row r="569" spans="2:44" s="415" customFormat="1">
      <c r="B569" s="481"/>
      <c r="D569" s="481"/>
      <c r="E569" s="481"/>
      <c r="K569" s="423"/>
      <c r="L569" s="423"/>
      <c r="M569" s="423"/>
      <c r="AB569" s="417"/>
      <c r="AC569" s="416"/>
      <c r="AF569" s="410"/>
      <c r="AG569" s="416"/>
      <c r="AJ569" s="417"/>
      <c r="AK569" s="416"/>
      <c r="AN569" s="417"/>
      <c r="AR569" s="417"/>
    </row>
    <row r="570" spans="2:44" s="415" customFormat="1">
      <c r="B570" s="481"/>
      <c r="D570" s="481"/>
      <c r="E570" s="481"/>
      <c r="K570" s="423"/>
      <c r="L570" s="423"/>
      <c r="M570" s="423"/>
      <c r="AB570" s="417"/>
      <c r="AC570" s="416"/>
      <c r="AF570" s="410"/>
      <c r="AG570" s="416"/>
      <c r="AJ570" s="417"/>
      <c r="AK570" s="416"/>
      <c r="AN570" s="417"/>
      <c r="AR570" s="417"/>
    </row>
    <row r="571" spans="2:44" s="415" customFormat="1">
      <c r="B571" s="481"/>
      <c r="D571" s="481"/>
      <c r="E571" s="481"/>
      <c r="K571" s="423"/>
      <c r="L571" s="423"/>
      <c r="M571" s="423"/>
      <c r="AB571" s="417"/>
      <c r="AC571" s="416"/>
      <c r="AF571" s="410"/>
      <c r="AG571" s="416"/>
      <c r="AJ571" s="417"/>
      <c r="AK571" s="416"/>
      <c r="AN571" s="417"/>
      <c r="AR571" s="417"/>
    </row>
    <row r="572" spans="2:44" s="415" customFormat="1">
      <c r="B572" s="481"/>
      <c r="D572" s="481"/>
      <c r="E572" s="481"/>
      <c r="K572" s="423"/>
      <c r="L572" s="423"/>
      <c r="M572" s="423"/>
      <c r="AB572" s="417"/>
      <c r="AC572" s="416"/>
      <c r="AF572" s="410"/>
      <c r="AG572" s="416"/>
      <c r="AJ572" s="417"/>
      <c r="AK572" s="416"/>
      <c r="AN572" s="417"/>
      <c r="AR572" s="417"/>
    </row>
    <row r="573" spans="2:44" s="415" customFormat="1">
      <c r="B573" s="481"/>
      <c r="D573" s="481"/>
      <c r="E573" s="481"/>
      <c r="K573" s="423"/>
      <c r="L573" s="423"/>
      <c r="M573" s="423"/>
      <c r="AB573" s="417"/>
      <c r="AC573" s="416"/>
      <c r="AF573" s="410"/>
      <c r="AG573" s="416"/>
      <c r="AJ573" s="417"/>
      <c r="AK573" s="416"/>
      <c r="AN573" s="417"/>
      <c r="AR573" s="417"/>
    </row>
    <row r="574" spans="2:44" s="415" customFormat="1">
      <c r="B574" s="481"/>
      <c r="D574" s="481"/>
      <c r="E574" s="481"/>
      <c r="K574" s="423"/>
      <c r="L574" s="423"/>
      <c r="M574" s="423"/>
      <c r="AB574" s="417"/>
      <c r="AC574" s="416"/>
      <c r="AF574" s="410"/>
      <c r="AG574" s="416"/>
      <c r="AJ574" s="417"/>
      <c r="AK574" s="416"/>
      <c r="AN574" s="417"/>
      <c r="AR574" s="417"/>
    </row>
    <row r="575" spans="2:44" s="415" customFormat="1">
      <c r="B575" s="481"/>
      <c r="D575" s="481"/>
      <c r="E575" s="481"/>
      <c r="K575" s="423"/>
      <c r="L575" s="423"/>
      <c r="M575" s="423"/>
      <c r="AB575" s="417"/>
      <c r="AC575" s="416"/>
      <c r="AF575" s="410"/>
      <c r="AG575" s="416"/>
      <c r="AJ575" s="417"/>
      <c r="AK575" s="416"/>
      <c r="AN575" s="417"/>
      <c r="AR575" s="417"/>
    </row>
    <row r="576" spans="2:44" s="415" customFormat="1">
      <c r="B576" s="481"/>
      <c r="D576" s="481"/>
      <c r="E576" s="481"/>
      <c r="K576" s="423"/>
      <c r="L576" s="423"/>
      <c r="M576" s="423"/>
      <c r="AB576" s="417"/>
      <c r="AC576" s="416"/>
      <c r="AF576" s="410"/>
      <c r="AG576" s="416"/>
      <c r="AJ576" s="417"/>
      <c r="AK576" s="416"/>
      <c r="AN576" s="417"/>
      <c r="AR576" s="417"/>
    </row>
    <row r="577" spans="2:44" s="415" customFormat="1">
      <c r="B577" s="481"/>
      <c r="D577" s="481"/>
      <c r="E577" s="481"/>
      <c r="K577" s="423"/>
      <c r="L577" s="423"/>
      <c r="M577" s="423"/>
      <c r="AB577" s="417"/>
      <c r="AC577" s="416"/>
      <c r="AF577" s="410"/>
      <c r="AG577" s="416"/>
      <c r="AJ577" s="417"/>
      <c r="AK577" s="416"/>
      <c r="AN577" s="417"/>
      <c r="AR577" s="417"/>
    </row>
    <row r="578" spans="2:44" s="415" customFormat="1">
      <c r="B578" s="481"/>
      <c r="D578" s="481"/>
      <c r="E578" s="481"/>
      <c r="K578" s="423"/>
      <c r="L578" s="423"/>
      <c r="M578" s="423"/>
      <c r="AB578" s="417"/>
      <c r="AC578" s="416"/>
      <c r="AF578" s="410"/>
      <c r="AG578" s="416"/>
      <c r="AJ578" s="417"/>
      <c r="AK578" s="416"/>
      <c r="AN578" s="417"/>
      <c r="AR578" s="417"/>
    </row>
    <row r="579" spans="2:44" s="415" customFormat="1">
      <c r="B579" s="481"/>
      <c r="D579" s="481"/>
      <c r="E579" s="481"/>
      <c r="K579" s="423"/>
      <c r="L579" s="423"/>
      <c r="M579" s="423"/>
      <c r="AB579" s="417"/>
      <c r="AC579" s="416"/>
      <c r="AF579" s="410"/>
      <c r="AG579" s="416"/>
      <c r="AJ579" s="417"/>
      <c r="AK579" s="416"/>
      <c r="AN579" s="417"/>
      <c r="AR579" s="417"/>
    </row>
    <row r="580" spans="2:44" s="415" customFormat="1">
      <c r="B580" s="481"/>
      <c r="D580" s="481"/>
      <c r="E580" s="481"/>
      <c r="K580" s="423"/>
      <c r="L580" s="423"/>
      <c r="M580" s="423"/>
      <c r="AB580" s="417"/>
      <c r="AC580" s="416"/>
      <c r="AF580" s="410"/>
      <c r="AG580" s="416"/>
      <c r="AJ580" s="417"/>
      <c r="AK580" s="416"/>
      <c r="AN580" s="417"/>
      <c r="AR580" s="417"/>
    </row>
    <row r="581" spans="2:44" s="415" customFormat="1">
      <c r="B581" s="481"/>
      <c r="D581" s="481"/>
      <c r="E581" s="481"/>
      <c r="K581" s="423"/>
      <c r="L581" s="423"/>
      <c r="M581" s="423"/>
      <c r="AB581" s="417"/>
      <c r="AC581" s="416"/>
      <c r="AF581" s="410"/>
      <c r="AG581" s="416"/>
      <c r="AJ581" s="417"/>
      <c r="AK581" s="416"/>
      <c r="AN581" s="417"/>
      <c r="AR581" s="417"/>
    </row>
  </sheetData>
  <mergeCells count="15">
    <mergeCell ref="B8:AD8"/>
    <mergeCell ref="B1:AD2"/>
    <mergeCell ref="B3:AD4"/>
    <mergeCell ref="B5:AD5"/>
    <mergeCell ref="B6:AD6"/>
    <mergeCell ref="B7:AD7"/>
    <mergeCell ref="AU14:AV14"/>
    <mergeCell ref="B295:J295"/>
    <mergeCell ref="B296:F296"/>
    <mergeCell ref="B9:AC10"/>
    <mergeCell ref="AA14:AD14"/>
    <mergeCell ref="AE14:AH14"/>
    <mergeCell ref="AI14:AL14"/>
    <mergeCell ref="AM14:AP14"/>
    <mergeCell ref="AQ14:AT14"/>
  </mergeCells>
  <conditionalFormatting sqref="D294:E294">
    <cfRule type="duplicateValues" dxfId="64" priority="1"/>
  </conditionalFormatting>
  <conditionalFormatting sqref="F247:F292 D15:E293">
    <cfRule type="duplicateValues" dxfId="63" priority="2"/>
  </conditionalFormatting>
  <pageMargins left="0.7" right="0.7" top="0.75" bottom="0.75" header="0.3" footer="0.3"/>
  <ignoredErrors>
    <ignoredError sqref="Z16:Z26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</vt:i4>
      </vt:variant>
    </vt:vector>
  </HeadingPairs>
  <TitlesOfParts>
    <vt:vector size="17" baseType="lpstr">
      <vt:lpstr>0561 Tarapaca</vt:lpstr>
      <vt:lpstr>0562 Antofagasta</vt:lpstr>
      <vt:lpstr>0563 Atacama</vt:lpstr>
      <vt:lpstr>0564 Coquimbo</vt:lpstr>
      <vt:lpstr>0565 Valparaiso</vt:lpstr>
      <vt:lpstr>0566 Ohiggins</vt:lpstr>
      <vt:lpstr>0567 Maule</vt:lpstr>
      <vt:lpstr>0568 BioBio</vt:lpstr>
      <vt:lpstr>0569 Araucania</vt:lpstr>
      <vt:lpstr>0570 Los Lagos</vt:lpstr>
      <vt:lpstr>0571 Aysen</vt:lpstr>
      <vt:lpstr>0572 Magallanes</vt:lpstr>
      <vt:lpstr>0573 RM</vt:lpstr>
      <vt:lpstr>0574 Los Rios</vt:lpstr>
      <vt:lpstr>0575 Arica</vt:lpstr>
      <vt:lpstr>0576 Ñuble</vt:lpstr>
      <vt:lpstr>'0575 Arica'!Área_de_impresión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Nubia Bouffanais Illanes</dc:creator>
  <cp:lastModifiedBy>Catherine Cortes Vargas</cp:lastModifiedBy>
  <dcterms:created xsi:type="dcterms:W3CDTF">2021-10-21T19:44:52Z</dcterms:created>
  <dcterms:modified xsi:type="dcterms:W3CDTF">2021-10-26T19:29:36Z</dcterms:modified>
</cp:coreProperties>
</file>